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drawings/drawing1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3.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E:\Arbete\Imperial College London, August 2013 onwards\Teaching\MEng Dissertations 2021\Monte Carlo paper\StrSaf Submission\"/>
    </mc:Choice>
  </mc:AlternateContent>
  <xr:revisionPtr revIDLastSave="0" documentId="13_ncr:1_{AA3D631B-9949-4B3B-A4E4-E630835B1687}" xr6:coauthVersionLast="47" xr6:coauthVersionMax="47" xr10:uidLastSave="{00000000-0000-0000-0000-000000000000}"/>
  <bookViews>
    <workbookView xWindow="-120" yWindow="-120" windowWidth="57840" windowHeight="32040" xr2:uid="{B972F03B-4A2E-3649-AEDD-FDEA1B5A7A30}"/>
  </bookViews>
  <sheets>
    <sheet name="Info" sheetId="32" r:id="rId1"/>
    <sheet name="Lab test" sheetId="1" r:id="rId2"/>
    <sheet name="Sheet1" sheetId="10" state="hidden" r:id="rId3"/>
    <sheet name="Figure 1" sheetId="44" r:id="rId4"/>
    <sheet name="Figure 2" sheetId="46" r:id="rId5"/>
    <sheet name="Figure 7" sheetId="47" r:id="rId6"/>
    <sheet name="Table 1" sheetId="35" r:id="rId7"/>
    <sheet name="Table 3" sheetId="36" r:id="rId8"/>
    <sheet name="ECDFs of Young's Modulus" sheetId="40" r:id="rId9"/>
    <sheet name="ECDF of Year of testing" sheetId="48" r:id="rId10"/>
    <sheet name="Figure 1 Data" sheetId="33" r:id="rId11"/>
    <sheet name="Figure 2 Data" sheetId="38" r:id="rId12"/>
    <sheet name="Figure 7 Data" sheetId="42"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522" i="1" l="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H562" i="42" s="1"/>
  <c r="W554" i="1"/>
  <c r="W555" i="1"/>
  <c r="W556" i="1"/>
  <c r="W557" i="1"/>
  <c r="W558" i="1"/>
  <c r="W559" i="1"/>
  <c r="W560" i="1"/>
  <c r="W561" i="1"/>
  <c r="W562" i="1"/>
  <c r="W563" i="1"/>
  <c r="W564" i="1"/>
  <c r="W565" i="1"/>
  <c r="W566" i="1"/>
  <c r="W567" i="1"/>
  <c r="W568" i="1"/>
  <c r="W569" i="1"/>
  <c r="W570" i="1"/>
  <c r="W521" i="1"/>
  <c r="Z34" i="48"/>
  <c r="Y33" i="48"/>
  <c r="I4" i="48"/>
  <c r="J4" i="48"/>
  <c r="L4" i="48" s="1"/>
  <c r="M4" i="48" s="1"/>
  <c r="K4" i="48"/>
  <c r="I5" i="48"/>
  <c r="J5" i="48"/>
  <c r="K5" i="48"/>
  <c r="L5" i="48"/>
  <c r="M5" i="48" s="1"/>
  <c r="I6" i="48"/>
  <c r="J6" i="48"/>
  <c r="K6" i="48"/>
  <c r="L6" i="48" s="1"/>
  <c r="M6" i="48" s="1"/>
  <c r="I7" i="48"/>
  <c r="J7" i="48"/>
  <c r="K7" i="48"/>
  <c r="L7" i="48"/>
  <c r="M7" i="48" s="1"/>
  <c r="I8" i="48"/>
  <c r="J8" i="48"/>
  <c r="K8" i="48"/>
  <c r="L8" i="48"/>
  <c r="M8" i="48" s="1"/>
  <c r="I9" i="48"/>
  <c r="J9" i="48"/>
  <c r="K9" i="48"/>
  <c r="L9" i="48"/>
  <c r="M9" i="48" s="1"/>
  <c r="I10" i="48"/>
  <c r="J10" i="48"/>
  <c r="L10" i="48" s="1"/>
  <c r="M10" i="48" s="1"/>
  <c r="K10" i="48"/>
  <c r="I11" i="48"/>
  <c r="J11" i="48"/>
  <c r="K11" i="48"/>
  <c r="L11" i="48" s="1"/>
  <c r="M11" i="48" s="1"/>
  <c r="I12" i="48"/>
  <c r="J12" i="48"/>
  <c r="L12" i="48" s="1"/>
  <c r="M12" i="48" s="1"/>
  <c r="K12" i="48"/>
  <c r="I13" i="48"/>
  <c r="J13" i="48"/>
  <c r="L13" i="48" s="1"/>
  <c r="M13" i="48" s="1"/>
  <c r="K13" i="48"/>
  <c r="I14" i="48"/>
  <c r="J14" i="48"/>
  <c r="K14" i="48"/>
  <c r="L14" i="48"/>
  <c r="M14" i="48"/>
  <c r="I15" i="48"/>
  <c r="J15" i="48"/>
  <c r="K15" i="48"/>
  <c r="L15" i="48"/>
  <c r="M15" i="48"/>
  <c r="I16" i="48"/>
  <c r="J16" i="48"/>
  <c r="K16" i="48"/>
  <c r="L16" i="48"/>
  <c r="M16" i="48" s="1"/>
  <c r="I17" i="48"/>
  <c r="J17" i="48"/>
  <c r="L17" i="48" s="1"/>
  <c r="M17" i="48" s="1"/>
  <c r="K17" i="48"/>
  <c r="I18" i="48"/>
  <c r="J18" i="48"/>
  <c r="K18" i="48"/>
  <c r="L18" i="48" s="1"/>
  <c r="M18" i="48" s="1"/>
  <c r="I19" i="48"/>
  <c r="J19" i="48"/>
  <c r="K19" i="48"/>
  <c r="L19" i="48"/>
  <c r="M19" i="48" s="1"/>
  <c r="I20" i="48"/>
  <c r="J20" i="48"/>
  <c r="K20" i="48"/>
  <c r="L20" i="48"/>
  <c r="M20" i="48" s="1"/>
  <c r="I21" i="48"/>
  <c r="J21" i="48"/>
  <c r="K21" i="48"/>
  <c r="L21" i="48" s="1"/>
  <c r="M21" i="48" s="1"/>
  <c r="I22" i="48"/>
  <c r="J22" i="48"/>
  <c r="K22" i="48"/>
  <c r="L22" i="48" s="1"/>
  <c r="M22" i="48" s="1"/>
  <c r="I23" i="48"/>
  <c r="J23" i="48"/>
  <c r="K23" i="48"/>
  <c r="L23" i="48" s="1"/>
  <c r="M23" i="48" s="1"/>
  <c r="I24" i="48"/>
  <c r="J24" i="48"/>
  <c r="L24" i="48" s="1"/>
  <c r="M24" i="48" s="1"/>
  <c r="K24" i="48"/>
  <c r="I25" i="48"/>
  <c r="J25" i="48"/>
  <c r="K25" i="48"/>
  <c r="L25" i="48"/>
  <c r="M25" i="48" s="1"/>
  <c r="I26" i="48"/>
  <c r="J26" i="48"/>
  <c r="K26" i="48"/>
  <c r="L26" i="48"/>
  <c r="M26" i="48"/>
  <c r="I27" i="48"/>
  <c r="J27" i="48"/>
  <c r="K27" i="48"/>
  <c r="L27" i="48"/>
  <c r="M27" i="48"/>
  <c r="I28" i="48"/>
  <c r="J28" i="48"/>
  <c r="K28" i="48"/>
  <c r="L28" i="48"/>
  <c r="M28" i="48"/>
  <c r="I29" i="48"/>
  <c r="J29" i="48"/>
  <c r="L29" i="48" s="1"/>
  <c r="M29" i="48" s="1"/>
  <c r="K29" i="48"/>
  <c r="I30" i="48"/>
  <c r="J30" i="48"/>
  <c r="K30" i="48"/>
  <c r="L30" i="48"/>
  <c r="M30" i="48" s="1"/>
  <c r="I31" i="48"/>
  <c r="J31" i="48"/>
  <c r="L31" i="48" s="1"/>
  <c r="M31" i="48" s="1"/>
  <c r="K31" i="48"/>
  <c r="I32" i="48"/>
  <c r="J32" i="48"/>
  <c r="L32" i="48" s="1"/>
  <c r="M32" i="48" s="1"/>
  <c r="K32" i="48"/>
  <c r="I33" i="48"/>
  <c r="J33" i="48"/>
  <c r="K33" i="48"/>
  <c r="L33" i="48" s="1"/>
  <c r="M33" i="48" s="1"/>
  <c r="I34" i="48"/>
  <c r="J34" i="48"/>
  <c r="K34" i="48"/>
  <c r="L34" i="48"/>
  <c r="M34" i="48"/>
  <c r="I35" i="48"/>
  <c r="J35" i="48"/>
  <c r="L35" i="48" s="1"/>
  <c r="M35" i="48" s="1"/>
  <c r="K35" i="48"/>
  <c r="I36" i="48"/>
  <c r="J36" i="48"/>
  <c r="L36" i="48" s="1"/>
  <c r="M36" i="48" s="1"/>
  <c r="K36" i="48"/>
  <c r="I37" i="48"/>
  <c r="J37" i="48"/>
  <c r="K37" i="48"/>
  <c r="L37" i="48"/>
  <c r="M37" i="48" s="1"/>
  <c r="I38" i="48"/>
  <c r="J38" i="48"/>
  <c r="K38" i="48"/>
  <c r="L38" i="48" s="1"/>
  <c r="M38" i="48" s="1"/>
  <c r="I39" i="48"/>
  <c r="J39" i="48"/>
  <c r="K39" i="48"/>
  <c r="L39" i="48"/>
  <c r="M39" i="48"/>
  <c r="I40" i="48"/>
  <c r="J40" i="48"/>
  <c r="K40" i="48"/>
  <c r="L40" i="48"/>
  <c r="M40" i="48" s="1"/>
  <c r="I41" i="48"/>
  <c r="J41" i="48"/>
  <c r="K41" i="48"/>
  <c r="L41" i="48"/>
  <c r="M41" i="48" s="1"/>
  <c r="I42" i="48"/>
  <c r="J42" i="48"/>
  <c r="L42" i="48" s="1"/>
  <c r="M42" i="48" s="1"/>
  <c r="K42" i="48"/>
  <c r="I43" i="48"/>
  <c r="J43" i="48"/>
  <c r="K43" i="48"/>
  <c r="L43" i="48" s="1"/>
  <c r="M43" i="48" s="1"/>
  <c r="I44" i="48"/>
  <c r="J44" i="48"/>
  <c r="L44" i="48" s="1"/>
  <c r="M44" i="48" s="1"/>
  <c r="K44" i="48"/>
  <c r="I45" i="48"/>
  <c r="J45" i="48"/>
  <c r="L45" i="48" s="1"/>
  <c r="M45" i="48" s="1"/>
  <c r="K45" i="48"/>
  <c r="I46" i="48"/>
  <c r="J46" i="48"/>
  <c r="K46" i="48"/>
  <c r="L46" i="48"/>
  <c r="M46" i="48"/>
  <c r="I47" i="48"/>
  <c r="J47" i="48"/>
  <c r="K47" i="48"/>
  <c r="L47" i="48"/>
  <c r="M47" i="48"/>
  <c r="I48" i="48"/>
  <c r="J48" i="48"/>
  <c r="K48" i="48"/>
  <c r="L48" i="48"/>
  <c r="M48" i="48" s="1"/>
  <c r="I49" i="48"/>
  <c r="J49" i="48"/>
  <c r="L49" i="48" s="1"/>
  <c r="M49" i="48" s="1"/>
  <c r="K49" i="48"/>
  <c r="I50" i="48"/>
  <c r="J50" i="48"/>
  <c r="K50" i="48"/>
  <c r="L50" i="48" s="1"/>
  <c r="M50" i="48" s="1"/>
  <c r="I51" i="48"/>
  <c r="J51" i="48"/>
  <c r="K51" i="48"/>
  <c r="L51" i="48"/>
  <c r="M51" i="48" s="1"/>
  <c r="I52" i="48"/>
  <c r="J52" i="48"/>
  <c r="K52" i="48"/>
  <c r="L52" i="48"/>
  <c r="M52" i="48" s="1"/>
  <c r="I53" i="48"/>
  <c r="J53" i="48"/>
  <c r="K53" i="48"/>
  <c r="L53" i="48" s="1"/>
  <c r="M53" i="48" s="1"/>
  <c r="I54" i="48"/>
  <c r="J54" i="48"/>
  <c r="K54" i="48"/>
  <c r="L54" i="48" s="1"/>
  <c r="M54" i="48" s="1"/>
  <c r="I55" i="48"/>
  <c r="J55" i="48"/>
  <c r="K55" i="48"/>
  <c r="L55" i="48" s="1"/>
  <c r="M55" i="48" s="1"/>
  <c r="I56" i="48"/>
  <c r="J56" i="48"/>
  <c r="L56" i="48" s="1"/>
  <c r="M56" i="48" s="1"/>
  <c r="K56" i="48"/>
  <c r="I57" i="48"/>
  <c r="J57" i="48"/>
  <c r="K57" i="48"/>
  <c r="L57" i="48"/>
  <c r="M57" i="48" s="1"/>
  <c r="I58" i="48"/>
  <c r="J58" i="48"/>
  <c r="K58" i="48"/>
  <c r="L58" i="48"/>
  <c r="M58" i="48"/>
  <c r="I59" i="48"/>
  <c r="J59" i="48"/>
  <c r="K59" i="48"/>
  <c r="L59" i="48"/>
  <c r="M59" i="48"/>
  <c r="I60" i="48"/>
  <c r="J60" i="48"/>
  <c r="K60" i="48"/>
  <c r="L60" i="48"/>
  <c r="M60" i="48"/>
  <c r="I61" i="48"/>
  <c r="J61" i="48"/>
  <c r="L61" i="48" s="1"/>
  <c r="M61" i="48" s="1"/>
  <c r="K61" i="48"/>
  <c r="I62" i="48"/>
  <c r="J62" i="48"/>
  <c r="K62" i="48"/>
  <c r="L62" i="48"/>
  <c r="M62" i="48" s="1"/>
  <c r="I63" i="48"/>
  <c r="J63" i="48"/>
  <c r="L63" i="48" s="1"/>
  <c r="M63" i="48" s="1"/>
  <c r="K63" i="48"/>
  <c r="I64" i="48"/>
  <c r="J64" i="48"/>
  <c r="L64" i="48" s="1"/>
  <c r="M64" i="48" s="1"/>
  <c r="K64" i="48"/>
  <c r="I65" i="48"/>
  <c r="J65" i="48"/>
  <c r="L65" i="48" s="1"/>
  <c r="M65" i="48" s="1"/>
  <c r="K65" i="48"/>
  <c r="I66" i="48"/>
  <c r="J66" i="48"/>
  <c r="K66" i="48"/>
  <c r="L66" i="48"/>
  <c r="M66" i="48"/>
  <c r="I67" i="48"/>
  <c r="J67" i="48"/>
  <c r="L67" i="48" s="1"/>
  <c r="M67" i="48" s="1"/>
  <c r="K67" i="48"/>
  <c r="I68" i="48"/>
  <c r="J68" i="48"/>
  <c r="K68" i="48"/>
  <c r="L68" i="48"/>
  <c r="M68" i="48" s="1"/>
  <c r="I69" i="48"/>
  <c r="J69" i="48"/>
  <c r="K69" i="48"/>
  <c r="L69" i="48"/>
  <c r="M69" i="48" s="1"/>
  <c r="I70" i="48"/>
  <c r="J70" i="48"/>
  <c r="K70" i="48"/>
  <c r="L70" i="48" s="1"/>
  <c r="M70" i="48" s="1"/>
  <c r="I71" i="48"/>
  <c r="J71" i="48"/>
  <c r="K71" i="48"/>
  <c r="L71" i="48"/>
  <c r="M71" i="48"/>
  <c r="I72" i="48"/>
  <c r="J72" i="48"/>
  <c r="K72" i="48"/>
  <c r="L72" i="48"/>
  <c r="M72" i="48" s="1"/>
  <c r="I73" i="48"/>
  <c r="J73" i="48"/>
  <c r="K73" i="48"/>
  <c r="L73" i="48"/>
  <c r="M73" i="48" s="1"/>
  <c r="I74" i="48"/>
  <c r="J74" i="48"/>
  <c r="L74" i="48" s="1"/>
  <c r="M74" i="48" s="1"/>
  <c r="K74" i="48"/>
  <c r="I75" i="48"/>
  <c r="J75" i="48"/>
  <c r="K75" i="48"/>
  <c r="L75" i="48" s="1"/>
  <c r="M75" i="48" s="1"/>
  <c r="I76" i="48"/>
  <c r="J76" i="48"/>
  <c r="L76" i="48" s="1"/>
  <c r="M76" i="48" s="1"/>
  <c r="K76" i="48"/>
  <c r="I77" i="48"/>
  <c r="J77" i="48"/>
  <c r="L77" i="48" s="1"/>
  <c r="M77" i="48" s="1"/>
  <c r="K77" i="48"/>
  <c r="I78" i="48"/>
  <c r="J78" i="48"/>
  <c r="L78" i="48" s="1"/>
  <c r="M78" i="48" s="1"/>
  <c r="K78" i="48"/>
  <c r="I79" i="48"/>
  <c r="J79" i="48"/>
  <c r="K79" i="48"/>
  <c r="L79" i="48"/>
  <c r="M79" i="48"/>
  <c r="I80" i="48"/>
  <c r="J80" i="48"/>
  <c r="K80" i="48"/>
  <c r="L80" i="48"/>
  <c r="M80" i="48" s="1"/>
  <c r="I81" i="48"/>
  <c r="J81" i="48"/>
  <c r="L81" i="48" s="1"/>
  <c r="M81" i="48" s="1"/>
  <c r="K81" i="48"/>
  <c r="I82" i="48"/>
  <c r="J82" i="48"/>
  <c r="K82" i="48"/>
  <c r="L82" i="48" s="1"/>
  <c r="M82" i="48" s="1"/>
  <c r="I83" i="48"/>
  <c r="J83" i="48"/>
  <c r="L83" i="48" s="1"/>
  <c r="M83" i="48" s="1"/>
  <c r="K83" i="48"/>
  <c r="I84" i="48"/>
  <c r="J84" i="48"/>
  <c r="K84" i="48"/>
  <c r="L84" i="48"/>
  <c r="M84" i="48" s="1"/>
  <c r="I85" i="48"/>
  <c r="J85" i="48"/>
  <c r="K85" i="48"/>
  <c r="L85" i="48" s="1"/>
  <c r="M85" i="48" s="1"/>
  <c r="I86" i="48"/>
  <c r="J86" i="48"/>
  <c r="K86" i="48"/>
  <c r="L86" i="48" s="1"/>
  <c r="M86" i="48" s="1"/>
  <c r="I87" i="48"/>
  <c r="J87" i="48"/>
  <c r="L87" i="48" s="1"/>
  <c r="M87" i="48" s="1"/>
  <c r="K87" i="48"/>
  <c r="I88" i="48"/>
  <c r="J88" i="48"/>
  <c r="L88" i="48" s="1"/>
  <c r="M88" i="48" s="1"/>
  <c r="K88" i="48"/>
  <c r="I89" i="48"/>
  <c r="J89" i="48"/>
  <c r="K89" i="48"/>
  <c r="L89" i="48"/>
  <c r="M89" i="48" s="1"/>
  <c r="I90" i="48"/>
  <c r="J90" i="48"/>
  <c r="K90" i="48"/>
  <c r="L90" i="48"/>
  <c r="M90" i="48"/>
  <c r="I91" i="48"/>
  <c r="J91" i="48"/>
  <c r="K91" i="48"/>
  <c r="L91" i="48"/>
  <c r="M91" i="48"/>
  <c r="I92" i="48"/>
  <c r="J92" i="48"/>
  <c r="K92" i="48"/>
  <c r="L92" i="48"/>
  <c r="M92" i="48"/>
  <c r="I93" i="48"/>
  <c r="J93" i="48"/>
  <c r="L93" i="48" s="1"/>
  <c r="M93" i="48" s="1"/>
  <c r="K93" i="48"/>
  <c r="I94" i="48"/>
  <c r="J94" i="48"/>
  <c r="K94" i="48"/>
  <c r="L94" i="48"/>
  <c r="M94" i="48" s="1"/>
  <c r="I95" i="48"/>
  <c r="J95" i="48"/>
  <c r="L95" i="48" s="1"/>
  <c r="M95" i="48" s="1"/>
  <c r="K95" i="48"/>
  <c r="I96" i="48"/>
  <c r="J96" i="48"/>
  <c r="L96" i="48" s="1"/>
  <c r="M96" i="48" s="1"/>
  <c r="K96" i="48"/>
  <c r="I97" i="48"/>
  <c r="J97" i="48"/>
  <c r="L97" i="48" s="1"/>
  <c r="M97" i="48" s="1"/>
  <c r="K97" i="48"/>
  <c r="I98" i="48"/>
  <c r="J98" i="48"/>
  <c r="K98" i="48"/>
  <c r="L98" i="48"/>
  <c r="M98" i="48"/>
  <c r="I99" i="48"/>
  <c r="J99" i="48"/>
  <c r="L99" i="48" s="1"/>
  <c r="M99" i="48" s="1"/>
  <c r="K99" i="48"/>
  <c r="I100" i="48"/>
  <c r="J100" i="48"/>
  <c r="K100" i="48"/>
  <c r="L100" i="48"/>
  <c r="M100" i="48" s="1"/>
  <c r="I101" i="48"/>
  <c r="J101" i="48"/>
  <c r="K101" i="48"/>
  <c r="L101" i="48"/>
  <c r="M101" i="48" s="1"/>
  <c r="I102" i="48"/>
  <c r="J102" i="48"/>
  <c r="K102" i="48"/>
  <c r="L102" i="48" s="1"/>
  <c r="M102" i="48" s="1"/>
  <c r="I103" i="48"/>
  <c r="J103" i="48"/>
  <c r="K103" i="48"/>
  <c r="L103" i="48"/>
  <c r="M103" i="48"/>
  <c r="I104" i="48"/>
  <c r="J104" i="48"/>
  <c r="K104" i="48"/>
  <c r="L104" i="48"/>
  <c r="M104" i="48" s="1"/>
  <c r="I105" i="48"/>
  <c r="J105" i="48"/>
  <c r="K105" i="48"/>
  <c r="L105" i="48"/>
  <c r="M105" i="48" s="1"/>
  <c r="I106" i="48"/>
  <c r="J106" i="48"/>
  <c r="L106" i="48" s="1"/>
  <c r="M106" i="48" s="1"/>
  <c r="K106" i="48"/>
  <c r="I107" i="48"/>
  <c r="J107" i="48"/>
  <c r="K107" i="48"/>
  <c r="L107" i="48" s="1"/>
  <c r="M107" i="48" s="1"/>
  <c r="I108" i="48"/>
  <c r="J108" i="48"/>
  <c r="L108" i="48" s="1"/>
  <c r="M108" i="48" s="1"/>
  <c r="K108" i="48"/>
  <c r="I109" i="48"/>
  <c r="J109" i="48"/>
  <c r="L109" i="48" s="1"/>
  <c r="M109" i="48" s="1"/>
  <c r="K109" i="48"/>
  <c r="I110" i="48"/>
  <c r="J110" i="48"/>
  <c r="K110" i="48"/>
  <c r="L110" i="48"/>
  <c r="M110" i="48"/>
  <c r="I111" i="48"/>
  <c r="J111" i="48"/>
  <c r="K111" i="48"/>
  <c r="L111" i="48"/>
  <c r="M111" i="48"/>
  <c r="I112" i="48"/>
  <c r="J112" i="48"/>
  <c r="K112" i="48"/>
  <c r="L112" i="48"/>
  <c r="M112" i="48" s="1"/>
  <c r="I113" i="48"/>
  <c r="J113" i="48"/>
  <c r="L113" i="48" s="1"/>
  <c r="M113" i="48" s="1"/>
  <c r="K113" i="48"/>
  <c r="I114" i="48"/>
  <c r="J114" i="48"/>
  <c r="K114" i="48"/>
  <c r="L114" i="48" s="1"/>
  <c r="M114" i="48" s="1"/>
  <c r="I115" i="48"/>
  <c r="J115" i="48"/>
  <c r="L115" i="48" s="1"/>
  <c r="M115" i="48" s="1"/>
  <c r="K115" i="48"/>
  <c r="I116" i="48"/>
  <c r="J116" i="48"/>
  <c r="K116" i="48"/>
  <c r="L116" i="48"/>
  <c r="M116" i="48" s="1"/>
  <c r="I117" i="48"/>
  <c r="J117" i="48"/>
  <c r="K117" i="48"/>
  <c r="L117" i="48" s="1"/>
  <c r="M117" i="48" s="1"/>
  <c r="I118" i="48"/>
  <c r="J118" i="48"/>
  <c r="K118" i="48"/>
  <c r="L118" i="48" s="1"/>
  <c r="M118" i="48" s="1"/>
  <c r="I119" i="48"/>
  <c r="J119" i="48"/>
  <c r="L119" i="48" s="1"/>
  <c r="M119" i="48" s="1"/>
  <c r="K119" i="48"/>
  <c r="I120" i="48"/>
  <c r="J120" i="48"/>
  <c r="L120" i="48" s="1"/>
  <c r="M120" i="48" s="1"/>
  <c r="K120" i="48"/>
  <c r="I121" i="48"/>
  <c r="J121" i="48"/>
  <c r="K121" i="48"/>
  <c r="L121" i="48"/>
  <c r="M121" i="48" s="1"/>
  <c r="I122" i="48"/>
  <c r="J122" i="48"/>
  <c r="K122" i="48"/>
  <c r="L122" i="48"/>
  <c r="M122" i="48"/>
  <c r="I123" i="48"/>
  <c r="J123" i="48"/>
  <c r="K123" i="48"/>
  <c r="L123" i="48"/>
  <c r="M123" i="48"/>
  <c r="I124" i="48"/>
  <c r="J124" i="48"/>
  <c r="K124" i="48"/>
  <c r="L124" i="48"/>
  <c r="M124" i="48"/>
  <c r="I125" i="48"/>
  <c r="J125" i="48"/>
  <c r="L125" i="48" s="1"/>
  <c r="M125" i="48" s="1"/>
  <c r="K125" i="48"/>
  <c r="I126" i="48"/>
  <c r="J126" i="48"/>
  <c r="K126" i="48"/>
  <c r="L126" i="48"/>
  <c r="M126" i="48" s="1"/>
  <c r="I127" i="48"/>
  <c r="J127" i="48"/>
  <c r="L127" i="48" s="1"/>
  <c r="M127" i="48" s="1"/>
  <c r="K127" i="48"/>
  <c r="I128" i="48"/>
  <c r="J128" i="48"/>
  <c r="L128" i="48" s="1"/>
  <c r="M128" i="48" s="1"/>
  <c r="K128" i="48"/>
  <c r="I129" i="48"/>
  <c r="J129" i="48"/>
  <c r="L129" i="48" s="1"/>
  <c r="M129" i="48" s="1"/>
  <c r="K129" i="48"/>
  <c r="I130" i="48"/>
  <c r="J130" i="48"/>
  <c r="K130" i="48"/>
  <c r="L130" i="48"/>
  <c r="M130" i="48"/>
  <c r="I131" i="48"/>
  <c r="J131" i="48"/>
  <c r="L131" i="48" s="1"/>
  <c r="M131" i="48" s="1"/>
  <c r="K131" i="48"/>
  <c r="I132" i="48"/>
  <c r="J132" i="48"/>
  <c r="K132" i="48"/>
  <c r="L132" i="48"/>
  <c r="M132" i="48" s="1"/>
  <c r="I133" i="48"/>
  <c r="J133" i="48"/>
  <c r="K133" i="48"/>
  <c r="L133" i="48"/>
  <c r="M133" i="48" s="1"/>
  <c r="I134" i="48"/>
  <c r="J134" i="48"/>
  <c r="K134" i="48"/>
  <c r="L134" i="48" s="1"/>
  <c r="M134" i="48" s="1"/>
  <c r="I135" i="48"/>
  <c r="J135" i="48"/>
  <c r="K135" i="48"/>
  <c r="L135" i="48"/>
  <c r="M135" i="48" s="1"/>
  <c r="I136" i="48"/>
  <c r="J136" i="48"/>
  <c r="K136" i="48"/>
  <c r="L136" i="48"/>
  <c r="M136" i="48" s="1"/>
  <c r="I137" i="48"/>
  <c r="J137" i="48"/>
  <c r="K137" i="48"/>
  <c r="L137" i="48"/>
  <c r="M137" i="48" s="1"/>
  <c r="I138" i="48"/>
  <c r="J138" i="48"/>
  <c r="L138" i="48" s="1"/>
  <c r="M138" i="48" s="1"/>
  <c r="K138" i="48"/>
  <c r="I139" i="48"/>
  <c r="J139" i="48"/>
  <c r="K139" i="48"/>
  <c r="L139" i="48" s="1"/>
  <c r="M139" i="48" s="1"/>
  <c r="I140" i="48"/>
  <c r="J140" i="48"/>
  <c r="L140" i="48" s="1"/>
  <c r="M140" i="48" s="1"/>
  <c r="K140" i="48"/>
  <c r="I141" i="48"/>
  <c r="J141" i="48"/>
  <c r="L141" i="48" s="1"/>
  <c r="M141" i="48" s="1"/>
  <c r="K141" i="48"/>
  <c r="I142" i="48"/>
  <c r="J142" i="48"/>
  <c r="L142" i="48" s="1"/>
  <c r="M142" i="48" s="1"/>
  <c r="K142" i="48"/>
  <c r="I143" i="48"/>
  <c r="J143" i="48"/>
  <c r="K143" i="48"/>
  <c r="L143" i="48"/>
  <c r="M143" i="48"/>
  <c r="I144" i="48"/>
  <c r="J144" i="48"/>
  <c r="K144" i="48"/>
  <c r="L144" i="48"/>
  <c r="M144" i="48" s="1"/>
  <c r="I145" i="48"/>
  <c r="J145" i="48"/>
  <c r="L145" i="48" s="1"/>
  <c r="M145" i="48" s="1"/>
  <c r="K145" i="48"/>
  <c r="I146" i="48"/>
  <c r="J146" i="48"/>
  <c r="K146" i="48"/>
  <c r="L146" i="48" s="1"/>
  <c r="M146" i="48" s="1"/>
  <c r="I147" i="48"/>
  <c r="J147" i="48"/>
  <c r="L147" i="48" s="1"/>
  <c r="M147" i="48" s="1"/>
  <c r="K147" i="48"/>
  <c r="I148" i="48"/>
  <c r="J148" i="48"/>
  <c r="K148" i="48"/>
  <c r="L148" i="48"/>
  <c r="M148" i="48" s="1"/>
  <c r="I149" i="48"/>
  <c r="J149" i="48"/>
  <c r="K149" i="48"/>
  <c r="L149" i="48" s="1"/>
  <c r="M149" i="48" s="1"/>
  <c r="I150" i="48"/>
  <c r="J150" i="48"/>
  <c r="K150" i="48"/>
  <c r="L150" i="48" s="1"/>
  <c r="M150" i="48" s="1"/>
  <c r="I151" i="48"/>
  <c r="J151" i="48"/>
  <c r="L151" i="48" s="1"/>
  <c r="M151" i="48" s="1"/>
  <c r="K151" i="48"/>
  <c r="I152" i="48"/>
  <c r="J152" i="48"/>
  <c r="L152" i="48" s="1"/>
  <c r="M152" i="48" s="1"/>
  <c r="K152" i="48"/>
  <c r="I153" i="48"/>
  <c r="J153" i="48"/>
  <c r="K153" i="48"/>
  <c r="L153" i="48"/>
  <c r="M153" i="48" s="1"/>
  <c r="I154" i="48"/>
  <c r="J154" i="48"/>
  <c r="K154" i="48"/>
  <c r="L154" i="48"/>
  <c r="M154" i="48"/>
  <c r="I155" i="48"/>
  <c r="J155" i="48"/>
  <c r="K155" i="48"/>
  <c r="L155" i="48"/>
  <c r="M155" i="48"/>
  <c r="I156" i="48"/>
  <c r="J156" i="48"/>
  <c r="K156" i="48"/>
  <c r="L156" i="48"/>
  <c r="M156" i="48"/>
  <c r="I157" i="48"/>
  <c r="J157" i="48"/>
  <c r="L157" i="48" s="1"/>
  <c r="M157" i="48" s="1"/>
  <c r="K157" i="48"/>
  <c r="I158" i="48"/>
  <c r="J158" i="48"/>
  <c r="K158" i="48"/>
  <c r="L158" i="48"/>
  <c r="M158" i="48" s="1"/>
  <c r="I159" i="48"/>
  <c r="J159" i="48"/>
  <c r="L159" i="48" s="1"/>
  <c r="M159" i="48" s="1"/>
  <c r="K159" i="48"/>
  <c r="I160" i="48"/>
  <c r="J160" i="48"/>
  <c r="L160" i="48" s="1"/>
  <c r="M160" i="48" s="1"/>
  <c r="K160" i="48"/>
  <c r="I161" i="48"/>
  <c r="J161" i="48"/>
  <c r="L161" i="48" s="1"/>
  <c r="M161" i="48" s="1"/>
  <c r="K161" i="48"/>
  <c r="I162" i="48"/>
  <c r="J162" i="48"/>
  <c r="K162" i="48"/>
  <c r="L162" i="48"/>
  <c r="M162" i="48"/>
  <c r="I163" i="48"/>
  <c r="J163" i="48"/>
  <c r="L163" i="48" s="1"/>
  <c r="M163" i="48" s="1"/>
  <c r="K163" i="48"/>
  <c r="I164" i="48"/>
  <c r="J164" i="48"/>
  <c r="K164" i="48"/>
  <c r="L164" i="48"/>
  <c r="M164" i="48" s="1"/>
  <c r="I165" i="48"/>
  <c r="J165" i="48"/>
  <c r="K165" i="48"/>
  <c r="L165" i="48"/>
  <c r="M165" i="48" s="1"/>
  <c r="I166" i="48"/>
  <c r="J166" i="48"/>
  <c r="K166" i="48"/>
  <c r="L166" i="48" s="1"/>
  <c r="M166" i="48" s="1"/>
  <c r="I167" i="48"/>
  <c r="J167" i="48"/>
  <c r="K167" i="48"/>
  <c r="L167" i="48"/>
  <c r="M167" i="48"/>
  <c r="I168" i="48"/>
  <c r="J168" i="48"/>
  <c r="K168" i="48"/>
  <c r="L168" i="48"/>
  <c r="M168" i="48" s="1"/>
  <c r="I169" i="48"/>
  <c r="J169" i="48"/>
  <c r="K169" i="48"/>
  <c r="L169" i="48"/>
  <c r="M169" i="48" s="1"/>
  <c r="I170" i="48"/>
  <c r="J170" i="48"/>
  <c r="L170" i="48" s="1"/>
  <c r="M170" i="48" s="1"/>
  <c r="K170" i="48"/>
  <c r="I171" i="48"/>
  <c r="J171" i="48"/>
  <c r="K171" i="48"/>
  <c r="L171" i="48" s="1"/>
  <c r="M171" i="48" s="1"/>
  <c r="I172" i="48"/>
  <c r="J172" i="48"/>
  <c r="L172" i="48" s="1"/>
  <c r="M172" i="48" s="1"/>
  <c r="K172" i="48"/>
  <c r="I173" i="48"/>
  <c r="J173" i="48"/>
  <c r="L173" i="48" s="1"/>
  <c r="M173" i="48" s="1"/>
  <c r="K173" i="48"/>
  <c r="I174" i="48"/>
  <c r="J174" i="48"/>
  <c r="L174" i="48" s="1"/>
  <c r="M174" i="48" s="1"/>
  <c r="K174" i="48"/>
  <c r="I175" i="48"/>
  <c r="J175" i="48"/>
  <c r="K175" i="48"/>
  <c r="L175" i="48"/>
  <c r="M175" i="48"/>
  <c r="I176" i="48"/>
  <c r="J176" i="48"/>
  <c r="K176" i="48"/>
  <c r="L176" i="48"/>
  <c r="M176" i="48" s="1"/>
  <c r="I177" i="48"/>
  <c r="J177" i="48"/>
  <c r="L177" i="48" s="1"/>
  <c r="M177" i="48" s="1"/>
  <c r="K177" i="48"/>
  <c r="I178" i="48"/>
  <c r="J178" i="48"/>
  <c r="K178" i="48"/>
  <c r="L178" i="48" s="1"/>
  <c r="M178" i="48" s="1"/>
  <c r="I179" i="48"/>
  <c r="J179" i="48"/>
  <c r="L179" i="48" s="1"/>
  <c r="M179" i="48" s="1"/>
  <c r="K179" i="48"/>
  <c r="I180" i="48"/>
  <c r="J180" i="48"/>
  <c r="K180" i="48"/>
  <c r="L180" i="48"/>
  <c r="M180" i="48" s="1"/>
  <c r="I181" i="48"/>
  <c r="J181" i="48"/>
  <c r="K181" i="48"/>
  <c r="L181" i="48" s="1"/>
  <c r="M181" i="48" s="1"/>
  <c r="I182" i="48"/>
  <c r="J182" i="48"/>
  <c r="K182" i="48"/>
  <c r="L182" i="48" s="1"/>
  <c r="M182" i="48" s="1"/>
  <c r="I183" i="48"/>
  <c r="J183" i="48"/>
  <c r="K183" i="48"/>
  <c r="L183" i="48" s="1"/>
  <c r="M183" i="48" s="1"/>
  <c r="I184" i="48"/>
  <c r="J184" i="48"/>
  <c r="L184" i="48" s="1"/>
  <c r="M184" i="48" s="1"/>
  <c r="K184" i="48"/>
  <c r="I185" i="48"/>
  <c r="J185" i="48"/>
  <c r="K185" i="48"/>
  <c r="L185" i="48"/>
  <c r="M185" i="48" s="1"/>
  <c r="I186" i="48"/>
  <c r="J186" i="48"/>
  <c r="K186" i="48"/>
  <c r="L186" i="48"/>
  <c r="M186" i="48"/>
  <c r="I187" i="48"/>
  <c r="J187" i="48"/>
  <c r="K187" i="48"/>
  <c r="L187" i="48"/>
  <c r="M187" i="48"/>
  <c r="I188" i="48"/>
  <c r="J188" i="48"/>
  <c r="K188" i="48"/>
  <c r="L188" i="48"/>
  <c r="M188" i="48"/>
  <c r="I189" i="48"/>
  <c r="J189" i="48"/>
  <c r="L189" i="48" s="1"/>
  <c r="M189" i="48" s="1"/>
  <c r="K189" i="48"/>
  <c r="I190" i="48"/>
  <c r="J190" i="48"/>
  <c r="K190" i="48"/>
  <c r="L190" i="48"/>
  <c r="M190" i="48" s="1"/>
  <c r="I191" i="48"/>
  <c r="J191" i="48"/>
  <c r="L191" i="48" s="1"/>
  <c r="M191" i="48" s="1"/>
  <c r="K191" i="48"/>
  <c r="I192" i="48"/>
  <c r="J192" i="48"/>
  <c r="L192" i="48" s="1"/>
  <c r="M192" i="48" s="1"/>
  <c r="K192" i="48"/>
  <c r="I193" i="48"/>
  <c r="J193" i="48"/>
  <c r="L193" i="48" s="1"/>
  <c r="M193" i="48" s="1"/>
  <c r="K193" i="48"/>
  <c r="I194" i="48"/>
  <c r="J194" i="48"/>
  <c r="K194" i="48"/>
  <c r="L194" i="48"/>
  <c r="M194" i="48"/>
  <c r="I195" i="48"/>
  <c r="J195" i="48"/>
  <c r="L195" i="48" s="1"/>
  <c r="M195" i="48" s="1"/>
  <c r="K195" i="48"/>
  <c r="I196" i="48"/>
  <c r="J196" i="48"/>
  <c r="K196" i="48"/>
  <c r="L196" i="48"/>
  <c r="M196" i="48" s="1"/>
  <c r="I197" i="48"/>
  <c r="J197" i="48"/>
  <c r="K197" i="48"/>
  <c r="L197" i="48"/>
  <c r="M197" i="48" s="1"/>
  <c r="I198" i="48"/>
  <c r="J198" i="48"/>
  <c r="K198" i="48"/>
  <c r="L198" i="48" s="1"/>
  <c r="M198" i="48" s="1"/>
  <c r="I199" i="48"/>
  <c r="J199" i="48"/>
  <c r="K199" i="48"/>
  <c r="L199" i="48"/>
  <c r="M199" i="48"/>
  <c r="I200" i="48"/>
  <c r="J200" i="48"/>
  <c r="K200" i="48"/>
  <c r="L200" i="48"/>
  <c r="M200" i="48" s="1"/>
  <c r="I201" i="48"/>
  <c r="J201" i="48"/>
  <c r="K201" i="48"/>
  <c r="L201" i="48"/>
  <c r="M201" i="48" s="1"/>
  <c r="I202" i="48"/>
  <c r="J202" i="48"/>
  <c r="L202" i="48" s="1"/>
  <c r="M202" i="48" s="1"/>
  <c r="K202" i="48"/>
  <c r="I203" i="48"/>
  <c r="J203" i="48"/>
  <c r="L203" i="48" s="1"/>
  <c r="M203" i="48" s="1"/>
  <c r="K203" i="48"/>
  <c r="I204" i="48"/>
  <c r="J204" i="48"/>
  <c r="L204" i="48" s="1"/>
  <c r="M204" i="48" s="1"/>
  <c r="K204" i="48"/>
  <c r="I205" i="48"/>
  <c r="J205" i="48"/>
  <c r="L205" i="48" s="1"/>
  <c r="M205" i="48" s="1"/>
  <c r="K205" i="48"/>
  <c r="I206" i="48"/>
  <c r="J206" i="48"/>
  <c r="L206" i="48" s="1"/>
  <c r="M206" i="48" s="1"/>
  <c r="K206" i="48"/>
  <c r="I207" i="48"/>
  <c r="J207" i="48"/>
  <c r="K207" i="48"/>
  <c r="L207" i="48"/>
  <c r="M207" i="48"/>
  <c r="I208" i="48"/>
  <c r="J208" i="48"/>
  <c r="K208" i="48"/>
  <c r="L208" i="48"/>
  <c r="M208" i="48" s="1"/>
  <c r="I209" i="48"/>
  <c r="J209" i="48"/>
  <c r="L209" i="48" s="1"/>
  <c r="M209" i="48" s="1"/>
  <c r="K209" i="48"/>
  <c r="I210" i="48"/>
  <c r="J210" i="48"/>
  <c r="K210" i="48"/>
  <c r="L210" i="48" s="1"/>
  <c r="M210" i="48" s="1"/>
  <c r="I211" i="48"/>
  <c r="J211" i="48"/>
  <c r="L211" i="48" s="1"/>
  <c r="M211" i="48" s="1"/>
  <c r="K211" i="48"/>
  <c r="I212" i="48"/>
  <c r="J212" i="48"/>
  <c r="K212" i="48"/>
  <c r="L212" i="48"/>
  <c r="M212" i="48" s="1"/>
  <c r="I213" i="48"/>
  <c r="J213" i="48"/>
  <c r="K213" i="48"/>
  <c r="L213" i="48" s="1"/>
  <c r="M213" i="48" s="1"/>
  <c r="I214" i="48"/>
  <c r="J214" i="48"/>
  <c r="K214" i="48"/>
  <c r="L214" i="48" s="1"/>
  <c r="M214" i="48" s="1"/>
  <c r="I215" i="48"/>
  <c r="J215" i="48"/>
  <c r="L215" i="48" s="1"/>
  <c r="M215" i="48" s="1"/>
  <c r="K215" i="48"/>
  <c r="I216" i="48"/>
  <c r="J216" i="48"/>
  <c r="L216" i="48" s="1"/>
  <c r="M216" i="48" s="1"/>
  <c r="K216" i="48"/>
  <c r="I217" i="48"/>
  <c r="J217" i="48"/>
  <c r="K217" i="48"/>
  <c r="L217" i="48"/>
  <c r="M217" i="48" s="1"/>
  <c r="I218" i="48"/>
  <c r="J218" i="48"/>
  <c r="K218" i="48"/>
  <c r="L218" i="48"/>
  <c r="M218" i="48"/>
  <c r="I219" i="48"/>
  <c r="J219" i="48"/>
  <c r="K219" i="48"/>
  <c r="L219" i="48"/>
  <c r="M219" i="48"/>
  <c r="I220" i="48"/>
  <c r="J220" i="48"/>
  <c r="K220" i="48"/>
  <c r="L220" i="48"/>
  <c r="M220" i="48"/>
  <c r="I221" i="48"/>
  <c r="J221" i="48"/>
  <c r="L221" i="48" s="1"/>
  <c r="M221" i="48" s="1"/>
  <c r="K221" i="48"/>
  <c r="I222" i="48"/>
  <c r="J222" i="48"/>
  <c r="K222" i="48"/>
  <c r="L222" i="48"/>
  <c r="M222" i="48" s="1"/>
  <c r="I223" i="48"/>
  <c r="J223" i="48"/>
  <c r="L223" i="48" s="1"/>
  <c r="M223" i="48" s="1"/>
  <c r="K223" i="48"/>
  <c r="I224" i="48"/>
  <c r="J224" i="48"/>
  <c r="L224" i="48" s="1"/>
  <c r="M224" i="48" s="1"/>
  <c r="K224" i="48"/>
  <c r="I225" i="48"/>
  <c r="J225" i="48"/>
  <c r="L225" i="48" s="1"/>
  <c r="M225" i="48" s="1"/>
  <c r="K225" i="48"/>
  <c r="I226" i="48"/>
  <c r="J226" i="48"/>
  <c r="K226" i="48"/>
  <c r="L226" i="48"/>
  <c r="M226" i="48"/>
  <c r="I227" i="48"/>
  <c r="J227" i="48"/>
  <c r="L227" i="48" s="1"/>
  <c r="M227" i="48" s="1"/>
  <c r="K227" i="48"/>
  <c r="I228" i="48"/>
  <c r="J228" i="48"/>
  <c r="K228" i="48"/>
  <c r="L228" i="48"/>
  <c r="M228" i="48" s="1"/>
  <c r="I229" i="48"/>
  <c r="J229" i="48"/>
  <c r="K229" i="48"/>
  <c r="L229" i="48"/>
  <c r="M229" i="48" s="1"/>
  <c r="I230" i="48"/>
  <c r="J230" i="48"/>
  <c r="K230" i="48"/>
  <c r="L230" i="48" s="1"/>
  <c r="M230" i="48" s="1"/>
  <c r="I231" i="48"/>
  <c r="J231" i="48"/>
  <c r="K231" i="48"/>
  <c r="L231" i="48"/>
  <c r="M231" i="48" s="1"/>
  <c r="I232" i="48"/>
  <c r="J232" i="48"/>
  <c r="K232" i="48"/>
  <c r="L232" i="48"/>
  <c r="M232" i="48" s="1"/>
  <c r="I233" i="48"/>
  <c r="J233" i="48"/>
  <c r="K233" i="48"/>
  <c r="L233" i="48" s="1"/>
  <c r="M233" i="48" s="1"/>
  <c r="I234" i="48"/>
  <c r="J234" i="48"/>
  <c r="L234" i="48" s="1"/>
  <c r="M234" i="48" s="1"/>
  <c r="K234" i="48"/>
  <c r="I235" i="48"/>
  <c r="J235" i="48"/>
  <c r="K235" i="48"/>
  <c r="L235" i="48" s="1"/>
  <c r="M235" i="48" s="1"/>
  <c r="I236" i="48"/>
  <c r="J236" i="48"/>
  <c r="L236" i="48" s="1"/>
  <c r="M236" i="48" s="1"/>
  <c r="K236" i="48"/>
  <c r="I237" i="48"/>
  <c r="J237" i="48"/>
  <c r="L237" i="48" s="1"/>
  <c r="M237" i="48" s="1"/>
  <c r="K237" i="48"/>
  <c r="I238" i="48"/>
  <c r="J238" i="48"/>
  <c r="K238" i="48"/>
  <c r="L238" i="48"/>
  <c r="M238" i="48"/>
  <c r="I239" i="48"/>
  <c r="J239" i="48"/>
  <c r="K239" i="48"/>
  <c r="L239" i="48"/>
  <c r="M239" i="48"/>
  <c r="I240" i="48"/>
  <c r="J240" i="48"/>
  <c r="K240" i="48"/>
  <c r="L240" i="48"/>
  <c r="M240" i="48" s="1"/>
  <c r="I241" i="48"/>
  <c r="J241" i="48"/>
  <c r="L241" i="48" s="1"/>
  <c r="M241" i="48" s="1"/>
  <c r="K241" i="48"/>
  <c r="I242" i="48"/>
  <c r="J242" i="48"/>
  <c r="K242" i="48"/>
  <c r="L242" i="48" s="1"/>
  <c r="M242" i="48" s="1"/>
  <c r="I243" i="48"/>
  <c r="J243" i="48"/>
  <c r="L243" i="48" s="1"/>
  <c r="M243" i="48" s="1"/>
  <c r="K243" i="48"/>
  <c r="I244" i="48"/>
  <c r="J244" i="48"/>
  <c r="L244" i="48" s="1"/>
  <c r="M244" i="48" s="1"/>
  <c r="K244" i="48"/>
  <c r="I245" i="48"/>
  <c r="J245" i="48"/>
  <c r="K245" i="48"/>
  <c r="L245" i="48" s="1"/>
  <c r="M245" i="48" s="1"/>
  <c r="I246" i="48"/>
  <c r="J246" i="48"/>
  <c r="L246" i="48" s="1"/>
  <c r="M246" i="48" s="1"/>
  <c r="K246" i="48"/>
  <c r="I247" i="48"/>
  <c r="J247" i="48"/>
  <c r="K247" i="48"/>
  <c r="L247" i="48" s="1"/>
  <c r="M247" i="48" s="1"/>
  <c r="I248" i="48"/>
  <c r="J248" i="48"/>
  <c r="L248" i="48" s="1"/>
  <c r="M248" i="48" s="1"/>
  <c r="K248" i="48"/>
  <c r="I249" i="48"/>
  <c r="J249" i="48"/>
  <c r="K249" i="48"/>
  <c r="L249" i="48"/>
  <c r="M249" i="48" s="1"/>
  <c r="I250" i="48"/>
  <c r="J250" i="48"/>
  <c r="K250" i="48"/>
  <c r="L250" i="48"/>
  <c r="M250" i="48" s="1"/>
  <c r="I251" i="48"/>
  <c r="J251" i="48"/>
  <c r="K251" i="48"/>
  <c r="L251" i="48"/>
  <c r="M251" i="48"/>
  <c r="I252" i="48"/>
  <c r="J252" i="48"/>
  <c r="K252" i="48"/>
  <c r="L252" i="48"/>
  <c r="M252" i="48" s="1"/>
  <c r="I253" i="48"/>
  <c r="J253" i="48"/>
  <c r="L253" i="48" s="1"/>
  <c r="M253" i="48" s="1"/>
  <c r="K253" i="48"/>
  <c r="I254" i="48"/>
  <c r="J254" i="48"/>
  <c r="K254" i="48"/>
  <c r="L254" i="48"/>
  <c r="M254" i="48" s="1"/>
  <c r="I255" i="48"/>
  <c r="J255" i="48"/>
  <c r="L255" i="48" s="1"/>
  <c r="M255" i="48" s="1"/>
  <c r="K255" i="48"/>
  <c r="I256" i="48"/>
  <c r="J256" i="48"/>
  <c r="L256" i="48" s="1"/>
  <c r="M256" i="48" s="1"/>
  <c r="K256" i="48"/>
  <c r="I257" i="48"/>
  <c r="J257" i="48"/>
  <c r="L257" i="48" s="1"/>
  <c r="M257" i="48" s="1"/>
  <c r="K257" i="48"/>
  <c r="I258" i="48"/>
  <c r="J258" i="48"/>
  <c r="K258" i="48"/>
  <c r="L258" i="48"/>
  <c r="M258" i="48"/>
  <c r="I259" i="48"/>
  <c r="J259" i="48"/>
  <c r="L259" i="48" s="1"/>
  <c r="M259" i="48" s="1"/>
  <c r="K259" i="48"/>
  <c r="I260" i="48"/>
  <c r="J260" i="48"/>
  <c r="K260" i="48"/>
  <c r="L260" i="48"/>
  <c r="M260" i="48" s="1"/>
  <c r="I261" i="48"/>
  <c r="J261" i="48"/>
  <c r="K261" i="48"/>
  <c r="L261" i="48"/>
  <c r="M261" i="48" s="1"/>
  <c r="I262" i="48"/>
  <c r="J262" i="48"/>
  <c r="K262" i="48"/>
  <c r="L262" i="48" s="1"/>
  <c r="M262" i="48" s="1"/>
  <c r="I263" i="48"/>
  <c r="J263" i="48"/>
  <c r="K263" i="48"/>
  <c r="L263" i="48" s="1"/>
  <c r="M263" i="48" s="1"/>
  <c r="I264" i="48"/>
  <c r="J264" i="48"/>
  <c r="K264" i="48"/>
  <c r="L264" i="48"/>
  <c r="M264" i="48" s="1"/>
  <c r="I265" i="48"/>
  <c r="J265" i="48"/>
  <c r="K265" i="48"/>
  <c r="L265" i="48" s="1"/>
  <c r="M265" i="48" s="1"/>
  <c r="I266" i="48"/>
  <c r="J266" i="48"/>
  <c r="L266" i="48" s="1"/>
  <c r="M266" i="48" s="1"/>
  <c r="K266" i="48"/>
  <c r="I267" i="48"/>
  <c r="J267" i="48"/>
  <c r="L267" i="48" s="1"/>
  <c r="M267" i="48" s="1"/>
  <c r="K267" i="48"/>
  <c r="I268" i="48"/>
  <c r="J268" i="48"/>
  <c r="L268" i="48" s="1"/>
  <c r="M268" i="48" s="1"/>
  <c r="K268" i="48"/>
  <c r="I269" i="48"/>
  <c r="J269" i="48"/>
  <c r="L269" i="48" s="1"/>
  <c r="M269" i="48" s="1"/>
  <c r="K269" i="48"/>
  <c r="I270" i="48"/>
  <c r="J270" i="48"/>
  <c r="K270" i="48"/>
  <c r="L270" i="48"/>
  <c r="M270" i="48"/>
  <c r="I271" i="48"/>
  <c r="J271" i="48"/>
  <c r="K271" i="48"/>
  <c r="L271" i="48"/>
  <c r="M271" i="48"/>
  <c r="I272" i="48"/>
  <c r="J272" i="48"/>
  <c r="K272" i="48"/>
  <c r="L272" i="48"/>
  <c r="M272" i="48" s="1"/>
  <c r="I273" i="48"/>
  <c r="J273" i="48"/>
  <c r="L273" i="48" s="1"/>
  <c r="M273" i="48" s="1"/>
  <c r="K273" i="48"/>
  <c r="I274" i="48"/>
  <c r="J274" i="48"/>
  <c r="K274" i="48"/>
  <c r="L274" i="48" s="1"/>
  <c r="M274" i="48" s="1"/>
  <c r="I275" i="48"/>
  <c r="J275" i="48"/>
  <c r="L275" i="48" s="1"/>
  <c r="M275" i="48" s="1"/>
  <c r="K275" i="48"/>
  <c r="I276" i="48"/>
  <c r="J276" i="48"/>
  <c r="L276" i="48" s="1"/>
  <c r="M276" i="48" s="1"/>
  <c r="K276" i="48"/>
  <c r="I277" i="48"/>
  <c r="J277" i="48"/>
  <c r="K277" i="48"/>
  <c r="L277" i="48" s="1"/>
  <c r="M277" i="48" s="1"/>
  <c r="I278" i="48"/>
  <c r="J278" i="48"/>
  <c r="L278" i="48" s="1"/>
  <c r="M278" i="48" s="1"/>
  <c r="K278" i="48"/>
  <c r="I279" i="48"/>
  <c r="J279" i="48"/>
  <c r="L279" i="48" s="1"/>
  <c r="M279" i="48" s="1"/>
  <c r="K279" i="48"/>
  <c r="I280" i="48"/>
  <c r="J280" i="48"/>
  <c r="L280" i="48" s="1"/>
  <c r="M280" i="48" s="1"/>
  <c r="K280" i="48"/>
  <c r="I281" i="48"/>
  <c r="J281" i="48"/>
  <c r="K281" i="48"/>
  <c r="L281" i="48"/>
  <c r="M281" i="48" s="1"/>
  <c r="I282" i="48"/>
  <c r="J282" i="48"/>
  <c r="K282" i="48"/>
  <c r="L282" i="48"/>
  <c r="M282" i="48" s="1"/>
  <c r="I283" i="48"/>
  <c r="J283" i="48"/>
  <c r="K283" i="48"/>
  <c r="L283" i="48"/>
  <c r="M283" i="48"/>
  <c r="I284" i="48"/>
  <c r="J284" i="48"/>
  <c r="K284" i="48"/>
  <c r="L284" i="48"/>
  <c r="M284" i="48" s="1"/>
  <c r="I285" i="48"/>
  <c r="J285" i="48"/>
  <c r="L285" i="48" s="1"/>
  <c r="M285" i="48" s="1"/>
  <c r="K285" i="48"/>
  <c r="I286" i="48"/>
  <c r="J286" i="48"/>
  <c r="K286" i="48"/>
  <c r="L286" i="48"/>
  <c r="M286" i="48" s="1"/>
  <c r="I287" i="48"/>
  <c r="J287" i="48"/>
  <c r="L287" i="48" s="1"/>
  <c r="M287" i="48" s="1"/>
  <c r="K287" i="48"/>
  <c r="I288" i="48"/>
  <c r="J288" i="48"/>
  <c r="L288" i="48" s="1"/>
  <c r="M288" i="48" s="1"/>
  <c r="K288" i="48"/>
  <c r="I289" i="48"/>
  <c r="J289" i="48"/>
  <c r="L289" i="48" s="1"/>
  <c r="M289" i="48" s="1"/>
  <c r="K289" i="48"/>
  <c r="I290" i="48"/>
  <c r="J290" i="48"/>
  <c r="K290" i="48"/>
  <c r="L290" i="48"/>
  <c r="M290" i="48"/>
  <c r="I291" i="48"/>
  <c r="J291" i="48"/>
  <c r="L291" i="48" s="1"/>
  <c r="M291" i="48" s="1"/>
  <c r="K291" i="48"/>
  <c r="I292" i="48"/>
  <c r="J292" i="48"/>
  <c r="K292" i="48"/>
  <c r="L292" i="48"/>
  <c r="M292" i="48" s="1"/>
  <c r="I293" i="48"/>
  <c r="J293" i="48"/>
  <c r="K293" i="48"/>
  <c r="L293" i="48"/>
  <c r="M293" i="48" s="1"/>
  <c r="I294" i="48"/>
  <c r="J294" i="48"/>
  <c r="K294" i="48"/>
  <c r="L294" i="48" s="1"/>
  <c r="M294" i="48" s="1"/>
  <c r="I295" i="48"/>
  <c r="J295" i="48"/>
  <c r="K295" i="48"/>
  <c r="L295" i="48"/>
  <c r="M295" i="48" s="1"/>
  <c r="I296" i="48"/>
  <c r="J296" i="48"/>
  <c r="K296" i="48"/>
  <c r="L296" i="48"/>
  <c r="M296" i="48" s="1"/>
  <c r="I297" i="48"/>
  <c r="J297" i="48"/>
  <c r="K297" i="48"/>
  <c r="L297" i="48" s="1"/>
  <c r="M297" i="48" s="1"/>
  <c r="I298" i="48"/>
  <c r="J298" i="48"/>
  <c r="L298" i="48" s="1"/>
  <c r="M298" i="48" s="1"/>
  <c r="K298" i="48"/>
  <c r="I299" i="48"/>
  <c r="J299" i="48"/>
  <c r="L299" i="48" s="1"/>
  <c r="M299" i="48" s="1"/>
  <c r="K299" i="48"/>
  <c r="I300" i="48"/>
  <c r="J300" i="48"/>
  <c r="L300" i="48" s="1"/>
  <c r="M300" i="48" s="1"/>
  <c r="K300" i="48"/>
  <c r="I301" i="48"/>
  <c r="J301" i="48"/>
  <c r="L301" i="48" s="1"/>
  <c r="M301" i="48" s="1"/>
  <c r="K301" i="48"/>
  <c r="I302" i="48"/>
  <c r="J302" i="48"/>
  <c r="K302" i="48"/>
  <c r="L302" i="48"/>
  <c r="M302" i="48"/>
  <c r="I303" i="48"/>
  <c r="J303" i="48"/>
  <c r="K303" i="48"/>
  <c r="L303" i="48"/>
  <c r="M303" i="48"/>
  <c r="I304" i="48"/>
  <c r="J304" i="48"/>
  <c r="K304" i="48"/>
  <c r="L304" i="48"/>
  <c r="M304" i="48" s="1"/>
  <c r="I305" i="48"/>
  <c r="J305" i="48"/>
  <c r="L305" i="48" s="1"/>
  <c r="M305" i="48" s="1"/>
  <c r="K305" i="48"/>
  <c r="I306" i="48"/>
  <c r="J306" i="48"/>
  <c r="K306" i="48"/>
  <c r="L306" i="48" s="1"/>
  <c r="M306" i="48" s="1"/>
  <c r="I307" i="48"/>
  <c r="J307" i="48"/>
  <c r="L307" i="48" s="1"/>
  <c r="M307" i="48" s="1"/>
  <c r="K307" i="48"/>
  <c r="I308" i="48"/>
  <c r="J308" i="48"/>
  <c r="L308" i="48" s="1"/>
  <c r="M308" i="48" s="1"/>
  <c r="K308" i="48"/>
  <c r="I309" i="48"/>
  <c r="J309" i="48"/>
  <c r="K309" i="48"/>
  <c r="L309" i="48" s="1"/>
  <c r="M309" i="48" s="1"/>
  <c r="I310" i="48"/>
  <c r="J310" i="48"/>
  <c r="L310" i="48" s="1"/>
  <c r="M310" i="48" s="1"/>
  <c r="K310" i="48"/>
  <c r="I311" i="48"/>
  <c r="M311" i="48" s="1"/>
  <c r="J311" i="48"/>
  <c r="K311" i="48"/>
  <c r="L311" i="48"/>
  <c r="I312" i="48"/>
  <c r="J312" i="48"/>
  <c r="L312" i="48" s="1"/>
  <c r="M312" i="48" s="1"/>
  <c r="K312" i="48"/>
  <c r="I313" i="48"/>
  <c r="J313" i="48"/>
  <c r="K313" i="48"/>
  <c r="L313" i="48"/>
  <c r="M313" i="48" s="1"/>
  <c r="I314" i="48"/>
  <c r="J314" i="48"/>
  <c r="K314" i="48"/>
  <c r="L314" i="48"/>
  <c r="M314" i="48" s="1"/>
  <c r="I315" i="48"/>
  <c r="J315" i="48"/>
  <c r="K315" i="48"/>
  <c r="L315" i="48"/>
  <c r="M315" i="48"/>
  <c r="I316" i="48"/>
  <c r="J316" i="48"/>
  <c r="K316" i="48"/>
  <c r="L316" i="48"/>
  <c r="M316" i="48" s="1"/>
  <c r="I317" i="48"/>
  <c r="J317" i="48"/>
  <c r="L317" i="48" s="1"/>
  <c r="M317" i="48" s="1"/>
  <c r="K317" i="48"/>
  <c r="I318" i="48"/>
  <c r="J318" i="48"/>
  <c r="K318" i="48"/>
  <c r="L318" i="48"/>
  <c r="M318" i="48" s="1"/>
  <c r="I319" i="48"/>
  <c r="J319" i="48"/>
  <c r="L319" i="48" s="1"/>
  <c r="M319" i="48" s="1"/>
  <c r="K319" i="48"/>
  <c r="I320" i="48"/>
  <c r="J320" i="48"/>
  <c r="L320" i="48" s="1"/>
  <c r="M320" i="48" s="1"/>
  <c r="K320" i="48"/>
  <c r="I321" i="48"/>
  <c r="J321" i="48"/>
  <c r="L321" i="48" s="1"/>
  <c r="M321" i="48" s="1"/>
  <c r="K321" i="48"/>
  <c r="I322" i="48"/>
  <c r="J322" i="48"/>
  <c r="K322" i="48"/>
  <c r="L322" i="48"/>
  <c r="M322" i="48"/>
  <c r="I323" i="48"/>
  <c r="J323" i="48"/>
  <c r="L323" i="48" s="1"/>
  <c r="M323" i="48" s="1"/>
  <c r="K323" i="48"/>
  <c r="I324" i="48"/>
  <c r="J324" i="48"/>
  <c r="K324" i="48"/>
  <c r="L324" i="48"/>
  <c r="M324" i="48" s="1"/>
  <c r="I325" i="48"/>
  <c r="J325" i="48"/>
  <c r="K325" i="48"/>
  <c r="L325" i="48"/>
  <c r="M325" i="48" s="1"/>
  <c r="I326" i="48"/>
  <c r="J326" i="48"/>
  <c r="K326" i="48"/>
  <c r="L326" i="48" s="1"/>
  <c r="M326" i="48" s="1"/>
  <c r="I327" i="48"/>
  <c r="J327" i="48"/>
  <c r="K327" i="48"/>
  <c r="L327" i="48" s="1"/>
  <c r="M327" i="48" s="1"/>
  <c r="I328" i="48"/>
  <c r="J328" i="48"/>
  <c r="K328" i="48"/>
  <c r="L328" i="48"/>
  <c r="M328" i="48" s="1"/>
  <c r="I329" i="48"/>
  <c r="J329" i="48"/>
  <c r="K329" i="48"/>
  <c r="L329" i="48" s="1"/>
  <c r="M329" i="48" s="1"/>
  <c r="I330" i="48"/>
  <c r="J330" i="48"/>
  <c r="L330" i="48" s="1"/>
  <c r="M330" i="48" s="1"/>
  <c r="K330" i="48"/>
  <c r="I331" i="48"/>
  <c r="J331" i="48"/>
  <c r="L331" i="48" s="1"/>
  <c r="M331" i="48" s="1"/>
  <c r="K331" i="48"/>
  <c r="I332" i="48"/>
  <c r="J332" i="48"/>
  <c r="L332" i="48" s="1"/>
  <c r="M332" i="48" s="1"/>
  <c r="K332" i="48"/>
  <c r="I333" i="48"/>
  <c r="J333" i="48"/>
  <c r="L333" i="48" s="1"/>
  <c r="M333" i="48" s="1"/>
  <c r="K333" i="48"/>
  <c r="I334" i="48"/>
  <c r="J334" i="48"/>
  <c r="K334" i="48"/>
  <c r="L334" i="48"/>
  <c r="M334" i="48"/>
  <c r="I335" i="48"/>
  <c r="J335" i="48"/>
  <c r="K335" i="48"/>
  <c r="L335" i="48"/>
  <c r="M335" i="48"/>
  <c r="I336" i="48"/>
  <c r="J336" i="48"/>
  <c r="K336" i="48"/>
  <c r="L336" i="48"/>
  <c r="M336" i="48" s="1"/>
  <c r="I337" i="48"/>
  <c r="J337" i="48"/>
  <c r="L337" i="48" s="1"/>
  <c r="M337" i="48" s="1"/>
  <c r="K337" i="48"/>
  <c r="I338" i="48"/>
  <c r="J338" i="48"/>
  <c r="K338" i="48"/>
  <c r="L338" i="48" s="1"/>
  <c r="M338" i="48" s="1"/>
  <c r="I339" i="48"/>
  <c r="J339" i="48"/>
  <c r="L339" i="48" s="1"/>
  <c r="M339" i="48" s="1"/>
  <c r="K339" i="48"/>
  <c r="I340" i="48"/>
  <c r="J340" i="48"/>
  <c r="L340" i="48" s="1"/>
  <c r="M340" i="48" s="1"/>
  <c r="K340" i="48"/>
  <c r="I341" i="48"/>
  <c r="J341" i="48"/>
  <c r="K341" i="48"/>
  <c r="L341" i="48" s="1"/>
  <c r="M341" i="48" s="1"/>
  <c r="I342" i="48"/>
  <c r="J342" i="48"/>
  <c r="L342" i="48" s="1"/>
  <c r="M342" i="48" s="1"/>
  <c r="K342" i="48"/>
  <c r="I343" i="48"/>
  <c r="J343" i="48"/>
  <c r="L343" i="48" s="1"/>
  <c r="M343" i="48" s="1"/>
  <c r="K343" i="48"/>
  <c r="I344" i="48"/>
  <c r="J344" i="48"/>
  <c r="L344" i="48" s="1"/>
  <c r="M344" i="48" s="1"/>
  <c r="K344" i="48"/>
  <c r="I345" i="48"/>
  <c r="J345" i="48"/>
  <c r="K345" i="48"/>
  <c r="L345" i="48"/>
  <c r="M345" i="48" s="1"/>
  <c r="I346" i="48"/>
  <c r="J346" i="48"/>
  <c r="K346" i="48"/>
  <c r="L346" i="48"/>
  <c r="M346" i="48" s="1"/>
  <c r="I347" i="48"/>
  <c r="J347" i="48"/>
  <c r="K347" i="48"/>
  <c r="L347" i="48"/>
  <c r="M347" i="48"/>
  <c r="I348" i="48"/>
  <c r="J348" i="48"/>
  <c r="K348" i="48"/>
  <c r="L348" i="48"/>
  <c r="M348" i="48" s="1"/>
  <c r="I349" i="48"/>
  <c r="J349" i="48"/>
  <c r="L349" i="48" s="1"/>
  <c r="M349" i="48" s="1"/>
  <c r="K349" i="48"/>
  <c r="I350" i="48"/>
  <c r="J350" i="48"/>
  <c r="K350" i="48"/>
  <c r="L350" i="48"/>
  <c r="M350" i="48" s="1"/>
  <c r="I351" i="48"/>
  <c r="J351" i="48"/>
  <c r="L351" i="48" s="1"/>
  <c r="M351" i="48" s="1"/>
  <c r="K351" i="48"/>
  <c r="I352" i="48"/>
  <c r="J352" i="48"/>
  <c r="L352" i="48" s="1"/>
  <c r="M352" i="48" s="1"/>
  <c r="K352" i="48"/>
  <c r="I353" i="48"/>
  <c r="J353" i="48"/>
  <c r="K353" i="48"/>
  <c r="L353" i="48"/>
  <c r="M353" i="48" s="1"/>
  <c r="I354" i="48"/>
  <c r="J354" i="48"/>
  <c r="K354" i="48"/>
  <c r="L354" i="48"/>
  <c r="M354" i="48"/>
  <c r="I355" i="48"/>
  <c r="J355" i="48"/>
  <c r="L355" i="48" s="1"/>
  <c r="M355" i="48" s="1"/>
  <c r="K355" i="48"/>
  <c r="I356" i="48"/>
  <c r="J356" i="48"/>
  <c r="K356" i="48"/>
  <c r="L356" i="48"/>
  <c r="M356" i="48" s="1"/>
  <c r="I357" i="48"/>
  <c r="J357" i="48"/>
  <c r="K357" i="48"/>
  <c r="L357" i="48"/>
  <c r="M357" i="48" s="1"/>
  <c r="I358" i="48"/>
  <c r="J358" i="48"/>
  <c r="K358" i="48"/>
  <c r="L358" i="48" s="1"/>
  <c r="M358" i="48" s="1"/>
  <c r="I359" i="48"/>
  <c r="J359" i="48"/>
  <c r="K359" i="48"/>
  <c r="L359" i="48" s="1"/>
  <c r="M359" i="48" s="1"/>
  <c r="I360" i="48"/>
  <c r="J360" i="48"/>
  <c r="K360" i="48"/>
  <c r="L360" i="48" s="1"/>
  <c r="M360" i="48" s="1"/>
  <c r="I361" i="48"/>
  <c r="J361" i="48"/>
  <c r="K361" i="48"/>
  <c r="L361" i="48" s="1"/>
  <c r="M361" i="48" s="1"/>
  <c r="I362" i="48"/>
  <c r="J362" i="48"/>
  <c r="L362" i="48" s="1"/>
  <c r="M362" i="48" s="1"/>
  <c r="K362" i="48"/>
  <c r="I363" i="48"/>
  <c r="J363" i="48"/>
  <c r="L363" i="48" s="1"/>
  <c r="M363" i="48" s="1"/>
  <c r="K363" i="48"/>
  <c r="I364" i="48"/>
  <c r="J364" i="48"/>
  <c r="L364" i="48" s="1"/>
  <c r="M364" i="48" s="1"/>
  <c r="K364" i="48"/>
  <c r="I365" i="48"/>
  <c r="J365" i="48"/>
  <c r="L365" i="48" s="1"/>
  <c r="M365" i="48" s="1"/>
  <c r="K365" i="48"/>
  <c r="I366" i="48"/>
  <c r="J366" i="48"/>
  <c r="K366" i="48"/>
  <c r="L366" i="48" s="1"/>
  <c r="M366" i="48" s="1"/>
  <c r="I367" i="48"/>
  <c r="J367" i="48"/>
  <c r="K367" i="48"/>
  <c r="L367" i="48"/>
  <c r="M367" i="48"/>
  <c r="I368" i="48"/>
  <c r="J368" i="48"/>
  <c r="K368" i="48"/>
  <c r="L368" i="48"/>
  <c r="M368" i="48" s="1"/>
  <c r="I369" i="48"/>
  <c r="J369" i="48"/>
  <c r="L369" i="48" s="1"/>
  <c r="M369" i="48" s="1"/>
  <c r="K369" i="48"/>
  <c r="I370" i="48"/>
  <c r="J370" i="48"/>
  <c r="K370" i="48"/>
  <c r="L370" i="48" s="1"/>
  <c r="M370" i="48" s="1"/>
  <c r="I371" i="48"/>
  <c r="J371" i="48"/>
  <c r="L371" i="48" s="1"/>
  <c r="M371" i="48" s="1"/>
  <c r="K371" i="48"/>
  <c r="I372" i="48"/>
  <c r="J372" i="48"/>
  <c r="L372" i="48" s="1"/>
  <c r="M372" i="48" s="1"/>
  <c r="K372" i="48"/>
  <c r="I373" i="48"/>
  <c r="J373" i="48"/>
  <c r="L373" i="48" s="1"/>
  <c r="M373" i="48" s="1"/>
  <c r="K373" i="48"/>
  <c r="I374" i="48"/>
  <c r="J374" i="48"/>
  <c r="L374" i="48" s="1"/>
  <c r="M374" i="48" s="1"/>
  <c r="K374" i="48"/>
  <c r="I375" i="48"/>
  <c r="J375" i="48"/>
  <c r="L375" i="48" s="1"/>
  <c r="M375" i="48" s="1"/>
  <c r="K375" i="48"/>
  <c r="I376" i="48"/>
  <c r="J376" i="48"/>
  <c r="L376" i="48" s="1"/>
  <c r="M376" i="48" s="1"/>
  <c r="K376" i="48"/>
  <c r="I377" i="48"/>
  <c r="J377" i="48"/>
  <c r="K377" i="48"/>
  <c r="L377" i="48"/>
  <c r="M377" i="48" s="1"/>
  <c r="I378" i="48"/>
  <c r="J378" i="48"/>
  <c r="K378" i="48"/>
  <c r="L378" i="48"/>
  <c r="M378" i="48" s="1"/>
  <c r="I379" i="48"/>
  <c r="J379" i="48"/>
  <c r="K379" i="48"/>
  <c r="L379" i="48"/>
  <c r="M379" i="48" s="1"/>
  <c r="I380" i="48"/>
  <c r="J380" i="48"/>
  <c r="K380" i="48"/>
  <c r="L380" i="48"/>
  <c r="M380" i="48" s="1"/>
  <c r="I381" i="48"/>
  <c r="J381" i="48"/>
  <c r="L381" i="48" s="1"/>
  <c r="M381" i="48" s="1"/>
  <c r="K381" i="48"/>
  <c r="I382" i="48"/>
  <c r="J382" i="48"/>
  <c r="K382" i="48"/>
  <c r="L382" i="48"/>
  <c r="M382" i="48" s="1"/>
  <c r="I383" i="48"/>
  <c r="J383" i="48"/>
  <c r="L383" i="48" s="1"/>
  <c r="M383" i="48" s="1"/>
  <c r="K383" i="48"/>
  <c r="I384" i="48"/>
  <c r="J384" i="48"/>
  <c r="L384" i="48" s="1"/>
  <c r="M384" i="48" s="1"/>
  <c r="K384" i="48"/>
  <c r="I385" i="48"/>
  <c r="J385" i="48"/>
  <c r="K385" i="48"/>
  <c r="L385" i="48"/>
  <c r="M385" i="48" s="1"/>
  <c r="I386" i="48"/>
  <c r="J386" i="48"/>
  <c r="K386" i="48"/>
  <c r="L386" i="48"/>
  <c r="M386" i="48"/>
  <c r="I387" i="48"/>
  <c r="J387" i="48"/>
  <c r="L387" i="48" s="1"/>
  <c r="M387" i="48" s="1"/>
  <c r="K387" i="48"/>
  <c r="I388" i="48"/>
  <c r="J388" i="48"/>
  <c r="K388" i="48"/>
  <c r="L388" i="48"/>
  <c r="M388" i="48" s="1"/>
  <c r="I389" i="48"/>
  <c r="J389" i="48"/>
  <c r="K389" i="48"/>
  <c r="L389" i="48"/>
  <c r="M389" i="48" s="1"/>
  <c r="I390" i="48"/>
  <c r="J390" i="48"/>
  <c r="K390" i="48"/>
  <c r="L390" i="48" s="1"/>
  <c r="M390" i="48" s="1"/>
  <c r="I391" i="48"/>
  <c r="J391" i="48"/>
  <c r="K391" i="48"/>
  <c r="L391" i="48" s="1"/>
  <c r="M391" i="48" s="1"/>
  <c r="I392" i="48"/>
  <c r="J392" i="48"/>
  <c r="K392" i="48"/>
  <c r="L392" i="48" s="1"/>
  <c r="M392" i="48" s="1"/>
  <c r="I393" i="48"/>
  <c r="J393" i="48"/>
  <c r="K393" i="48"/>
  <c r="L393" i="48" s="1"/>
  <c r="M393" i="48" s="1"/>
  <c r="I394" i="48"/>
  <c r="J394" i="48"/>
  <c r="L394" i="48" s="1"/>
  <c r="M394" i="48" s="1"/>
  <c r="K394" i="48"/>
  <c r="I395" i="48"/>
  <c r="J395" i="48"/>
  <c r="L395" i="48" s="1"/>
  <c r="M395" i="48" s="1"/>
  <c r="K395" i="48"/>
  <c r="I396" i="48"/>
  <c r="J396" i="48"/>
  <c r="L396" i="48" s="1"/>
  <c r="M396" i="48" s="1"/>
  <c r="K396" i="48"/>
  <c r="I397" i="48"/>
  <c r="J397" i="48"/>
  <c r="L397" i="48" s="1"/>
  <c r="M397" i="48" s="1"/>
  <c r="K397" i="48"/>
  <c r="I398" i="48"/>
  <c r="J398" i="48"/>
  <c r="K398" i="48"/>
  <c r="L398" i="48" s="1"/>
  <c r="M398" i="48" s="1"/>
  <c r="I399" i="48"/>
  <c r="J399" i="48"/>
  <c r="K399" i="48"/>
  <c r="L399" i="48"/>
  <c r="M399" i="48"/>
  <c r="I400" i="48"/>
  <c r="J400" i="48"/>
  <c r="K400" i="48"/>
  <c r="L400" i="48"/>
  <c r="M400" i="48" s="1"/>
  <c r="I401" i="48"/>
  <c r="J401" i="48"/>
  <c r="L401" i="48" s="1"/>
  <c r="M401" i="48" s="1"/>
  <c r="K401" i="48"/>
  <c r="I402" i="48"/>
  <c r="J402" i="48"/>
  <c r="K402" i="48"/>
  <c r="L402" i="48" s="1"/>
  <c r="M402" i="48" s="1"/>
  <c r="I403" i="48"/>
  <c r="J403" i="48"/>
  <c r="L403" i="48" s="1"/>
  <c r="M403" i="48" s="1"/>
  <c r="K403" i="48"/>
  <c r="I404" i="48"/>
  <c r="J404" i="48"/>
  <c r="L404" i="48" s="1"/>
  <c r="M404" i="48" s="1"/>
  <c r="K404" i="48"/>
  <c r="I405" i="48"/>
  <c r="J405" i="48"/>
  <c r="L405" i="48" s="1"/>
  <c r="M405" i="48" s="1"/>
  <c r="K405" i="48"/>
  <c r="I406" i="48"/>
  <c r="J406" i="48"/>
  <c r="L406" i="48" s="1"/>
  <c r="M406" i="48" s="1"/>
  <c r="K406" i="48"/>
  <c r="I407" i="48"/>
  <c r="M407" i="48" s="1"/>
  <c r="J407" i="48"/>
  <c r="K407" i="48"/>
  <c r="L407" i="48"/>
  <c r="I408" i="48"/>
  <c r="J408" i="48"/>
  <c r="L408" i="48" s="1"/>
  <c r="M408" i="48" s="1"/>
  <c r="K408" i="48"/>
  <c r="I409" i="48"/>
  <c r="J409" i="48"/>
  <c r="K409" i="48"/>
  <c r="L409" i="48"/>
  <c r="M409" i="48" s="1"/>
  <c r="I410" i="48"/>
  <c r="J410" i="48"/>
  <c r="K410" i="48"/>
  <c r="L410" i="48"/>
  <c r="M410" i="48" s="1"/>
  <c r="I411" i="48"/>
  <c r="J411" i="48"/>
  <c r="K411" i="48"/>
  <c r="L411" i="48"/>
  <c r="M411" i="48" s="1"/>
  <c r="I412" i="48"/>
  <c r="J412" i="48"/>
  <c r="K412" i="48"/>
  <c r="L412" i="48"/>
  <c r="M412" i="48" s="1"/>
  <c r="I413" i="48"/>
  <c r="J413" i="48"/>
  <c r="L413" i="48" s="1"/>
  <c r="M413" i="48" s="1"/>
  <c r="K413" i="48"/>
  <c r="I414" i="48"/>
  <c r="J414" i="48"/>
  <c r="K414" i="48"/>
  <c r="L414" i="48"/>
  <c r="M414" i="48" s="1"/>
  <c r="I415" i="48"/>
  <c r="J415" i="48"/>
  <c r="L415" i="48" s="1"/>
  <c r="M415" i="48" s="1"/>
  <c r="K415" i="48"/>
  <c r="I416" i="48"/>
  <c r="J416" i="48"/>
  <c r="L416" i="48" s="1"/>
  <c r="M416" i="48" s="1"/>
  <c r="K416" i="48"/>
  <c r="I417" i="48"/>
  <c r="J417" i="48"/>
  <c r="K417" i="48"/>
  <c r="L417" i="48"/>
  <c r="M417" i="48" s="1"/>
  <c r="I418" i="48"/>
  <c r="J418" i="48"/>
  <c r="K418" i="48"/>
  <c r="L418" i="48"/>
  <c r="M418" i="48"/>
  <c r="I419" i="48"/>
  <c r="J419" i="48"/>
  <c r="L419" i="48" s="1"/>
  <c r="M419" i="48" s="1"/>
  <c r="K419" i="48"/>
  <c r="I420" i="48"/>
  <c r="J420" i="48"/>
  <c r="K420" i="48"/>
  <c r="L420" i="48"/>
  <c r="M420" i="48" s="1"/>
  <c r="I421" i="48"/>
  <c r="J421" i="48"/>
  <c r="K421" i="48"/>
  <c r="L421" i="48"/>
  <c r="M421" i="48" s="1"/>
  <c r="I422" i="48"/>
  <c r="J422" i="48"/>
  <c r="K422" i="48"/>
  <c r="L422" i="48" s="1"/>
  <c r="M422" i="48" s="1"/>
  <c r="I423" i="48"/>
  <c r="J423" i="48"/>
  <c r="K423" i="48"/>
  <c r="L423" i="48" s="1"/>
  <c r="M423" i="48" s="1"/>
  <c r="I424" i="48"/>
  <c r="J424" i="48"/>
  <c r="K424" i="48"/>
  <c r="L424" i="48" s="1"/>
  <c r="M424" i="48" s="1"/>
  <c r="I425" i="48"/>
  <c r="J425" i="48"/>
  <c r="K425" i="48"/>
  <c r="L425" i="48" s="1"/>
  <c r="M425" i="48" s="1"/>
  <c r="I426" i="48"/>
  <c r="J426" i="48"/>
  <c r="L426" i="48" s="1"/>
  <c r="M426" i="48" s="1"/>
  <c r="K426" i="48"/>
  <c r="I427" i="48"/>
  <c r="J427" i="48"/>
  <c r="L427" i="48" s="1"/>
  <c r="M427" i="48" s="1"/>
  <c r="K427" i="48"/>
  <c r="I428" i="48"/>
  <c r="J428" i="48"/>
  <c r="L428" i="48" s="1"/>
  <c r="M428" i="48" s="1"/>
  <c r="K428" i="48"/>
  <c r="I429" i="48"/>
  <c r="J429" i="48"/>
  <c r="L429" i="48" s="1"/>
  <c r="M429" i="48" s="1"/>
  <c r="K429" i="48"/>
  <c r="I430" i="48"/>
  <c r="J430" i="48"/>
  <c r="K430" i="48"/>
  <c r="L430" i="48" s="1"/>
  <c r="M430" i="48" s="1"/>
  <c r="I431" i="48"/>
  <c r="J431" i="48"/>
  <c r="K431" i="48"/>
  <c r="L431" i="48"/>
  <c r="M431" i="48"/>
  <c r="I432" i="48"/>
  <c r="J432" i="48"/>
  <c r="K432" i="48"/>
  <c r="L432" i="48"/>
  <c r="M432" i="48" s="1"/>
  <c r="I433" i="48"/>
  <c r="J433" i="48"/>
  <c r="L433" i="48" s="1"/>
  <c r="M433" i="48" s="1"/>
  <c r="K433" i="48"/>
  <c r="I434" i="48"/>
  <c r="J434" i="48"/>
  <c r="K434" i="48"/>
  <c r="L434" i="48" s="1"/>
  <c r="M434" i="48" s="1"/>
  <c r="I435" i="48"/>
  <c r="J435" i="48"/>
  <c r="L435" i="48" s="1"/>
  <c r="M435" i="48" s="1"/>
  <c r="K435" i="48"/>
  <c r="I436" i="48"/>
  <c r="J436" i="48"/>
  <c r="L436" i="48" s="1"/>
  <c r="M436" i="48" s="1"/>
  <c r="K436" i="48"/>
  <c r="I437" i="48"/>
  <c r="J437" i="48"/>
  <c r="L437" i="48" s="1"/>
  <c r="M437" i="48" s="1"/>
  <c r="K437" i="48"/>
  <c r="I438" i="48"/>
  <c r="J438" i="48"/>
  <c r="L438" i="48" s="1"/>
  <c r="M438" i="48" s="1"/>
  <c r="K438" i="48"/>
  <c r="I439" i="48"/>
  <c r="J439" i="48"/>
  <c r="L439" i="48" s="1"/>
  <c r="M439" i="48" s="1"/>
  <c r="K439" i="48"/>
  <c r="I440" i="48"/>
  <c r="J440" i="48"/>
  <c r="L440" i="48" s="1"/>
  <c r="M440" i="48" s="1"/>
  <c r="K440" i="48"/>
  <c r="I441" i="48"/>
  <c r="J441" i="48"/>
  <c r="K441" i="48"/>
  <c r="L441" i="48"/>
  <c r="M441" i="48" s="1"/>
  <c r="I442" i="48"/>
  <c r="J442" i="48"/>
  <c r="K442" i="48"/>
  <c r="L442" i="48"/>
  <c r="M442" i="48" s="1"/>
  <c r="I443" i="48"/>
  <c r="J443" i="48"/>
  <c r="K443" i="48"/>
  <c r="L443" i="48"/>
  <c r="M443" i="48" s="1"/>
  <c r="I444" i="48"/>
  <c r="J444" i="48"/>
  <c r="K444" i="48"/>
  <c r="L444" i="48"/>
  <c r="M444" i="48" s="1"/>
  <c r="I445" i="48"/>
  <c r="J445" i="48"/>
  <c r="L445" i="48" s="1"/>
  <c r="M445" i="48" s="1"/>
  <c r="K445" i="48"/>
  <c r="I446" i="48"/>
  <c r="J446" i="48"/>
  <c r="K446" i="48"/>
  <c r="L446" i="48"/>
  <c r="M446" i="48" s="1"/>
  <c r="I447" i="48"/>
  <c r="J447" i="48"/>
  <c r="L447" i="48" s="1"/>
  <c r="M447" i="48" s="1"/>
  <c r="K447" i="48"/>
  <c r="I448" i="48"/>
  <c r="J448" i="48"/>
  <c r="L448" i="48" s="1"/>
  <c r="M448" i="48" s="1"/>
  <c r="K448" i="48"/>
  <c r="I449" i="48"/>
  <c r="J449" i="48"/>
  <c r="K449" i="48"/>
  <c r="L449" i="48"/>
  <c r="M449" i="48" s="1"/>
  <c r="I450" i="48"/>
  <c r="J450" i="48"/>
  <c r="K450" i="48"/>
  <c r="L450" i="48"/>
  <c r="M450" i="48"/>
  <c r="I451" i="48"/>
  <c r="J451" i="48"/>
  <c r="L451" i="48" s="1"/>
  <c r="M451" i="48" s="1"/>
  <c r="K451" i="48"/>
  <c r="I452" i="48"/>
  <c r="J452" i="48"/>
  <c r="K452" i="48"/>
  <c r="L452" i="48"/>
  <c r="M452" i="48" s="1"/>
  <c r="I453" i="48"/>
  <c r="J453" i="48"/>
  <c r="K453" i="48"/>
  <c r="L453" i="48"/>
  <c r="M453" i="48" s="1"/>
  <c r="I454" i="48"/>
  <c r="J454" i="48"/>
  <c r="K454" i="48"/>
  <c r="L454" i="48" s="1"/>
  <c r="M454" i="48" s="1"/>
  <c r="I455" i="48"/>
  <c r="J455" i="48"/>
  <c r="K455" i="48"/>
  <c r="L455" i="48" s="1"/>
  <c r="M455" i="48" s="1"/>
  <c r="I456" i="48"/>
  <c r="J456" i="48"/>
  <c r="K456" i="48"/>
  <c r="L456" i="48" s="1"/>
  <c r="M456" i="48" s="1"/>
  <c r="I457" i="48"/>
  <c r="J457" i="48"/>
  <c r="K457" i="48"/>
  <c r="L457" i="48" s="1"/>
  <c r="M457" i="48" s="1"/>
  <c r="I458" i="48"/>
  <c r="J458" i="48"/>
  <c r="L458" i="48" s="1"/>
  <c r="M458" i="48" s="1"/>
  <c r="K458" i="48"/>
  <c r="I459" i="48"/>
  <c r="J459" i="48"/>
  <c r="L459" i="48" s="1"/>
  <c r="M459" i="48" s="1"/>
  <c r="K459" i="48"/>
  <c r="I460" i="48"/>
  <c r="J460" i="48"/>
  <c r="L460" i="48" s="1"/>
  <c r="M460" i="48" s="1"/>
  <c r="K460" i="48"/>
  <c r="I461" i="48"/>
  <c r="J461" i="48"/>
  <c r="L461" i="48" s="1"/>
  <c r="M461" i="48" s="1"/>
  <c r="K461" i="48"/>
  <c r="I462" i="48"/>
  <c r="J462" i="48"/>
  <c r="K462" i="48"/>
  <c r="L462" i="48" s="1"/>
  <c r="M462" i="48" s="1"/>
  <c r="I463" i="48"/>
  <c r="J463" i="48"/>
  <c r="K463" i="48"/>
  <c r="L463" i="48"/>
  <c r="M463" i="48"/>
  <c r="I464" i="48"/>
  <c r="J464" i="48"/>
  <c r="K464" i="48"/>
  <c r="L464" i="48"/>
  <c r="M464" i="48" s="1"/>
  <c r="I465" i="48"/>
  <c r="J465" i="48"/>
  <c r="L465" i="48" s="1"/>
  <c r="M465" i="48" s="1"/>
  <c r="K465" i="48"/>
  <c r="I466" i="48"/>
  <c r="J466" i="48"/>
  <c r="K466" i="48"/>
  <c r="L466" i="48" s="1"/>
  <c r="M466" i="48" s="1"/>
  <c r="I467" i="48"/>
  <c r="J467" i="48"/>
  <c r="L467" i="48" s="1"/>
  <c r="M467" i="48" s="1"/>
  <c r="K467" i="48"/>
  <c r="I468" i="48"/>
  <c r="J468" i="48"/>
  <c r="L468" i="48" s="1"/>
  <c r="M468" i="48" s="1"/>
  <c r="K468" i="48"/>
  <c r="I469" i="48"/>
  <c r="J469" i="48"/>
  <c r="L469" i="48" s="1"/>
  <c r="M469" i="48" s="1"/>
  <c r="K469" i="48"/>
  <c r="I470" i="48"/>
  <c r="J470" i="48"/>
  <c r="L470" i="48" s="1"/>
  <c r="M470" i="48" s="1"/>
  <c r="K470" i="48"/>
  <c r="I471" i="48"/>
  <c r="J471" i="48"/>
  <c r="K471" i="48"/>
  <c r="L471" i="48" s="1"/>
  <c r="M471" i="48" s="1"/>
  <c r="I472" i="48"/>
  <c r="J472" i="48"/>
  <c r="L472" i="48" s="1"/>
  <c r="M472" i="48" s="1"/>
  <c r="K472" i="48"/>
  <c r="I473" i="48"/>
  <c r="J473" i="48"/>
  <c r="K473" i="48"/>
  <c r="L473" i="48"/>
  <c r="M473" i="48" s="1"/>
  <c r="I474" i="48"/>
  <c r="J474" i="48"/>
  <c r="K474" i="48"/>
  <c r="L474" i="48"/>
  <c r="M474" i="48" s="1"/>
  <c r="I475" i="48"/>
  <c r="J475" i="48"/>
  <c r="K475" i="48"/>
  <c r="L475" i="48"/>
  <c r="M475" i="48" s="1"/>
  <c r="I476" i="48"/>
  <c r="J476" i="48"/>
  <c r="K476" i="48"/>
  <c r="L476" i="48"/>
  <c r="M476" i="48" s="1"/>
  <c r="I477" i="48"/>
  <c r="J477" i="48"/>
  <c r="L477" i="48" s="1"/>
  <c r="M477" i="48" s="1"/>
  <c r="K477" i="48"/>
  <c r="I478" i="48"/>
  <c r="J478" i="48"/>
  <c r="K478" i="48"/>
  <c r="L478" i="48"/>
  <c r="M478" i="48" s="1"/>
  <c r="I479" i="48"/>
  <c r="J479" i="48"/>
  <c r="L479" i="48" s="1"/>
  <c r="M479" i="48" s="1"/>
  <c r="K479" i="48"/>
  <c r="I480" i="48"/>
  <c r="J480" i="48"/>
  <c r="L480" i="48" s="1"/>
  <c r="M480" i="48" s="1"/>
  <c r="K480" i="48"/>
  <c r="I481" i="48"/>
  <c r="J481" i="48"/>
  <c r="K481" i="48"/>
  <c r="L481" i="48"/>
  <c r="M481" i="48" s="1"/>
  <c r="I482" i="48"/>
  <c r="J482" i="48"/>
  <c r="K482" i="48"/>
  <c r="L482" i="48"/>
  <c r="M482" i="48"/>
  <c r="I483" i="48"/>
  <c r="J483" i="48"/>
  <c r="L483" i="48" s="1"/>
  <c r="M483" i="48" s="1"/>
  <c r="K483" i="48"/>
  <c r="I484" i="48"/>
  <c r="J484" i="48"/>
  <c r="K484" i="48"/>
  <c r="L484" i="48"/>
  <c r="M484" i="48" s="1"/>
  <c r="I485" i="48"/>
  <c r="J485" i="48"/>
  <c r="K485" i="48"/>
  <c r="L485" i="48"/>
  <c r="M485" i="48" s="1"/>
  <c r="I486" i="48"/>
  <c r="J486" i="48"/>
  <c r="K486" i="48"/>
  <c r="L486" i="48" s="1"/>
  <c r="M486" i="48" s="1"/>
  <c r="I487" i="48"/>
  <c r="J487" i="48"/>
  <c r="K487" i="48"/>
  <c r="L487" i="48" s="1"/>
  <c r="M487" i="48" s="1"/>
  <c r="I488" i="48"/>
  <c r="J488" i="48"/>
  <c r="K488" i="48"/>
  <c r="L488" i="48" s="1"/>
  <c r="M488" i="48" s="1"/>
  <c r="I489" i="48"/>
  <c r="J489" i="48"/>
  <c r="K489" i="48"/>
  <c r="L489" i="48" s="1"/>
  <c r="M489" i="48" s="1"/>
  <c r="I490" i="48"/>
  <c r="J490" i="48"/>
  <c r="L490" i="48" s="1"/>
  <c r="M490" i="48" s="1"/>
  <c r="K490" i="48"/>
  <c r="I491" i="48"/>
  <c r="J491" i="48"/>
  <c r="L491" i="48" s="1"/>
  <c r="M491" i="48" s="1"/>
  <c r="K491" i="48"/>
  <c r="I492" i="48"/>
  <c r="J492" i="48"/>
  <c r="L492" i="48" s="1"/>
  <c r="M492" i="48" s="1"/>
  <c r="K492" i="48"/>
  <c r="I493" i="48"/>
  <c r="J493" i="48"/>
  <c r="L493" i="48" s="1"/>
  <c r="M493" i="48" s="1"/>
  <c r="K493" i="48"/>
  <c r="I494" i="48"/>
  <c r="J494" i="48"/>
  <c r="K494" i="48"/>
  <c r="L494" i="48" s="1"/>
  <c r="M494" i="48" s="1"/>
  <c r="I495" i="48"/>
  <c r="J495" i="48"/>
  <c r="K495" i="48"/>
  <c r="L495" i="48"/>
  <c r="M495" i="48"/>
  <c r="I496" i="48"/>
  <c r="J496" i="48"/>
  <c r="K496" i="48"/>
  <c r="L496" i="48"/>
  <c r="M496" i="48" s="1"/>
  <c r="I497" i="48"/>
  <c r="J497" i="48"/>
  <c r="L497" i="48" s="1"/>
  <c r="M497" i="48" s="1"/>
  <c r="K497" i="48"/>
  <c r="I498" i="48"/>
  <c r="J498" i="48"/>
  <c r="K498" i="48"/>
  <c r="L498" i="48" s="1"/>
  <c r="M498" i="48" s="1"/>
  <c r="I499" i="48"/>
  <c r="J499" i="48"/>
  <c r="L499" i="48" s="1"/>
  <c r="M499" i="48" s="1"/>
  <c r="K499" i="48"/>
  <c r="I500" i="48"/>
  <c r="J500" i="48"/>
  <c r="L500" i="48" s="1"/>
  <c r="M500" i="48" s="1"/>
  <c r="K500" i="48"/>
  <c r="I501" i="48"/>
  <c r="J501" i="48"/>
  <c r="L501" i="48" s="1"/>
  <c r="M501" i="48" s="1"/>
  <c r="K501" i="48"/>
  <c r="I502" i="48"/>
  <c r="J502" i="48"/>
  <c r="L502" i="48" s="1"/>
  <c r="M502" i="48" s="1"/>
  <c r="K502" i="48"/>
  <c r="I503" i="48"/>
  <c r="J503" i="48"/>
  <c r="K503" i="48"/>
  <c r="L503" i="48" s="1"/>
  <c r="M503" i="48" s="1"/>
  <c r="I504" i="48"/>
  <c r="J504" i="48"/>
  <c r="L504" i="48" s="1"/>
  <c r="M504" i="48" s="1"/>
  <c r="K504" i="48"/>
  <c r="I505" i="48"/>
  <c r="J505" i="48"/>
  <c r="K505" i="48"/>
  <c r="L505" i="48"/>
  <c r="M505" i="48" s="1"/>
  <c r="I506" i="48"/>
  <c r="J506" i="48"/>
  <c r="K506" i="48"/>
  <c r="L506" i="48"/>
  <c r="M506" i="48" s="1"/>
  <c r="I507" i="48"/>
  <c r="J507" i="48"/>
  <c r="K507" i="48"/>
  <c r="L507" i="48"/>
  <c r="M507" i="48" s="1"/>
  <c r="I508" i="48"/>
  <c r="J508" i="48"/>
  <c r="K508" i="48"/>
  <c r="L508" i="48"/>
  <c r="M508" i="48" s="1"/>
  <c r="I509" i="48"/>
  <c r="J509" i="48"/>
  <c r="L509" i="48" s="1"/>
  <c r="M509" i="48" s="1"/>
  <c r="K509" i="48"/>
  <c r="I510" i="48"/>
  <c r="J510" i="48"/>
  <c r="K510" i="48"/>
  <c r="L510" i="48"/>
  <c r="M510" i="48" s="1"/>
  <c r="I511" i="48"/>
  <c r="J511" i="48"/>
  <c r="L511" i="48" s="1"/>
  <c r="M511" i="48" s="1"/>
  <c r="K511" i="48"/>
  <c r="I512" i="48"/>
  <c r="J512" i="48"/>
  <c r="L512" i="48" s="1"/>
  <c r="M512" i="48" s="1"/>
  <c r="K512" i="48"/>
  <c r="I513" i="48"/>
  <c r="J513" i="48"/>
  <c r="K513" i="48"/>
  <c r="L513" i="48"/>
  <c r="M513" i="48" s="1"/>
  <c r="I514" i="48"/>
  <c r="J514" i="48"/>
  <c r="K514" i="48"/>
  <c r="L514" i="48"/>
  <c r="M514" i="48"/>
  <c r="I515" i="48"/>
  <c r="J515" i="48"/>
  <c r="L515" i="48" s="1"/>
  <c r="M515" i="48" s="1"/>
  <c r="K515" i="48"/>
  <c r="I516" i="48"/>
  <c r="J516" i="48"/>
  <c r="K516" i="48"/>
  <c r="L516" i="48"/>
  <c r="M516" i="48" s="1"/>
  <c r="I517" i="48"/>
  <c r="J517" i="48"/>
  <c r="K517" i="48"/>
  <c r="L517" i="48"/>
  <c r="M517" i="48" s="1"/>
  <c r="I518" i="48"/>
  <c r="J518" i="48"/>
  <c r="K518" i="48"/>
  <c r="L518" i="48" s="1"/>
  <c r="M518" i="48" s="1"/>
  <c r="I519" i="48"/>
  <c r="J519" i="48"/>
  <c r="K519" i="48"/>
  <c r="L519" i="48" s="1"/>
  <c r="M519" i="48" s="1"/>
  <c r="I520" i="48"/>
  <c r="J520" i="48"/>
  <c r="K520" i="48"/>
  <c r="L520" i="48" s="1"/>
  <c r="M520" i="48" s="1"/>
  <c r="I521" i="48"/>
  <c r="J521" i="48"/>
  <c r="K521" i="48"/>
  <c r="L521" i="48" s="1"/>
  <c r="M521" i="48" s="1"/>
  <c r="I522" i="48"/>
  <c r="J522" i="48"/>
  <c r="L522" i="48" s="1"/>
  <c r="M522" i="48" s="1"/>
  <c r="K522" i="48"/>
  <c r="I523" i="48"/>
  <c r="J523" i="48"/>
  <c r="L523" i="48" s="1"/>
  <c r="M523" i="48" s="1"/>
  <c r="K523" i="48"/>
  <c r="I524" i="48"/>
  <c r="J524" i="48"/>
  <c r="L524" i="48" s="1"/>
  <c r="M524" i="48" s="1"/>
  <c r="K524" i="48"/>
  <c r="I525" i="48"/>
  <c r="J525" i="48"/>
  <c r="L525" i="48" s="1"/>
  <c r="M525" i="48" s="1"/>
  <c r="K525" i="48"/>
  <c r="I526" i="48"/>
  <c r="J526" i="48"/>
  <c r="K526" i="48"/>
  <c r="L526" i="48" s="1"/>
  <c r="M526" i="48" s="1"/>
  <c r="I527" i="48"/>
  <c r="J527" i="48"/>
  <c r="K527" i="48"/>
  <c r="L527" i="48"/>
  <c r="M527" i="48"/>
  <c r="I528" i="48"/>
  <c r="J528" i="48"/>
  <c r="K528" i="48"/>
  <c r="L528" i="48"/>
  <c r="M528" i="48" s="1"/>
  <c r="I529" i="48"/>
  <c r="J529" i="48"/>
  <c r="L529" i="48" s="1"/>
  <c r="M529" i="48" s="1"/>
  <c r="K529" i="48"/>
  <c r="I530" i="48"/>
  <c r="J530" i="48"/>
  <c r="K530" i="48"/>
  <c r="L530" i="48" s="1"/>
  <c r="M530" i="48" s="1"/>
  <c r="I531" i="48"/>
  <c r="J531" i="48"/>
  <c r="L531" i="48" s="1"/>
  <c r="M531" i="48" s="1"/>
  <c r="K531" i="48"/>
  <c r="I532" i="48"/>
  <c r="J532" i="48"/>
  <c r="L532" i="48" s="1"/>
  <c r="M532" i="48" s="1"/>
  <c r="K532" i="48"/>
  <c r="I533" i="48"/>
  <c r="J533" i="48"/>
  <c r="L533" i="48" s="1"/>
  <c r="M533" i="48" s="1"/>
  <c r="K533" i="48"/>
  <c r="I534" i="48"/>
  <c r="J534" i="48"/>
  <c r="L534" i="48" s="1"/>
  <c r="M534" i="48" s="1"/>
  <c r="K534" i="48"/>
  <c r="I535" i="48"/>
  <c r="J535" i="48"/>
  <c r="L535" i="48" s="1"/>
  <c r="M535" i="48" s="1"/>
  <c r="K535" i="48"/>
  <c r="I536" i="48"/>
  <c r="J536" i="48"/>
  <c r="L536" i="48" s="1"/>
  <c r="M536" i="48" s="1"/>
  <c r="K536" i="48"/>
  <c r="I537" i="48"/>
  <c r="J537" i="48"/>
  <c r="K537" i="48"/>
  <c r="L537" i="48"/>
  <c r="M537" i="48" s="1"/>
  <c r="I538" i="48"/>
  <c r="J538" i="48"/>
  <c r="K538" i="48"/>
  <c r="L538" i="48"/>
  <c r="M538" i="48" s="1"/>
  <c r="I539" i="48"/>
  <c r="J539" i="48"/>
  <c r="K539" i="48"/>
  <c r="L539" i="48"/>
  <c r="M539" i="48" s="1"/>
  <c r="I540" i="48"/>
  <c r="J540" i="48"/>
  <c r="K540" i="48"/>
  <c r="L540" i="48"/>
  <c r="M540" i="48" s="1"/>
  <c r="I541" i="48"/>
  <c r="J541" i="48"/>
  <c r="L541" i="48" s="1"/>
  <c r="M541" i="48" s="1"/>
  <c r="K541" i="48"/>
  <c r="I542" i="48"/>
  <c r="J542" i="48"/>
  <c r="K542" i="48"/>
  <c r="L542" i="48"/>
  <c r="M542" i="48" s="1"/>
  <c r="I543" i="48"/>
  <c r="J543" i="48"/>
  <c r="L543" i="48" s="1"/>
  <c r="M543" i="48" s="1"/>
  <c r="K543" i="48"/>
  <c r="I544" i="48"/>
  <c r="J544" i="48"/>
  <c r="L544" i="48" s="1"/>
  <c r="M544" i="48" s="1"/>
  <c r="K544" i="48"/>
  <c r="I545" i="48"/>
  <c r="J545" i="48"/>
  <c r="K545" i="48"/>
  <c r="L545" i="48"/>
  <c r="M545" i="48" s="1"/>
  <c r="I546" i="48"/>
  <c r="J546" i="48"/>
  <c r="K546" i="48"/>
  <c r="L546" i="48"/>
  <c r="M546" i="48" s="1"/>
  <c r="I547" i="48"/>
  <c r="J547" i="48"/>
  <c r="L547" i="48" s="1"/>
  <c r="M547" i="48" s="1"/>
  <c r="K547" i="48"/>
  <c r="I548" i="48"/>
  <c r="J548" i="48"/>
  <c r="K548" i="48"/>
  <c r="L548" i="48"/>
  <c r="M548" i="48" s="1"/>
  <c r="I549" i="48"/>
  <c r="J549" i="48"/>
  <c r="K549" i="48"/>
  <c r="L549" i="48"/>
  <c r="M549" i="48" s="1"/>
  <c r="I550" i="48"/>
  <c r="J550" i="48"/>
  <c r="K550" i="48"/>
  <c r="L550" i="48" s="1"/>
  <c r="M550" i="48" s="1"/>
  <c r="I551" i="48"/>
  <c r="J551" i="48"/>
  <c r="K551" i="48"/>
  <c r="L551" i="48" s="1"/>
  <c r="M551" i="48" s="1"/>
  <c r="I552" i="48"/>
  <c r="J552" i="48"/>
  <c r="K552" i="48"/>
  <c r="L552" i="48" s="1"/>
  <c r="M552" i="48" s="1"/>
  <c r="I553" i="48"/>
  <c r="J553" i="48"/>
  <c r="K553" i="48"/>
  <c r="L553" i="48" s="1"/>
  <c r="M553" i="48" s="1"/>
  <c r="I554" i="48"/>
  <c r="J554" i="48"/>
  <c r="L554" i="48" s="1"/>
  <c r="M554" i="48" s="1"/>
  <c r="K554" i="48"/>
  <c r="I555" i="48"/>
  <c r="J555" i="48"/>
  <c r="L555" i="48" s="1"/>
  <c r="M555" i="48" s="1"/>
  <c r="K555" i="48"/>
  <c r="I556" i="48"/>
  <c r="J556" i="48"/>
  <c r="L556" i="48" s="1"/>
  <c r="M556" i="48" s="1"/>
  <c r="K556" i="48"/>
  <c r="I557" i="48"/>
  <c r="J557" i="48"/>
  <c r="L557" i="48" s="1"/>
  <c r="M557" i="48" s="1"/>
  <c r="K557" i="48"/>
  <c r="I558" i="48"/>
  <c r="J558" i="48"/>
  <c r="K558" i="48"/>
  <c r="L558" i="48" s="1"/>
  <c r="M558" i="48" s="1"/>
  <c r="I559" i="48"/>
  <c r="J559" i="48"/>
  <c r="K559" i="48"/>
  <c r="L559" i="48" s="1"/>
  <c r="M559" i="48" s="1"/>
  <c r="I560" i="48"/>
  <c r="J560" i="48"/>
  <c r="K560" i="48"/>
  <c r="L560" i="48"/>
  <c r="M560" i="48" s="1"/>
  <c r="I561" i="48"/>
  <c r="J561" i="48"/>
  <c r="L561" i="48" s="1"/>
  <c r="M561" i="48" s="1"/>
  <c r="K561" i="48"/>
  <c r="I562" i="48"/>
  <c r="J562" i="48"/>
  <c r="K562" i="48"/>
  <c r="L562" i="48" s="1"/>
  <c r="M562" i="48" s="1"/>
  <c r="I563" i="48"/>
  <c r="J563" i="48"/>
  <c r="L563" i="48" s="1"/>
  <c r="M563" i="48" s="1"/>
  <c r="K563" i="48"/>
  <c r="I564" i="48"/>
  <c r="J564" i="48"/>
  <c r="L564" i="48" s="1"/>
  <c r="M564" i="48" s="1"/>
  <c r="K564" i="48"/>
  <c r="I565" i="48"/>
  <c r="J565" i="48"/>
  <c r="L565" i="48" s="1"/>
  <c r="M565" i="48" s="1"/>
  <c r="K565" i="48"/>
  <c r="I566" i="48"/>
  <c r="J566" i="48"/>
  <c r="L566" i="48" s="1"/>
  <c r="M566" i="48" s="1"/>
  <c r="K566" i="48"/>
  <c r="I567" i="48"/>
  <c r="J567" i="48"/>
  <c r="L567" i="48" s="1"/>
  <c r="M567" i="48" s="1"/>
  <c r="K567" i="48"/>
  <c r="I568" i="48"/>
  <c r="J568" i="48"/>
  <c r="L568" i="48" s="1"/>
  <c r="M568" i="48" s="1"/>
  <c r="K568" i="48"/>
  <c r="I569" i="48"/>
  <c r="J569" i="48"/>
  <c r="K569" i="48"/>
  <c r="L569" i="48"/>
  <c r="M569" i="48" s="1"/>
  <c r="I570" i="48"/>
  <c r="J570" i="48"/>
  <c r="K570" i="48"/>
  <c r="L570" i="48"/>
  <c r="M570" i="48" s="1"/>
  <c r="I571" i="48"/>
  <c r="J571" i="48"/>
  <c r="K571" i="48"/>
  <c r="L571" i="48"/>
  <c r="M571" i="48" s="1"/>
  <c r="I572" i="48"/>
  <c r="J572" i="48"/>
  <c r="K572" i="48"/>
  <c r="L572" i="48"/>
  <c r="M572" i="48" s="1"/>
  <c r="I573" i="48"/>
  <c r="J573" i="48"/>
  <c r="L573" i="48" s="1"/>
  <c r="M573" i="48" s="1"/>
  <c r="K573" i="48"/>
  <c r="I574" i="48"/>
  <c r="J574" i="48"/>
  <c r="K574" i="48"/>
  <c r="L574" i="48"/>
  <c r="M574" i="48" s="1"/>
  <c r="I575" i="48"/>
  <c r="J575" i="48"/>
  <c r="L575" i="48" s="1"/>
  <c r="M575" i="48" s="1"/>
  <c r="K575" i="48"/>
  <c r="I576" i="48"/>
  <c r="J576" i="48"/>
  <c r="L576" i="48" s="1"/>
  <c r="M576" i="48" s="1"/>
  <c r="K576" i="48"/>
  <c r="I577" i="48"/>
  <c r="J577" i="48"/>
  <c r="K577" i="48"/>
  <c r="L577" i="48"/>
  <c r="M577" i="48" s="1"/>
  <c r="I578" i="48"/>
  <c r="J578" i="48"/>
  <c r="K578" i="48"/>
  <c r="L578" i="48"/>
  <c r="M578" i="48" s="1"/>
  <c r="I579" i="48"/>
  <c r="J579" i="48"/>
  <c r="L579" i="48" s="1"/>
  <c r="M579" i="48" s="1"/>
  <c r="K579" i="48"/>
  <c r="I580" i="48"/>
  <c r="J580" i="48"/>
  <c r="K580" i="48"/>
  <c r="L580" i="48"/>
  <c r="M580" i="48" s="1"/>
  <c r="I581" i="48"/>
  <c r="J581" i="48"/>
  <c r="K581" i="48"/>
  <c r="L581" i="48"/>
  <c r="M581" i="48" s="1"/>
  <c r="I582" i="48"/>
  <c r="J582" i="48"/>
  <c r="K582" i="48"/>
  <c r="L582" i="48" s="1"/>
  <c r="M582" i="48" s="1"/>
  <c r="I583" i="48"/>
  <c r="J583" i="48"/>
  <c r="K583" i="48"/>
  <c r="L583" i="48" s="1"/>
  <c r="M583" i="48" s="1"/>
  <c r="I584" i="48"/>
  <c r="J584" i="48"/>
  <c r="K584" i="48"/>
  <c r="L584" i="48" s="1"/>
  <c r="M584" i="48" s="1"/>
  <c r="I585" i="48"/>
  <c r="J585" i="48"/>
  <c r="K585" i="48"/>
  <c r="L585" i="48" s="1"/>
  <c r="M585" i="48" s="1"/>
  <c r="I586" i="48"/>
  <c r="J586" i="48"/>
  <c r="L586" i="48" s="1"/>
  <c r="M586" i="48" s="1"/>
  <c r="K586" i="48"/>
  <c r="I587" i="48"/>
  <c r="J587" i="48"/>
  <c r="L587" i="48" s="1"/>
  <c r="M587" i="48" s="1"/>
  <c r="K587" i="48"/>
  <c r="I588" i="48"/>
  <c r="J588" i="48"/>
  <c r="L588" i="48" s="1"/>
  <c r="M588" i="48" s="1"/>
  <c r="K588" i="48"/>
  <c r="I589" i="48"/>
  <c r="J589" i="48"/>
  <c r="L589" i="48" s="1"/>
  <c r="M589" i="48" s="1"/>
  <c r="K589" i="48"/>
  <c r="I590" i="48"/>
  <c r="J590" i="48"/>
  <c r="K590" i="48"/>
  <c r="L590" i="48" s="1"/>
  <c r="M590" i="48" s="1"/>
  <c r="I591" i="48"/>
  <c r="J591" i="48"/>
  <c r="K591" i="48"/>
  <c r="L591" i="48" s="1"/>
  <c r="M591" i="48" s="1"/>
  <c r="I592" i="48"/>
  <c r="J592" i="48"/>
  <c r="K592" i="48"/>
  <c r="L592" i="48"/>
  <c r="M592" i="48" s="1"/>
  <c r="I593" i="48"/>
  <c r="J593" i="48"/>
  <c r="L593" i="48" s="1"/>
  <c r="M593" i="48" s="1"/>
  <c r="K593" i="48"/>
  <c r="I594" i="48"/>
  <c r="J594" i="48"/>
  <c r="K594" i="48"/>
  <c r="L594" i="48" s="1"/>
  <c r="M594" i="48" s="1"/>
  <c r="I595" i="48"/>
  <c r="J595" i="48"/>
  <c r="L595" i="48" s="1"/>
  <c r="M595" i="48" s="1"/>
  <c r="K595" i="48"/>
  <c r="I596" i="48"/>
  <c r="J596" i="48"/>
  <c r="L596" i="48" s="1"/>
  <c r="M596" i="48" s="1"/>
  <c r="K596" i="48"/>
  <c r="I597" i="48"/>
  <c r="J597" i="48"/>
  <c r="L597" i="48" s="1"/>
  <c r="M597" i="48" s="1"/>
  <c r="K597" i="48"/>
  <c r="I598" i="48"/>
  <c r="J598" i="48"/>
  <c r="L598" i="48" s="1"/>
  <c r="M598" i="48" s="1"/>
  <c r="K598" i="48"/>
  <c r="I599" i="48"/>
  <c r="J599" i="48"/>
  <c r="L599" i="48" s="1"/>
  <c r="M599" i="48" s="1"/>
  <c r="K599" i="48"/>
  <c r="I600" i="48"/>
  <c r="J600" i="48"/>
  <c r="L600" i="48" s="1"/>
  <c r="M600" i="48" s="1"/>
  <c r="K600" i="48"/>
  <c r="I601" i="48"/>
  <c r="J601" i="48"/>
  <c r="K601" i="48"/>
  <c r="L601" i="48"/>
  <c r="M601" i="48" s="1"/>
  <c r="I602" i="48"/>
  <c r="J602" i="48"/>
  <c r="K602" i="48"/>
  <c r="L602" i="48"/>
  <c r="M602" i="48" s="1"/>
  <c r="I603" i="48"/>
  <c r="J603" i="48"/>
  <c r="K603" i="48"/>
  <c r="L603" i="48"/>
  <c r="M603" i="48" s="1"/>
  <c r="I604" i="48"/>
  <c r="J604" i="48"/>
  <c r="K604" i="48"/>
  <c r="L604" i="48"/>
  <c r="M604" i="48" s="1"/>
  <c r="I605" i="48"/>
  <c r="J605" i="48"/>
  <c r="L605" i="48" s="1"/>
  <c r="M605" i="48" s="1"/>
  <c r="K605" i="48"/>
  <c r="I606" i="48"/>
  <c r="J606" i="48"/>
  <c r="K606" i="48"/>
  <c r="L606" i="48"/>
  <c r="M606" i="48" s="1"/>
  <c r="I607" i="48"/>
  <c r="J607" i="48"/>
  <c r="L607" i="48" s="1"/>
  <c r="M607" i="48" s="1"/>
  <c r="K607" i="48"/>
  <c r="I608" i="48"/>
  <c r="J608" i="48"/>
  <c r="L608" i="48" s="1"/>
  <c r="M608" i="48" s="1"/>
  <c r="K608" i="48"/>
  <c r="I609" i="48"/>
  <c r="J609" i="48"/>
  <c r="K609" i="48"/>
  <c r="L609" i="48"/>
  <c r="M609" i="48" s="1"/>
  <c r="I610" i="48"/>
  <c r="J610" i="48"/>
  <c r="K610" i="48"/>
  <c r="L610" i="48"/>
  <c r="M610" i="48" s="1"/>
  <c r="I611" i="48"/>
  <c r="J611" i="48"/>
  <c r="L611" i="48" s="1"/>
  <c r="M611" i="48" s="1"/>
  <c r="K611" i="48"/>
  <c r="I612" i="48"/>
  <c r="J612" i="48"/>
  <c r="K612" i="48"/>
  <c r="L612" i="48"/>
  <c r="M612" i="48" s="1"/>
  <c r="I613" i="48"/>
  <c r="J613" i="48"/>
  <c r="K613" i="48"/>
  <c r="L613" i="48"/>
  <c r="M613" i="48" s="1"/>
  <c r="I614" i="48"/>
  <c r="J614" i="48"/>
  <c r="K614" i="48"/>
  <c r="L614" i="48" s="1"/>
  <c r="M614" i="48" s="1"/>
  <c r="I615" i="48"/>
  <c r="J615" i="48"/>
  <c r="K615" i="48"/>
  <c r="L615" i="48" s="1"/>
  <c r="M615" i="48" s="1"/>
  <c r="I616" i="48"/>
  <c r="J616" i="48"/>
  <c r="K616" i="48"/>
  <c r="L616" i="48" s="1"/>
  <c r="M616" i="48" s="1"/>
  <c r="I617" i="48"/>
  <c r="J617" i="48"/>
  <c r="K617" i="48"/>
  <c r="L617" i="48" s="1"/>
  <c r="M617" i="48" s="1"/>
  <c r="I618" i="48"/>
  <c r="J618" i="48"/>
  <c r="L618" i="48" s="1"/>
  <c r="M618" i="48" s="1"/>
  <c r="K618" i="48"/>
  <c r="I619" i="48"/>
  <c r="J619" i="48"/>
  <c r="L619" i="48" s="1"/>
  <c r="M619" i="48" s="1"/>
  <c r="K619" i="48"/>
  <c r="I620" i="48"/>
  <c r="J620" i="48"/>
  <c r="L620" i="48" s="1"/>
  <c r="M620" i="48" s="1"/>
  <c r="K620" i="48"/>
  <c r="I621" i="48"/>
  <c r="J621" i="48"/>
  <c r="L621" i="48" s="1"/>
  <c r="M621" i="48" s="1"/>
  <c r="K621" i="48"/>
  <c r="I622" i="48"/>
  <c r="J622" i="48"/>
  <c r="K622" i="48"/>
  <c r="L622" i="48" s="1"/>
  <c r="M622" i="48" s="1"/>
  <c r="I623" i="48"/>
  <c r="J623" i="48"/>
  <c r="K623" i="48"/>
  <c r="L623" i="48" s="1"/>
  <c r="M623" i="48" s="1"/>
  <c r="I624" i="48"/>
  <c r="J624" i="48"/>
  <c r="K624" i="48"/>
  <c r="L624" i="48"/>
  <c r="M624" i="48" s="1"/>
  <c r="I625" i="48"/>
  <c r="J625" i="48"/>
  <c r="L625" i="48" s="1"/>
  <c r="M625" i="48" s="1"/>
  <c r="K625" i="48"/>
  <c r="I626" i="48"/>
  <c r="J626" i="48"/>
  <c r="K626" i="48"/>
  <c r="L626" i="48" s="1"/>
  <c r="M626" i="48" s="1"/>
  <c r="I627" i="48"/>
  <c r="J627" i="48"/>
  <c r="L627" i="48" s="1"/>
  <c r="M627" i="48" s="1"/>
  <c r="K627" i="48"/>
  <c r="I628" i="48"/>
  <c r="J628" i="48"/>
  <c r="L628" i="48" s="1"/>
  <c r="M628" i="48" s="1"/>
  <c r="K628" i="48"/>
  <c r="I629" i="48"/>
  <c r="J629" i="48"/>
  <c r="L629" i="48" s="1"/>
  <c r="M629" i="48" s="1"/>
  <c r="K629" i="48"/>
  <c r="I630" i="48"/>
  <c r="J630" i="48"/>
  <c r="L630" i="48" s="1"/>
  <c r="M630" i="48" s="1"/>
  <c r="K630" i="48"/>
  <c r="I631" i="48"/>
  <c r="J631" i="48"/>
  <c r="L631" i="48" s="1"/>
  <c r="M631" i="48" s="1"/>
  <c r="K631" i="48"/>
  <c r="I632" i="48"/>
  <c r="J632" i="48"/>
  <c r="L632" i="48" s="1"/>
  <c r="M632" i="48" s="1"/>
  <c r="K632" i="48"/>
  <c r="I633" i="48"/>
  <c r="J633" i="48"/>
  <c r="K633" i="48"/>
  <c r="L633" i="48"/>
  <c r="M633" i="48" s="1"/>
  <c r="I634" i="48"/>
  <c r="J634" i="48"/>
  <c r="K634" i="48"/>
  <c r="L634" i="48"/>
  <c r="M634" i="48" s="1"/>
  <c r="I635" i="48"/>
  <c r="J635" i="48"/>
  <c r="K635" i="48"/>
  <c r="L635" i="48"/>
  <c r="M635" i="48" s="1"/>
  <c r="I636" i="48"/>
  <c r="J636" i="48"/>
  <c r="K636" i="48"/>
  <c r="L636" i="48"/>
  <c r="M636" i="48" s="1"/>
  <c r="I637" i="48"/>
  <c r="J637" i="48"/>
  <c r="L637" i="48" s="1"/>
  <c r="M637" i="48" s="1"/>
  <c r="K637" i="48"/>
  <c r="I638" i="48"/>
  <c r="J638" i="48"/>
  <c r="K638" i="48"/>
  <c r="L638" i="48"/>
  <c r="M638" i="48" s="1"/>
  <c r="I639" i="48"/>
  <c r="J639" i="48"/>
  <c r="L639" i="48" s="1"/>
  <c r="M639" i="48" s="1"/>
  <c r="K639" i="48"/>
  <c r="I640" i="48"/>
  <c r="J640" i="48"/>
  <c r="L640" i="48" s="1"/>
  <c r="M640" i="48" s="1"/>
  <c r="K640" i="48"/>
  <c r="I641" i="48"/>
  <c r="J641" i="48"/>
  <c r="K641" i="48"/>
  <c r="L641" i="48"/>
  <c r="M641" i="48" s="1"/>
  <c r="I642" i="48"/>
  <c r="J642" i="48"/>
  <c r="K642" i="48"/>
  <c r="L642" i="48"/>
  <c r="M642" i="48" s="1"/>
  <c r="I643" i="48"/>
  <c r="J643" i="48"/>
  <c r="L643" i="48" s="1"/>
  <c r="M643" i="48" s="1"/>
  <c r="K643" i="48"/>
  <c r="I644" i="48"/>
  <c r="J644" i="48"/>
  <c r="K644" i="48"/>
  <c r="L644" i="48"/>
  <c r="M644" i="48" s="1"/>
  <c r="I645" i="48"/>
  <c r="J645" i="48"/>
  <c r="K645" i="48"/>
  <c r="L645" i="48"/>
  <c r="M645" i="48" s="1"/>
  <c r="I646" i="48"/>
  <c r="J646" i="48"/>
  <c r="K646" i="48"/>
  <c r="L646" i="48" s="1"/>
  <c r="M646" i="48" s="1"/>
  <c r="I647" i="48"/>
  <c r="J647" i="48"/>
  <c r="K647" i="48"/>
  <c r="L647" i="48" s="1"/>
  <c r="M647" i="48" s="1"/>
  <c r="I648" i="48"/>
  <c r="J648" i="48"/>
  <c r="K648" i="48"/>
  <c r="L648" i="48" s="1"/>
  <c r="M648" i="48" s="1"/>
  <c r="I649" i="48"/>
  <c r="J649" i="48"/>
  <c r="K649" i="48"/>
  <c r="L649" i="48" s="1"/>
  <c r="M649" i="48" s="1"/>
  <c r="I650" i="48"/>
  <c r="J650" i="48"/>
  <c r="L650" i="48" s="1"/>
  <c r="M650" i="48" s="1"/>
  <c r="K650" i="48"/>
  <c r="I651" i="48"/>
  <c r="J651" i="48"/>
  <c r="L651" i="48" s="1"/>
  <c r="M651" i="48" s="1"/>
  <c r="K651" i="48"/>
  <c r="I652" i="48"/>
  <c r="J652" i="48"/>
  <c r="L652" i="48" s="1"/>
  <c r="M652" i="48" s="1"/>
  <c r="K652" i="48"/>
  <c r="I653" i="48"/>
  <c r="J653" i="48"/>
  <c r="L653" i="48" s="1"/>
  <c r="M653" i="48" s="1"/>
  <c r="K653" i="48"/>
  <c r="I654" i="48"/>
  <c r="J654" i="48"/>
  <c r="K654" i="48"/>
  <c r="L654" i="48" s="1"/>
  <c r="M654" i="48" s="1"/>
  <c r="I655" i="48"/>
  <c r="J655" i="48"/>
  <c r="K655" i="48"/>
  <c r="L655" i="48" s="1"/>
  <c r="M655" i="48" s="1"/>
  <c r="I656" i="48"/>
  <c r="J656" i="48"/>
  <c r="K656" i="48"/>
  <c r="L656" i="48"/>
  <c r="M656" i="48" s="1"/>
  <c r="I657" i="48"/>
  <c r="J657" i="48"/>
  <c r="L657" i="48" s="1"/>
  <c r="M657" i="48" s="1"/>
  <c r="K657" i="48"/>
  <c r="I658" i="48"/>
  <c r="J658" i="48"/>
  <c r="K658" i="48"/>
  <c r="L658" i="48" s="1"/>
  <c r="M658" i="48" s="1"/>
  <c r="I659" i="48"/>
  <c r="J659" i="48"/>
  <c r="L659" i="48" s="1"/>
  <c r="M659" i="48" s="1"/>
  <c r="K659" i="48"/>
  <c r="I660" i="48"/>
  <c r="J660" i="48"/>
  <c r="L660" i="48" s="1"/>
  <c r="M660" i="48" s="1"/>
  <c r="K660" i="48"/>
  <c r="I661" i="48"/>
  <c r="J661" i="48"/>
  <c r="L661" i="48" s="1"/>
  <c r="M661" i="48" s="1"/>
  <c r="K661" i="48"/>
  <c r="I662" i="48"/>
  <c r="J662" i="48"/>
  <c r="L662" i="48" s="1"/>
  <c r="M662" i="48" s="1"/>
  <c r="K662" i="48"/>
  <c r="I663" i="48"/>
  <c r="J663" i="48"/>
  <c r="L663" i="48" s="1"/>
  <c r="M663" i="48" s="1"/>
  <c r="K663" i="48"/>
  <c r="I664" i="48"/>
  <c r="J664" i="48"/>
  <c r="L664" i="48" s="1"/>
  <c r="M664" i="48" s="1"/>
  <c r="K664" i="48"/>
  <c r="I665" i="48"/>
  <c r="J665" i="48"/>
  <c r="K665" i="48"/>
  <c r="L665" i="48"/>
  <c r="M665" i="48" s="1"/>
  <c r="I666" i="48"/>
  <c r="J666" i="48"/>
  <c r="K666" i="48"/>
  <c r="L666" i="48"/>
  <c r="M666" i="48" s="1"/>
  <c r="I667" i="48"/>
  <c r="J667" i="48"/>
  <c r="K667" i="48"/>
  <c r="L667" i="48"/>
  <c r="M667" i="48" s="1"/>
  <c r="I668" i="48"/>
  <c r="J668" i="48"/>
  <c r="K668" i="48"/>
  <c r="L668" i="48"/>
  <c r="M668" i="48" s="1"/>
  <c r="I669" i="48"/>
  <c r="J669" i="48"/>
  <c r="L669" i="48" s="1"/>
  <c r="M669" i="48" s="1"/>
  <c r="K669" i="48"/>
  <c r="I670" i="48"/>
  <c r="J670" i="48"/>
  <c r="K670" i="48"/>
  <c r="L670" i="48"/>
  <c r="M670" i="48" s="1"/>
  <c r="I671" i="48"/>
  <c r="J671" i="48"/>
  <c r="L671" i="48" s="1"/>
  <c r="M671" i="48" s="1"/>
  <c r="K671" i="48"/>
  <c r="I672" i="48"/>
  <c r="J672" i="48"/>
  <c r="L672" i="48" s="1"/>
  <c r="M672" i="48" s="1"/>
  <c r="K672" i="48"/>
  <c r="L682" i="42"/>
  <c r="J682" i="42"/>
  <c r="I682" i="42"/>
  <c r="K682" i="42" s="1"/>
  <c r="H682" i="42"/>
  <c r="G682" i="42"/>
  <c r="L681" i="42"/>
  <c r="K681" i="42"/>
  <c r="F681" i="42" s="1"/>
  <c r="J681" i="42"/>
  <c r="I681" i="42"/>
  <c r="H681" i="42"/>
  <c r="G681" i="42"/>
  <c r="L680" i="42"/>
  <c r="J680" i="42"/>
  <c r="I680" i="42"/>
  <c r="K680" i="42" s="1"/>
  <c r="H680" i="42"/>
  <c r="G680" i="42"/>
  <c r="L679" i="42"/>
  <c r="K679" i="42"/>
  <c r="J679" i="42"/>
  <c r="I679" i="42"/>
  <c r="H679" i="42"/>
  <c r="G679" i="42"/>
  <c r="L678" i="42"/>
  <c r="J678" i="42"/>
  <c r="I678" i="42"/>
  <c r="K678" i="42" s="1"/>
  <c r="H678" i="42"/>
  <c r="G678" i="42"/>
  <c r="L677" i="42"/>
  <c r="J677" i="42"/>
  <c r="I677" i="42"/>
  <c r="K677" i="42" s="1"/>
  <c r="H677" i="42"/>
  <c r="G677" i="42"/>
  <c r="L676" i="42"/>
  <c r="J676" i="42"/>
  <c r="I676" i="42"/>
  <c r="K676" i="42" s="1"/>
  <c r="H676" i="42"/>
  <c r="G676" i="42"/>
  <c r="L675" i="42"/>
  <c r="J675" i="42"/>
  <c r="I675" i="42"/>
  <c r="K675" i="42" s="1"/>
  <c r="H675" i="42"/>
  <c r="G675" i="42"/>
  <c r="L674" i="42"/>
  <c r="J674" i="42"/>
  <c r="I674" i="42"/>
  <c r="K674" i="42" s="1"/>
  <c r="H674" i="42"/>
  <c r="G674" i="42"/>
  <c r="L673" i="42"/>
  <c r="J673" i="42"/>
  <c r="I673" i="42"/>
  <c r="K673" i="42" s="1"/>
  <c r="H673" i="42"/>
  <c r="G673" i="42"/>
  <c r="L672" i="42"/>
  <c r="J672" i="42"/>
  <c r="I672" i="42"/>
  <c r="K672" i="42" s="1"/>
  <c r="H672" i="42"/>
  <c r="G672" i="42"/>
  <c r="L671" i="42"/>
  <c r="J671" i="42"/>
  <c r="I671" i="42"/>
  <c r="K671" i="42" s="1"/>
  <c r="H671" i="42"/>
  <c r="G671" i="42"/>
  <c r="L670" i="42"/>
  <c r="J670" i="42"/>
  <c r="I670" i="42"/>
  <c r="K670" i="42" s="1"/>
  <c r="F670" i="42" s="1"/>
  <c r="H670" i="42"/>
  <c r="G670" i="42"/>
  <c r="E670" i="42"/>
  <c r="L669" i="42"/>
  <c r="J669" i="42"/>
  <c r="K669" i="42" s="1"/>
  <c r="I669" i="42"/>
  <c r="H669" i="42"/>
  <c r="G669" i="42"/>
  <c r="L668" i="42"/>
  <c r="J668" i="42"/>
  <c r="I668" i="42"/>
  <c r="K668" i="42" s="1"/>
  <c r="H668" i="42"/>
  <c r="G668" i="42"/>
  <c r="L667" i="42"/>
  <c r="J667" i="42"/>
  <c r="I667" i="42"/>
  <c r="K667" i="42" s="1"/>
  <c r="D667" i="42" s="1"/>
  <c r="H667" i="42"/>
  <c r="G667" i="42"/>
  <c r="C667" i="42"/>
  <c r="L666" i="42"/>
  <c r="J666" i="42"/>
  <c r="I666" i="42"/>
  <c r="K666" i="42" s="1"/>
  <c r="H666" i="42"/>
  <c r="G666" i="42"/>
  <c r="L665" i="42"/>
  <c r="K665" i="42"/>
  <c r="F665" i="42" s="1"/>
  <c r="J665" i="42"/>
  <c r="I665" i="42"/>
  <c r="H665" i="42"/>
  <c r="G665" i="42"/>
  <c r="L664" i="42"/>
  <c r="J664" i="42"/>
  <c r="I664" i="42"/>
  <c r="K664" i="42" s="1"/>
  <c r="H664" i="42"/>
  <c r="G664" i="42"/>
  <c r="L663" i="42"/>
  <c r="K663" i="42" s="1"/>
  <c r="J663" i="42"/>
  <c r="I663" i="42"/>
  <c r="H663" i="42"/>
  <c r="G663" i="42"/>
  <c r="L662" i="42"/>
  <c r="J662" i="42"/>
  <c r="I662" i="42"/>
  <c r="K662" i="42" s="1"/>
  <c r="H662" i="42"/>
  <c r="G662" i="42"/>
  <c r="L661" i="42"/>
  <c r="J661" i="42"/>
  <c r="I661" i="42"/>
  <c r="K661" i="42" s="1"/>
  <c r="H661" i="42"/>
  <c r="G661" i="42"/>
  <c r="L660" i="42"/>
  <c r="J660" i="42"/>
  <c r="I660" i="42"/>
  <c r="K660" i="42" s="1"/>
  <c r="H660" i="42"/>
  <c r="G660" i="42"/>
  <c r="L659" i="42"/>
  <c r="J659" i="42"/>
  <c r="I659" i="42"/>
  <c r="K659" i="42" s="1"/>
  <c r="H659" i="42"/>
  <c r="G659" i="42"/>
  <c r="L658" i="42"/>
  <c r="J658" i="42"/>
  <c r="I658" i="42"/>
  <c r="K658" i="42" s="1"/>
  <c r="H658" i="42"/>
  <c r="G658" i="42"/>
  <c r="L657" i="42"/>
  <c r="J657" i="42"/>
  <c r="I657" i="42"/>
  <c r="H657" i="42"/>
  <c r="G657" i="42"/>
  <c r="L656" i="42"/>
  <c r="J656" i="42"/>
  <c r="I656" i="42"/>
  <c r="K656" i="42" s="1"/>
  <c r="H656" i="42"/>
  <c r="G656" i="42"/>
  <c r="L655" i="42"/>
  <c r="J655" i="42"/>
  <c r="I655" i="42"/>
  <c r="K655" i="42" s="1"/>
  <c r="H655" i="42"/>
  <c r="G655" i="42"/>
  <c r="L654" i="42"/>
  <c r="J654" i="42"/>
  <c r="I654" i="42"/>
  <c r="K654" i="42" s="1"/>
  <c r="F654" i="42" s="1"/>
  <c r="H654" i="42"/>
  <c r="G654" i="42"/>
  <c r="E654" i="42"/>
  <c r="L653" i="42"/>
  <c r="J653" i="42"/>
  <c r="K653" i="42" s="1"/>
  <c r="I653" i="42"/>
  <c r="H653" i="42"/>
  <c r="G653" i="42"/>
  <c r="L652" i="42"/>
  <c r="J652" i="42"/>
  <c r="I652" i="42"/>
  <c r="K652" i="42" s="1"/>
  <c r="H652" i="42"/>
  <c r="G652" i="42"/>
  <c r="L651" i="42"/>
  <c r="J651" i="42"/>
  <c r="I651" i="42"/>
  <c r="K651" i="42" s="1"/>
  <c r="H651" i="42"/>
  <c r="G651" i="42"/>
  <c r="D651" i="42"/>
  <c r="C651" i="42"/>
  <c r="L650" i="42"/>
  <c r="J650" i="42"/>
  <c r="I650" i="42"/>
  <c r="K650" i="42" s="1"/>
  <c r="H650" i="42"/>
  <c r="G650" i="42"/>
  <c r="L649" i="42"/>
  <c r="K649" i="42"/>
  <c r="F649" i="42" s="1"/>
  <c r="J649" i="42"/>
  <c r="I649" i="42"/>
  <c r="H649" i="42"/>
  <c r="G649" i="42"/>
  <c r="L648" i="42"/>
  <c r="J648" i="42"/>
  <c r="I648" i="42"/>
  <c r="K648" i="42" s="1"/>
  <c r="H648" i="42"/>
  <c r="G648" i="42"/>
  <c r="L647" i="42"/>
  <c r="K647" i="42" s="1"/>
  <c r="J647" i="42"/>
  <c r="I647" i="42"/>
  <c r="H647" i="42"/>
  <c r="G647" i="42"/>
  <c r="L646" i="42"/>
  <c r="J646" i="42"/>
  <c r="I646" i="42"/>
  <c r="K646" i="42" s="1"/>
  <c r="H646" i="42"/>
  <c r="G646" i="42"/>
  <c r="L645" i="42"/>
  <c r="J645" i="42"/>
  <c r="I645" i="42"/>
  <c r="K645" i="42" s="1"/>
  <c r="H645" i="42"/>
  <c r="G645" i="42"/>
  <c r="L644" i="42"/>
  <c r="J644" i="42"/>
  <c r="I644" i="42"/>
  <c r="H644" i="42"/>
  <c r="G644" i="42"/>
  <c r="L643" i="42"/>
  <c r="J643" i="42"/>
  <c r="I643" i="42"/>
  <c r="K643" i="42" s="1"/>
  <c r="H643" i="42"/>
  <c r="G643" i="42"/>
  <c r="L642" i="42"/>
  <c r="J642" i="42"/>
  <c r="I642" i="42"/>
  <c r="K642" i="42" s="1"/>
  <c r="H642" i="42"/>
  <c r="G642" i="42"/>
  <c r="L641" i="42"/>
  <c r="J641" i="42"/>
  <c r="I641" i="42"/>
  <c r="H641" i="42"/>
  <c r="G641" i="42"/>
  <c r="K641" i="42" s="1"/>
  <c r="L640" i="42"/>
  <c r="J640" i="42"/>
  <c r="I640" i="42"/>
  <c r="K640" i="42" s="1"/>
  <c r="H640" i="42"/>
  <c r="G640" i="42"/>
  <c r="L639" i="42"/>
  <c r="J639" i="42"/>
  <c r="I639" i="42"/>
  <c r="K639" i="42" s="1"/>
  <c r="H639" i="42"/>
  <c r="G639" i="42"/>
  <c r="L638" i="42"/>
  <c r="J638" i="42"/>
  <c r="I638" i="42"/>
  <c r="K638" i="42" s="1"/>
  <c r="F638" i="42" s="1"/>
  <c r="H638" i="42"/>
  <c r="G638" i="42"/>
  <c r="L637" i="42"/>
  <c r="J637" i="42"/>
  <c r="I637" i="42"/>
  <c r="H637" i="42"/>
  <c r="G637" i="42"/>
  <c r="K637" i="42" s="1"/>
  <c r="L636" i="42"/>
  <c r="J636" i="42"/>
  <c r="I636" i="42"/>
  <c r="K636" i="42" s="1"/>
  <c r="H636" i="42"/>
  <c r="G636" i="42"/>
  <c r="L635" i="42"/>
  <c r="J635" i="42"/>
  <c r="I635" i="42"/>
  <c r="K635" i="42" s="1"/>
  <c r="H635" i="42"/>
  <c r="G635" i="42"/>
  <c r="L634" i="42"/>
  <c r="J634" i="42"/>
  <c r="I634" i="42"/>
  <c r="K634" i="42" s="1"/>
  <c r="H634" i="42"/>
  <c r="G634" i="42"/>
  <c r="L633" i="42"/>
  <c r="K633" i="42"/>
  <c r="F633" i="42" s="1"/>
  <c r="J633" i="42"/>
  <c r="I633" i="42"/>
  <c r="H633" i="42"/>
  <c r="G633" i="42"/>
  <c r="L632" i="42"/>
  <c r="J632" i="42"/>
  <c r="I632" i="42"/>
  <c r="K632" i="42" s="1"/>
  <c r="H632" i="42"/>
  <c r="G632" i="42"/>
  <c r="L631" i="42"/>
  <c r="K631" i="42"/>
  <c r="J631" i="42"/>
  <c r="I631" i="42"/>
  <c r="H631" i="42"/>
  <c r="G631" i="42"/>
  <c r="L630" i="42"/>
  <c r="J630" i="42"/>
  <c r="I630" i="42"/>
  <c r="K630" i="42" s="1"/>
  <c r="H630" i="42"/>
  <c r="G630" i="42"/>
  <c r="L629" i="42"/>
  <c r="J629" i="42"/>
  <c r="I629" i="42"/>
  <c r="K629" i="42" s="1"/>
  <c r="H629" i="42"/>
  <c r="G629" i="42"/>
  <c r="L628" i="42"/>
  <c r="J628" i="42"/>
  <c r="I628" i="42"/>
  <c r="K628" i="42" s="1"/>
  <c r="H628" i="42"/>
  <c r="G628" i="42"/>
  <c r="L627" i="42"/>
  <c r="J627" i="42"/>
  <c r="I627" i="42"/>
  <c r="K627" i="42" s="1"/>
  <c r="H627" i="42"/>
  <c r="G627" i="42"/>
  <c r="L626" i="42"/>
  <c r="J626" i="42"/>
  <c r="I626" i="42"/>
  <c r="K626" i="42" s="1"/>
  <c r="H626" i="42"/>
  <c r="G626" i="42"/>
  <c r="L625" i="42"/>
  <c r="J625" i="42"/>
  <c r="I625" i="42"/>
  <c r="H625" i="42"/>
  <c r="G625" i="42"/>
  <c r="K625" i="42" s="1"/>
  <c r="L624" i="42"/>
  <c r="J624" i="42"/>
  <c r="I624" i="42"/>
  <c r="K624" i="42" s="1"/>
  <c r="H624" i="42"/>
  <c r="G624" i="42"/>
  <c r="L623" i="42"/>
  <c r="J623" i="42"/>
  <c r="K623" i="42" s="1"/>
  <c r="I623" i="42"/>
  <c r="H623" i="42"/>
  <c r="G623" i="42"/>
  <c r="L622" i="42"/>
  <c r="J622" i="42"/>
  <c r="I622" i="42"/>
  <c r="K622" i="42" s="1"/>
  <c r="F622" i="42" s="1"/>
  <c r="H622" i="42"/>
  <c r="G622" i="42"/>
  <c r="L621" i="42"/>
  <c r="J621" i="42"/>
  <c r="I621" i="42"/>
  <c r="H621" i="42"/>
  <c r="G621" i="42"/>
  <c r="K621" i="42" s="1"/>
  <c r="L620" i="42"/>
  <c r="J620" i="42"/>
  <c r="I620" i="42"/>
  <c r="K620" i="42" s="1"/>
  <c r="H620" i="42"/>
  <c r="G620" i="42"/>
  <c r="L619" i="42"/>
  <c r="J619" i="42"/>
  <c r="I619" i="42"/>
  <c r="K619" i="42" s="1"/>
  <c r="H619" i="42"/>
  <c r="G619" i="42"/>
  <c r="D619" i="42"/>
  <c r="C619" i="42"/>
  <c r="L618" i="42"/>
  <c r="J618" i="42"/>
  <c r="I618" i="42"/>
  <c r="K618" i="42" s="1"/>
  <c r="H618" i="42"/>
  <c r="G618" i="42"/>
  <c r="L617" i="42"/>
  <c r="K617" i="42" s="1"/>
  <c r="J617" i="42"/>
  <c r="I617" i="42"/>
  <c r="H617" i="42"/>
  <c r="G617" i="42"/>
  <c r="L616" i="42"/>
  <c r="J616" i="42"/>
  <c r="I616" i="42"/>
  <c r="K616" i="42" s="1"/>
  <c r="H616" i="42"/>
  <c r="G616" i="42"/>
  <c r="L615" i="42"/>
  <c r="K615" i="42"/>
  <c r="J615" i="42"/>
  <c r="I615" i="42"/>
  <c r="H615" i="42"/>
  <c r="G615" i="42"/>
  <c r="L614" i="42"/>
  <c r="J614" i="42"/>
  <c r="I614" i="42"/>
  <c r="K614" i="42" s="1"/>
  <c r="H614" i="42"/>
  <c r="G614" i="42"/>
  <c r="L613" i="42"/>
  <c r="J613" i="42"/>
  <c r="I613" i="42"/>
  <c r="K613" i="42" s="1"/>
  <c r="H613" i="42"/>
  <c r="G613" i="42"/>
  <c r="L612" i="42"/>
  <c r="J612" i="42"/>
  <c r="I612" i="42"/>
  <c r="H612" i="42"/>
  <c r="G612" i="42"/>
  <c r="L611" i="42"/>
  <c r="J611" i="42"/>
  <c r="I611" i="42"/>
  <c r="K611" i="42" s="1"/>
  <c r="H611" i="42"/>
  <c r="G611" i="42"/>
  <c r="L610" i="42"/>
  <c r="J610" i="42"/>
  <c r="I610" i="42"/>
  <c r="K610" i="42" s="1"/>
  <c r="H610" i="42"/>
  <c r="G610" i="42"/>
  <c r="L609" i="42"/>
  <c r="J609" i="42"/>
  <c r="I609" i="42"/>
  <c r="H609" i="42"/>
  <c r="G609" i="42"/>
  <c r="K609" i="42" s="1"/>
  <c r="L608" i="42"/>
  <c r="J608" i="42"/>
  <c r="I608" i="42"/>
  <c r="K608" i="42" s="1"/>
  <c r="H608" i="42"/>
  <c r="G608" i="42"/>
  <c r="L607" i="42"/>
  <c r="J607" i="42"/>
  <c r="K607" i="42" s="1"/>
  <c r="I607" i="42"/>
  <c r="H607" i="42"/>
  <c r="G607" i="42"/>
  <c r="L606" i="42"/>
  <c r="J606" i="42"/>
  <c r="I606" i="42"/>
  <c r="K606" i="42" s="1"/>
  <c r="H606" i="42"/>
  <c r="G606" i="42"/>
  <c r="F606" i="42"/>
  <c r="E606" i="42"/>
  <c r="L605" i="42"/>
  <c r="J605" i="42"/>
  <c r="I605" i="42"/>
  <c r="H605" i="42"/>
  <c r="G605" i="42"/>
  <c r="K605" i="42" s="1"/>
  <c r="L604" i="42"/>
  <c r="J604" i="42"/>
  <c r="I604" i="42"/>
  <c r="K604" i="42" s="1"/>
  <c r="H604" i="42"/>
  <c r="G604" i="42"/>
  <c r="L603" i="42"/>
  <c r="J603" i="42"/>
  <c r="I603" i="42"/>
  <c r="K603" i="42" s="1"/>
  <c r="D603" i="42" s="1"/>
  <c r="H603" i="42"/>
  <c r="G603" i="42"/>
  <c r="C603" i="42"/>
  <c r="L602" i="42"/>
  <c r="J602" i="42"/>
  <c r="I602" i="42"/>
  <c r="K602" i="42" s="1"/>
  <c r="H602" i="42"/>
  <c r="G602" i="42"/>
  <c r="L601" i="42"/>
  <c r="K601" i="42" s="1"/>
  <c r="J601" i="42"/>
  <c r="I601" i="42"/>
  <c r="H601" i="42"/>
  <c r="G601" i="42"/>
  <c r="L600" i="42"/>
  <c r="J600" i="42"/>
  <c r="I600" i="42"/>
  <c r="K600" i="42" s="1"/>
  <c r="H600" i="42"/>
  <c r="G600" i="42"/>
  <c r="L599" i="42"/>
  <c r="K599" i="42" s="1"/>
  <c r="J599" i="42"/>
  <c r="I599" i="42"/>
  <c r="H599" i="42"/>
  <c r="G599" i="42"/>
  <c r="L598" i="42"/>
  <c r="J598" i="42"/>
  <c r="I598" i="42"/>
  <c r="K598" i="42" s="1"/>
  <c r="H598" i="42"/>
  <c r="G598" i="42"/>
  <c r="L597" i="42"/>
  <c r="J597" i="42"/>
  <c r="I597" i="42"/>
  <c r="K597" i="42" s="1"/>
  <c r="H597" i="42"/>
  <c r="G597" i="42"/>
  <c r="L596" i="42"/>
  <c r="J596" i="42"/>
  <c r="I596" i="42"/>
  <c r="H596" i="42"/>
  <c r="G596" i="42"/>
  <c r="L595" i="42"/>
  <c r="J595" i="42"/>
  <c r="I595" i="42"/>
  <c r="K595" i="42" s="1"/>
  <c r="H595" i="42"/>
  <c r="G595" i="42"/>
  <c r="L594" i="42"/>
  <c r="J594" i="42"/>
  <c r="I594" i="42"/>
  <c r="K594" i="42" s="1"/>
  <c r="H594" i="42"/>
  <c r="G594" i="42"/>
  <c r="L593" i="42"/>
  <c r="J593" i="42"/>
  <c r="I593" i="42"/>
  <c r="H593" i="42"/>
  <c r="G593" i="42"/>
  <c r="K593" i="42" s="1"/>
  <c r="L592" i="42"/>
  <c r="J592" i="42"/>
  <c r="I592" i="42"/>
  <c r="K592" i="42" s="1"/>
  <c r="H592" i="42"/>
  <c r="G592" i="42"/>
  <c r="L591" i="42"/>
  <c r="J591" i="42"/>
  <c r="K591" i="42" s="1"/>
  <c r="I591" i="42"/>
  <c r="H591" i="42"/>
  <c r="G591" i="42"/>
  <c r="L590" i="42"/>
  <c r="J590" i="42"/>
  <c r="I590" i="42"/>
  <c r="K590" i="42" s="1"/>
  <c r="F590" i="42" s="1"/>
  <c r="H590" i="42"/>
  <c r="G590" i="42"/>
  <c r="L589" i="42"/>
  <c r="J589" i="42"/>
  <c r="I589" i="42"/>
  <c r="H589" i="42"/>
  <c r="G589" i="42"/>
  <c r="K589" i="42" s="1"/>
  <c r="L588" i="42"/>
  <c r="J588" i="42"/>
  <c r="I588" i="42"/>
  <c r="K588" i="42" s="1"/>
  <c r="H588" i="42"/>
  <c r="G588" i="42"/>
  <c r="L587" i="42"/>
  <c r="J587" i="42"/>
  <c r="I587" i="42"/>
  <c r="K587" i="42" s="1"/>
  <c r="H587" i="42"/>
  <c r="G587" i="42"/>
  <c r="L586" i="42"/>
  <c r="J586" i="42"/>
  <c r="I586" i="42"/>
  <c r="K586" i="42" s="1"/>
  <c r="H586" i="42"/>
  <c r="G586" i="42"/>
  <c r="L585" i="42"/>
  <c r="K585" i="42" s="1"/>
  <c r="J585" i="42"/>
  <c r="I585" i="42"/>
  <c r="H585" i="42"/>
  <c r="G585" i="42"/>
  <c r="L584" i="42"/>
  <c r="J584" i="42"/>
  <c r="I584" i="42"/>
  <c r="K584" i="42" s="1"/>
  <c r="H584" i="42"/>
  <c r="G584" i="42"/>
  <c r="L583" i="42"/>
  <c r="K583" i="42" s="1"/>
  <c r="J583" i="42"/>
  <c r="I583" i="42"/>
  <c r="H583" i="42"/>
  <c r="G583" i="42"/>
  <c r="L582" i="42"/>
  <c r="J582" i="42"/>
  <c r="I582" i="42"/>
  <c r="K582" i="42" s="1"/>
  <c r="H582" i="42"/>
  <c r="G582" i="42"/>
  <c r="L581" i="42"/>
  <c r="J581" i="42"/>
  <c r="I581" i="42"/>
  <c r="K581" i="42" s="1"/>
  <c r="H581" i="42"/>
  <c r="G581" i="42"/>
  <c r="L580" i="42"/>
  <c r="J580" i="42"/>
  <c r="I580" i="42"/>
  <c r="H580" i="42"/>
  <c r="G580" i="42"/>
  <c r="L579" i="42"/>
  <c r="J579" i="42"/>
  <c r="I579" i="42"/>
  <c r="H579" i="42"/>
  <c r="G579" i="42"/>
  <c r="L578" i="42"/>
  <c r="J578" i="42"/>
  <c r="I578" i="42"/>
  <c r="H578" i="42"/>
  <c r="G578" i="42"/>
  <c r="L577" i="42"/>
  <c r="J577" i="42"/>
  <c r="I577" i="42"/>
  <c r="H577" i="42"/>
  <c r="G577" i="42"/>
  <c r="L576" i="42"/>
  <c r="J576" i="42"/>
  <c r="I576" i="42"/>
  <c r="H576" i="42"/>
  <c r="G576" i="42"/>
  <c r="L575" i="42"/>
  <c r="J575" i="42"/>
  <c r="I575" i="42"/>
  <c r="H575" i="42"/>
  <c r="G575" i="42"/>
  <c r="L574" i="42"/>
  <c r="J574" i="42"/>
  <c r="I574" i="42"/>
  <c r="H574" i="42"/>
  <c r="G574" i="42"/>
  <c r="L573" i="42"/>
  <c r="J573" i="42"/>
  <c r="I573" i="42"/>
  <c r="H573" i="42"/>
  <c r="G573" i="42"/>
  <c r="K573" i="42" s="1"/>
  <c r="L572" i="42"/>
  <c r="J572" i="42"/>
  <c r="I572" i="42"/>
  <c r="H572" i="42"/>
  <c r="G572" i="42"/>
  <c r="L571" i="42"/>
  <c r="J571" i="42"/>
  <c r="I571" i="42"/>
  <c r="H571" i="42"/>
  <c r="G571" i="42"/>
  <c r="L570" i="42"/>
  <c r="J570" i="42"/>
  <c r="I570" i="42"/>
  <c r="K570" i="42" s="1"/>
  <c r="H570" i="42"/>
  <c r="G570" i="42"/>
  <c r="L569" i="42"/>
  <c r="J569" i="42"/>
  <c r="I569" i="42"/>
  <c r="H569" i="42"/>
  <c r="G569" i="42"/>
  <c r="L568" i="42"/>
  <c r="J568" i="42"/>
  <c r="I568" i="42"/>
  <c r="K568" i="42" s="1"/>
  <c r="H568" i="42"/>
  <c r="G568" i="42"/>
  <c r="L567" i="42"/>
  <c r="J567" i="42"/>
  <c r="I567" i="42"/>
  <c r="H567" i="42"/>
  <c r="G567" i="42"/>
  <c r="L566" i="42"/>
  <c r="J566" i="42"/>
  <c r="I566" i="42"/>
  <c r="H566" i="42"/>
  <c r="G566" i="42"/>
  <c r="L565" i="42"/>
  <c r="J565" i="42"/>
  <c r="I565" i="42"/>
  <c r="H565" i="42"/>
  <c r="G565" i="42"/>
  <c r="L564" i="42"/>
  <c r="J564" i="42"/>
  <c r="I564" i="42"/>
  <c r="H564" i="42"/>
  <c r="G564" i="42"/>
  <c r="L563" i="42"/>
  <c r="J563" i="42"/>
  <c r="I563" i="42"/>
  <c r="H563" i="42"/>
  <c r="G563" i="42"/>
  <c r="L562" i="42"/>
  <c r="J562" i="42"/>
  <c r="I562" i="42"/>
  <c r="G562" i="42"/>
  <c r="L561" i="42"/>
  <c r="J561" i="42"/>
  <c r="I561" i="42"/>
  <c r="H561" i="42"/>
  <c r="G561" i="42"/>
  <c r="L560" i="42"/>
  <c r="J560" i="42"/>
  <c r="I560" i="42"/>
  <c r="H560" i="42"/>
  <c r="G560" i="42"/>
  <c r="L559" i="42"/>
  <c r="J559" i="42"/>
  <c r="K559" i="42" s="1"/>
  <c r="I559" i="42"/>
  <c r="H559" i="42"/>
  <c r="G559" i="42"/>
  <c r="L558" i="42"/>
  <c r="J558" i="42"/>
  <c r="I558" i="42"/>
  <c r="K558" i="42" s="1"/>
  <c r="F558" i="42" s="1"/>
  <c r="H558" i="42"/>
  <c r="G558" i="42"/>
  <c r="E558" i="42"/>
  <c r="L557" i="42"/>
  <c r="J557" i="42"/>
  <c r="I557" i="42"/>
  <c r="H557" i="42"/>
  <c r="K557" i="42" s="1"/>
  <c r="G557" i="42"/>
  <c r="L556" i="42"/>
  <c r="J556" i="42"/>
  <c r="I556" i="42"/>
  <c r="H556" i="42"/>
  <c r="G556" i="42"/>
  <c r="L555" i="42"/>
  <c r="J555" i="42"/>
  <c r="I555" i="42"/>
  <c r="K555" i="42" s="1"/>
  <c r="D555" i="42" s="1"/>
  <c r="H555" i="42"/>
  <c r="G555" i="42"/>
  <c r="L554" i="42"/>
  <c r="J554" i="42"/>
  <c r="I554" i="42"/>
  <c r="K554" i="42" s="1"/>
  <c r="H554" i="42"/>
  <c r="G554" i="42"/>
  <c r="L553" i="42"/>
  <c r="J553" i="42"/>
  <c r="I553" i="42"/>
  <c r="H553" i="42"/>
  <c r="G553" i="42"/>
  <c r="L552" i="42"/>
  <c r="J552" i="42"/>
  <c r="I552" i="42"/>
  <c r="K552" i="42" s="1"/>
  <c r="H552" i="42"/>
  <c r="G552" i="42"/>
  <c r="L551" i="42"/>
  <c r="J551" i="42"/>
  <c r="I551" i="42"/>
  <c r="H551" i="42"/>
  <c r="G551" i="42"/>
  <c r="L550" i="42"/>
  <c r="J550" i="42"/>
  <c r="I550" i="42"/>
  <c r="K550" i="42" s="1"/>
  <c r="H550" i="42"/>
  <c r="G550" i="42"/>
  <c r="L549" i="42"/>
  <c r="J549" i="42"/>
  <c r="I549" i="42"/>
  <c r="H549" i="42"/>
  <c r="G549" i="42"/>
  <c r="L548" i="42"/>
  <c r="J548" i="42"/>
  <c r="I548" i="42"/>
  <c r="H548" i="42"/>
  <c r="G548" i="42"/>
  <c r="L547" i="42"/>
  <c r="J547" i="42"/>
  <c r="I547" i="42"/>
  <c r="H547" i="42"/>
  <c r="G547" i="42"/>
  <c r="L546" i="42"/>
  <c r="J546" i="42"/>
  <c r="I546" i="42"/>
  <c r="H546" i="42"/>
  <c r="G546" i="42"/>
  <c r="L545" i="42"/>
  <c r="J545" i="42"/>
  <c r="I545" i="42"/>
  <c r="H545" i="42"/>
  <c r="G545" i="42"/>
  <c r="K545" i="42" s="1"/>
  <c r="L544" i="42"/>
  <c r="J544" i="42"/>
  <c r="I544" i="42"/>
  <c r="H544" i="42"/>
  <c r="G544" i="42"/>
  <c r="L543" i="42"/>
  <c r="J543" i="42"/>
  <c r="I543" i="42"/>
  <c r="H543" i="42"/>
  <c r="G543" i="42"/>
  <c r="L542" i="42"/>
  <c r="J542" i="42"/>
  <c r="I542" i="42"/>
  <c r="H542" i="42"/>
  <c r="G542" i="42"/>
  <c r="L541" i="42"/>
  <c r="K541" i="42"/>
  <c r="E541" i="42" s="1"/>
  <c r="J541" i="42"/>
  <c r="I541" i="42"/>
  <c r="H541" i="42"/>
  <c r="G541" i="42"/>
  <c r="L540" i="42"/>
  <c r="J540" i="42"/>
  <c r="I540" i="42"/>
  <c r="K540" i="42" s="1"/>
  <c r="H540" i="42"/>
  <c r="G540" i="42"/>
  <c r="L539" i="42"/>
  <c r="J539" i="42"/>
  <c r="I539" i="42"/>
  <c r="H539" i="42"/>
  <c r="K539" i="42" s="1"/>
  <c r="G539" i="42"/>
  <c r="L538" i="42"/>
  <c r="J538" i="42"/>
  <c r="I538" i="42"/>
  <c r="H538" i="42"/>
  <c r="G538" i="42"/>
  <c r="L537" i="42"/>
  <c r="K537" i="42"/>
  <c r="F537" i="42" s="1"/>
  <c r="J537" i="42"/>
  <c r="I537" i="42"/>
  <c r="H537" i="42"/>
  <c r="G537" i="42"/>
  <c r="L536" i="42"/>
  <c r="J536" i="42"/>
  <c r="I536" i="42"/>
  <c r="H536" i="42"/>
  <c r="G536" i="42"/>
  <c r="L535" i="42"/>
  <c r="K535" i="42" s="1"/>
  <c r="J535" i="42"/>
  <c r="I535" i="42"/>
  <c r="H535" i="42"/>
  <c r="G535" i="42"/>
  <c r="L534" i="42"/>
  <c r="J534" i="42"/>
  <c r="I534" i="42"/>
  <c r="H534" i="42"/>
  <c r="G534" i="42"/>
  <c r="L533" i="42"/>
  <c r="J533" i="42"/>
  <c r="I533" i="42"/>
  <c r="H533" i="42"/>
  <c r="G533" i="42"/>
  <c r="L532" i="42"/>
  <c r="J532" i="42"/>
  <c r="I532" i="42"/>
  <c r="H532" i="42"/>
  <c r="G532" i="42"/>
  <c r="L531" i="42"/>
  <c r="J531" i="42"/>
  <c r="I531" i="42"/>
  <c r="K531" i="42" s="1"/>
  <c r="H531" i="42"/>
  <c r="G531" i="42"/>
  <c r="L530" i="42"/>
  <c r="J530" i="42"/>
  <c r="I530" i="42"/>
  <c r="H530" i="42"/>
  <c r="G530" i="42"/>
  <c r="L529" i="42"/>
  <c r="J529" i="42"/>
  <c r="I529" i="42"/>
  <c r="H529" i="42"/>
  <c r="G529" i="42"/>
  <c r="L528" i="42"/>
  <c r="J528" i="42"/>
  <c r="I528" i="42"/>
  <c r="K528" i="42" s="1"/>
  <c r="H528" i="42"/>
  <c r="G528" i="42"/>
  <c r="L527" i="42"/>
  <c r="J527" i="42"/>
  <c r="K527" i="42" s="1"/>
  <c r="I527" i="42"/>
  <c r="H527" i="42"/>
  <c r="G527" i="42"/>
  <c r="L526" i="42"/>
  <c r="J526" i="42"/>
  <c r="I526" i="42"/>
  <c r="K526" i="42" s="1"/>
  <c r="E526" i="42" s="1"/>
  <c r="H526" i="42"/>
  <c r="G526" i="42"/>
  <c r="F526" i="42"/>
  <c r="L525" i="42"/>
  <c r="K525" i="42"/>
  <c r="F525" i="42" s="1"/>
  <c r="J525" i="42"/>
  <c r="I525" i="42"/>
  <c r="H525" i="42"/>
  <c r="G525" i="42"/>
  <c r="L524" i="42"/>
  <c r="J524" i="42"/>
  <c r="I524" i="42"/>
  <c r="K524" i="42" s="1"/>
  <c r="H524" i="42"/>
  <c r="G524" i="42"/>
  <c r="L523" i="42"/>
  <c r="K523" i="42"/>
  <c r="F523" i="42" s="1"/>
  <c r="J523" i="42"/>
  <c r="I523" i="42"/>
  <c r="H523" i="42"/>
  <c r="G523" i="42"/>
  <c r="D523" i="42"/>
  <c r="C523" i="42"/>
  <c r="L522" i="42"/>
  <c r="J522" i="42"/>
  <c r="I522" i="42"/>
  <c r="K522" i="42" s="1"/>
  <c r="H522" i="42"/>
  <c r="G522" i="42"/>
  <c r="L521" i="42"/>
  <c r="K521" i="42"/>
  <c r="F521" i="42" s="1"/>
  <c r="J521" i="42"/>
  <c r="I521" i="42"/>
  <c r="H521" i="42"/>
  <c r="G521" i="42"/>
  <c r="L520" i="42"/>
  <c r="J520" i="42"/>
  <c r="I520" i="42"/>
  <c r="K520" i="42" s="1"/>
  <c r="H520" i="42"/>
  <c r="G520" i="42"/>
  <c r="L519" i="42"/>
  <c r="K519" i="42" s="1"/>
  <c r="J519" i="42"/>
  <c r="I519" i="42"/>
  <c r="H519" i="42"/>
  <c r="G519" i="42"/>
  <c r="L518" i="42"/>
  <c r="J518" i="42"/>
  <c r="I518" i="42"/>
  <c r="K518" i="42" s="1"/>
  <c r="H518" i="42"/>
  <c r="G518" i="42"/>
  <c r="L517" i="42"/>
  <c r="J517" i="42"/>
  <c r="I517" i="42"/>
  <c r="K517" i="42" s="1"/>
  <c r="H517" i="42"/>
  <c r="G517" i="42"/>
  <c r="L516" i="42"/>
  <c r="J516" i="42"/>
  <c r="I516" i="42"/>
  <c r="K516" i="42" s="1"/>
  <c r="H516" i="42"/>
  <c r="G516" i="42"/>
  <c r="L515" i="42"/>
  <c r="J515" i="42"/>
  <c r="I515" i="42"/>
  <c r="K515" i="42" s="1"/>
  <c r="H515" i="42"/>
  <c r="G515" i="42"/>
  <c r="L514" i="42"/>
  <c r="J514" i="42"/>
  <c r="I514" i="42"/>
  <c r="K514" i="42" s="1"/>
  <c r="H514" i="42"/>
  <c r="G514" i="42"/>
  <c r="L513" i="42"/>
  <c r="J513" i="42"/>
  <c r="I513" i="42"/>
  <c r="H513" i="42"/>
  <c r="G513" i="42"/>
  <c r="K513" i="42" s="1"/>
  <c r="L512" i="42"/>
  <c r="J512" i="42"/>
  <c r="I512" i="42"/>
  <c r="K512" i="42" s="1"/>
  <c r="H512" i="42"/>
  <c r="G512" i="42"/>
  <c r="L511" i="42"/>
  <c r="J511" i="42"/>
  <c r="K511" i="42" s="1"/>
  <c r="I511" i="42"/>
  <c r="H511" i="42"/>
  <c r="G511" i="42"/>
  <c r="L510" i="42"/>
  <c r="J510" i="42"/>
  <c r="I510" i="42"/>
  <c r="K510" i="42" s="1"/>
  <c r="F510" i="42" s="1"/>
  <c r="H510" i="42"/>
  <c r="G510" i="42"/>
  <c r="L509" i="42"/>
  <c r="J509" i="42"/>
  <c r="I509" i="42"/>
  <c r="H509" i="42"/>
  <c r="G509" i="42"/>
  <c r="K509" i="42" s="1"/>
  <c r="L508" i="42"/>
  <c r="J508" i="42"/>
  <c r="I508" i="42"/>
  <c r="K508" i="42" s="1"/>
  <c r="H508" i="42"/>
  <c r="G508" i="42"/>
  <c r="L507" i="42"/>
  <c r="K507" i="42"/>
  <c r="F507" i="42" s="1"/>
  <c r="J507" i="42"/>
  <c r="I507" i="42"/>
  <c r="H507" i="42"/>
  <c r="G507" i="42"/>
  <c r="D507" i="42"/>
  <c r="C507" i="42"/>
  <c r="L506" i="42"/>
  <c r="J506" i="42"/>
  <c r="I506" i="42"/>
  <c r="K506" i="42" s="1"/>
  <c r="H506" i="42"/>
  <c r="G506" i="42"/>
  <c r="L505" i="42"/>
  <c r="K505" i="42"/>
  <c r="F505" i="42" s="1"/>
  <c r="J505" i="42"/>
  <c r="I505" i="42"/>
  <c r="H505" i="42"/>
  <c r="G505" i="42"/>
  <c r="L504" i="42"/>
  <c r="J504" i="42"/>
  <c r="I504" i="42"/>
  <c r="K504" i="42" s="1"/>
  <c r="H504" i="42"/>
  <c r="G504" i="42"/>
  <c r="L503" i="42"/>
  <c r="K503" i="42" s="1"/>
  <c r="J503" i="42"/>
  <c r="I503" i="42"/>
  <c r="H503" i="42"/>
  <c r="G503" i="42"/>
  <c r="L502" i="42"/>
  <c r="J502" i="42"/>
  <c r="I502" i="42"/>
  <c r="K502" i="42" s="1"/>
  <c r="H502" i="42"/>
  <c r="G502" i="42"/>
  <c r="L501" i="42"/>
  <c r="J501" i="42"/>
  <c r="I501" i="42"/>
  <c r="K501" i="42" s="1"/>
  <c r="H501" i="42"/>
  <c r="G501" i="42"/>
  <c r="L500" i="42"/>
  <c r="J500" i="42"/>
  <c r="I500" i="42"/>
  <c r="H500" i="42"/>
  <c r="G500" i="42"/>
  <c r="L499" i="42"/>
  <c r="K499" i="42"/>
  <c r="F499" i="42" s="1"/>
  <c r="J499" i="42"/>
  <c r="I499" i="42"/>
  <c r="H499" i="42"/>
  <c r="G499" i="42"/>
  <c r="L498" i="42"/>
  <c r="J498" i="42"/>
  <c r="I498" i="42"/>
  <c r="K498" i="42" s="1"/>
  <c r="H498" i="42"/>
  <c r="G498" i="42"/>
  <c r="E498" i="42"/>
  <c r="L497" i="42"/>
  <c r="J497" i="42"/>
  <c r="I497" i="42"/>
  <c r="H497" i="42"/>
  <c r="G497" i="42"/>
  <c r="L496" i="42"/>
  <c r="J496" i="42"/>
  <c r="I496" i="42"/>
  <c r="K496" i="42" s="1"/>
  <c r="H496" i="42"/>
  <c r="G496" i="42"/>
  <c r="L495" i="42"/>
  <c r="J495" i="42"/>
  <c r="I495" i="42"/>
  <c r="K495" i="42" s="1"/>
  <c r="C495" i="42" s="1"/>
  <c r="H495" i="42"/>
  <c r="G495" i="42"/>
  <c r="L494" i="42"/>
  <c r="J494" i="42"/>
  <c r="I494" i="42"/>
  <c r="K494" i="42" s="1"/>
  <c r="H494" i="42"/>
  <c r="G494" i="42"/>
  <c r="F494" i="42"/>
  <c r="L493" i="42"/>
  <c r="J493" i="42"/>
  <c r="I493" i="42"/>
  <c r="H493" i="42"/>
  <c r="G493" i="42"/>
  <c r="K493" i="42" s="1"/>
  <c r="L492" i="42"/>
  <c r="J492" i="42"/>
  <c r="I492" i="42"/>
  <c r="K492" i="42" s="1"/>
  <c r="H492" i="42"/>
  <c r="G492" i="42"/>
  <c r="L491" i="42"/>
  <c r="K491" i="42"/>
  <c r="D491" i="42" s="1"/>
  <c r="J491" i="42"/>
  <c r="I491" i="42"/>
  <c r="H491" i="42"/>
  <c r="G491" i="42"/>
  <c r="L490" i="42"/>
  <c r="J490" i="42"/>
  <c r="I490" i="42"/>
  <c r="K490" i="42" s="1"/>
  <c r="H490" i="42"/>
  <c r="G490" i="42"/>
  <c r="L489" i="42"/>
  <c r="K489" i="42"/>
  <c r="F489" i="42" s="1"/>
  <c r="J489" i="42"/>
  <c r="I489" i="42"/>
  <c r="H489" i="42"/>
  <c r="G489" i="42"/>
  <c r="L488" i="42"/>
  <c r="J488" i="42"/>
  <c r="I488" i="42"/>
  <c r="K488" i="42" s="1"/>
  <c r="H488" i="42"/>
  <c r="G488" i="42"/>
  <c r="L487" i="42"/>
  <c r="K487" i="42" s="1"/>
  <c r="J487" i="42"/>
  <c r="I487" i="42"/>
  <c r="H487" i="42"/>
  <c r="G487" i="42"/>
  <c r="L486" i="42"/>
  <c r="J486" i="42"/>
  <c r="I486" i="42"/>
  <c r="K486" i="42" s="1"/>
  <c r="H486" i="42"/>
  <c r="G486" i="42"/>
  <c r="L485" i="42"/>
  <c r="J485" i="42"/>
  <c r="I485" i="42"/>
  <c r="H485" i="42"/>
  <c r="G485" i="42"/>
  <c r="L484" i="42"/>
  <c r="J484" i="42"/>
  <c r="I484" i="42"/>
  <c r="K484" i="42" s="1"/>
  <c r="H484" i="42"/>
  <c r="G484" i="42"/>
  <c r="L483" i="42"/>
  <c r="K483" i="42"/>
  <c r="F483" i="42" s="1"/>
  <c r="J483" i="42"/>
  <c r="I483" i="42"/>
  <c r="H483" i="42"/>
  <c r="G483" i="42"/>
  <c r="L482" i="42"/>
  <c r="J482" i="42"/>
  <c r="I482" i="42"/>
  <c r="K482" i="42" s="1"/>
  <c r="E482" i="42" s="1"/>
  <c r="H482" i="42"/>
  <c r="G482" i="42"/>
  <c r="L481" i="42"/>
  <c r="J481" i="42"/>
  <c r="I481" i="42"/>
  <c r="H481" i="42"/>
  <c r="G481" i="42"/>
  <c r="K481" i="42" s="1"/>
  <c r="L480" i="42"/>
  <c r="J480" i="42"/>
  <c r="I480" i="42"/>
  <c r="K480" i="42" s="1"/>
  <c r="H480" i="42"/>
  <c r="G480" i="42"/>
  <c r="L479" i="42"/>
  <c r="J479" i="42"/>
  <c r="I479" i="42"/>
  <c r="K479" i="42" s="1"/>
  <c r="C479" i="42" s="1"/>
  <c r="H479" i="42"/>
  <c r="G479" i="42"/>
  <c r="L478" i="42"/>
  <c r="J478" i="42"/>
  <c r="I478" i="42"/>
  <c r="H478" i="42"/>
  <c r="G478" i="42"/>
  <c r="L477" i="42"/>
  <c r="J477" i="42"/>
  <c r="I477" i="42"/>
  <c r="H477" i="42"/>
  <c r="G477" i="42"/>
  <c r="K477" i="42" s="1"/>
  <c r="L476" i="42"/>
  <c r="J476" i="42"/>
  <c r="I476" i="42"/>
  <c r="K476" i="42" s="1"/>
  <c r="H476" i="42"/>
  <c r="G476" i="42"/>
  <c r="L475" i="42"/>
  <c r="J475" i="42"/>
  <c r="I475" i="42"/>
  <c r="H475" i="42"/>
  <c r="K475" i="42" s="1"/>
  <c r="G475" i="42"/>
  <c r="L474" i="42"/>
  <c r="J474" i="42"/>
  <c r="I474" i="42"/>
  <c r="K474" i="42" s="1"/>
  <c r="H474" i="42"/>
  <c r="G474" i="42"/>
  <c r="L473" i="42"/>
  <c r="K473" i="42"/>
  <c r="F473" i="42" s="1"/>
  <c r="J473" i="42"/>
  <c r="I473" i="42"/>
  <c r="H473" i="42"/>
  <c r="G473" i="42"/>
  <c r="L472" i="42"/>
  <c r="J472" i="42"/>
  <c r="I472" i="42"/>
  <c r="K472" i="42" s="1"/>
  <c r="H472" i="42"/>
  <c r="G472" i="42"/>
  <c r="F472" i="42"/>
  <c r="L471" i="42"/>
  <c r="K471" i="42" s="1"/>
  <c r="J471" i="42"/>
  <c r="I471" i="42"/>
  <c r="H471" i="42"/>
  <c r="G471" i="42"/>
  <c r="L470" i="42"/>
  <c r="J470" i="42"/>
  <c r="I470" i="42"/>
  <c r="K470" i="42" s="1"/>
  <c r="H470" i="42"/>
  <c r="G470" i="42"/>
  <c r="L469" i="42"/>
  <c r="J469" i="42"/>
  <c r="I469" i="42"/>
  <c r="K469" i="42" s="1"/>
  <c r="D469" i="42" s="1"/>
  <c r="H469" i="42"/>
  <c r="G469" i="42"/>
  <c r="L468" i="42"/>
  <c r="J468" i="42"/>
  <c r="I468" i="42"/>
  <c r="H468" i="42"/>
  <c r="G468" i="42"/>
  <c r="L467" i="42"/>
  <c r="K467" i="42"/>
  <c r="F467" i="42" s="1"/>
  <c r="J467" i="42"/>
  <c r="I467" i="42"/>
  <c r="H467" i="42"/>
  <c r="G467" i="42"/>
  <c r="L466" i="42"/>
  <c r="J466" i="42"/>
  <c r="I466" i="42"/>
  <c r="K466" i="42" s="1"/>
  <c r="H466" i="42"/>
  <c r="G466" i="42"/>
  <c r="L465" i="42"/>
  <c r="J465" i="42"/>
  <c r="I465" i="42"/>
  <c r="H465" i="42"/>
  <c r="G465" i="42"/>
  <c r="K465" i="42" s="1"/>
  <c r="L464" i="42"/>
  <c r="J464" i="42"/>
  <c r="I464" i="42"/>
  <c r="K464" i="42" s="1"/>
  <c r="H464" i="42"/>
  <c r="G464" i="42"/>
  <c r="L463" i="42"/>
  <c r="J463" i="42"/>
  <c r="I463" i="42"/>
  <c r="K463" i="42" s="1"/>
  <c r="C463" i="42" s="1"/>
  <c r="H463" i="42"/>
  <c r="G463" i="42"/>
  <c r="L462" i="42"/>
  <c r="J462" i="42"/>
  <c r="I462" i="42"/>
  <c r="H462" i="42"/>
  <c r="G462" i="42"/>
  <c r="L461" i="42"/>
  <c r="J461" i="42"/>
  <c r="I461" i="42"/>
  <c r="H461" i="42"/>
  <c r="G461" i="42"/>
  <c r="K461" i="42" s="1"/>
  <c r="L460" i="42"/>
  <c r="J460" i="42"/>
  <c r="I460" i="42"/>
  <c r="K460" i="42" s="1"/>
  <c r="H460" i="42"/>
  <c r="G460" i="42"/>
  <c r="L459" i="42"/>
  <c r="J459" i="42"/>
  <c r="I459" i="42"/>
  <c r="H459" i="42"/>
  <c r="K459" i="42" s="1"/>
  <c r="G459" i="42"/>
  <c r="L458" i="42"/>
  <c r="J458" i="42"/>
  <c r="I458" i="42"/>
  <c r="K458" i="42" s="1"/>
  <c r="H458" i="42"/>
  <c r="G458" i="42"/>
  <c r="L457" i="42"/>
  <c r="K457" i="42" s="1"/>
  <c r="J457" i="42"/>
  <c r="I457" i="42"/>
  <c r="H457" i="42"/>
  <c r="G457" i="42"/>
  <c r="L456" i="42"/>
  <c r="J456" i="42"/>
  <c r="I456" i="42"/>
  <c r="K456" i="42" s="1"/>
  <c r="F456" i="42" s="1"/>
  <c r="H456" i="42"/>
  <c r="G456" i="42"/>
  <c r="L455" i="42"/>
  <c r="K455" i="42" s="1"/>
  <c r="J455" i="42"/>
  <c r="I455" i="42"/>
  <c r="H455" i="42"/>
  <c r="G455" i="42"/>
  <c r="L454" i="42"/>
  <c r="J454" i="42"/>
  <c r="I454" i="42"/>
  <c r="K454" i="42" s="1"/>
  <c r="H454" i="42"/>
  <c r="G454" i="42"/>
  <c r="L453" i="42"/>
  <c r="J453" i="42"/>
  <c r="I453" i="42"/>
  <c r="K453" i="42" s="1"/>
  <c r="D453" i="42" s="1"/>
  <c r="H453" i="42"/>
  <c r="G453" i="42"/>
  <c r="L452" i="42"/>
  <c r="J452" i="42"/>
  <c r="I452" i="42"/>
  <c r="H452" i="42"/>
  <c r="G452" i="42"/>
  <c r="L451" i="42"/>
  <c r="K451" i="42"/>
  <c r="J451" i="42"/>
  <c r="I451" i="42"/>
  <c r="H451" i="42"/>
  <c r="G451" i="42"/>
  <c r="L450" i="42"/>
  <c r="J450" i="42"/>
  <c r="I450" i="42"/>
  <c r="K450" i="42" s="1"/>
  <c r="H450" i="42"/>
  <c r="G450" i="42"/>
  <c r="E450" i="42"/>
  <c r="L449" i="42"/>
  <c r="J449" i="42"/>
  <c r="I449" i="42"/>
  <c r="H449" i="42"/>
  <c r="G449" i="42"/>
  <c r="L448" i="42"/>
  <c r="J448" i="42"/>
  <c r="I448" i="42"/>
  <c r="K448" i="42" s="1"/>
  <c r="H448" i="42"/>
  <c r="G448" i="42"/>
  <c r="L447" i="42"/>
  <c r="J447" i="42"/>
  <c r="I447" i="42"/>
  <c r="K447" i="42" s="1"/>
  <c r="H447" i="42"/>
  <c r="G447" i="42"/>
  <c r="C447" i="42"/>
  <c r="L446" i="42"/>
  <c r="J446" i="42"/>
  <c r="I446" i="42"/>
  <c r="K446" i="42" s="1"/>
  <c r="F446" i="42" s="1"/>
  <c r="H446" i="42"/>
  <c r="G446" i="42"/>
  <c r="L445" i="42"/>
  <c r="J445" i="42"/>
  <c r="I445" i="42"/>
  <c r="H445" i="42"/>
  <c r="G445" i="42"/>
  <c r="K445" i="42" s="1"/>
  <c r="L444" i="42"/>
  <c r="J444" i="42"/>
  <c r="I444" i="42"/>
  <c r="K444" i="42" s="1"/>
  <c r="H444" i="42"/>
  <c r="G444" i="42"/>
  <c r="L443" i="42"/>
  <c r="K443" i="42"/>
  <c r="J443" i="42"/>
  <c r="I443" i="42"/>
  <c r="H443" i="42"/>
  <c r="G443" i="42"/>
  <c r="L442" i="42"/>
  <c r="J442" i="42"/>
  <c r="I442" i="42"/>
  <c r="K442" i="42" s="1"/>
  <c r="E442" i="42" s="1"/>
  <c r="H442" i="42"/>
  <c r="G442" i="42"/>
  <c r="L441" i="42"/>
  <c r="K441" i="42"/>
  <c r="F441" i="42" s="1"/>
  <c r="J441" i="42"/>
  <c r="I441" i="42"/>
  <c r="H441" i="42"/>
  <c r="G441" i="42"/>
  <c r="L440" i="42"/>
  <c r="J440" i="42"/>
  <c r="I440" i="42"/>
  <c r="K440" i="42" s="1"/>
  <c r="F440" i="42" s="1"/>
  <c r="H440" i="42"/>
  <c r="G440" i="42"/>
  <c r="L439" i="42"/>
  <c r="K439" i="42" s="1"/>
  <c r="J439" i="42"/>
  <c r="I439" i="42"/>
  <c r="H439" i="42"/>
  <c r="G439" i="42"/>
  <c r="L438" i="42"/>
  <c r="J438" i="42"/>
  <c r="I438" i="42"/>
  <c r="K438" i="42" s="1"/>
  <c r="H438" i="42"/>
  <c r="G438" i="42"/>
  <c r="L437" i="42"/>
  <c r="J437" i="42"/>
  <c r="I437" i="42"/>
  <c r="H437" i="42"/>
  <c r="G437" i="42"/>
  <c r="L436" i="42"/>
  <c r="J436" i="42"/>
  <c r="I436" i="42"/>
  <c r="K436" i="42" s="1"/>
  <c r="H436" i="42"/>
  <c r="G436" i="42"/>
  <c r="L435" i="42"/>
  <c r="K435" i="42"/>
  <c r="J435" i="42"/>
  <c r="I435" i="42"/>
  <c r="H435" i="42"/>
  <c r="G435" i="42"/>
  <c r="L434" i="42"/>
  <c r="J434" i="42"/>
  <c r="I434" i="42"/>
  <c r="K434" i="42" s="1"/>
  <c r="H434" i="42"/>
  <c r="G434" i="42"/>
  <c r="E434" i="42"/>
  <c r="L433" i="42"/>
  <c r="J433" i="42"/>
  <c r="I433" i="42"/>
  <c r="H433" i="42"/>
  <c r="G433" i="42"/>
  <c r="K433" i="42" s="1"/>
  <c r="L432" i="42"/>
  <c r="J432" i="42"/>
  <c r="I432" i="42"/>
  <c r="K432" i="42" s="1"/>
  <c r="H432" i="42"/>
  <c r="G432" i="42"/>
  <c r="L431" i="42"/>
  <c r="J431" i="42"/>
  <c r="I431" i="42"/>
  <c r="K431" i="42" s="1"/>
  <c r="H431" i="42"/>
  <c r="G431" i="42"/>
  <c r="C431" i="42"/>
  <c r="L430" i="42"/>
  <c r="J430" i="42"/>
  <c r="I430" i="42"/>
  <c r="H430" i="42"/>
  <c r="G430" i="42"/>
  <c r="L429" i="42"/>
  <c r="J429" i="42"/>
  <c r="I429" i="42"/>
  <c r="H429" i="42"/>
  <c r="G429" i="42"/>
  <c r="K429" i="42" s="1"/>
  <c r="L428" i="42"/>
  <c r="J428" i="42"/>
  <c r="I428" i="42"/>
  <c r="K428" i="42" s="1"/>
  <c r="H428" i="42"/>
  <c r="G428" i="42"/>
  <c r="L427" i="42"/>
  <c r="K427" i="42"/>
  <c r="J427" i="42"/>
  <c r="I427" i="42"/>
  <c r="H427" i="42"/>
  <c r="G427" i="42"/>
  <c r="L426" i="42"/>
  <c r="J426" i="42"/>
  <c r="I426" i="42"/>
  <c r="K426" i="42" s="1"/>
  <c r="H426" i="42"/>
  <c r="G426" i="42"/>
  <c r="E426" i="42"/>
  <c r="L425" i="42"/>
  <c r="K425" i="42"/>
  <c r="F425" i="42" s="1"/>
  <c r="J425" i="42"/>
  <c r="I425" i="42"/>
  <c r="H425" i="42"/>
  <c r="G425" i="42"/>
  <c r="L424" i="42"/>
  <c r="J424" i="42"/>
  <c r="I424" i="42"/>
  <c r="K424" i="42" s="1"/>
  <c r="F424" i="42" s="1"/>
  <c r="H424" i="42"/>
  <c r="G424" i="42"/>
  <c r="L423" i="42"/>
  <c r="J423" i="42"/>
  <c r="I423" i="42"/>
  <c r="H423" i="42"/>
  <c r="G423" i="42"/>
  <c r="K423" i="42" s="1"/>
  <c r="L422" i="42"/>
  <c r="J422" i="42"/>
  <c r="I422" i="42"/>
  <c r="K422" i="42" s="1"/>
  <c r="H422" i="42"/>
  <c r="G422" i="42"/>
  <c r="L421" i="42"/>
  <c r="J421" i="42"/>
  <c r="I421" i="42"/>
  <c r="H421" i="42"/>
  <c r="G421" i="42"/>
  <c r="L420" i="42"/>
  <c r="J420" i="42"/>
  <c r="I420" i="42"/>
  <c r="K420" i="42" s="1"/>
  <c r="E420" i="42" s="1"/>
  <c r="H420" i="42"/>
  <c r="G420" i="42"/>
  <c r="L419" i="42"/>
  <c r="K419" i="42"/>
  <c r="J419" i="42"/>
  <c r="I419" i="42"/>
  <c r="H419" i="42"/>
  <c r="G419" i="42"/>
  <c r="L418" i="42"/>
  <c r="J418" i="42"/>
  <c r="I418" i="42"/>
  <c r="K418" i="42" s="1"/>
  <c r="H418" i="42"/>
  <c r="G418" i="42"/>
  <c r="E418" i="42"/>
  <c r="L417" i="42"/>
  <c r="J417" i="42"/>
  <c r="I417" i="42"/>
  <c r="H417" i="42"/>
  <c r="K417" i="42" s="1"/>
  <c r="G417" i="42"/>
  <c r="L416" i="42"/>
  <c r="J416" i="42"/>
  <c r="I416" i="42"/>
  <c r="K416" i="42" s="1"/>
  <c r="H416" i="42"/>
  <c r="G416" i="42"/>
  <c r="L415" i="42"/>
  <c r="J415" i="42"/>
  <c r="I415" i="42"/>
  <c r="K415" i="42" s="1"/>
  <c r="H415" i="42"/>
  <c r="G415" i="42"/>
  <c r="C415" i="42"/>
  <c r="L414" i="42"/>
  <c r="J414" i="42"/>
  <c r="I414" i="42"/>
  <c r="K414" i="42" s="1"/>
  <c r="F414" i="42" s="1"/>
  <c r="H414" i="42"/>
  <c r="G414" i="42"/>
  <c r="L413" i="42"/>
  <c r="J413" i="42"/>
  <c r="I413" i="42"/>
  <c r="H413" i="42"/>
  <c r="G413" i="42"/>
  <c r="K413" i="42" s="1"/>
  <c r="L412" i="42"/>
  <c r="J412" i="42"/>
  <c r="I412" i="42"/>
  <c r="K412" i="42" s="1"/>
  <c r="H412" i="42"/>
  <c r="G412" i="42"/>
  <c r="L411" i="42"/>
  <c r="J411" i="42"/>
  <c r="I411" i="42"/>
  <c r="H411" i="42"/>
  <c r="G411" i="42"/>
  <c r="K411" i="42" s="1"/>
  <c r="L410" i="42"/>
  <c r="J410" i="42"/>
  <c r="I410" i="42"/>
  <c r="K410" i="42" s="1"/>
  <c r="E410" i="42" s="1"/>
  <c r="H410" i="42"/>
  <c r="G410" i="42"/>
  <c r="L409" i="42"/>
  <c r="K409" i="42" s="1"/>
  <c r="J409" i="42"/>
  <c r="I409" i="42"/>
  <c r="H409" i="42"/>
  <c r="G409" i="42"/>
  <c r="L408" i="42"/>
  <c r="J408" i="42"/>
  <c r="I408" i="42"/>
  <c r="K408" i="42" s="1"/>
  <c r="C408" i="42" s="1"/>
  <c r="H408" i="42"/>
  <c r="G408" i="42"/>
  <c r="E408" i="42"/>
  <c r="D408" i="42"/>
  <c r="L407" i="42"/>
  <c r="J407" i="42"/>
  <c r="I407" i="42"/>
  <c r="H407" i="42"/>
  <c r="G407" i="42"/>
  <c r="K407" i="42" s="1"/>
  <c r="L406" i="42"/>
  <c r="J406" i="42"/>
  <c r="I406" i="42"/>
  <c r="K406" i="42" s="1"/>
  <c r="H406" i="42"/>
  <c r="G406" i="42"/>
  <c r="L405" i="42"/>
  <c r="J405" i="42"/>
  <c r="I405" i="42"/>
  <c r="H405" i="42"/>
  <c r="G405" i="42"/>
  <c r="L404" i="42"/>
  <c r="J404" i="42"/>
  <c r="I404" i="42"/>
  <c r="K404" i="42" s="1"/>
  <c r="E404" i="42" s="1"/>
  <c r="H404" i="42"/>
  <c r="G404" i="42"/>
  <c r="L403" i="42"/>
  <c r="K403" i="42"/>
  <c r="J403" i="42"/>
  <c r="I403" i="42"/>
  <c r="H403" i="42"/>
  <c r="G403" i="42"/>
  <c r="L402" i="42"/>
  <c r="J402" i="42"/>
  <c r="I402" i="42"/>
  <c r="K402" i="42" s="1"/>
  <c r="E402" i="42" s="1"/>
  <c r="H402" i="42"/>
  <c r="G402" i="42"/>
  <c r="L401" i="42"/>
  <c r="J401" i="42"/>
  <c r="K401" i="42" s="1"/>
  <c r="I401" i="42"/>
  <c r="H401" i="42"/>
  <c r="G401" i="42"/>
  <c r="L400" i="42"/>
  <c r="J400" i="42"/>
  <c r="I400" i="42"/>
  <c r="K400" i="42" s="1"/>
  <c r="H400" i="42"/>
  <c r="G400" i="42"/>
  <c r="L399" i="42"/>
  <c r="J399" i="42"/>
  <c r="I399" i="42"/>
  <c r="K399" i="42" s="1"/>
  <c r="C399" i="42" s="1"/>
  <c r="H399" i="42"/>
  <c r="G399" i="42"/>
  <c r="L398" i="42"/>
  <c r="J398" i="42"/>
  <c r="I398" i="42"/>
  <c r="H398" i="42"/>
  <c r="G398" i="42"/>
  <c r="L397" i="42"/>
  <c r="J397" i="42"/>
  <c r="I397" i="42"/>
  <c r="H397" i="42"/>
  <c r="G397" i="42"/>
  <c r="K397" i="42" s="1"/>
  <c r="L396" i="42"/>
  <c r="J396" i="42"/>
  <c r="I396" i="42"/>
  <c r="K396" i="42" s="1"/>
  <c r="H396" i="42"/>
  <c r="G396" i="42"/>
  <c r="L395" i="42"/>
  <c r="J395" i="42"/>
  <c r="I395" i="42"/>
  <c r="H395" i="42"/>
  <c r="G395" i="42"/>
  <c r="K395" i="42" s="1"/>
  <c r="L394" i="42"/>
  <c r="J394" i="42"/>
  <c r="I394" i="42"/>
  <c r="K394" i="42" s="1"/>
  <c r="E394" i="42" s="1"/>
  <c r="H394" i="42"/>
  <c r="G394" i="42"/>
  <c r="L393" i="42"/>
  <c r="J393" i="42"/>
  <c r="K393" i="42" s="1"/>
  <c r="I393" i="42"/>
  <c r="H393" i="42"/>
  <c r="G393" i="42"/>
  <c r="L392" i="42"/>
  <c r="J392" i="42"/>
  <c r="I392" i="42"/>
  <c r="K392" i="42" s="1"/>
  <c r="C392" i="42" s="1"/>
  <c r="H392" i="42"/>
  <c r="G392" i="42"/>
  <c r="L391" i="42"/>
  <c r="J391" i="42"/>
  <c r="I391" i="42"/>
  <c r="H391" i="42"/>
  <c r="G391" i="42"/>
  <c r="K391" i="42" s="1"/>
  <c r="L390" i="42"/>
  <c r="J390" i="42"/>
  <c r="I390" i="42"/>
  <c r="K390" i="42" s="1"/>
  <c r="H390" i="42"/>
  <c r="G390" i="42"/>
  <c r="L389" i="42"/>
  <c r="J389" i="42"/>
  <c r="I389" i="42"/>
  <c r="H389" i="42"/>
  <c r="G389" i="42"/>
  <c r="L388" i="42"/>
  <c r="J388" i="42"/>
  <c r="I388" i="42"/>
  <c r="K388" i="42" s="1"/>
  <c r="E388" i="42" s="1"/>
  <c r="H388" i="42"/>
  <c r="G388" i="42"/>
  <c r="L387" i="42"/>
  <c r="K387" i="42"/>
  <c r="J387" i="42"/>
  <c r="I387" i="42"/>
  <c r="H387" i="42"/>
  <c r="G387" i="42"/>
  <c r="L386" i="42"/>
  <c r="J386" i="42"/>
  <c r="I386" i="42"/>
  <c r="K386" i="42" s="1"/>
  <c r="E386" i="42" s="1"/>
  <c r="H386" i="42"/>
  <c r="G386" i="42"/>
  <c r="L385" i="42"/>
  <c r="J385" i="42"/>
  <c r="K385" i="42" s="1"/>
  <c r="I385" i="42"/>
  <c r="H385" i="42"/>
  <c r="G385" i="42"/>
  <c r="L384" i="42"/>
  <c r="J384" i="42"/>
  <c r="I384" i="42"/>
  <c r="K384" i="42" s="1"/>
  <c r="H384" i="42"/>
  <c r="G384" i="42"/>
  <c r="L383" i="42"/>
  <c r="J383" i="42"/>
  <c r="I383" i="42"/>
  <c r="K383" i="42" s="1"/>
  <c r="C383" i="42" s="1"/>
  <c r="H383" i="42"/>
  <c r="G383" i="42"/>
  <c r="L382" i="42"/>
  <c r="J382" i="42"/>
  <c r="I382" i="42"/>
  <c r="H382" i="42"/>
  <c r="G382" i="42"/>
  <c r="L381" i="42"/>
  <c r="K381" i="42"/>
  <c r="J381" i="42"/>
  <c r="I381" i="42"/>
  <c r="H381" i="42"/>
  <c r="G381" i="42"/>
  <c r="L380" i="42"/>
  <c r="J380" i="42"/>
  <c r="I380" i="42"/>
  <c r="K380" i="42" s="1"/>
  <c r="H380" i="42"/>
  <c r="G380" i="42"/>
  <c r="L379" i="42"/>
  <c r="J379" i="42"/>
  <c r="K379" i="42" s="1"/>
  <c r="I379" i="42"/>
  <c r="H379" i="42"/>
  <c r="G379" i="42"/>
  <c r="L378" i="42"/>
  <c r="J378" i="42"/>
  <c r="I378" i="42"/>
  <c r="K378" i="42" s="1"/>
  <c r="H378" i="42"/>
  <c r="G378" i="42"/>
  <c r="E378" i="42"/>
  <c r="L377" i="42"/>
  <c r="J377" i="42"/>
  <c r="K377" i="42" s="1"/>
  <c r="I377" i="42"/>
  <c r="H377" i="42"/>
  <c r="G377" i="42"/>
  <c r="L376" i="42"/>
  <c r="J376" i="42"/>
  <c r="I376" i="42"/>
  <c r="H376" i="42"/>
  <c r="G376" i="42"/>
  <c r="L375" i="42"/>
  <c r="J375" i="42"/>
  <c r="I375" i="42"/>
  <c r="H375" i="42"/>
  <c r="G375" i="42"/>
  <c r="K375" i="42" s="1"/>
  <c r="L374" i="42"/>
  <c r="J374" i="42"/>
  <c r="I374" i="42"/>
  <c r="H374" i="42"/>
  <c r="G374" i="42"/>
  <c r="L373" i="42"/>
  <c r="J373" i="42"/>
  <c r="I373" i="42"/>
  <c r="H373" i="42"/>
  <c r="G373" i="42"/>
  <c r="L372" i="42"/>
  <c r="J372" i="42"/>
  <c r="I372" i="42"/>
  <c r="K372" i="42" s="1"/>
  <c r="H372" i="42"/>
  <c r="G372" i="42"/>
  <c r="L371" i="42"/>
  <c r="J371" i="42"/>
  <c r="K371" i="42" s="1"/>
  <c r="I371" i="42"/>
  <c r="H371" i="42"/>
  <c r="G371" i="42"/>
  <c r="L370" i="42"/>
  <c r="J370" i="42"/>
  <c r="I370" i="42"/>
  <c r="K370" i="42" s="1"/>
  <c r="F370" i="42" s="1"/>
  <c r="H370" i="42"/>
  <c r="G370" i="42"/>
  <c r="E370" i="42"/>
  <c r="D370" i="42"/>
  <c r="L369" i="42"/>
  <c r="J369" i="42"/>
  <c r="I369" i="42"/>
  <c r="K369" i="42" s="1"/>
  <c r="H369" i="42"/>
  <c r="G369" i="42"/>
  <c r="L368" i="42"/>
  <c r="J368" i="42"/>
  <c r="I368" i="42"/>
  <c r="H368" i="42"/>
  <c r="G368" i="42"/>
  <c r="L367" i="42"/>
  <c r="J367" i="42"/>
  <c r="I367" i="42"/>
  <c r="K367" i="42" s="1"/>
  <c r="H367" i="42"/>
  <c r="G367" i="42"/>
  <c r="L366" i="42"/>
  <c r="J366" i="42"/>
  <c r="I366" i="42"/>
  <c r="K366" i="42" s="1"/>
  <c r="H366" i="42"/>
  <c r="G366" i="42"/>
  <c r="L365" i="42"/>
  <c r="K365" i="42"/>
  <c r="J365" i="42"/>
  <c r="I365" i="42"/>
  <c r="H365" i="42"/>
  <c r="G365" i="42"/>
  <c r="F365" i="42"/>
  <c r="L364" i="42"/>
  <c r="J364" i="42"/>
  <c r="I364" i="42"/>
  <c r="K364" i="42" s="1"/>
  <c r="H364" i="42"/>
  <c r="G364" i="42"/>
  <c r="L363" i="42"/>
  <c r="J363" i="42"/>
  <c r="I363" i="42"/>
  <c r="K363" i="42" s="1"/>
  <c r="H363" i="42"/>
  <c r="G363" i="42"/>
  <c r="L362" i="42"/>
  <c r="J362" i="42"/>
  <c r="I362" i="42"/>
  <c r="K362" i="42" s="1"/>
  <c r="E362" i="42" s="1"/>
  <c r="H362" i="42"/>
  <c r="G362" i="42"/>
  <c r="L361" i="42"/>
  <c r="J361" i="42"/>
  <c r="K361" i="42" s="1"/>
  <c r="I361" i="42"/>
  <c r="H361" i="42"/>
  <c r="G361" i="42"/>
  <c r="F361" i="42"/>
  <c r="L360" i="42"/>
  <c r="J360" i="42"/>
  <c r="I360" i="42"/>
  <c r="H360" i="42"/>
  <c r="G360" i="42"/>
  <c r="L359" i="42"/>
  <c r="J359" i="42"/>
  <c r="I359" i="42"/>
  <c r="H359" i="42"/>
  <c r="G359" i="42"/>
  <c r="K359" i="42" s="1"/>
  <c r="L358" i="42"/>
  <c r="J358" i="42"/>
  <c r="I358" i="42"/>
  <c r="H358" i="42"/>
  <c r="G358" i="42"/>
  <c r="L357" i="42"/>
  <c r="J357" i="42"/>
  <c r="I357" i="42"/>
  <c r="H357" i="42"/>
  <c r="G357" i="42"/>
  <c r="L356" i="42"/>
  <c r="J356" i="42"/>
  <c r="K356" i="42" s="1"/>
  <c r="I356" i="42"/>
  <c r="H356" i="42"/>
  <c r="G356" i="42"/>
  <c r="L355" i="42"/>
  <c r="J355" i="42"/>
  <c r="I355" i="42"/>
  <c r="K355" i="42" s="1"/>
  <c r="H355" i="42"/>
  <c r="G355" i="42"/>
  <c r="L354" i="42"/>
  <c r="J354" i="42"/>
  <c r="I354" i="42"/>
  <c r="H354" i="42"/>
  <c r="G354" i="42"/>
  <c r="L353" i="42"/>
  <c r="J353" i="42"/>
  <c r="I353" i="42"/>
  <c r="K353" i="42" s="1"/>
  <c r="H353" i="42"/>
  <c r="G353" i="42"/>
  <c r="L352" i="42"/>
  <c r="J352" i="42"/>
  <c r="I352" i="42"/>
  <c r="K352" i="42" s="1"/>
  <c r="C352" i="42" s="1"/>
  <c r="H352" i="42"/>
  <c r="G352" i="42"/>
  <c r="F352" i="42"/>
  <c r="L351" i="42"/>
  <c r="J351" i="42"/>
  <c r="I351" i="42"/>
  <c r="H351" i="42"/>
  <c r="G351" i="42"/>
  <c r="L350" i="42"/>
  <c r="J350" i="42"/>
  <c r="I350" i="42"/>
  <c r="H350" i="42"/>
  <c r="K350" i="42" s="1"/>
  <c r="G350" i="42"/>
  <c r="L349" i="42"/>
  <c r="J349" i="42"/>
  <c r="I349" i="42"/>
  <c r="H349" i="42"/>
  <c r="G349" i="42"/>
  <c r="K349" i="42" s="1"/>
  <c r="L348" i="42"/>
  <c r="J348" i="42"/>
  <c r="I348" i="42"/>
  <c r="H348" i="42"/>
  <c r="G348" i="42"/>
  <c r="L347" i="42"/>
  <c r="J347" i="42"/>
  <c r="I347" i="42"/>
  <c r="K347" i="42" s="1"/>
  <c r="H347" i="42"/>
  <c r="G347" i="42"/>
  <c r="L346" i="42"/>
  <c r="J346" i="42"/>
  <c r="I346" i="42"/>
  <c r="H346" i="42"/>
  <c r="G346" i="42"/>
  <c r="L345" i="42"/>
  <c r="J345" i="42"/>
  <c r="K345" i="42" s="1"/>
  <c r="I345" i="42"/>
  <c r="H345" i="42"/>
  <c r="G345" i="42"/>
  <c r="L344" i="42"/>
  <c r="K344" i="42"/>
  <c r="F344" i="42" s="1"/>
  <c r="J344" i="42"/>
  <c r="I344" i="42"/>
  <c r="H344" i="42"/>
  <c r="G344" i="42"/>
  <c r="L343" i="42"/>
  <c r="K343" i="42"/>
  <c r="C343" i="42" s="1"/>
  <c r="J343" i="42"/>
  <c r="I343" i="42"/>
  <c r="H343" i="42"/>
  <c r="G343" i="42"/>
  <c r="L342" i="42"/>
  <c r="J342" i="42"/>
  <c r="I342" i="42"/>
  <c r="K342" i="42" s="1"/>
  <c r="H342" i="42"/>
  <c r="G342" i="42"/>
  <c r="L341" i="42"/>
  <c r="J341" i="42"/>
  <c r="I341" i="42"/>
  <c r="H341" i="42"/>
  <c r="G341" i="42"/>
  <c r="L340" i="42"/>
  <c r="J340" i="42"/>
  <c r="I340" i="42"/>
  <c r="K340" i="42" s="1"/>
  <c r="H340" i="42"/>
  <c r="G340" i="42"/>
  <c r="L339" i="42"/>
  <c r="J339" i="42"/>
  <c r="I339" i="42"/>
  <c r="K339" i="42" s="1"/>
  <c r="H339" i="42"/>
  <c r="G339" i="42"/>
  <c r="L338" i="42"/>
  <c r="J338" i="42"/>
  <c r="I338" i="42"/>
  <c r="K338" i="42" s="1"/>
  <c r="F338" i="42" s="1"/>
  <c r="H338" i="42"/>
  <c r="G338" i="42"/>
  <c r="L337" i="42"/>
  <c r="J337" i="42"/>
  <c r="I337" i="42"/>
  <c r="K337" i="42" s="1"/>
  <c r="H337" i="42"/>
  <c r="G337" i="42"/>
  <c r="L336" i="42"/>
  <c r="J336" i="42"/>
  <c r="I336" i="42"/>
  <c r="H336" i="42"/>
  <c r="G336" i="42"/>
  <c r="L335" i="42"/>
  <c r="J335" i="42"/>
  <c r="I335" i="42"/>
  <c r="K335" i="42" s="1"/>
  <c r="F335" i="42" s="1"/>
  <c r="H335" i="42"/>
  <c r="G335" i="42"/>
  <c r="L334" i="42"/>
  <c r="J334" i="42"/>
  <c r="I334" i="42"/>
  <c r="K334" i="42" s="1"/>
  <c r="H334" i="42"/>
  <c r="G334" i="42"/>
  <c r="L333" i="42"/>
  <c r="K333" i="42"/>
  <c r="F333" i="42" s="1"/>
  <c r="J333" i="42"/>
  <c r="I333" i="42"/>
  <c r="H333" i="42"/>
  <c r="G333" i="42"/>
  <c r="E333" i="42"/>
  <c r="L332" i="42"/>
  <c r="J332" i="42"/>
  <c r="I332" i="42"/>
  <c r="H332" i="42"/>
  <c r="G332" i="42"/>
  <c r="L331" i="42"/>
  <c r="J331" i="42"/>
  <c r="I331" i="42"/>
  <c r="K331" i="42" s="1"/>
  <c r="H331" i="42"/>
  <c r="G331" i="42"/>
  <c r="L330" i="42"/>
  <c r="J330" i="42"/>
  <c r="I330" i="42"/>
  <c r="K330" i="42" s="1"/>
  <c r="F330" i="42" s="1"/>
  <c r="H330" i="42"/>
  <c r="G330" i="42"/>
  <c r="E330" i="42"/>
  <c r="D330" i="42"/>
  <c r="C330" i="42"/>
  <c r="L329" i="42"/>
  <c r="J329" i="42"/>
  <c r="K329" i="42" s="1"/>
  <c r="I329" i="42"/>
  <c r="H329" i="42"/>
  <c r="G329" i="42"/>
  <c r="L328" i="42"/>
  <c r="J328" i="42"/>
  <c r="I328" i="42"/>
  <c r="K328" i="42" s="1"/>
  <c r="H328" i="42"/>
  <c r="G328" i="42"/>
  <c r="L327" i="42"/>
  <c r="K327" i="42"/>
  <c r="J327" i="42"/>
  <c r="I327" i="42"/>
  <c r="H327" i="42"/>
  <c r="G327" i="42"/>
  <c r="L326" i="42"/>
  <c r="J326" i="42"/>
  <c r="I326" i="42"/>
  <c r="K326" i="42" s="1"/>
  <c r="H326" i="42"/>
  <c r="G326" i="42"/>
  <c r="L325" i="42"/>
  <c r="J325" i="42"/>
  <c r="I325" i="42"/>
  <c r="K325" i="42" s="1"/>
  <c r="E325" i="42" s="1"/>
  <c r="H325" i="42"/>
  <c r="G325" i="42"/>
  <c r="F325" i="42"/>
  <c r="L324" i="42"/>
  <c r="J324" i="42"/>
  <c r="I324" i="42"/>
  <c r="K324" i="42" s="1"/>
  <c r="H324" i="42"/>
  <c r="G324" i="42"/>
  <c r="L323" i="42"/>
  <c r="J323" i="42"/>
  <c r="I323" i="42"/>
  <c r="K323" i="42" s="1"/>
  <c r="H323" i="42"/>
  <c r="G323" i="42"/>
  <c r="L322" i="42"/>
  <c r="J322" i="42"/>
  <c r="I322" i="42"/>
  <c r="H322" i="42"/>
  <c r="G322" i="42"/>
  <c r="L321" i="42"/>
  <c r="J321" i="42"/>
  <c r="I321" i="42"/>
  <c r="K321" i="42" s="1"/>
  <c r="H321" i="42"/>
  <c r="G321" i="42"/>
  <c r="L320" i="42"/>
  <c r="J320" i="42"/>
  <c r="I320" i="42"/>
  <c r="H320" i="42"/>
  <c r="G320" i="42"/>
  <c r="L319" i="42"/>
  <c r="J319" i="42"/>
  <c r="I319" i="42"/>
  <c r="K319" i="42" s="1"/>
  <c r="E319" i="42" s="1"/>
  <c r="H319" i="42"/>
  <c r="G319" i="42"/>
  <c r="F319" i="42"/>
  <c r="L318" i="42"/>
  <c r="J318" i="42"/>
  <c r="I318" i="42"/>
  <c r="K318" i="42" s="1"/>
  <c r="H318" i="42"/>
  <c r="G318" i="42"/>
  <c r="L317" i="42"/>
  <c r="K317" i="42"/>
  <c r="F317" i="42" s="1"/>
  <c r="J317" i="42"/>
  <c r="I317" i="42"/>
  <c r="H317" i="42"/>
  <c r="G317" i="42"/>
  <c r="L316" i="42"/>
  <c r="J316" i="42"/>
  <c r="I316" i="42"/>
  <c r="H316" i="42"/>
  <c r="G316" i="42"/>
  <c r="L315" i="42"/>
  <c r="J315" i="42"/>
  <c r="K315" i="42" s="1"/>
  <c r="I315" i="42"/>
  <c r="H315" i="42"/>
  <c r="G315" i="42"/>
  <c r="L314" i="42"/>
  <c r="J314" i="42"/>
  <c r="I314" i="42"/>
  <c r="K314" i="42" s="1"/>
  <c r="F314" i="42" s="1"/>
  <c r="H314" i="42"/>
  <c r="G314" i="42"/>
  <c r="L313" i="42"/>
  <c r="J313" i="42"/>
  <c r="K313" i="42" s="1"/>
  <c r="I313" i="42"/>
  <c r="H313" i="42"/>
  <c r="G313" i="42"/>
  <c r="L312" i="42"/>
  <c r="J312" i="42"/>
  <c r="I312" i="42"/>
  <c r="K312" i="42" s="1"/>
  <c r="H312" i="42"/>
  <c r="G312" i="42"/>
  <c r="L311" i="42"/>
  <c r="K311" i="42"/>
  <c r="C311" i="42" s="1"/>
  <c r="J311" i="42"/>
  <c r="I311" i="42"/>
  <c r="H311" i="42"/>
  <c r="G311" i="42"/>
  <c r="L310" i="42"/>
  <c r="J310" i="42"/>
  <c r="I310" i="42"/>
  <c r="K310" i="42" s="1"/>
  <c r="H310" i="42"/>
  <c r="G310" i="42"/>
  <c r="L309" i="42"/>
  <c r="J309" i="42"/>
  <c r="I309" i="42"/>
  <c r="H309" i="42"/>
  <c r="G309" i="42"/>
  <c r="L308" i="42"/>
  <c r="J308" i="42"/>
  <c r="I308" i="42"/>
  <c r="K308" i="42" s="1"/>
  <c r="H308" i="42"/>
  <c r="G308" i="42"/>
  <c r="L307" i="42"/>
  <c r="K307" i="42"/>
  <c r="J307" i="42"/>
  <c r="I307" i="42"/>
  <c r="H307" i="42"/>
  <c r="G307" i="42"/>
  <c r="L306" i="42"/>
  <c r="J306" i="42"/>
  <c r="I306" i="42"/>
  <c r="H306" i="42"/>
  <c r="G306" i="42"/>
  <c r="L305" i="42"/>
  <c r="K305" i="42"/>
  <c r="F305" i="42" s="1"/>
  <c r="J305" i="42"/>
  <c r="I305" i="42"/>
  <c r="H305" i="42"/>
  <c r="G305" i="42"/>
  <c r="L304" i="42"/>
  <c r="J304" i="42"/>
  <c r="I304" i="42"/>
  <c r="H304" i="42"/>
  <c r="G304" i="42"/>
  <c r="L303" i="42"/>
  <c r="J303" i="42"/>
  <c r="I303" i="42"/>
  <c r="H303" i="42"/>
  <c r="G303" i="42"/>
  <c r="L302" i="42"/>
  <c r="J302" i="42"/>
  <c r="I302" i="42"/>
  <c r="K302" i="42" s="1"/>
  <c r="H302" i="42"/>
  <c r="G302" i="42"/>
  <c r="L301" i="42"/>
  <c r="K301" i="42"/>
  <c r="E301" i="42" s="1"/>
  <c r="J301" i="42"/>
  <c r="I301" i="42"/>
  <c r="H301" i="42"/>
  <c r="G301" i="42"/>
  <c r="F301" i="42"/>
  <c r="D301" i="42"/>
  <c r="C301" i="42"/>
  <c r="L300" i="42"/>
  <c r="J300" i="42"/>
  <c r="I300" i="42"/>
  <c r="H300" i="42"/>
  <c r="G300" i="42"/>
  <c r="L299" i="42"/>
  <c r="J299" i="42"/>
  <c r="I299" i="42"/>
  <c r="K299" i="42" s="1"/>
  <c r="H299" i="42"/>
  <c r="G299" i="42"/>
  <c r="L298" i="42"/>
  <c r="J298" i="42"/>
  <c r="I298" i="42"/>
  <c r="H298" i="42"/>
  <c r="G298" i="42"/>
  <c r="L297" i="42"/>
  <c r="J297" i="42"/>
  <c r="K297" i="42" s="1"/>
  <c r="I297" i="42"/>
  <c r="H297" i="42"/>
  <c r="G297" i="42"/>
  <c r="L296" i="42"/>
  <c r="J296" i="42"/>
  <c r="I296" i="42"/>
  <c r="K296" i="42" s="1"/>
  <c r="H296" i="42"/>
  <c r="G296" i="42"/>
  <c r="L295" i="42"/>
  <c r="J295" i="42"/>
  <c r="I295" i="42"/>
  <c r="H295" i="42"/>
  <c r="G295" i="42"/>
  <c r="K295" i="42" s="1"/>
  <c r="L294" i="42"/>
  <c r="J294" i="42"/>
  <c r="K294" i="42" s="1"/>
  <c r="I294" i="42"/>
  <c r="H294" i="42"/>
  <c r="G294" i="42"/>
  <c r="L293" i="42"/>
  <c r="J293" i="42"/>
  <c r="I293" i="42"/>
  <c r="H293" i="42"/>
  <c r="G293" i="42"/>
  <c r="L292" i="42"/>
  <c r="J292" i="42"/>
  <c r="I292" i="42"/>
  <c r="K292" i="42" s="1"/>
  <c r="H292" i="42"/>
  <c r="G292" i="42"/>
  <c r="L291" i="42"/>
  <c r="J291" i="42"/>
  <c r="I291" i="42"/>
  <c r="K291" i="42" s="1"/>
  <c r="H291" i="42"/>
  <c r="G291" i="42"/>
  <c r="L290" i="42"/>
  <c r="J290" i="42"/>
  <c r="I290" i="42"/>
  <c r="H290" i="42"/>
  <c r="G290" i="42"/>
  <c r="L289" i="42"/>
  <c r="J289" i="42"/>
  <c r="I289" i="42"/>
  <c r="K289" i="42" s="1"/>
  <c r="H289" i="42"/>
  <c r="G289" i="42"/>
  <c r="L288" i="42"/>
  <c r="J288" i="42"/>
  <c r="I288" i="42"/>
  <c r="H288" i="42"/>
  <c r="G288" i="42"/>
  <c r="L287" i="42"/>
  <c r="J287" i="42"/>
  <c r="I287" i="42"/>
  <c r="K287" i="42" s="1"/>
  <c r="H287" i="42"/>
  <c r="G287" i="42"/>
  <c r="F287" i="42"/>
  <c r="E287" i="42"/>
  <c r="D287" i="42"/>
  <c r="C287" i="42"/>
  <c r="L286" i="42"/>
  <c r="J286" i="42"/>
  <c r="K286" i="42" s="1"/>
  <c r="I286" i="42"/>
  <c r="H286" i="42"/>
  <c r="G286" i="42"/>
  <c r="L285" i="42"/>
  <c r="J285" i="42"/>
  <c r="I285" i="42"/>
  <c r="H285" i="42"/>
  <c r="G285" i="42"/>
  <c r="K285" i="42" s="1"/>
  <c r="L284" i="42"/>
  <c r="J284" i="42"/>
  <c r="I284" i="42"/>
  <c r="H284" i="42"/>
  <c r="G284" i="42"/>
  <c r="L283" i="42"/>
  <c r="J283" i="42"/>
  <c r="I283" i="42"/>
  <c r="K283" i="42" s="1"/>
  <c r="H283" i="42"/>
  <c r="G283" i="42"/>
  <c r="L282" i="42"/>
  <c r="J282" i="42"/>
  <c r="I282" i="42"/>
  <c r="H282" i="42"/>
  <c r="G282" i="42"/>
  <c r="L281" i="42"/>
  <c r="J281" i="42"/>
  <c r="K281" i="42" s="1"/>
  <c r="I281" i="42"/>
  <c r="H281" i="42"/>
  <c r="G281" i="42"/>
  <c r="L280" i="42"/>
  <c r="K280" i="42"/>
  <c r="F280" i="42" s="1"/>
  <c r="J280" i="42"/>
  <c r="I280" i="42"/>
  <c r="H280" i="42"/>
  <c r="G280" i="42"/>
  <c r="L279" i="42"/>
  <c r="K279" i="42"/>
  <c r="C279" i="42" s="1"/>
  <c r="J279" i="42"/>
  <c r="I279" i="42"/>
  <c r="H279" i="42"/>
  <c r="G279" i="42"/>
  <c r="L278" i="42"/>
  <c r="J278" i="42"/>
  <c r="I278" i="42"/>
  <c r="K278" i="42" s="1"/>
  <c r="H278" i="42"/>
  <c r="G278" i="42"/>
  <c r="L277" i="42"/>
  <c r="J277" i="42"/>
  <c r="I277" i="42"/>
  <c r="H277" i="42"/>
  <c r="G277" i="42"/>
  <c r="L276" i="42"/>
  <c r="J276" i="42"/>
  <c r="I276" i="42"/>
  <c r="K276" i="42" s="1"/>
  <c r="H276" i="42"/>
  <c r="G276" i="42"/>
  <c r="L275" i="42"/>
  <c r="J275" i="42"/>
  <c r="I275" i="42"/>
  <c r="K275" i="42" s="1"/>
  <c r="H275" i="42"/>
  <c r="G275" i="42"/>
  <c r="L274" i="42"/>
  <c r="J274" i="42"/>
  <c r="I274" i="42"/>
  <c r="K274" i="42" s="1"/>
  <c r="F274" i="42" s="1"/>
  <c r="H274" i="42"/>
  <c r="G274" i="42"/>
  <c r="L273" i="42"/>
  <c r="J273" i="42"/>
  <c r="I273" i="42"/>
  <c r="K273" i="42" s="1"/>
  <c r="H273" i="42"/>
  <c r="G273" i="42"/>
  <c r="L272" i="42"/>
  <c r="J272" i="42"/>
  <c r="I272" i="42"/>
  <c r="H272" i="42"/>
  <c r="G272" i="42"/>
  <c r="L271" i="42"/>
  <c r="J271" i="42"/>
  <c r="I271" i="42"/>
  <c r="K271" i="42" s="1"/>
  <c r="F271" i="42" s="1"/>
  <c r="H271" i="42"/>
  <c r="G271" i="42"/>
  <c r="L270" i="42"/>
  <c r="J270" i="42"/>
  <c r="I270" i="42"/>
  <c r="K270" i="42" s="1"/>
  <c r="H270" i="42"/>
  <c r="G270" i="42"/>
  <c r="L269" i="42"/>
  <c r="K269" i="42"/>
  <c r="D269" i="42" s="1"/>
  <c r="J269" i="42"/>
  <c r="I269" i="42"/>
  <c r="H269" i="42"/>
  <c r="G269" i="42"/>
  <c r="E269" i="42"/>
  <c r="L268" i="42"/>
  <c r="J268" i="42"/>
  <c r="I268" i="42"/>
  <c r="H268" i="42"/>
  <c r="G268" i="42"/>
  <c r="L267" i="42"/>
  <c r="J267" i="42"/>
  <c r="I267" i="42"/>
  <c r="K267" i="42" s="1"/>
  <c r="H267" i="42"/>
  <c r="G267" i="42"/>
  <c r="L266" i="42"/>
  <c r="J266" i="42"/>
  <c r="I266" i="42"/>
  <c r="K266" i="42" s="1"/>
  <c r="F266" i="42" s="1"/>
  <c r="H266" i="42"/>
  <c r="G266" i="42"/>
  <c r="E266" i="42"/>
  <c r="D266" i="42"/>
  <c r="C266" i="42"/>
  <c r="L265" i="42"/>
  <c r="J265" i="42"/>
  <c r="K265" i="42" s="1"/>
  <c r="I265" i="42"/>
  <c r="H265" i="42"/>
  <c r="G265" i="42"/>
  <c r="L264" i="42"/>
  <c r="J264" i="42"/>
  <c r="I264" i="42"/>
  <c r="K264" i="42" s="1"/>
  <c r="H264" i="42"/>
  <c r="G264" i="42"/>
  <c r="L263" i="42"/>
  <c r="K263" i="42"/>
  <c r="C263" i="42" s="1"/>
  <c r="J263" i="42"/>
  <c r="I263" i="42"/>
  <c r="H263" i="42"/>
  <c r="G263" i="42"/>
  <c r="L262" i="42"/>
  <c r="J262" i="42"/>
  <c r="I262" i="42"/>
  <c r="K262" i="42" s="1"/>
  <c r="H262" i="42"/>
  <c r="G262" i="42"/>
  <c r="L261" i="42"/>
  <c r="J261" i="42"/>
  <c r="I261" i="42"/>
  <c r="K261" i="42" s="1"/>
  <c r="E261" i="42" s="1"/>
  <c r="H261" i="42"/>
  <c r="G261" i="42"/>
  <c r="F261" i="42"/>
  <c r="L260" i="42"/>
  <c r="J260" i="42"/>
  <c r="I260" i="42"/>
  <c r="K260" i="42" s="1"/>
  <c r="H260" i="42"/>
  <c r="G260" i="42"/>
  <c r="L259" i="42"/>
  <c r="J259" i="42"/>
  <c r="I259" i="42"/>
  <c r="K259" i="42" s="1"/>
  <c r="H259" i="42"/>
  <c r="G259" i="42"/>
  <c r="L258" i="42"/>
  <c r="J258" i="42"/>
  <c r="I258" i="42"/>
  <c r="H258" i="42"/>
  <c r="G258" i="42"/>
  <c r="L257" i="42"/>
  <c r="J257" i="42"/>
  <c r="I257" i="42"/>
  <c r="K257" i="42" s="1"/>
  <c r="H257" i="42"/>
  <c r="G257" i="42"/>
  <c r="L256" i="42"/>
  <c r="J256" i="42"/>
  <c r="I256" i="42"/>
  <c r="H256" i="42"/>
  <c r="G256" i="42"/>
  <c r="L255" i="42"/>
  <c r="J255" i="42"/>
  <c r="I255" i="42"/>
  <c r="K255" i="42" s="1"/>
  <c r="E255" i="42" s="1"/>
  <c r="H255" i="42"/>
  <c r="G255" i="42"/>
  <c r="F255" i="42"/>
  <c r="L254" i="42"/>
  <c r="J254" i="42"/>
  <c r="I254" i="42"/>
  <c r="K254" i="42" s="1"/>
  <c r="H254" i="42"/>
  <c r="G254" i="42"/>
  <c r="L253" i="42"/>
  <c r="J253" i="42"/>
  <c r="K253" i="42" s="1"/>
  <c r="I253" i="42"/>
  <c r="H253" i="42"/>
  <c r="G253" i="42"/>
  <c r="L252" i="42"/>
  <c r="J252" i="42"/>
  <c r="I252" i="42"/>
  <c r="H252" i="42"/>
  <c r="G252" i="42"/>
  <c r="L251" i="42"/>
  <c r="J251" i="42"/>
  <c r="I251" i="42"/>
  <c r="K251" i="42" s="1"/>
  <c r="H251" i="42"/>
  <c r="G251" i="42"/>
  <c r="L250" i="42"/>
  <c r="J250" i="42"/>
  <c r="I250" i="42"/>
  <c r="K250" i="42" s="1"/>
  <c r="F250" i="42" s="1"/>
  <c r="H250" i="42"/>
  <c r="G250" i="42"/>
  <c r="L249" i="42"/>
  <c r="J249" i="42"/>
  <c r="K249" i="42" s="1"/>
  <c r="I249" i="42"/>
  <c r="H249" i="42"/>
  <c r="G249" i="42"/>
  <c r="L248" i="42"/>
  <c r="J248" i="42"/>
  <c r="I248" i="42"/>
  <c r="K248" i="42" s="1"/>
  <c r="H248" i="42"/>
  <c r="G248" i="42"/>
  <c r="L247" i="42"/>
  <c r="K247" i="42"/>
  <c r="C247" i="42" s="1"/>
  <c r="J247" i="42"/>
  <c r="I247" i="42"/>
  <c r="H247" i="42"/>
  <c r="G247" i="42"/>
  <c r="F247" i="42"/>
  <c r="L246" i="42"/>
  <c r="K246" i="42"/>
  <c r="D246" i="42" s="1"/>
  <c r="J246" i="42"/>
  <c r="I246" i="42"/>
  <c r="H246" i="42"/>
  <c r="G246" i="42"/>
  <c r="L245" i="42"/>
  <c r="J245" i="42"/>
  <c r="I245" i="42"/>
  <c r="K245" i="42" s="1"/>
  <c r="F245" i="42" s="1"/>
  <c r="H245" i="42"/>
  <c r="G245" i="42"/>
  <c r="L244" i="42"/>
  <c r="K244" i="42"/>
  <c r="E244" i="42" s="1"/>
  <c r="J244" i="42"/>
  <c r="I244" i="42"/>
  <c r="H244" i="42"/>
  <c r="G244" i="42"/>
  <c r="D244" i="42"/>
  <c r="L243" i="42"/>
  <c r="K243" i="42"/>
  <c r="J243" i="42"/>
  <c r="I243" i="42"/>
  <c r="H243" i="42"/>
  <c r="G243" i="42"/>
  <c r="F243" i="42"/>
  <c r="L242" i="42"/>
  <c r="J242" i="42"/>
  <c r="I242" i="42"/>
  <c r="K242" i="42" s="1"/>
  <c r="F242" i="42" s="1"/>
  <c r="H242" i="42"/>
  <c r="G242" i="42"/>
  <c r="C242" i="42"/>
  <c r="L241" i="42"/>
  <c r="K241" i="42"/>
  <c r="E241" i="42" s="1"/>
  <c r="J241" i="42"/>
  <c r="I241" i="42"/>
  <c r="H241" i="42"/>
  <c r="G241" i="42"/>
  <c r="C241" i="42"/>
  <c r="L240" i="42"/>
  <c r="J240" i="42"/>
  <c r="I240" i="42"/>
  <c r="H240" i="42"/>
  <c r="G240" i="42"/>
  <c r="L239" i="42"/>
  <c r="J239" i="42"/>
  <c r="I239" i="42"/>
  <c r="H239" i="42"/>
  <c r="G239" i="42"/>
  <c r="L238" i="42"/>
  <c r="J238" i="42"/>
  <c r="K238" i="42" s="1"/>
  <c r="I238" i="42"/>
  <c r="H238" i="42"/>
  <c r="G238" i="42"/>
  <c r="L237" i="42"/>
  <c r="J237" i="42"/>
  <c r="K237" i="42" s="1"/>
  <c r="I237" i="42"/>
  <c r="H237" i="42"/>
  <c r="G237" i="42"/>
  <c r="L236" i="42"/>
  <c r="J236" i="42"/>
  <c r="I236" i="42"/>
  <c r="K236" i="42" s="1"/>
  <c r="E236" i="42" s="1"/>
  <c r="H236" i="42"/>
  <c r="G236" i="42"/>
  <c r="L235" i="42"/>
  <c r="J235" i="42"/>
  <c r="I235" i="42"/>
  <c r="K235" i="42" s="1"/>
  <c r="H235" i="42"/>
  <c r="G235" i="42"/>
  <c r="L234" i="42"/>
  <c r="J234" i="42"/>
  <c r="I234" i="42"/>
  <c r="H234" i="42"/>
  <c r="G234" i="42"/>
  <c r="L233" i="42"/>
  <c r="K233" i="42"/>
  <c r="F233" i="42" s="1"/>
  <c r="J233" i="42"/>
  <c r="I233" i="42"/>
  <c r="H233" i="42"/>
  <c r="G233" i="42"/>
  <c r="D233" i="42"/>
  <c r="L232" i="42"/>
  <c r="K232" i="42"/>
  <c r="E232" i="42" s="1"/>
  <c r="J232" i="42"/>
  <c r="I232" i="42"/>
  <c r="H232" i="42"/>
  <c r="G232" i="42"/>
  <c r="F232" i="42"/>
  <c r="D232" i="42"/>
  <c r="C232" i="42"/>
  <c r="L231" i="42"/>
  <c r="J231" i="42"/>
  <c r="I231" i="42"/>
  <c r="K231" i="42" s="1"/>
  <c r="H231" i="42"/>
  <c r="G231" i="42"/>
  <c r="L230" i="42"/>
  <c r="J230" i="42"/>
  <c r="I230" i="42"/>
  <c r="K230" i="42" s="1"/>
  <c r="H230" i="42"/>
  <c r="G230" i="42"/>
  <c r="L229" i="42"/>
  <c r="K229" i="42"/>
  <c r="F229" i="42" s="1"/>
  <c r="J229" i="42"/>
  <c r="I229" i="42"/>
  <c r="H229" i="42"/>
  <c r="G229" i="42"/>
  <c r="L228" i="42"/>
  <c r="K228" i="42"/>
  <c r="D228" i="42" s="1"/>
  <c r="J228" i="42"/>
  <c r="I228" i="42"/>
  <c r="H228" i="42"/>
  <c r="G228" i="42"/>
  <c r="E228" i="42"/>
  <c r="L227" i="42"/>
  <c r="J227" i="42"/>
  <c r="I227" i="42"/>
  <c r="K227" i="42" s="1"/>
  <c r="H227" i="42"/>
  <c r="G227" i="42"/>
  <c r="L226" i="42"/>
  <c r="J226" i="42"/>
  <c r="I226" i="42"/>
  <c r="K226" i="42" s="1"/>
  <c r="H226" i="42"/>
  <c r="G226" i="42"/>
  <c r="L225" i="42"/>
  <c r="J225" i="42"/>
  <c r="I225" i="42"/>
  <c r="K225" i="42" s="1"/>
  <c r="H225" i="42"/>
  <c r="G225" i="42"/>
  <c r="L224" i="42"/>
  <c r="K224" i="42"/>
  <c r="F224" i="42" s="1"/>
  <c r="J224" i="42"/>
  <c r="I224" i="42"/>
  <c r="H224" i="42"/>
  <c r="G224" i="42"/>
  <c r="D224" i="42"/>
  <c r="C224" i="42"/>
  <c r="L223" i="42"/>
  <c r="J223" i="42"/>
  <c r="I223" i="42"/>
  <c r="K223" i="42" s="1"/>
  <c r="H223" i="42"/>
  <c r="G223" i="42"/>
  <c r="L222" i="42"/>
  <c r="J222" i="42"/>
  <c r="I222" i="42"/>
  <c r="K222" i="42" s="1"/>
  <c r="H222" i="42"/>
  <c r="G222" i="42"/>
  <c r="L221" i="42"/>
  <c r="K221" i="42"/>
  <c r="F221" i="42" s="1"/>
  <c r="J221" i="42"/>
  <c r="I221" i="42"/>
  <c r="H221" i="42"/>
  <c r="G221" i="42"/>
  <c r="L220" i="42"/>
  <c r="K220" i="42"/>
  <c r="F220" i="42" s="1"/>
  <c r="J220" i="42"/>
  <c r="I220" i="42"/>
  <c r="H220" i="42"/>
  <c r="G220" i="42"/>
  <c r="E220" i="42"/>
  <c r="L219" i="42"/>
  <c r="J219" i="42"/>
  <c r="I219" i="42"/>
  <c r="K219" i="42" s="1"/>
  <c r="H219" i="42"/>
  <c r="G219" i="42"/>
  <c r="L218" i="42"/>
  <c r="J218" i="42"/>
  <c r="I218" i="42"/>
  <c r="K218" i="42" s="1"/>
  <c r="H218" i="42"/>
  <c r="G218" i="42"/>
  <c r="L217" i="42"/>
  <c r="J217" i="42"/>
  <c r="I217" i="42"/>
  <c r="K217" i="42" s="1"/>
  <c r="H217" i="42"/>
  <c r="G217" i="42"/>
  <c r="L216" i="42"/>
  <c r="K216" i="42"/>
  <c r="E216" i="42" s="1"/>
  <c r="J216" i="42"/>
  <c r="I216" i="42"/>
  <c r="H216" i="42"/>
  <c r="G216" i="42"/>
  <c r="F216" i="42"/>
  <c r="D216" i="42"/>
  <c r="C216" i="42"/>
  <c r="L215" i="42"/>
  <c r="J215" i="42"/>
  <c r="I215" i="42"/>
  <c r="K215" i="42" s="1"/>
  <c r="H215" i="42"/>
  <c r="G215" i="42"/>
  <c r="L214" i="42"/>
  <c r="J214" i="42"/>
  <c r="I214" i="42"/>
  <c r="K214" i="42" s="1"/>
  <c r="H214" i="42"/>
  <c r="G214" i="42"/>
  <c r="L213" i="42"/>
  <c r="K213" i="42"/>
  <c r="F213" i="42" s="1"/>
  <c r="J213" i="42"/>
  <c r="I213" i="42"/>
  <c r="H213" i="42"/>
  <c r="G213" i="42"/>
  <c r="L212" i="42"/>
  <c r="K212" i="42"/>
  <c r="D212" i="42" s="1"/>
  <c r="J212" i="42"/>
  <c r="I212" i="42"/>
  <c r="H212" i="42"/>
  <c r="G212" i="42"/>
  <c r="E212" i="42"/>
  <c r="L211" i="42"/>
  <c r="J211" i="42"/>
  <c r="I211" i="42"/>
  <c r="K211" i="42" s="1"/>
  <c r="H211" i="42"/>
  <c r="G211" i="42"/>
  <c r="L210" i="42"/>
  <c r="J210" i="42"/>
  <c r="I210" i="42"/>
  <c r="K210" i="42" s="1"/>
  <c r="H210" i="42"/>
  <c r="G210" i="42"/>
  <c r="L209" i="42"/>
  <c r="J209" i="42"/>
  <c r="I209" i="42"/>
  <c r="K209" i="42" s="1"/>
  <c r="H209" i="42"/>
  <c r="G209" i="42"/>
  <c r="L208" i="42"/>
  <c r="K208" i="42"/>
  <c r="F208" i="42" s="1"/>
  <c r="J208" i="42"/>
  <c r="I208" i="42"/>
  <c r="H208" i="42"/>
  <c r="G208" i="42"/>
  <c r="D208" i="42"/>
  <c r="C208" i="42"/>
  <c r="L207" i="42"/>
  <c r="J207" i="42"/>
  <c r="I207" i="42"/>
  <c r="K207" i="42" s="1"/>
  <c r="H207" i="42"/>
  <c r="G207" i="42"/>
  <c r="L206" i="42"/>
  <c r="J206" i="42"/>
  <c r="I206" i="42"/>
  <c r="K206" i="42" s="1"/>
  <c r="H206" i="42"/>
  <c r="G206" i="42"/>
  <c r="L205" i="42"/>
  <c r="K205" i="42"/>
  <c r="F205" i="42" s="1"/>
  <c r="J205" i="42"/>
  <c r="I205" i="42"/>
  <c r="H205" i="42"/>
  <c r="G205" i="42"/>
  <c r="L204" i="42"/>
  <c r="K204" i="42"/>
  <c r="F204" i="42" s="1"/>
  <c r="J204" i="42"/>
  <c r="I204" i="42"/>
  <c r="H204" i="42"/>
  <c r="G204" i="42"/>
  <c r="E204" i="42"/>
  <c r="L203" i="42"/>
  <c r="J203" i="42"/>
  <c r="I203" i="42"/>
  <c r="K203" i="42" s="1"/>
  <c r="H203" i="42"/>
  <c r="G203" i="42"/>
  <c r="L202" i="42"/>
  <c r="J202" i="42"/>
  <c r="I202" i="42"/>
  <c r="K202" i="42" s="1"/>
  <c r="H202" i="42"/>
  <c r="G202" i="42"/>
  <c r="L201" i="42"/>
  <c r="J201" i="42"/>
  <c r="I201" i="42"/>
  <c r="K201" i="42" s="1"/>
  <c r="H201" i="42"/>
  <c r="G201" i="42"/>
  <c r="L200" i="42"/>
  <c r="K200" i="42"/>
  <c r="E200" i="42" s="1"/>
  <c r="J200" i="42"/>
  <c r="I200" i="42"/>
  <c r="H200" i="42"/>
  <c r="G200" i="42"/>
  <c r="F200" i="42"/>
  <c r="D200" i="42"/>
  <c r="C200" i="42"/>
  <c r="L199" i="42"/>
  <c r="J199" i="42"/>
  <c r="I199" i="42"/>
  <c r="K199" i="42" s="1"/>
  <c r="H199" i="42"/>
  <c r="G199" i="42"/>
  <c r="L198" i="42"/>
  <c r="J198" i="42"/>
  <c r="I198" i="42"/>
  <c r="K198" i="42" s="1"/>
  <c r="H198" i="42"/>
  <c r="G198" i="42"/>
  <c r="L197" i="42"/>
  <c r="K197" i="42"/>
  <c r="F197" i="42" s="1"/>
  <c r="J197" i="42"/>
  <c r="I197" i="42"/>
  <c r="H197" i="42"/>
  <c r="G197" i="42"/>
  <c r="L196" i="42"/>
  <c r="K196" i="42"/>
  <c r="D196" i="42" s="1"/>
  <c r="J196" i="42"/>
  <c r="I196" i="42"/>
  <c r="H196" i="42"/>
  <c r="G196" i="42"/>
  <c r="E196" i="42"/>
  <c r="L195" i="42"/>
  <c r="J195" i="42"/>
  <c r="I195" i="42"/>
  <c r="K195" i="42" s="1"/>
  <c r="H195" i="42"/>
  <c r="G195" i="42"/>
  <c r="L194" i="42"/>
  <c r="J194" i="42"/>
  <c r="I194" i="42"/>
  <c r="K194" i="42" s="1"/>
  <c r="H194" i="42"/>
  <c r="G194" i="42"/>
  <c r="L193" i="42"/>
  <c r="J193" i="42"/>
  <c r="I193" i="42"/>
  <c r="K193" i="42" s="1"/>
  <c r="H193" i="42"/>
  <c r="G193" i="42"/>
  <c r="L192" i="42"/>
  <c r="K192" i="42"/>
  <c r="F192" i="42" s="1"/>
  <c r="J192" i="42"/>
  <c r="I192" i="42"/>
  <c r="H192" i="42"/>
  <c r="G192" i="42"/>
  <c r="D192" i="42"/>
  <c r="C192" i="42"/>
  <c r="L191" i="42"/>
  <c r="J191" i="42"/>
  <c r="I191" i="42"/>
  <c r="K191" i="42" s="1"/>
  <c r="H191" i="42"/>
  <c r="G191" i="42"/>
  <c r="L190" i="42"/>
  <c r="J190" i="42"/>
  <c r="I190" i="42"/>
  <c r="K190" i="42" s="1"/>
  <c r="H190" i="42"/>
  <c r="G190" i="42"/>
  <c r="L189" i="42"/>
  <c r="K189" i="42"/>
  <c r="F189" i="42" s="1"/>
  <c r="J189" i="42"/>
  <c r="I189" i="42"/>
  <c r="H189" i="42"/>
  <c r="G189" i="42"/>
  <c r="L188" i="42"/>
  <c r="K188" i="42"/>
  <c r="F188" i="42" s="1"/>
  <c r="J188" i="42"/>
  <c r="I188" i="42"/>
  <c r="H188" i="42"/>
  <c r="G188" i="42"/>
  <c r="E188" i="42"/>
  <c r="L187" i="42"/>
  <c r="J187" i="42"/>
  <c r="I187" i="42"/>
  <c r="K187" i="42" s="1"/>
  <c r="H187" i="42"/>
  <c r="G187" i="42"/>
  <c r="L186" i="42"/>
  <c r="J186" i="42"/>
  <c r="I186" i="42"/>
  <c r="K186" i="42" s="1"/>
  <c r="H186" i="42"/>
  <c r="G186" i="42"/>
  <c r="L185" i="42"/>
  <c r="J185" i="42"/>
  <c r="I185" i="42"/>
  <c r="K185" i="42" s="1"/>
  <c r="H185" i="42"/>
  <c r="G185" i="42"/>
  <c r="L184" i="42"/>
  <c r="K184" i="42"/>
  <c r="E184" i="42" s="1"/>
  <c r="J184" i="42"/>
  <c r="I184" i="42"/>
  <c r="H184" i="42"/>
  <c r="G184" i="42"/>
  <c r="F184" i="42"/>
  <c r="D184" i="42"/>
  <c r="C184" i="42"/>
  <c r="L183" i="42"/>
  <c r="J183" i="42"/>
  <c r="I183" i="42"/>
  <c r="K183" i="42" s="1"/>
  <c r="H183" i="42"/>
  <c r="G183" i="42"/>
  <c r="L182" i="42"/>
  <c r="J182" i="42"/>
  <c r="I182" i="42"/>
  <c r="K182" i="42" s="1"/>
  <c r="H182" i="42"/>
  <c r="G182" i="42"/>
  <c r="L181" i="42"/>
  <c r="K181" i="42"/>
  <c r="F181" i="42" s="1"/>
  <c r="J181" i="42"/>
  <c r="I181" i="42"/>
  <c r="H181" i="42"/>
  <c r="G181" i="42"/>
  <c r="L180" i="42"/>
  <c r="K180" i="42"/>
  <c r="D180" i="42" s="1"/>
  <c r="J180" i="42"/>
  <c r="I180" i="42"/>
  <c r="H180" i="42"/>
  <c r="G180" i="42"/>
  <c r="E180" i="42"/>
  <c r="L179" i="42"/>
  <c r="J179" i="42"/>
  <c r="I179" i="42"/>
  <c r="K179" i="42" s="1"/>
  <c r="H179" i="42"/>
  <c r="G179" i="42"/>
  <c r="L178" i="42"/>
  <c r="J178" i="42"/>
  <c r="I178" i="42"/>
  <c r="K178" i="42" s="1"/>
  <c r="H178" i="42"/>
  <c r="G178" i="42"/>
  <c r="L177" i="42"/>
  <c r="J177" i="42"/>
  <c r="I177" i="42"/>
  <c r="K177" i="42" s="1"/>
  <c r="H177" i="42"/>
  <c r="G177" i="42"/>
  <c r="L176" i="42"/>
  <c r="J176" i="42"/>
  <c r="K176" i="42" s="1"/>
  <c r="I176" i="42"/>
  <c r="H176" i="42"/>
  <c r="G176" i="42"/>
  <c r="L175" i="42"/>
  <c r="J175" i="42"/>
  <c r="I175" i="42"/>
  <c r="K175" i="42" s="1"/>
  <c r="H175" i="42"/>
  <c r="G175" i="42"/>
  <c r="L174" i="42"/>
  <c r="J174" i="42"/>
  <c r="I174" i="42"/>
  <c r="K174" i="42" s="1"/>
  <c r="H174" i="42"/>
  <c r="G174" i="42"/>
  <c r="L173" i="42"/>
  <c r="K173" i="42"/>
  <c r="F173" i="42" s="1"/>
  <c r="J173" i="42"/>
  <c r="I173" i="42"/>
  <c r="H173" i="42"/>
  <c r="G173" i="42"/>
  <c r="L172" i="42"/>
  <c r="J172" i="42"/>
  <c r="I172" i="42"/>
  <c r="K172" i="42" s="1"/>
  <c r="H172" i="42"/>
  <c r="G172" i="42"/>
  <c r="L171" i="42"/>
  <c r="J171" i="42"/>
  <c r="I171" i="42"/>
  <c r="K171" i="42" s="1"/>
  <c r="H171" i="42"/>
  <c r="G171" i="42"/>
  <c r="L170" i="42"/>
  <c r="J170" i="42"/>
  <c r="I170" i="42"/>
  <c r="K170" i="42" s="1"/>
  <c r="H170" i="42"/>
  <c r="G170" i="42"/>
  <c r="L169" i="42"/>
  <c r="J169" i="42"/>
  <c r="I169" i="42"/>
  <c r="K169" i="42" s="1"/>
  <c r="H169" i="42"/>
  <c r="G169" i="42"/>
  <c r="L168" i="42"/>
  <c r="J168" i="42"/>
  <c r="I168" i="42"/>
  <c r="H168" i="42"/>
  <c r="K168" i="42" s="1"/>
  <c r="G168" i="42"/>
  <c r="L167" i="42"/>
  <c r="J167" i="42"/>
  <c r="I167" i="42"/>
  <c r="K167" i="42" s="1"/>
  <c r="H167" i="42"/>
  <c r="G167" i="42"/>
  <c r="L166" i="42"/>
  <c r="J166" i="42"/>
  <c r="I166" i="42"/>
  <c r="K166" i="42" s="1"/>
  <c r="H166" i="42"/>
  <c r="G166" i="42"/>
  <c r="L165" i="42"/>
  <c r="K165" i="42"/>
  <c r="F165" i="42" s="1"/>
  <c r="J165" i="42"/>
  <c r="I165" i="42"/>
  <c r="H165" i="42"/>
  <c r="G165" i="42"/>
  <c r="L164" i="42"/>
  <c r="J164" i="42"/>
  <c r="I164" i="42"/>
  <c r="K164" i="42" s="1"/>
  <c r="H164" i="42"/>
  <c r="G164" i="42"/>
  <c r="L163" i="42"/>
  <c r="J163" i="42"/>
  <c r="I163" i="42"/>
  <c r="K163" i="42" s="1"/>
  <c r="H163" i="42"/>
  <c r="G163" i="42"/>
  <c r="L162" i="42"/>
  <c r="J162" i="42"/>
  <c r="I162" i="42"/>
  <c r="K162" i="42" s="1"/>
  <c r="H162" i="42"/>
  <c r="G162" i="42"/>
  <c r="L161" i="42"/>
  <c r="J161" i="42"/>
  <c r="I161" i="42"/>
  <c r="K161" i="42" s="1"/>
  <c r="H161" i="42"/>
  <c r="G161" i="42"/>
  <c r="L160" i="42"/>
  <c r="J160" i="42"/>
  <c r="K160" i="42" s="1"/>
  <c r="I160" i="42"/>
  <c r="H160" i="42"/>
  <c r="G160" i="42"/>
  <c r="L159" i="42"/>
  <c r="J159" i="42"/>
  <c r="I159" i="42"/>
  <c r="K159" i="42" s="1"/>
  <c r="H159" i="42"/>
  <c r="G159" i="42"/>
  <c r="L158" i="42"/>
  <c r="J158" i="42"/>
  <c r="I158" i="42"/>
  <c r="K158" i="42" s="1"/>
  <c r="H158" i="42"/>
  <c r="G158" i="42"/>
  <c r="L157" i="42"/>
  <c r="K157" i="42"/>
  <c r="F157" i="42" s="1"/>
  <c r="J157" i="42"/>
  <c r="I157" i="42"/>
  <c r="H157" i="42"/>
  <c r="G157" i="42"/>
  <c r="L156" i="42"/>
  <c r="J156" i="42"/>
  <c r="I156" i="42"/>
  <c r="K156" i="42" s="1"/>
  <c r="H156" i="42"/>
  <c r="G156" i="42"/>
  <c r="L155" i="42"/>
  <c r="J155" i="42"/>
  <c r="I155" i="42"/>
  <c r="K155" i="42" s="1"/>
  <c r="H155" i="42"/>
  <c r="G155" i="42"/>
  <c r="L154" i="42"/>
  <c r="J154" i="42"/>
  <c r="I154" i="42"/>
  <c r="K154" i="42" s="1"/>
  <c r="H154" i="42"/>
  <c r="G154" i="42"/>
  <c r="L153" i="42"/>
  <c r="J153" i="42"/>
  <c r="I153" i="42"/>
  <c r="K153" i="42" s="1"/>
  <c r="H153" i="42"/>
  <c r="G153" i="42"/>
  <c r="L152" i="42"/>
  <c r="J152" i="42"/>
  <c r="I152" i="42"/>
  <c r="H152" i="42"/>
  <c r="K152" i="42" s="1"/>
  <c r="G152" i="42"/>
  <c r="L151" i="42"/>
  <c r="J151" i="42"/>
  <c r="I151" i="42"/>
  <c r="K151" i="42" s="1"/>
  <c r="H151" i="42"/>
  <c r="G151" i="42"/>
  <c r="L150" i="42"/>
  <c r="J150" i="42"/>
  <c r="I150" i="42"/>
  <c r="K150" i="42" s="1"/>
  <c r="H150" i="42"/>
  <c r="G150" i="42"/>
  <c r="L149" i="42"/>
  <c r="K149" i="42"/>
  <c r="F149" i="42" s="1"/>
  <c r="J149" i="42"/>
  <c r="I149" i="42"/>
  <c r="H149" i="42"/>
  <c r="G149" i="42"/>
  <c r="L148" i="42"/>
  <c r="J148" i="42"/>
  <c r="I148" i="42"/>
  <c r="K148" i="42" s="1"/>
  <c r="H148" i="42"/>
  <c r="G148" i="42"/>
  <c r="L147" i="42"/>
  <c r="J147" i="42"/>
  <c r="I147" i="42"/>
  <c r="K147" i="42" s="1"/>
  <c r="H147" i="42"/>
  <c r="G147" i="42"/>
  <c r="L146" i="42"/>
  <c r="J146" i="42"/>
  <c r="I146" i="42"/>
  <c r="K146" i="42" s="1"/>
  <c r="H146" i="42"/>
  <c r="G146" i="42"/>
  <c r="L145" i="42"/>
  <c r="J145" i="42"/>
  <c r="I145" i="42"/>
  <c r="K145" i="42" s="1"/>
  <c r="H145" i="42"/>
  <c r="G145" i="42"/>
  <c r="L144" i="42"/>
  <c r="J144" i="42"/>
  <c r="K144" i="42" s="1"/>
  <c r="I144" i="42"/>
  <c r="H144" i="42"/>
  <c r="G144" i="42"/>
  <c r="L143" i="42"/>
  <c r="J143" i="42"/>
  <c r="I143" i="42"/>
  <c r="K143" i="42" s="1"/>
  <c r="H143" i="42"/>
  <c r="G143" i="42"/>
  <c r="L142" i="42"/>
  <c r="J142" i="42"/>
  <c r="I142" i="42"/>
  <c r="K142" i="42" s="1"/>
  <c r="H142" i="42"/>
  <c r="G142" i="42"/>
  <c r="L141" i="42"/>
  <c r="K141" i="42"/>
  <c r="F141" i="42" s="1"/>
  <c r="J141" i="42"/>
  <c r="I141" i="42"/>
  <c r="H141" i="42"/>
  <c r="G141" i="42"/>
  <c r="L140" i="42"/>
  <c r="J140" i="42"/>
  <c r="I140" i="42"/>
  <c r="K140" i="42" s="1"/>
  <c r="H140" i="42"/>
  <c r="G140" i="42"/>
  <c r="L139" i="42"/>
  <c r="J139" i="42"/>
  <c r="I139" i="42"/>
  <c r="K139" i="42" s="1"/>
  <c r="H139" i="42"/>
  <c r="G139" i="42"/>
  <c r="L138" i="42"/>
  <c r="J138" i="42"/>
  <c r="I138" i="42"/>
  <c r="K138" i="42" s="1"/>
  <c r="H138" i="42"/>
  <c r="G138" i="42"/>
  <c r="L137" i="42"/>
  <c r="J137" i="42"/>
  <c r="I137" i="42"/>
  <c r="K137" i="42" s="1"/>
  <c r="H137" i="42"/>
  <c r="G137" i="42"/>
  <c r="L136" i="42"/>
  <c r="K136" i="42"/>
  <c r="E136" i="42" s="1"/>
  <c r="J136" i="42"/>
  <c r="I136" i="42"/>
  <c r="H136" i="42"/>
  <c r="G136" i="42"/>
  <c r="F136" i="42"/>
  <c r="D136" i="42"/>
  <c r="C136" i="42"/>
  <c r="L135" i="42"/>
  <c r="J135" i="42"/>
  <c r="I135" i="42"/>
  <c r="K135" i="42" s="1"/>
  <c r="H135" i="42"/>
  <c r="G135" i="42"/>
  <c r="L134" i="42"/>
  <c r="J134" i="42"/>
  <c r="I134" i="42"/>
  <c r="K134" i="42" s="1"/>
  <c r="H134" i="42"/>
  <c r="G134" i="42"/>
  <c r="L133" i="42"/>
  <c r="K133" i="42"/>
  <c r="F133" i="42" s="1"/>
  <c r="J133" i="42"/>
  <c r="I133" i="42"/>
  <c r="H133" i="42"/>
  <c r="G133" i="42"/>
  <c r="D133" i="42"/>
  <c r="L132" i="42"/>
  <c r="J132" i="42"/>
  <c r="I132" i="42"/>
  <c r="K132" i="42" s="1"/>
  <c r="H132" i="42"/>
  <c r="G132" i="42"/>
  <c r="L131" i="42"/>
  <c r="J131" i="42"/>
  <c r="I131" i="42"/>
  <c r="K131" i="42" s="1"/>
  <c r="H131" i="42"/>
  <c r="G131" i="42"/>
  <c r="L130" i="42"/>
  <c r="J130" i="42"/>
  <c r="I130" i="42"/>
  <c r="K130" i="42" s="1"/>
  <c r="H130" i="42"/>
  <c r="G130" i="42"/>
  <c r="L129" i="42"/>
  <c r="J129" i="42"/>
  <c r="I129" i="42"/>
  <c r="K129" i="42" s="1"/>
  <c r="H129" i="42"/>
  <c r="G129" i="42"/>
  <c r="L128" i="42"/>
  <c r="J128" i="42"/>
  <c r="K128" i="42" s="1"/>
  <c r="I128" i="42"/>
  <c r="H128" i="42"/>
  <c r="G128" i="42"/>
  <c r="L127" i="42"/>
  <c r="J127" i="42"/>
  <c r="I127" i="42"/>
  <c r="K127" i="42" s="1"/>
  <c r="H127" i="42"/>
  <c r="G127" i="42"/>
  <c r="L126" i="42"/>
  <c r="J126" i="42"/>
  <c r="I126" i="42"/>
  <c r="K126" i="42" s="1"/>
  <c r="H126" i="42"/>
  <c r="G126" i="42"/>
  <c r="L125" i="42"/>
  <c r="K125" i="42"/>
  <c r="F125" i="42" s="1"/>
  <c r="J125" i="42"/>
  <c r="I125" i="42"/>
  <c r="H125" i="42"/>
  <c r="G125" i="42"/>
  <c r="L124" i="42"/>
  <c r="J124" i="42"/>
  <c r="K124" i="42" s="1"/>
  <c r="I124" i="42"/>
  <c r="H124" i="42"/>
  <c r="G124" i="42"/>
  <c r="L123" i="42"/>
  <c r="J123" i="42"/>
  <c r="I123" i="42"/>
  <c r="K123" i="42" s="1"/>
  <c r="H123" i="42"/>
  <c r="G123" i="42"/>
  <c r="L122" i="42"/>
  <c r="J122" i="42"/>
  <c r="I122" i="42"/>
  <c r="K122" i="42" s="1"/>
  <c r="H122" i="42"/>
  <c r="G122" i="42"/>
  <c r="L121" i="42"/>
  <c r="J121" i="42"/>
  <c r="I121" i="42"/>
  <c r="K121" i="42" s="1"/>
  <c r="H121" i="42"/>
  <c r="G121" i="42"/>
  <c r="L120" i="42"/>
  <c r="J120" i="42"/>
  <c r="K120" i="42" s="1"/>
  <c r="I120" i="42"/>
  <c r="H120" i="42"/>
  <c r="G120" i="42"/>
  <c r="L119" i="42"/>
  <c r="J119" i="42"/>
  <c r="I119" i="42"/>
  <c r="K119" i="42" s="1"/>
  <c r="H119" i="42"/>
  <c r="G119" i="42"/>
  <c r="L118" i="42"/>
  <c r="J118" i="42"/>
  <c r="I118" i="42"/>
  <c r="K118" i="42" s="1"/>
  <c r="H118" i="42"/>
  <c r="G118" i="42"/>
  <c r="L117" i="42"/>
  <c r="K117" i="42"/>
  <c r="D117" i="42" s="1"/>
  <c r="J117" i="42"/>
  <c r="I117" i="42"/>
  <c r="H117" i="42"/>
  <c r="G117" i="42"/>
  <c r="L116" i="42"/>
  <c r="J116" i="42"/>
  <c r="I116" i="42"/>
  <c r="K116" i="42" s="1"/>
  <c r="H116" i="42"/>
  <c r="G116" i="42"/>
  <c r="L115" i="42"/>
  <c r="J115" i="42"/>
  <c r="I115" i="42"/>
  <c r="K115" i="42" s="1"/>
  <c r="H115" i="42"/>
  <c r="G115" i="42"/>
  <c r="L114" i="42"/>
  <c r="J114" i="42"/>
  <c r="I114" i="42"/>
  <c r="K114" i="42" s="1"/>
  <c r="H114" i="42"/>
  <c r="G114" i="42"/>
  <c r="L113" i="42"/>
  <c r="J113" i="42"/>
  <c r="I113" i="42"/>
  <c r="K113" i="42" s="1"/>
  <c r="H113" i="42"/>
  <c r="G113" i="42"/>
  <c r="L112" i="42"/>
  <c r="J112" i="42"/>
  <c r="K112" i="42" s="1"/>
  <c r="I112" i="42"/>
  <c r="H112" i="42"/>
  <c r="G112" i="42"/>
  <c r="L111" i="42"/>
  <c r="J111" i="42"/>
  <c r="I111" i="42"/>
  <c r="K111" i="42" s="1"/>
  <c r="H111" i="42"/>
  <c r="G111" i="42"/>
  <c r="L110" i="42"/>
  <c r="J110" i="42"/>
  <c r="I110" i="42"/>
  <c r="K110" i="42" s="1"/>
  <c r="H110" i="42"/>
  <c r="G110" i="42"/>
  <c r="L109" i="42"/>
  <c r="K109" i="42"/>
  <c r="F109" i="42" s="1"/>
  <c r="J109" i="42"/>
  <c r="I109" i="42"/>
  <c r="H109" i="42"/>
  <c r="G109" i="42"/>
  <c r="L108" i="42"/>
  <c r="J108" i="42"/>
  <c r="K108" i="42" s="1"/>
  <c r="I108" i="42"/>
  <c r="H108" i="42"/>
  <c r="G108" i="42"/>
  <c r="L107" i="42"/>
  <c r="J107" i="42"/>
  <c r="I107" i="42"/>
  <c r="K107" i="42" s="1"/>
  <c r="H107" i="42"/>
  <c r="G107" i="42"/>
  <c r="L106" i="42"/>
  <c r="J106" i="42"/>
  <c r="I106" i="42"/>
  <c r="K106" i="42" s="1"/>
  <c r="H106" i="42"/>
  <c r="G106" i="42"/>
  <c r="L105" i="42"/>
  <c r="J105" i="42"/>
  <c r="I105" i="42"/>
  <c r="K105" i="42" s="1"/>
  <c r="H105" i="42"/>
  <c r="G105" i="42"/>
  <c r="L104" i="42"/>
  <c r="J104" i="42"/>
  <c r="K104" i="42" s="1"/>
  <c r="I104" i="42"/>
  <c r="H104" i="42"/>
  <c r="G104" i="42"/>
  <c r="L103" i="42"/>
  <c r="J103" i="42"/>
  <c r="K103" i="42" s="1"/>
  <c r="I103" i="42"/>
  <c r="H103" i="42"/>
  <c r="G103" i="42"/>
  <c r="L102" i="42"/>
  <c r="J102" i="42"/>
  <c r="I102" i="42"/>
  <c r="K102" i="42" s="1"/>
  <c r="H102" i="42"/>
  <c r="G102" i="42"/>
  <c r="L101" i="42"/>
  <c r="K101" i="42"/>
  <c r="F101" i="42" s="1"/>
  <c r="J101" i="42"/>
  <c r="I101" i="42"/>
  <c r="H101" i="42"/>
  <c r="G101" i="42"/>
  <c r="L100" i="42"/>
  <c r="J100" i="42"/>
  <c r="I100" i="42"/>
  <c r="K100" i="42" s="1"/>
  <c r="H100" i="42"/>
  <c r="G100" i="42"/>
  <c r="L99" i="42"/>
  <c r="J99" i="42"/>
  <c r="I99" i="42"/>
  <c r="K99" i="42" s="1"/>
  <c r="H99" i="42"/>
  <c r="G99" i="42"/>
  <c r="L98" i="42"/>
  <c r="J98" i="42"/>
  <c r="I98" i="42"/>
  <c r="K98" i="42" s="1"/>
  <c r="H98" i="42"/>
  <c r="G98" i="42"/>
  <c r="L97" i="42"/>
  <c r="J97" i="42"/>
  <c r="I97" i="42"/>
  <c r="K97" i="42" s="1"/>
  <c r="H97" i="42"/>
  <c r="G97" i="42"/>
  <c r="L96" i="42"/>
  <c r="J96" i="42"/>
  <c r="I96" i="42"/>
  <c r="K96" i="42" s="1"/>
  <c r="H96" i="42"/>
  <c r="G96" i="42"/>
  <c r="L95" i="42"/>
  <c r="J95" i="42"/>
  <c r="I95" i="42"/>
  <c r="K95" i="42" s="1"/>
  <c r="H95" i="42"/>
  <c r="G95" i="42"/>
  <c r="L94" i="42"/>
  <c r="J94" i="42"/>
  <c r="I94" i="42"/>
  <c r="K94" i="42" s="1"/>
  <c r="H94" i="42"/>
  <c r="G94" i="42"/>
  <c r="L93" i="42"/>
  <c r="K93" i="42"/>
  <c r="F93" i="42" s="1"/>
  <c r="J93" i="42"/>
  <c r="I93" i="42"/>
  <c r="H93" i="42"/>
  <c r="G93" i="42"/>
  <c r="L92" i="42"/>
  <c r="K92" i="42"/>
  <c r="F92" i="42" s="1"/>
  <c r="J92" i="42"/>
  <c r="I92" i="42"/>
  <c r="H92" i="42"/>
  <c r="G92" i="42"/>
  <c r="L91" i="42"/>
  <c r="J91" i="42"/>
  <c r="I91" i="42"/>
  <c r="K91" i="42" s="1"/>
  <c r="H91" i="42"/>
  <c r="G91" i="42"/>
  <c r="L90" i="42"/>
  <c r="J90" i="42"/>
  <c r="I90" i="42"/>
  <c r="K90" i="42" s="1"/>
  <c r="H90" i="42"/>
  <c r="G90" i="42"/>
  <c r="L89" i="42"/>
  <c r="J89" i="42"/>
  <c r="I89" i="42"/>
  <c r="K89" i="42" s="1"/>
  <c r="H89" i="42"/>
  <c r="G89" i="42"/>
  <c r="L88" i="42"/>
  <c r="J88" i="42"/>
  <c r="K88" i="42" s="1"/>
  <c r="I88" i="42"/>
  <c r="H88" i="42"/>
  <c r="G88" i="42"/>
  <c r="L87" i="42"/>
  <c r="J87" i="42"/>
  <c r="K87" i="42" s="1"/>
  <c r="I87" i="42"/>
  <c r="H87" i="42"/>
  <c r="G87" i="42"/>
  <c r="L86" i="42"/>
  <c r="J86" i="42"/>
  <c r="I86" i="42"/>
  <c r="K86" i="42" s="1"/>
  <c r="H86" i="42"/>
  <c r="G86" i="42"/>
  <c r="L85" i="42"/>
  <c r="K85" i="42"/>
  <c r="D85" i="42" s="1"/>
  <c r="J85" i="42"/>
  <c r="I85" i="42"/>
  <c r="H85" i="42"/>
  <c r="G85" i="42"/>
  <c r="L84" i="42"/>
  <c r="J84" i="42"/>
  <c r="I84" i="42"/>
  <c r="K84" i="42" s="1"/>
  <c r="H84" i="42"/>
  <c r="G84" i="42"/>
  <c r="L83" i="42"/>
  <c r="J83" i="42"/>
  <c r="I83" i="42"/>
  <c r="K83" i="42" s="1"/>
  <c r="H83" i="42"/>
  <c r="G83" i="42"/>
  <c r="L82" i="42"/>
  <c r="K82" i="42" s="1"/>
  <c r="J82" i="42"/>
  <c r="I82" i="42"/>
  <c r="H82" i="42"/>
  <c r="G82" i="42"/>
  <c r="L81" i="42"/>
  <c r="J81" i="42"/>
  <c r="I81" i="42"/>
  <c r="K81" i="42" s="1"/>
  <c r="H81" i="42"/>
  <c r="G81" i="42"/>
  <c r="L80" i="42"/>
  <c r="J80" i="42"/>
  <c r="I80" i="42"/>
  <c r="K80" i="42" s="1"/>
  <c r="H80" i="42"/>
  <c r="G80" i="42"/>
  <c r="L79" i="42"/>
  <c r="J79" i="42"/>
  <c r="I79" i="42"/>
  <c r="K79" i="42" s="1"/>
  <c r="H79" i="42"/>
  <c r="G79" i="42"/>
  <c r="L78" i="42"/>
  <c r="J78" i="42"/>
  <c r="K78" i="42" s="1"/>
  <c r="I78" i="42"/>
  <c r="H78" i="42"/>
  <c r="G78" i="42"/>
  <c r="L77" i="42"/>
  <c r="K77" i="42"/>
  <c r="F77" i="42" s="1"/>
  <c r="J77" i="42"/>
  <c r="I77" i="42"/>
  <c r="H77" i="42"/>
  <c r="G77" i="42"/>
  <c r="L76" i="42"/>
  <c r="J76" i="42"/>
  <c r="I76" i="42"/>
  <c r="K76" i="42" s="1"/>
  <c r="H76" i="42"/>
  <c r="G76" i="42"/>
  <c r="L75" i="42"/>
  <c r="J75" i="42"/>
  <c r="I75" i="42"/>
  <c r="K75" i="42" s="1"/>
  <c r="H75" i="42"/>
  <c r="G75" i="42"/>
  <c r="L74" i="42"/>
  <c r="J74" i="42"/>
  <c r="I74" i="42"/>
  <c r="K74" i="42" s="1"/>
  <c r="H74" i="42"/>
  <c r="G74" i="42"/>
  <c r="L73" i="42"/>
  <c r="J73" i="42"/>
  <c r="I73" i="42"/>
  <c r="K73" i="42" s="1"/>
  <c r="H73" i="42"/>
  <c r="G73" i="42"/>
  <c r="L72" i="42"/>
  <c r="J72" i="42"/>
  <c r="I72" i="42"/>
  <c r="K72" i="42" s="1"/>
  <c r="H72" i="42"/>
  <c r="G72" i="42"/>
  <c r="L71" i="42"/>
  <c r="J71" i="42"/>
  <c r="K71" i="42" s="1"/>
  <c r="I71" i="42"/>
  <c r="H71" i="42"/>
  <c r="G71" i="42"/>
  <c r="L70" i="42"/>
  <c r="J70" i="42"/>
  <c r="I70" i="42"/>
  <c r="K70" i="42" s="1"/>
  <c r="H70" i="42"/>
  <c r="G70" i="42"/>
  <c r="L69" i="42"/>
  <c r="K69" i="42"/>
  <c r="D69" i="42" s="1"/>
  <c r="J69" i="42"/>
  <c r="I69" i="42"/>
  <c r="H69" i="42"/>
  <c r="G69" i="42"/>
  <c r="L68" i="42"/>
  <c r="J68" i="42"/>
  <c r="I68" i="42"/>
  <c r="K68" i="42" s="1"/>
  <c r="H68" i="42"/>
  <c r="G68" i="42"/>
  <c r="L67" i="42"/>
  <c r="J67" i="42"/>
  <c r="I67" i="42"/>
  <c r="K67" i="42" s="1"/>
  <c r="H67" i="42"/>
  <c r="G67" i="42"/>
  <c r="L66" i="42"/>
  <c r="K66" i="42" s="1"/>
  <c r="J66" i="42"/>
  <c r="I66" i="42"/>
  <c r="H66" i="42"/>
  <c r="G66" i="42"/>
  <c r="L65" i="42"/>
  <c r="J65" i="42"/>
  <c r="I65" i="42"/>
  <c r="K65" i="42" s="1"/>
  <c r="H65" i="42"/>
  <c r="G65" i="42"/>
  <c r="L64" i="42"/>
  <c r="J64" i="42"/>
  <c r="I64" i="42"/>
  <c r="K64" i="42" s="1"/>
  <c r="H64" i="42"/>
  <c r="G64" i="42"/>
  <c r="L63" i="42"/>
  <c r="J63" i="42"/>
  <c r="I63" i="42"/>
  <c r="K63" i="42" s="1"/>
  <c r="H63" i="42"/>
  <c r="G63" i="42"/>
  <c r="L62" i="42"/>
  <c r="J62" i="42"/>
  <c r="I62" i="42"/>
  <c r="K62" i="42" s="1"/>
  <c r="H62" i="42"/>
  <c r="G62" i="42"/>
  <c r="L61" i="42"/>
  <c r="K61" i="42"/>
  <c r="F61" i="42" s="1"/>
  <c r="J61" i="42"/>
  <c r="I61" i="42"/>
  <c r="H61" i="42"/>
  <c r="G61" i="42"/>
  <c r="L60" i="42"/>
  <c r="J60" i="42"/>
  <c r="I60" i="42"/>
  <c r="K60" i="42" s="1"/>
  <c r="H60" i="42"/>
  <c r="G60" i="42"/>
  <c r="L59" i="42"/>
  <c r="J59" i="42"/>
  <c r="I59" i="42"/>
  <c r="K59" i="42" s="1"/>
  <c r="H59" i="42"/>
  <c r="G59" i="42"/>
  <c r="L58" i="42"/>
  <c r="J58" i="42"/>
  <c r="I58" i="42"/>
  <c r="K58" i="42" s="1"/>
  <c r="H58" i="42"/>
  <c r="G58" i="42"/>
  <c r="L57" i="42"/>
  <c r="J57" i="42"/>
  <c r="I57" i="42"/>
  <c r="K57" i="42" s="1"/>
  <c r="H57" i="42"/>
  <c r="G57" i="42"/>
  <c r="L56" i="42"/>
  <c r="J56" i="42"/>
  <c r="I56" i="42"/>
  <c r="K56" i="42" s="1"/>
  <c r="H56" i="42"/>
  <c r="G56" i="42"/>
  <c r="L55" i="42"/>
  <c r="J55" i="42"/>
  <c r="I55" i="42"/>
  <c r="K55" i="42" s="1"/>
  <c r="H55" i="42"/>
  <c r="G55" i="42"/>
  <c r="L54" i="42"/>
  <c r="J54" i="42"/>
  <c r="I54" i="42"/>
  <c r="K54" i="42" s="1"/>
  <c r="H54" i="42"/>
  <c r="G54" i="42"/>
  <c r="L53" i="42"/>
  <c r="K53" i="42"/>
  <c r="D53" i="42" s="1"/>
  <c r="J53" i="42"/>
  <c r="I53" i="42"/>
  <c r="H53" i="42"/>
  <c r="G53" i="42"/>
  <c r="L52" i="42"/>
  <c r="J52" i="42"/>
  <c r="I52" i="42"/>
  <c r="K52" i="42" s="1"/>
  <c r="H52" i="42"/>
  <c r="G52" i="42"/>
  <c r="L51" i="42"/>
  <c r="J51" i="42"/>
  <c r="I51" i="42"/>
  <c r="K51" i="42" s="1"/>
  <c r="H51" i="42"/>
  <c r="G51" i="42"/>
  <c r="L50" i="42"/>
  <c r="K50" i="42" s="1"/>
  <c r="J50" i="42"/>
  <c r="I50" i="42"/>
  <c r="H50" i="42"/>
  <c r="G50" i="42"/>
  <c r="L49" i="42"/>
  <c r="J49" i="42"/>
  <c r="I49" i="42"/>
  <c r="K49" i="42" s="1"/>
  <c r="H49" i="42"/>
  <c r="G49" i="42"/>
  <c r="L48" i="42"/>
  <c r="J48" i="42"/>
  <c r="I48" i="42"/>
  <c r="K48" i="42" s="1"/>
  <c r="H48" i="42"/>
  <c r="G48" i="42"/>
  <c r="L47" i="42"/>
  <c r="J47" i="42"/>
  <c r="I47" i="42"/>
  <c r="K47" i="42" s="1"/>
  <c r="H47" i="42"/>
  <c r="G47" i="42"/>
  <c r="L46" i="42"/>
  <c r="J46" i="42"/>
  <c r="I46" i="42"/>
  <c r="K46" i="42" s="1"/>
  <c r="H46" i="42"/>
  <c r="G46" i="42"/>
  <c r="L45" i="42"/>
  <c r="K45" i="42"/>
  <c r="F45" i="42" s="1"/>
  <c r="J45" i="42"/>
  <c r="I45" i="42"/>
  <c r="H45" i="42"/>
  <c r="G45" i="42"/>
  <c r="L44" i="42"/>
  <c r="J44" i="42"/>
  <c r="I44" i="42"/>
  <c r="K44" i="42" s="1"/>
  <c r="H44" i="42"/>
  <c r="G44" i="42"/>
  <c r="L43" i="42"/>
  <c r="J43" i="42"/>
  <c r="I43" i="42"/>
  <c r="K43" i="42" s="1"/>
  <c r="H43" i="42"/>
  <c r="G43" i="42"/>
  <c r="L42" i="42"/>
  <c r="J42" i="42"/>
  <c r="I42" i="42"/>
  <c r="K42" i="42" s="1"/>
  <c r="H42" i="42"/>
  <c r="G42" i="42"/>
  <c r="L41" i="42"/>
  <c r="J41" i="42"/>
  <c r="I41" i="42"/>
  <c r="K41" i="42" s="1"/>
  <c r="H41" i="42"/>
  <c r="G41" i="42"/>
  <c r="L40" i="42"/>
  <c r="J40" i="42"/>
  <c r="I40" i="42"/>
  <c r="K40" i="42" s="1"/>
  <c r="H40" i="42"/>
  <c r="G40" i="42"/>
  <c r="L39" i="42"/>
  <c r="J39" i="42"/>
  <c r="K39" i="42" s="1"/>
  <c r="I39" i="42"/>
  <c r="H39" i="42"/>
  <c r="G39" i="42"/>
  <c r="L38" i="42"/>
  <c r="J38" i="42"/>
  <c r="I38" i="42"/>
  <c r="K38" i="42" s="1"/>
  <c r="H38" i="42"/>
  <c r="G38" i="42"/>
  <c r="L37" i="42"/>
  <c r="K37" i="42"/>
  <c r="F37" i="42" s="1"/>
  <c r="J37" i="42"/>
  <c r="I37" i="42"/>
  <c r="H37" i="42"/>
  <c r="G37" i="42"/>
  <c r="L36" i="42"/>
  <c r="J36" i="42"/>
  <c r="I36" i="42"/>
  <c r="K36" i="42" s="1"/>
  <c r="H36" i="42"/>
  <c r="G36" i="42"/>
  <c r="L35" i="42"/>
  <c r="J35" i="42"/>
  <c r="I35" i="42"/>
  <c r="K35" i="42" s="1"/>
  <c r="H35" i="42"/>
  <c r="G35" i="42"/>
  <c r="L34" i="42"/>
  <c r="K34" i="42"/>
  <c r="F34" i="42" s="1"/>
  <c r="J34" i="42"/>
  <c r="I34" i="42"/>
  <c r="H34" i="42"/>
  <c r="G34" i="42"/>
  <c r="L33" i="42"/>
  <c r="J33" i="42"/>
  <c r="I33" i="42"/>
  <c r="K33" i="42" s="1"/>
  <c r="H33" i="42"/>
  <c r="G33" i="42"/>
  <c r="L32" i="42"/>
  <c r="J32" i="42"/>
  <c r="I32" i="42"/>
  <c r="K32" i="42" s="1"/>
  <c r="H32" i="42"/>
  <c r="G32" i="42"/>
  <c r="L31" i="42"/>
  <c r="J31" i="42"/>
  <c r="I31" i="42"/>
  <c r="K31" i="42" s="1"/>
  <c r="H31" i="42"/>
  <c r="G31" i="42"/>
  <c r="L30" i="42"/>
  <c r="J30" i="42"/>
  <c r="I30" i="42"/>
  <c r="K30" i="42" s="1"/>
  <c r="H30" i="42"/>
  <c r="G30" i="42"/>
  <c r="L29" i="42"/>
  <c r="K29" i="42"/>
  <c r="F29" i="42" s="1"/>
  <c r="J29" i="42"/>
  <c r="I29" i="42"/>
  <c r="H29" i="42"/>
  <c r="G29" i="42"/>
  <c r="L28" i="42"/>
  <c r="J28" i="42"/>
  <c r="I28" i="42"/>
  <c r="K28" i="42" s="1"/>
  <c r="H28" i="42"/>
  <c r="G28" i="42"/>
  <c r="L27" i="42"/>
  <c r="J27" i="42"/>
  <c r="I27" i="42"/>
  <c r="K27" i="42" s="1"/>
  <c r="H27" i="42"/>
  <c r="G27" i="42"/>
  <c r="L26" i="42"/>
  <c r="J26" i="42"/>
  <c r="I26" i="42"/>
  <c r="K26" i="42" s="1"/>
  <c r="H26" i="42"/>
  <c r="G26" i="42"/>
  <c r="L25" i="42"/>
  <c r="J25" i="42"/>
  <c r="I25" i="42"/>
  <c r="K25" i="42" s="1"/>
  <c r="H25" i="42"/>
  <c r="G25" i="42"/>
  <c r="L24" i="42"/>
  <c r="J24" i="42"/>
  <c r="I24" i="42"/>
  <c r="K24" i="42" s="1"/>
  <c r="H24" i="42"/>
  <c r="G24" i="42"/>
  <c r="L23" i="42"/>
  <c r="J23" i="42"/>
  <c r="I23" i="42"/>
  <c r="K23" i="42" s="1"/>
  <c r="H23" i="42"/>
  <c r="G23" i="42"/>
  <c r="L22" i="42"/>
  <c r="J22" i="42"/>
  <c r="I22" i="42"/>
  <c r="K22" i="42" s="1"/>
  <c r="H22" i="42"/>
  <c r="G22" i="42"/>
  <c r="L21" i="42"/>
  <c r="K21" i="42"/>
  <c r="D21" i="42" s="1"/>
  <c r="J21" i="42"/>
  <c r="I21" i="42"/>
  <c r="H21" i="42"/>
  <c r="G21" i="42"/>
  <c r="L20" i="42"/>
  <c r="J20" i="42"/>
  <c r="I20" i="42"/>
  <c r="K20" i="42" s="1"/>
  <c r="H20" i="42"/>
  <c r="G20" i="42"/>
  <c r="L19" i="42"/>
  <c r="J19" i="42"/>
  <c r="I19" i="42"/>
  <c r="K19" i="42" s="1"/>
  <c r="H19" i="42"/>
  <c r="G19" i="42"/>
  <c r="L18" i="42"/>
  <c r="K18" i="42"/>
  <c r="F18" i="42" s="1"/>
  <c r="J18" i="42"/>
  <c r="I18" i="42"/>
  <c r="H18" i="42"/>
  <c r="G18" i="42"/>
  <c r="L17" i="42"/>
  <c r="J17" i="42"/>
  <c r="I17" i="42"/>
  <c r="K17" i="42" s="1"/>
  <c r="H17" i="42"/>
  <c r="G17" i="42"/>
  <c r="L16" i="42"/>
  <c r="J16" i="42"/>
  <c r="I16" i="42"/>
  <c r="K16" i="42" s="1"/>
  <c r="H16" i="42"/>
  <c r="G16" i="42"/>
  <c r="L15" i="42"/>
  <c r="J15" i="42"/>
  <c r="I15" i="42"/>
  <c r="K15" i="42" s="1"/>
  <c r="H15" i="42"/>
  <c r="G15" i="42"/>
  <c r="L14" i="42"/>
  <c r="J14" i="42"/>
  <c r="I14" i="42"/>
  <c r="K14" i="42" s="1"/>
  <c r="H14" i="42"/>
  <c r="G14" i="42"/>
  <c r="E557" i="42" l="1"/>
  <c r="F557" i="42"/>
  <c r="D557" i="42"/>
  <c r="C557" i="42"/>
  <c r="F539" i="42"/>
  <c r="D539" i="42"/>
  <c r="C539" i="42"/>
  <c r="K551" i="42"/>
  <c r="K563" i="42"/>
  <c r="K569" i="42"/>
  <c r="K575" i="42"/>
  <c r="K534" i="42"/>
  <c r="K576" i="42"/>
  <c r="K546" i="42"/>
  <c r="F546" i="42" s="1"/>
  <c r="K564" i="42"/>
  <c r="C541" i="42"/>
  <c r="D541" i="42"/>
  <c r="K577" i="42"/>
  <c r="F577" i="42" s="1"/>
  <c r="F541" i="42"/>
  <c r="K547" i="42"/>
  <c r="K553" i="42"/>
  <c r="K565" i="42"/>
  <c r="D565" i="42" s="1"/>
  <c r="K571" i="42"/>
  <c r="K536" i="42"/>
  <c r="F536" i="42" s="1"/>
  <c r="K578" i="42"/>
  <c r="F578" i="42" s="1"/>
  <c r="K548" i="42"/>
  <c r="K566" i="42"/>
  <c r="K572" i="42"/>
  <c r="F572" i="42" s="1"/>
  <c r="K542" i="42"/>
  <c r="F542" i="42" s="1"/>
  <c r="K560" i="42"/>
  <c r="K579" i="42"/>
  <c r="F579" i="42" s="1"/>
  <c r="K549" i="42"/>
  <c r="F549" i="42" s="1"/>
  <c r="K538" i="42"/>
  <c r="K567" i="42"/>
  <c r="K532" i="42"/>
  <c r="K543" i="42"/>
  <c r="K556" i="42"/>
  <c r="K574" i="42"/>
  <c r="K544" i="42"/>
  <c r="K562" i="42"/>
  <c r="K533" i="42"/>
  <c r="K530" i="42"/>
  <c r="F530" i="42" s="1"/>
  <c r="F40" i="42"/>
  <c r="C40" i="42"/>
  <c r="E40" i="42"/>
  <c r="D40" i="42"/>
  <c r="D30" i="42"/>
  <c r="F30" i="42"/>
  <c r="E30" i="42"/>
  <c r="C30" i="42"/>
  <c r="F86" i="42"/>
  <c r="E86" i="42"/>
  <c r="D86" i="42"/>
  <c r="C86" i="42"/>
  <c r="D24" i="42"/>
  <c r="F24" i="42"/>
  <c r="E24" i="42"/>
  <c r="C24" i="42"/>
  <c r="F55" i="42"/>
  <c r="E55" i="42"/>
  <c r="D55" i="42"/>
  <c r="C55" i="42"/>
  <c r="C80" i="42"/>
  <c r="D80" i="42"/>
  <c r="F80" i="42"/>
  <c r="E80" i="42"/>
  <c r="F111" i="42"/>
  <c r="E111" i="42"/>
  <c r="D111" i="42"/>
  <c r="C111" i="42"/>
  <c r="F217" i="42"/>
  <c r="E217" i="42"/>
  <c r="D217" i="42"/>
  <c r="C217" i="42"/>
  <c r="C334" i="42"/>
  <c r="F334" i="42"/>
  <c r="E334" i="42"/>
  <c r="D334" i="42"/>
  <c r="F74" i="42"/>
  <c r="E74" i="42"/>
  <c r="D74" i="42"/>
  <c r="C74" i="42"/>
  <c r="F105" i="42"/>
  <c r="E105" i="42"/>
  <c r="D105" i="42"/>
  <c r="C105" i="42"/>
  <c r="F130" i="42"/>
  <c r="E130" i="42"/>
  <c r="D130" i="42"/>
  <c r="C130" i="42"/>
  <c r="F154" i="42"/>
  <c r="E154" i="42"/>
  <c r="D154" i="42"/>
  <c r="C154" i="42"/>
  <c r="F160" i="42"/>
  <c r="E160" i="42"/>
  <c r="D160" i="42"/>
  <c r="C160" i="42"/>
  <c r="F179" i="42"/>
  <c r="E179" i="42"/>
  <c r="D179" i="42"/>
  <c r="C179" i="42"/>
  <c r="F223" i="42"/>
  <c r="E223" i="42"/>
  <c r="D223" i="42"/>
  <c r="C223" i="42"/>
  <c r="F299" i="42"/>
  <c r="E299" i="42"/>
  <c r="D299" i="42"/>
  <c r="C299" i="42"/>
  <c r="F99" i="42"/>
  <c r="E99" i="42"/>
  <c r="D99" i="42"/>
  <c r="C99" i="42"/>
  <c r="D148" i="42"/>
  <c r="C148" i="42"/>
  <c r="F148" i="42"/>
  <c r="E148" i="42"/>
  <c r="F190" i="42"/>
  <c r="E190" i="42"/>
  <c r="D190" i="42"/>
  <c r="C190" i="42"/>
  <c r="E257" i="42"/>
  <c r="D257" i="42"/>
  <c r="F257" i="42"/>
  <c r="C257" i="42"/>
  <c r="E323" i="42"/>
  <c r="D323" i="42"/>
  <c r="C323" i="42"/>
  <c r="F323" i="42"/>
  <c r="E353" i="42"/>
  <c r="D353" i="42"/>
  <c r="F353" i="42"/>
  <c r="C353" i="42"/>
  <c r="F371" i="42"/>
  <c r="E371" i="42"/>
  <c r="D371" i="42"/>
  <c r="C371" i="42"/>
  <c r="F124" i="42"/>
  <c r="E124" i="42"/>
  <c r="D124" i="42"/>
  <c r="C124" i="42"/>
  <c r="F201" i="42"/>
  <c r="E201" i="42"/>
  <c r="D201" i="42"/>
  <c r="C201" i="42"/>
  <c r="F251" i="42"/>
  <c r="E251" i="42"/>
  <c r="D251" i="42"/>
  <c r="C251" i="42"/>
  <c r="E275" i="42"/>
  <c r="D275" i="42"/>
  <c r="C275" i="42"/>
  <c r="F275" i="42"/>
  <c r="E329" i="42"/>
  <c r="D329" i="42"/>
  <c r="C329" i="42"/>
  <c r="F329" i="42"/>
  <c r="F347" i="42"/>
  <c r="E347" i="42"/>
  <c r="D347" i="42"/>
  <c r="C347" i="42"/>
  <c r="F142" i="42"/>
  <c r="E142" i="42"/>
  <c r="D142" i="42"/>
  <c r="C142" i="42"/>
  <c r="F167" i="42"/>
  <c r="E167" i="42"/>
  <c r="D167" i="42"/>
  <c r="C167" i="42"/>
  <c r="F207" i="42"/>
  <c r="E207" i="42"/>
  <c r="D207" i="42"/>
  <c r="C207" i="42"/>
  <c r="E281" i="42"/>
  <c r="D281" i="42"/>
  <c r="C281" i="42"/>
  <c r="F281" i="42"/>
  <c r="F397" i="42"/>
  <c r="E397" i="42"/>
  <c r="D397" i="42"/>
  <c r="C397" i="42"/>
  <c r="F81" i="42"/>
  <c r="E81" i="42"/>
  <c r="D81" i="42"/>
  <c r="C81" i="42"/>
  <c r="F161" i="42"/>
  <c r="E161" i="42"/>
  <c r="D161" i="42"/>
  <c r="C161" i="42"/>
  <c r="F218" i="42"/>
  <c r="E218" i="42"/>
  <c r="D218" i="42"/>
  <c r="C218" i="42"/>
  <c r="F131" i="42"/>
  <c r="E131" i="42"/>
  <c r="D131" i="42"/>
  <c r="C131" i="42"/>
  <c r="F185" i="42"/>
  <c r="E185" i="42"/>
  <c r="D185" i="42"/>
  <c r="C185" i="42"/>
  <c r="D366" i="42"/>
  <c r="C366" i="42"/>
  <c r="F366" i="42"/>
  <c r="E366" i="42"/>
  <c r="F372" i="42"/>
  <c r="D372" i="42"/>
  <c r="C372" i="42"/>
  <c r="E372" i="42"/>
  <c r="F391" i="42"/>
  <c r="E391" i="42"/>
  <c r="D391" i="42"/>
  <c r="C391" i="42"/>
  <c r="F439" i="42"/>
  <c r="E439" i="42"/>
  <c r="D439" i="42"/>
  <c r="C439" i="42"/>
  <c r="F264" i="42"/>
  <c r="E264" i="42"/>
  <c r="D264" i="42"/>
  <c r="C264" i="42"/>
  <c r="F324" i="42"/>
  <c r="D324" i="42"/>
  <c r="C324" i="42"/>
  <c r="E324" i="42"/>
  <c r="F647" i="42"/>
  <c r="E647" i="42"/>
  <c r="D647" i="42"/>
  <c r="C647" i="42"/>
  <c r="F49" i="42"/>
  <c r="E49" i="42"/>
  <c r="D49" i="42"/>
  <c r="C49" i="42"/>
  <c r="F31" i="42"/>
  <c r="E31" i="42"/>
  <c r="D31" i="42"/>
  <c r="C31" i="42"/>
  <c r="F87" i="42"/>
  <c r="E87" i="42"/>
  <c r="D87" i="42"/>
  <c r="C87" i="42"/>
  <c r="F50" i="42"/>
  <c r="E50" i="42"/>
  <c r="D50" i="42"/>
  <c r="C50" i="42"/>
  <c r="F168" i="42"/>
  <c r="E168" i="42"/>
  <c r="D168" i="42"/>
  <c r="C168" i="42"/>
  <c r="F174" i="42"/>
  <c r="E174" i="42"/>
  <c r="D174" i="42"/>
  <c r="C174" i="42"/>
  <c r="F202" i="42"/>
  <c r="E202" i="42"/>
  <c r="D202" i="42"/>
  <c r="C202" i="42"/>
  <c r="F276" i="42"/>
  <c r="D276" i="42"/>
  <c r="C276" i="42"/>
  <c r="E276" i="42"/>
  <c r="C318" i="42"/>
  <c r="F318" i="42"/>
  <c r="E318" i="42"/>
  <c r="D318" i="42"/>
  <c r="F342" i="42"/>
  <c r="E342" i="42"/>
  <c r="C342" i="42"/>
  <c r="D342" i="42"/>
  <c r="F519" i="42"/>
  <c r="E519" i="42"/>
  <c r="D519" i="42"/>
  <c r="C519" i="42"/>
  <c r="E25" i="42"/>
  <c r="F25" i="42"/>
  <c r="D25" i="42"/>
  <c r="C25" i="42"/>
  <c r="F191" i="42"/>
  <c r="E191" i="42"/>
  <c r="D191" i="42"/>
  <c r="C191" i="42"/>
  <c r="E38" i="42"/>
  <c r="D38" i="42"/>
  <c r="F38" i="42"/>
  <c r="C38" i="42"/>
  <c r="F94" i="42"/>
  <c r="E94" i="42"/>
  <c r="D94" i="42"/>
  <c r="C94" i="42"/>
  <c r="F119" i="42"/>
  <c r="E119" i="42"/>
  <c r="D119" i="42"/>
  <c r="C119" i="42"/>
  <c r="F143" i="42"/>
  <c r="E143" i="42"/>
  <c r="D143" i="42"/>
  <c r="C143" i="42"/>
  <c r="F235" i="42"/>
  <c r="E235" i="42"/>
  <c r="D235" i="42"/>
  <c r="C235" i="42"/>
  <c r="F294" i="42"/>
  <c r="E294" i="42"/>
  <c r="C294" i="42"/>
  <c r="D294" i="42"/>
  <c r="F312" i="42"/>
  <c r="E312" i="42"/>
  <c r="D312" i="42"/>
  <c r="C312" i="42"/>
  <c r="D43" i="42"/>
  <c r="F43" i="42"/>
  <c r="E43" i="42"/>
  <c r="C43" i="42"/>
  <c r="F62" i="42"/>
  <c r="E62" i="42"/>
  <c r="D62" i="42"/>
  <c r="C62" i="42"/>
  <c r="F106" i="42"/>
  <c r="E106" i="42"/>
  <c r="D106" i="42"/>
  <c r="C106" i="42"/>
  <c r="F44" i="42"/>
  <c r="E44" i="42"/>
  <c r="D44" i="42"/>
  <c r="C44" i="42"/>
  <c r="D32" i="42"/>
  <c r="C32" i="42"/>
  <c r="F32" i="42"/>
  <c r="E32" i="42"/>
  <c r="F63" i="42"/>
  <c r="E63" i="42"/>
  <c r="D63" i="42"/>
  <c r="C63" i="42"/>
  <c r="F26" i="42"/>
  <c r="E26" i="42"/>
  <c r="D26" i="42"/>
  <c r="C26" i="42"/>
  <c r="F57" i="42"/>
  <c r="E57" i="42"/>
  <c r="D57" i="42"/>
  <c r="C57" i="42"/>
  <c r="F88" i="42"/>
  <c r="E88" i="42"/>
  <c r="D88" i="42"/>
  <c r="C88" i="42"/>
  <c r="F113" i="42"/>
  <c r="E113" i="42"/>
  <c r="D113" i="42"/>
  <c r="C113" i="42"/>
  <c r="F137" i="42"/>
  <c r="E137" i="42"/>
  <c r="D137" i="42"/>
  <c r="C137" i="42"/>
  <c r="F162" i="42"/>
  <c r="E162" i="42"/>
  <c r="D162" i="42"/>
  <c r="C162" i="42"/>
  <c r="F219" i="42"/>
  <c r="E219" i="42"/>
  <c r="D219" i="42"/>
  <c r="C219" i="42"/>
  <c r="F230" i="42"/>
  <c r="E230" i="42"/>
  <c r="D230" i="42"/>
  <c r="C230" i="42"/>
  <c r="C270" i="42"/>
  <c r="F270" i="42"/>
  <c r="E270" i="42"/>
  <c r="D270" i="42"/>
  <c r="F385" i="42"/>
  <c r="E385" i="42"/>
  <c r="D385" i="42"/>
  <c r="C385" i="42"/>
  <c r="F118" i="42"/>
  <c r="E118" i="42"/>
  <c r="D118" i="42"/>
  <c r="C118" i="42"/>
  <c r="F155" i="42"/>
  <c r="E155" i="42"/>
  <c r="D155" i="42"/>
  <c r="C155" i="42"/>
  <c r="D100" i="42"/>
  <c r="C100" i="42"/>
  <c r="F100" i="42"/>
  <c r="E100" i="42"/>
  <c r="D20" i="42"/>
  <c r="C20" i="42"/>
  <c r="F20" i="42"/>
  <c r="E20" i="42"/>
  <c r="D51" i="42"/>
  <c r="C51" i="42"/>
  <c r="F51" i="42"/>
  <c r="E51" i="42"/>
  <c r="F76" i="42"/>
  <c r="E76" i="42"/>
  <c r="D76" i="42"/>
  <c r="C76" i="42"/>
  <c r="F107" i="42"/>
  <c r="E107" i="42"/>
  <c r="D107" i="42"/>
  <c r="C107" i="42"/>
  <c r="D132" i="42"/>
  <c r="C132" i="42"/>
  <c r="F132" i="42"/>
  <c r="E132" i="42"/>
  <c r="F156" i="42"/>
  <c r="E156" i="42"/>
  <c r="D156" i="42"/>
  <c r="C156" i="42"/>
  <c r="F186" i="42"/>
  <c r="E186" i="42"/>
  <c r="D186" i="42"/>
  <c r="C186" i="42"/>
  <c r="F295" i="42"/>
  <c r="E295" i="42"/>
  <c r="D295" i="42"/>
  <c r="C295" i="42"/>
  <c r="F349" i="42"/>
  <c r="E349" i="42"/>
  <c r="D349" i="42"/>
  <c r="C349" i="42"/>
  <c r="E379" i="42"/>
  <c r="F379" i="42"/>
  <c r="D379" i="42"/>
  <c r="C379" i="42"/>
  <c r="D112" i="42"/>
  <c r="F112" i="42"/>
  <c r="E112" i="42"/>
  <c r="C112" i="42"/>
  <c r="E259" i="42"/>
  <c r="D259" i="42"/>
  <c r="C259" i="42"/>
  <c r="F259" i="42"/>
  <c r="E355" i="42"/>
  <c r="D355" i="42"/>
  <c r="C355" i="42"/>
  <c r="F355" i="42"/>
  <c r="F423" i="42"/>
  <c r="E423" i="42"/>
  <c r="D423" i="42"/>
  <c r="C423" i="42"/>
  <c r="F459" i="42"/>
  <c r="E459" i="42"/>
  <c r="D459" i="42"/>
  <c r="C459" i="42"/>
  <c r="F471" i="42"/>
  <c r="E471" i="42"/>
  <c r="D471" i="42"/>
  <c r="C471" i="42"/>
  <c r="F567" i="42"/>
  <c r="E567" i="42"/>
  <c r="D567" i="42"/>
  <c r="C567" i="42"/>
  <c r="D14" i="42"/>
  <c r="E14" i="42"/>
  <c r="F14" i="42"/>
  <c r="C14" i="42"/>
  <c r="F70" i="42"/>
  <c r="E70" i="42"/>
  <c r="D70" i="42"/>
  <c r="C70" i="42"/>
  <c r="F126" i="42"/>
  <c r="E126" i="42"/>
  <c r="D126" i="42"/>
  <c r="C126" i="42"/>
  <c r="F150" i="42"/>
  <c r="E150" i="42"/>
  <c r="D150" i="42"/>
  <c r="C150" i="42"/>
  <c r="F175" i="42"/>
  <c r="E175" i="42"/>
  <c r="D175" i="42"/>
  <c r="C175" i="42"/>
  <c r="F203" i="42"/>
  <c r="E203" i="42"/>
  <c r="D203" i="42"/>
  <c r="C203" i="42"/>
  <c r="F214" i="42"/>
  <c r="E214" i="42"/>
  <c r="D214" i="42"/>
  <c r="C214" i="42"/>
  <c r="E265" i="42"/>
  <c r="D265" i="42"/>
  <c r="C265" i="42"/>
  <c r="F265" i="42"/>
  <c r="F283" i="42"/>
  <c r="E283" i="42"/>
  <c r="D283" i="42"/>
  <c r="C283" i="42"/>
  <c r="F411" i="42"/>
  <c r="E411" i="42"/>
  <c r="D411" i="42"/>
  <c r="C411" i="42"/>
  <c r="F417" i="42"/>
  <c r="E417" i="42"/>
  <c r="D417" i="42"/>
  <c r="C417" i="42"/>
  <c r="D68" i="42"/>
  <c r="C68" i="42"/>
  <c r="F68" i="42"/>
  <c r="E68" i="42"/>
  <c r="C19" i="42"/>
  <c r="F19" i="42"/>
  <c r="D19" i="42"/>
  <c r="E19" i="42"/>
  <c r="F75" i="42"/>
  <c r="E75" i="42"/>
  <c r="D75" i="42"/>
  <c r="C75" i="42"/>
  <c r="F82" i="42"/>
  <c r="E82" i="42"/>
  <c r="D82" i="42"/>
  <c r="C82" i="42"/>
  <c r="D33" i="42"/>
  <c r="C33" i="42"/>
  <c r="F33" i="42"/>
  <c r="E33" i="42"/>
  <c r="D64" i="42"/>
  <c r="C64" i="42"/>
  <c r="F64" i="42"/>
  <c r="E64" i="42"/>
  <c r="F89" i="42"/>
  <c r="E89" i="42"/>
  <c r="D89" i="42"/>
  <c r="C89" i="42"/>
  <c r="F95" i="42"/>
  <c r="E95" i="42"/>
  <c r="D95" i="42"/>
  <c r="C95" i="42"/>
  <c r="F169" i="42"/>
  <c r="E169" i="42"/>
  <c r="D169" i="42"/>
  <c r="C169" i="42"/>
  <c r="F225" i="42"/>
  <c r="E225" i="42"/>
  <c r="D225" i="42"/>
  <c r="C225" i="42"/>
  <c r="F253" i="42"/>
  <c r="E253" i="42"/>
  <c r="D253" i="42"/>
  <c r="C253" i="42"/>
  <c r="C56" i="42"/>
  <c r="F56" i="42"/>
  <c r="E56" i="42"/>
  <c r="D56" i="42"/>
  <c r="C27" i="42"/>
  <c r="E27" i="42"/>
  <c r="D27" i="42"/>
  <c r="F27" i="42"/>
  <c r="F39" i="42"/>
  <c r="E39" i="42"/>
  <c r="D39" i="42"/>
  <c r="C39" i="42"/>
  <c r="F58" i="42"/>
  <c r="E58" i="42"/>
  <c r="D58" i="42"/>
  <c r="C58" i="42"/>
  <c r="F83" i="42"/>
  <c r="E83" i="42"/>
  <c r="D83" i="42"/>
  <c r="C83" i="42"/>
  <c r="F114" i="42"/>
  <c r="E114" i="42"/>
  <c r="D114" i="42"/>
  <c r="C114" i="42"/>
  <c r="F120" i="42"/>
  <c r="E120" i="42"/>
  <c r="D120" i="42"/>
  <c r="C120" i="42"/>
  <c r="F138" i="42"/>
  <c r="E138" i="42"/>
  <c r="D138" i="42"/>
  <c r="C138" i="42"/>
  <c r="F144" i="42"/>
  <c r="E144" i="42"/>
  <c r="D144" i="42"/>
  <c r="C144" i="42"/>
  <c r="F163" i="42"/>
  <c r="E163" i="42"/>
  <c r="D163" i="42"/>
  <c r="C163" i="42"/>
  <c r="F231" i="42"/>
  <c r="E231" i="42"/>
  <c r="D231" i="42"/>
  <c r="C231" i="42"/>
  <c r="E289" i="42"/>
  <c r="D289" i="42"/>
  <c r="F289" i="42"/>
  <c r="C289" i="42"/>
  <c r="E313" i="42"/>
  <c r="D313" i="42"/>
  <c r="C313" i="42"/>
  <c r="F313" i="42"/>
  <c r="E331" i="42"/>
  <c r="D331" i="42"/>
  <c r="C331" i="42"/>
  <c r="F331" i="42"/>
  <c r="E337" i="42"/>
  <c r="D337" i="42"/>
  <c r="F337" i="42"/>
  <c r="C337" i="42"/>
  <c r="F599" i="42"/>
  <c r="E599" i="42"/>
  <c r="D599" i="42"/>
  <c r="C599" i="42"/>
  <c r="F187" i="42"/>
  <c r="E187" i="42"/>
  <c r="D187" i="42"/>
  <c r="C187" i="42"/>
  <c r="F198" i="42"/>
  <c r="E198" i="42"/>
  <c r="D198" i="42"/>
  <c r="C198" i="42"/>
  <c r="F108" i="42"/>
  <c r="E108" i="42"/>
  <c r="D108" i="42"/>
  <c r="C108" i="42"/>
  <c r="F209" i="42"/>
  <c r="E209" i="42"/>
  <c r="D209" i="42"/>
  <c r="C209" i="42"/>
  <c r="F260" i="42"/>
  <c r="D260" i="42"/>
  <c r="C260" i="42"/>
  <c r="E260" i="42"/>
  <c r="C350" i="42"/>
  <c r="F350" i="42"/>
  <c r="E350" i="42"/>
  <c r="D350" i="42"/>
  <c r="F102" i="42"/>
  <c r="E102" i="42"/>
  <c r="D102" i="42"/>
  <c r="C102" i="42"/>
  <c r="F127" i="42"/>
  <c r="E127" i="42"/>
  <c r="D127" i="42"/>
  <c r="C127" i="42"/>
  <c r="F151" i="42"/>
  <c r="E151" i="42"/>
  <c r="D151" i="42"/>
  <c r="C151" i="42"/>
  <c r="F215" i="42"/>
  <c r="E215" i="42"/>
  <c r="D215" i="42"/>
  <c r="C215" i="42"/>
  <c r="C254" i="42"/>
  <c r="F254" i="42"/>
  <c r="E254" i="42"/>
  <c r="D254" i="42"/>
  <c r="F278" i="42"/>
  <c r="E278" i="42"/>
  <c r="C278" i="42"/>
  <c r="D278" i="42"/>
  <c r="F296" i="42"/>
  <c r="E296" i="42"/>
  <c r="D296" i="42"/>
  <c r="C296" i="42"/>
  <c r="F326" i="42"/>
  <c r="E326" i="42"/>
  <c r="C326" i="42"/>
  <c r="D326" i="42"/>
  <c r="F356" i="42"/>
  <c r="D356" i="42"/>
  <c r="C356" i="42"/>
  <c r="E356" i="42"/>
  <c r="F145" i="42"/>
  <c r="E145" i="42"/>
  <c r="D145" i="42"/>
  <c r="C145" i="42"/>
  <c r="F170" i="42"/>
  <c r="E170" i="42"/>
  <c r="D170" i="42"/>
  <c r="C170" i="42"/>
  <c r="F176" i="42"/>
  <c r="E176" i="42"/>
  <c r="D176" i="42"/>
  <c r="C176" i="42"/>
  <c r="F182" i="42"/>
  <c r="E182" i="42"/>
  <c r="D182" i="42"/>
  <c r="C182" i="42"/>
  <c r="F226" i="42"/>
  <c r="E226" i="42"/>
  <c r="D226" i="42"/>
  <c r="C226" i="42"/>
  <c r="F375" i="42"/>
  <c r="E375" i="42"/>
  <c r="D375" i="42"/>
  <c r="C375" i="42"/>
  <c r="D164" i="42"/>
  <c r="C164" i="42"/>
  <c r="F164" i="42"/>
  <c r="E164" i="42"/>
  <c r="F193" i="42"/>
  <c r="E193" i="42"/>
  <c r="D193" i="42"/>
  <c r="C193" i="42"/>
  <c r="F237" i="42"/>
  <c r="E237" i="42"/>
  <c r="D237" i="42"/>
  <c r="C237" i="42"/>
  <c r="F248" i="42"/>
  <c r="E248" i="42"/>
  <c r="D248" i="42"/>
  <c r="C248" i="42"/>
  <c r="C302" i="42"/>
  <c r="F302" i="42"/>
  <c r="E302" i="42"/>
  <c r="D302" i="42"/>
  <c r="F308" i="42"/>
  <c r="D308" i="42"/>
  <c r="C308" i="42"/>
  <c r="E308" i="42"/>
  <c r="F503" i="42"/>
  <c r="E503" i="42"/>
  <c r="D503" i="42"/>
  <c r="C503" i="42"/>
  <c r="F199" i="42"/>
  <c r="E199" i="42"/>
  <c r="D199" i="42"/>
  <c r="C199" i="42"/>
  <c r="F285" i="42"/>
  <c r="E285" i="42"/>
  <c r="D285" i="42"/>
  <c r="C285" i="42"/>
  <c r="F363" i="42"/>
  <c r="E363" i="42"/>
  <c r="D363" i="42"/>
  <c r="C363" i="42"/>
  <c r="F369" i="42"/>
  <c r="E369" i="42"/>
  <c r="D369" i="42"/>
  <c r="C369" i="42"/>
  <c r="F210" i="42"/>
  <c r="E210" i="42"/>
  <c r="D210" i="42"/>
  <c r="C210" i="42"/>
  <c r="F551" i="42"/>
  <c r="E551" i="42"/>
  <c r="D551" i="42"/>
  <c r="C551" i="42"/>
  <c r="F65" i="42"/>
  <c r="E65" i="42"/>
  <c r="D65" i="42"/>
  <c r="C65" i="42"/>
  <c r="D84" i="42"/>
  <c r="C84" i="42"/>
  <c r="F84" i="42"/>
  <c r="E84" i="42"/>
  <c r="D22" i="42"/>
  <c r="C22" i="42"/>
  <c r="F22" i="42"/>
  <c r="E22" i="42"/>
  <c r="F47" i="42"/>
  <c r="E47" i="42"/>
  <c r="D47" i="42"/>
  <c r="C47" i="42"/>
  <c r="F72" i="42"/>
  <c r="D72" i="42"/>
  <c r="E72" i="42"/>
  <c r="C72" i="42"/>
  <c r="F78" i="42"/>
  <c r="E78" i="42"/>
  <c r="D78" i="42"/>
  <c r="C78" i="42"/>
  <c r="F134" i="42"/>
  <c r="E134" i="42"/>
  <c r="D134" i="42"/>
  <c r="C134" i="42"/>
  <c r="F177" i="42"/>
  <c r="E177" i="42"/>
  <c r="D177" i="42"/>
  <c r="C177" i="42"/>
  <c r="F407" i="42"/>
  <c r="E407" i="42"/>
  <c r="D407" i="42"/>
  <c r="C407" i="42"/>
  <c r="F413" i="42"/>
  <c r="E413" i="42"/>
  <c r="D413" i="42"/>
  <c r="C413" i="42"/>
  <c r="F15" i="42"/>
  <c r="E15" i="42"/>
  <c r="D15" i="42"/>
  <c r="C15" i="42"/>
  <c r="F71" i="42"/>
  <c r="E71" i="42"/>
  <c r="D71" i="42"/>
  <c r="C71" i="42"/>
  <c r="F158" i="42"/>
  <c r="E158" i="42"/>
  <c r="D158" i="42"/>
  <c r="C158" i="42"/>
  <c r="F41" i="42"/>
  <c r="E41" i="42"/>
  <c r="D41" i="42"/>
  <c r="C41" i="42"/>
  <c r="F91" i="42"/>
  <c r="E91" i="42"/>
  <c r="D91" i="42"/>
  <c r="C91" i="42"/>
  <c r="F97" i="42"/>
  <c r="E97" i="42"/>
  <c r="D97" i="42"/>
  <c r="C97" i="42"/>
  <c r="F103" i="42"/>
  <c r="E103" i="42"/>
  <c r="D103" i="42"/>
  <c r="C103" i="42"/>
  <c r="F122" i="42"/>
  <c r="E122" i="42"/>
  <c r="D122" i="42"/>
  <c r="C122" i="42"/>
  <c r="D128" i="42"/>
  <c r="F128" i="42"/>
  <c r="E128" i="42"/>
  <c r="C128" i="42"/>
  <c r="F146" i="42"/>
  <c r="E146" i="42"/>
  <c r="D146" i="42"/>
  <c r="C146" i="42"/>
  <c r="F171" i="42"/>
  <c r="E171" i="42"/>
  <c r="D171" i="42"/>
  <c r="C171" i="42"/>
  <c r="F183" i="42"/>
  <c r="E183" i="42"/>
  <c r="D183" i="42"/>
  <c r="C183" i="42"/>
  <c r="F227" i="42"/>
  <c r="E227" i="42"/>
  <c r="D227" i="42"/>
  <c r="C227" i="42"/>
  <c r="E297" i="42"/>
  <c r="D297" i="42"/>
  <c r="C297" i="42"/>
  <c r="F297" i="42"/>
  <c r="E321" i="42"/>
  <c r="D321" i="42"/>
  <c r="F321" i="42"/>
  <c r="C321" i="42"/>
  <c r="F90" i="42"/>
  <c r="E90" i="42"/>
  <c r="D90" i="42"/>
  <c r="C90" i="42"/>
  <c r="F115" i="42"/>
  <c r="E115" i="42"/>
  <c r="D115" i="42"/>
  <c r="C115" i="42"/>
  <c r="F60" i="42"/>
  <c r="E60" i="42"/>
  <c r="D60" i="42"/>
  <c r="C60" i="42"/>
  <c r="D116" i="42"/>
  <c r="C116" i="42"/>
  <c r="F116" i="42"/>
  <c r="E116" i="42"/>
  <c r="F140" i="42"/>
  <c r="E140" i="42"/>
  <c r="D140" i="42"/>
  <c r="C140" i="42"/>
  <c r="F194" i="42"/>
  <c r="E194" i="42"/>
  <c r="D194" i="42"/>
  <c r="C194" i="42"/>
  <c r="C238" i="42"/>
  <c r="F238" i="42"/>
  <c r="E238" i="42"/>
  <c r="D238" i="42"/>
  <c r="F267" i="42"/>
  <c r="E267" i="42"/>
  <c r="D267" i="42"/>
  <c r="C267" i="42"/>
  <c r="E273" i="42"/>
  <c r="D273" i="42"/>
  <c r="F273" i="42"/>
  <c r="C273" i="42"/>
  <c r="E291" i="42"/>
  <c r="D291" i="42"/>
  <c r="C291" i="42"/>
  <c r="F291" i="42"/>
  <c r="F315" i="42"/>
  <c r="E315" i="42"/>
  <c r="D315" i="42"/>
  <c r="C315" i="42"/>
  <c r="E339" i="42"/>
  <c r="D339" i="42"/>
  <c r="C339" i="42"/>
  <c r="F339" i="42"/>
  <c r="D52" i="42"/>
  <c r="C52" i="42"/>
  <c r="F52" i="42"/>
  <c r="E52" i="42"/>
  <c r="F46" i="42"/>
  <c r="E46" i="42"/>
  <c r="D46" i="42"/>
  <c r="C46" i="42"/>
  <c r="F121" i="42"/>
  <c r="E121" i="42"/>
  <c r="D121" i="42"/>
  <c r="C121" i="42"/>
  <c r="F59" i="42"/>
  <c r="D59" i="42"/>
  <c r="E59" i="42"/>
  <c r="C59" i="42"/>
  <c r="D16" i="42"/>
  <c r="C16" i="42"/>
  <c r="F16" i="42"/>
  <c r="E16" i="42"/>
  <c r="C35" i="42"/>
  <c r="D35" i="42"/>
  <c r="F35" i="42"/>
  <c r="E35" i="42"/>
  <c r="F66" i="42"/>
  <c r="E66" i="42"/>
  <c r="D66" i="42"/>
  <c r="C66" i="42"/>
  <c r="E249" i="42"/>
  <c r="D249" i="42"/>
  <c r="C249" i="42"/>
  <c r="F249" i="42"/>
  <c r="E345" i="42"/>
  <c r="D345" i="42"/>
  <c r="C345" i="42"/>
  <c r="F345" i="42"/>
  <c r="E395" i="42"/>
  <c r="F395" i="42"/>
  <c r="D395" i="42"/>
  <c r="C395" i="42"/>
  <c r="F139" i="42"/>
  <c r="E139" i="42"/>
  <c r="D139" i="42"/>
  <c r="C139" i="42"/>
  <c r="F152" i="42"/>
  <c r="E152" i="42"/>
  <c r="D152" i="42"/>
  <c r="C152" i="42"/>
  <c r="D17" i="42"/>
  <c r="F17" i="42"/>
  <c r="C17" i="42"/>
  <c r="E17" i="42"/>
  <c r="F23" i="42"/>
  <c r="E23" i="42"/>
  <c r="D23" i="42"/>
  <c r="C23" i="42"/>
  <c r="D54" i="42"/>
  <c r="F54" i="42"/>
  <c r="E54" i="42"/>
  <c r="C54" i="42"/>
  <c r="F79" i="42"/>
  <c r="E79" i="42"/>
  <c r="D79" i="42"/>
  <c r="C79" i="42"/>
  <c r="F110" i="42"/>
  <c r="E110" i="42"/>
  <c r="D110" i="42"/>
  <c r="C110" i="42"/>
  <c r="F159" i="42"/>
  <c r="E159" i="42"/>
  <c r="D159" i="42"/>
  <c r="C159" i="42"/>
  <c r="F211" i="42"/>
  <c r="E211" i="42"/>
  <c r="D211" i="42"/>
  <c r="C211" i="42"/>
  <c r="F401" i="42"/>
  <c r="E401" i="42"/>
  <c r="D401" i="42"/>
  <c r="C401" i="42"/>
  <c r="F455" i="42"/>
  <c r="E455" i="42"/>
  <c r="D455" i="42"/>
  <c r="C455" i="42"/>
  <c r="F663" i="42"/>
  <c r="E663" i="42"/>
  <c r="D663" i="42"/>
  <c r="C663" i="42"/>
  <c r="F178" i="42"/>
  <c r="E178" i="42"/>
  <c r="D178" i="42"/>
  <c r="C178" i="42"/>
  <c r="F262" i="42"/>
  <c r="E262" i="42"/>
  <c r="C262" i="42"/>
  <c r="D262" i="42"/>
  <c r="D48" i="42"/>
  <c r="C48" i="42"/>
  <c r="F48" i="42"/>
  <c r="E48" i="42"/>
  <c r="F153" i="42"/>
  <c r="E153" i="42"/>
  <c r="D153" i="42"/>
  <c r="C153" i="42"/>
  <c r="F42" i="42"/>
  <c r="E42" i="42"/>
  <c r="D42" i="42"/>
  <c r="C42" i="42"/>
  <c r="D67" i="42"/>
  <c r="E67" i="42"/>
  <c r="F67" i="42"/>
  <c r="C67" i="42"/>
  <c r="F98" i="42"/>
  <c r="E98" i="42"/>
  <c r="D98" i="42"/>
  <c r="C98" i="42"/>
  <c r="F104" i="42"/>
  <c r="E104" i="42"/>
  <c r="D104" i="42"/>
  <c r="C104" i="42"/>
  <c r="F123" i="42"/>
  <c r="E123" i="42"/>
  <c r="D123" i="42"/>
  <c r="C123" i="42"/>
  <c r="F147" i="42"/>
  <c r="E147" i="42"/>
  <c r="D147" i="42"/>
  <c r="C147" i="42"/>
  <c r="F172" i="42"/>
  <c r="E172" i="42"/>
  <c r="D172" i="42"/>
  <c r="C172" i="42"/>
  <c r="C286" i="42"/>
  <c r="F286" i="42"/>
  <c r="E286" i="42"/>
  <c r="D286" i="42"/>
  <c r="F328" i="42"/>
  <c r="E328" i="42"/>
  <c r="D328" i="42"/>
  <c r="C328" i="42"/>
  <c r="F96" i="42"/>
  <c r="D96" i="42"/>
  <c r="E96" i="42"/>
  <c r="C96" i="42"/>
  <c r="F28" i="42"/>
  <c r="E28" i="42"/>
  <c r="D28" i="42"/>
  <c r="C28" i="42"/>
  <c r="F73" i="42"/>
  <c r="E73" i="42"/>
  <c r="D73" i="42"/>
  <c r="C73" i="42"/>
  <c r="F129" i="42"/>
  <c r="E129" i="42"/>
  <c r="D129" i="42"/>
  <c r="C129" i="42"/>
  <c r="F135" i="42"/>
  <c r="E135" i="42"/>
  <c r="D135" i="42"/>
  <c r="C135" i="42"/>
  <c r="F222" i="42"/>
  <c r="E222" i="42"/>
  <c r="D222" i="42"/>
  <c r="C222" i="42"/>
  <c r="D36" i="42"/>
  <c r="C36" i="42"/>
  <c r="E36" i="42"/>
  <c r="F36" i="42"/>
  <c r="F195" i="42"/>
  <c r="E195" i="42"/>
  <c r="D195" i="42"/>
  <c r="C195" i="42"/>
  <c r="F292" i="42"/>
  <c r="D292" i="42"/>
  <c r="C292" i="42"/>
  <c r="E292" i="42"/>
  <c r="F310" i="42"/>
  <c r="E310" i="42"/>
  <c r="C310" i="42"/>
  <c r="D310" i="42"/>
  <c r="F340" i="42"/>
  <c r="D340" i="42"/>
  <c r="C340" i="42"/>
  <c r="E340" i="42"/>
  <c r="F359" i="42"/>
  <c r="E359" i="42"/>
  <c r="D359" i="42"/>
  <c r="C359" i="42"/>
  <c r="F535" i="42"/>
  <c r="E535" i="42"/>
  <c r="D535" i="42"/>
  <c r="C535" i="42"/>
  <c r="F166" i="42"/>
  <c r="E166" i="42"/>
  <c r="D166" i="42"/>
  <c r="C166" i="42"/>
  <c r="F206" i="42"/>
  <c r="E206" i="42"/>
  <c r="D206" i="42"/>
  <c r="C206" i="42"/>
  <c r="F475" i="42"/>
  <c r="E475" i="42"/>
  <c r="D475" i="42"/>
  <c r="C475" i="42"/>
  <c r="F487" i="42"/>
  <c r="E487" i="42"/>
  <c r="D487" i="42"/>
  <c r="C487" i="42"/>
  <c r="F583" i="42"/>
  <c r="E583" i="42"/>
  <c r="D583" i="42"/>
  <c r="C583" i="42"/>
  <c r="E307" i="42"/>
  <c r="D307" i="42"/>
  <c r="C307" i="42"/>
  <c r="F422" i="42"/>
  <c r="E422" i="42"/>
  <c r="D422" i="42"/>
  <c r="C422" i="42"/>
  <c r="F433" i="42"/>
  <c r="E433" i="42"/>
  <c r="D433" i="42"/>
  <c r="C433" i="42"/>
  <c r="F443" i="42"/>
  <c r="E443" i="42"/>
  <c r="F460" i="42"/>
  <c r="E460" i="42"/>
  <c r="D460" i="42"/>
  <c r="C460" i="42"/>
  <c r="F517" i="42"/>
  <c r="E517" i="42"/>
  <c r="D517" i="42"/>
  <c r="C517" i="42"/>
  <c r="F540" i="42"/>
  <c r="E540" i="42"/>
  <c r="D540" i="42"/>
  <c r="C540" i="42"/>
  <c r="F593" i="42"/>
  <c r="E593" i="42"/>
  <c r="D593" i="42"/>
  <c r="C593" i="42"/>
  <c r="F629" i="42"/>
  <c r="E629" i="42"/>
  <c r="D629" i="42"/>
  <c r="C629" i="42"/>
  <c r="F641" i="42"/>
  <c r="E641" i="42"/>
  <c r="D641" i="42"/>
  <c r="C641" i="42"/>
  <c r="F180" i="42"/>
  <c r="F196" i="42"/>
  <c r="F212" i="42"/>
  <c r="F228" i="42"/>
  <c r="D242" i="42"/>
  <c r="C250" i="42"/>
  <c r="F269" i="42"/>
  <c r="C335" i="42"/>
  <c r="K358" i="42"/>
  <c r="K376" i="42"/>
  <c r="F381" i="42"/>
  <c r="E381" i="42"/>
  <c r="D381" i="42"/>
  <c r="C381" i="42"/>
  <c r="D392" i="42"/>
  <c r="F581" i="42"/>
  <c r="E581" i="42"/>
  <c r="D581" i="42"/>
  <c r="C581" i="42"/>
  <c r="F611" i="42"/>
  <c r="E611" i="42"/>
  <c r="D611" i="42"/>
  <c r="C611" i="42"/>
  <c r="E242" i="42"/>
  <c r="D250" i="42"/>
  <c r="F327" i="42"/>
  <c r="E327" i="42"/>
  <c r="D327" i="42"/>
  <c r="D335" i="42"/>
  <c r="F367" i="42"/>
  <c r="E367" i="42"/>
  <c r="D367" i="42"/>
  <c r="E392" i="42"/>
  <c r="F427" i="42"/>
  <c r="E427" i="42"/>
  <c r="F466" i="42"/>
  <c r="D466" i="42"/>
  <c r="C466" i="42"/>
  <c r="K529" i="42"/>
  <c r="F563" i="42"/>
  <c r="E563" i="42"/>
  <c r="D563" i="42"/>
  <c r="C563" i="42"/>
  <c r="F587" i="42"/>
  <c r="E587" i="42"/>
  <c r="F617" i="42"/>
  <c r="E617" i="42"/>
  <c r="D617" i="42"/>
  <c r="C617" i="42"/>
  <c r="F635" i="42"/>
  <c r="E635" i="42"/>
  <c r="F659" i="42"/>
  <c r="E659" i="42"/>
  <c r="D659" i="42"/>
  <c r="C659" i="42"/>
  <c r="F677" i="42"/>
  <c r="E677" i="42"/>
  <c r="D677" i="42"/>
  <c r="C677" i="42"/>
  <c r="E250" i="42"/>
  <c r="K288" i="42"/>
  <c r="K300" i="42"/>
  <c r="E335" i="42"/>
  <c r="F392" i="42"/>
  <c r="F412" i="42"/>
  <c r="E412" i="42"/>
  <c r="D412" i="42"/>
  <c r="C412" i="42"/>
  <c r="F461" i="42"/>
  <c r="E461" i="42"/>
  <c r="D461" i="42"/>
  <c r="C461" i="42"/>
  <c r="D494" i="42"/>
  <c r="C494" i="42"/>
  <c r="F511" i="42"/>
  <c r="E511" i="42"/>
  <c r="D511" i="42"/>
  <c r="C511" i="42"/>
  <c r="F552" i="42"/>
  <c r="E552" i="42"/>
  <c r="D552" i="42"/>
  <c r="C552" i="42"/>
  <c r="F569" i="42"/>
  <c r="E569" i="42"/>
  <c r="D569" i="42"/>
  <c r="C569" i="42"/>
  <c r="F623" i="42"/>
  <c r="E623" i="42"/>
  <c r="D623" i="42"/>
  <c r="C623" i="42"/>
  <c r="F653" i="42"/>
  <c r="E653" i="42"/>
  <c r="D653" i="42"/>
  <c r="C653" i="42"/>
  <c r="K354" i="42"/>
  <c r="F402" i="42"/>
  <c r="D402" i="42"/>
  <c r="C402" i="42"/>
  <c r="F444" i="42"/>
  <c r="E444" i="42"/>
  <c r="D444" i="42"/>
  <c r="C444" i="42"/>
  <c r="E472" i="42"/>
  <c r="D472" i="42"/>
  <c r="C472" i="42"/>
  <c r="K500" i="42"/>
  <c r="F506" i="42"/>
  <c r="E506" i="42"/>
  <c r="D506" i="42"/>
  <c r="C506" i="42"/>
  <c r="F575" i="42"/>
  <c r="E575" i="42"/>
  <c r="D575" i="42"/>
  <c r="C575" i="42"/>
  <c r="F671" i="42"/>
  <c r="E671" i="42"/>
  <c r="D671" i="42"/>
  <c r="C671" i="42"/>
  <c r="F518" i="42"/>
  <c r="E518" i="42"/>
  <c r="D518" i="42"/>
  <c r="C518" i="42"/>
  <c r="F618" i="42"/>
  <c r="E618" i="42"/>
  <c r="D618" i="42"/>
  <c r="C618" i="42"/>
  <c r="F630" i="42"/>
  <c r="E630" i="42"/>
  <c r="D630" i="42"/>
  <c r="C630" i="42"/>
  <c r="F246" i="42"/>
  <c r="E246" i="42"/>
  <c r="C246" i="42"/>
  <c r="F343" i="42"/>
  <c r="E343" i="42"/>
  <c r="D343" i="42"/>
  <c r="F387" i="42"/>
  <c r="E387" i="42"/>
  <c r="D387" i="42"/>
  <c r="C387" i="42"/>
  <c r="F428" i="42"/>
  <c r="E428" i="42"/>
  <c r="D428" i="42"/>
  <c r="C428" i="42"/>
  <c r="F450" i="42"/>
  <c r="D450" i="42"/>
  <c r="C450" i="42"/>
  <c r="F570" i="42"/>
  <c r="E570" i="42"/>
  <c r="D570" i="42"/>
  <c r="C570" i="42"/>
  <c r="F582" i="42"/>
  <c r="E582" i="42"/>
  <c r="D582" i="42"/>
  <c r="C582" i="42"/>
  <c r="F600" i="42"/>
  <c r="E600" i="42"/>
  <c r="D600" i="42"/>
  <c r="C600" i="42"/>
  <c r="K612" i="42"/>
  <c r="F648" i="42"/>
  <c r="E648" i="42"/>
  <c r="D648" i="42"/>
  <c r="C648" i="42"/>
  <c r="K277" i="42"/>
  <c r="K304" i="42"/>
  <c r="K316" i="42"/>
  <c r="K368" i="42"/>
  <c r="F377" i="42"/>
  <c r="E377" i="42"/>
  <c r="D377" i="42"/>
  <c r="C377" i="42"/>
  <c r="K382" i="42"/>
  <c r="F445" i="42"/>
  <c r="E445" i="42"/>
  <c r="D445" i="42"/>
  <c r="C445" i="42"/>
  <c r="F512" i="42"/>
  <c r="E512" i="42"/>
  <c r="D512" i="42"/>
  <c r="C512" i="42"/>
  <c r="F564" i="42"/>
  <c r="E564" i="42"/>
  <c r="D564" i="42"/>
  <c r="C564" i="42"/>
  <c r="F588" i="42"/>
  <c r="E588" i="42"/>
  <c r="D588" i="42"/>
  <c r="C588" i="42"/>
  <c r="F594" i="42"/>
  <c r="E594" i="42"/>
  <c r="D594" i="42"/>
  <c r="C594" i="42"/>
  <c r="F624" i="42"/>
  <c r="E624" i="42"/>
  <c r="D624" i="42"/>
  <c r="C624" i="42"/>
  <c r="F636" i="42"/>
  <c r="E636" i="42"/>
  <c r="D636" i="42"/>
  <c r="C636" i="42"/>
  <c r="F642" i="42"/>
  <c r="E642" i="42"/>
  <c r="D642" i="42"/>
  <c r="C642" i="42"/>
  <c r="F660" i="42"/>
  <c r="E660" i="42"/>
  <c r="D660" i="42"/>
  <c r="C660" i="42"/>
  <c r="F666" i="42"/>
  <c r="E666" i="42"/>
  <c r="D666" i="42"/>
  <c r="C666" i="42"/>
  <c r="F678" i="42"/>
  <c r="E678" i="42"/>
  <c r="D678" i="42"/>
  <c r="C678" i="42"/>
  <c r="C21" i="42"/>
  <c r="C37" i="42"/>
  <c r="C53" i="42"/>
  <c r="C69" i="42"/>
  <c r="C85" i="42"/>
  <c r="C101" i="42"/>
  <c r="C117" i="42"/>
  <c r="C133" i="42"/>
  <c r="C149" i="42"/>
  <c r="C165" i="42"/>
  <c r="C181" i="42"/>
  <c r="C197" i="42"/>
  <c r="C213" i="42"/>
  <c r="C229" i="42"/>
  <c r="C344" i="42"/>
  <c r="F408" i="42"/>
  <c r="F418" i="42"/>
  <c r="D418" i="42"/>
  <c r="C418" i="42"/>
  <c r="F434" i="42"/>
  <c r="D434" i="42"/>
  <c r="C434" i="42"/>
  <c r="K478" i="42"/>
  <c r="F524" i="42"/>
  <c r="E524" i="42"/>
  <c r="D524" i="42"/>
  <c r="C524" i="42"/>
  <c r="E536" i="42"/>
  <c r="D536" i="42"/>
  <c r="F576" i="42"/>
  <c r="E576" i="42"/>
  <c r="D576" i="42"/>
  <c r="C576" i="42"/>
  <c r="D606" i="42"/>
  <c r="C606" i="42"/>
  <c r="D149" i="42"/>
  <c r="D165" i="42"/>
  <c r="D181" i="42"/>
  <c r="D197" i="42"/>
  <c r="D213" i="42"/>
  <c r="D229" i="42"/>
  <c r="D344" i="42"/>
  <c r="F429" i="42"/>
  <c r="E429" i="42"/>
  <c r="D429" i="42"/>
  <c r="C429" i="42"/>
  <c r="E456" i="42"/>
  <c r="D456" i="42"/>
  <c r="C456" i="42"/>
  <c r="F484" i="42"/>
  <c r="E484" i="42"/>
  <c r="D484" i="42"/>
  <c r="C484" i="42"/>
  <c r="F495" i="42"/>
  <c r="E495" i="42"/>
  <c r="D495" i="42"/>
  <c r="F501" i="42"/>
  <c r="E501" i="42"/>
  <c r="D501" i="42"/>
  <c r="C501" i="42"/>
  <c r="E530" i="42"/>
  <c r="C530" i="42"/>
  <c r="F547" i="42"/>
  <c r="E547" i="42"/>
  <c r="D547" i="42"/>
  <c r="C547" i="42"/>
  <c r="D558" i="42"/>
  <c r="C558" i="42"/>
  <c r="D654" i="42"/>
  <c r="C654" i="42"/>
  <c r="F672" i="42"/>
  <c r="E672" i="42"/>
  <c r="D672" i="42"/>
  <c r="C672" i="42"/>
  <c r="D37" i="42"/>
  <c r="C18" i="42"/>
  <c r="E21" i="42"/>
  <c r="C34" i="42"/>
  <c r="E37" i="42"/>
  <c r="E53" i="42"/>
  <c r="E69" i="42"/>
  <c r="E85" i="42"/>
  <c r="E101" i="42"/>
  <c r="E117" i="42"/>
  <c r="E133" i="42"/>
  <c r="E149" i="42"/>
  <c r="E165" i="42"/>
  <c r="E181" i="42"/>
  <c r="E197" i="42"/>
  <c r="E213" i="42"/>
  <c r="E229" i="42"/>
  <c r="C274" i="42"/>
  <c r="C305" i="42"/>
  <c r="C317" i="42"/>
  <c r="E344" i="42"/>
  <c r="F490" i="42"/>
  <c r="E490" i="42"/>
  <c r="D490" i="42"/>
  <c r="C490" i="42"/>
  <c r="F513" i="42"/>
  <c r="E513" i="42"/>
  <c r="D513" i="42"/>
  <c r="C513" i="42"/>
  <c r="F553" i="42"/>
  <c r="E553" i="42"/>
  <c r="D553" i="42"/>
  <c r="C553" i="42"/>
  <c r="F589" i="42"/>
  <c r="E589" i="42"/>
  <c r="D589" i="42"/>
  <c r="C589" i="42"/>
  <c r="F625" i="42"/>
  <c r="E625" i="42"/>
  <c r="D625" i="42"/>
  <c r="C625" i="42"/>
  <c r="F637" i="42"/>
  <c r="E637" i="42"/>
  <c r="D637" i="42"/>
  <c r="C637" i="42"/>
  <c r="D101" i="42"/>
  <c r="D18" i="42"/>
  <c r="D34" i="42"/>
  <c r="F53" i="42"/>
  <c r="F69" i="42"/>
  <c r="F85" i="42"/>
  <c r="F117" i="42"/>
  <c r="C236" i="42"/>
  <c r="D274" i="42"/>
  <c r="K293" i="42"/>
  <c r="D317" i="42"/>
  <c r="K320" i="42"/>
  <c r="K332" i="42"/>
  <c r="K351" i="42"/>
  <c r="F388" i="42"/>
  <c r="D388" i="42"/>
  <c r="C388" i="42"/>
  <c r="F403" i="42"/>
  <c r="E403" i="42"/>
  <c r="D403" i="42"/>
  <c r="C403" i="42"/>
  <c r="E440" i="42"/>
  <c r="D440" i="42"/>
  <c r="C440" i="42"/>
  <c r="F613" i="42"/>
  <c r="E613" i="42"/>
  <c r="D613" i="42"/>
  <c r="C613" i="42"/>
  <c r="F21" i="42"/>
  <c r="E18" i="42"/>
  <c r="E34" i="42"/>
  <c r="D236" i="42"/>
  <c r="K239" i="42"/>
  <c r="K258" i="42"/>
  <c r="E274" i="42"/>
  <c r="E317" i="42"/>
  <c r="K373" i="42"/>
  <c r="F378" i="42"/>
  <c r="D378" i="42"/>
  <c r="C378" i="42"/>
  <c r="F393" i="42"/>
  <c r="E393" i="42"/>
  <c r="D393" i="42"/>
  <c r="C393" i="42"/>
  <c r="K398" i="42"/>
  <c r="E414" i="42"/>
  <c r="E446" i="42"/>
  <c r="K462" i="42"/>
  <c r="E542" i="42"/>
  <c r="F565" i="42"/>
  <c r="E565" i="42"/>
  <c r="F595" i="42"/>
  <c r="E595" i="42"/>
  <c r="D595" i="42"/>
  <c r="C595" i="42"/>
  <c r="F619" i="42"/>
  <c r="E619" i="42"/>
  <c r="F631" i="42"/>
  <c r="E631" i="42"/>
  <c r="D631" i="42"/>
  <c r="C631" i="42"/>
  <c r="F643" i="42"/>
  <c r="E643" i="42"/>
  <c r="D643" i="42"/>
  <c r="C643" i="42"/>
  <c r="F661" i="42"/>
  <c r="E661" i="42"/>
  <c r="D661" i="42"/>
  <c r="C661" i="42"/>
  <c r="F236" i="42"/>
  <c r="C255" i="42"/>
  <c r="C325" i="42"/>
  <c r="F364" i="42"/>
  <c r="E364" i="42"/>
  <c r="D364" i="42"/>
  <c r="C364" i="42"/>
  <c r="F383" i="42"/>
  <c r="E383" i="42"/>
  <c r="D383" i="42"/>
  <c r="E424" i="42"/>
  <c r="D424" i="42"/>
  <c r="C424" i="42"/>
  <c r="F451" i="42"/>
  <c r="E451" i="42"/>
  <c r="D451" i="42"/>
  <c r="C451" i="42"/>
  <c r="K468" i="42"/>
  <c r="C491" i="42"/>
  <c r="F554" i="42"/>
  <c r="E554" i="42"/>
  <c r="D554" i="42"/>
  <c r="C554" i="42"/>
  <c r="F571" i="42"/>
  <c r="E571" i="42"/>
  <c r="F601" i="42"/>
  <c r="E601" i="42"/>
  <c r="D601" i="42"/>
  <c r="C601" i="42"/>
  <c r="C92" i="42"/>
  <c r="C188" i="42"/>
  <c r="C204" i="42"/>
  <c r="C220" i="42"/>
  <c r="E243" i="42"/>
  <c r="D243" i="42"/>
  <c r="C243" i="42"/>
  <c r="E247" i="42"/>
  <c r="D247" i="42"/>
  <c r="D255" i="42"/>
  <c r="K282" i="42"/>
  <c r="D325" i="42"/>
  <c r="C333" i="42"/>
  <c r="D352" i="42"/>
  <c r="F479" i="42"/>
  <c r="E479" i="42"/>
  <c r="D479" i="42"/>
  <c r="F496" i="42"/>
  <c r="E496" i="42"/>
  <c r="D496" i="42"/>
  <c r="C496" i="42"/>
  <c r="F502" i="42"/>
  <c r="E502" i="42"/>
  <c r="D502" i="42"/>
  <c r="C502" i="42"/>
  <c r="F531" i="42"/>
  <c r="E531" i="42"/>
  <c r="D531" i="42"/>
  <c r="C531" i="42"/>
  <c r="F548" i="42"/>
  <c r="E548" i="42"/>
  <c r="D548" i="42"/>
  <c r="C548" i="42"/>
  <c r="F607" i="42"/>
  <c r="E607" i="42"/>
  <c r="D607" i="42"/>
  <c r="C607" i="42"/>
  <c r="F655" i="42"/>
  <c r="E655" i="42"/>
  <c r="D655" i="42"/>
  <c r="C655" i="42"/>
  <c r="F667" i="42"/>
  <c r="E667" i="42"/>
  <c r="F673" i="42"/>
  <c r="E673" i="42"/>
  <c r="D673" i="42"/>
  <c r="C673" i="42"/>
  <c r="F679" i="42"/>
  <c r="E679" i="42"/>
  <c r="D679" i="42"/>
  <c r="C679" i="42"/>
  <c r="D92" i="42"/>
  <c r="D188" i="42"/>
  <c r="D204" i="42"/>
  <c r="D220" i="42"/>
  <c r="K309" i="42"/>
  <c r="D333" i="42"/>
  <c r="K336" i="42"/>
  <c r="K348" i="42"/>
  <c r="E352" i="42"/>
  <c r="F419" i="42"/>
  <c r="E419" i="42"/>
  <c r="D419" i="42"/>
  <c r="C419" i="42"/>
  <c r="F435" i="42"/>
  <c r="E435" i="42"/>
  <c r="D435" i="42"/>
  <c r="C435" i="42"/>
  <c r="F474" i="42"/>
  <c r="E474" i="42"/>
  <c r="D474" i="42"/>
  <c r="C474" i="42"/>
  <c r="K485" i="42"/>
  <c r="F559" i="42"/>
  <c r="E559" i="42"/>
  <c r="D559" i="42"/>
  <c r="C559" i="42"/>
  <c r="E590" i="42"/>
  <c r="E638" i="42"/>
  <c r="E305" i="42"/>
  <c r="D305" i="42"/>
  <c r="F404" i="42"/>
  <c r="D404" i="42"/>
  <c r="C404" i="42"/>
  <c r="D414" i="42"/>
  <c r="C414" i="42"/>
  <c r="D446" i="42"/>
  <c r="C446" i="42"/>
  <c r="F457" i="42"/>
  <c r="E457" i="42"/>
  <c r="D457" i="42"/>
  <c r="C457" i="42"/>
  <c r="F520" i="42"/>
  <c r="E520" i="42"/>
  <c r="D520" i="42"/>
  <c r="C520" i="42"/>
  <c r="D542" i="42"/>
  <c r="C542" i="42"/>
  <c r="C555" i="42"/>
  <c r="F602" i="42"/>
  <c r="E602" i="42"/>
  <c r="D602" i="42"/>
  <c r="C602" i="42"/>
  <c r="F614" i="42"/>
  <c r="E614" i="42"/>
  <c r="D614" i="42"/>
  <c r="C614" i="42"/>
  <c r="F632" i="42"/>
  <c r="E632" i="42"/>
  <c r="D632" i="42"/>
  <c r="C632" i="42"/>
  <c r="E92" i="42"/>
  <c r="C271" i="42"/>
  <c r="C314" i="42"/>
  <c r="K360" i="42"/>
  <c r="C370" i="42"/>
  <c r="K374" i="42"/>
  <c r="F394" i="42"/>
  <c r="D394" i="42"/>
  <c r="C394" i="42"/>
  <c r="K452" i="42"/>
  <c r="K497" i="42"/>
  <c r="F508" i="42"/>
  <c r="E508" i="42"/>
  <c r="D508" i="42"/>
  <c r="C508" i="42"/>
  <c r="F514" i="42"/>
  <c r="E514" i="42"/>
  <c r="D514" i="42"/>
  <c r="C514" i="42"/>
  <c r="F566" i="42"/>
  <c r="E566" i="42"/>
  <c r="D566" i="42"/>
  <c r="C566" i="42"/>
  <c r="F584" i="42"/>
  <c r="E584" i="42"/>
  <c r="D584" i="42"/>
  <c r="C584" i="42"/>
  <c r="K596" i="42"/>
  <c r="F620" i="42"/>
  <c r="E620" i="42"/>
  <c r="D620" i="42"/>
  <c r="C620" i="42"/>
  <c r="F626" i="42"/>
  <c r="E626" i="42"/>
  <c r="D626" i="42"/>
  <c r="C626" i="42"/>
  <c r="K644" i="42"/>
  <c r="F650" i="42"/>
  <c r="E650" i="42"/>
  <c r="D650" i="42"/>
  <c r="C650" i="42"/>
  <c r="F662" i="42"/>
  <c r="E662" i="42"/>
  <c r="D662" i="42"/>
  <c r="C662" i="42"/>
  <c r="F263" i="42"/>
  <c r="E263" i="42"/>
  <c r="D263" i="42"/>
  <c r="D271" i="42"/>
  <c r="K298" i="42"/>
  <c r="D314" i="42"/>
  <c r="F384" i="42"/>
  <c r="E384" i="42"/>
  <c r="D384" i="42"/>
  <c r="C384" i="42"/>
  <c r="K389" i="42"/>
  <c r="F399" i="42"/>
  <c r="E399" i="42"/>
  <c r="D399" i="42"/>
  <c r="F409" i="42"/>
  <c r="E409" i="42"/>
  <c r="D409" i="42"/>
  <c r="C409" i="42"/>
  <c r="K430" i="42"/>
  <c r="F463" i="42"/>
  <c r="E463" i="42"/>
  <c r="D463" i="42"/>
  <c r="E578" i="42"/>
  <c r="D578" i="42"/>
  <c r="C578" i="42"/>
  <c r="F608" i="42"/>
  <c r="E608" i="42"/>
  <c r="D608" i="42"/>
  <c r="C608" i="42"/>
  <c r="F680" i="42"/>
  <c r="E680" i="42"/>
  <c r="D680" i="42"/>
  <c r="C680" i="42"/>
  <c r="E271" i="42"/>
  <c r="E314" i="42"/>
  <c r="F436" i="42"/>
  <c r="E436" i="42"/>
  <c r="D436" i="42"/>
  <c r="C436" i="42"/>
  <c r="F458" i="42"/>
  <c r="E458" i="42"/>
  <c r="D458" i="42"/>
  <c r="C458" i="42"/>
  <c r="F469" i="42"/>
  <c r="E469" i="42"/>
  <c r="C469" i="42"/>
  <c r="F480" i="42"/>
  <c r="E480" i="42"/>
  <c r="D480" i="42"/>
  <c r="C480" i="42"/>
  <c r="F491" i="42"/>
  <c r="E491" i="42"/>
  <c r="F532" i="42"/>
  <c r="E532" i="42"/>
  <c r="D532" i="42"/>
  <c r="C532" i="42"/>
  <c r="F538" i="42"/>
  <c r="E538" i="42"/>
  <c r="D538" i="42"/>
  <c r="C538" i="42"/>
  <c r="E549" i="42"/>
  <c r="D549" i="42"/>
  <c r="C549" i="42"/>
  <c r="F560" i="42"/>
  <c r="E560" i="42"/>
  <c r="D560" i="42"/>
  <c r="C560" i="42"/>
  <c r="D590" i="42"/>
  <c r="C590" i="42"/>
  <c r="D638" i="42"/>
  <c r="C638" i="42"/>
  <c r="F656" i="42"/>
  <c r="E656" i="42"/>
  <c r="D656" i="42"/>
  <c r="C656" i="42"/>
  <c r="F668" i="42"/>
  <c r="E668" i="42"/>
  <c r="D668" i="42"/>
  <c r="C668" i="42"/>
  <c r="F674" i="42"/>
  <c r="E674" i="42"/>
  <c r="D674" i="42"/>
  <c r="C674" i="42"/>
  <c r="K240" i="42"/>
  <c r="K290" i="42"/>
  <c r="F420" i="42"/>
  <c r="D420" i="42"/>
  <c r="C420" i="42"/>
  <c r="F486" i="42"/>
  <c r="E486" i="42"/>
  <c r="D486" i="42"/>
  <c r="C486" i="42"/>
  <c r="F509" i="42"/>
  <c r="E509" i="42"/>
  <c r="D509" i="42"/>
  <c r="C509" i="42"/>
  <c r="F555" i="42"/>
  <c r="E555" i="42"/>
  <c r="F621" i="42"/>
  <c r="E621" i="42"/>
  <c r="D621" i="42"/>
  <c r="C621" i="42"/>
  <c r="E365" i="42"/>
  <c r="D365" i="42"/>
  <c r="C365" i="42"/>
  <c r="D526" i="42"/>
  <c r="C526" i="42"/>
  <c r="F573" i="42"/>
  <c r="E573" i="42"/>
  <c r="D573" i="42"/>
  <c r="C573" i="42"/>
  <c r="F609" i="42"/>
  <c r="E609" i="42"/>
  <c r="D609" i="42"/>
  <c r="C609" i="42"/>
  <c r="E233" i="42"/>
  <c r="C233" i="42"/>
  <c r="F244" i="42"/>
  <c r="C244" i="42"/>
  <c r="F279" i="42"/>
  <c r="E279" i="42"/>
  <c r="D279" i="42"/>
  <c r="F410" i="42"/>
  <c r="D410" i="42"/>
  <c r="C410" i="42"/>
  <c r="F415" i="42"/>
  <c r="E415" i="42"/>
  <c r="D415" i="42"/>
  <c r="F447" i="42"/>
  <c r="E447" i="42"/>
  <c r="D447" i="42"/>
  <c r="F481" i="42"/>
  <c r="E481" i="42"/>
  <c r="D481" i="42"/>
  <c r="C481" i="42"/>
  <c r="F515" i="42"/>
  <c r="E515" i="42"/>
  <c r="D515" i="42"/>
  <c r="C515" i="42"/>
  <c r="F543" i="42"/>
  <c r="E543" i="42"/>
  <c r="D543" i="42"/>
  <c r="C543" i="42"/>
  <c r="K561" i="42"/>
  <c r="F597" i="42"/>
  <c r="E597" i="42"/>
  <c r="D597" i="42"/>
  <c r="C597" i="42"/>
  <c r="F627" i="42"/>
  <c r="E627" i="42"/>
  <c r="D627" i="42"/>
  <c r="C627" i="42"/>
  <c r="F645" i="42"/>
  <c r="E645" i="42"/>
  <c r="D645" i="42"/>
  <c r="C645" i="42"/>
  <c r="K657" i="42"/>
  <c r="K252" i="42"/>
  <c r="K341" i="42"/>
  <c r="F390" i="42"/>
  <c r="E390" i="42"/>
  <c r="D390" i="42"/>
  <c r="C390" i="42"/>
  <c r="F400" i="42"/>
  <c r="E400" i="42"/>
  <c r="D400" i="42"/>
  <c r="C400" i="42"/>
  <c r="K405" i="42"/>
  <c r="F442" i="42"/>
  <c r="D442" i="42"/>
  <c r="C442" i="42"/>
  <c r="F453" i="42"/>
  <c r="E453" i="42"/>
  <c r="C453" i="42"/>
  <c r="F464" i="42"/>
  <c r="E464" i="42"/>
  <c r="D464" i="42"/>
  <c r="C464" i="42"/>
  <c r="F492" i="42"/>
  <c r="E492" i="42"/>
  <c r="D492" i="42"/>
  <c r="C492" i="42"/>
  <c r="C579" i="42"/>
  <c r="F603" i="42"/>
  <c r="E603" i="42"/>
  <c r="F615" i="42"/>
  <c r="E615" i="42"/>
  <c r="D615" i="42"/>
  <c r="C615" i="42"/>
  <c r="C29" i="42"/>
  <c r="C45" i="42"/>
  <c r="C61" i="42"/>
  <c r="C77" i="42"/>
  <c r="C93" i="42"/>
  <c r="C109" i="42"/>
  <c r="C125" i="42"/>
  <c r="C141" i="42"/>
  <c r="C157" i="42"/>
  <c r="C173" i="42"/>
  <c r="C189" i="42"/>
  <c r="E192" i="42"/>
  <c r="C205" i="42"/>
  <c r="E208" i="42"/>
  <c r="C221" i="42"/>
  <c r="E224" i="42"/>
  <c r="D241" i="42"/>
  <c r="C245" i="42"/>
  <c r="C280" i="42"/>
  <c r="K306" i="42"/>
  <c r="E361" i="42"/>
  <c r="D361" i="42"/>
  <c r="C361" i="42"/>
  <c r="F431" i="42"/>
  <c r="E431" i="42"/>
  <c r="D431" i="42"/>
  <c r="F470" i="42"/>
  <c r="E470" i="42"/>
  <c r="D470" i="42"/>
  <c r="C470" i="42"/>
  <c r="F533" i="42"/>
  <c r="E533" i="42"/>
  <c r="D533" i="42"/>
  <c r="C533" i="42"/>
  <c r="F550" i="42"/>
  <c r="E550" i="42"/>
  <c r="D550" i="42"/>
  <c r="C550" i="42"/>
  <c r="F585" i="42"/>
  <c r="E585" i="42"/>
  <c r="D585" i="42"/>
  <c r="C585" i="42"/>
  <c r="F639" i="42"/>
  <c r="E639" i="42"/>
  <c r="D639" i="42"/>
  <c r="C639" i="42"/>
  <c r="F651" i="42"/>
  <c r="E651" i="42"/>
  <c r="F675" i="42"/>
  <c r="E675" i="42"/>
  <c r="D675" i="42"/>
  <c r="C675" i="42"/>
  <c r="D29" i="42"/>
  <c r="D45" i="42"/>
  <c r="D61" i="42"/>
  <c r="D77" i="42"/>
  <c r="D93" i="42"/>
  <c r="D109" i="42"/>
  <c r="D125" i="42"/>
  <c r="D141" i="42"/>
  <c r="D157" i="42"/>
  <c r="D173" i="42"/>
  <c r="D189" i="42"/>
  <c r="D205" i="42"/>
  <c r="D221" i="42"/>
  <c r="F241" i="42"/>
  <c r="D245" i="42"/>
  <c r="D280" i="42"/>
  <c r="F426" i="42"/>
  <c r="D426" i="42"/>
  <c r="C426" i="42"/>
  <c r="K437" i="42"/>
  <c r="F498" i="42"/>
  <c r="D498" i="42"/>
  <c r="C498" i="42"/>
  <c r="F504" i="42"/>
  <c r="E504" i="42"/>
  <c r="D504" i="42"/>
  <c r="C504" i="42"/>
  <c r="E510" i="42"/>
  <c r="F556" i="42"/>
  <c r="E556" i="42"/>
  <c r="D556" i="42"/>
  <c r="C556" i="42"/>
  <c r="F591" i="42"/>
  <c r="E591" i="42"/>
  <c r="D591" i="42"/>
  <c r="C591" i="42"/>
  <c r="E622" i="42"/>
  <c r="F669" i="42"/>
  <c r="E669" i="42"/>
  <c r="D669" i="42"/>
  <c r="C669" i="42"/>
  <c r="E29" i="42"/>
  <c r="E45" i="42"/>
  <c r="E61" i="42"/>
  <c r="E77" i="42"/>
  <c r="E93" i="42"/>
  <c r="E109" i="42"/>
  <c r="E125" i="42"/>
  <c r="E141" i="42"/>
  <c r="E157" i="42"/>
  <c r="E173" i="42"/>
  <c r="E189" i="42"/>
  <c r="E205" i="42"/>
  <c r="E221" i="42"/>
  <c r="E245" i="42"/>
  <c r="E280" i="42"/>
  <c r="C338" i="42"/>
  <c r="D362" i="42"/>
  <c r="F380" i="42"/>
  <c r="E380" i="42"/>
  <c r="D380" i="42"/>
  <c r="C380" i="42"/>
  <c r="C443" i="42"/>
  <c r="F465" i="42"/>
  <c r="E465" i="42"/>
  <c r="D465" i="42"/>
  <c r="C465" i="42"/>
  <c r="F493" i="42"/>
  <c r="E493" i="42"/>
  <c r="D493" i="42"/>
  <c r="C493" i="42"/>
  <c r="F544" i="42"/>
  <c r="E544" i="42"/>
  <c r="D544" i="42"/>
  <c r="C544" i="42"/>
  <c r="K256" i="42"/>
  <c r="K268" i="42"/>
  <c r="F307" i="42"/>
  <c r="D338" i="42"/>
  <c r="K357" i="42"/>
  <c r="F416" i="42"/>
  <c r="E416" i="42"/>
  <c r="D416" i="42"/>
  <c r="C416" i="42"/>
  <c r="K421" i="42"/>
  <c r="D443" i="42"/>
  <c r="F448" i="42"/>
  <c r="E448" i="42"/>
  <c r="D448" i="42"/>
  <c r="C448" i="42"/>
  <c r="F516" i="42"/>
  <c r="E516" i="42"/>
  <c r="D516" i="42"/>
  <c r="C516" i="42"/>
  <c r="F522" i="42"/>
  <c r="E522" i="42"/>
  <c r="D522" i="42"/>
  <c r="C522" i="42"/>
  <c r="F527" i="42"/>
  <c r="E527" i="42"/>
  <c r="D527" i="42"/>
  <c r="C527" i="42"/>
  <c r="F586" i="42"/>
  <c r="E586" i="42"/>
  <c r="D586" i="42"/>
  <c r="C586" i="42"/>
  <c r="F598" i="42"/>
  <c r="E598" i="42"/>
  <c r="D598" i="42"/>
  <c r="C598" i="42"/>
  <c r="F616" i="42"/>
  <c r="E616" i="42"/>
  <c r="D616" i="42"/>
  <c r="C616" i="42"/>
  <c r="F628" i="42"/>
  <c r="E628" i="42"/>
  <c r="D628" i="42"/>
  <c r="C628" i="42"/>
  <c r="F634" i="42"/>
  <c r="E634" i="42"/>
  <c r="D634" i="42"/>
  <c r="C634" i="42"/>
  <c r="F646" i="42"/>
  <c r="E646" i="42"/>
  <c r="D646" i="42"/>
  <c r="C646" i="42"/>
  <c r="K322" i="42"/>
  <c r="E338" i="42"/>
  <c r="F406" i="42"/>
  <c r="E406" i="42"/>
  <c r="D406" i="42"/>
  <c r="C406" i="42"/>
  <c r="C427" i="42"/>
  <c r="F454" i="42"/>
  <c r="E454" i="42"/>
  <c r="D454" i="42"/>
  <c r="C454" i="42"/>
  <c r="F476" i="42"/>
  <c r="E476" i="42"/>
  <c r="D476" i="42"/>
  <c r="C476" i="42"/>
  <c r="F568" i="42"/>
  <c r="E568" i="42"/>
  <c r="D568" i="42"/>
  <c r="C568" i="42"/>
  <c r="K580" i="42"/>
  <c r="F604" i="42"/>
  <c r="E604" i="42"/>
  <c r="D604" i="42"/>
  <c r="C604" i="42"/>
  <c r="F610" i="42"/>
  <c r="E610" i="42"/>
  <c r="D610" i="42"/>
  <c r="C610" i="42"/>
  <c r="F664" i="42"/>
  <c r="E664" i="42"/>
  <c r="D664" i="42"/>
  <c r="C664" i="42"/>
  <c r="C261" i="42"/>
  <c r="C319" i="42"/>
  <c r="C327" i="42"/>
  <c r="D427" i="42"/>
  <c r="F432" i="42"/>
  <c r="E432" i="42"/>
  <c r="D432" i="42"/>
  <c r="C432" i="42"/>
  <c r="D510" i="42"/>
  <c r="C510" i="42"/>
  <c r="F534" i="42"/>
  <c r="E534" i="42"/>
  <c r="D534" i="42"/>
  <c r="C534" i="42"/>
  <c r="F545" i="42"/>
  <c r="E545" i="42"/>
  <c r="D545" i="42"/>
  <c r="C545" i="42"/>
  <c r="F562" i="42"/>
  <c r="E562" i="42"/>
  <c r="D562" i="42"/>
  <c r="C562" i="42"/>
  <c r="F592" i="42"/>
  <c r="E592" i="42"/>
  <c r="D592" i="42"/>
  <c r="C592" i="42"/>
  <c r="D622" i="42"/>
  <c r="C622" i="42"/>
  <c r="F640" i="42"/>
  <c r="E640" i="42"/>
  <c r="D640" i="42"/>
  <c r="C640" i="42"/>
  <c r="F652" i="42"/>
  <c r="E652" i="42"/>
  <c r="D652" i="42"/>
  <c r="C652" i="42"/>
  <c r="F658" i="42"/>
  <c r="E658" i="42"/>
  <c r="D658" i="42"/>
  <c r="C658" i="42"/>
  <c r="F676" i="42"/>
  <c r="E676" i="42"/>
  <c r="D676" i="42"/>
  <c r="C676" i="42"/>
  <c r="F682" i="42"/>
  <c r="E682" i="42"/>
  <c r="D682" i="42"/>
  <c r="C682" i="42"/>
  <c r="C180" i="42"/>
  <c r="C196" i="42"/>
  <c r="C212" i="42"/>
  <c r="C228" i="42"/>
  <c r="K234" i="42"/>
  <c r="D261" i="42"/>
  <c r="C269" i="42"/>
  <c r="F311" i="42"/>
  <c r="E311" i="42"/>
  <c r="D311" i="42"/>
  <c r="D319" i="42"/>
  <c r="K346" i="42"/>
  <c r="F362" i="42"/>
  <c r="C362" i="42"/>
  <c r="F438" i="42"/>
  <c r="E438" i="42"/>
  <c r="D438" i="42"/>
  <c r="C438" i="42"/>
  <c r="K449" i="42"/>
  <c r="F482" i="42"/>
  <c r="D482" i="42"/>
  <c r="C482" i="42"/>
  <c r="D574" i="42"/>
  <c r="C574" i="42"/>
  <c r="C587" i="42"/>
  <c r="C635" i="42"/>
  <c r="K272" i="42"/>
  <c r="K284" i="42"/>
  <c r="K303" i="42"/>
  <c r="C367" i="42"/>
  <c r="F386" i="42"/>
  <c r="D386" i="42"/>
  <c r="C386" i="42"/>
  <c r="F396" i="42"/>
  <c r="E396" i="42"/>
  <c r="D396" i="42"/>
  <c r="C396" i="42"/>
  <c r="E466" i="42"/>
  <c r="F477" i="42"/>
  <c r="E477" i="42"/>
  <c r="D477" i="42"/>
  <c r="C477" i="42"/>
  <c r="F488" i="42"/>
  <c r="E488" i="42"/>
  <c r="D488" i="42"/>
  <c r="C488" i="42"/>
  <c r="E494" i="42"/>
  <c r="F528" i="42"/>
  <c r="E528" i="42"/>
  <c r="D528" i="42"/>
  <c r="C528" i="42"/>
  <c r="D587" i="42"/>
  <c r="F605" i="42"/>
  <c r="E605" i="42"/>
  <c r="D605" i="42"/>
  <c r="C605" i="42"/>
  <c r="D635" i="42"/>
  <c r="D670" i="42"/>
  <c r="C670" i="42"/>
  <c r="E507" i="42"/>
  <c r="E523" i="42"/>
  <c r="E539" i="42"/>
  <c r="C425" i="42"/>
  <c r="C441" i="42"/>
  <c r="C473" i="42"/>
  <c r="C489" i="42"/>
  <c r="C505" i="42"/>
  <c r="C521" i="42"/>
  <c r="C537" i="42"/>
  <c r="C633" i="42"/>
  <c r="C649" i="42"/>
  <c r="C665" i="42"/>
  <c r="C681" i="42"/>
  <c r="D425" i="42"/>
  <c r="D441" i="42"/>
  <c r="D473" i="42"/>
  <c r="D489" i="42"/>
  <c r="D505" i="42"/>
  <c r="D521" i="42"/>
  <c r="D537" i="42"/>
  <c r="D633" i="42"/>
  <c r="D649" i="42"/>
  <c r="D665" i="42"/>
  <c r="D681" i="42"/>
  <c r="E425" i="42"/>
  <c r="E441" i="42"/>
  <c r="E473" i="42"/>
  <c r="E489" i="42"/>
  <c r="E505" i="42"/>
  <c r="E521" i="42"/>
  <c r="E537" i="42"/>
  <c r="E633" i="42"/>
  <c r="E649" i="42"/>
  <c r="E665" i="42"/>
  <c r="E681" i="42"/>
  <c r="C467" i="42"/>
  <c r="C483" i="42"/>
  <c r="C499" i="42"/>
  <c r="D467" i="42"/>
  <c r="D483" i="42"/>
  <c r="D499" i="42"/>
  <c r="E467" i="42"/>
  <c r="E483" i="42"/>
  <c r="E499" i="42"/>
  <c r="C525" i="42"/>
  <c r="D525" i="42"/>
  <c r="E525" i="42"/>
  <c r="D8" i="33"/>
  <c r="O204" i="33"/>
  <c r="Q204" i="33"/>
  <c r="R535" i="33"/>
  <c r="T535" i="33"/>
  <c r="R628" i="33"/>
  <c r="S628" i="33"/>
  <c r="C16" i="33"/>
  <c r="D16" i="33"/>
  <c r="G16" i="33" s="1"/>
  <c r="E16" i="33"/>
  <c r="I16" i="33" s="1"/>
  <c r="F16" i="33"/>
  <c r="L16" i="33"/>
  <c r="C17" i="33"/>
  <c r="D17" i="33"/>
  <c r="G17" i="33" s="1"/>
  <c r="E17" i="33"/>
  <c r="K17" i="33" s="1"/>
  <c r="F17" i="33"/>
  <c r="L17" i="33"/>
  <c r="C18" i="33"/>
  <c r="D18" i="33"/>
  <c r="E18" i="33"/>
  <c r="G18" i="33" s="1"/>
  <c r="F18" i="33"/>
  <c r="H18" i="33" s="1"/>
  <c r="I18" i="33"/>
  <c r="J18" i="33"/>
  <c r="K18" i="33"/>
  <c r="L18" i="33"/>
  <c r="C19" i="33"/>
  <c r="D19" i="33"/>
  <c r="E19" i="33"/>
  <c r="F19" i="33"/>
  <c r="L19" i="33"/>
  <c r="C20" i="33"/>
  <c r="D20" i="33"/>
  <c r="H20" i="33" s="1"/>
  <c r="E20" i="33"/>
  <c r="F20" i="33"/>
  <c r="L20" i="33"/>
  <c r="C21" i="33"/>
  <c r="D21" i="33"/>
  <c r="G21" i="33" s="1"/>
  <c r="E21" i="33"/>
  <c r="F21" i="33"/>
  <c r="H21" i="33" s="1"/>
  <c r="I21" i="33"/>
  <c r="J21" i="33"/>
  <c r="K21" i="33"/>
  <c r="L21" i="33"/>
  <c r="C22" i="33"/>
  <c r="I22" i="33" s="1"/>
  <c r="D22" i="33"/>
  <c r="G22" i="33" s="1"/>
  <c r="E22" i="33"/>
  <c r="F22" i="33"/>
  <c r="L22" i="33"/>
  <c r="C23" i="33"/>
  <c r="D23" i="33"/>
  <c r="E23" i="33"/>
  <c r="F23" i="33"/>
  <c r="H23" i="33" s="1"/>
  <c r="G23" i="33"/>
  <c r="I23" i="33"/>
  <c r="L23" i="33"/>
  <c r="C24" i="33"/>
  <c r="D24" i="33"/>
  <c r="G24" i="33" s="1"/>
  <c r="E24" i="33"/>
  <c r="F24" i="33"/>
  <c r="K24" i="33"/>
  <c r="L24" i="33"/>
  <c r="C25" i="33"/>
  <c r="D25" i="33"/>
  <c r="G25" i="33" s="1"/>
  <c r="E25" i="33"/>
  <c r="K25" i="33" s="1"/>
  <c r="F25" i="33"/>
  <c r="H25" i="33"/>
  <c r="L25" i="33"/>
  <c r="C26" i="33"/>
  <c r="D26" i="33"/>
  <c r="E26" i="33"/>
  <c r="I26" i="33" s="1"/>
  <c r="F26" i="33"/>
  <c r="H26" i="33" s="1"/>
  <c r="J26" i="33"/>
  <c r="L26" i="33"/>
  <c r="C27" i="33"/>
  <c r="D27" i="33"/>
  <c r="E27" i="33"/>
  <c r="F27" i="33"/>
  <c r="G27" i="33"/>
  <c r="H27" i="33"/>
  <c r="I27" i="33"/>
  <c r="J27" i="33"/>
  <c r="K27" i="33"/>
  <c r="L27" i="33"/>
  <c r="C28" i="33"/>
  <c r="J28" i="33" s="1"/>
  <c r="D28" i="33"/>
  <c r="H28" i="33" s="1"/>
  <c r="E28" i="33"/>
  <c r="K28" i="33" s="1"/>
  <c r="F28" i="33"/>
  <c r="L28" i="33"/>
  <c r="C29" i="33"/>
  <c r="D29" i="33"/>
  <c r="E29" i="33"/>
  <c r="I29" i="33" s="1"/>
  <c r="F29" i="33"/>
  <c r="J29" i="33" s="1"/>
  <c r="K29" i="33"/>
  <c r="L29" i="33"/>
  <c r="C30" i="33"/>
  <c r="D30" i="33"/>
  <c r="G30" i="33" s="1"/>
  <c r="E30" i="33"/>
  <c r="F30" i="33"/>
  <c r="K30" i="33"/>
  <c r="L30" i="33"/>
  <c r="C31" i="33"/>
  <c r="D31" i="33"/>
  <c r="G31" i="33" s="1"/>
  <c r="E31" i="33"/>
  <c r="F31" i="33"/>
  <c r="H31" i="33"/>
  <c r="I31" i="33"/>
  <c r="J31" i="33"/>
  <c r="K31" i="33"/>
  <c r="L31" i="33"/>
  <c r="C32" i="33"/>
  <c r="D32" i="33"/>
  <c r="G32" i="33" s="1"/>
  <c r="E32" i="33"/>
  <c r="F32" i="33"/>
  <c r="L32" i="33"/>
  <c r="C33" i="33"/>
  <c r="I33" i="33" s="1"/>
  <c r="D33" i="33"/>
  <c r="G33" i="33" s="1"/>
  <c r="E33" i="33"/>
  <c r="F33" i="33"/>
  <c r="L33" i="33"/>
  <c r="C34" i="33"/>
  <c r="D34" i="33"/>
  <c r="E34" i="33"/>
  <c r="G34" i="33" s="1"/>
  <c r="F34" i="33"/>
  <c r="H34" i="33"/>
  <c r="I34" i="33"/>
  <c r="J34" i="33"/>
  <c r="K34" i="33"/>
  <c r="L34" i="33"/>
  <c r="C35" i="33"/>
  <c r="I35" i="33" s="1"/>
  <c r="D35" i="33"/>
  <c r="E35" i="33"/>
  <c r="F35" i="33"/>
  <c r="K35" i="33" s="1"/>
  <c r="L35" i="33"/>
  <c r="C36" i="33"/>
  <c r="D36" i="33"/>
  <c r="E36" i="33"/>
  <c r="F36" i="33"/>
  <c r="G36" i="33"/>
  <c r="L36" i="33"/>
  <c r="C37" i="33"/>
  <c r="J37" i="33" s="1"/>
  <c r="D37" i="33"/>
  <c r="G37" i="33" s="1"/>
  <c r="E37" i="33"/>
  <c r="F37" i="33"/>
  <c r="I37" i="33"/>
  <c r="K37" i="33"/>
  <c r="L37" i="33"/>
  <c r="C38" i="33"/>
  <c r="D38" i="33"/>
  <c r="E38" i="33"/>
  <c r="F38" i="33"/>
  <c r="L38" i="33"/>
  <c r="C39" i="33"/>
  <c r="D39" i="33"/>
  <c r="E39" i="33"/>
  <c r="F39" i="33"/>
  <c r="H39" i="33" s="1"/>
  <c r="G39" i="33"/>
  <c r="I39" i="33"/>
  <c r="L39" i="33"/>
  <c r="C40" i="33"/>
  <c r="I40" i="33" s="1"/>
  <c r="D40" i="33"/>
  <c r="G40" i="33" s="1"/>
  <c r="E40" i="33"/>
  <c r="F40" i="33"/>
  <c r="J40" i="33"/>
  <c r="K40" i="33"/>
  <c r="L40" i="33"/>
  <c r="C41" i="33"/>
  <c r="D41" i="33"/>
  <c r="H41" i="33" s="1"/>
  <c r="E41" i="33"/>
  <c r="K41" i="33" s="1"/>
  <c r="F41" i="33"/>
  <c r="L41" i="33"/>
  <c r="C42" i="33"/>
  <c r="I42" i="33" s="1"/>
  <c r="D42" i="33"/>
  <c r="E42" i="33"/>
  <c r="F42" i="33"/>
  <c r="H42" i="33" s="1"/>
  <c r="G42" i="33"/>
  <c r="L42" i="33"/>
  <c r="C43" i="33"/>
  <c r="D43" i="33"/>
  <c r="E43" i="33"/>
  <c r="F43" i="33"/>
  <c r="H43" i="33" s="1"/>
  <c r="G43" i="33"/>
  <c r="I43" i="33"/>
  <c r="L43" i="33"/>
  <c r="C44" i="33"/>
  <c r="D44" i="33"/>
  <c r="E44" i="33"/>
  <c r="K44" i="33" s="1"/>
  <c r="F44" i="33"/>
  <c r="G44" i="33"/>
  <c r="H44" i="33"/>
  <c r="I44" i="33"/>
  <c r="J44" i="33"/>
  <c r="L44" i="33"/>
  <c r="C45" i="33"/>
  <c r="D45" i="33"/>
  <c r="E45" i="33"/>
  <c r="I45" i="33" s="1"/>
  <c r="F45" i="33"/>
  <c r="J45" i="33" s="1"/>
  <c r="K45" i="33"/>
  <c r="L45" i="33"/>
  <c r="C46" i="33"/>
  <c r="I46" i="33" s="1"/>
  <c r="D46" i="33"/>
  <c r="E46" i="33"/>
  <c r="F46" i="33"/>
  <c r="H46" i="33" s="1"/>
  <c r="L46" i="33"/>
  <c r="C47" i="33"/>
  <c r="D47" i="33"/>
  <c r="E47" i="33"/>
  <c r="G47" i="33" s="1"/>
  <c r="F47" i="33"/>
  <c r="H47" i="33" s="1"/>
  <c r="J47" i="33"/>
  <c r="L47" i="33"/>
  <c r="C48" i="33"/>
  <c r="D48" i="33"/>
  <c r="G48" i="33" s="1"/>
  <c r="E48" i="33"/>
  <c r="F48" i="33"/>
  <c r="H48" i="33" s="1"/>
  <c r="L48" i="33"/>
  <c r="C49" i="33"/>
  <c r="I49" i="33" s="1"/>
  <c r="D49" i="33"/>
  <c r="G49" i="33" s="1"/>
  <c r="E49" i="33"/>
  <c r="F49" i="33"/>
  <c r="J49" i="33"/>
  <c r="L49" i="33"/>
  <c r="C50" i="33"/>
  <c r="D50" i="33"/>
  <c r="E50" i="33"/>
  <c r="I50" i="33" s="1"/>
  <c r="F50" i="33"/>
  <c r="J50" i="33" s="1"/>
  <c r="G50" i="33"/>
  <c r="L50" i="33"/>
  <c r="C51" i="33"/>
  <c r="I51" i="33" s="1"/>
  <c r="D51" i="33"/>
  <c r="E51" i="33"/>
  <c r="F51" i="33"/>
  <c r="K51" i="33" s="1"/>
  <c r="L51" i="33"/>
  <c r="C52" i="33"/>
  <c r="D52" i="33"/>
  <c r="G52" i="33" s="1"/>
  <c r="E52" i="33"/>
  <c r="K52" i="33" s="1"/>
  <c r="F52" i="33"/>
  <c r="L52" i="33"/>
  <c r="C53" i="33"/>
  <c r="D53" i="33"/>
  <c r="E53" i="33"/>
  <c r="F53" i="33"/>
  <c r="G53" i="33"/>
  <c r="H53" i="33"/>
  <c r="I53" i="33"/>
  <c r="L53" i="33"/>
  <c r="C54" i="33"/>
  <c r="I54" i="33" s="1"/>
  <c r="D54" i="33"/>
  <c r="E54" i="33"/>
  <c r="F54" i="33"/>
  <c r="L54" i="33"/>
  <c r="C55" i="33"/>
  <c r="D55" i="33"/>
  <c r="G55" i="33" s="1"/>
  <c r="E55" i="33"/>
  <c r="K55" i="33" s="1"/>
  <c r="F55" i="33"/>
  <c r="L55" i="33"/>
  <c r="C56" i="33"/>
  <c r="D56" i="33"/>
  <c r="E56" i="33"/>
  <c r="F56" i="33"/>
  <c r="G56" i="33"/>
  <c r="H56" i="33"/>
  <c r="I56" i="33"/>
  <c r="J56" i="33"/>
  <c r="K56" i="33"/>
  <c r="L56" i="33"/>
  <c r="C57" i="33"/>
  <c r="D57" i="33"/>
  <c r="H57" i="33" s="1"/>
  <c r="E57" i="33"/>
  <c r="F57" i="33"/>
  <c r="L57" i="33"/>
  <c r="C58" i="33"/>
  <c r="D58" i="33"/>
  <c r="E58" i="33"/>
  <c r="F58" i="33"/>
  <c r="H58" i="33" s="1"/>
  <c r="G58" i="33"/>
  <c r="I58" i="33"/>
  <c r="L58" i="33"/>
  <c r="C59" i="33"/>
  <c r="D59" i="33"/>
  <c r="E59" i="33"/>
  <c r="K59" i="33" s="1"/>
  <c r="F59" i="33"/>
  <c r="L59" i="33"/>
  <c r="C60" i="33"/>
  <c r="D60" i="33"/>
  <c r="G60" i="33" s="1"/>
  <c r="E60" i="33"/>
  <c r="K60" i="33" s="1"/>
  <c r="F60" i="33"/>
  <c r="J60" i="33" s="1"/>
  <c r="L60" i="33"/>
  <c r="C61" i="33"/>
  <c r="D61" i="33"/>
  <c r="G61" i="33" s="1"/>
  <c r="E61" i="33"/>
  <c r="F61" i="33"/>
  <c r="K61" i="33" s="1"/>
  <c r="L61" i="33"/>
  <c r="C62" i="33"/>
  <c r="D62" i="33"/>
  <c r="G62" i="33" s="1"/>
  <c r="E62" i="33"/>
  <c r="K62" i="33" s="1"/>
  <c r="F62" i="33"/>
  <c r="L62" i="33"/>
  <c r="C63" i="33"/>
  <c r="D63" i="33"/>
  <c r="E63" i="33"/>
  <c r="K63" i="33" s="1"/>
  <c r="F63" i="33"/>
  <c r="L63" i="33"/>
  <c r="C64" i="33"/>
  <c r="D64" i="33"/>
  <c r="E64" i="33"/>
  <c r="I64" i="33" s="1"/>
  <c r="F64" i="33"/>
  <c r="L64" i="33"/>
  <c r="C65" i="33"/>
  <c r="I65" i="33" s="1"/>
  <c r="D65" i="33"/>
  <c r="G65" i="33" s="1"/>
  <c r="E65" i="33"/>
  <c r="K65" i="33" s="1"/>
  <c r="F65" i="33"/>
  <c r="L65" i="33"/>
  <c r="C66" i="33"/>
  <c r="D66" i="33"/>
  <c r="E66" i="33"/>
  <c r="G66" i="33" s="1"/>
  <c r="F66" i="33"/>
  <c r="H66" i="33"/>
  <c r="I66" i="33"/>
  <c r="J66" i="33"/>
  <c r="K66" i="33"/>
  <c r="L66" i="33"/>
  <c r="C67" i="33"/>
  <c r="D67" i="33"/>
  <c r="E67" i="33"/>
  <c r="F67" i="33"/>
  <c r="K67" i="33" s="1"/>
  <c r="L67" i="33"/>
  <c r="C68" i="33"/>
  <c r="D68" i="33"/>
  <c r="E68" i="33"/>
  <c r="K68" i="33" s="1"/>
  <c r="F68" i="33"/>
  <c r="G68" i="33"/>
  <c r="L68" i="33"/>
  <c r="C69" i="33"/>
  <c r="D69" i="33"/>
  <c r="E69" i="33"/>
  <c r="G69" i="33" s="1"/>
  <c r="F69" i="33"/>
  <c r="H69" i="33" s="1"/>
  <c r="L69" i="33"/>
  <c r="C70" i="33"/>
  <c r="I70" i="33" s="1"/>
  <c r="D70" i="33"/>
  <c r="E70" i="33"/>
  <c r="F70" i="33"/>
  <c r="L70" i="33"/>
  <c r="C71" i="33"/>
  <c r="D71" i="33"/>
  <c r="G71" i="33" s="1"/>
  <c r="E71" i="33"/>
  <c r="K71" i="33" s="1"/>
  <c r="F71" i="33"/>
  <c r="H71" i="33" s="1"/>
  <c r="L71" i="33"/>
  <c r="C72" i="33"/>
  <c r="I72" i="33" s="1"/>
  <c r="D72" i="33"/>
  <c r="E72" i="33"/>
  <c r="K72" i="33" s="1"/>
  <c r="F72" i="33"/>
  <c r="L72" i="33"/>
  <c r="C73" i="33"/>
  <c r="D73" i="33"/>
  <c r="E73" i="33"/>
  <c r="F73" i="33"/>
  <c r="H73" i="33" s="1"/>
  <c r="L73" i="33"/>
  <c r="C74" i="33"/>
  <c r="I74" i="33" s="1"/>
  <c r="D74" i="33"/>
  <c r="H74" i="33" s="1"/>
  <c r="E74" i="33"/>
  <c r="K74" i="33" s="1"/>
  <c r="F74" i="33"/>
  <c r="L74" i="33"/>
  <c r="C75" i="33"/>
  <c r="D75" i="33"/>
  <c r="E75" i="33"/>
  <c r="I75" i="33" s="1"/>
  <c r="F75" i="33"/>
  <c r="H75" i="33" s="1"/>
  <c r="G75" i="33"/>
  <c r="L75" i="33"/>
  <c r="C76" i="33"/>
  <c r="J76" i="33" s="1"/>
  <c r="D76" i="33"/>
  <c r="E76" i="33"/>
  <c r="F76" i="33"/>
  <c r="L76" i="33"/>
  <c r="C77" i="33"/>
  <c r="D77" i="33"/>
  <c r="E77" i="33"/>
  <c r="I77" i="33" s="1"/>
  <c r="F77" i="33"/>
  <c r="J77" i="33" s="1"/>
  <c r="L77" i="33"/>
  <c r="C78" i="33"/>
  <c r="I78" i="33" s="1"/>
  <c r="D78" i="33"/>
  <c r="E78" i="33"/>
  <c r="F78" i="33"/>
  <c r="H78" i="33" s="1"/>
  <c r="K78" i="33"/>
  <c r="L78" i="33"/>
  <c r="C79" i="33"/>
  <c r="I79" i="33" s="1"/>
  <c r="D79" i="33"/>
  <c r="G79" i="33" s="1"/>
  <c r="E79" i="33"/>
  <c r="K79" i="33" s="1"/>
  <c r="F79" i="33"/>
  <c r="L79" i="33"/>
  <c r="C80" i="33"/>
  <c r="D80" i="33"/>
  <c r="G80" i="33" s="1"/>
  <c r="E80" i="33"/>
  <c r="F80" i="33"/>
  <c r="H80" i="33" s="1"/>
  <c r="L80" i="33"/>
  <c r="C81" i="33"/>
  <c r="I81" i="33" s="1"/>
  <c r="D81" i="33"/>
  <c r="G81" i="33" s="1"/>
  <c r="E81" i="33"/>
  <c r="F81" i="33"/>
  <c r="L81" i="33"/>
  <c r="C82" i="33"/>
  <c r="J82" i="33" s="1"/>
  <c r="D82" i="33"/>
  <c r="E82" i="33"/>
  <c r="K82" i="33" s="1"/>
  <c r="F82" i="33"/>
  <c r="H82" i="33" s="1"/>
  <c r="G82" i="33"/>
  <c r="L82" i="33"/>
  <c r="C83" i="33"/>
  <c r="I83" i="33" s="1"/>
  <c r="D83" i="33"/>
  <c r="E83" i="33"/>
  <c r="F83" i="33"/>
  <c r="K83" i="33" s="1"/>
  <c r="L83" i="33"/>
  <c r="C84" i="33"/>
  <c r="D84" i="33"/>
  <c r="G84" i="33" s="1"/>
  <c r="E84" i="33"/>
  <c r="F84" i="33"/>
  <c r="L84" i="33"/>
  <c r="C85" i="33"/>
  <c r="I85" i="33" s="1"/>
  <c r="D85" i="33"/>
  <c r="H85" i="33" s="1"/>
  <c r="E85" i="33"/>
  <c r="F85" i="33"/>
  <c r="G85" i="33"/>
  <c r="L85" i="33"/>
  <c r="C86" i="33"/>
  <c r="D86" i="33"/>
  <c r="E86" i="33"/>
  <c r="F86" i="33"/>
  <c r="L86" i="33"/>
  <c r="C87" i="33"/>
  <c r="D87" i="33"/>
  <c r="G87" i="33" s="1"/>
  <c r="E87" i="33"/>
  <c r="K87" i="33" s="1"/>
  <c r="F87" i="33"/>
  <c r="L87" i="33"/>
  <c r="C88" i="33"/>
  <c r="D88" i="33"/>
  <c r="E88" i="33"/>
  <c r="F88" i="33"/>
  <c r="G88" i="33"/>
  <c r="H88" i="33"/>
  <c r="I88" i="33"/>
  <c r="J88" i="33"/>
  <c r="K88" i="33"/>
  <c r="L88" i="33"/>
  <c r="C89" i="33"/>
  <c r="D89" i="33"/>
  <c r="G89" i="33" s="1"/>
  <c r="E89" i="33"/>
  <c r="F89" i="33"/>
  <c r="H89" i="33"/>
  <c r="L89" i="33"/>
  <c r="C90" i="33"/>
  <c r="D90" i="33"/>
  <c r="E90" i="33"/>
  <c r="F90" i="33"/>
  <c r="G90" i="33"/>
  <c r="H90" i="33"/>
  <c r="I90" i="33"/>
  <c r="J90" i="33"/>
  <c r="K90" i="33"/>
  <c r="L90" i="33"/>
  <c r="C91" i="33"/>
  <c r="I91" i="33" s="1"/>
  <c r="D91" i="33"/>
  <c r="G91" i="33" s="1"/>
  <c r="E91" i="33"/>
  <c r="F91" i="33"/>
  <c r="K91" i="33"/>
  <c r="L91" i="33"/>
  <c r="C92" i="33"/>
  <c r="D92" i="33"/>
  <c r="E92" i="33"/>
  <c r="F92" i="33"/>
  <c r="H92" i="33" s="1"/>
  <c r="G92" i="33"/>
  <c r="L92" i="33"/>
  <c r="C93" i="33"/>
  <c r="D93" i="33"/>
  <c r="E93" i="33"/>
  <c r="F93" i="33"/>
  <c r="L93" i="33"/>
  <c r="C94" i="33"/>
  <c r="I94" i="33" s="1"/>
  <c r="D94" i="33"/>
  <c r="G94" i="33" s="1"/>
  <c r="E94" i="33"/>
  <c r="F94" i="33"/>
  <c r="H94" i="33"/>
  <c r="K94" i="33"/>
  <c r="L94" i="33"/>
  <c r="C95" i="33"/>
  <c r="I95" i="33" s="1"/>
  <c r="D95" i="33"/>
  <c r="E95" i="33"/>
  <c r="F95" i="33"/>
  <c r="H95" i="33" s="1"/>
  <c r="G95" i="33"/>
  <c r="K95" i="33"/>
  <c r="L95" i="33"/>
  <c r="C96" i="33"/>
  <c r="D96" i="33"/>
  <c r="G96" i="33" s="1"/>
  <c r="E96" i="33"/>
  <c r="I96" i="33" s="1"/>
  <c r="F96" i="33"/>
  <c r="H96" i="33" s="1"/>
  <c r="L96" i="33"/>
  <c r="C97" i="33"/>
  <c r="D97" i="33"/>
  <c r="E97" i="33"/>
  <c r="F97" i="33"/>
  <c r="L97" i="33"/>
  <c r="C98" i="33"/>
  <c r="D98" i="33"/>
  <c r="E98" i="33"/>
  <c r="F98" i="33"/>
  <c r="H98" i="33" s="1"/>
  <c r="G98" i="33"/>
  <c r="I98" i="33"/>
  <c r="J98" i="33"/>
  <c r="K98" i="33"/>
  <c r="L98" i="33"/>
  <c r="C99" i="33"/>
  <c r="I99" i="33" s="1"/>
  <c r="D99" i="33"/>
  <c r="E99" i="33"/>
  <c r="F99" i="33"/>
  <c r="L99" i="33"/>
  <c r="O99" i="33" s="1"/>
  <c r="C100" i="33"/>
  <c r="I100" i="33" s="1"/>
  <c r="D100" i="33"/>
  <c r="H100" i="33" s="1"/>
  <c r="E100" i="33"/>
  <c r="K100" i="33" s="1"/>
  <c r="F100" i="33"/>
  <c r="L100" i="33"/>
  <c r="C101" i="33"/>
  <c r="D101" i="33"/>
  <c r="E101" i="33"/>
  <c r="G101" i="33" s="1"/>
  <c r="F101" i="33"/>
  <c r="H101" i="33" s="1"/>
  <c r="L101" i="33"/>
  <c r="C102" i="33"/>
  <c r="D102" i="33"/>
  <c r="G102" i="33" s="1"/>
  <c r="E102" i="33"/>
  <c r="F102" i="33"/>
  <c r="L102" i="33"/>
  <c r="C103" i="33"/>
  <c r="D103" i="33"/>
  <c r="E103" i="33"/>
  <c r="K103" i="33" s="1"/>
  <c r="F103" i="33"/>
  <c r="H103" i="33" s="1"/>
  <c r="I103" i="33"/>
  <c r="L103" i="33"/>
  <c r="C104" i="33"/>
  <c r="I104" i="33" s="1"/>
  <c r="D104" i="33"/>
  <c r="G104" i="33" s="1"/>
  <c r="E104" i="33"/>
  <c r="F104" i="33"/>
  <c r="K104" i="33" s="1"/>
  <c r="L104" i="33"/>
  <c r="C105" i="33"/>
  <c r="D105" i="33"/>
  <c r="E105" i="33"/>
  <c r="F105" i="33"/>
  <c r="H105" i="33" s="1"/>
  <c r="L105" i="33"/>
  <c r="C106" i="33"/>
  <c r="I106" i="33" s="1"/>
  <c r="D106" i="33"/>
  <c r="E106" i="33"/>
  <c r="K106" i="33" s="1"/>
  <c r="F106" i="33"/>
  <c r="G106" i="33"/>
  <c r="H106" i="33"/>
  <c r="L106" i="33"/>
  <c r="C107" i="33"/>
  <c r="D107" i="33"/>
  <c r="E107" i="33"/>
  <c r="F107" i="33"/>
  <c r="G107" i="33"/>
  <c r="H107" i="33"/>
  <c r="I107" i="33"/>
  <c r="J107" i="33"/>
  <c r="K107" i="33"/>
  <c r="L107" i="33"/>
  <c r="C108" i="33"/>
  <c r="D108" i="33"/>
  <c r="G108" i="33" s="1"/>
  <c r="E108" i="33"/>
  <c r="K108" i="33" s="1"/>
  <c r="F108" i="33"/>
  <c r="J108" i="33"/>
  <c r="L108" i="33"/>
  <c r="C109" i="33"/>
  <c r="D109" i="33"/>
  <c r="G109" i="33" s="1"/>
  <c r="E109" i="33"/>
  <c r="I109" i="33" s="1"/>
  <c r="F109" i="33"/>
  <c r="J109" i="33" s="1"/>
  <c r="L109" i="33"/>
  <c r="C110" i="33"/>
  <c r="D110" i="33"/>
  <c r="E110" i="33"/>
  <c r="K110" i="33" s="1"/>
  <c r="F110" i="33"/>
  <c r="L110" i="33"/>
  <c r="C111" i="33"/>
  <c r="D111" i="33"/>
  <c r="E111" i="33"/>
  <c r="F111" i="33"/>
  <c r="G111" i="33"/>
  <c r="H111" i="33"/>
  <c r="I111" i="33"/>
  <c r="J111" i="33"/>
  <c r="K111" i="33"/>
  <c r="L111" i="33"/>
  <c r="C112" i="33"/>
  <c r="D112" i="33"/>
  <c r="G112" i="33" s="1"/>
  <c r="E112" i="33"/>
  <c r="K112" i="33" s="1"/>
  <c r="F112" i="33"/>
  <c r="L112" i="33"/>
  <c r="C113" i="33"/>
  <c r="D113" i="33"/>
  <c r="E113" i="33"/>
  <c r="K113" i="33" s="1"/>
  <c r="F113" i="33"/>
  <c r="L113" i="33"/>
  <c r="C114" i="33"/>
  <c r="D114" i="33"/>
  <c r="G114" i="33" s="1"/>
  <c r="E114" i="33"/>
  <c r="F114" i="33"/>
  <c r="H114" i="33" s="1"/>
  <c r="I114" i="33"/>
  <c r="J114" i="33"/>
  <c r="K114" i="33"/>
  <c r="L114" i="33"/>
  <c r="C115" i="33"/>
  <c r="D115" i="33"/>
  <c r="E115" i="33"/>
  <c r="F115" i="33"/>
  <c r="K115" i="33" s="1"/>
  <c r="L115" i="33"/>
  <c r="C116" i="33"/>
  <c r="D116" i="33"/>
  <c r="E116" i="33"/>
  <c r="G116" i="33" s="1"/>
  <c r="F116" i="33"/>
  <c r="L116" i="33"/>
  <c r="C117" i="33"/>
  <c r="I117" i="33" s="1"/>
  <c r="D117" i="33"/>
  <c r="G117" i="33" s="1"/>
  <c r="E117" i="33"/>
  <c r="F117" i="33"/>
  <c r="J117" i="33"/>
  <c r="K117" i="33"/>
  <c r="L117" i="33"/>
  <c r="C118" i="33"/>
  <c r="D118" i="33"/>
  <c r="E118" i="33"/>
  <c r="F118" i="33"/>
  <c r="L118" i="33"/>
  <c r="C119" i="33"/>
  <c r="I119" i="33" s="1"/>
  <c r="D119" i="33"/>
  <c r="E119" i="33"/>
  <c r="F119" i="33"/>
  <c r="H119" i="33" s="1"/>
  <c r="G119" i="33"/>
  <c r="L119" i="33"/>
  <c r="C120" i="33"/>
  <c r="D120" i="33"/>
  <c r="E120" i="33"/>
  <c r="F120" i="33"/>
  <c r="H120" i="33" s="1"/>
  <c r="G120" i="33"/>
  <c r="I120" i="33"/>
  <c r="J120" i="33"/>
  <c r="K120" i="33"/>
  <c r="L120" i="33"/>
  <c r="C121" i="33"/>
  <c r="D121" i="33"/>
  <c r="G121" i="33" s="1"/>
  <c r="E121" i="33"/>
  <c r="F121" i="33"/>
  <c r="L121" i="33"/>
  <c r="C122" i="33"/>
  <c r="D122" i="33"/>
  <c r="E122" i="33"/>
  <c r="G122" i="33" s="1"/>
  <c r="F122" i="33"/>
  <c r="H122" i="33"/>
  <c r="I122" i="33"/>
  <c r="J122" i="33"/>
  <c r="K122" i="33"/>
  <c r="L122" i="33"/>
  <c r="C123" i="33"/>
  <c r="I123" i="33" s="1"/>
  <c r="D123" i="33"/>
  <c r="H123" i="33" s="1"/>
  <c r="E123" i="33"/>
  <c r="K123" i="33" s="1"/>
  <c r="F123" i="33"/>
  <c r="G123" i="33"/>
  <c r="L123" i="33"/>
  <c r="C124" i="33"/>
  <c r="D124" i="33"/>
  <c r="E124" i="33"/>
  <c r="F124" i="33"/>
  <c r="H124" i="33" s="1"/>
  <c r="G124" i="33"/>
  <c r="L124" i="33"/>
  <c r="C125" i="33"/>
  <c r="I125" i="33" s="1"/>
  <c r="D125" i="33"/>
  <c r="E125" i="33"/>
  <c r="F125" i="33"/>
  <c r="K125" i="33"/>
  <c r="L125" i="33"/>
  <c r="C126" i="33"/>
  <c r="D126" i="33"/>
  <c r="G126" i="33" s="1"/>
  <c r="E126" i="33"/>
  <c r="K126" i="33" s="1"/>
  <c r="F126" i="33"/>
  <c r="L126" i="33"/>
  <c r="C127" i="33"/>
  <c r="D127" i="33"/>
  <c r="E127" i="33"/>
  <c r="K127" i="33" s="1"/>
  <c r="F127" i="33"/>
  <c r="H127" i="33" s="1"/>
  <c r="L127" i="33"/>
  <c r="C128" i="33"/>
  <c r="D128" i="33"/>
  <c r="G128" i="33" s="1"/>
  <c r="E128" i="33"/>
  <c r="I128" i="33" s="1"/>
  <c r="F128" i="33"/>
  <c r="K128" i="33"/>
  <c r="L128" i="33"/>
  <c r="C129" i="33"/>
  <c r="D129" i="33"/>
  <c r="G129" i="33" s="1"/>
  <c r="E129" i="33"/>
  <c r="F129" i="33"/>
  <c r="L129" i="33"/>
  <c r="C130" i="33"/>
  <c r="D130" i="33"/>
  <c r="G130" i="33" s="1"/>
  <c r="E130" i="33"/>
  <c r="F130" i="33"/>
  <c r="I130" i="33"/>
  <c r="J130" i="33"/>
  <c r="K130" i="33"/>
  <c r="L130" i="33"/>
  <c r="C131" i="33"/>
  <c r="D131" i="33"/>
  <c r="E131" i="33"/>
  <c r="F131" i="33"/>
  <c r="L131" i="33"/>
  <c r="C132" i="33"/>
  <c r="D132" i="33"/>
  <c r="E132" i="33"/>
  <c r="F132" i="33"/>
  <c r="L132" i="33"/>
  <c r="C133" i="33"/>
  <c r="D133" i="33"/>
  <c r="E133" i="33"/>
  <c r="F133" i="33"/>
  <c r="H133" i="33" s="1"/>
  <c r="G133" i="33"/>
  <c r="I133" i="33"/>
  <c r="J133" i="33"/>
  <c r="K133" i="33"/>
  <c r="L133" i="33"/>
  <c r="C134" i="33"/>
  <c r="D134" i="33"/>
  <c r="E134" i="33"/>
  <c r="F134" i="33"/>
  <c r="L134" i="33"/>
  <c r="C135" i="33"/>
  <c r="D135" i="33"/>
  <c r="E135" i="33"/>
  <c r="K135" i="33" s="1"/>
  <c r="F135" i="33"/>
  <c r="H135" i="33" s="1"/>
  <c r="I135" i="33"/>
  <c r="L135" i="33"/>
  <c r="C136" i="33"/>
  <c r="I136" i="33" s="1"/>
  <c r="D136" i="33"/>
  <c r="G136" i="33" s="1"/>
  <c r="E136" i="33"/>
  <c r="F136" i="33"/>
  <c r="J136" i="33"/>
  <c r="K136" i="33"/>
  <c r="L136" i="33"/>
  <c r="T136" i="33" s="1"/>
  <c r="C137" i="33"/>
  <c r="D137" i="33"/>
  <c r="E137" i="33"/>
  <c r="F137" i="33"/>
  <c r="G137" i="33"/>
  <c r="H137" i="33"/>
  <c r="L137" i="33"/>
  <c r="C138" i="33"/>
  <c r="I138" i="33" s="1"/>
  <c r="D138" i="33"/>
  <c r="G138" i="33" s="1"/>
  <c r="E138" i="33"/>
  <c r="K138" i="33" s="1"/>
  <c r="F138" i="33"/>
  <c r="L138" i="33"/>
  <c r="C139" i="33"/>
  <c r="D139" i="33"/>
  <c r="E139" i="33"/>
  <c r="F139" i="33"/>
  <c r="G139" i="33"/>
  <c r="H139" i="33"/>
  <c r="I139" i="33"/>
  <c r="J139" i="33"/>
  <c r="K139" i="33"/>
  <c r="L139" i="33"/>
  <c r="C140" i="33"/>
  <c r="D140" i="33"/>
  <c r="E140" i="33"/>
  <c r="K140" i="33" s="1"/>
  <c r="F140" i="33"/>
  <c r="L140" i="33"/>
  <c r="Q140" i="33" s="1"/>
  <c r="C141" i="33"/>
  <c r="D141" i="33"/>
  <c r="E141" i="33"/>
  <c r="F141" i="33"/>
  <c r="J141" i="33" s="1"/>
  <c r="I141" i="33"/>
  <c r="K141" i="33"/>
  <c r="L141" i="33"/>
  <c r="C142" i="33"/>
  <c r="I142" i="33" s="1"/>
  <c r="D142" i="33"/>
  <c r="G142" i="33" s="1"/>
  <c r="E142" i="33"/>
  <c r="K142" i="33" s="1"/>
  <c r="F142" i="33"/>
  <c r="L142" i="33"/>
  <c r="C143" i="33"/>
  <c r="D143" i="33"/>
  <c r="E143" i="33"/>
  <c r="G143" i="33" s="1"/>
  <c r="F143" i="33"/>
  <c r="J143" i="33" s="1"/>
  <c r="H143" i="33"/>
  <c r="L143" i="33"/>
  <c r="C144" i="33"/>
  <c r="D144" i="33"/>
  <c r="G144" i="33" s="1"/>
  <c r="E144" i="33"/>
  <c r="I144" i="33" s="1"/>
  <c r="F144" i="33"/>
  <c r="L144" i="33"/>
  <c r="C145" i="33"/>
  <c r="D145" i="33"/>
  <c r="E145" i="33"/>
  <c r="F145" i="33"/>
  <c r="J145" i="33" s="1"/>
  <c r="L145" i="33"/>
  <c r="C146" i="33"/>
  <c r="D146" i="33"/>
  <c r="G146" i="33" s="1"/>
  <c r="E146" i="33"/>
  <c r="F146" i="33"/>
  <c r="L146" i="33"/>
  <c r="C147" i="33"/>
  <c r="D147" i="33"/>
  <c r="E147" i="33"/>
  <c r="F147" i="33"/>
  <c r="L147" i="33"/>
  <c r="C148" i="33"/>
  <c r="D148" i="33"/>
  <c r="H148" i="33" s="1"/>
  <c r="E148" i="33"/>
  <c r="F148" i="33"/>
  <c r="G148" i="33"/>
  <c r="L148" i="33"/>
  <c r="C149" i="33"/>
  <c r="D149" i="33"/>
  <c r="G149" i="33" s="1"/>
  <c r="E149" i="33"/>
  <c r="K149" i="33" s="1"/>
  <c r="F149" i="33"/>
  <c r="H149" i="33"/>
  <c r="I149" i="33"/>
  <c r="J149" i="33"/>
  <c r="L149" i="33"/>
  <c r="C150" i="33"/>
  <c r="D150" i="33"/>
  <c r="E150" i="33"/>
  <c r="F150" i="33"/>
  <c r="L150" i="33"/>
  <c r="C151" i="33"/>
  <c r="D151" i="33"/>
  <c r="G151" i="33" s="1"/>
  <c r="E151" i="33"/>
  <c r="K151" i="33" s="1"/>
  <c r="F151" i="33"/>
  <c r="L151" i="33"/>
  <c r="C152" i="33"/>
  <c r="D152" i="33"/>
  <c r="G152" i="33" s="1"/>
  <c r="E152" i="33"/>
  <c r="F152" i="33"/>
  <c r="I152" i="33"/>
  <c r="J152" i="33"/>
  <c r="K152" i="33"/>
  <c r="L152" i="33"/>
  <c r="C153" i="33"/>
  <c r="D153" i="33"/>
  <c r="G153" i="33" s="1"/>
  <c r="E153" i="33"/>
  <c r="F153" i="33"/>
  <c r="L153" i="33"/>
  <c r="C154" i="33"/>
  <c r="D154" i="33"/>
  <c r="E154" i="33"/>
  <c r="K154" i="33" s="1"/>
  <c r="F154" i="33"/>
  <c r="L154" i="33"/>
  <c r="C155" i="33"/>
  <c r="D155" i="33"/>
  <c r="G155" i="33" s="1"/>
  <c r="E155" i="33"/>
  <c r="I155" i="33" s="1"/>
  <c r="F155" i="33"/>
  <c r="J155" i="33"/>
  <c r="L155" i="33"/>
  <c r="C156" i="33"/>
  <c r="D156" i="33"/>
  <c r="E156" i="33"/>
  <c r="F156" i="33"/>
  <c r="J156" i="33" s="1"/>
  <c r="G156" i="33"/>
  <c r="I156" i="33"/>
  <c r="L156" i="33"/>
  <c r="C157" i="33"/>
  <c r="I157" i="33" s="1"/>
  <c r="D157" i="33"/>
  <c r="G157" i="33" s="1"/>
  <c r="E157" i="33"/>
  <c r="F157" i="33"/>
  <c r="K157" i="33"/>
  <c r="L157" i="33"/>
  <c r="C158" i="33"/>
  <c r="D158" i="33"/>
  <c r="G158" i="33" s="1"/>
  <c r="E158" i="33"/>
  <c r="F158" i="33"/>
  <c r="H158" i="33"/>
  <c r="K158" i="33"/>
  <c r="L158" i="33"/>
  <c r="C159" i="33"/>
  <c r="D159" i="33"/>
  <c r="G159" i="33" s="1"/>
  <c r="E159" i="33"/>
  <c r="I159" i="33" s="1"/>
  <c r="F159" i="33"/>
  <c r="J159" i="33" s="1"/>
  <c r="L159" i="33"/>
  <c r="C160" i="33"/>
  <c r="D160" i="33"/>
  <c r="E160" i="33"/>
  <c r="I160" i="33" s="1"/>
  <c r="F160" i="33"/>
  <c r="H160" i="33" s="1"/>
  <c r="L160" i="33"/>
  <c r="C161" i="33"/>
  <c r="J161" i="33" s="1"/>
  <c r="D161" i="33"/>
  <c r="E161" i="33"/>
  <c r="K161" i="33" s="1"/>
  <c r="F161" i="33"/>
  <c r="L161" i="33"/>
  <c r="C162" i="33"/>
  <c r="D162" i="33"/>
  <c r="E162" i="33"/>
  <c r="F162" i="33"/>
  <c r="L162" i="33"/>
  <c r="C163" i="33"/>
  <c r="D163" i="33"/>
  <c r="E163" i="33"/>
  <c r="F163" i="33"/>
  <c r="K163" i="33" s="1"/>
  <c r="L163" i="33"/>
  <c r="C164" i="33"/>
  <c r="I164" i="33" s="1"/>
  <c r="D164" i="33"/>
  <c r="E164" i="33"/>
  <c r="F164" i="33"/>
  <c r="L164" i="33"/>
  <c r="C165" i="33"/>
  <c r="I165" i="33" s="1"/>
  <c r="D165" i="33"/>
  <c r="G165" i="33" s="1"/>
  <c r="E165" i="33"/>
  <c r="F165" i="33"/>
  <c r="J165" i="33"/>
  <c r="K165" i="33"/>
  <c r="L165" i="33"/>
  <c r="C166" i="33"/>
  <c r="D166" i="33"/>
  <c r="E166" i="33"/>
  <c r="F166" i="33"/>
  <c r="L166" i="33"/>
  <c r="C167" i="33"/>
  <c r="I167" i="33" s="1"/>
  <c r="D167" i="33"/>
  <c r="E167" i="33"/>
  <c r="F167" i="33"/>
  <c r="J167" i="33" s="1"/>
  <c r="G167" i="33"/>
  <c r="L167" i="33"/>
  <c r="R167" i="33" s="1"/>
  <c r="C168" i="33"/>
  <c r="D168" i="33"/>
  <c r="E168" i="33"/>
  <c r="F168" i="33"/>
  <c r="H168" i="33" s="1"/>
  <c r="G168" i="33"/>
  <c r="I168" i="33"/>
  <c r="K168" i="33"/>
  <c r="L168" i="33"/>
  <c r="C169" i="33"/>
  <c r="D169" i="33"/>
  <c r="H169" i="33" s="1"/>
  <c r="E169" i="33"/>
  <c r="F169" i="33"/>
  <c r="L169" i="33"/>
  <c r="C170" i="33"/>
  <c r="D170" i="33"/>
  <c r="E170" i="33"/>
  <c r="F170" i="33"/>
  <c r="H170" i="33" s="1"/>
  <c r="G170" i="33"/>
  <c r="I170" i="33"/>
  <c r="J170" i="33"/>
  <c r="K170" i="33"/>
  <c r="L170" i="33"/>
  <c r="C171" i="33"/>
  <c r="J171" i="33" s="1"/>
  <c r="D171" i="33"/>
  <c r="E171" i="33"/>
  <c r="K171" i="33" s="1"/>
  <c r="F171" i="33"/>
  <c r="H171" i="33" s="1"/>
  <c r="G171" i="33"/>
  <c r="I171" i="33"/>
  <c r="L171" i="33"/>
  <c r="C172" i="33"/>
  <c r="D172" i="33"/>
  <c r="E172" i="33"/>
  <c r="F172" i="33"/>
  <c r="H172" i="33"/>
  <c r="I172" i="33"/>
  <c r="J172" i="33"/>
  <c r="L172" i="33"/>
  <c r="C173" i="33"/>
  <c r="I173" i="33" s="1"/>
  <c r="D173" i="33"/>
  <c r="E173" i="33"/>
  <c r="K173" i="33" s="1"/>
  <c r="F173" i="33"/>
  <c r="L173" i="33"/>
  <c r="C174" i="33"/>
  <c r="I174" i="33" s="1"/>
  <c r="D174" i="33"/>
  <c r="E174" i="33"/>
  <c r="F174" i="33"/>
  <c r="J174" i="33" s="1"/>
  <c r="L174" i="33"/>
  <c r="C175" i="33"/>
  <c r="I175" i="33" s="1"/>
  <c r="D175" i="33"/>
  <c r="E175" i="33"/>
  <c r="F175" i="33"/>
  <c r="G175" i="33"/>
  <c r="L175" i="33"/>
  <c r="C176" i="33"/>
  <c r="D176" i="33"/>
  <c r="E176" i="33"/>
  <c r="I176" i="33" s="1"/>
  <c r="F176" i="33"/>
  <c r="H176" i="33" s="1"/>
  <c r="L176" i="33"/>
  <c r="C177" i="33"/>
  <c r="J177" i="33" s="1"/>
  <c r="D177" i="33"/>
  <c r="E177" i="33"/>
  <c r="F177" i="33"/>
  <c r="L177" i="33"/>
  <c r="Q177" i="33" s="1"/>
  <c r="C178" i="33"/>
  <c r="D178" i="33"/>
  <c r="E178" i="33"/>
  <c r="F178" i="33"/>
  <c r="H178" i="33" s="1"/>
  <c r="G178" i="33"/>
  <c r="I178" i="33"/>
  <c r="J178" i="33"/>
  <c r="L178" i="33"/>
  <c r="C179" i="33"/>
  <c r="D179" i="33"/>
  <c r="E179" i="33"/>
  <c r="F179" i="33"/>
  <c r="K179" i="33" s="1"/>
  <c r="L179" i="33"/>
  <c r="C180" i="33"/>
  <c r="D180" i="33"/>
  <c r="E180" i="33"/>
  <c r="F180" i="33"/>
  <c r="L180" i="33"/>
  <c r="C181" i="33"/>
  <c r="D181" i="33"/>
  <c r="E181" i="33"/>
  <c r="I181" i="33" s="1"/>
  <c r="F181" i="33"/>
  <c r="H181" i="33" s="1"/>
  <c r="G181" i="33"/>
  <c r="J181" i="33"/>
  <c r="K181" i="33"/>
  <c r="L181" i="33"/>
  <c r="C182" i="33"/>
  <c r="D182" i="33"/>
  <c r="E182" i="33"/>
  <c r="F182" i="33"/>
  <c r="L182" i="33"/>
  <c r="C183" i="33"/>
  <c r="D183" i="33"/>
  <c r="E183" i="33"/>
  <c r="G183" i="33" s="1"/>
  <c r="F183" i="33"/>
  <c r="J183" i="33" s="1"/>
  <c r="I183" i="33"/>
  <c r="L183" i="33"/>
  <c r="C184" i="33"/>
  <c r="D184" i="33"/>
  <c r="G184" i="33" s="1"/>
  <c r="E184" i="33"/>
  <c r="K184" i="33" s="1"/>
  <c r="F184" i="33"/>
  <c r="H184" i="33"/>
  <c r="I184" i="33"/>
  <c r="J184" i="33"/>
  <c r="L184" i="33"/>
  <c r="C185" i="33"/>
  <c r="D185" i="33"/>
  <c r="E185" i="33"/>
  <c r="F185" i="33"/>
  <c r="L185" i="33"/>
  <c r="P185" i="33" s="1"/>
  <c r="C186" i="33"/>
  <c r="D186" i="33"/>
  <c r="G186" i="33" s="1"/>
  <c r="E186" i="33"/>
  <c r="I186" i="33" s="1"/>
  <c r="F186" i="33"/>
  <c r="J186" i="33" s="1"/>
  <c r="L186" i="33"/>
  <c r="C187" i="33"/>
  <c r="D187" i="33"/>
  <c r="E187" i="33"/>
  <c r="G187" i="33" s="1"/>
  <c r="F187" i="33"/>
  <c r="L187" i="33"/>
  <c r="C188" i="33"/>
  <c r="I188" i="33" s="1"/>
  <c r="D188" i="33"/>
  <c r="E188" i="33"/>
  <c r="F188" i="33"/>
  <c r="G188" i="33"/>
  <c r="L188" i="33"/>
  <c r="C189" i="33"/>
  <c r="D189" i="33"/>
  <c r="E189" i="33"/>
  <c r="F189" i="33"/>
  <c r="I189" i="33"/>
  <c r="J189" i="33"/>
  <c r="K189" i="33"/>
  <c r="L189" i="33"/>
  <c r="C190" i="33"/>
  <c r="I190" i="33" s="1"/>
  <c r="D190" i="33"/>
  <c r="G190" i="33" s="1"/>
  <c r="E190" i="33"/>
  <c r="K190" i="33" s="1"/>
  <c r="F190" i="33"/>
  <c r="L190" i="33"/>
  <c r="C191" i="33"/>
  <c r="D191" i="33"/>
  <c r="E191" i="33"/>
  <c r="F191" i="33"/>
  <c r="H191" i="33" s="1"/>
  <c r="L191" i="33"/>
  <c r="C192" i="33"/>
  <c r="D192" i="33"/>
  <c r="G192" i="33" s="1"/>
  <c r="E192" i="33"/>
  <c r="F192" i="33"/>
  <c r="L192" i="33"/>
  <c r="C193" i="33"/>
  <c r="D193" i="33"/>
  <c r="E193" i="33"/>
  <c r="F193" i="33"/>
  <c r="L193" i="33"/>
  <c r="C194" i="33"/>
  <c r="J194" i="33" s="1"/>
  <c r="D194" i="33"/>
  <c r="G194" i="33" s="1"/>
  <c r="E194" i="33"/>
  <c r="K194" i="33" s="1"/>
  <c r="F194" i="33"/>
  <c r="L194" i="33"/>
  <c r="U194" i="33" s="1"/>
  <c r="C195" i="33"/>
  <c r="D195" i="33"/>
  <c r="G195" i="33" s="1"/>
  <c r="E195" i="33"/>
  <c r="F195" i="33"/>
  <c r="K195" i="33" s="1"/>
  <c r="L195" i="33"/>
  <c r="C196" i="33"/>
  <c r="D196" i="33"/>
  <c r="E196" i="33"/>
  <c r="F196" i="33"/>
  <c r="L196" i="33"/>
  <c r="C197" i="33"/>
  <c r="D197" i="33"/>
  <c r="E197" i="33"/>
  <c r="I197" i="33" s="1"/>
  <c r="F197" i="33"/>
  <c r="J197" i="33" s="1"/>
  <c r="L197" i="33"/>
  <c r="C198" i="33"/>
  <c r="D198" i="33"/>
  <c r="E198" i="33"/>
  <c r="F198" i="33"/>
  <c r="J198" i="33" s="1"/>
  <c r="L198" i="33"/>
  <c r="C199" i="33"/>
  <c r="D199" i="33"/>
  <c r="E199" i="33"/>
  <c r="F199" i="33"/>
  <c r="H199" i="33" s="1"/>
  <c r="L199" i="33"/>
  <c r="C200" i="33"/>
  <c r="I200" i="33" s="1"/>
  <c r="D200" i="33"/>
  <c r="G200" i="33" s="1"/>
  <c r="E200" i="33"/>
  <c r="K200" i="33" s="1"/>
  <c r="F200" i="33"/>
  <c r="L200" i="33"/>
  <c r="C201" i="33"/>
  <c r="D201" i="33"/>
  <c r="E201" i="33"/>
  <c r="F201" i="33"/>
  <c r="L201" i="33"/>
  <c r="C202" i="33"/>
  <c r="I202" i="33" s="1"/>
  <c r="D202" i="33"/>
  <c r="E202" i="33"/>
  <c r="K202" i="33" s="1"/>
  <c r="F202" i="33"/>
  <c r="G202" i="33"/>
  <c r="H202" i="33"/>
  <c r="L202" i="33"/>
  <c r="C203" i="33"/>
  <c r="D203" i="33"/>
  <c r="E203" i="33"/>
  <c r="F203" i="33"/>
  <c r="G203" i="33"/>
  <c r="H203" i="33"/>
  <c r="I203" i="33"/>
  <c r="J203" i="33"/>
  <c r="K203" i="33"/>
  <c r="L203" i="33"/>
  <c r="C204" i="33"/>
  <c r="D204" i="33"/>
  <c r="G204" i="33" s="1"/>
  <c r="E204" i="33"/>
  <c r="F204" i="33"/>
  <c r="H204" i="33"/>
  <c r="I204" i="33"/>
  <c r="L204" i="33"/>
  <c r="C205" i="33"/>
  <c r="D205" i="33"/>
  <c r="E205" i="33"/>
  <c r="K205" i="33" s="1"/>
  <c r="F205" i="33"/>
  <c r="L205" i="33"/>
  <c r="C206" i="33"/>
  <c r="I206" i="33" s="1"/>
  <c r="D206" i="33"/>
  <c r="G206" i="33" s="1"/>
  <c r="E206" i="33"/>
  <c r="K206" i="33" s="1"/>
  <c r="F206" i="33"/>
  <c r="L206" i="33"/>
  <c r="C207" i="33"/>
  <c r="D207" i="33"/>
  <c r="E207" i="33"/>
  <c r="F207" i="33"/>
  <c r="H207" i="33" s="1"/>
  <c r="G207" i="33"/>
  <c r="I207" i="33"/>
  <c r="K207" i="33"/>
  <c r="L207" i="33"/>
  <c r="C208" i="33"/>
  <c r="D208" i="33"/>
  <c r="G208" i="33" s="1"/>
  <c r="E208" i="33"/>
  <c r="K208" i="33" s="1"/>
  <c r="F208" i="33"/>
  <c r="L208" i="33"/>
  <c r="C209" i="33"/>
  <c r="D209" i="33"/>
  <c r="H209" i="33" s="1"/>
  <c r="E209" i="33"/>
  <c r="K209" i="33" s="1"/>
  <c r="F209" i="33"/>
  <c r="J209" i="33"/>
  <c r="L209" i="33"/>
  <c r="C210" i="33"/>
  <c r="I210" i="33" s="1"/>
  <c r="D210" i="33"/>
  <c r="H210" i="33" s="1"/>
  <c r="E210" i="33"/>
  <c r="K210" i="33" s="1"/>
  <c r="F210" i="33"/>
  <c r="L210" i="33"/>
  <c r="C211" i="33"/>
  <c r="D211" i="33"/>
  <c r="E211" i="33"/>
  <c r="F211" i="33"/>
  <c r="K211" i="33" s="1"/>
  <c r="L211" i="33"/>
  <c r="C212" i="33"/>
  <c r="D212" i="33"/>
  <c r="E212" i="33"/>
  <c r="F212" i="33"/>
  <c r="G212" i="33"/>
  <c r="H212" i="33"/>
  <c r="I212" i="33"/>
  <c r="L212" i="33"/>
  <c r="C213" i="33"/>
  <c r="I213" i="33" s="1"/>
  <c r="D213" i="33"/>
  <c r="H213" i="33" s="1"/>
  <c r="E213" i="33"/>
  <c r="F213" i="33"/>
  <c r="K213" i="33"/>
  <c r="L213" i="33"/>
  <c r="C214" i="33"/>
  <c r="D214" i="33"/>
  <c r="E214" i="33"/>
  <c r="F214" i="33"/>
  <c r="L214" i="33"/>
  <c r="C215" i="33"/>
  <c r="I215" i="33" s="1"/>
  <c r="D215" i="33"/>
  <c r="E215" i="33"/>
  <c r="K215" i="33" s="1"/>
  <c r="F215" i="33"/>
  <c r="H215" i="33" s="1"/>
  <c r="G215" i="33"/>
  <c r="L215" i="33"/>
  <c r="C216" i="33"/>
  <c r="D216" i="33"/>
  <c r="E216" i="33"/>
  <c r="F216" i="33"/>
  <c r="J216" i="33" s="1"/>
  <c r="I216" i="33"/>
  <c r="L216" i="33"/>
  <c r="C217" i="33"/>
  <c r="D217" i="33"/>
  <c r="E217" i="33"/>
  <c r="F217" i="33"/>
  <c r="H217" i="33" s="1"/>
  <c r="L217" i="33"/>
  <c r="C218" i="33"/>
  <c r="D218" i="33"/>
  <c r="E218" i="33"/>
  <c r="F218" i="33"/>
  <c r="G218" i="33"/>
  <c r="H218" i="33"/>
  <c r="I218" i="33"/>
  <c r="J218" i="33"/>
  <c r="K218" i="33"/>
  <c r="L218" i="33"/>
  <c r="C219" i="33"/>
  <c r="J219" i="33" s="1"/>
  <c r="D219" i="33"/>
  <c r="E219" i="33"/>
  <c r="K219" i="33" s="1"/>
  <c r="F219" i="33"/>
  <c r="G219" i="33"/>
  <c r="H219" i="33"/>
  <c r="I219" i="33"/>
  <c r="L219" i="33"/>
  <c r="C220" i="33"/>
  <c r="D220" i="33"/>
  <c r="E220" i="33"/>
  <c r="F220" i="33"/>
  <c r="H220" i="33" s="1"/>
  <c r="G220" i="33"/>
  <c r="I220" i="33"/>
  <c r="J220" i="33"/>
  <c r="L220" i="33"/>
  <c r="C221" i="33"/>
  <c r="D221" i="33"/>
  <c r="E221" i="33"/>
  <c r="K221" i="33" s="1"/>
  <c r="F221" i="33"/>
  <c r="L221" i="33"/>
  <c r="C222" i="33"/>
  <c r="J222" i="33" s="1"/>
  <c r="D222" i="33"/>
  <c r="E222" i="33"/>
  <c r="F222" i="33"/>
  <c r="K222" i="33" s="1"/>
  <c r="H222" i="33"/>
  <c r="I222" i="33"/>
  <c r="L222" i="33"/>
  <c r="C223" i="33"/>
  <c r="D223" i="33"/>
  <c r="G223" i="33" s="1"/>
  <c r="E223" i="33"/>
  <c r="I223" i="33" s="1"/>
  <c r="F223" i="33"/>
  <c r="H223" i="33" s="1"/>
  <c r="L223" i="33"/>
  <c r="C224" i="33"/>
  <c r="D224" i="33"/>
  <c r="G224" i="33" s="1"/>
  <c r="E224" i="33"/>
  <c r="I224" i="33" s="1"/>
  <c r="F224" i="33"/>
  <c r="K224" i="33" s="1"/>
  <c r="L224" i="33"/>
  <c r="P224" i="33" s="1"/>
  <c r="C225" i="33"/>
  <c r="D225" i="33"/>
  <c r="E225" i="33"/>
  <c r="K225" i="33" s="1"/>
  <c r="F225" i="33"/>
  <c r="L225" i="33"/>
  <c r="C226" i="33"/>
  <c r="I226" i="33" s="1"/>
  <c r="D226" i="33"/>
  <c r="G226" i="33" s="1"/>
  <c r="E226" i="33"/>
  <c r="K226" i="33" s="1"/>
  <c r="F226" i="33"/>
  <c r="L226" i="33"/>
  <c r="C227" i="33"/>
  <c r="D227" i="33"/>
  <c r="E227" i="33"/>
  <c r="F227" i="33"/>
  <c r="L227" i="33"/>
  <c r="C228" i="33"/>
  <c r="D228" i="33"/>
  <c r="G228" i="33" s="1"/>
  <c r="E228" i="33"/>
  <c r="K228" i="33" s="1"/>
  <c r="F228" i="33"/>
  <c r="H228" i="33"/>
  <c r="I228" i="33"/>
  <c r="L228" i="33"/>
  <c r="C229" i="33"/>
  <c r="I229" i="33" s="1"/>
  <c r="D229" i="33"/>
  <c r="G229" i="33" s="1"/>
  <c r="E229" i="33"/>
  <c r="F229" i="33"/>
  <c r="L229" i="33"/>
  <c r="C230" i="33"/>
  <c r="D230" i="33"/>
  <c r="E230" i="33"/>
  <c r="F230" i="33"/>
  <c r="J230" i="33"/>
  <c r="L230" i="33"/>
  <c r="C231" i="33"/>
  <c r="D231" i="33"/>
  <c r="G231" i="33" s="1"/>
  <c r="E231" i="33"/>
  <c r="I231" i="33" s="1"/>
  <c r="F231" i="33"/>
  <c r="L231" i="33"/>
  <c r="C232" i="33"/>
  <c r="D232" i="33"/>
  <c r="E232" i="33"/>
  <c r="G232" i="33" s="1"/>
  <c r="F232" i="33"/>
  <c r="H232" i="33" s="1"/>
  <c r="I232" i="33"/>
  <c r="L232" i="33"/>
  <c r="C233" i="33"/>
  <c r="D233" i="33"/>
  <c r="E233" i="33"/>
  <c r="K233" i="33" s="1"/>
  <c r="F233" i="33"/>
  <c r="G233" i="33"/>
  <c r="H233" i="33"/>
  <c r="L233" i="33"/>
  <c r="C234" i="33"/>
  <c r="D234" i="33"/>
  <c r="E234" i="33"/>
  <c r="F234" i="33"/>
  <c r="G234" i="33"/>
  <c r="H234" i="33"/>
  <c r="I234" i="33"/>
  <c r="J234" i="33"/>
  <c r="K234" i="33"/>
  <c r="L234" i="33"/>
  <c r="C235" i="33"/>
  <c r="I235" i="33" s="1"/>
  <c r="D235" i="33"/>
  <c r="G235" i="33" s="1"/>
  <c r="E235" i="33"/>
  <c r="K235" i="33" s="1"/>
  <c r="F235" i="33"/>
  <c r="L235" i="33"/>
  <c r="C236" i="33"/>
  <c r="D236" i="33"/>
  <c r="E236" i="33"/>
  <c r="K236" i="33" s="1"/>
  <c r="F236" i="33"/>
  <c r="G236" i="33"/>
  <c r="L236" i="33"/>
  <c r="C237" i="33"/>
  <c r="D237" i="33"/>
  <c r="E237" i="33"/>
  <c r="F237" i="33"/>
  <c r="J237" i="33" s="1"/>
  <c r="I237" i="33"/>
  <c r="L237" i="33"/>
  <c r="C238" i="33"/>
  <c r="D238" i="33"/>
  <c r="E238" i="33"/>
  <c r="I238" i="33" s="1"/>
  <c r="F238" i="33"/>
  <c r="J238" i="33" s="1"/>
  <c r="H238" i="33"/>
  <c r="L238" i="33"/>
  <c r="O238" i="33" s="1"/>
  <c r="C239" i="33"/>
  <c r="D239" i="33"/>
  <c r="G239" i="33" s="1"/>
  <c r="E239" i="33"/>
  <c r="K239" i="33" s="1"/>
  <c r="F239" i="33"/>
  <c r="H239" i="33"/>
  <c r="L239" i="33"/>
  <c r="C240" i="33"/>
  <c r="D240" i="33"/>
  <c r="E240" i="33"/>
  <c r="I240" i="33" s="1"/>
  <c r="F240" i="33"/>
  <c r="L240" i="33"/>
  <c r="C241" i="33"/>
  <c r="D241" i="33"/>
  <c r="H241" i="33" s="1"/>
  <c r="E241" i="33"/>
  <c r="F241" i="33"/>
  <c r="L241" i="33"/>
  <c r="C242" i="33"/>
  <c r="D242" i="33"/>
  <c r="G242" i="33" s="1"/>
  <c r="E242" i="33"/>
  <c r="F242" i="33"/>
  <c r="L242" i="33"/>
  <c r="C243" i="33"/>
  <c r="D243" i="33"/>
  <c r="G243" i="33" s="1"/>
  <c r="E243" i="33"/>
  <c r="F243" i="33"/>
  <c r="K243" i="33" s="1"/>
  <c r="J243" i="33"/>
  <c r="L243" i="33"/>
  <c r="C244" i="33"/>
  <c r="I244" i="33" s="1"/>
  <c r="D244" i="33"/>
  <c r="G244" i="33" s="1"/>
  <c r="E244" i="33"/>
  <c r="F244" i="33"/>
  <c r="L244" i="33"/>
  <c r="C245" i="33"/>
  <c r="D245" i="33"/>
  <c r="E245" i="33"/>
  <c r="F245" i="33"/>
  <c r="G245" i="33"/>
  <c r="H245" i="33"/>
  <c r="I245" i="33"/>
  <c r="J245" i="33"/>
  <c r="K245" i="33"/>
  <c r="L245" i="33"/>
  <c r="C246" i="33"/>
  <c r="D246" i="33"/>
  <c r="E246" i="33"/>
  <c r="F246" i="33"/>
  <c r="L246" i="33"/>
  <c r="C247" i="33"/>
  <c r="D247" i="33"/>
  <c r="H247" i="33" s="1"/>
  <c r="E247" i="33"/>
  <c r="K247" i="33" s="1"/>
  <c r="F247" i="33"/>
  <c r="L247" i="33"/>
  <c r="C248" i="33"/>
  <c r="D248" i="33"/>
  <c r="E248" i="33"/>
  <c r="F248" i="33"/>
  <c r="H248" i="33" s="1"/>
  <c r="J248" i="33"/>
  <c r="L248" i="33"/>
  <c r="C249" i="33"/>
  <c r="D249" i="33"/>
  <c r="E249" i="33"/>
  <c r="F249" i="33"/>
  <c r="H249" i="33" s="1"/>
  <c r="G249" i="33"/>
  <c r="L249" i="33"/>
  <c r="C250" i="33"/>
  <c r="D250" i="33"/>
  <c r="E250" i="33"/>
  <c r="K250" i="33" s="1"/>
  <c r="F250" i="33"/>
  <c r="J250" i="33"/>
  <c r="L250" i="33"/>
  <c r="C251" i="33"/>
  <c r="I251" i="33" s="1"/>
  <c r="D251" i="33"/>
  <c r="G251" i="33" s="1"/>
  <c r="E251" i="33"/>
  <c r="F251" i="33"/>
  <c r="K251" i="33" s="1"/>
  <c r="L251" i="33"/>
  <c r="C252" i="33"/>
  <c r="D252" i="33"/>
  <c r="E252" i="33"/>
  <c r="I252" i="33" s="1"/>
  <c r="F252" i="33"/>
  <c r="L252" i="33"/>
  <c r="Q252" i="33" s="1"/>
  <c r="C253" i="33"/>
  <c r="D253" i="33"/>
  <c r="E253" i="33"/>
  <c r="F253" i="33"/>
  <c r="K253" i="33"/>
  <c r="L253" i="33"/>
  <c r="C254" i="33"/>
  <c r="I254" i="33" s="1"/>
  <c r="D254" i="33"/>
  <c r="E254" i="33"/>
  <c r="K254" i="33" s="1"/>
  <c r="F254" i="33"/>
  <c r="L254" i="33"/>
  <c r="C255" i="33"/>
  <c r="D255" i="33"/>
  <c r="E255" i="33"/>
  <c r="K255" i="33" s="1"/>
  <c r="F255" i="33"/>
  <c r="L255" i="33"/>
  <c r="C256" i="33"/>
  <c r="D256" i="33"/>
  <c r="G256" i="33" s="1"/>
  <c r="E256" i="33"/>
  <c r="F256" i="33"/>
  <c r="J256" i="33" s="1"/>
  <c r="L256" i="33"/>
  <c r="C257" i="33"/>
  <c r="J257" i="33" s="1"/>
  <c r="D257" i="33"/>
  <c r="G257" i="33" s="1"/>
  <c r="E257" i="33"/>
  <c r="F257" i="33"/>
  <c r="K257" i="33"/>
  <c r="L257" i="33"/>
  <c r="C258" i="33"/>
  <c r="D258" i="33"/>
  <c r="G258" i="33" s="1"/>
  <c r="E258" i="33"/>
  <c r="F258" i="33"/>
  <c r="L258" i="33"/>
  <c r="C259" i="33"/>
  <c r="D259" i="33"/>
  <c r="E259" i="33"/>
  <c r="F259" i="33"/>
  <c r="H259" i="33"/>
  <c r="L259" i="33"/>
  <c r="Q259" i="33" s="1"/>
  <c r="C260" i="33"/>
  <c r="D260" i="33"/>
  <c r="E260" i="33"/>
  <c r="F260" i="33"/>
  <c r="H260" i="33" s="1"/>
  <c r="G260" i="33"/>
  <c r="L260" i="33"/>
  <c r="C261" i="33"/>
  <c r="D261" i="33"/>
  <c r="G261" i="33" s="1"/>
  <c r="E261" i="33"/>
  <c r="K261" i="33" s="1"/>
  <c r="F261" i="33"/>
  <c r="H261" i="33"/>
  <c r="L261" i="33"/>
  <c r="C262" i="33"/>
  <c r="D262" i="33"/>
  <c r="E262" i="33"/>
  <c r="F262" i="33"/>
  <c r="L262" i="33"/>
  <c r="C263" i="33"/>
  <c r="D263" i="33"/>
  <c r="H263" i="33" s="1"/>
  <c r="E263" i="33"/>
  <c r="F263" i="33"/>
  <c r="K263" i="33"/>
  <c r="L263" i="33"/>
  <c r="C264" i="33"/>
  <c r="D264" i="33"/>
  <c r="G264" i="33" s="1"/>
  <c r="E264" i="33"/>
  <c r="F264" i="33"/>
  <c r="K264" i="33"/>
  <c r="L264" i="33"/>
  <c r="C265" i="33"/>
  <c r="D265" i="33"/>
  <c r="E265" i="33"/>
  <c r="K265" i="33" s="1"/>
  <c r="F265" i="33"/>
  <c r="L265" i="33"/>
  <c r="C266" i="33"/>
  <c r="D266" i="33"/>
  <c r="G266" i="33" s="1"/>
  <c r="E266" i="33"/>
  <c r="F266" i="33"/>
  <c r="H266" i="33"/>
  <c r="I266" i="33"/>
  <c r="J266" i="33"/>
  <c r="K266" i="33"/>
  <c r="L266" i="33"/>
  <c r="C267" i="33"/>
  <c r="J267" i="33" s="1"/>
  <c r="D267" i="33"/>
  <c r="E267" i="33"/>
  <c r="K267" i="33" s="1"/>
  <c r="F267" i="33"/>
  <c r="H267" i="33"/>
  <c r="I267" i="33"/>
  <c r="L267" i="33"/>
  <c r="C268" i="33"/>
  <c r="D268" i="33"/>
  <c r="E268" i="33"/>
  <c r="F268" i="33"/>
  <c r="G268" i="33"/>
  <c r="H268" i="33"/>
  <c r="I268" i="33"/>
  <c r="J268" i="33"/>
  <c r="L268" i="33"/>
  <c r="C269" i="33"/>
  <c r="I269" i="33" s="1"/>
  <c r="D269" i="33"/>
  <c r="E269" i="33"/>
  <c r="F269" i="33"/>
  <c r="L269" i="33"/>
  <c r="C270" i="33"/>
  <c r="D270" i="33"/>
  <c r="E270" i="33"/>
  <c r="F270" i="33"/>
  <c r="J270" i="33" s="1"/>
  <c r="H270" i="33"/>
  <c r="I270" i="33"/>
  <c r="K270" i="33"/>
  <c r="L270" i="33"/>
  <c r="C271" i="33"/>
  <c r="I271" i="33" s="1"/>
  <c r="D271" i="33"/>
  <c r="G271" i="33" s="1"/>
  <c r="E271" i="33"/>
  <c r="F271" i="33"/>
  <c r="K271" i="33"/>
  <c r="L271" i="33"/>
  <c r="C272" i="33"/>
  <c r="D272" i="33"/>
  <c r="G272" i="33" s="1"/>
  <c r="E272" i="33"/>
  <c r="F272" i="33"/>
  <c r="K272" i="33"/>
  <c r="L272" i="33"/>
  <c r="R272" i="33" s="1"/>
  <c r="C273" i="33"/>
  <c r="D273" i="33"/>
  <c r="E273" i="33"/>
  <c r="F273" i="33"/>
  <c r="H273" i="33"/>
  <c r="K273" i="33"/>
  <c r="L273" i="33"/>
  <c r="C274" i="33"/>
  <c r="I274" i="33" s="1"/>
  <c r="D274" i="33"/>
  <c r="H274" i="33" s="1"/>
  <c r="E274" i="33"/>
  <c r="G274" i="33" s="1"/>
  <c r="F274" i="33"/>
  <c r="K274" i="33"/>
  <c r="L274" i="33"/>
  <c r="C275" i="33"/>
  <c r="D275" i="33"/>
  <c r="E275" i="33"/>
  <c r="F275" i="33"/>
  <c r="K275" i="33" s="1"/>
  <c r="H275" i="33"/>
  <c r="J275" i="33"/>
  <c r="L275" i="33"/>
  <c r="C276" i="33"/>
  <c r="D276" i="33"/>
  <c r="E276" i="33"/>
  <c r="K276" i="33" s="1"/>
  <c r="F276" i="33"/>
  <c r="L276" i="33"/>
  <c r="C277" i="33"/>
  <c r="D277" i="33"/>
  <c r="E277" i="33"/>
  <c r="F277" i="33"/>
  <c r="G277" i="33"/>
  <c r="H277" i="33"/>
  <c r="I277" i="33"/>
  <c r="J277" i="33"/>
  <c r="K277" i="33"/>
  <c r="L277" i="33"/>
  <c r="C278" i="33"/>
  <c r="D278" i="33"/>
  <c r="H278" i="33" s="1"/>
  <c r="E278" i="33"/>
  <c r="F278" i="33"/>
  <c r="L278" i="33"/>
  <c r="C279" i="33"/>
  <c r="D279" i="33"/>
  <c r="G279" i="33" s="1"/>
  <c r="E279" i="33"/>
  <c r="F279" i="33"/>
  <c r="I279" i="33"/>
  <c r="J279" i="33"/>
  <c r="K279" i="33"/>
  <c r="L279" i="33"/>
  <c r="C280" i="33"/>
  <c r="J280" i="33" s="1"/>
  <c r="D280" i="33"/>
  <c r="G280" i="33" s="1"/>
  <c r="E280" i="33"/>
  <c r="F280" i="33"/>
  <c r="L280" i="33"/>
  <c r="C281" i="33"/>
  <c r="D281" i="33"/>
  <c r="G281" i="33" s="1"/>
  <c r="E281" i="33"/>
  <c r="F281" i="33"/>
  <c r="H281" i="33" s="1"/>
  <c r="J281" i="33"/>
  <c r="L281" i="33"/>
  <c r="C282" i="33"/>
  <c r="D282" i="33"/>
  <c r="G282" i="33" s="1"/>
  <c r="E282" i="33"/>
  <c r="F282" i="33"/>
  <c r="I282" i="33"/>
  <c r="L282" i="33"/>
  <c r="C283" i="33"/>
  <c r="D283" i="33"/>
  <c r="E283" i="33"/>
  <c r="I283" i="33" s="1"/>
  <c r="F283" i="33"/>
  <c r="G283" i="33"/>
  <c r="H283" i="33"/>
  <c r="L283" i="33"/>
  <c r="C284" i="33"/>
  <c r="D284" i="33"/>
  <c r="E284" i="33"/>
  <c r="F284" i="33"/>
  <c r="G284" i="33"/>
  <c r="H284" i="33"/>
  <c r="L284" i="33"/>
  <c r="C285" i="33"/>
  <c r="D285" i="33"/>
  <c r="E285" i="33"/>
  <c r="F285" i="33"/>
  <c r="J285" i="33" s="1"/>
  <c r="H285" i="33"/>
  <c r="I285" i="33"/>
  <c r="L285" i="33"/>
  <c r="C286" i="33"/>
  <c r="D286" i="33"/>
  <c r="H286" i="33" s="1"/>
  <c r="E286" i="33"/>
  <c r="K286" i="33" s="1"/>
  <c r="F286" i="33"/>
  <c r="L286" i="33"/>
  <c r="C287" i="33"/>
  <c r="D287" i="33"/>
  <c r="G287" i="33" s="1"/>
  <c r="E287" i="33"/>
  <c r="K287" i="33" s="1"/>
  <c r="F287" i="33"/>
  <c r="L287" i="33"/>
  <c r="C288" i="33"/>
  <c r="D288" i="33"/>
  <c r="E288" i="33"/>
  <c r="I288" i="33" s="1"/>
  <c r="F288" i="33"/>
  <c r="H288" i="33"/>
  <c r="J288" i="33"/>
  <c r="L288" i="33"/>
  <c r="C289" i="33"/>
  <c r="D289" i="33"/>
  <c r="E289" i="33"/>
  <c r="F289" i="33"/>
  <c r="G289" i="33"/>
  <c r="H289" i="33"/>
  <c r="J289" i="33"/>
  <c r="K289" i="33"/>
  <c r="L289" i="33"/>
  <c r="C290" i="33"/>
  <c r="D290" i="33"/>
  <c r="E290" i="33"/>
  <c r="K290" i="33" s="1"/>
  <c r="F290" i="33"/>
  <c r="G290" i="33"/>
  <c r="H290" i="33"/>
  <c r="L290" i="33"/>
  <c r="C291" i="33"/>
  <c r="D291" i="33"/>
  <c r="E291" i="33"/>
  <c r="F291" i="33"/>
  <c r="K291" i="33" s="1"/>
  <c r="J291" i="33"/>
  <c r="L291" i="33"/>
  <c r="C292" i="33"/>
  <c r="J292" i="33" s="1"/>
  <c r="D292" i="33"/>
  <c r="G292" i="33" s="1"/>
  <c r="E292" i="33"/>
  <c r="F292" i="33"/>
  <c r="I292" i="33"/>
  <c r="L292" i="33"/>
  <c r="C293" i="33"/>
  <c r="D293" i="33"/>
  <c r="E293" i="33"/>
  <c r="F293" i="33"/>
  <c r="G293" i="33"/>
  <c r="H293" i="33"/>
  <c r="I293" i="33"/>
  <c r="J293" i="33"/>
  <c r="K293" i="33"/>
  <c r="L293" i="33"/>
  <c r="C294" i="33"/>
  <c r="D294" i="33"/>
  <c r="E294" i="33"/>
  <c r="F294" i="33"/>
  <c r="L294" i="33"/>
  <c r="C295" i="33"/>
  <c r="D295" i="33"/>
  <c r="E295" i="33"/>
  <c r="F295" i="33"/>
  <c r="H295" i="33" s="1"/>
  <c r="G295" i="33"/>
  <c r="I295" i="33"/>
  <c r="L295" i="33"/>
  <c r="C296" i="33"/>
  <c r="D296" i="33"/>
  <c r="E296" i="33"/>
  <c r="I296" i="33" s="1"/>
  <c r="F296" i="33"/>
  <c r="J296" i="33"/>
  <c r="L296" i="33"/>
  <c r="C297" i="33"/>
  <c r="J297" i="33" s="1"/>
  <c r="D297" i="33"/>
  <c r="E297" i="33"/>
  <c r="K297" i="33" s="1"/>
  <c r="F297" i="33"/>
  <c r="L297" i="33"/>
  <c r="P297" i="33" s="1"/>
  <c r="C298" i="33"/>
  <c r="D298" i="33"/>
  <c r="E298" i="33"/>
  <c r="F298" i="33"/>
  <c r="J298" i="33" s="1"/>
  <c r="G298" i="33"/>
  <c r="H298" i="33"/>
  <c r="I298" i="33"/>
  <c r="L298" i="33"/>
  <c r="C299" i="33"/>
  <c r="I299" i="33" s="1"/>
  <c r="D299" i="33"/>
  <c r="E299" i="33"/>
  <c r="F299" i="33"/>
  <c r="G299" i="33"/>
  <c r="H299" i="33"/>
  <c r="K299" i="33"/>
  <c r="L299" i="33"/>
  <c r="C300" i="33"/>
  <c r="D300" i="33"/>
  <c r="H300" i="33" s="1"/>
  <c r="E300" i="33"/>
  <c r="I300" i="33" s="1"/>
  <c r="F300" i="33"/>
  <c r="J300" i="33" s="1"/>
  <c r="G300" i="33"/>
  <c r="L300" i="33"/>
  <c r="C301" i="33"/>
  <c r="D301" i="33"/>
  <c r="G301" i="33" s="1"/>
  <c r="E301" i="33"/>
  <c r="F301" i="33"/>
  <c r="J301" i="33" s="1"/>
  <c r="I301" i="33"/>
  <c r="K301" i="33"/>
  <c r="L301" i="33"/>
  <c r="C302" i="33"/>
  <c r="D302" i="33"/>
  <c r="E302" i="33"/>
  <c r="I302" i="33" s="1"/>
  <c r="F302" i="33"/>
  <c r="J302" i="33" s="1"/>
  <c r="L302" i="33"/>
  <c r="C303" i="33"/>
  <c r="I303" i="33" s="1"/>
  <c r="D303" i="33"/>
  <c r="G303" i="33" s="1"/>
  <c r="E303" i="33"/>
  <c r="F303" i="33"/>
  <c r="K303" i="33"/>
  <c r="L303" i="33"/>
  <c r="C304" i="33"/>
  <c r="D304" i="33"/>
  <c r="G304" i="33" s="1"/>
  <c r="E304" i="33"/>
  <c r="I304" i="33" s="1"/>
  <c r="F304" i="33"/>
  <c r="J304" i="33"/>
  <c r="K304" i="33"/>
  <c r="L304" i="33"/>
  <c r="C305" i="33"/>
  <c r="D305" i="33"/>
  <c r="E305" i="33"/>
  <c r="F305" i="33"/>
  <c r="K305" i="33"/>
  <c r="L305" i="33"/>
  <c r="C306" i="33"/>
  <c r="D306" i="33"/>
  <c r="E306" i="33"/>
  <c r="F306" i="33"/>
  <c r="G306" i="33"/>
  <c r="H306" i="33"/>
  <c r="I306" i="33"/>
  <c r="J306" i="33"/>
  <c r="K306" i="33"/>
  <c r="L306" i="33"/>
  <c r="C307" i="33"/>
  <c r="D307" i="33"/>
  <c r="E307" i="33"/>
  <c r="F307" i="33"/>
  <c r="K307" i="33" s="1"/>
  <c r="H307" i="33"/>
  <c r="L307" i="33"/>
  <c r="C308" i="33"/>
  <c r="D308" i="33"/>
  <c r="E308" i="33"/>
  <c r="F308" i="33"/>
  <c r="G308" i="33"/>
  <c r="L308" i="33"/>
  <c r="C309" i="33"/>
  <c r="I309" i="33" s="1"/>
  <c r="D309" i="33"/>
  <c r="G309" i="33" s="1"/>
  <c r="E309" i="33"/>
  <c r="F309" i="33"/>
  <c r="L309" i="33"/>
  <c r="C310" i="33"/>
  <c r="D310" i="33"/>
  <c r="E310" i="33"/>
  <c r="K310" i="33" s="1"/>
  <c r="F310" i="33"/>
  <c r="L310" i="33"/>
  <c r="C311" i="33"/>
  <c r="D311" i="33"/>
  <c r="E311" i="33"/>
  <c r="F311" i="33"/>
  <c r="J311" i="33" s="1"/>
  <c r="G311" i="33"/>
  <c r="H311" i="33"/>
  <c r="L311" i="33"/>
  <c r="C312" i="33"/>
  <c r="D312" i="33"/>
  <c r="G312" i="33" s="1"/>
  <c r="E312" i="33"/>
  <c r="K312" i="33" s="1"/>
  <c r="F312" i="33"/>
  <c r="H312" i="33" s="1"/>
  <c r="I312" i="33"/>
  <c r="J312" i="33"/>
  <c r="L312" i="33"/>
  <c r="C313" i="33"/>
  <c r="D313" i="33"/>
  <c r="E313" i="33"/>
  <c r="K313" i="33" s="1"/>
  <c r="F313" i="33"/>
  <c r="G313" i="33"/>
  <c r="L313" i="33"/>
  <c r="C314" i="33"/>
  <c r="D314" i="33"/>
  <c r="E314" i="33"/>
  <c r="F314" i="33"/>
  <c r="G314" i="33"/>
  <c r="H314" i="33"/>
  <c r="I314" i="33"/>
  <c r="J314" i="33"/>
  <c r="K314" i="33"/>
  <c r="L314" i="33"/>
  <c r="C315" i="33"/>
  <c r="D315" i="33"/>
  <c r="E315" i="33"/>
  <c r="F315" i="33"/>
  <c r="L315" i="33"/>
  <c r="C316" i="33"/>
  <c r="D316" i="33"/>
  <c r="G316" i="33" s="1"/>
  <c r="E316" i="33"/>
  <c r="K316" i="33" s="1"/>
  <c r="F316" i="33"/>
  <c r="L316" i="33"/>
  <c r="C317" i="33"/>
  <c r="I317" i="33" s="1"/>
  <c r="D317" i="33"/>
  <c r="E317" i="33"/>
  <c r="K317" i="33" s="1"/>
  <c r="F317" i="33"/>
  <c r="L317" i="33"/>
  <c r="C318" i="33"/>
  <c r="I318" i="33" s="1"/>
  <c r="D318" i="33"/>
  <c r="E318" i="33"/>
  <c r="F318" i="33"/>
  <c r="J318" i="33" s="1"/>
  <c r="K318" i="33"/>
  <c r="L318" i="33"/>
  <c r="C319" i="33"/>
  <c r="I319" i="33" s="1"/>
  <c r="D319" i="33"/>
  <c r="G319" i="33" s="1"/>
  <c r="E319" i="33"/>
  <c r="F319" i="33"/>
  <c r="K319" i="33" s="1"/>
  <c r="L319" i="33"/>
  <c r="P319" i="33" s="1"/>
  <c r="C320" i="33"/>
  <c r="J320" i="33" s="1"/>
  <c r="D320" i="33"/>
  <c r="E320" i="33"/>
  <c r="I320" i="33" s="1"/>
  <c r="F320" i="33"/>
  <c r="H320" i="33"/>
  <c r="L320" i="33"/>
  <c r="C321" i="33"/>
  <c r="J321" i="33" s="1"/>
  <c r="D321" i="33"/>
  <c r="G321" i="33" s="1"/>
  <c r="E321" i="33"/>
  <c r="K321" i="33" s="1"/>
  <c r="F321" i="33"/>
  <c r="L321" i="33"/>
  <c r="C322" i="33"/>
  <c r="D322" i="33"/>
  <c r="E322" i="33"/>
  <c r="F322" i="33"/>
  <c r="G322" i="33"/>
  <c r="L322" i="33"/>
  <c r="C323" i="33"/>
  <c r="I323" i="33" s="1"/>
  <c r="D323" i="33"/>
  <c r="G323" i="33" s="1"/>
  <c r="E323" i="33"/>
  <c r="F323" i="33"/>
  <c r="K323" i="33" s="1"/>
  <c r="L323" i="33"/>
  <c r="C324" i="33"/>
  <c r="D324" i="33"/>
  <c r="E324" i="33"/>
  <c r="F324" i="33"/>
  <c r="H324" i="33" s="1"/>
  <c r="L324" i="33"/>
  <c r="C325" i="33"/>
  <c r="D325" i="33"/>
  <c r="H325" i="33" s="1"/>
  <c r="E325" i="33"/>
  <c r="G325" i="33" s="1"/>
  <c r="F325" i="33"/>
  <c r="J325" i="33" s="1"/>
  <c r="L325" i="33"/>
  <c r="C326" i="33"/>
  <c r="D326" i="33"/>
  <c r="H326" i="33" s="1"/>
  <c r="E326" i="33"/>
  <c r="K326" i="33" s="1"/>
  <c r="F326" i="33"/>
  <c r="L326" i="33"/>
  <c r="C327" i="33"/>
  <c r="J327" i="33" s="1"/>
  <c r="D327" i="33"/>
  <c r="E327" i="33"/>
  <c r="F327" i="33"/>
  <c r="K327" i="33"/>
  <c r="L327" i="33"/>
  <c r="C328" i="33"/>
  <c r="J328" i="33" s="1"/>
  <c r="D328" i="33"/>
  <c r="G328" i="33" s="1"/>
  <c r="E328" i="33"/>
  <c r="I328" i="33" s="1"/>
  <c r="F328" i="33"/>
  <c r="L328" i="33"/>
  <c r="C329" i="33"/>
  <c r="D329" i="33"/>
  <c r="E329" i="33"/>
  <c r="G329" i="33" s="1"/>
  <c r="F329" i="33"/>
  <c r="H329" i="33"/>
  <c r="L329" i="33"/>
  <c r="C330" i="33"/>
  <c r="J330" i="33" s="1"/>
  <c r="D330" i="33"/>
  <c r="E330" i="33"/>
  <c r="K330" i="33" s="1"/>
  <c r="F330" i="33"/>
  <c r="G330" i="33"/>
  <c r="H330" i="33"/>
  <c r="I330" i="33"/>
  <c r="L330" i="33"/>
  <c r="U330" i="33" s="1"/>
  <c r="C331" i="33"/>
  <c r="D331" i="33"/>
  <c r="E331" i="33"/>
  <c r="F331" i="33"/>
  <c r="J331" i="33" s="1"/>
  <c r="G331" i="33"/>
  <c r="I331" i="33"/>
  <c r="L331" i="33"/>
  <c r="C332" i="33"/>
  <c r="I332" i="33" s="1"/>
  <c r="D332" i="33"/>
  <c r="H332" i="33" s="1"/>
  <c r="E332" i="33"/>
  <c r="F332" i="33"/>
  <c r="L332" i="33"/>
  <c r="C333" i="33"/>
  <c r="D333" i="33"/>
  <c r="E333" i="33"/>
  <c r="F333" i="33"/>
  <c r="I333" i="33"/>
  <c r="J333" i="33"/>
  <c r="K333" i="33"/>
  <c r="L333" i="33"/>
  <c r="C334" i="33"/>
  <c r="J334" i="33" s="1"/>
  <c r="D334" i="33"/>
  <c r="G334" i="33" s="1"/>
  <c r="E334" i="33"/>
  <c r="F334" i="33"/>
  <c r="I334" i="33"/>
  <c r="K334" i="33"/>
  <c r="L334" i="33"/>
  <c r="C335" i="33"/>
  <c r="D335" i="33"/>
  <c r="E335" i="33"/>
  <c r="F335" i="33"/>
  <c r="I335" i="33"/>
  <c r="J335" i="33"/>
  <c r="K335" i="33"/>
  <c r="L335" i="33"/>
  <c r="C336" i="33"/>
  <c r="D336" i="33"/>
  <c r="H336" i="33" s="1"/>
  <c r="E336" i="33"/>
  <c r="I336" i="33" s="1"/>
  <c r="F336" i="33"/>
  <c r="J336" i="33" s="1"/>
  <c r="L336" i="33"/>
  <c r="C337" i="33"/>
  <c r="D337" i="33"/>
  <c r="E337" i="33"/>
  <c r="F337" i="33"/>
  <c r="G337" i="33"/>
  <c r="H337" i="33"/>
  <c r="J337" i="33"/>
  <c r="K337" i="33"/>
  <c r="L337" i="33"/>
  <c r="C338" i="33"/>
  <c r="D338" i="33"/>
  <c r="H338" i="33" s="1"/>
  <c r="E338" i="33"/>
  <c r="G338" i="33" s="1"/>
  <c r="F338" i="33"/>
  <c r="L338" i="33"/>
  <c r="C339" i="33"/>
  <c r="D339" i="33"/>
  <c r="E339" i="33"/>
  <c r="F339" i="33"/>
  <c r="K339" i="33" s="1"/>
  <c r="L339" i="33"/>
  <c r="C340" i="33"/>
  <c r="D340" i="33"/>
  <c r="E340" i="33"/>
  <c r="F340" i="33"/>
  <c r="L340" i="33"/>
  <c r="C341" i="33"/>
  <c r="D341" i="33"/>
  <c r="E341" i="33"/>
  <c r="I341" i="33" s="1"/>
  <c r="F341" i="33"/>
  <c r="J341" i="33"/>
  <c r="K341" i="33"/>
  <c r="L341" i="33"/>
  <c r="C342" i="33"/>
  <c r="I342" i="33" s="1"/>
  <c r="D342" i="33"/>
  <c r="G342" i="33" s="1"/>
  <c r="E342" i="33"/>
  <c r="K342" i="33" s="1"/>
  <c r="F342" i="33"/>
  <c r="L342" i="33"/>
  <c r="C343" i="33"/>
  <c r="D343" i="33"/>
  <c r="G343" i="33" s="1"/>
  <c r="E343" i="33"/>
  <c r="I343" i="33" s="1"/>
  <c r="F343" i="33"/>
  <c r="J343" i="33"/>
  <c r="K343" i="33"/>
  <c r="L343" i="33"/>
  <c r="C344" i="33"/>
  <c r="D344" i="33"/>
  <c r="E344" i="33"/>
  <c r="K344" i="33" s="1"/>
  <c r="F344" i="33"/>
  <c r="G344" i="33"/>
  <c r="I344" i="33"/>
  <c r="L344" i="33"/>
  <c r="C345" i="33"/>
  <c r="D345" i="33"/>
  <c r="G345" i="33" s="1"/>
  <c r="E345" i="33"/>
  <c r="F345" i="33"/>
  <c r="L345" i="33"/>
  <c r="C346" i="33"/>
  <c r="D346" i="33"/>
  <c r="E346" i="33"/>
  <c r="I346" i="33" s="1"/>
  <c r="F346" i="33"/>
  <c r="H346" i="33" s="1"/>
  <c r="G346" i="33"/>
  <c r="L346" i="33"/>
  <c r="C347" i="33"/>
  <c r="I347" i="33" s="1"/>
  <c r="D347" i="33"/>
  <c r="G347" i="33" s="1"/>
  <c r="E347" i="33"/>
  <c r="F347" i="33"/>
  <c r="K347" i="33"/>
  <c r="L347" i="33"/>
  <c r="C348" i="33"/>
  <c r="I348" i="33" s="1"/>
  <c r="D348" i="33"/>
  <c r="H348" i="33" s="1"/>
  <c r="E348" i="33"/>
  <c r="F348" i="33"/>
  <c r="L348" i="33"/>
  <c r="C349" i="33"/>
  <c r="J349" i="33" s="1"/>
  <c r="D349" i="33"/>
  <c r="E349" i="33"/>
  <c r="K349" i="33" s="1"/>
  <c r="F349" i="33"/>
  <c r="I349" i="33"/>
  <c r="L349" i="33"/>
  <c r="C350" i="33"/>
  <c r="D350" i="33"/>
  <c r="G350" i="33" s="1"/>
  <c r="E350" i="33"/>
  <c r="F350" i="33"/>
  <c r="I350" i="33"/>
  <c r="J350" i="33"/>
  <c r="L350" i="33"/>
  <c r="C351" i="33"/>
  <c r="I351" i="33" s="1"/>
  <c r="D351" i="33"/>
  <c r="G351" i="33" s="1"/>
  <c r="E351" i="33"/>
  <c r="F351" i="33"/>
  <c r="K351" i="33"/>
  <c r="L351" i="33"/>
  <c r="C352" i="33"/>
  <c r="D352" i="33"/>
  <c r="G352" i="33" s="1"/>
  <c r="E352" i="33"/>
  <c r="F352" i="33"/>
  <c r="L352" i="33"/>
  <c r="C353" i="33"/>
  <c r="D353" i="33"/>
  <c r="E353" i="33"/>
  <c r="G353" i="33" s="1"/>
  <c r="F353" i="33"/>
  <c r="H353" i="33"/>
  <c r="J353" i="33"/>
  <c r="L353" i="33"/>
  <c r="C354" i="33"/>
  <c r="I354" i="33" s="1"/>
  <c r="D354" i="33"/>
  <c r="G354" i="33" s="1"/>
  <c r="E354" i="33"/>
  <c r="F354" i="33"/>
  <c r="L354" i="33"/>
  <c r="C355" i="33"/>
  <c r="D355" i="33"/>
  <c r="E355" i="33"/>
  <c r="F355" i="33"/>
  <c r="K355" i="33" s="1"/>
  <c r="H355" i="33"/>
  <c r="L355" i="33"/>
  <c r="C356" i="33"/>
  <c r="D356" i="33"/>
  <c r="E356" i="33"/>
  <c r="K356" i="33" s="1"/>
  <c r="F356" i="33"/>
  <c r="L356" i="33"/>
  <c r="C357" i="33"/>
  <c r="D357" i="33"/>
  <c r="G357" i="33" s="1"/>
  <c r="E357" i="33"/>
  <c r="F357" i="33"/>
  <c r="J357" i="33" s="1"/>
  <c r="L357" i="33"/>
  <c r="C358" i="33"/>
  <c r="I358" i="33" s="1"/>
  <c r="D358" i="33"/>
  <c r="G358" i="33" s="1"/>
  <c r="E358" i="33"/>
  <c r="F358" i="33"/>
  <c r="J358" i="33"/>
  <c r="L358" i="33"/>
  <c r="C359" i="33"/>
  <c r="I359" i="33" s="1"/>
  <c r="D359" i="33"/>
  <c r="G359" i="33" s="1"/>
  <c r="E359" i="33"/>
  <c r="F359" i="33"/>
  <c r="K359" i="33"/>
  <c r="L359" i="33"/>
  <c r="C360" i="33"/>
  <c r="D360" i="33"/>
  <c r="E360" i="33"/>
  <c r="I360" i="33" s="1"/>
  <c r="F360" i="33"/>
  <c r="H360" i="33" s="1"/>
  <c r="G360" i="33"/>
  <c r="L360" i="33"/>
  <c r="C361" i="33"/>
  <c r="D361" i="33"/>
  <c r="G361" i="33" s="1"/>
  <c r="E361" i="33"/>
  <c r="F361" i="33"/>
  <c r="L361" i="33"/>
  <c r="C362" i="33"/>
  <c r="I362" i="33" s="1"/>
  <c r="D362" i="33"/>
  <c r="G362" i="33" s="1"/>
  <c r="E362" i="33"/>
  <c r="F362" i="33"/>
  <c r="H362" i="33" s="1"/>
  <c r="L362" i="33"/>
  <c r="C363" i="33"/>
  <c r="D363" i="33"/>
  <c r="E363" i="33"/>
  <c r="K363" i="33" s="1"/>
  <c r="F363" i="33"/>
  <c r="L363" i="33"/>
  <c r="C364" i="33"/>
  <c r="D364" i="33"/>
  <c r="E364" i="33"/>
  <c r="F364" i="33"/>
  <c r="I364" i="33"/>
  <c r="J364" i="33"/>
  <c r="L364" i="33"/>
  <c r="C365" i="33"/>
  <c r="I365" i="33" s="1"/>
  <c r="D365" i="33"/>
  <c r="G365" i="33" s="1"/>
  <c r="E365" i="33"/>
  <c r="K365" i="33" s="1"/>
  <c r="F365" i="33"/>
  <c r="L365" i="33"/>
  <c r="C366" i="33"/>
  <c r="D366" i="33"/>
  <c r="G366" i="33" s="1"/>
  <c r="E366" i="33"/>
  <c r="I366" i="33" s="1"/>
  <c r="F366" i="33"/>
  <c r="J366" i="33" s="1"/>
  <c r="L366" i="33"/>
  <c r="C367" i="33"/>
  <c r="D367" i="33"/>
  <c r="E367" i="33"/>
  <c r="F367" i="33"/>
  <c r="J367" i="33" s="1"/>
  <c r="H367" i="33"/>
  <c r="L367" i="33"/>
  <c r="C368" i="33"/>
  <c r="D368" i="33"/>
  <c r="G368" i="33" s="1"/>
  <c r="E368" i="33"/>
  <c r="I368" i="33" s="1"/>
  <c r="F368" i="33"/>
  <c r="J368" i="33" s="1"/>
  <c r="K368" i="33"/>
  <c r="L368" i="33"/>
  <c r="C369" i="33"/>
  <c r="D369" i="33"/>
  <c r="E369" i="33"/>
  <c r="I369" i="33" s="1"/>
  <c r="F369" i="33"/>
  <c r="J369" i="33" s="1"/>
  <c r="L369" i="33"/>
  <c r="C370" i="33"/>
  <c r="D370" i="33"/>
  <c r="E370" i="33"/>
  <c r="F370" i="33"/>
  <c r="G370" i="33"/>
  <c r="H370" i="33"/>
  <c r="I370" i="33"/>
  <c r="J370" i="33"/>
  <c r="K370" i="33"/>
  <c r="L370" i="33"/>
  <c r="C371" i="33"/>
  <c r="I371" i="33" s="1"/>
  <c r="D371" i="33"/>
  <c r="G371" i="33" s="1"/>
  <c r="E371" i="33"/>
  <c r="F371" i="33"/>
  <c r="L371" i="33"/>
  <c r="C372" i="33"/>
  <c r="I372" i="33" s="1"/>
  <c r="D372" i="33"/>
  <c r="E372" i="33"/>
  <c r="F372" i="33"/>
  <c r="H372" i="33" s="1"/>
  <c r="G372" i="33"/>
  <c r="K372" i="33"/>
  <c r="L372" i="33"/>
  <c r="C373" i="33"/>
  <c r="D373" i="33"/>
  <c r="G373" i="33" s="1"/>
  <c r="E373" i="33"/>
  <c r="I373" i="33" s="1"/>
  <c r="F373" i="33"/>
  <c r="L373" i="33"/>
  <c r="C374" i="33"/>
  <c r="D374" i="33"/>
  <c r="G374" i="33" s="1"/>
  <c r="E374" i="33"/>
  <c r="F374" i="33"/>
  <c r="J374" i="33" s="1"/>
  <c r="L374" i="33"/>
  <c r="C375" i="33"/>
  <c r="D375" i="33"/>
  <c r="E375" i="33"/>
  <c r="F375" i="33"/>
  <c r="L375" i="33"/>
  <c r="C376" i="33"/>
  <c r="D376" i="33"/>
  <c r="E376" i="33"/>
  <c r="I376" i="33" s="1"/>
  <c r="F376" i="33"/>
  <c r="J376" i="33"/>
  <c r="K376" i="33"/>
  <c r="L376" i="33"/>
  <c r="C377" i="33"/>
  <c r="D377" i="33"/>
  <c r="G377" i="33" s="1"/>
  <c r="E377" i="33"/>
  <c r="F377" i="33"/>
  <c r="J377" i="33"/>
  <c r="L377" i="33"/>
  <c r="C378" i="33"/>
  <c r="I378" i="33" s="1"/>
  <c r="D378" i="33"/>
  <c r="G378" i="33" s="1"/>
  <c r="E378" i="33"/>
  <c r="F378" i="33"/>
  <c r="J378" i="33"/>
  <c r="L378" i="33"/>
  <c r="C379" i="33"/>
  <c r="D379" i="33"/>
  <c r="E379" i="33"/>
  <c r="F379" i="33"/>
  <c r="G379" i="33"/>
  <c r="H379" i="33"/>
  <c r="I379" i="33"/>
  <c r="J379" i="33"/>
  <c r="K379" i="33"/>
  <c r="L379" i="33"/>
  <c r="C380" i="33"/>
  <c r="D380" i="33"/>
  <c r="E380" i="33"/>
  <c r="K380" i="33" s="1"/>
  <c r="F380" i="33"/>
  <c r="J380" i="33" s="1"/>
  <c r="L380" i="33"/>
  <c r="C381" i="33"/>
  <c r="I381" i="33" s="1"/>
  <c r="D381" i="33"/>
  <c r="G381" i="33" s="1"/>
  <c r="E381" i="33"/>
  <c r="F381" i="33"/>
  <c r="L381" i="33"/>
  <c r="C382" i="33"/>
  <c r="D382" i="33"/>
  <c r="E382" i="33"/>
  <c r="F382" i="33"/>
  <c r="K382" i="33"/>
  <c r="L382" i="33"/>
  <c r="C383" i="33"/>
  <c r="I383" i="33" s="1"/>
  <c r="D383" i="33"/>
  <c r="G383" i="33" s="1"/>
  <c r="E383" i="33"/>
  <c r="F383" i="33"/>
  <c r="K383" i="33"/>
  <c r="L383" i="33"/>
  <c r="C384" i="33"/>
  <c r="J384" i="33" s="1"/>
  <c r="D384" i="33"/>
  <c r="G384" i="33" s="1"/>
  <c r="E384" i="33"/>
  <c r="K384" i="33" s="1"/>
  <c r="F384" i="33"/>
  <c r="L384" i="33"/>
  <c r="C385" i="33"/>
  <c r="D385" i="33"/>
  <c r="G385" i="33" s="1"/>
  <c r="E385" i="33"/>
  <c r="F385" i="33"/>
  <c r="L385" i="33"/>
  <c r="C386" i="33"/>
  <c r="D386" i="33"/>
  <c r="E386" i="33"/>
  <c r="F386" i="33"/>
  <c r="H386" i="33" s="1"/>
  <c r="G386" i="33"/>
  <c r="I386" i="33"/>
  <c r="L386" i="33"/>
  <c r="C387" i="33"/>
  <c r="I387" i="33" s="1"/>
  <c r="D387" i="33"/>
  <c r="G387" i="33" s="1"/>
  <c r="E387" i="33"/>
  <c r="F387" i="33"/>
  <c r="L387" i="33"/>
  <c r="C388" i="33"/>
  <c r="D388" i="33"/>
  <c r="E388" i="33"/>
  <c r="F388" i="33"/>
  <c r="J388" i="33" s="1"/>
  <c r="L388" i="33"/>
  <c r="C389" i="33"/>
  <c r="I389" i="33" s="1"/>
  <c r="D389" i="33"/>
  <c r="G389" i="33" s="1"/>
  <c r="E389" i="33"/>
  <c r="F389" i="33"/>
  <c r="K389" i="33"/>
  <c r="L389" i="33"/>
  <c r="C390" i="33"/>
  <c r="D390" i="33"/>
  <c r="E390" i="33"/>
  <c r="F390" i="33"/>
  <c r="H390" i="33"/>
  <c r="L390" i="33"/>
  <c r="C391" i="33"/>
  <c r="D391" i="33"/>
  <c r="E391" i="33"/>
  <c r="F391" i="33"/>
  <c r="G391" i="33"/>
  <c r="H391" i="33"/>
  <c r="I391" i="33"/>
  <c r="J391" i="33"/>
  <c r="K391" i="33"/>
  <c r="L391" i="33"/>
  <c r="C392" i="33"/>
  <c r="D392" i="33"/>
  <c r="G392" i="33" s="1"/>
  <c r="E392" i="33"/>
  <c r="K392" i="33" s="1"/>
  <c r="F392" i="33"/>
  <c r="L392" i="33"/>
  <c r="C393" i="33"/>
  <c r="D393" i="33"/>
  <c r="G393" i="33" s="1"/>
  <c r="E393" i="33"/>
  <c r="F393" i="33"/>
  <c r="L393" i="33"/>
  <c r="C394" i="33"/>
  <c r="D394" i="33"/>
  <c r="E394" i="33"/>
  <c r="F394" i="33"/>
  <c r="G394" i="33"/>
  <c r="I394" i="33"/>
  <c r="L394" i="33"/>
  <c r="C395" i="33"/>
  <c r="D395" i="33"/>
  <c r="H395" i="33" s="1"/>
  <c r="E395" i="33"/>
  <c r="G395" i="33" s="1"/>
  <c r="F395" i="33"/>
  <c r="L395" i="33"/>
  <c r="C396" i="33"/>
  <c r="D396" i="33"/>
  <c r="E396" i="33"/>
  <c r="I396" i="33" s="1"/>
  <c r="F396" i="33"/>
  <c r="H396" i="33" s="1"/>
  <c r="G396" i="33"/>
  <c r="L396" i="33"/>
  <c r="C397" i="33"/>
  <c r="D397" i="33"/>
  <c r="E397" i="33"/>
  <c r="K397" i="33" s="1"/>
  <c r="F397" i="33"/>
  <c r="H397" i="33"/>
  <c r="I397" i="33"/>
  <c r="J397" i="33"/>
  <c r="L397" i="33"/>
  <c r="C398" i="33"/>
  <c r="J398" i="33" s="1"/>
  <c r="D398" i="33"/>
  <c r="E398" i="33"/>
  <c r="K398" i="33" s="1"/>
  <c r="F398" i="33"/>
  <c r="G398" i="33"/>
  <c r="H398" i="33"/>
  <c r="I398" i="33"/>
  <c r="L398" i="33"/>
  <c r="C399" i="33"/>
  <c r="D399" i="33"/>
  <c r="E399" i="33"/>
  <c r="F399" i="33"/>
  <c r="L399" i="33"/>
  <c r="C400" i="33"/>
  <c r="D400" i="33"/>
  <c r="E400" i="33"/>
  <c r="I400" i="33" s="1"/>
  <c r="F400" i="33"/>
  <c r="J400" i="33" s="1"/>
  <c r="L400" i="33"/>
  <c r="C401" i="33"/>
  <c r="I401" i="33" s="1"/>
  <c r="D401" i="33"/>
  <c r="G401" i="33" s="1"/>
  <c r="E401" i="33"/>
  <c r="K401" i="33" s="1"/>
  <c r="F401" i="33"/>
  <c r="L401" i="33"/>
  <c r="C402" i="33"/>
  <c r="D402" i="33"/>
  <c r="G402" i="33" s="1"/>
  <c r="E402" i="33"/>
  <c r="K402" i="33" s="1"/>
  <c r="F402" i="33"/>
  <c r="J402" i="33"/>
  <c r="L402" i="33"/>
  <c r="C403" i="33"/>
  <c r="D403" i="33"/>
  <c r="E403" i="33"/>
  <c r="F403" i="33"/>
  <c r="G403" i="33"/>
  <c r="H403" i="33"/>
  <c r="L403" i="33"/>
  <c r="C404" i="33"/>
  <c r="D404" i="33"/>
  <c r="E404" i="33"/>
  <c r="F404" i="33"/>
  <c r="G404" i="33"/>
  <c r="H404" i="33"/>
  <c r="I404" i="33"/>
  <c r="L404" i="33"/>
  <c r="C405" i="33"/>
  <c r="D405" i="33"/>
  <c r="E405" i="33"/>
  <c r="F405" i="33"/>
  <c r="H405" i="33"/>
  <c r="L405" i="33"/>
  <c r="C406" i="33"/>
  <c r="D406" i="33"/>
  <c r="E406" i="33"/>
  <c r="F406" i="33"/>
  <c r="L406" i="33"/>
  <c r="C407" i="33"/>
  <c r="J407" i="33" s="1"/>
  <c r="D407" i="33"/>
  <c r="E407" i="33"/>
  <c r="K407" i="33" s="1"/>
  <c r="F407" i="33"/>
  <c r="L407" i="33"/>
  <c r="C408" i="33"/>
  <c r="I408" i="33" s="1"/>
  <c r="D408" i="33"/>
  <c r="G408" i="33" s="1"/>
  <c r="E408" i="33"/>
  <c r="K408" i="33" s="1"/>
  <c r="F408" i="33"/>
  <c r="L408" i="33"/>
  <c r="C409" i="33"/>
  <c r="D409" i="33"/>
  <c r="E409" i="33"/>
  <c r="F409" i="33"/>
  <c r="G409" i="33"/>
  <c r="H409" i="33"/>
  <c r="L409" i="33"/>
  <c r="C410" i="33"/>
  <c r="D410" i="33"/>
  <c r="G410" i="33" s="1"/>
  <c r="E410" i="33"/>
  <c r="F410" i="33"/>
  <c r="I410" i="33"/>
  <c r="J410" i="33"/>
  <c r="K410" i="33"/>
  <c r="L410" i="33"/>
  <c r="C411" i="33"/>
  <c r="D411" i="33"/>
  <c r="E411" i="33"/>
  <c r="K411" i="33" s="1"/>
  <c r="F411" i="33"/>
  <c r="L411" i="33"/>
  <c r="C412" i="33"/>
  <c r="D412" i="33"/>
  <c r="E412" i="33"/>
  <c r="F412" i="33"/>
  <c r="L412" i="33"/>
  <c r="C413" i="33"/>
  <c r="D413" i="33"/>
  <c r="E413" i="33"/>
  <c r="F413" i="33"/>
  <c r="I413" i="33"/>
  <c r="J413" i="33"/>
  <c r="K413" i="33"/>
  <c r="L413" i="33"/>
  <c r="C414" i="33"/>
  <c r="I414" i="33" s="1"/>
  <c r="D414" i="33"/>
  <c r="H414" i="33" s="1"/>
  <c r="E414" i="33"/>
  <c r="F414" i="33"/>
  <c r="G414" i="33"/>
  <c r="K414" i="33"/>
  <c r="L414" i="33"/>
  <c r="C415" i="33"/>
  <c r="I415" i="33" s="1"/>
  <c r="D415" i="33"/>
  <c r="G415" i="33" s="1"/>
  <c r="E415" i="33"/>
  <c r="F415" i="33"/>
  <c r="L415" i="33"/>
  <c r="C416" i="33"/>
  <c r="D416" i="33"/>
  <c r="E416" i="33"/>
  <c r="I416" i="33" s="1"/>
  <c r="F416" i="33"/>
  <c r="J416" i="33" s="1"/>
  <c r="L416" i="33"/>
  <c r="C417" i="33"/>
  <c r="D417" i="33"/>
  <c r="E417" i="33"/>
  <c r="G417" i="33" s="1"/>
  <c r="F417" i="33"/>
  <c r="L417" i="33"/>
  <c r="C418" i="33"/>
  <c r="D418" i="33"/>
  <c r="E418" i="33"/>
  <c r="F418" i="33"/>
  <c r="J418" i="33"/>
  <c r="K418" i="33"/>
  <c r="L418" i="33"/>
  <c r="C419" i="33"/>
  <c r="I419" i="33" s="1"/>
  <c r="D419" i="33"/>
  <c r="G419" i="33" s="1"/>
  <c r="E419" i="33"/>
  <c r="F419" i="33"/>
  <c r="J419" i="33"/>
  <c r="L419" i="33"/>
  <c r="C420" i="33"/>
  <c r="I420" i="33" s="1"/>
  <c r="D420" i="33"/>
  <c r="G420" i="33" s="1"/>
  <c r="E420" i="33"/>
  <c r="F420" i="33"/>
  <c r="K420" i="33"/>
  <c r="L420" i="33"/>
  <c r="C421" i="33"/>
  <c r="J421" i="33" s="1"/>
  <c r="D421" i="33"/>
  <c r="G421" i="33" s="1"/>
  <c r="E421" i="33"/>
  <c r="F421" i="33"/>
  <c r="L421" i="33"/>
  <c r="C422" i="33"/>
  <c r="D422" i="33"/>
  <c r="E422" i="33"/>
  <c r="K422" i="33" s="1"/>
  <c r="F422" i="33"/>
  <c r="J422" i="33" s="1"/>
  <c r="L422" i="33"/>
  <c r="C423" i="33"/>
  <c r="D423" i="33"/>
  <c r="G423" i="33" s="1"/>
  <c r="E423" i="33"/>
  <c r="I423" i="33" s="1"/>
  <c r="F423" i="33"/>
  <c r="L423" i="33"/>
  <c r="C424" i="33"/>
  <c r="I424" i="33" s="1"/>
  <c r="D424" i="33"/>
  <c r="G424" i="33" s="1"/>
  <c r="E424" i="33"/>
  <c r="F424" i="33"/>
  <c r="K424" i="33"/>
  <c r="L424" i="33"/>
  <c r="C425" i="33"/>
  <c r="D425" i="33"/>
  <c r="G425" i="33" s="1"/>
  <c r="E425" i="33"/>
  <c r="K425" i="33" s="1"/>
  <c r="F425" i="33"/>
  <c r="J425" i="33" s="1"/>
  <c r="L425" i="33"/>
  <c r="U425" i="33" s="1"/>
  <c r="C426" i="33"/>
  <c r="I426" i="33" s="1"/>
  <c r="D426" i="33"/>
  <c r="H426" i="33" s="1"/>
  <c r="E426" i="33"/>
  <c r="G426" i="33" s="1"/>
  <c r="F426" i="33"/>
  <c r="L426" i="33"/>
  <c r="O426" i="33" s="1"/>
  <c r="C427" i="33"/>
  <c r="D427" i="33"/>
  <c r="E427" i="33"/>
  <c r="I427" i="33" s="1"/>
  <c r="F427" i="33"/>
  <c r="H427" i="33" s="1"/>
  <c r="G427" i="33"/>
  <c r="L427" i="33"/>
  <c r="C428" i="33"/>
  <c r="I428" i="33" s="1"/>
  <c r="D428" i="33"/>
  <c r="G428" i="33" s="1"/>
  <c r="E428" i="33"/>
  <c r="K428" i="33" s="1"/>
  <c r="F428" i="33"/>
  <c r="L428" i="33"/>
  <c r="C429" i="33"/>
  <c r="D429" i="33"/>
  <c r="G429" i="33" s="1"/>
  <c r="E429" i="33"/>
  <c r="K429" i="33" s="1"/>
  <c r="F429" i="33"/>
  <c r="L429" i="33"/>
  <c r="C430" i="33"/>
  <c r="D430" i="33"/>
  <c r="E430" i="33"/>
  <c r="K430" i="33" s="1"/>
  <c r="F430" i="33"/>
  <c r="H430" i="33" s="1"/>
  <c r="I430" i="33"/>
  <c r="J430" i="33"/>
  <c r="L430" i="33"/>
  <c r="C431" i="33"/>
  <c r="D431" i="33"/>
  <c r="E431" i="33"/>
  <c r="F431" i="33"/>
  <c r="J431" i="33" s="1"/>
  <c r="G431" i="33"/>
  <c r="H431" i="33"/>
  <c r="I431" i="33"/>
  <c r="L431" i="33"/>
  <c r="C432" i="33"/>
  <c r="J432" i="33" s="1"/>
  <c r="D432" i="33"/>
  <c r="E432" i="33"/>
  <c r="F432" i="33"/>
  <c r="L432" i="33"/>
  <c r="C433" i="33"/>
  <c r="D433" i="33"/>
  <c r="E433" i="33"/>
  <c r="K433" i="33" s="1"/>
  <c r="F433" i="33"/>
  <c r="L433" i="33"/>
  <c r="C434" i="33"/>
  <c r="J434" i="33" s="1"/>
  <c r="D434" i="33"/>
  <c r="G434" i="33" s="1"/>
  <c r="E434" i="33"/>
  <c r="K434" i="33" s="1"/>
  <c r="F434" i="33"/>
  <c r="L434" i="33"/>
  <c r="C435" i="33"/>
  <c r="D435" i="33"/>
  <c r="G435" i="33" s="1"/>
  <c r="E435" i="33"/>
  <c r="F435" i="33"/>
  <c r="K435" i="33" s="1"/>
  <c r="L435" i="33"/>
  <c r="C436" i="33"/>
  <c r="D436" i="33"/>
  <c r="G436" i="33" s="1"/>
  <c r="E436" i="33"/>
  <c r="K436" i="33" s="1"/>
  <c r="F436" i="33"/>
  <c r="I436" i="33"/>
  <c r="J436" i="33"/>
  <c r="L436" i="33"/>
  <c r="C437" i="33"/>
  <c r="I437" i="33" s="1"/>
  <c r="D437" i="33"/>
  <c r="G437" i="33" s="1"/>
  <c r="E437" i="33"/>
  <c r="F437" i="33"/>
  <c r="J437" i="33" s="1"/>
  <c r="L437" i="33"/>
  <c r="C438" i="33"/>
  <c r="D438" i="33"/>
  <c r="E438" i="33"/>
  <c r="F438" i="33"/>
  <c r="H438" i="33" s="1"/>
  <c r="L438" i="33"/>
  <c r="C439" i="33"/>
  <c r="D439" i="33"/>
  <c r="E439" i="33"/>
  <c r="G439" i="33" s="1"/>
  <c r="F439" i="33"/>
  <c r="J439" i="33" s="1"/>
  <c r="H439" i="33"/>
  <c r="L439" i="33"/>
  <c r="C440" i="33"/>
  <c r="D440" i="33"/>
  <c r="E440" i="33"/>
  <c r="K440" i="33" s="1"/>
  <c r="F440" i="33"/>
  <c r="L440" i="33"/>
  <c r="O440" i="33" s="1"/>
  <c r="C441" i="33"/>
  <c r="D441" i="33"/>
  <c r="E441" i="33"/>
  <c r="F441" i="33"/>
  <c r="K441" i="33" s="1"/>
  <c r="H441" i="33"/>
  <c r="J441" i="33"/>
  <c r="L441" i="33"/>
  <c r="C442" i="33"/>
  <c r="D442" i="33"/>
  <c r="E442" i="33"/>
  <c r="F442" i="33"/>
  <c r="G442" i="33"/>
  <c r="H442" i="33"/>
  <c r="I442" i="33"/>
  <c r="J442" i="33"/>
  <c r="K442" i="33"/>
  <c r="L442" i="33"/>
  <c r="C443" i="33"/>
  <c r="I443" i="33" s="1"/>
  <c r="D443" i="33"/>
  <c r="H443" i="33" s="1"/>
  <c r="E443" i="33"/>
  <c r="F443" i="33"/>
  <c r="L443" i="33"/>
  <c r="C444" i="33"/>
  <c r="D444" i="33"/>
  <c r="E444" i="33"/>
  <c r="F444" i="33"/>
  <c r="L444" i="33"/>
  <c r="C445" i="33"/>
  <c r="D445" i="33"/>
  <c r="E445" i="33"/>
  <c r="K445" i="33" s="1"/>
  <c r="F445" i="33"/>
  <c r="L445" i="33"/>
  <c r="C446" i="33"/>
  <c r="J446" i="33" s="1"/>
  <c r="D446" i="33"/>
  <c r="G446" i="33" s="1"/>
  <c r="E446" i="33"/>
  <c r="F446" i="33"/>
  <c r="K446" i="33"/>
  <c r="L446" i="33"/>
  <c r="C447" i="33"/>
  <c r="D447" i="33"/>
  <c r="E447" i="33"/>
  <c r="I447" i="33" s="1"/>
  <c r="F447" i="33"/>
  <c r="G447" i="33"/>
  <c r="H447" i="33"/>
  <c r="J447" i="33"/>
  <c r="K447" i="33"/>
  <c r="L447" i="33"/>
  <c r="C448" i="33"/>
  <c r="D448" i="33"/>
  <c r="E448" i="33"/>
  <c r="I448" i="33" s="1"/>
  <c r="F448" i="33"/>
  <c r="J448" i="33" s="1"/>
  <c r="H448" i="33"/>
  <c r="L448" i="33"/>
  <c r="C449" i="33"/>
  <c r="D449" i="33"/>
  <c r="G449" i="33" s="1"/>
  <c r="E449" i="33"/>
  <c r="F449" i="33"/>
  <c r="H449" i="33" s="1"/>
  <c r="I449" i="33"/>
  <c r="L449" i="33"/>
  <c r="C450" i="33"/>
  <c r="D450" i="33"/>
  <c r="E450" i="33"/>
  <c r="F450" i="33"/>
  <c r="L450" i="33"/>
  <c r="U450" i="33" s="1"/>
  <c r="C451" i="33"/>
  <c r="J451" i="33" s="1"/>
  <c r="D451" i="33"/>
  <c r="E451" i="33"/>
  <c r="K451" i="33" s="1"/>
  <c r="F451" i="33"/>
  <c r="L451" i="33"/>
  <c r="C452" i="33"/>
  <c r="D452" i="33"/>
  <c r="G452" i="33" s="1"/>
  <c r="E452" i="33"/>
  <c r="I452" i="33" s="1"/>
  <c r="F452" i="33"/>
  <c r="J452" i="33" s="1"/>
  <c r="L452" i="33"/>
  <c r="C453" i="33"/>
  <c r="D453" i="33"/>
  <c r="G453" i="33" s="1"/>
  <c r="E453" i="33"/>
  <c r="K453" i="33" s="1"/>
  <c r="F453" i="33"/>
  <c r="L453" i="33"/>
  <c r="U453" i="33" s="1"/>
  <c r="C454" i="33"/>
  <c r="D454" i="33"/>
  <c r="E454" i="33"/>
  <c r="F454" i="33"/>
  <c r="H454" i="33" s="1"/>
  <c r="I454" i="33"/>
  <c r="L454" i="33"/>
  <c r="C455" i="33"/>
  <c r="D455" i="33"/>
  <c r="G455" i="33" s="1"/>
  <c r="E455" i="33"/>
  <c r="F455" i="33"/>
  <c r="L455" i="33"/>
  <c r="C456" i="33"/>
  <c r="I456" i="33" s="1"/>
  <c r="D456" i="33"/>
  <c r="G456" i="33" s="1"/>
  <c r="E456" i="33"/>
  <c r="F456" i="33"/>
  <c r="K456" i="33" s="1"/>
  <c r="L456" i="33"/>
  <c r="C457" i="33"/>
  <c r="I457" i="33" s="1"/>
  <c r="D457" i="33"/>
  <c r="H457" i="33" s="1"/>
  <c r="E457" i="33"/>
  <c r="F457" i="33"/>
  <c r="G457" i="33"/>
  <c r="K457" i="33"/>
  <c r="L457" i="33"/>
  <c r="C458" i="33"/>
  <c r="I458" i="33" s="1"/>
  <c r="D458" i="33"/>
  <c r="G458" i="33" s="1"/>
  <c r="E458" i="33"/>
  <c r="F458" i="33"/>
  <c r="K458" i="33"/>
  <c r="L458" i="33"/>
  <c r="C459" i="33"/>
  <c r="D459" i="33"/>
  <c r="G459" i="33" s="1"/>
  <c r="E459" i="33"/>
  <c r="I459" i="33" s="1"/>
  <c r="F459" i="33"/>
  <c r="H459" i="33" s="1"/>
  <c r="L459" i="33"/>
  <c r="C460" i="33"/>
  <c r="I460" i="33" s="1"/>
  <c r="D460" i="33"/>
  <c r="G460" i="33" s="1"/>
  <c r="E460" i="33"/>
  <c r="F460" i="33"/>
  <c r="L460" i="33"/>
  <c r="C461" i="33"/>
  <c r="I461" i="33" s="1"/>
  <c r="D461" i="33"/>
  <c r="G461" i="33" s="1"/>
  <c r="E461" i="33"/>
  <c r="K461" i="33" s="1"/>
  <c r="F461" i="33"/>
  <c r="L461" i="33"/>
  <c r="C462" i="33"/>
  <c r="I462" i="33" s="1"/>
  <c r="D462" i="33"/>
  <c r="G462" i="33" s="1"/>
  <c r="E462" i="33"/>
  <c r="K462" i="33" s="1"/>
  <c r="F462" i="33"/>
  <c r="L462" i="33"/>
  <c r="C463" i="33"/>
  <c r="D463" i="33"/>
  <c r="E463" i="33"/>
  <c r="F463" i="33"/>
  <c r="G463" i="33"/>
  <c r="H463" i="33"/>
  <c r="L463" i="33"/>
  <c r="C464" i="33"/>
  <c r="I464" i="33" s="1"/>
  <c r="D464" i="33"/>
  <c r="E464" i="33"/>
  <c r="F464" i="33"/>
  <c r="L464" i="33"/>
  <c r="C465" i="33"/>
  <c r="D465" i="33"/>
  <c r="G465" i="33" s="1"/>
  <c r="E465" i="33"/>
  <c r="K465" i="33" s="1"/>
  <c r="F465" i="33"/>
  <c r="L465" i="33"/>
  <c r="C466" i="33"/>
  <c r="I466" i="33" s="1"/>
  <c r="D466" i="33"/>
  <c r="G466" i="33" s="1"/>
  <c r="E466" i="33"/>
  <c r="F466" i="33"/>
  <c r="J466" i="33"/>
  <c r="K466" i="33"/>
  <c r="L466" i="33"/>
  <c r="C467" i="33"/>
  <c r="I467" i="33" s="1"/>
  <c r="D467" i="33"/>
  <c r="H467" i="33" s="1"/>
  <c r="E467" i="33"/>
  <c r="F467" i="33"/>
  <c r="G467" i="33"/>
  <c r="K467" i="33"/>
  <c r="L467" i="33"/>
  <c r="C468" i="33"/>
  <c r="J468" i="33" s="1"/>
  <c r="D468" i="33"/>
  <c r="G468" i="33" s="1"/>
  <c r="E468" i="33"/>
  <c r="I468" i="33" s="1"/>
  <c r="F468" i="33"/>
  <c r="L468" i="33"/>
  <c r="C469" i="33"/>
  <c r="D469" i="33"/>
  <c r="G469" i="33" s="1"/>
  <c r="E469" i="33"/>
  <c r="F469" i="33"/>
  <c r="J469" i="33" s="1"/>
  <c r="L469" i="33"/>
  <c r="C470" i="33"/>
  <c r="I470" i="33" s="1"/>
  <c r="D470" i="33"/>
  <c r="G470" i="33" s="1"/>
  <c r="E470" i="33"/>
  <c r="F470" i="33"/>
  <c r="K470" i="33"/>
  <c r="L470" i="33"/>
  <c r="C471" i="33"/>
  <c r="I471" i="33" s="1"/>
  <c r="D471" i="33"/>
  <c r="E471" i="33"/>
  <c r="K471" i="33" s="1"/>
  <c r="F471" i="33"/>
  <c r="G471" i="33"/>
  <c r="H471" i="33"/>
  <c r="L471" i="33"/>
  <c r="C472" i="33"/>
  <c r="D472" i="33"/>
  <c r="E472" i="33"/>
  <c r="F472" i="33"/>
  <c r="H472" i="33" s="1"/>
  <c r="G472" i="33"/>
  <c r="I472" i="33"/>
  <c r="L472" i="33"/>
  <c r="C473" i="33"/>
  <c r="I473" i="33" s="1"/>
  <c r="D473" i="33"/>
  <c r="G473" i="33" s="1"/>
  <c r="E473" i="33"/>
  <c r="F473" i="33"/>
  <c r="L473" i="33"/>
  <c r="C474" i="33"/>
  <c r="D474" i="33"/>
  <c r="E474" i="33"/>
  <c r="K474" i="33" s="1"/>
  <c r="F474" i="33"/>
  <c r="I474" i="33"/>
  <c r="J474" i="33"/>
  <c r="L474" i="33"/>
  <c r="C475" i="33"/>
  <c r="D475" i="33"/>
  <c r="G475" i="33" s="1"/>
  <c r="E475" i="33"/>
  <c r="K475" i="33" s="1"/>
  <c r="F475" i="33"/>
  <c r="I475" i="33"/>
  <c r="J475" i="33"/>
  <c r="L475" i="33"/>
  <c r="C476" i="33"/>
  <c r="I476" i="33" s="1"/>
  <c r="D476" i="33"/>
  <c r="E476" i="33"/>
  <c r="F476" i="33"/>
  <c r="G476" i="33"/>
  <c r="L476" i="33"/>
  <c r="T476" i="33" s="1"/>
  <c r="C477" i="33"/>
  <c r="D477" i="33"/>
  <c r="E477" i="33"/>
  <c r="G477" i="33" s="1"/>
  <c r="F477" i="33"/>
  <c r="H477" i="33" s="1"/>
  <c r="L477" i="33"/>
  <c r="O477" i="33" s="1"/>
  <c r="C478" i="33"/>
  <c r="I478" i="33" s="1"/>
  <c r="D478" i="33"/>
  <c r="G478" i="33" s="1"/>
  <c r="E478" i="33"/>
  <c r="F478" i="33"/>
  <c r="K478" i="33"/>
  <c r="L478" i="33"/>
  <c r="C479" i="33"/>
  <c r="J479" i="33" s="1"/>
  <c r="D479" i="33"/>
  <c r="E479" i="33"/>
  <c r="F479" i="33"/>
  <c r="H479" i="33"/>
  <c r="L479" i="33"/>
  <c r="C480" i="33"/>
  <c r="I480" i="33" s="1"/>
  <c r="D480" i="33"/>
  <c r="G480" i="33" s="1"/>
  <c r="E480" i="33"/>
  <c r="K480" i="33" s="1"/>
  <c r="F480" i="33"/>
  <c r="L480" i="33"/>
  <c r="C481" i="33"/>
  <c r="D481" i="33"/>
  <c r="E481" i="33"/>
  <c r="F481" i="33"/>
  <c r="L481" i="33"/>
  <c r="C482" i="33"/>
  <c r="I482" i="33" s="1"/>
  <c r="D482" i="33"/>
  <c r="G482" i="33" s="1"/>
  <c r="E482" i="33"/>
  <c r="K482" i="33" s="1"/>
  <c r="F482" i="33"/>
  <c r="L482" i="33"/>
  <c r="C483" i="33"/>
  <c r="D483" i="33"/>
  <c r="E483" i="33"/>
  <c r="G483" i="33" s="1"/>
  <c r="F483" i="33"/>
  <c r="H483" i="33" s="1"/>
  <c r="L483" i="33"/>
  <c r="C484" i="33"/>
  <c r="D484" i="33"/>
  <c r="G484" i="33" s="1"/>
  <c r="E484" i="33"/>
  <c r="I484" i="33" s="1"/>
  <c r="F484" i="33"/>
  <c r="J484" i="33" s="1"/>
  <c r="L484" i="33"/>
  <c r="C485" i="33"/>
  <c r="D485" i="33"/>
  <c r="E485" i="33"/>
  <c r="I485" i="33" s="1"/>
  <c r="F485" i="33"/>
  <c r="J485" i="33" s="1"/>
  <c r="L485" i="33"/>
  <c r="C486" i="33"/>
  <c r="D486" i="33"/>
  <c r="E486" i="33"/>
  <c r="K486" i="33" s="1"/>
  <c r="F486" i="33"/>
  <c r="L486" i="33"/>
  <c r="S486" i="33" s="1"/>
  <c r="C487" i="33"/>
  <c r="D487" i="33"/>
  <c r="E487" i="33"/>
  <c r="F487" i="33"/>
  <c r="G487" i="33"/>
  <c r="H487" i="33"/>
  <c r="I487" i="33"/>
  <c r="J487" i="33"/>
  <c r="K487" i="33"/>
  <c r="L487" i="33"/>
  <c r="C488" i="33"/>
  <c r="I488" i="33" s="1"/>
  <c r="D488" i="33"/>
  <c r="G488" i="33" s="1"/>
  <c r="E488" i="33"/>
  <c r="F488" i="33"/>
  <c r="L488" i="33"/>
  <c r="C489" i="33"/>
  <c r="I489" i="33" s="1"/>
  <c r="D489" i="33"/>
  <c r="E489" i="33"/>
  <c r="F489" i="33"/>
  <c r="L489" i="33"/>
  <c r="C490" i="33"/>
  <c r="D490" i="33"/>
  <c r="G490" i="33" s="1"/>
  <c r="E490" i="33"/>
  <c r="F490" i="33"/>
  <c r="I490" i="33"/>
  <c r="J490" i="33"/>
  <c r="K490" i="33"/>
  <c r="L490" i="33"/>
  <c r="C491" i="33"/>
  <c r="D491" i="33"/>
  <c r="G491" i="33" s="1"/>
  <c r="E491" i="33"/>
  <c r="I491" i="33" s="1"/>
  <c r="F491" i="33"/>
  <c r="J491" i="33"/>
  <c r="K491" i="33"/>
  <c r="L491" i="33"/>
  <c r="C492" i="33"/>
  <c r="D492" i="33"/>
  <c r="G492" i="33" s="1"/>
  <c r="E492" i="33"/>
  <c r="F492" i="33"/>
  <c r="L492" i="33"/>
  <c r="C493" i="33"/>
  <c r="D493" i="33"/>
  <c r="E493" i="33"/>
  <c r="G493" i="33" s="1"/>
  <c r="F493" i="33"/>
  <c r="H493" i="33" s="1"/>
  <c r="L493" i="33"/>
  <c r="C494" i="33"/>
  <c r="I494" i="33" s="1"/>
  <c r="D494" i="33"/>
  <c r="G494" i="33" s="1"/>
  <c r="E494" i="33"/>
  <c r="F494" i="33"/>
  <c r="J494" i="33" s="1"/>
  <c r="K494" i="33"/>
  <c r="L494" i="33"/>
  <c r="C495" i="33"/>
  <c r="J495" i="33" s="1"/>
  <c r="D495" i="33"/>
  <c r="G495" i="33" s="1"/>
  <c r="E495" i="33"/>
  <c r="K495" i="33" s="1"/>
  <c r="F495" i="33"/>
  <c r="I495" i="33"/>
  <c r="L495" i="33"/>
  <c r="C496" i="33"/>
  <c r="D496" i="33"/>
  <c r="E496" i="33"/>
  <c r="I496" i="33" s="1"/>
  <c r="F496" i="33"/>
  <c r="G496" i="33"/>
  <c r="H496" i="33"/>
  <c r="J496" i="33"/>
  <c r="K496" i="33"/>
  <c r="L496" i="33"/>
  <c r="C497" i="33"/>
  <c r="D497" i="33"/>
  <c r="E497" i="33"/>
  <c r="K497" i="33" s="1"/>
  <c r="F497" i="33"/>
  <c r="L497" i="33"/>
  <c r="C498" i="33"/>
  <c r="I498" i="33" s="1"/>
  <c r="D498" i="33"/>
  <c r="E498" i="33"/>
  <c r="F498" i="33"/>
  <c r="K498" i="33" s="1"/>
  <c r="L498" i="33"/>
  <c r="C499" i="33"/>
  <c r="D499" i="33"/>
  <c r="E499" i="33"/>
  <c r="I499" i="33" s="1"/>
  <c r="F499" i="33"/>
  <c r="J499" i="33" s="1"/>
  <c r="G499" i="33"/>
  <c r="H499" i="33"/>
  <c r="K499" i="33"/>
  <c r="L499" i="33"/>
  <c r="C500" i="33"/>
  <c r="D500" i="33"/>
  <c r="E500" i="33"/>
  <c r="I500" i="33" s="1"/>
  <c r="F500" i="33"/>
  <c r="J500" i="33" s="1"/>
  <c r="G500" i="33"/>
  <c r="H500" i="33"/>
  <c r="L500" i="33"/>
  <c r="C501" i="33"/>
  <c r="D501" i="33"/>
  <c r="E501" i="33"/>
  <c r="I501" i="33" s="1"/>
  <c r="F501" i="33"/>
  <c r="L501" i="33"/>
  <c r="C502" i="33"/>
  <c r="D502" i="33"/>
  <c r="E502" i="33"/>
  <c r="K502" i="33" s="1"/>
  <c r="F502" i="33"/>
  <c r="L502" i="33"/>
  <c r="C503" i="33"/>
  <c r="D503" i="33"/>
  <c r="E503" i="33"/>
  <c r="F503" i="33"/>
  <c r="G503" i="33"/>
  <c r="H503" i="33"/>
  <c r="I503" i="33"/>
  <c r="J503" i="33"/>
  <c r="K503" i="33"/>
  <c r="L503" i="33"/>
  <c r="C504" i="33"/>
  <c r="I504" i="33" s="1"/>
  <c r="D504" i="33"/>
  <c r="G504" i="33" s="1"/>
  <c r="E504" i="33"/>
  <c r="F504" i="33"/>
  <c r="L504" i="33"/>
  <c r="C505" i="33"/>
  <c r="D505" i="33"/>
  <c r="G505" i="33" s="1"/>
  <c r="E505" i="33"/>
  <c r="K505" i="33" s="1"/>
  <c r="F505" i="33"/>
  <c r="L505" i="33"/>
  <c r="C506" i="33"/>
  <c r="I506" i="33" s="1"/>
  <c r="D506" i="33"/>
  <c r="G506" i="33" s="1"/>
  <c r="E506" i="33"/>
  <c r="F506" i="33"/>
  <c r="K506" i="33"/>
  <c r="L506" i="33"/>
  <c r="C507" i="33"/>
  <c r="D507" i="33"/>
  <c r="G507" i="33" s="1"/>
  <c r="E507" i="33"/>
  <c r="F507" i="33"/>
  <c r="H507" i="33"/>
  <c r="I507" i="33"/>
  <c r="J507" i="33"/>
  <c r="K507" i="33"/>
  <c r="L507" i="33"/>
  <c r="T507" i="33" s="1"/>
  <c r="C508" i="33"/>
  <c r="I508" i="33" s="1"/>
  <c r="D508" i="33"/>
  <c r="H508" i="33" s="1"/>
  <c r="E508" i="33"/>
  <c r="K508" i="33" s="1"/>
  <c r="F508" i="33"/>
  <c r="G508" i="33"/>
  <c r="L508" i="33"/>
  <c r="S508" i="33" s="1"/>
  <c r="C509" i="33"/>
  <c r="D509" i="33"/>
  <c r="E509" i="33"/>
  <c r="G509" i="33" s="1"/>
  <c r="F509" i="33"/>
  <c r="H509" i="33" s="1"/>
  <c r="K509" i="33"/>
  <c r="L509" i="33"/>
  <c r="C510" i="33"/>
  <c r="J510" i="33" s="1"/>
  <c r="D510" i="33"/>
  <c r="E510" i="33"/>
  <c r="K510" i="33" s="1"/>
  <c r="F510" i="33"/>
  <c r="L510" i="33"/>
  <c r="C511" i="33"/>
  <c r="J511" i="33" s="1"/>
  <c r="D511" i="33"/>
  <c r="H511" i="33" s="1"/>
  <c r="E511" i="33"/>
  <c r="K511" i="33" s="1"/>
  <c r="F511" i="33"/>
  <c r="L511" i="33"/>
  <c r="C512" i="33"/>
  <c r="D512" i="33"/>
  <c r="E512" i="33"/>
  <c r="F512" i="33"/>
  <c r="G512" i="33"/>
  <c r="H512" i="33"/>
  <c r="I512" i="33"/>
  <c r="J512" i="33"/>
  <c r="K512" i="33"/>
  <c r="L512" i="33"/>
  <c r="C513" i="33"/>
  <c r="I513" i="33" s="1"/>
  <c r="D513" i="33"/>
  <c r="G513" i="33" s="1"/>
  <c r="E513" i="33"/>
  <c r="K513" i="33" s="1"/>
  <c r="F513" i="33"/>
  <c r="L513" i="33"/>
  <c r="C514" i="33"/>
  <c r="D514" i="33"/>
  <c r="G514" i="33" s="1"/>
  <c r="E514" i="33"/>
  <c r="K514" i="33" s="1"/>
  <c r="F514" i="33"/>
  <c r="J514" i="33"/>
  <c r="L514" i="33"/>
  <c r="C515" i="33"/>
  <c r="I515" i="33" s="1"/>
  <c r="D515" i="33"/>
  <c r="E515" i="33"/>
  <c r="K515" i="33" s="1"/>
  <c r="F515" i="33"/>
  <c r="G515" i="33"/>
  <c r="H515" i="33"/>
  <c r="L515" i="33"/>
  <c r="C516" i="33"/>
  <c r="D516" i="33"/>
  <c r="E516" i="33"/>
  <c r="I516" i="33" s="1"/>
  <c r="F516" i="33"/>
  <c r="J516" i="33" s="1"/>
  <c r="G516" i="33"/>
  <c r="H516" i="33"/>
  <c r="L516" i="33"/>
  <c r="C517" i="33"/>
  <c r="I517" i="33" s="1"/>
  <c r="D517" i="33"/>
  <c r="G517" i="33" s="1"/>
  <c r="E517" i="33"/>
  <c r="F517" i="33"/>
  <c r="J517" i="33" s="1"/>
  <c r="L517" i="33"/>
  <c r="U517" i="33" s="1"/>
  <c r="C518" i="33"/>
  <c r="D518" i="33"/>
  <c r="E518" i="33"/>
  <c r="F518" i="33"/>
  <c r="K518" i="33"/>
  <c r="L518" i="33"/>
  <c r="O518" i="33" s="1"/>
  <c r="C519" i="33"/>
  <c r="D519" i="33"/>
  <c r="G519" i="33" s="1"/>
  <c r="E519" i="33"/>
  <c r="I519" i="33" s="1"/>
  <c r="F519" i="33"/>
  <c r="J519" i="33" s="1"/>
  <c r="K519" i="33"/>
  <c r="L519" i="33"/>
  <c r="C520" i="33"/>
  <c r="D520" i="33"/>
  <c r="G520" i="33" s="1"/>
  <c r="E520" i="33"/>
  <c r="F520" i="33"/>
  <c r="H520" i="33" s="1"/>
  <c r="I520" i="33"/>
  <c r="L520" i="33"/>
  <c r="C521" i="33"/>
  <c r="D521" i="33"/>
  <c r="E521" i="33"/>
  <c r="F521" i="33"/>
  <c r="L521" i="33"/>
  <c r="C522" i="33"/>
  <c r="I522" i="33" s="1"/>
  <c r="D522" i="33"/>
  <c r="E522" i="33"/>
  <c r="K522" i="33" s="1"/>
  <c r="F522" i="33"/>
  <c r="L522" i="33"/>
  <c r="C523" i="33"/>
  <c r="I523" i="33" s="1"/>
  <c r="D523" i="33"/>
  <c r="G523" i="33" s="1"/>
  <c r="E523" i="33"/>
  <c r="F523" i="33"/>
  <c r="K523" i="33"/>
  <c r="L523" i="33"/>
  <c r="C524" i="33"/>
  <c r="I524" i="33" s="1"/>
  <c r="D524" i="33"/>
  <c r="H524" i="33" s="1"/>
  <c r="E524" i="33"/>
  <c r="K524" i="33" s="1"/>
  <c r="F524" i="33"/>
  <c r="L524" i="33"/>
  <c r="C525" i="33"/>
  <c r="D525" i="33"/>
  <c r="E525" i="33"/>
  <c r="F525" i="33"/>
  <c r="H525" i="33" s="1"/>
  <c r="K525" i="33"/>
  <c r="L525" i="33"/>
  <c r="C526" i="33"/>
  <c r="I526" i="33" s="1"/>
  <c r="D526" i="33"/>
  <c r="G526" i="33" s="1"/>
  <c r="E526" i="33"/>
  <c r="K526" i="33" s="1"/>
  <c r="F526" i="33"/>
  <c r="L526" i="33"/>
  <c r="C527" i="33"/>
  <c r="D527" i="33"/>
  <c r="G527" i="33" s="1"/>
  <c r="E527" i="33"/>
  <c r="I527" i="33" s="1"/>
  <c r="F527" i="33"/>
  <c r="H527" i="33" s="1"/>
  <c r="L527" i="33"/>
  <c r="Q527" i="33" s="1"/>
  <c r="C528" i="33"/>
  <c r="D528" i="33"/>
  <c r="G528" i="33" s="1"/>
  <c r="E528" i="33"/>
  <c r="K528" i="33" s="1"/>
  <c r="F528" i="33"/>
  <c r="I528" i="33"/>
  <c r="J528" i="33"/>
  <c r="L528" i="33"/>
  <c r="C529" i="33"/>
  <c r="I529" i="33" s="1"/>
  <c r="D529" i="33"/>
  <c r="G529" i="33" s="1"/>
  <c r="E529" i="33"/>
  <c r="F529" i="33"/>
  <c r="L529" i="33"/>
  <c r="C530" i="33"/>
  <c r="D530" i="33"/>
  <c r="E530" i="33"/>
  <c r="K530" i="33" s="1"/>
  <c r="F530" i="33"/>
  <c r="J530" i="33" s="1"/>
  <c r="L530" i="33"/>
  <c r="C531" i="33"/>
  <c r="D531" i="33"/>
  <c r="E531" i="33"/>
  <c r="F531" i="33"/>
  <c r="G531" i="33"/>
  <c r="H531" i="33"/>
  <c r="I531" i="33"/>
  <c r="J531" i="33"/>
  <c r="K531" i="33"/>
  <c r="L531" i="33"/>
  <c r="C532" i="33"/>
  <c r="D532" i="33"/>
  <c r="G532" i="33" s="1"/>
  <c r="E532" i="33"/>
  <c r="F532" i="33"/>
  <c r="L532" i="33"/>
  <c r="C533" i="33"/>
  <c r="I533" i="33" s="1"/>
  <c r="D533" i="33"/>
  <c r="G533" i="33" s="1"/>
  <c r="E533" i="33"/>
  <c r="F533" i="33"/>
  <c r="L533" i="33"/>
  <c r="C534" i="33"/>
  <c r="D534" i="33"/>
  <c r="E534" i="33"/>
  <c r="F534" i="33"/>
  <c r="K534" i="33"/>
  <c r="L534" i="33"/>
  <c r="C535" i="33"/>
  <c r="I535" i="33" s="1"/>
  <c r="D535" i="33"/>
  <c r="H535" i="33" s="1"/>
  <c r="E535" i="33"/>
  <c r="F535" i="33"/>
  <c r="G535" i="33"/>
  <c r="K535" i="33"/>
  <c r="L535" i="33"/>
  <c r="C536" i="33"/>
  <c r="I536" i="33" s="1"/>
  <c r="D536" i="33"/>
  <c r="G536" i="33" s="1"/>
  <c r="E536" i="33"/>
  <c r="F536" i="33"/>
  <c r="L536" i="33"/>
  <c r="C537" i="33"/>
  <c r="D537" i="33"/>
  <c r="G537" i="33" s="1"/>
  <c r="E537" i="33"/>
  <c r="F537" i="33"/>
  <c r="L537" i="33"/>
  <c r="C538" i="33"/>
  <c r="I538" i="33" s="1"/>
  <c r="D538" i="33"/>
  <c r="G538" i="33" s="1"/>
  <c r="E538" i="33"/>
  <c r="F538" i="33"/>
  <c r="J538" i="33"/>
  <c r="K538" i="33"/>
  <c r="L538" i="33"/>
  <c r="C539" i="33"/>
  <c r="J539" i="33" s="1"/>
  <c r="D539" i="33"/>
  <c r="G539" i="33" s="1"/>
  <c r="E539" i="33"/>
  <c r="I539" i="33" s="1"/>
  <c r="F539" i="33"/>
  <c r="L539" i="33"/>
  <c r="C540" i="33"/>
  <c r="D540" i="33"/>
  <c r="G540" i="33" s="1"/>
  <c r="E540" i="33"/>
  <c r="K540" i="33" s="1"/>
  <c r="F540" i="33"/>
  <c r="L540" i="33"/>
  <c r="C541" i="33"/>
  <c r="D541" i="33"/>
  <c r="E541" i="33"/>
  <c r="F541" i="33"/>
  <c r="K541" i="33"/>
  <c r="L541" i="33"/>
  <c r="C542" i="33"/>
  <c r="I542" i="33" s="1"/>
  <c r="D542" i="33"/>
  <c r="G542" i="33" s="1"/>
  <c r="E542" i="33"/>
  <c r="F542" i="33"/>
  <c r="K542" i="33"/>
  <c r="L542" i="33"/>
  <c r="C543" i="33"/>
  <c r="D543" i="33"/>
  <c r="E543" i="33"/>
  <c r="F543" i="33"/>
  <c r="H543" i="33"/>
  <c r="I543" i="33"/>
  <c r="L543" i="33"/>
  <c r="C544" i="33"/>
  <c r="D544" i="33"/>
  <c r="G544" i="33" s="1"/>
  <c r="E544" i="33"/>
  <c r="F544" i="33"/>
  <c r="I544" i="33"/>
  <c r="J544" i="33"/>
  <c r="K544" i="33"/>
  <c r="L544" i="33"/>
  <c r="C545" i="33"/>
  <c r="D545" i="33"/>
  <c r="E545" i="33"/>
  <c r="F545" i="33"/>
  <c r="L545" i="33"/>
  <c r="C546" i="33"/>
  <c r="D546" i="33"/>
  <c r="G546" i="33" s="1"/>
  <c r="E546" i="33"/>
  <c r="K546" i="33" s="1"/>
  <c r="F546" i="33"/>
  <c r="J546" i="33"/>
  <c r="L546" i="33"/>
  <c r="C547" i="33"/>
  <c r="D547" i="33"/>
  <c r="E547" i="33"/>
  <c r="F547" i="33"/>
  <c r="G547" i="33"/>
  <c r="H547" i="33"/>
  <c r="I547" i="33"/>
  <c r="J547" i="33"/>
  <c r="K547" i="33"/>
  <c r="L547" i="33"/>
  <c r="C548" i="33"/>
  <c r="D548" i="33"/>
  <c r="G548" i="33" s="1"/>
  <c r="E548" i="33"/>
  <c r="I548" i="33" s="1"/>
  <c r="F548" i="33"/>
  <c r="L548" i="33"/>
  <c r="C549" i="33"/>
  <c r="D549" i="33"/>
  <c r="G549" i="33" s="1"/>
  <c r="E549" i="33"/>
  <c r="K549" i="33" s="1"/>
  <c r="F549" i="33"/>
  <c r="L549" i="33"/>
  <c r="C550" i="33"/>
  <c r="I550" i="33" s="1"/>
  <c r="D550" i="33"/>
  <c r="G550" i="33" s="1"/>
  <c r="E550" i="33"/>
  <c r="F550" i="33"/>
  <c r="K550" i="33"/>
  <c r="L550" i="33"/>
  <c r="C551" i="33"/>
  <c r="I551" i="33" s="1"/>
  <c r="D551" i="33"/>
  <c r="G551" i="33" s="1"/>
  <c r="E551" i="33"/>
  <c r="F551" i="33"/>
  <c r="K551" i="33"/>
  <c r="L551" i="33"/>
  <c r="C552" i="33"/>
  <c r="D552" i="33"/>
  <c r="G552" i="33" s="1"/>
  <c r="E552" i="33"/>
  <c r="K552" i="33" s="1"/>
  <c r="F552" i="33"/>
  <c r="H552" i="33" s="1"/>
  <c r="L552" i="33"/>
  <c r="C553" i="33"/>
  <c r="I553" i="33" s="1"/>
  <c r="D553" i="33"/>
  <c r="G553" i="33" s="1"/>
  <c r="E553" i="33"/>
  <c r="F553" i="33"/>
  <c r="L553" i="33"/>
  <c r="C554" i="33"/>
  <c r="I554" i="33" s="1"/>
  <c r="D554" i="33"/>
  <c r="G554" i="33" s="1"/>
  <c r="E554" i="33"/>
  <c r="K554" i="33" s="1"/>
  <c r="F554" i="33"/>
  <c r="L554" i="33"/>
  <c r="C555" i="33"/>
  <c r="I555" i="33" s="1"/>
  <c r="D555" i="33"/>
  <c r="G555" i="33" s="1"/>
  <c r="E555" i="33"/>
  <c r="K555" i="33" s="1"/>
  <c r="F555" i="33"/>
  <c r="L555" i="33"/>
  <c r="C556" i="33"/>
  <c r="D556" i="33"/>
  <c r="E556" i="33"/>
  <c r="F556" i="33"/>
  <c r="G556" i="33"/>
  <c r="L556" i="33"/>
  <c r="C557" i="33"/>
  <c r="D557" i="33"/>
  <c r="E557" i="33"/>
  <c r="G557" i="33" s="1"/>
  <c r="F557" i="33"/>
  <c r="L557" i="33"/>
  <c r="C558" i="33"/>
  <c r="J558" i="33" s="1"/>
  <c r="D558" i="33"/>
  <c r="E558" i="33"/>
  <c r="K558" i="33" s="1"/>
  <c r="F558" i="33"/>
  <c r="L558" i="33"/>
  <c r="C559" i="33"/>
  <c r="J559" i="33" s="1"/>
  <c r="D559" i="33"/>
  <c r="E559" i="33"/>
  <c r="F559" i="33"/>
  <c r="H559" i="33" s="1"/>
  <c r="I559" i="33"/>
  <c r="L559" i="33"/>
  <c r="C560" i="33"/>
  <c r="D560" i="33"/>
  <c r="G560" i="33" s="1"/>
  <c r="E560" i="33"/>
  <c r="F560" i="33"/>
  <c r="H560" i="33"/>
  <c r="I560" i="33"/>
  <c r="J560" i="33"/>
  <c r="K560" i="33"/>
  <c r="L560" i="33"/>
  <c r="C561" i="33"/>
  <c r="I561" i="33" s="1"/>
  <c r="D561" i="33"/>
  <c r="G561" i="33" s="1"/>
  <c r="E561" i="33"/>
  <c r="F561" i="33"/>
  <c r="L561" i="33"/>
  <c r="C562" i="33"/>
  <c r="I562" i="33" s="1"/>
  <c r="D562" i="33"/>
  <c r="G562" i="33" s="1"/>
  <c r="E562" i="33"/>
  <c r="F562" i="33"/>
  <c r="J562" i="33" s="1"/>
  <c r="K562" i="33"/>
  <c r="L562" i="33"/>
  <c r="C563" i="33"/>
  <c r="D563" i="33"/>
  <c r="G563" i="33" s="1"/>
  <c r="E563" i="33"/>
  <c r="I563" i="33" s="1"/>
  <c r="F563" i="33"/>
  <c r="J563" i="33" s="1"/>
  <c r="K563" i="33"/>
  <c r="L563" i="33"/>
  <c r="C564" i="33"/>
  <c r="D564" i="33"/>
  <c r="G564" i="33" s="1"/>
  <c r="E564" i="33"/>
  <c r="I564" i="33" s="1"/>
  <c r="F564" i="33"/>
  <c r="J564" i="33" s="1"/>
  <c r="H564" i="33"/>
  <c r="L564" i="33"/>
  <c r="C565" i="33"/>
  <c r="D565" i="33"/>
  <c r="E565" i="33"/>
  <c r="F565" i="33"/>
  <c r="L565" i="33"/>
  <c r="C566" i="33"/>
  <c r="D566" i="33"/>
  <c r="E566" i="33"/>
  <c r="K566" i="33" s="1"/>
  <c r="F566" i="33"/>
  <c r="L566" i="33"/>
  <c r="C567" i="33"/>
  <c r="I567" i="33" s="1"/>
  <c r="D567" i="33"/>
  <c r="G567" i="33" s="1"/>
  <c r="E567" i="33"/>
  <c r="K567" i="33" s="1"/>
  <c r="F567" i="33"/>
  <c r="L567" i="33"/>
  <c r="C568" i="33"/>
  <c r="I568" i="33" s="1"/>
  <c r="D568" i="33"/>
  <c r="G568" i="33" s="1"/>
  <c r="E568" i="33"/>
  <c r="F568" i="33"/>
  <c r="H568" i="33" s="1"/>
  <c r="L568" i="33"/>
  <c r="U568" i="33" s="1"/>
  <c r="C569" i="33"/>
  <c r="D569" i="33"/>
  <c r="E569" i="33"/>
  <c r="F569" i="33"/>
  <c r="L569" i="33"/>
  <c r="O569" i="33" s="1"/>
  <c r="C570" i="33"/>
  <c r="I570" i="33" s="1"/>
  <c r="D570" i="33"/>
  <c r="E570" i="33"/>
  <c r="F570" i="33"/>
  <c r="J570" i="33" s="1"/>
  <c r="K570" i="33"/>
  <c r="L570" i="33"/>
  <c r="C571" i="33"/>
  <c r="D571" i="33"/>
  <c r="E571" i="33"/>
  <c r="I571" i="33" s="1"/>
  <c r="F571" i="33"/>
  <c r="J571" i="33" s="1"/>
  <c r="G571" i="33"/>
  <c r="H571" i="33"/>
  <c r="L571" i="33"/>
  <c r="C572" i="33"/>
  <c r="I572" i="33" s="1"/>
  <c r="D572" i="33"/>
  <c r="H572" i="33" s="1"/>
  <c r="E572" i="33"/>
  <c r="F572" i="33"/>
  <c r="L572" i="33"/>
  <c r="C573" i="33"/>
  <c r="D573" i="33"/>
  <c r="E573" i="33"/>
  <c r="F573" i="33"/>
  <c r="K573" i="33"/>
  <c r="L573" i="33"/>
  <c r="C574" i="33"/>
  <c r="D574" i="33"/>
  <c r="E574" i="33"/>
  <c r="F574" i="33"/>
  <c r="J574" i="33"/>
  <c r="K574" i="33"/>
  <c r="L574" i="33"/>
  <c r="C575" i="33"/>
  <c r="I575" i="33" s="1"/>
  <c r="D575" i="33"/>
  <c r="G575" i="33" s="1"/>
  <c r="E575" i="33"/>
  <c r="F575" i="33"/>
  <c r="L575" i="33"/>
  <c r="C576" i="33"/>
  <c r="I576" i="33" s="1"/>
  <c r="D576" i="33"/>
  <c r="G576" i="33" s="1"/>
  <c r="E576" i="33"/>
  <c r="K576" i="33" s="1"/>
  <c r="F576" i="33"/>
  <c r="L576" i="33"/>
  <c r="C577" i="33"/>
  <c r="D577" i="33"/>
  <c r="E577" i="33"/>
  <c r="F577" i="33"/>
  <c r="J577" i="33" s="1"/>
  <c r="L577" i="33"/>
  <c r="C578" i="33"/>
  <c r="D578" i="33"/>
  <c r="E578" i="33"/>
  <c r="F578" i="33"/>
  <c r="J578" i="33"/>
  <c r="K578" i="33"/>
  <c r="L578" i="33"/>
  <c r="C579" i="33"/>
  <c r="J579" i="33" s="1"/>
  <c r="D579" i="33"/>
  <c r="G579" i="33" s="1"/>
  <c r="E579" i="33"/>
  <c r="K579" i="33" s="1"/>
  <c r="F579" i="33"/>
  <c r="I579" i="33"/>
  <c r="L579" i="33"/>
  <c r="C580" i="33"/>
  <c r="D580" i="33"/>
  <c r="G580" i="33" s="1"/>
  <c r="E580" i="33"/>
  <c r="I580" i="33" s="1"/>
  <c r="F580" i="33"/>
  <c r="J580" i="33" s="1"/>
  <c r="L580" i="33"/>
  <c r="C581" i="33"/>
  <c r="I581" i="33" s="1"/>
  <c r="D581" i="33"/>
  <c r="E581" i="33"/>
  <c r="F581" i="33"/>
  <c r="L581" i="33"/>
  <c r="C582" i="33"/>
  <c r="I582" i="33" s="1"/>
  <c r="D582" i="33"/>
  <c r="G582" i="33" s="1"/>
  <c r="E582" i="33"/>
  <c r="F582" i="33"/>
  <c r="K582" i="33"/>
  <c r="L582" i="33"/>
  <c r="C583" i="33"/>
  <c r="D583" i="33"/>
  <c r="E583" i="33"/>
  <c r="F583" i="33"/>
  <c r="G583" i="33"/>
  <c r="H583" i="33"/>
  <c r="I583" i="33"/>
  <c r="J583" i="33"/>
  <c r="K583" i="33"/>
  <c r="L583" i="33"/>
  <c r="C584" i="33"/>
  <c r="D584" i="33"/>
  <c r="G584" i="33" s="1"/>
  <c r="E584" i="33"/>
  <c r="F584" i="33"/>
  <c r="L584" i="33"/>
  <c r="C585" i="33"/>
  <c r="D585" i="33"/>
  <c r="G585" i="33" s="1"/>
  <c r="E585" i="33"/>
  <c r="K585" i="33" s="1"/>
  <c r="F585" i="33"/>
  <c r="L585" i="33"/>
  <c r="C586" i="33"/>
  <c r="I586" i="33" s="1"/>
  <c r="D586" i="33"/>
  <c r="G586" i="33" s="1"/>
  <c r="E586" i="33"/>
  <c r="F586" i="33"/>
  <c r="K586" i="33"/>
  <c r="L586" i="33"/>
  <c r="C587" i="33"/>
  <c r="D587" i="33"/>
  <c r="G587" i="33" s="1"/>
  <c r="E587" i="33"/>
  <c r="F587" i="33"/>
  <c r="J587" i="33" s="1"/>
  <c r="H587" i="33"/>
  <c r="I587" i="33"/>
  <c r="L587" i="33"/>
  <c r="P587" i="33" s="1"/>
  <c r="C588" i="33"/>
  <c r="D588" i="33"/>
  <c r="G588" i="33" s="1"/>
  <c r="E588" i="33"/>
  <c r="K588" i="33" s="1"/>
  <c r="F588" i="33"/>
  <c r="L588" i="33"/>
  <c r="C589" i="33"/>
  <c r="D589" i="33"/>
  <c r="E589" i="33"/>
  <c r="F589" i="33"/>
  <c r="K589" i="33"/>
  <c r="L589" i="33"/>
  <c r="C590" i="33"/>
  <c r="I590" i="33" s="1"/>
  <c r="D590" i="33"/>
  <c r="G590" i="33" s="1"/>
  <c r="E590" i="33"/>
  <c r="F590" i="33"/>
  <c r="K590" i="33"/>
  <c r="L590" i="33"/>
  <c r="C591" i="33"/>
  <c r="D591" i="33"/>
  <c r="G591" i="33" s="1"/>
  <c r="E591" i="33"/>
  <c r="F591" i="33"/>
  <c r="H591" i="33"/>
  <c r="L591" i="33"/>
  <c r="C592" i="33"/>
  <c r="D592" i="33"/>
  <c r="E592" i="33"/>
  <c r="F592" i="33"/>
  <c r="G592" i="33"/>
  <c r="H592" i="33"/>
  <c r="I592" i="33"/>
  <c r="J592" i="33"/>
  <c r="K592" i="33"/>
  <c r="L592" i="33"/>
  <c r="T592" i="33" s="1"/>
  <c r="C593" i="33"/>
  <c r="D593" i="33"/>
  <c r="E593" i="33"/>
  <c r="K593" i="33" s="1"/>
  <c r="F593" i="33"/>
  <c r="L593" i="33"/>
  <c r="Q593" i="33" s="1"/>
  <c r="C594" i="33"/>
  <c r="D594" i="33"/>
  <c r="G594" i="33" s="1"/>
  <c r="E594" i="33"/>
  <c r="K594" i="33" s="1"/>
  <c r="F594" i="33"/>
  <c r="J594" i="33" s="1"/>
  <c r="L594" i="33"/>
  <c r="C595" i="33"/>
  <c r="D595" i="33"/>
  <c r="G595" i="33" s="1"/>
  <c r="E595" i="33"/>
  <c r="K595" i="33" s="1"/>
  <c r="F595" i="33"/>
  <c r="I595" i="33"/>
  <c r="J595" i="33"/>
  <c r="L595" i="33"/>
  <c r="C596" i="33"/>
  <c r="D596" i="33"/>
  <c r="E596" i="33"/>
  <c r="F596" i="33"/>
  <c r="J596" i="33" s="1"/>
  <c r="G596" i="33"/>
  <c r="H596" i="33"/>
  <c r="L596" i="33"/>
  <c r="C597" i="33"/>
  <c r="D597" i="33"/>
  <c r="G597" i="33" s="1"/>
  <c r="E597" i="33"/>
  <c r="K597" i="33" s="1"/>
  <c r="F597" i="33"/>
  <c r="L597" i="33"/>
  <c r="C598" i="33"/>
  <c r="I598" i="33" s="1"/>
  <c r="D598" i="33"/>
  <c r="G598" i="33" s="1"/>
  <c r="E598" i="33"/>
  <c r="F598" i="33"/>
  <c r="K598" i="33"/>
  <c r="L598" i="33"/>
  <c r="C599" i="33"/>
  <c r="I599" i="33" s="1"/>
  <c r="D599" i="33"/>
  <c r="G599" i="33" s="1"/>
  <c r="E599" i="33"/>
  <c r="F599" i="33"/>
  <c r="K599" i="33"/>
  <c r="L599" i="33"/>
  <c r="C600" i="33"/>
  <c r="D600" i="33"/>
  <c r="G600" i="33" s="1"/>
  <c r="E600" i="33"/>
  <c r="F600" i="33"/>
  <c r="L600" i="33"/>
  <c r="C601" i="33"/>
  <c r="D601" i="33"/>
  <c r="E601" i="33"/>
  <c r="F601" i="33"/>
  <c r="L601" i="33"/>
  <c r="C602" i="33"/>
  <c r="I602" i="33" s="1"/>
  <c r="D602" i="33"/>
  <c r="E602" i="33"/>
  <c r="F602" i="33"/>
  <c r="J602" i="33" s="1"/>
  <c r="K602" i="33"/>
  <c r="L602" i="33"/>
  <c r="C603" i="33"/>
  <c r="D603" i="33"/>
  <c r="E603" i="33"/>
  <c r="I603" i="33" s="1"/>
  <c r="F603" i="33"/>
  <c r="J603" i="33" s="1"/>
  <c r="G603" i="33"/>
  <c r="H603" i="33"/>
  <c r="L603" i="33"/>
  <c r="C604" i="33"/>
  <c r="I604" i="33" s="1"/>
  <c r="D604" i="33"/>
  <c r="H604" i="33" s="1"/>
  <c r="E604" i="33"/>
  <c r="F604" i="33"/>
  <c r="L604" i="33"/>
  <c r="C605" i="33"/>
  <c r="D605" i="33"/>
  <c r="E605" i="33"/>
  <c r="F605" i="33"/>
  <c r="K605" i="33" s="1"/>
  <c r="L605" i="33"/>
  <c r="C606" i="33"/>
  <c r="D606" i="33"/>
  <c r="G606" i="33" s="1"/>
  <c r="E606" i="33"/>
  <c r="F606" i="33"/>
  <c r="J606" i="33"/>
  <c r="K606" i="33"/>
  <c r="L606" i="33"/>
  <c r="C607" i="33"/>
  <c r="I607" i="33" s="1"/>
  <c r="D607" i="33"/>
  <c r="H607" i="33" s="1"/>
  <c r="E607" i="33"/>
  <c r="F607" i="33"/>
  <c r="L607" i="33"/>
  <c r="C608" i="33"/>
  <c r="I608" i="33" s="1"/>
  <c r="D608" i="33"/>
  <c r="G608" i="33" s="1"/>
  <c r="E608" i="33"/>
  <c r="K608" i="33" s="1"/>
  <c r="F608" i="33"/>
  <c r="L608" i="33"/>
  <c r="C609" i="33"/>
  <c r="D609" i="33"/>
  <c r="E609" i="33"/>
  <c r="F609" i="33"/>
  <c r="J609" i="33" s="1"/>
  <c r="L609" i="33"/>
  <c r="C610" i="33"/>
  <c r="D610" i="33"/>
  <c r="E610" i="33"/>
  <c r="F610" i="33"/>
  <c r="J610" i="33"/>
  <c r="K610" i="33"/>
  <c r="L610" i="33"/>
  <c r="C611" i="33"/>
  <c r="J611" i="33" s="1"/>
  <c r="D611" i="33"/>
  <c r="G611" i="33" s="1"/>
  <c r="E611" i="33"/>
  <c r="K611" i="33" s="1"/>
  <c r="F611" i="33"/>
  <c r="I611" i="33"/>
  <c r="L611" i="33"/>
  <c r="C612" i="33"/>
  <c r="D612" i="33"/>
  <c r="G612" i="33" s="1"/>
  <c r="E612" i="33"/>
  <c r="I612" i="33" s="1"/>
  <c r="F612" i="33"/>
  <c r="J612" i="33" s="1"/>
  <c r="L612" i="33"/>
  <c r="C613" i="33"/>
  <c r="I613" i="33" s="1"/>
  <c r="D613" i="33"/>
  <c r="E613" i="33"/>
  <c r="F613" i="33"/>
  <c r="L613" i="33"/>
  <c r="C614" i="33"/>
  <c r="I614" i="33" s="1"/>
  <c r="D614" i="33"/>
  <c r="G614" i="33" s="1"/>
  <c r="E614" i="33"/>
  <c r="F614" i="33"/>
  <c r="K614" i="33" s="1"/>
  <c r="L614" i="33"/>
  <c r="C615" i="33"/>
  <c r="D615" i="33"/>
  <c r="E615" i="33"/>
  <c r="F615" i="33"/>
  <c r="G615" i="33"/>
  <c r="H615" i="33"/>
  <c r="I615" i="33"/>
  <c r="J615" i="33"/>
  <c r="K615" i="33"/>
  <c r="L615" i="33"/>
  <c r="C616" i="33"/>
  <c r="D616" i="33"/>
  <c r="G616" i="33" s="1"/>
  <c r="E616" i="33"/>
  <c r="F616" i="33"/>
  <c r="L616" i="33"/>
  <c r="C617" i="33"/>
  <c r="D617" i="33"/>
  <c r="G617" i="33" s="1"/>
  <c r="E617" i="33"/>
  <c r="K617" i="33" s="1"/>
  <c r="F617" i="33"/>
  <c r="L617" i="33"/>
  <c r="C618" i="33"/>
  <c r="I618" i="33" s="1"/>
  <c r="D618" i="33"/>
  <c r="G618" i="33" s="1"/>
  <c r="E618" i="33"/>
  <c r="F618" i="33"/>
  <c r="K618" i="33"/>
  <c r="L618" i="33"/>
  <c r="R618" i="33" s="1"/>
  <c r="C619" i="33"/>
  <c r="D619" i="33"/>
  <c r="G619" i="33" s="1"/>
  <c r="E619" i="33"/>
  <c r="F619" i="33"/>
  <c r="J619" i="33" s="1"/>
  <c r="H619" i="33"/>
  <c r="I619" i="33"/>
  <c r="L619" i="33"/>
  <c r="C620" i="33"/>
  <c r="D620" i="33"/>
  <c r="G620" i="33" s="1"/>
  <c r="E620" i="33"/>
  <c r="F620" i="33"/>
  <c r="L620" i="33"/>
  <c r="C621" i="33"/>
  <c r="D621" i="33"/>
  <c r="E621" i="33"/>
  <c r="F621" i="33"/>
  <c r="K621" i="33"/>
  <c r="L621" i="33"/>
  <c r="C622" i="33"/>
  <c r="I622" i="33" s="1"/>
  <c r="D622" i="33"/>
  <c r="G622" i="33" s="1"/>
  <c r="E622" i="33"/>
  <c r="F622" i="33"/>
  <c r="K622" i="33" s="1"/>
  <c r="L622" i="33"/>
  <c r="C623" i="33"/>
  <c r="D623" i="33"/>
  <c r="E623" i="33"/>
  <c r="K623" i="33" s="1"/>
  <c r="F623" i="33"/>
  <c r="H623" i="33"/>
  <c r="I623" i="33"/>
  <c r="L623" i="33"/>
  <c r="R623" i="33" s="1"/>
  <c r="C624" i="33"/>
  <c r="D624" i="33"/>
  <c r="E624" i="33"/>
  <c r="F624" i="33"/>
  <c r="G624" i="33"/>
  <c r="H624" i="33"/>
  <c r="I624" i="33"/>
  <c r="J624" i="33"/>
  <c r="K624" i="33"/>
  <c r="L624" i="33"/>
  <c r="C625" i="33"/>
  <c r="I625" i="33" s="1"/>
  <c r="D625" i="33"/>
  <c r="E625" i="33"/>
  <c r="F625" i="33"/>
  <c r="H625" i="33" s="1"/>
  <c r="L625" i="33"/>
  <c r="C626" i="33"/>
  <c r="D626" i="33"/>
  <c r="E626" i="33"/>
  <c r="F626" i="33"/>
  <c r="J626" i="33"/>
  <c r="K626" i="33"/>
  <c r="L626" i="33"/>
  <c r="C627" i="33"/>
  <c r="D627" i="33"/>
  <c r="G627" i="33" s="1"/>
  <c r="E627" i="33"/>
  <c r="I627" i="33" s="1"/>
  <c r="F627" i="33"/>
  <c r="J627" i="33"/>
  <c r="K627" i="33"/>
  <c r="L627" i="33"/>
  <c r="C628" i="33"/>
  <c r="D628" i="33"/>
  <c r="E628" i="33"/>
  <c r="K628" i="33" s="1"/>
  <c r="F628" i="33"/>
  <c r="G628" i="33"/>
  <c r="H628" i="33"/>
  <c r="I628" i="33"/>
  <c r="J628" i="33"/>
  <c r="L628" i="33"/>
  <c r="C629" i="33"/>
  <c r="I629" i="33" s="1"/>
  <c r="D629" i="33"/>
  <c r="G629" i="33" s="1"/>
  <c r="E629" i="33"/>
  <c r="F629" i="33"/>
  <c r="L629" i="33"/>
  <c r="C630" i="33"/>
  <c r="I630" i="33" s="1"/>
  <c r="D630" i="33"/>
  <c r="G630" i="33" s="1"/>
  <c r="E630" i="33"/>
  <c r="F630" i="33"/>
  <c r="K630" i="33"/>
  <c r="L630" i="33"/>
  <c r="C631" i="33"/>
  <c r="I631" i="33" s="1"/>
  <c r="D631" i="33"/>
  <c r="H631" i="33" s="1"/>
  <c r="E631" i="33"/>
  <c r="K631" i="33" s="1"/>
  <c r="F631" i="33"/>
  <c r="G631" i="33"/>
  <c r="L631" i="33"/>
  <c r="C632" i="33"/>
  <c r="D632" i="33"/>
  <c r="G632" i="33" s="1"/>
  <c r="E632" i="33"/>
  <c r="F632" i="33"/>
  <c r="L632" i="33"/>
  <c r="C633" i="33"/>
  <c r="D633" i="33"/>
  <c r="G633" i="33" s="1"/>
  <c r="E633" i="33"/>
  <c r="F633" i="33"/>
  <c r="L633" i="33"/>
  <c r="C634" i="33"/>
  <c r="I634" i="33" s="1"/>
  <c r="D634" i="33"/>
  <c r="E634" i="33"/>
  <c r="K634" i="33" s="1"/>
  <c r="F634" i="33"/>
  <c r="J634" i="33"/>
  <c r="L634" i="33"/>
  <c r="C635" i="33"/>
  <c r="D635" i="33"/>
  <c r="H635" i="33" s="1"/>
  <c r="E635" i="33"/>
  <c r="I635" i="33" s="1"/>
  <c r="F635" i="33"/>
  <c r="J635" i="33" s="1"/>
  <c r="G635" i="33"/>
  <c r="L635" i="33"/>
  <c r="C636" i="33"/>
  <c r="I636" i="33" s="1"/>
  <c r="D636" i="33"/>
  <c r="E636" i="33"/>
  <c r="F636" i="33"/>
  <c r="G636" i="33"/>
  <c r="L636" i="33"/>
  <c r="C637" i="33"/>
  <c r="D637" i="33"/>
  <c r="E637" i="33"/>
  <c r="F637" i="33"/>
  <c r="K637" i="33"/>
  <c r="L637" i="33"/>
  <c r="C638" i="33"/>
  <c r="D638" i="33"/>
  <c r="E638" i="33"/>
  <c r="F638" i="33"/>
  <c r="K638" i="33" s="1"/>
  <c r="J638" i="33"/>
  <c r="L638" i="33"/>
  <c r="C639" i="33"/>
  <c r="I639" i="33" s="1"/>
  <c r="D639" i="33"/>
  <c r="G639" i="33" s="1"/>
  <c r="E639" i="33"/>
  <c r="F639" i="33"/>
  <c r="L639" i="33"/>
  <c r="C640" i="33"/>
  <c r="I640" i="33" s="1"/>
  <c r="D640" i="33"/>
  <c r="G640" i="33" s="1"/>
  <c r="E640" i="33"/>
  <c r="K640" i="33" s="1"/>
  <c r="F640" i="33"/>
  <c r="L640" i="33"/>
  <c r="C641" i="33"/>
  <c r="D641" i="33"/>
  <c r="E641" i="33"/>
  <c r="F641" i="33"/>
  <c r="H641" i="33" s="1"/>
  <c r="L641" i="33"/>
  <c r="C642" i="33"/>
  <c r="I642" i="33" s="1"/>
  <c r="D642" i="33"/>
  <c r="G642" i="33" s="1"/>
  <c r="E642" i="33"/>
  <c r="F642" i="33"/>
  <c r="J642" i="33"/>
  <c r="K642" i="33"/>
  <c r="L642" i="33"/>
  <c r="C643" i="33"/>
  <c r="J643" i="33" s="1"/>
  <c r="D643" i="33"/>
  <c r="G643" i="33" s="1"/>
  <c r="E643" i="33"/>
  <c r="K643" i="33" s="1"/>
  <c r="F643" i="33"/>
  <c r="I643" i="33"/>
  <c r="L643" i="33"/>
  <c r="C644" i="33"/>
  <c r="I644" i="33" s="1"/>
  <c r="D644" i="33"/>
  <c r="G644" i="33" s="1"/>
  <c r="E644" i="33"/>
  <c r="K644" i="33" s="1"/>
  <c r="F644" i="33"/>
  <c r="L644" i="33"/>
  <c r="C645" i="33"/>
  <c r="D645" i="33"/>
  <c r="G645" i="33" s="1"/>
  <c r="E645" i="33"/>
  <c r="F645" i="33"/>
  <c r="L645" i="33"/>
  <c r="C646" i="33"/>
  <c r="D646" i="33"/>
  <c r="E646" i="33"/>
  <c r="K646" i="33" s="1"/>
  <c r="F646" i="33"/>
  <c r="L646" i="33"/>
  <c r="C647" i="33"/>
  <c r="D647" i="33"/>
  <c r="E647" i="33"/>
  <c r="F647" i="33"/>
  <c r="J647" i="33" s="1"/>
  <c r="G647" i="33"/>
  <c r="H647" i="33"/>
  <c r="I647" i="33"/>
  <c r="K647" i="33"/>
  <c r="L647" i="33"/>
  <c r="C648" i="33"/>
  <c r="D648" i="33"/>
  <c r="E648" i="33"/>
  <c r="I648" i="33" s="1"/>
  <c r="F648" i="33"/>
  <c r="J648" i="33" s="1"/>
  <c r="L648" i="33"/>
  <c r="C649" i="33"/>
  <c r="I649" i="33" s="1"/>
  <c r="D649" i="33"/>
  <c r="E649" i="33"/>
  <c r="F649" i="33"/>
  <c r="L649" i="33"/>
  <c r="C650" i="33"/>
  <c r="D650" i="33"/>
  <c r="E650" i="33"/>
  <c r="K650" i="33" s="1"/>
  <c r="F650" i="33"/>
  <c r="I650" i="33"/>
  <c r="J650" i="33"/>
  <c r="L650" i="33"/>
  <c r="C651" i="33"/>
  <c r="D651" i="33"/>
  <c r="G651" i="33" s="1"/>
  <c r="E651" i="33"/>
  <c r="F651" i="33"/>
  <c r="J651" i="33" s="1"/>
  <c r="I651" i="33"/>
  <c r="L651" i="33"/>
  <c r="C652" i="33"/>
  <c r="D652" i="33"/>
  <c r="H652" i="33" s="1"/>
  <c r="E652" i="33"/>
  <c r="K652" i="33" s="1"/>
  <c r="F652" i="33"/>
  <c r="L652" i="33"/>
  <c r="C653" i="33"/>
  <c r="D653" i="33"/>
  <c r="E653" i="33"/>
  <c r="G653" i="33" s="1"/>
  <c r="F653" i="33"/>
  <c r="H653" i="33" s="1"/>
  <c r="L653" i="33"/>
  <c r="C654" i="33"/>
  <c r="I654" i="33" s="1"/>
  <c r="D654" i="33"/>
  <c r="E654" i="33"/>
  <c r="F654" i="33"/>
  <c r="K654" i="33" s="1"/>
  <c r="L654" i="33"/>
  <c r="C655" i="33"/>
  <c r="D655" i="33"/>
  <c r="G655" i="33" s="1"/>
  <c r="E655" i="33"/>
  <c r="F655" i="33"/>
  <c r="H655" i="33"/>
  <c r="L655" i="33"/>
  <c r="C656" i="33"/>
  <c r="D656" i="33"/>
  <c r="E656" i="33"/>
  <c r="F656" i="33"/>
  <c r="G656" i="33"/>
  <c r="H656" i="33"/>
  <c r="I656" i="33"/>
  <c r="J656" i="33"/>
  <c r="K656" i="33"/>
  <c r="L656" i="33"/>
  <c r="C657" i="33"/>
  <c r="D657" i="33"/>
  <c r="E657" i="33"/>
  <c r="G657" i="33" s="1"/>
  <c r="F657" i="33"/>
  <c r="L657" i="33"/>
  <c r="C658" i="33"/>
  <c r="D658" i="33"/>
  <c r="G658" i="33" s="1"/>
  <c r="E658" i="33"/>
  <c r="K658" i="33" s="1"/>
  <c r="F658" i="33"/>
  <c r="J658" i="33" s="1"/>
  <c r="L658" i="33"/>
  <c r="C659" i="33"/>
  <c r="D659" i="33"/>
  <c r="G659" i="33" s="1"/>
  <c r="E659" i="33"/>
  <c r="K659" i="33" s="1"/>
  <c r="F659" i="33"/>
  <c r="I659" i="33"/>
  <c r="J659" i="33"/>
  <c r="L659" i="33"/>
  <c r="O659" i="33" s="1"/>
  <c r="C660" i="33"/>
  <c r="D660" i="33"/>
  <c r="E660" i="33"/>
  <c r="F660" i="33"/>
  <c r="G660" i="33"/>
  <c r="H660" i="33"/>
  <c r="I660" i="33"/>
  <c r="J660" i="33"/>
  <c r="L660" i="33"/>
  <c r="C661" i="33"/>
  <c r="I661" i="33" s="1"/>
  <c r="D661" i="33"/>
  <c r="G661" i="33" s="1"/>
  <c r="E661" i="33"/>
  <c r="F661" i="33"/>
  <c r="L661" i="33"/>
  <c r="C662" i="33"/>
  <c r="D662" i="33"/>
  <c r="E662" i="33"/>
  <c r="F662" i="33"/>
  <c r="K662" i="33"/>
  <c r="L662" i="33"/>
  <c r="C663" i="33"/>
  <c r="D663" i="33"/>
  <c r="G663" i="33" s="1"/>
  <c r="E663" i="33"/>
  <c r="I663" i="33" s="1"/>
  <c r="F663" i="33"/>
  <c r="J663" i="33" s="1"/>
  <c r="K663" i="33"/>
  <c r="L663" i="33"/>
  <c r="U663" i="33" s="1"/>
  <c r="C664" i="33"/>
  <c r="D664" i="33"/>
  <c r="G664" i="33" s="1"/>
  <c r="E664" i="33"/>
  <c r="I664" i="33" s="1"/>
  <c r="F664" i="33"/>
  <c r="J664" i="33" s="1"/>
  <c r="L664" i="33"/>
  <c r="O664" i="33" s="1"/>
  <c r="C665" i="33"/>
  <c r="D665" i="33"/>
  <c r="E665" i="33"/>
  <c r="F665" i="33"/>
  <c r="L665" i="33"/>
  <c r="C666" i="33"/>
  <c r="J666" i="33" s="1"/>
  <c r="D666" i="33"/>
  <c r="G666" i="33" s="1"/>
  <c r="E666" i="33"/>
  <c r="K666" i="33" s="1"/>
  <c r="F666" i="33"/>
  <c r="I666" i="33"/>
  <c r="L666" i="33"/>
  <c r="C667" i="33"/>
  <c r="D667" i="33"/>
  <c r="H667" i="33" s="1"/>
  <c r="E667" i="33"/>
  <c r="F667" i="33"/>
  <c r="L667" i="33"/>
  <c r="C668" i="33"/>
  <c r="I668" i="33" s="1"/>
  <c r="D668" i="33"/>
  <c r="H668" i="33" s="1"/>
  <c r="E668" i="33"/>
  <c r="F668" i="33"/>
  <c r="L668" i="33"/>
  <c r="C669" i="33"/>
  <c r="D669" i="33"/>
  <c r="E669" i="33"/>
  <c r="F669" i="33"/>
  <c r="K669" i="33" s="1"/>
  <c r="L669" i="33"/>
  <c r="O669" i="33" s="1"/>
  <c r="C670" i="33"/>
  <c r="D670" i="33"/>
  <c r="G670" i="33" s="1"/>
  <c r="E670" i="33"/>
  <c r="F670" i="33"/>
  <c r="J670" i="33"/>
  <c r="L670" i="33"/>
  <c r="C671" i="33"/>
  <c r="J671" i="33" s="1"/>
  <c r="D671" i="33"/>
  <c r="G671" i="33" s="1"/>
  <c r="E671" i="33"/>
  <c r="K671" i="33" s="1"/>
  <c r="F671" i="33"/>
  <c r="H671" i="33"/>
  <c r="L671" i="33"/>
  <c r="C672" i="33"/>
  <c r="D672" i="33"/>
  <c r="H672" i="33" s="1"/>
  <c r="E672" i="33"/>
  <c r="I672" i="33" s="1"/>
  <c r="F672" i="33"/>
  <c r="J672" i="33" s="1"/>
  <c r="G672" i="33"/>
  <c r="L672" i="33"/>
  <c r="C673" i="33"/>
  <c r="D673" i="33"/>
  <c r="E673" i="33"/>
  <c r="G673" i="33" s="1"/>
  <c r="F673" i="33"/>
  <c r="H673" i="33" s="1"/>
  <c r="L673" i="33"/>
  <c r="U673" i="33" s="1"/>
  <c r="C674" i="33"/>
  <c r="D674" i="33"/>
  <c r="G674" i="33" s="1"/>
  <c r="E674" i="33"/>
  <c r="F674" i="33"/>
  <c r="J674" i="33" s="1"/>
  <c r="K674" i="33"/>
  <c r="L674" i="33"/>
  <c r="O674" i="33" s="1"/>
  <c r="C675" i="33"/>
  <c r="D675" i="33"/>
  <c r="E675" i="33"/>
  <c r="I675" i="33" s="1"/>
  <c r="F675" i="33"/>
  <c r="H675" i="33" s="1"/>
  <c r="G675" i="33"/>
  <c r="J675" i="33"/>
  <c r="L675" i="33"/>
  <c r="C676" i="33"/>
  <c r="D676" i="33"/>
  <c r="H676" i="33" s="1"/>
  <c r="E676" i="33"/>
  <c r="I676" i="33" s="1"/>
  <c r="F676" i="33"/>
  <c r="J676" i="33" s="1"/>
  <c r="G676" i="33"/>
  <c r="L676" i="33"/>
  <c r="C677" i="33"/>
  <c r="D677" i="33"/>
  <c r="E677" i="33"/>
  <c r="F677" i="33"/>
  <c r="L677" i="33"/>
  <c r="C678" i="33"/>
  <c r="I678" i="33" s="1"/>
  <c r="D678" i="33"/>
  <c r="E678" i="33"/>
  <c r="K678" i="33" s="1"/>
  <c r="F678" i="33"/>
  <c r="L678" i="33"/>
  <c r="U678" i="33" s="1"/>
  <c r="C679" i="33"/>
  <c r="D679" i="33"/>
  <c r="E679" i="33"/>
  <c r="F679" i="33"/>
  <c r="K679" i="33" s="1"/>
  <c r="G679" i="33"/>
  <c r="H679" i="33"/>
  <c r="I679" i="33"/>
  <c r="J679" i="33"/>
  <c r="L679" i="33"/>
  <c r="O679" i="33" s="1"/>
  <c r="C680" i="33"/>
  <c r="D680" i="33"/>
  <c r="G680" i="33" s="1"/>
  <c r="E680" i="33"/>
  <c r="F680" i="33"/>
  <c r="J680" i="33" s="1"/>
  <c r="L680" i="33"/>
  <c r="C681" i="33"/>
  <c r="I681" i="33" s="1"/>
  <c r="D681" i="33"/>
  <c r="G681" i="33" s="1"/>
  <c r="E681" i="33"/>
  <c r="F681" i="33"/>
  <c r="L681" i="33"/>
  <c r="C682" i="33"/>
  <c r="I682" i="33" s="1"/>
  <c r="D682" i="33"/>
  <c r="G682" i="33" s="1"/>
  <c r="E682" i="33"/>
  <c r="F682" i="33"/>
  <c r="J682" i="33"/>
  <c r="K682" i="33"/>
  <c r="L682" i="33"/>
  <c r="C683" i="33"/>
  <c r="I683" i="33" s="1"/>
  <c r="D683" i="33"/>
  <c r="G683" i="33" s="1"/>
  <c r="E683" i="33"/>
  <c r="F683" i="33"/>
  <c r="K683" i="33" s="1"/>
  <c r="H683" i="33"/>
  <c r="L683" i="33"/>
  <c r="U683" i="33" s="1"/>
  <c r="C684" i="33"/>
  <c r="D684" i="33"/>
  <c r="E684" i="33"/>
  <c r="F684" i="33"/>
  <c r="G684" i="33"/>
  <c r="L684" i="33"/>
  <c r="O684" i="33" s="1"/>
  <c r="CY12" i="40"/>
  <c r="CY13" i="40"/>
  <c r="CY14" i="40"/>
  <c r="CY15" i="40"/>
  <c r="CY16" i="40"/>
  <c r="CY17" i="40"/>
  <c r="CY18" i="40"/>
  <c r="CY19" i="40"/>
  <c r="CY20" i="40"/>
  <c r="CY21" i="40"/>
  <c r="CY22" i="40"/>
  <c r="CY23" i="40"/>
  <c r="CY24" i="40"/>
  <c r="CY25" i="40"/>
  <c r="CY26" i="40"/>
  <c r="CY27" i="40"/>
  <c r="CY28" i="40"/>
  <c r="CY29" i="40"/>
  <c r="CY30" i="40"/>
  <c r="CY31" i="40"/>
  <c r="CY32" i="40"/>
  <c r="CY33" i="40"/>
  <c r="CY34" i="40"/>
  <c r="CY35" i="40"/>
  <c r="CY36" i="40"/>
  <c r="CY37" i="40"/>
  <c r="CY38" i="40"/>
  <c r="CY39" i="40"/>
  <c r="CY40" i="40"/>
  <c r="CY41" i="40"/>
  <c r="CY42" i="40"/>
  <c r="CY43" i="40"/>
  <c r="CY44" i="40"/>
  <c r="CY45" i="40"/>
  <c r="CY46" i="40"/>
  <c r="CY47" i="40"/>
  <c r="CY48" i="40"/>
  <c r="CY49" i="40"/>
  <c r="CY50" i="40"/>
  <c r="CY51" i="40"/>
  <c r="CY52" i="40"/>
  <c r="CY53" i="40"/>
  <c r="CY54" i="40"/>
  <c r="CY55" i="40"/>
  <c r="CY56" i="40"/>
  <c r="CY57" i="40"/>
  <c r="CY58" i="40"/>
  <c r="CY59" i="40"/>
  <c r="CY60" i="40"/>
  <c r="CY61" i="40"/>
  <c r="CY62" i="40"/>
  <c r="CY63" i="40"/>
  <c r="CY64" i="40"/>
  <c r="CY65" i="40"/>
  <c r="CY66" i="40"/>
  <c r="CY67" i="40"/>
  <c r="CY68" i="40"/>
  <c r="CY69" i="40"/>
  <c r="CY70" i="40"/>
  <c r="CY71" i="40"/>
  <c r="CY72" i="40"/>
  <c r="CY73" i="40"/>
  <c r="CY74" i="40"/>
  <c r="CY75" i="40"/>
  <c r="CY76" i="40"/>
  <c r="CY77" i="40"/>
  <c r="CY78" i="40"/>
  <c r="CY79" i="40"/>
  <c r="CY80" i="40"/>
  <c r="CY81" i="40"/>
  <c r="CY82" i="40"/>
  <c r="CY83" i="40"/>
  <c r="CY84" i="40"/>
  <c r="CY85" i="40"/>
  <c r="CY86" i="40"/>
  <c r="CY87" i="40"/>
  <c r="CY88" i="40"/>
  <c r="CY89" i="40"/>
  <c r="CY90" i="40"/>
  <c r="CY91" i="40"/>
  <c r="CY92" i="40"/>
  <c r="CY93" i="40"/>
  <c r="CY94" i="40"/>
  <c r="CY95" i="40"/>
  <c r="CY96" i="40"/>
  <c r="CY97" i="40"/>
  <c r="CY98" i="40"/>
  <c r="CY99" i="40"/>
  <c r="CY100" i="40"/>
  <c r="CY101" i="40"/>
  <c r="CY102" i="40"/>
  <c r="CY103" i="40"/>
  <c r="CY104" i="40"/>
  <c r="CY105" i="40"/>
  <c r="CY106" i="40"/>
  <c r="CY107" i="40"/>
  <c r="CY108" i="40"/>
  <c r="CY109" i="40"/>
  <c r="CY110" i="40"/>
  <c r="CY111" i="40"/>
  <c r="CY112" i="40"/>
  <c r="CY113" i="40"/>
  <c r="CY114" i="40"/>
  <c r="CY115" i="40"/>
  <c r="CY116" i="40"/>
  <c r="CY117" i="40"/>
  <c r="CY118" i="40"/>
  <c r="CY119" i="40"/>
  <c r="CY120" i="40"/>
  <c r="CY121" i="40"/>
  <c r="CY122" i="40"/>
  <c r="CY123" i="40"/>
  <c r="CY124" i="40"/>
  <c r="CY125" i="40"/>
  <c r="CY126" i="40"/>
  <c r="CY127" i="40"/>
  <c r="CY128" i="40"/>
  <c r="CY129" i="40"/>
  <c r="CY130" i="40"/>
  <c r="CY131" i="40"/>
  <c r="CY132" i="40"/>
  <c r="CY133" i="40"/>
  <c r="CY134" i="40"/>
  <c r="CY135" i="40"/>
  <c r="CY136" i="40"/>
  <c r="CY137" i="40"/>
  <c r="CY138" i="40"/>
  <c r="CY139" i="40"/>
  <c r="CY140" i="40"/>
  <c r="CY141" i="40"/>
  <c r="CY142" i="40"/>
  <c r="CY143" i="40"/>
  <c r="CY144" i="40"/>
  <c r="CY145" i="40"/>
  <c r="CY146" i="40"/>
  <c r="CY147" i="40"/>
  <c r="CY148" i="40"/>
  <c r="CY149" i="40"/>
  <c r="CY150" i="40"/>
  <c r="CY151" i="40"/>
  <c r="CY152" i="40"/>
  <c r="CY153" i="40"/>
  <c r="CY154" i="40"/>
  <c r="CY155" i="40"/>
  <c r="CY156" i="40"/>
  <c r="CY157" i="40"/>
  <c r="CY158" i="40"/>
  <c r="CY159" i="40"/>
  <c r="CY160" i="40"/>
  <c r="CY161" i="40"/>
  <c r="CY162" i="40"/>
  <c r="CY163" i="40"/>
  <c r="CY164" i="40"/>
  <c r="CY165" i="40"/>
  <c r="CY166" i="40"/>
  <c r="CY167" i="40"/>
  <c r="CY168" i="40"/>
  <c r="CY169" i="40"/>
  <c r="CY170" i="40"/>
  <c r="CY171" i="40"/>
  <c r="CY172" i="40"/>
  <c r="CY173" i="40"/>
  <c r="CY174" i="40"/>
  <c r="CY175" i="40"/>
  <c r="CY176" i="40"/>
  <c r="CY177" i="40"/>
  <c r="CY178" i="40"/>
  <c r="CY179" i="40"/>
  <c r="CY180" i="40"/>
  <c r="CY181" i="40"/>
  <c r="CY182" i="40"/>
  <c r="CY183" i="40"/>
  <c r="CY184" i="40"/>
  <c r="CY185" i="40"/>
  <c r="CY186" i="40"/>
  <c r="CY187" i="40"/>
  <c r="CY188" i="40"/>
  <c r="CY189" i="40"/>
  <c r="CY190" i="40"/>
  <c r="CY191" i="40"/>
  <c r="CY192" i="40"/>
  <c r="CY193" i="40"/>
  <c r="CY194" i="40"/>
  <c r="CY195" i="40"/>
  <c r="CY196" i="40"/>
  <c r="CY197" i="40"/>
  <c r="CY198" i="40"/>
  <c r="CY199" i="40"/>
  <c r="CY200" i="40"/>
  <c r="CY201" i="40"/>
  <c r="CY202" i="40"/>
  <c r="CY203" i="40"/>
  <c r="CY204" i="40"/>
  <c r="CY205" i="40"/>
  <c r="CY206" i="40"/>
  <c r="CY207" i="40"/>
  <c r="CY208" i="40"/>
  <c r="CY209" i="40"/>
  <c r="CY210" i="40"/>
  <c r="CY211" i="40"/>
  <c r="CY212" i="40"/>
  <c r="CY213" i="40"/>
  <c r="CY214" i="40"/>
  <c r="CY215" i="40"/>
  <c r="CY216" i="40"/>
  <c r="CY217" i="40"/>
  <c r="CY218" i="40"/>
  <c r="CY219" i="40"/>
  <c r="CY220" i="40"/>
  <c r="CY221" i="40"/>
  <c r="CY222" i="40"/>
  <c r="CY223" i="40"/>
  <c r="CY224" i="40"/>
  <c r="CY225" i="40"/>
  <c r="CY226" i="40"/>
  <c r="CY227" i="40"/>
  <c r="CY228" i="40"/>
  <c r="CY229" i="40"/>
  <c r="CY230" i="40"/>
  <c r="CY231" i="40"/>
  <c r="CY232" i="40"/>
  <c r="CY233" i="40"/>
  <c r="CY234" i="40"/>
  <c r="CY235" i="40"/>
  <c r="CY236" i="40"/>
  <c r="CY237" i="40"/>
  <c r="CY238" i="40"/>
  <c r="CY239" i="40"/>
  <c r="CY240" i="40"/>
  <c r="CY241" i="40"/>
  <c r="CY242" i="40"/>
  <c r="CY243" i="40"/>
  <c r="CY244" i="40"/>
  <c r="CY245" i="40"/>
  <c r="CY246" i="40"/>
  <c r="CY247" i="40"/>
  <c r="CY248" i="40"/>
  <c r="CY249" i="40"/>
  <c r="CY250" i="40"/>
  <c r="CY251" i="40"/>
  <c r="CY252" i="40"/>
  <c r="CY253" i="40"/>
  <c r="CY254" i="40"/>
  <c r="CY255" i="40"/>
  <c r="CY256" i="40"/>
  <c r="CY257" i="40"/>
  <c r="CY258" i="40"/>
  <c r="CY259" i="40"/>
  <c r="CY260" i="40"/>
  <c r="CY261" i="40"/>
  <c r="CY262" i="40"/>
  <c r="CY263" i="40"/>
  <c r="CY264" i="40"/>
  <c r="CY265" i="40"/>
  <c r="CY266" i="40"/>
  <c r="CY267" i="40"/>
  <c r="CY268" i="40"/>
  <c r="CY269" i="40"/>
  <c r="CY270" i="40"/>
  <c r="CY271" i="40"/>
  <c r="CY272" i="40"/>
  <c r="CY273" i="40"/>
  <c r="CY274" i="40"/>
  <c r="CY275" i="40"/>
  <c r="CY276" i="40"/>
  <c r="CY277" i="40"/>
  <c r="CY278" i="40"/>
  <c r="CY279" i="40"/>
  <c r="CY280" i="40"/>
  <c r="CY281" i="40"/>
  <c r="CY282" i="40"/>
  <c r="CY283" i="40"/>
  <c r="CY284" i="40"/>
  <c r="CY285" i="40"/>
  <c r="CY286" i="40"/>
  <c r="CY287" i="40"/>
  <c r="CY288" i="40"/>
  <c r="CY289" i="40"/>
  <c r="CY290" i="40"/>
  <c r="CY291" i="40"/>
  <c r="CY292" i="40"/>
  <c r="CY293" i="40"/>
  <c r="CY294" i="40"/>
  <c r="CY295" i="40"/>
  <c r="CY296" i="40"/>
  <c r="CY297" i="40"/>
  <c r="CY298" i="40"/>
  <c r="CY299" i="40"/>
  <c r="CY300" i="40"/>
  <c r="CY301" i="40"/>
  <c r="CY302" i="40"/>
  <c r="CY303" i="40"/>
  <c r="CY304" i="40"/>
  <c r="CY305" i="40"/>
  <c r="CY306" i="40"/>
  <c r="CY307" i="40"/>
  <c r="CY308" i="40"/>
  <c r="CY309" i="40"/>
  <c r="CY310" i="40"/>
  <c r="CY311" i="40"/>
  <c r="CY312" i="40"/>
  <c r="CY313" i="40"/>
  <c r="CY314" i="40"/>
  <c r="CY315" i="40"/>
  <c r="CY316" i="40"/>
  <c r="CY317" i="40"/>
  <c r="CY318" i="40"/>
  <c r="CY319" i="40"/>
  <c r="CY320" i="40"/>
  <c r="CY321" i="40"/>
  <c r="CY322" i="40"/>
  <c r="CY323" i="40"/>
  <c r="CY324" i="40"/>
  <c r="CY325" i="40"/>
  <c r="CY326" i="40"/>
  <c r="CY327" i="40"/>
  <c r="CY328" i="40"/>
  <c r="CY329" i="40"/>
  <c r="CY330" i="40"/>
  <c r="CY331" i="40"/>
  <c r="CY332" i="40"/>
  <c r="CY333" i="40"/>
  <c r="CY334" i="40"/>
  <c r="CY335" i="40"/>
  <c r="CY336" i="40"/>
  <c r="CY337" i="40"/>
  <c r="CY338" i="40"/>
  <c r="CY339" i="40"/>
  <c r="CY340" i="40"/>
  <c r="CY341" i="40"/>
  <c r="CY342" i="40"/>
  <c r="CY343" i="40"/>
  <c r="CY344" i="40"/>
  <c r="CY345" i="40"/>
  <c r="CY346" i="40"/>
  <c r="CY347" i="40"/>
  <c r="CY348" i="40"/>
  <c r="CY349" i="40"/>
  <c r="CY350" i="40"/>
  <c r="CY351" i="40"/>
  <c r="CY352" i="40"/>
  <c r="CY353" i="40"/>
  <c r="CY354" i="40"/>
  <c r="CY355" i="40"/>
  <c r="CY356" i="40"/>
  <c r="CY357" i="40"/>
  <c r="CY358" i="40"/>
  <c r="CY359" i="40"/>
  <c r="CY360" i="40"/>
  <c r="CY361" i="40"/>
  <c r="CY362" i="40"/>
  <c r="CY363" i="40"/>
  <c r="CY364" i="40"/>
  <c r="CY365" i="40"/>
  <c r="CY366" i="40"/>
  <c r="CY367" i="40"/>
  <c r="CY368" i="40"/>
  <c r="CY369" i="40"/>
  <c r="CY370" i="40"/>
  <c r="CY371" i="40"/>
  <c r="CY372" i="40"/>
  <c r="CY373" i="40"/>
  <c r="CY374" i="40"/>
  <c r="CY375" i="40"/>
  <c r="CY376" i="40"/>
  <c r="CY377" i="40"/>
  <c r="CY378" i="40"/>
  <c r="CY379" i="40"/>
  <c r="CY380" i="40"/>
  <c r="CY381" i="40"/>
  <c r="CY382" i="40"/>
  <c r="CY383" i="40"/>
  <c r="CY384" i="40"/>
  <c r="CY385" i="40"/>
  <c r="CY386" i="40"/>
  <c r="CY387" i="40"/>
  <c r="CY388" i="40"/>
  <c r="CY389" i="40"/>
  <c r="CY390" i="40"/>
  <c r="CY391" i="40"/>
  <c r="CY392" i="40"/>
  <c r="CY393" i="40"/>
  <c r="CY394" i="40"/>
  <c r="CY395" i="40"/>
  <c r="CY396" i="40"/>
  <c r="CY397" i="40"/>
  <c r="CY398" i="40"/>
  <c r="CY399" i="40"/>
  <c r="CY400" i="40"/>
  <c r="CY401" i="40"/>
  <c r="CY402" i="40"/>
  <c r="CY403" i="40"/>
  <c r="CY404" i="40"/>
  <c r="CY405" i="40"/>
  <c r="CY406" i="40"/>
  <c r="CY407" i="40"/>
  <c r="CY408" i="40"/>
  <c r="CY409" i="40"/>
  <c r="CY410" i="40"/>
  <c r="CY411" i="40"/>
  <c r="CY412" i="40"/>
  <c r="CY413" i="40"/>
  <c r="CY414" i="40"/>
  <c r="CY415" i="40"/>
  <c r="CY416" i="40"/>
  <c r="CY417" i="40"/>
  <c r="CY418" i="40"/>
  <c r="CY419" i="40"/>
  <c r="CY420" i="40"/>
  <c r="CY421" i="40"/>
  <c r="CY422" i="40"/>
  <c r="CY423" i="40"/>
  <c r="CY424" i="40"/>
  <c r="CY425" i="40"/>
  <c r="CY426" i="40"/>
  <c r="CY427" i="40"/>
  <c r="CY428" i="40"/>
  <c r="CY429" i="40"/>
  <c r="CY430" i="40"/>
  <c r="CY431" i="40"/>
  <c r="CY432" i="40"/>
  <c r="CY433" i="40"/>
  <c r="CY434" i="40"/>
  <c r="CY435" i="40"/>
  <c r="CY436" i="40"/>
  <c r="CY437" i="40"/>
  <c r="CY438" i="40"/>
  <c r="CY439" i="40"/>
  <c r="CY440" i="40"/>
  <c r="CY441" i="40"/>
  <c r="CY442" i="40"/>
  <c r="CY443" i="40"/>
  <c r="CY444" i="40"/>
  <c r="CY445" i="40"/>
  <c r="CY446" i="40"/>
  <c r="CY447" i="40"/>
  <c r="CY448" i="40"/>
  <c r="CY449" i="40"/>
  <c r="CY450" i="40"/>
  <c r="CY451" i="40"/>
  <c r="CY452" i="40"/>
  <c r="CY453" i="40"/>
  <c r="CY454" i="40"/>
  <c r="CY455" i="40"/>
  <c r="CY456" i="40"/>
  <c r="CY457" i="40"/>
  <c r="CY458" i="40"/>
  <c r="CY459" i="40"/>
  <c r="CY460" i="40"/>
  <c r="CY461" i="40"/>
  <c r="CY462" i="40"/>
  <c r="CY463" i="40"/>
  <c r="CY464" i="40"/>
  <c r="CY465" i="40"/>
  <c r="CY466" i="40"/>
  <c r="CY467" i="40"/>
  <c r="CY468" i="40"/>
  <c r="CY469" i="40"/>
  <c r="CY470" i="40"/>
  <c r="CY471" i="40"/>
  <c r="CY472" i="40"/>
  <c r="CY473" i="40"/>
  <c r="CY474" i="40"/>
  <c r="CY475" i="40"/>
  <c r="CY476" i="40"/>
  <c r="CY477" i="40"/>
  <c r="CY478" i="40"/>
  <c r="CY479" i="40"/>
  <c r="CY480" i="40"/>
  <c r="CY481" i="40"/>
  <c r="CY482" i="40"/>
  <c r="CY483" i="40"/>
  <c r="CY484" i="40"/>
  <c r="CY485" i="40"/>
  <c r="CY486" i="40"/>
  <c r="CY487" i="40"/>
  <c r="CY488" i="40"/>
  <c r="CY489" i="40"/>
  <c r="CY490" i="40"/>
  <c r="CY491" i="40"/>
  <c r="CY492" i="40"/>
  <c r="CY493" i="40"/>
  <c r="CY494" i="40"/>
  <c r="CY495" i="40"/>
  <c r="CY496" i="40"/>
  <c r="CY497" i="40"/>
  <c r="CY498" i="40"/>
  <c r="CY499" i="40"/>
  <c r="CY500" i="40"/>
  <c r="CY501" i="40"/>
  <c r="CY502" i="40"/>
  <c r="CY503" i="40"/>
  <c r="CY504" i="40"/>
  <c r="CY505" i="40"/>
  <c r="CY506" i="40"/>
  <c r="CY507" i="40"/>
  <c r="CY508" i="40"/>
  <c r="CY509" i="40"/>
  <c r="CY510" i="40"/>
  <c r="CY511" i="40"/>
  <c r="CY512" i="40"/>
  <c r="CY513" i="40"/>
  <c r="CY514" i="40"/>
  <c r="CY515" i="40"/>
  <c r="CY516" i="40"/>
  <c r="CY517" i="40"/>
  <c r="CY518" i="40"/>
  <c r="CY519" i="40"/>
  <c r="CY520" i="40"/>
  <c r="CY521" i="40"/>
  <c r="CY522" i="40"/>
  <c r="CY523" i="40"/>
  <c r="CY524" i="40"/>
  <c r="CY525" i="40"/>
  <c r="CY526" i="40"/>
  <c r="CY527" i="40"/>
  <c r="CY578" i="40"/>
  <c r="CY579" i="40"/>
  <c r="CY580" i="40"/>
  <c r="CY581" i="40"/>
  <c r="CY582" i="40"/>
  <c r="CY583" i="40"/>
  <c r="CY584" i="40"/>
  <c r="CY585" i="40"/>
  <c r="CY586" i="40"/>
  <c r="CY587" i="40"/>
  <c r="CY588" i="40"/>
  <c r="CY589" i="40"/>
  <c r="CY590" i="40"/>
  <c r="CY591" i="40"/>
  <c r="CY592" i="40"/>
  <c r="CY593" i="40"/>
  <c r="CY594" i="40"/>
  <c r="CY595" i="40"/>
  <c r="CY596" i="40"/>
  <c r="CY597" i="40"/>
  <c r="CY598" i="40"/>
  <c r="CY599" i="40"/>
  <c r="CY600" i="40"/>
  <c r="CY601" i="40"/>
  <c r="CY602" i="40"/>
  <c r="CY603" i="40"/>
  <c r="CY604" i="40"/>
  <c r="CY605" i="40"/>
  <c r="CY606" i="40"/>
  <c r="CY607" i="40"/>
  <c r="CY608" i="40"/>
  <c r="CY609" i="40"/>
  <c r="CY610" i="40"/>
  <c r="CY611" i="40"/>
  <c r="CY612" i="40"/>
  <c r="CY613" i="40"/>
  <c r="CY614" i="40"/>
  <c r="CY615" i="40"/>
  <c r="CY616" i="40"/>
  <c r="CY617" i="40"/>
  <c r="CY618" i="40"/>
  <c r="CY619" i="40"/>
  <c r="CY620" i="40"/>
  <c r="CY621" i="40"/>
  <c r="CY622" i="40"/>
  <c r="CY623" i="40"/>
  <c r="CY624" i="40"/>
  <c r="CY625" i="40"/>
  <c r="CY626" i="40"/>
  <c r="CY627" i="40"/>
  <c r="CY628" i="40"/>
  <c r="CY629" i="40"/>
  <c r="CY630" i="40"/>
  <c r="CY631" i="40"/>
  <c r="CY632" i="40"/>
  <c r="CY633" i="40"/>
  <c r="CY634" i="40"/>
  <c r="CY635" i="40"/>
  <c r="CY636" i="40"/>
  <c r="CY637" i="40"/>
  <c r="CY638" i="40"/>
  <c r="CY639" i="40"/>
  <c r="CY640" i="40"/>
  <c r="CY641" i="40"/>
  <c r="CY642" i="40"/>
  <c r="CY643" i="40"/>
  <c r="CY644" i="40"/>
  <c r="CY645" i="40"/>
  <c r="CY646" i="40"/>
  <c r="CY647" i="40"/>
  <c r="CY648" i="40"/>
  <c r="CY649" i="40"/>
  <c r="CY650" i="40"/>
  <c r="CY651" i="40"/>
  <c r="CY652" i="40"/>
  <c r="CY653" i="40"/>
  <c r="CY654" i="40"/>
  <c r="CY655" i="40"/>
  <c r="CY656" i="40"/>
  <c r="CY657" i="40"/>
  <c r="CY658" i="40"/>
  <c r="CY659" i="40"/>
  <c r="CY660" i="40"/>
  <c r="CY661" i="40"/>
  <c r="CY662" i="40"/>
  <c r="CY663" i="40"/>
  <c r="CY664" i="40"/>
  <c r="CY665" i="40"/>
  <c r="CY666" i="40"/>
  <c r="CY667" i="40"/>
  <c r="CY668" i="40"/>
  <c r="CY669" i="40"/>
  <c r="CY670" i="40"/>
  <c r="CY671" i="40"/>
  <c r="CY672" i="40"/>
  <c r="CY673" i="40"/>
  <c r="CY674" i="40"/>
  <c r="CY675" i="40"/>
  <c r="CY676" i="40"/>
  <c r="CY677" i="40"/>
  <c r="CY678" i="40"/>
  <c r="CY679" i="40"/>
  <c r="CY680" i="40"/>
  <c r="CY11" i="40"/>
  <c r="CL12" i="40"/>
  <c r="CL13" i="40"/>
  <c r="CL14" i="40"/>
  <c r="CL15" i="40"/>
  <c r="CL16" i="40"/>
  <c r="CL17" i="40"/>
  <c r="CL18" i="40"/>
  <c r="CL19" i="40"/>
  <c r="CL20" i="40"/>
  <c r="CL21" i="40"/>
  <c r="CL22" i="40"/>
  <c r="CL23" i="40"/>
  <c r="CL24" i="40"/>
  <c r="CL25" i="40"/>
  <c r="CL26" i="40"/>
  <c r="CL27" i="40"/>
  <c r="CL28" i="40"/>
  <c r="CL29" i="40"/>
  <c r="CL30" i="40"/>
  <c r="CL31" i="40"/>
  <c r="CL32" i="40"/>
  <c r="CL33" i="40"/>
  <c r="CL34" i="40"/>
  <c r="CL35" i="40"/>
  <c r="CL36" i="40"/>
  <c r="CL37" i="40"/>
  <c r="CL38" i="40"/>
  <c r="CL39" i="40"/>
  <c r="CL40" i="40"/>
  <c r="CL41" i="40"/>
  <c r="CL42" i="40"/>
  <c r="CL43" i="40"/>
  <c r="CL44" i="40"/>
  <c r="CL45" i="40"/>
  <c r="CL46" i="40"/>
  <c r="CL47" i="40"/>
  <c r="CL48" i="40"/>
  <c r="CL49" i="40"/>
  <c r="CL50" i="40"/>
  <c r="CL51" i="40"/>
  <c r="CL52" i="40"/>
  <c r="CL53" i="40"/>
  <c r="CL54" i="40"/>
  <c r="CL55" i="40"/>
  <c r="CL56" i="40"/>
  <c r="CL57" i="40"/>
  <c r="CL58" i="40"/>
  <c r="CL59" i="40"/>
  <c r="CL60" i="40"/>
  <c r="CL61" i="40"/>
  <c r="CL62" i="40"/>
  <c r="CL63" i="40"/>
  <c r="CL64" i="40"/>
  <c r="CL65" i="40"/>
  <c r="CL66" i="40"/>
  <c r="CL67" i="40"/>
  <c r="CL68" i="40"/>
  <c r="CL69" i="40"/>
  <c r="CL70" i="40"/>
  <c r="CL71" i="40"/>
  <c r="CL72" i="40"/>
  <c r="CL73" i="40"/>
  <c r="CL74" i="40"/>
  <c r="CL75" i="40"/>
  <c r="CL76" i="40"/>
  <c r="CL77" i="40"/>
  <c r="CL78" i="40"/>
  <c r="CL79" i="40"/>
  <c r="CL80" i="40"/>
  <c r="CL81" i="40"/>
  <c r="CL82" i="40"/>
  <c r="CL83" i="40"/>
  <c r="CL84" i="40"/>
  <c r="CL85" i="40"/>
  <c r="CL86" i="40"/>
  <c r="CL87" i="40"/>
  <c r="CL88" i="40"/>
  <c r="CL89" i="40"/>
  <c r="CL90" i="40"/>
  <c r="CL91" i="40"/>
  <c r="CL92" i="40"/>
  <c r="CL93" i="40"/>
  <c r="CL94" i="40"/>
  <c r="CL95" i="40"/>
  <c r="CL96" i="40"/>
  <c r="CL97" i="40"/>
  <c r="CL98" i="40"/>
  <c r="CL99" i="40"/>
  <c r="CL100" i="40"/>
  <c r="CL101" i="40"/>
  <c r="CL102" i="40"/>
  <c r="CL103" i="40"/>
  <c r="CL104" i="40"/>
  <c r="CL105" i="40"/>
  <c r="CL106" i="40"/>
  <c r="CL107" i="40"/>
  <c r="CL108" i="40"/>
  <c r="CL109" i="40"/>
  <c r="CL110" i="40"/>
  <c r="CL111" i="40"/>
  <c r="CL112" i="40"/>
  <c r="CL113" i="40"/>
  <c r="CL114" i="40"/>
  <c r="CL115" i="40"/>
  <c r="CL116" i="40"/>
  <c r="CL117" i="40"/>
  <c r="CL118" i="40"/>
  <c r="CL119" i="40"/>
  <c r="CL120" i="40"/>
  <c r="CL121" i="40"/>
  <c r="CL122" i="40"/>
  <c r="CL123" i="40"/>
  <c r="CL124" i="40"/>
  <c r="CL125" i="40"/>
  <c r="CL126" i="40"/>
  <c r="CL127" i="40"/>
  <c r="CL128" i="40"/>
  <c r="CL129" i="40"/>
  <c r="CL130" i="40"/>
  <c r="CL131" i="40"/>
  <c r="CL132" i="40"/>
  <c r="CL133" i="40"/>
  <c r="CL134" i="40"/>
  <c r="CL135" i="40"/>
  <c r="CL136" i="40"/>
  <c r="CL137" i="40"/>
  <c r="CL138" i="40"/>
  <c r="CL139" i="40"/>
  <c r="CL140" i="40"/>
  <c r="CL141" i="40"/>
  <c r="CL142" i="40"/>
  <c r="CL143" i="40"/>
  <c r="CL144" i="40"/>
  <c r="CL145" i="40"/>
  <c r="CL146" i="40"/>
  <c r="CL147" i="40"/>
  <c r="CL148" i="40"/>
  <c r="CL149" i="40"/>
  <c r="CL150" i="40"/>
  <c r="CL151" i="40"/>
  <c r="CL152" i="40"/>
  <c r="CL153" i="40"/>
  <c r="CL154" i="40"/>
  <c r="CL155" i="40"/>
  <c r="CL156" i="40"/>
  <c r="CL157" i="40"/>
  <c r="CL158" i="40"/>
  <c r="CL159" i="40"/>
  <c r="CL160" i="40"/>
  <c r="CL161" i="40"/>
  <c r="CL162" i="40"/>
  <c r="CL163" i="40"/>
  <c r="CL164" i="40"/>
  <c r="CL165" i="40"/>
  <c r="CL166" i="40"/>
  <c r="CL167" i="40"/>
  <c r="CL168" i="40"/>
  <c r="CL169" i="40"/>
  <c r="CL170" i="40"/>
  <c r="CL171" i="40"/>
  <c r="CL172" i="40"/>
  <c r="CL173" i="40"/>
  <c r="CL174" i="40"/>
  <c r="CL175" i="40"/>
  <c r="CL176" i="40"/>
  <c r="CL177" i="40"/>
  <c r="CL178" i="40"/>
  <c r="CL179" i="40"/>
  <c r="CL180" i="40"/>
  <c r="CL181" i="40"/>
  <c r="CL182" i="40"/>
  <c r="CL183" i="40"/>
  <c r="CL184" i="40"/>
  <c r="CL185" i="40"/>
  <c r="CL186" i="40"/>
  <c r="CL187" i="40"/>
  <c r="CL188" i="40"/>
  <c r="CL189" i="40"/>
  <c r="CL190" i="40"/>
  <c r="CL191" i="40"/>
  <c r="CL192" i="40"/>
  <c r="CL193" i="40"/>
  <c r="CL194" i="40"/>
  <c r="CL195" i="40"/>
  <c r="CL196" i="40"/>
  <c r="CL197" i="40"/>
  <c r="CL198" i="40"/>
  <c r="CL199" i="40"/>
  <c r="CL200" i="40"/>
  <c r="CL201" i="40"/>
  <c r="CL202" i="40"/>
  <c r="CL203" i="40"/>
  <c r="CL204" i="40"/>
  <c r="CL205" i="40"/>
  <c r="CL206" i="40"/>
  <c r="CL207" i="40"/>
  <c r="CL208" i="40"/>
  <c r="CL209" i="40"/>
  <c r="CL210" i="40"/>
  <c r="CL211" i="40"/>
  <c r="CL212" i="40"/>
  <c r="CL213" i="40"/>
  <c r="CL214" i="40"/>
  <c r="CL215" i="40"/>
  <c r="CL216" i="40"/>
  <c r="CL217" i="40"/>
  <c r="CL218" i="40"/>
  <c r="CL219" i="40"/>
  <c r="CL220" i="40"/>
  <c r="CL221" i="40"/>
  <c r="CL222" i="40"/>
  <c r="CL223" i="40"/>
  <c r="CL224" i="40"/>
  <c r="CL225" i="40"/>
  <c r="CL226" i="40"/>
  <c r="CL227" i="40"/>
  <c r="CL228" i="40"/>
  <c r="CL229" i="40"/>
  <c r="CL230" i="40"/>
  <c r="CL231" i="40"/>
  <c r="CL232" i="40"/>
  <c r="CL233" i="40"/>
  <c r="CL234" i="40"/>
  <c r="CL235" i="40"/>
  <c r="CL236" i="40"/>
  <c r="CL237" i="40"/>
  <c r="CL238" i="40"/>
  <c r="CL239" i="40"/>
  <c r="CL240" i="40"/>
  <c r="CL241" i="40"/>
  <c r="CL242" i="40"/>
  <c r="CL243" i="40"/>
  <c r="CL244" i="40"/>
  <c r="CL245" i="40"/>
  <c r="CL246" i="40"/>
  <c r="CL247" i="40"/>
  <c r="CL248" i="40"/>
  <c r="CL249" i="40"/>
  <c r="CL250" i="40"/>
  <c r="CL251" i="40"/>
  <c r="CL252" i="40"/>
  <c r="CL253" i="40"/>
  <c r="CL254" i="40"/>
  <c r="CL255" i="40"/>
  <c r="CL256" i="40"/>
  <c r="CL257" i="40"/>
  <c r="CL258" i="40"/>
  <c r="CL259" i="40"/>
  <c r="CL260" i="40"/>
  <c r="CL261" i="40"/>
  <c r="CL262" i="40"/>
  <c r="CL263" i="40"/>
  <c r="CL264" i="40"/>
  <c r="CL265" i="40"/>
  <c r="CL266" i="40"/>
  <c r="CL267" i="40"/>
  <c r="CL268" i="40"/>
  <c r="CL269" i="40"/>
  <c r="CL270" i="40"/>
  <c r="CL271" i="40"/>
  <c r="CL272" i="40"/>
  <c r="CL273" i="40"/>
  <c r="CL274" i="40"/>
  <c r="CL275" i="40"/>
  <c r="CL276" i="40"/>
  <c r="CL277" i="40"/>
  <c r="CL278" i="40"/>
  <c r="CL279" i="40"/>
  <c r="CL280" i="40"/>
  <c r="CL281" i="40"/>
  <c r="CL282" i="40"/>
  <c r="CL283" i="40"/>
  <c r="CL284" i="40"/>
  <c r="CL285" i="40"/>
  <c r="CL286" i="40"/>
  <c r="CL287" i="40"/>
  <c r="CL288" i="40"/>
  <c r="CL289" i="40"/>
  <c r="CL290" i="40"/>
  <c r="CL291" i="40"/>
  <c r="CL292" i="40"/>
  <c r="CL293" i="40"/>
  <c r="CL294" i="40"/>
  <c r="CL295" i="40"/>
  <c r="CL296" i="40"/>
  <c r="CL297" i="40"/>
  <c r="CL298" i="40"/>
  <c r="CL299" i="40"/>
  <c r="CL300" i="40"/>
  <c r="CL301" i="40"/>
  <c r="CL302" i="40"/>
  <c r="CL303" i="40"/>
  <c r="CL304" i="40"/>
  <c r="CL305" i="40"/>
  <c r="CL306" i="40"/>
  <c r="CL307" i="40"/>
  <c r="CL308" i="40"/>
  <c r="CL309" i="40"/>
  <c r="CL310" i="40"/>
  <c r="CL311" i="40"/>
  <c r="CL312" i="40"/>
  <c r="CL313" i="40"/>
  <c r="CL314" i="40"/>
  <c r="CL315" i="40"/>
  <c r="CL316" i="40"/>
  <c r="CL317" i="40"/>
  <c r="CL318" i="40"/>
  <c r="CL319" i="40"/>
  <c r="CL320" i="40"/>
  <c r="CL321" i="40"/>
  <c r="CL322" i="40"/>
  <c r="CL323" i="40"/>
  <c r="CL324" i="40"/>
  <c r="CL325" i="40"/>
  <c r="CL326" i="40"/>
  <c r="CL327" i="40"/>
  <c r="CL328" i="40"/>
  <c r="CL329" i="40"/>
  <c r="CL330" i="40"/>
  <c r="CL331" i="40"/>
  <c r="CL332" i="40"/>
  <c r="CL333" i="40"/>
  <c r="CL334" i="40"/>
  <c r="CL335" i="40"/>
  <c r="CL336" i="40"/>
  <c r="CL337" i="40"/>
  <c r="CL338" i="40"/>
  <c r="CL339" i="40"/>
  <c r="CL340" i="40"/>
  <c r="CL341" i="40"/>
  <c r="CL342" i="40"/>
  <c r="CL343" i="40"/>
  <c r="CL344" i="40"/>
  <c r="CL345" i="40"/>
  <c r="CL346" i="40"/>
  <c r="CL347" i="40"/>
  <c r="CL348" i="40"/>
  <c r="CL349" i="40"/>
  <c r="CL350" i="40"/>
  <c r="CL351" i="40"/>
  <c r="CL352" i="40"/>
  <c r="CL353" i="40"/>
  <c r="CL354" i="40"/>
  <c r="CL355" i="40"/>
  <c r="CL356" i="40"/>
  <c r="CL357" i="40"/>
  <c r="CL358" i="40"/>
  <c r="CL359" i="40"/>
  <c r="CL360" i="40"/>
  <c r="CL361" i="40"/>
  <c r="CL362" i="40"/>
  <c r="CL363" i="40"/>
  <c r="CL364" i="40"/>
  <c r="CL365" i="40"/>
  <c r="CL366" i="40"/>
  <c r="CL367" i="40"/>
  <c r="CL368" i="40"/>
  <c r="CL369" i="40"/>
  <c r="CL370" i="40"/>
  <c r="CL371" i="40"/>
  <c r="CL372" i="40"/>
  <c r="CL373" i="40"/>
  <c r="CL374" i="40"/>
  <c r="CL375" i="40"/>
  <c r="CL376" i="40"/>
  <c r="CL377" i="40"/>
  <c r="CL378" i="40"/>
  <c r="CL379" i="40"/>
  <c r="CL380" i="40"/>
  <c r="CL381" i="40"/>
  <c r="CL382" i="40"/>
  <c r="CL383" i="40"/>
  <c r="CL384" i="40"/>
  <c r="CL385" i="40"/>
  <c r="CL386" i="40"/>
  <c r="CL387" i="40"/>
  <c r="CL388" i="40"/>
  <c r="CL389" i="40"/>
  <c r="CL390" i="40"/>
  <c r="CL391" i="40"/>
  <c r="CL392" i="40"/>
  <c r="CL393" i="40"/>
  <c r="CL394" i="40"/>
  <c r="CL395" i="40"/>
  <c r="CL396" i="40"/>
  <c r="CL397" i="40"/>
  <c r="CL398" i="40"/>
  <c r="CL399" i="40"/>
  <c r="CL400" i="40"/>
  <c r="CL401" i="40"/>
  <c r="CL402" i="40"/>
  <c r="CL403" i="40"/>
  <c r="CL404" i="40"/>
  <c r="CL405" i="40"/>
  <c r="CL406" i="40"/>
  <c r="CL407" i="40"/>
  <c r="CL408" i="40"/>
  <c r="CL409" i="40"/>
  <c r="CL410" i="40"/>
  <c r="CL411" i="40"/>
  <c r="CL412" i="40"/>
  <c r="CL413" i="40"/>
  <c r="CL414" i="40"/>
  <c r="CL415" i="40"/>
  <c r="CL416" i="40"/>
  <c r="CL417" i="40"/>
  <c r="CL418" i="40"/>
  <c r="CL419" i="40"/>
  <c r="CL420" i="40"/>
  <c r="CL421" i="40"/>
  <c r="CL422" i="40"/>
  <c r="CL423" i="40"/>
  <c r="CL424" i="40"/>
  <c r="CL425" i="40"/>
  <c r="CL426" i="40"/>
  <c r="CL427" i="40"/>
  <c r="CL428" i="40"/>
  <c r="CL429" i="40"/>
  <c r="CL430" i="40"/>
  <c r="CL431" i="40"/>
  <c r="CL432" i="40"/>
  <c r="CL433" i="40"/>
  <c r="CL434" i="40"/>
  <c r="CL435" i="40"/>
  <c r="CL436" i="40"/>
  <c r="CL437" i="40"/>
  <c r="CL438" i="40"/>
  <c r="CL439" i="40"/>
  <c r="CL440" i="40"/>
  <c r="CL441" i="40"/>
  <c r="CL442" i="40"/>
  <c r="CL443" i="40"/>
  <c r="CL444" i="40"/>
  <c r="CL445" i="40"/>
  <c r="CL446" i="40"/>
  <c r="CL447" i="40"/>
  <c r="CL448" i="40"/>
  <c r="CL449" i="40"/>
  <c r="CL450" i="40"/>
  <c r="CL451" i="40"/>
  <c r="CL452" i="40"/>
  <c r="CL453" i="40"/>
  <c r="CL454" i="40"/>
  <c r="CL455" i="40"/>
  <c r="CL456" i="40"/>
  <c r="CL457" i="40"/>
  <c r="CL458" i="40"/>
  <c r="CL459" i="40"/>
  <c r="CL460" i="40"/>
  <c r="CL461" i="40"/>
  <c r="CL462" i="40"/>
  <c r="CL463" i="40"/>
  <c r="CL464" i="40"/>
  <c r="CL465" i="40"/>
  <c r="CL466" i="40"/>
  <c r="CL467" i="40"/>
  <c r="CL468" i="40"/>
  <c r="CL469" i="40"/>
  <c r="CL470" i="40"/>
  <c r="CL471" i="40"/>
  <c r="CL472" i="40"/>
  <c r="CL473" i="40"/>
  <c r="CL474" i="40"/>
  <c r="CL475" i="40"/>
  <c r="CL476" i="40"/>
  <c r="CL477" i="40"/>
  <c r="CL478" i="40"/>
  <c r="CL479" i="40"/>
  <c r="CL480" i="40"/>
  <c r="CL481" i="40"/>
  <c r="CL482" i="40"/>
  <c r="CL483" i="40"/>
  <c r="CL484" i="40"/>
  <c r="CL485" i="40"/>
  <c r="CL486" i="40"/>
  <c r="CL487" i="40"/>
  <c r="CL488" i="40"/>
  <c r="CL489" i="40"/>
  <c r="CL490" i="40"/>
  <c r="CL491" i="40"/>
  <c r="CL492" i="40"/>
  <c r="CL493" i="40"/>
  <c r="CL494" i="40"/>
  <c r="CL495" i="40"/>
  <c r="CL496" i="40"/>
  <c r="CL497" i="40"/>
  <c r="CL498" i="40"/>
  <c r="CL499" i="40"/>
  <c r="CL500" i="40"/>
  <c r="CL501" i="40"/>
  <c r="CL502" i="40"/>
  <c r="CL503" i="40"/>
  <c r="CL504" i="40"/>
  <c r="CL505" i="40"/>
  <c r="CL506" i="40"/>
  <c r="CL507" i="40"/>
  <c r="CL508" i="40"/>
  <c r="CL509" i="40"/>
  <c r="CL510" i="40"/>
  <c r="CL511" i="40"/>
  <c r="CL512" i="40"/>
  <c r="CL513" i="40"/>
  <c r="CL514" i="40"/>
  <c r="CL515" i="40"/>
  <c r="CL516" i="40"/>
  <c r="CL517" i="40"/>
  <c r="CL518" i="40"/>
  <c r="CL519" i="40"/>
  <c r="CL520" i="40"/>
  <c r="CL521" i="40"/>
  <c r="CL522" i="40"/>
  <c r="CL523" i="40"/>
  <c r="CL524" i="40"/>
  <c r="CL525" i="40"/>
  <c r="CL526" i="40"/>
  <c r="CL527" i="40"/>
  <c r="CL578" i="40"/>
  <c r="CL579" i="40"/>
  <c r="CL580" i="40"/>
  <c r="CL581" i="40"/>
  <c r="CL582" i="40"/>
  <c r="CL583" i="40"/>
  <c r="CL584" i="40"/>
  <c r="CL585" i="40"/>
  <c r="CL586" i="40"/>
  <c r="CL587" i="40"/>
  <c r="CL588" i="40"/>
  <c r="CL589" i="40"/>
  <c r="CL590" i="40"/>
  <c r="CL591" i="40"/>
  <c r="CL592" i="40"/>
  <c r="CL593" i="40"/>
  <c r="CL594" i="40"/>
  <c r="CL595" i="40"/>
  <c r="CL596" i="40"/>
  <c r="CL597" i="40"/>
  <c r="CL598" i="40"/>
  <c r="CL599" i="40"/>
  <c r="CL600" i="40"/>
  <c r="CL601" i="40"/>
  <c r="CL602" i="40"/>
  <c r="CL603" i="40"/>
  <c r="CL604" i="40"/>
  <c r="CL605" i="40"/>
  <c r="CL606" i="40"/>
  <c r="CL607" i="40"/>
  <c r="CL608" i="40"/>
  <c r="CL609" i="40"/>
  <c r="CL610" i="40"/>
  <c r="CL611" i="40"/>
  <c r="CL612" i="40"/>
  <c r="CL613" i="40"/>
  <c r="CL614" i="40"/>
  <c r="CL615" i="40"/>
  <c r="CL616" i="40"/>
  <c r="CL617" i="40"/>
  <c r="CL618" i="40"/>
  <c r="CL619" i="40"/>
  <c r="CL620" i="40"/>
  <c r="CL621" i="40"/>
  <c r="CL622" i="40"/>
  <c r="CL623" i="40"/>
  <c r="CL624" i="40"/>
  <c r="CL625" i="40"/>
  <c r="CL626" i="40"/>
  <c r="CL627" i="40"/>
  <c r="CL628" i="40"/>
  <c r="CL629" i="40"/>
  <c r="CL630" i="40"/>
  <c r="CL631" i="40"/>
  <c r="CL632" i="40"/>
  <c r="CL633" i="40"/>
  <c r="CL634" i="40"/>
  <c r="CL635" i="40"/>
  <c r="CL636" i="40"/>
  <c r="CL637" i="40"/>
  <c r="CL638" i="40"/>
  <c r="CL639" i="40"/>
  <c r="CL640" i="40"/>
  <c r="CL641" i="40"/>
  <c r="CL642" i="40"/>
  <c r="CL643" i="40"/>
  <c r="CL644" i="40"/>
  <c r="CL645" i="40"/>
  <c r="CL646" i="40"/>
  <c r="CL647" i="40"/>
  <c r="CL648" i="40"/>
  <c r="CL649" i="40"/>
  <c r="CL650" i="40"/>
  <c r="CL651" i="40"/>
  <c r="CL652" i="40"/>
  <c r="CL653" i="40"/>
  <c r="CL654" i="40"/>
  <c r="CL655" i="40"/>
  <c r="CL656" i="40"/>
  <c r="CL657" i="40"/>
  <c r="CL658" i="40"/>
  <c r="CL659" i="40"/>
  <c r="CL660" i="40"/>
  <c r="CL661" i="40"/>
  <c r="CL662" i="40"/>
  <c r="CL663" i="40"/>
  <c r="CL664" i="40"/>
  <c r="CL665" i="40"/>
  <c r="CL666" i="40"/>
  <c r="CL667" i="40"/>
  <c r="CL668" i="40"/>
  <c r="CL669" i="40"/>
  <c r="CL670" i="40"/>
  <c r="CL671" i="40"/>
  <c r="CL672" i="40"/>
  <c r="CL673" i="40"/>
  <c r="CL674" i="40"/>
  <c r="CL675" i="40"/>
  <c r="CL676" i="40"/>
  <c r="CL677" i="40"/>
  <c r="CL678" i="40"/>
  <c r="CL679" i="40"/>
  <c r="CL680" i="40"/>
  <c r="CL11" i="40"/>
  <c r="BY12" i="40"/>
  <c r="BY13" i="40"/>
  <c r="BY14" i="40"/>
  <c r="BY15" i="40"/>
  <c r="BY16" i="40"/>
  <c r="BY17" i="40"/>
  <c r="BY18" i="40"/>
  <c r="BY19" i="40"/>
  <c r="BY20" i="40"/>
  <c r="BY21" i="40"/>
  <c r="BY22" i="40"/>
  <c r="BY23" i="40"/>
  <c r="BY24" i="40"/>
  <c r="BY25" i="40"/>
  <c r="BY26" i="40"/>
  <c r="BY27" i="40"/>
  <c r="BY28" i="40"/>
  <c r="BY29" i="40"/>
  <c r="BY30" i="40"/>
  <c r="BY31" i="40"/>
  <c r="BY32" i="40"/>
  <c r="BY33" i="40"/>
  <c r="BY34" i="40"/>
  <c r="BY35" i="40"/>
  <c r="BY36" i="40"/>
  <c r="BY37" i="40"/>
  <c r="BY38" i="40"/>
  <c r="BY39" i="40"/>
  <c r="BY40" i="40"/>
  <c r="BY41" i="40"/>
  <c r="BY42" i="40"/>
  <c r="BY43" i="40"/>
  <c r="BY44" i="40"/>
  <c r="BY45" i="40"/>
  <c r="BY46" i="40"/>
  <c r="BY47" i="40"/>
  <c r="BY48" i="40"/>
  <c r="BY49" i="40"/>
  <c r="BY50" i="40"/>
  <c r="BY51" i="40"/>
  <c r="BY52" i="40"/>
  <c r="BY53" i="40"/>
  <c r="BY54" i="40"/>
  <c r="BY55" i="40"/>
  <c r="BY56" i="40"/>
  <c r="BY57" i="40"/>
  <c r="BY58" i="40"/>
  <c r="BY59" i="40"/>
  <c r="BY60" i="40"/>
  <c r="BY61" i="40"/>
  <c r="BY62" i="40"/>
  <c r="BY63" i="40"/>
  <c r="BY64" i="40"/>
  <c r="BY65" i="40"/>
  <c r="BY66" i="40"/>
  <c r="BY67" i="40"/>
  <c r="BY68" i="40"/>
  <c r="BY69" i="40"/>
  <c r="BY70" i="40"/>
  <c r="BY71" i="40"/>
  <c r="BY72" i="40"/>
  <c r="BY73" i="40"/>
  <c r="BY74" i="40"/>
  <c r="BY75" i="40"/>
  <c r="BY76" i="40"/>
  <c r="BY77" i="40"/>
  <c r="BY78" i="40"/>
  <c r="BY79" i="40"/>
  <c r="BY80" i="40"/>
  <c r="BY81" i="40"/>
  <c r="BY82" i="40"/>
  <c r="BY83" i="40"/>
  <c r="BY84" i="40"/>
  <c r="BY85" i="40"/>
  <c r="BY86" i="40"/>
  <c r="BY87" i="40"/>
  <c r="BY88" i="40"/>
  <c r="BY89" i="40"/>
  <c r="BY90" i="40"/>
  <c r="BY91" i="40"/>
  <c r="BY92" i="40"/>
  <c r="BY93" i="40"/>
  <c r="BY94" i="40"/>
  <c r="BY95" i="40"/>
  <c r="BY96" i="40"/>
  <c r="BY97" i="40"/>
  <c r="BY98" i="40"/>
  <c r="BY99" i="40"/>
  <c r="BY100" i="40"/>
  <c r="BY101" i="40"/>
  <c r="BY102" i="40"/>
  <c r="BY103" i="40"/>
  <c r="BY104" i="40"/>
  <c r="BY105" i="40"/>
  <c r="BY106" i="40"/>
  <c r="BY107" i="40"/>
  <c r="BY108" i="40"/>
  <c r="BY109" i="40"/>
  <c r="BY110" i="40"/>
  <c r="BY111" i="40"/>
  <c r="BY112" i="40"/>
  <c r="BY113" i="40"/>
  <c r="BY114" i="40"/>
  <c r="BY115" i="40"/>
  <c r="BY116" i="40"/>
  <c r="BY117" i="40"/>
  <c r="BY118" i="40"/>
  <c r="BY119" i="40"/>
  <c r="BY120" i="40"/>
  <c r="BY121" i="40"/>
  <c r="BY122" i="40"/>
  <c r="BY123" i="40"/>
  <c r="BY124" i="40"/>
  <c r="BY125" i="40"/>
  <c r="BY126" i="40"/>
  <c r="BY127" i="40"/>
  <c r="BY128" i="40"/>
  <c r="BY129" i="40"/>
  <c r="BY130" i="40"/>
  <c r="BY131" i="40"/>
  <c r="BY132" i="40"/>
  <c r="BY133" i="40"/>
  <c r="BY134" i="40"/>
  <c r="BY135" i="40"/>
  <c r="BY136" i="40"/>
  <c r="BY137" i="40"/>
  <c r="BY138" i="40"/>
  <c r="BY139" i="40"/>
  <c r="BY140" i="40"/>
  <c r="BY141" i="40"/>
  <c r="BY142" i="40"/>
  <c r="BY143" i="40"/>
  <c r="BY144" i="40"/>
  <c r="BY145" i="40"/>
  <c r="BY146" i="40"/>
  <c r="BY147" i="40"/>
  <c r="BY148" i="40"/>
  <c r="BY149" i="40"/>
  <c r="BY150" i="40"/>
  <c r="BY151" i="40"/>
  <c r="BY152" i="40"/>
  <c r="BY153" i="40"/>
  <c r="BY154" i="40"/>
  <c r="BY155" i="40"/>
  <c r="BY156" i="40"/>
  <c r="BY157" i="40"/>
  <c r="BY158" i="40"/>
  <c r="BY159" i="40"/>
  <c r="BY160" i="40"/>
  <c r="BY161" i="40"/>
  <c r="BY162" i="40"/>
  <c r="BY163" i="40"/>
  <c r="BY164" i="40"/>
  <c r="BY165" i="40"/>
  <c r="BY166" i="40"/>
  <c r="BY167" i="40"/>
  <c r="BY168" i="40"/>
  <c r="BY169" i="40"/>
  <c r="BY170" i="40"/>
  <c r="BY171" i="40"/>
  <c r="BY172" i="40"/>
  <c r="BY173" i="40"/>
  <c r="BY174" i="40"/>
  <c r="BY175" i="40"/>
  <c r="BY176" i="40"/>
  <c r="BY177" i="40"/>
  <c r="BY178" i="40"/>
  <c r="BY179" i="40"/>
  <c r="BY180" i="40"/>
  <c r="BY181" i="40"/>
  <c r="BY182" i="40"/>
  <c r="BY183" i="40"/>
  <c r="BY184" i="40"/>
  <c r="BY185" i="40"/>
  <c r="BY186" i="40"/>
  <c r="BY187" i="40"/>
  <c r="BY188" i="40"/>
  <c r="BY189" i="40"/>
  <c r="BY190" i="40"/>
  <c r="BY191" i="40"/>
  <c r="BY192" i="40"/>
  <c r="BY193" i="40"/>
  <c r="BY194" i="40"/>
  <c r="BY195" i="40"/>
  <c r="BY196" i="40"/>
  <c r="BY197" i="40"/>
  <c r="BY198" i="40"/>
  <c r="BY199" i="40"/>
  <c r="BY200" i="40"/>
  <c r="BY201" i="40"/>
  <c r="BY202" i="40"/>
  <c r="BY203" i="40"/>
  <c r="BY204" i="40"/>
  <c r="BY205" i="40"/>
  <c r="BY206" i="40"/>
  <c r="BY207" i="40"/>
  <c r="BY208" i="40"/>
  <c r="BY209" i="40"/>
  <c r="BY210" i="40"/>
  <c r="BY211" i="40"/>
  <c r="BY212" i="40"/>
  <c r="BY213" i="40"/>
  <c r="BY214" i="40"/>
  <c r="BY215" i="40"/>
  <c r="BY216" i="40"/>
  <c r="BY217" i="40"/>
  <c r="BY218" i="40"/>
  <c r="BY219" i="40"/>
  <c r="BY220" i="40"/>
  <c r="BY221" i="40"/>
  <c r="BY222" i="40"/>
  <c r="BY223" i="40"/>
  <c r="BY224" i="40"/>
  <c r="BY225" i="40"/>
  <c r="BY226" i="40"/>
  <c r="BY227" i="40"/>
  <c r="BY228" i="40"/>
  <c r="BY229" i="40"/>
  <c r="BY230" i="40"/>
  <c r="BY231" i="40"/>
  <c r="BY232" i="40"/>
  <c r="BY233" i="40"/>
  <c r="BY234" i="40"/>
  <c r="BY235" i="40"/>
  <c r="BY236" i="40"/>
  <c r="BY237" i="40"/>
  <c r="BY238" i="40"/>
  <c r="BY239" i="40"/>
  <c r="BY240" i="40"/>
  <c r="BY241" i="40"/>
  <c r="BY242" i="40"/>
  <c r="BY243" i="40"/>
  <c r="BY244" i="40"/>
  <c r="BY245" i="40"/>
  <c r="BY246" i="40"/>
  <c r="BY247" i="40"/>
  <c r="BY248" i="40"/>
  <c r="BY249" i="40"/>
  <c r="BY250" i="40"/>
  <c r="BY251" i="40"/>
  <c r="BY252" i="40"/>
  <c r="BY253" i="40"/>
  <c r="BY254" i="40"/>
  <c r="BY255" i="40"/>
  <c r="BY256" i="40"/>
  <c r="BY257" i="40"/>
  <c r="BY258" i="40"/>
  <c r="BY259" i="40"/>
  <c r="BY260" i="40"/>
  <c r="BY261" i="40"/>
  <c r="BY262" i="40"/>
  <c r="BY263" i="40"/>
  <c r="BY264" i="40"/>
  <c r="BY265" i="40"/>
  <c r="BY266" i="40"/>
  <c r="BY267" i="40"/>
  <c r="BY268" i="40"/>
  <c r="BY269" i="40"/>
  <c r="BY270" i="40"/>
  <c r="BY271" i="40"/>
  <c r="BY272" i="40"/>
  <c r="BY273" i="40"/>
  <c r="BY274" i="40"/>
  <c r="BY275" i="40"/>
  <c r="BY276" i="40"/>
  <c r="BY277" i="40"/>
  <c r="BY278" i="40"/>
  <c r="BY279" i="40"/>
  <c r="BY280" i="40"/>
  <c r="BY281" i="40"/>
  <c r="BY282" i="40"/>
  <c r="BY283" i="40"/>
  <c r="BY284" i="40"/>
  <c r="BY285" i="40"/>
  <c r="BY286" i="40"/>
  <c r="BY287" i="40"/>
  <c r="BY288" i="40"/>
  <c r="BY289" i="40"/>
  <c r="BY290" i="40"/>
  <c r="BY291" i="40"/>
  <c r="BY292" i="40"/>
  <c r="BY293" i="40"/>
  <c r="BY294" i="40"/>
  <c r="BY295" i="40"/>
  <c r="BY296" i="40"/>
  <c r="BY297" i="40"/>
  <c r="BY298" i="40"/>
  <c r="BY299" i="40"/>
  <c r="BY300" i="40"/>
  <c r="BY301" i="40"/>
  <c r="BY302" i="40"/>
  <c r="BY303" i="40"/>
  <c r="BY304" i="40"/>
  <c r="BY305" i="40"/>
  <c r="BY306" i="40"/>
  <c r="BY307" i="40"/>
  <c r="BY308" i="40"/>
  <c r="BY309" i="40"/>
  <c r="BY310" i="40"/>
  <c r="BY311" i="40"/>
  <c r="BY312" i="40"/>
  <c r="BY313" i="40"/>
  <c r="BY314" i="40"/>
  <c r="BY315" i="40"/>
  <c r="BY316" i="40"/>
  <c r="BY317" i="40"/>
  <c r="BY318" i="40"/>
  <c r="BY319" i="40"/>
  <c r="BY320" i="40"/>
  <c r="BY321" i="40"/>
  <c r="BY322" i="40"/>
  <c r="BY323" i="40"/>
  <c r="BY324" i="40"/>
  <c r="BY325" i="40"/>
  <c r="BY326" i="40"/>
  <c r="BY327" i="40"/>
  <c r="BY328" i="40"/>
  <c r="BY329" i="40"/>
  <c r="BY330" i="40"/>
  <c r="BY331" i="40"/>
  <c r="BY332" i="40"/>
  <c r="BY333" i="40"/>
  <c r="BY334" i="40"/>
  <c r="BY335" i="40"/>
  <c r="BY336" i="40"/>
  <c r="BY337" i="40"/>
  <c r="BY338" i="40"/>
  <c r="BY339" i="40"/>
  <c r="BY340" i="40"/>
  <c r="BY341" i="40"/>
  <c r="BY342" i="40"/>
  <c r="BY343" i="40"/>
  <c r="BY344" i="40"/>
  <c r="BY345" i="40"/>
  <c r="BY346" i="40"/>
  <c r="BY347" i="40"/>
  <c r="BY348" i="40"/>
  <c r="BY349" i="40"/>
  <c r="BY350" i="40"/>
  <c r="BY351" i="40"/>
  <c r="BY352" i="40"/>
  <c r="BY353" i="40"/>
  <c r="BY354" i="40"/>
  <c r="BY355" i="40"/>
  <c r="BY356" i="40"/>
  <c r="BY357" i="40"/>
  <c r="BY358" i="40"/>
  <c r="BY359" i="40"/>
  <c r="BY360" i="40"/>
  <c r="BY361" i="40"/>
  <c r="BY362" i="40"/>
  <c r="BY363" i="40"/>
  <c r="BY364" i="40"/>
  <c r="BY365" i="40"/>
  <c r="BY366" i="40"/>
  <c r="BY367" i="40"/>
  <c r="BY368" i="40"/>
  <c r="BY369" i="40"/>
  <c r="BY370" i="40"/>
  <c r="BY371" i="40"/>
  <c r="BY372" i="40"/>
  <c r="BY373" i="40"/>
  <c r="BY374" i="40"/>
  <c r="BY375" i="40"/>
  <c r="BY376" i="40"/>
  <c r="BY377" i="40"/>
  <c r="BY378" i="40"/>
  <c r="BY379" i="40"/>
  <c r="BY380" i="40"/>
  <c r="BY381" i="40"/>
  <c r="BY382" i="40"/>
  <c r="BY383" i="40"/>
  <c r="BY384" i="40"/>
  <c r="BY385" i="40"/>
  <c r="BY386" i="40"/>
  <c r="BY387" i="40"/>
  <c r="BY388" i="40"/>
  <c r="BY389" i="40"/>
  <c r="BY390" i="40"/>
  <c r="BY391" i="40"/>
  <c r="BY392" i="40"/>
  <c r="BY393" i="40"/>
  <c r="BY394" i="40"/>
  <c r="BY395" i="40"/>
  <c r="BY396" i="40"/>
  <c r="BY397" i="40"/>
  <c r="BY398" i="40"/>
  <c r="BY399" i="40"/>
  <c r="BY400" i="40"/>
  <c r="BY401" i="40"/>
  <c r="BY402" i="40"/>
  <c r="BY403" i="40"/>
  <c r="BY404" i="40"/>
  <c r="BY405" i="40"/>
  <c r="BY406" i="40"/>
  <c r="BY407" i="40"/>
  <c r="BY408" i="40"/>
  <c r="BY409" i="40"/>
  <c r="BY410" i="40"/>
  <c r="BY411" i="40"/>
  <c r="BY412" i="40"/>
  <c r="BY413" i="40"/>
  <c r="BY414" i="40"/>
  <c r="BY415" i="40"/>
  <c r="BY416" i="40"/>
  <c r="BY417" i="40"/>
  <c r="BY418" i="40"/>
  <c r="BY419" i="40"/>
  <c r="BY420" i="40"/>
  <c r="BY421" i="40"/>
  <c r="BY422" i="40"/>
  <c r="BY423" i="40"/>
  <c r="BY424" i="40"/>
  <c r="BY425" i="40"/>
  <c r="BY426" i="40"/>
  <c r="BY427" i="40"/>
  <c r="BY428" i="40"/>
  <c r="BY429" i="40"/>
  <c r="BY430" i="40"/>
  <c r="BY431" i="40"/>
  <c r="BY432" i="40"/>
  <c r="BY433" i="40"/>
  <c r="BY434" i="40"/>
  <c r="BY435" i="40"/>
  <c r="BY436" i="40"/>
  <c r="BY437" i="40"/>
  <c r="BY438" i="40"/>
  <c r="BY439" i="40"/>
  <c r="BY440" i="40"/>
  <c r="BY441" i="40"/>
  <c r="BY442" i="40"/>
  <c r="BY443" i="40"/>
  <c r="BY444" i="40"/>
  <c r="BY445" i="40"/>
  <c r="BY446" i="40"/>
  <c r="BY447" i="40"/>
  <c r="BY448" i="40"/>
  <c r="BY449" i="40"/>
  <c r="BY450" i="40"/>
  <c r="BY451" i="40"/>
  <c r="BY452" i="40"/>
  <c r="BY453" i="40"/>
  <c r="BY454" i="40"/>
  <c r="BY455" i="40"/>
  <c r="BY456" i="40"/>
  <c r="BY457" i="40"/>
  <c r="BY458" i="40"/>
  <c r="BY459" i="40"/>
  <c r="BY460" i="40"/>
  <c r="BY461" i="40"/>
  <c r="BY462" i="40"/>
  <c r="BY463" i="40"/>
  <c r="BY464" i="40"/>
  <c r="BY465" i="40"/>
  <c r="BY466" i="40"/>
  <c r="BY467" i="40"/>
  <c r="BY468" i="40"/>
  <c r="BY469" i="40"/>
  <c r="BY470" i="40"/>
  <c r="BY471" i="40"/>
  <c r="BY472" i="40"/>
  <c r="BY473" i="40"/>
  <c r="BY474" i="40"/>
  <c r="BY475" i="40"/>
  <c r="BY476" i="40"/>
  <c r="BY477" i="40"/>
  <c r="BY478" i="40"/>
  <c r="BY479" i="40"/>
  <c r="BY480" i="40"/>
  <c r="BY481" i="40"/>
  <c r="BY482" i="40"/>
  <c r="BY483" i="40"/>
  <c r="BY484" i="40"/>
  <c r="BY485" i="40"/>
  <c r="BY486" i="40"/>
  <c r="BY487" i="40"/>
  <c r="BY488" i="40"/>
  <c r="BY489" i="40"/>
  <c r="BY490" i="40"/>
  <c r="BY491" i="40"/>
  <c r="BY492" i="40"/>
  <c r="BY493" i="40"/>
  <c r="BY494" i="40"/>
  <c r="BY495" i="40"/>
  <c r="BY496" i="40"/>
  <c r="BY497" i="40"/>
  <c r="BY498" i="40"/>
  <c r="BY499" i="40"/>
  <c r="BY500" i="40"/>
  <c r="BY501" i="40"/>
  <c r="BY502" i="40"/>
  <c r="BY503" i="40"/>
  <c r="BY504" i="40"/>
  <c r="BY505" i="40"/>
  <c r="BY506" i="40"/>
  <c r="BY507" i="40"/>
  <c r="BY508" i="40"/>
  <c r="BY509" i="40"/>
  <c r="BY510" i="40"/>
  <c r="BY511" i="40"/>
  <c r="BY512" i="40"/>
  <c r="BY513" i="40"/>
  <c r="BY514" i="40"/>
  <c r="BY515" i="40"/>
  <c r="BY516" i="40"/>
  <c r="BY517" i="40"/>
  <c r="BY518" i="40"/>
  <c r="BY519" i="40"/>
  <c r="BY520" i="40"/>
  <c r="BY521" i="40"/>
  <c r="BY522" i="40"/>
  <c r="BY523" i="40"/>
  <c r="BY524" i="40"/>
  <c r="BY525" i="40"/>
  <c r="BY526" i="40"/>
  <c r="BY527" i="40"/>
  <c r="BY578" i="40"/>
  <c r="BY579" i="40"/>
  <c r="BY580" i="40"/>
  <c r="BY581" i="40"/>
  <c r="BY582" i="40"/>
  <c r="BY583" i="40"/>
  <c r="BY584" i="40"/>
  <c r="BY585" i="40"/>
  <c r="BY586" i="40"/>
  <c r="BY587" i="40"/>
  <c r="BY588" i="40"/>
  <c r="BY589" i="40"/>
  <c r="BY590" i="40"/>
  <c r="BY591" i="40"/>
  <c r="BY592" i="40"/>
  <c r="BY593" i="40"/>
  <c r="BY594" i="40"/>
  <c r="BY595" i="40"/>
  <c r="BY596" i="40"/>
  <c r="BY597" i="40"/>
  <c r="BY598" i="40"/>
  <c r="BY599" i="40"/>
  <c r="BY600" i="40"/>
  <c r="BY601" i="40"/>
  <c r="BY602" i="40"/>
  <c r="BY603" i="40"/>
  <c r="BY604" i="40"/>
  <c r="BY605" i="40"/>
  <c r="BY606" i="40"/>
  <c r="BY607" i="40"/>
  <c r="BY608" i="40"/>
  <c r="BY609" i="40"/>
  <c r="BY610" i="40"/>
  <c r="BY611" i="40"/>
  <c r="BY612" i="40"/>
  <c r="BY613" i="40"/>
  <c r="BY614" i="40"/>
  <c r="BY615" i="40"/>
  <c r="BY616" i="40"/>
  <c r="BY617" i="40"/>
  <c r="BY618" i="40"/>
  <c r="BY619" i="40"/>
  <c r="BY620" i="40"/>
  <c r="BY621" i="40"/>
  <c r="BY622" i="40"/>
  <c r="BY623" i="40"/>
  <c r="BY624" i="40"/>
  <c r="BY625" i="40"/>
  <c r="BY626" i="40"/>
  <c r="BY627" i="40"/>
  <c r="BY628" i="40"/>
  <c r="BY629" i="40"/>
  <c r="BY630" i="40"/>
  <c r="BY631" i="40"/>
  <c r="BY632" i="40"/>
  <c r="BY633" i="40"/>
  <c r="BY634" i="40"/>
  <c r="BY635" i="40"/>
  <c r="BY636" i="40"/>
  <c r="BY637" i="40"/>
  <c r="BY638" i="40"/>
  <c r="BY639" i="40"/>
  <c r="BY640" i="40"/>
  <c r="BY641" i="40"/>
  <c r="BY642" i="40"/>
  <c r="BY643" i="40"/>
  <c r="BY644" i="40"/>
  <c r="BY645" i="40"/>
  <c r="BY646" i="40"/>
  <c r="BY647" i="40"/>
  <c r="BY648" i="40"/>
  <c r="BY649" i="40"/>
  <c r="BY650" i="40"/>
  <c r="BY651" i="40"/>
  <c r="BY652" i="40"/>
  <c r="BY653" i="40"/>
  <c r="BY654" i="40"/>
  <c r="BY655" i="40"/>
  <c r="BY656" i="40"/>
  <c r="BY657" i="40"/>
  <c r="BY658" i="40"/>
  <c r="BY659" i="40"/>
  <c r="BY660" i="40"/>
  <c r="BY661" i="40"/>
  <c r="BY662" i="40"/>
  <c r="BY663" i="40"/>
  <c r="BY664" i="40"/>
  <c r="BY665" i="40"/>
  <c r="BY666" i="40"/>
  <c r="BY667" i="40"/>
  <c r="BY668" i="40"/>
  <c r="BY669" i="40"/>
  <c r="BY670" i="40"/>
  <c r="BY671" i="40"/>
  <c r="BY672" i="40"/>
  <c r="BY673" i="40"/>
  <c r="BY674" i="40"/>
  <c r="BY675" i="40"/>
  <c r="BY676" i="40"/>
  <c r="BY677" i="40"/>
  <c r="BY678" i="40"/>
  <c r="BY679" i="40"/>
  <c r="BY680" i="40"/>
  <c r="BY11" i="40"/>
  <c r="BP12" i="40"/>
  <c r="BP13" i="40"/>
  <c r="BP14" i="40"/>
  <c r="BP15" i="40"/>
  <c r="BP16" i="40"/>
  <c r="BP17" i="40"/>
  <c r="BP18" i="40"/>
  <c r="BP19" i="40"/>
  <c r="BP20" i="40"/>
  <c r="BQ20" i="40"/>
  <c r="BR20" i="40"/>
  <c r="BS20" i="40"/>
  <c r="BT20" i="40"/>
  <c r="BU20" i="40"/>
  <c r="BV20" i="40"/>
  <c r="BP25" i="40"/>
  <c r="BP26" i="40"/>
  <c r="BP27" i="40"/>
  <c r="BP31" i="40"/>
  <c r="BP32" i="40"/>
  <c r="BP33" i="40"/>
  <c r="BP34" i="40"/>
  <c r="BQ34" i="40"/>
  <c r="BR34" i="40"/>
  <c r="BS34" i="40"/>
  <c r="BT34" i="40"/>
  <c r="BU34" i="40"/>
  <c r="BV34" i="40"/>
  <c r="BP35" i="40"/>
  <c r="BP36" i="40"/>
  <c r="BP40" i="40"/>
  <c r="BP41" i="40"/>
  <c r="BP42" i="40"/>
  <c r="BP43" i="40"/>
  <c r="BP44" i="40"/>
  <c r="BP70" i="40"/>
  <c r="BQ70" i="40"/>
  <c r="BR70" i="40"/>
  <c r="BS70" i="40"/>
  <c r="BT70" i="40"/>
  <c r="BU70" i="40"/>
  <c r="BV70" i="40"/>
  <c r="BP71" i="40"/>
  <c r="BQ71" i="40"/>
  <c r="BR71" i="40"/>
  <c r="BS71" i="40"/>
  <c r="BT71" i="40"/>
  <c r="BU71" i="40"/>
  <c r="BV71" i="40"/>
  <c r="BP72" i="40"/>
  <c r="BQ72" i="40"/>
  <c r="BR72" i="40"/>
  <c r="BS72" i="40"/>
  <c r="BT72" i="40"/>
  <c r="BU72" i="40"/>
  <c r="BV72" i="40"/>
  <c r="BP135" i="40"/>
  <c r="BQ135" i="40"/>
  <c r="BR135" i="40"/>
  <c r="BS135" i="40"/>
  <c r="BT135" i="40"/>
  <c r="BU135" i="40"/>
  <c r="BV135" i="40"/>
  <c r="BP136" i="40"/>
  <c r="BQ136" i="40"/>
  <c r="BR136" i="40"/>
  <c r="BS136" i="40"/>
  <c r="BT136" i="40"/>
  <c r="BU136" i="40"/>
  <c r="BV136" i="40"/>
  <c r="BP137" i="40"/>
  <c r="BQ137" i="40"/>
  <c r="BR137" i="40"/>
  <c r="BS137" i="40"/>
  <c r="BT137" i="40"/>
  <c r="BU137" i="40"/>
  <c r="BV137" i="40"/>
  <c r="BP138" i="40"/>
  <c r="BQ138" i="40"/>
  <c r="BR138" i="40"/>
  <c r="BS138" i="40"/>
  <c r="BT138" i="40"/>
  <c r="BU138" i="40"/>
  <c r="BV138" i="40"/>
  <c r="BP139" i="40"/>
  <c r="BQ139" i="40"/>
  <c r="BR139" i="40"/>
  <c r="BS139" i="40"/>
  <c r="BT139" i="40"/>
  <c r="BU139" i="40"/>
  <c r="BV139" i="40"/>
  <c r="BP140" i="40"/>
  <c r="BQ140" i="40"/>
  <c r="BR140" i="40"/>
  <c r="BS140" i="40"/>
  <c r="BT140" i="40"/>
  <c r="BU140" i="40"/>
  <c r="BV140" i="40"/>
  <c r="BP141" i="40"/>
  <c r="BQ141" i="40"/>
  <c r="BR141" i="40"/>
  <c r="BS141" i="40"/>
  <c r="BT141" i="40"/>
  <c r="BU141" i="40"/>
  <c r="BV141" i="40"/>
  <c r="BP142" i="40"/>
  <c r="BQ142" i="40"/>
  <c r="BR142" i="40"/>
  <c r="BS142" i="40"/>
  <c r="BT142" i="40"/>
  <c r="BU142" i="40"/>
  <c r="BV142" i="40"/>
  <c r="BP143" i="40"/>
  <c r="BQ143" i="40"/>
  <c r="BR143" i="40"/>
  <c r="BS143" i="40"/>
  <c r="BT143" i="40"/>
  <c r="BU143" i="40"/>
  <c r="BV143" i="40"/>
  <c r="BP144" i="40"/>
  <c r="BQ144" i="40"/>
  <c r="BR144" i="40"/>
  <c r="BS144" i="40"/>
  <c r="BT144" i="40"/>
  <c r="BU144" i="40"/>
  <c r="BV144" i="40"/>
  <c r="BP145" i="40"/>
  <c r="BQ145" i="40"/>
  <c r="BR145" i="40"/>
  <c r="BS145" i="40"/>
  <c r="BT145" i="40"/>
  <c r="BU145" i="40"/>
  <c r="BV145" i="40"/>
  <c r="BP146" i="40"/>
  <c r="BQ146" i="40"/>
  <c r="BR146" i="40"/>
  <c r="BS146" i="40"/>
  <c r="BT146" i="40"/>
  <c r="BU146" i="40"/>
  <c r="BV146" i="40"/>
  <c r="BP147" i="40"/>
  <c r="BQ147" i="40"/>
  <c r="BR147" i="40"/>
  <c r="BS147" i="40"/>
  <c r="BT147" i="40"/>
  <c r="BU147" i="40"/>
  <c r="BV147" i="40"/>
  <c r="BP148" i="40"/>
  <c r="BQ148" i="40"/>
  <c r="BR148" i="40"/>
  <c r="BS148" i="40"/>
  <c r="BT148" i="40"/>
  <c r="BU148" i="40"/>
  <c r="BV148" i="40"/>
  <c r="BP149" i="40"/>
  <c r="BQ149" i="40"/>
  <c r="BR149" i="40"/>
  <c r="BS149" i="40"/>
  <c r="BT149" i="40"/>
  <c r="BU149" i="40"/>
  <c r="BV149" i="40"/>
  <c r="BP150" i="40"/>
  <c r="BQ150" i="40"/>
  <c r="BR150" i="40"/>
  <c r="BS150" i="40"/>
  <c r="BT150" i="40"/>
  <c r="BU150" i="40"/>
  <c r="BV150" i="40"/>
  <c r="BP151" i="40"/>
  <c r="BQ151" i="40"/>
  <c r="BR151" i="40"/>
  <c r="BS151" i="40"/>
  <c r="BT151" i="40"/>
  <c r="BU151" i="40"/>
  <c r="BV151" i="40"/>
  <c r="BP152" i="40"/>
  <c r="BQ152" i="40"/>
  <c r="BR152" i="40"/>
  <c r="BS152" i="40"/>
  <c r="BT152" i="40"/>
  <c r="BU152" i="40"/>
  <c r="BV152" i="40"/>
  <c r="BP153" i="40"/>
  <c r="BQ153" i="40"/>
  <c r="BR153" i="40"/>
  <c r="BS153" i="40"/>
  <c r="BT153" i="40"/>
  <c r="BU153" i="40"/>
  <c r="BV153" i="40"/>
  <c r="BP154" i="40"/>
  <c r="BQ154" i="40"/>
  <c r="BR154" i="40"/>
  <c r="BS154" i="40"/>
  <c r="BT154" i="40"/>
  <c r="BU154" i="40"/>
  <c r="BV154" i="40"/>
  <c r="BP155" i="40"/>
  <c r="BQ155" i="40"/>
  <c r="BR155" i="40"/>
  <c r="BS155" i="40"/>
  <c r="BT155" i="40"/>
  <c r="BU155" i="40"/>
  <c r="BV155" i="40"/>
  <c r="BP156" i="40"/>
  <c r="BQ156" i="40"/>
  <c r="BR156" i="40"/>
  <c r="BS156" i="40"/>
  <c r="BT156" i="40"/>
  <c r="BU156" i="40"/>
  <c r="BV156" i="40"/>
  <c r="BP157" i="40"/>
  <c r="BQ157" i="40"/>
  <c r="BR157" i="40"/>
  <c r="BS157" i="40"/>
  <c r="BT157" i="40"/>
  <c r="BU157" i="40"/>
  <c r="BV157" i="40"/>
  <c r="BP158" i="40"/>
  <c r="BQ158" i="40"/>
  <c r="BR158" i="40"/>
  <c r="BS158" i="40"/>
  <c r="BT158" i="40"/>
  <c r="BU158" i="40"/>
  <c r="BV158" i="40"/>
  <c r="BP159" i="40"/>
  <c r="BQ159" i="40"/>
  <c r="BR159" i="40"/>
  <c r="BS159" i="40"/>
  <c r="BT159" i="40"/>
  <c r="BU159" i="40"/>
  <c r="BV159" i="40"/>
  <c r="BP160" i="40"/>
  <c r="BQ160" i="40"/>
  <c r="BR160" i="40"/>
  <c r="BS160" i="40"/>
  <c r="BT160" i="40"/>
  <c r="BU160" i="40"/>
  <c r="BV160" i="40"/>
  <c r="BP161" i="40"/>
  <c r="BQ161" i="40"/>
  <c r="BR161" i="40"/>
  <c r="BS161" i="40"/>
  <c r="BT161" i="40"/>
  <c r="BU161" i="40"/>
  <c r="BV161" i="40"/>
  <c r="BP162" i="40"/>
  <c r="BQ162" i="40"/>
  <c r="BR162" i="40"/>
  <c r="BS162" i="40"/>
  <c r="BT162" i="40"/>
  <c r="BU162" i="40"/>
  <c r="BV162" i="40"/>
  <c r="BP163" i="40"/>
  <c r="BQ163" i="40"/>
  <c r="BR163" i="40"/>
  <c r="BS163" i="40"/>
  <c r="BT163" i="40"/>
  <c r="BU163" i="40"/>
  <c r="BV163" i="40"/>
  <c r="BP164" i="40"/>
  <c r="BQ164" i="40"/>
  <c r="BR164" i="40"/>
  <c r="BS164" i="40"/>
  <c r="BT164" i="40"/>
  <c r="BU164" i="40"/>
  <c r="BV164" i="40"/>
  <c r="BP165" i="40"/>
  <c r="BQ165" i="40"/>
  <c r="BR165" i="40"/>
  <c r="BS165" i="40"/>
  <c r="BT165" i="40"/>
  <c r="BU165" i="40"/>
  <c r="BV165" i="40"/>
  <c r="BP166" i="40"/>
  <c r="BQ166" i="40"/>
  <c r="BR166" i="40"/>
  <c r="BS166" i="40"/>
  <c r="BT166" i="40"/>
  <c r="BU166" i="40"/>
  <c r="BV166" i="40"/>
  <c r="BP167" i="40"/>
  <c r="BQ167" i="40"/>
  <c r="BR167" i="40"/>
  <c r="BS167" i="40"/>
  <c r="BT167" i="40"/>
  <c r="BU167" i="40"/>
  <c r="BV167" i="40"/>
  <c r="BP168" i="40"/>
  <c r="BQ168" i="40"/>
  <c r="BR168" i="40"/>
  <c r="BS168" i="40"/>
  <c r="BT168" i="40"/>
  <c r="BU168" i="40"/>
  <c r="BV168" i="40"/>
  <c r="BP169" i="40"/>
  <c r="BQ169" i="40"/>
  <c r="BR169" i="40"/>
  <c r="BS169" i="40"/>
  <c r="BT169" i="40"/>
  <c r="BU169" i="40"/>
  <c r="BV169" i="40"/>
  <c r="BP170" i="40"/>
  <c r="BQ170" i="40"/>
  <c r="BR170" i="40"/>
  <c r="BS170" i="40"/>
  <c r="BT170" i="40"/>
  <c r="BU170" i="40"/>
  <c r="BV170" i="40"/>
  <c r="BP171" i="40"/>
  <c r="BQ171" i="40"/>
  <c r="BR171" i="40"/>
  <c r="BS171" i="40"/>
  <c r="BT171" i="40"/>
  <c r="BU171" i="40"/>
  <c r="BV171" i="40"/>
  <c r="BP172" i="40"/>
  <c r="BQ172" i="40"/>
  <c r="BR172" i="40"/>
  <c r="BS172" i="40"/>
  <c r="BT172" i="40"/>
  <c r="BU172" i="40"/>
  <c r="BV172" i="40"/>
  <c r="BP173" i="40"/>
  <c r="BQ173" i="40"/>
  <c r="BR173" i="40"/>
  <c r="BS173" i="40"/>
  <c r="BT173" i="40"/>
  <c r="BU173" i="40"/>
  <c r="BV173" i="40"/>
  <c r="BP174" i="40"/>
  <c r="BQ174" i="40"/>
  <c r="BR174" i="40"/>
  <c r="BS174" i="40"/>
  <c r="BT174" i="40"/>
  <c r="BU174" i="40"/>
  <c r="BV174" i="40"/>
  <c r="BP175" i="40"/>
  <c r="BQ175" i="40"/>
  <c r="BR175" i="40"/>
  <c r="BS175" i="40"/>
  <c r="BT175" i="40"/>
  <c r="BU175" i="40"/>
  <c r="BV175" i="40"/>
  <c r="BP176" i="40"/>
  <c r="BQ176" i="40"/>
  <c r="BR176" i="40"/>
  <c r="BS176" i="40"/>
  <c r="BT176" i="40"/>
  <c r="BU176" i="40"/>
  <c r="BV176" i="40"/>
  <c r="BP177" i="40"/>
  <c r="BQ177" i="40"/>
  <c r="BR177" i="40"/>
  <c r="BS177" i="40"/>
  <c r="BT177" i="40"/>
  <c r="BU177" i="40"/>
  <c r="BV177" i="40"/>
  <c r="BP178" i="40"/>
  <c r="BQ178" i="40"/>
  <c r="BR178" i="40"/>
  <c r="BS178" i="40"/>
  <c r="BT178" i="40"/>
  <c r="BU178" i="40"/>
  <c r="BV178" i="40"/>
  <c r="BP179" i="40"/>
  <c r="BQ179" i="40"/>
  <c r="BR179" i="40"/>
  <c r="BS179" i="40"/>
  <c r="BT179" i="40"/>
  <c r="BU179" i="40"/>
  <c r="BV179" i="40"/>
  <c r="BP180" i="40"/>
  <c r="BQ180" i="40"/>
  <c r="BR180" i="40"/>
  <c r="BS180" i="40"/>
  <c r="BT180" i="40"/>
  <c r="BU180" i="40"/>
  <c r="BV180" i="40"/>
  <c r="BP181" i="40"/>
  <c r="BQ181" i="40"/>
  <c r="BR181" i="40"/>
  <c r="BS181" i="40"/>
  <c r="BT181" i="40"/>
  <c r="BU181" i="40"/>
  <c r="BV181" i="40"/>
  <c r="BP182" i="40"/>
  <c r="BQ182" i="40"/>
  <c r="BR182" i="40"/>
  <c r="BS182" i="40"/>
  <c r="BT182" i="40"/>
  <c r="BU182" i="40"/>
  <c r="BV182" i="40"/>
  <c r="BP183" i="40"/>
  <c r="BQ183" i="40"/>
  <c r="BR183" i="40"/>
  <c r="BS183" i="40"/>
  <c r="BT183" i="40"/>
  <c r="BU183" i="40"/>
  <c r="BV183" i="40"/>
  <c r="BP184" i="40"/>
  <c r="BQ184" i="40"/>
  <c r="BR184" i="40"/>
  <c r="BS184" i="40"/>
  <c r="BT184" i="40"/>
  <c r="BU184" i="40"/>
  <c r="BV184" i="40"/>
  <c r="BP185" i="40"/>
  <c r="BQ185" i="40"/>
  <c r="BR185" i="40"/>
  <c r="BS185" i="40"/>
  <c r="BT185" i="40"/>
  <c r="BU185" i="40"/>
  <c r="BV185" i="40"/>
  <c r="BP186" i="40"/>
  <c r="BQ186" i="40"/>
  <c r="BR186" i="40"/>
  <c r="BS186" i="40"/>
  <c r="BT186" i="40"/>
  <c r="BU186" i="40"/>
  <c r="BV186" i="40"/>
  <c r="BP187" i="40"/>
  <c r="BQ187" i="40"/>
  <c r="BR187" i="40"/>
  <c r="BS187" i="40"/>
  <c r="BT187" i="40"/>
  <c r="BU187" i="40"/>
  <c r="BV187" i="40"/>
  <c r="BP188" i="40"/>
  <c r="BQ188" i="40"/>
  <c r="BR188" i="40"/>
  <c r="BS188" i="40"/>
  <c r="BT188" i="40"/>
  <c r="BU188" i="40"/>
  <c r="BV188" i="40"/>
  <c r="BP189" i="40"/>
  <c r="BQ189" i="40"/>
  <c r="BR189" i="40"/>
  <c r="BS189" i="40"/>
  <c r="BT189" i="40"/>
  <c r="BU189" i="40"/>
  <c r="BV189" i="40"/>
  <c r="BP190" i="40"/>
  <c r="BQ190" i="40"/>
  <c r="BR190" i="40"/>
  <c r="BS190" i="40"/>
  <c r="BT190" i="40"/>
  <c r="BU190" i="40"/>
  <c r="BV190" i="40"/>
  <c r="BP191" i="40"/>
  <c r="BQ191" i="40"/>
  <c r="BR191" i="40"/>
  <c r="BS191" i="40"/>
  <c r="BT191" i="40"/>
  <c r="BU191" i="40"/>
  <c r="BV191" i="40"/>
  <c r="BP192" i="40"/>
  <c r="BQ192" i="40"/>
  <c r="BR192" i="40"/>
  <c r="BS192" i="40"/>
  <c r="BT192" i="40"/>
  <c r="BU192" i="40"/>
  <c r="BV192" i="40"/>
  <c r="BP193" i="40"/>
  <c r="BQ193" i="40"/>
  <c r="BR193" i="40"/>
  <c r="BS193" i="40"/>
  <c r="BT193" i="40"/>
  <c r="BU193" i="40"/>
  <c r="BV193" i="40"/>
  <c r="BP194" i="40"/>
  <c r="BQ194" i="40"/>
  <c r="BR194" i="40"/>
  <c r="BS194" i="40"/>
  <c r="BT194" i="40"/>
  <c r="BU194" i="40"/>
  <c r="BV194" i="40"/>
  <c r="BP195" i="40"/>
  <c r="BQ195" i="40"/>
  <c r="BR195" i="40"/>
  <c r="BS195" i="40"/>
  <c r="BT195" i="40"/>
  <c r="BU195" i="40"/>
  <c r="BV195" i="40"/>
  <c r="BP196" i="40"/>
  <c r="BQ196" i="40"/>
  <c r="BR196" i="40"/>
  <c r="BS196" i="40"/>
  <c r="BT196" i="40"/>
  <c r="BU196" i="40"/>
  <c r="BV196" i="40"/>
  <c r="BP197" i="40"/>
  <c r="BQ197" i="40"/>
  <c r="BR197" i="40"/>
  <c r="BS197" i="40"/>
  <c r="BT197" i="40"/>
  <c r="BU197" i="40"/>
  <c r="BV197" i="40"/>
  <c r="BP198" i="40"/>
  <c r="BQ198" i="40"/>
  <c r="BR198" i="40"/>
  <c r="BS198" i="40"/>
  <c r="BT198" i="40"/>
  <c r="BU198" i="40"/>
  <c r="BV198" i="40"/>
  <c r="BP199" i="40"/>
  <c r="BQ199" i="40"/>
  <c r="BR199" i="40"/>
  <c r="BS199" i="40"/>
  <c r="BT199" i="40"/>
  <c r="BU199" i="40"/>
  <c r="BV199" i="40"/>
  <c r="BP200" i="40"/>
  <c r="BQ200" i="40"/>
  <c r="BR200" i="40"/>
  <c r="BS200" i="40"/>
  <c r="BT200" i="40"/>
  <c r="BU200" i="40"/>
  <c r="BV200" i="40"/>
  <c r="BP201" i="40"/>
  <c r="BQ201" i="40"/>
  <c r="BR201" i="40"/>
  <c r="BS201" i="40"/>
  <c r="BT201" i="40"/>
  <c r="BU201" i="40"/>
  <c r="BV201" i="40"/>
  <c r="BP202" i="40"/>
  <c r="BQ202" i="40"/>
  <c r="BR202" i="40"/>
  <c r="BS202" i="40"/>
  <c r="BT202" i="40"/>
  <c r="BU202" i="40"/>
  <c r="BV202" i="40"/>
  <c r="BP203" i="40"/>
  <c r="BQ203" i="40"/>
  <c r="BR203" i="40"/>
  <c r="BS203" i="40"/>
  <c r="BT203" i="40"/>
  <c r="BU203" i="40"/>
  <c r="BV203" i="40"/>
  <c r="BP204" i="40"/>
  <c r="BQ204" i="40"/>
  <c r="BR204" i="40"/>
  <c r="BS204" i="40"/>
  <c r="BT204" i="40"/>
  <c r="BU204" i="40"/>
  <c r="BV204" i="40"/>
  <c r="BP205" i="40"/>
  <c r="BQ205" i="40"/>
  <c r="BR205" i="40"/>
  <c r="BS205" i="40"/>
  <c r="BT205" i="40"/>
  <c r="BU205" i="40"/>
  <c r="BV205" i="40"/>
  <c r="BP206" i="40"/>
  <c r="BQ206" i="40"/>
  <c r="BR206" i="40"/>
  <c r="BS206" i="40"/>
  <c r="BT206" i="40"/>
  <c r="BU206" i="40"/>
  <c r="BV206" i="40"/>
  <c r="BP207" i="40"/>
  <c r="BQ207" i="40"/>
  <c r="BR207" i="40"/>
  <c r="BS207" i="40"/>
  <c r="BT207" i="40"/>
  <c r="BU207" i="40"/>
  <c r="BV207" i="40"/>
  <c r="BP208" i="40"/>
  <c r="BQ208" i="40"/>
  <c r="BR208" i="40"/>
  <c r="BS208" i="40"/>
  <c r="BT208" i="40"/>
  <c r="BU208" i="40"/>
  <c r="BV208" i="40"/>
  <c r="BP209" i="40"/>
  <c r="BQ209" i="40"/>
  <c r="BR209" i="40"/>
  <c r="BS209" i="40"/>
  <c r="BT209" i="40"/>
  <c r="BU209" i="40"/>
  <c r="BV209" i="40"/>
  <c r="BP210" i="40"/>
  <c r="BQ210" i="40"/>
  <c r="BR210" i="40"/>
  <c r="BS210" i="40"/>
  <c r="BT210" i="40"/>
  <c r="BU210" i="40"/>
  <c r="BV210" i="40"/>
  <c r="BP211" i="40"/>
  <c r="BQ211" i="40"/>
  <c r="BR211" i="40"/>
  <c r="BS211" i="40"/>
  <c r="BT211" i="40"/>
  <c r="BU211" i="40"/>
  <c r="BV211" i="40"/>
  <c r="BP212" i="40"/>
  <c r="BQ212" i="40"/>
  <c r="BR212" i="40"/>
  <c r="BS212" i="40"/>
  <c r="BT212" i="40"/>
  <c r="BU212" i="40"/>
  <c r="BV212" i="40"/>
  <c r="BP213" i="40"/>
  <c r="BQ213" i="40"/>
  <c r="BR213" i="40"/>
  <c r="BS213" i="40"/>
  <c r="BT213" i="40"/>
  <c r="BU213" i="40"/>
  <c r="BV213" i="40"/>
  <c r="BP214" i="40"/>
  <c r="BQ214" i="40"/>
  <c r="BR214" i="40"/>
  <c r="BS214" i="40"/>
  <c r="BT214" i="40"/>
  <c r="BU214" i="40"/>
  <c r="BV214" i="40"/>
  <c r="BP215" i="40"/>
  <c r="BQ215" i="40"/>
  <c r="BR215" i="40"/>
  <c r="BS215" i="40"/>
  <c r="BT215" i="40"/>
  <c r="BU215" i="40"/>
  <c r="BV215" i="40"/>
  <c r="BP216" i="40"/>
  <c r="BQ216" i="40"/>
  <c r="BR216" i="40"/>
  <c r="BS216" i="40"/>
  <c r="BT216" i="40"/>
  <c r="BU216" i="40"/>
  <c r="BV216" i="40"/>
  <c r="BP217" i="40"/>
  <c r="BQ217" i="40"/>
  <c r="BR217" i="40"/>
  <c r="BS217" i="40"/>
  <c r="BT217" i="40"/>
  <c r="BU217" i="40"/>
  <c r="BV217" i="40"/>
  <c r="BP218" i="40"/>
  <c r="BQ218" i="40"/>
  <c r="BR218" i="40"/>
  <c r="BS218" i="40"/>
  <c r="BT218" i="40"/>
  <c r="BU218" i="40"/>
  <c r="BV218" i="40"/>
  <c r="BP221" i="40"/>
  <c r="BP224" i="40"/>
  <c r="BP286" i="40"/>
  <c r="BP291" i="40"/>
  <c r="BP292" i="40"/>
  <c r="BP293" i="40"/>
  <c r="BP294" i="40"/>
  <c r="BP295" i="40"/>
  <c r="BP296" i="40"/>
  <c r="BP298" i="40"/>
  <c r="BQ298" i="40"/>
  <c r="BR298" i="40"/>
  <c r="BS298" i="40"/>
  <c r="BT298" i="40"/>
  <c r="BU298" i="40"/>
  <c r="BV298" i="40"/>
  <c r="BP299" i="40"/>
  <c r="BQ299" i="40"/>
  <c r="BR299" i="40"/>
  <c r="BS299" i="40"/>
  <c r="BT299" i="40"/>
  <c r="BU299" i="40"/>
  <c r="BV299" i="40"/>
  <c r="BP301" i="40"/>
  <c r="BQ301" i="40"/>
  <c r="BR301" i="40"/>
  <c r="BS301" i="40"/>
  <c r="BT301" i="40"/>
  <c r="BU301" i="40"/>
  <c r="BV301" i="40"/>
  <c r="BP302" i="40"/>
  <c r="BQ302" i="40"/>
  <c r="BR302" i="40"/>
  <c r="BS302" i="40"/>
  <c r="BT302" i="40"/>
  <c r="BU302" i="40"/>
  <c r="BV302" i="40"/>
  <c r="BP303" i="40"/>
  <c r="BQ303" i="40"/>
  <c r="BR303" i="40"/>
  <c r="BS303" i="40"/>
  <c r="BT303" i="40"/>
  <c r="BU303" i="40"/>
  <c r="BV303" i="40"/>
  <c r="BP304" i="40"/>
  <c r="BQ304" i="40"/>
  <c r="BR304" i="40"/>
  <c r="BS304" i="40"/>
  <c r="BT304" i="40"/>
  <c r="BU304" i="40"/>
  <c r="BV304" i="40"/>
  <c r="BP305" i="40"/>
  <c r="BQ305" i="40"/>
  <c r="BR305" i="40"/>
  <c r="BS305" i="40"/>
  <c r="BT305" i="40"/>
  <c r="BU305" i="40"/>
  <c r="BV305" i="40"/>
  <c r="BP306" i="40"/>
  <c r="BQ306" i="40"/>
  <c r="BR306" i="40"/>
  <c r="BS306" i="40"/>
  <c r="BT306" i="40"/>
  <c r="BU306" i="40"/>
  <c r="BV306" i="40"/>
  <c r="BP307" i="40"/>
  <c r="BQ307" i="40"/>
  <c r="BR307" i="40"/>
  <c r="BS307" i="40"/>
  <c r="BT307" i="40"/>
  <c r="BU307" i="40"/>
  <c r="BV307" i="40"/>
  <c r="BP308" i="40"/>
  <c r="BQ308" i="40"/>
  <c r="BR308" i="40"/>
  <c r="BS308" i="40"/>
  <c r="BT308" i="40"/>
  <c r="BU308" i="40"/>
  <c r="BV308" i="40"/>
  <c r="BP310" i="40"/>
  <c r="BQ310" i="40"/>
  <c r="BR310" i="40"/>
  <c r="BS310" i="40"/>
  <c r="BT310" i="40"/>
  <c r="BU310" i="40"/>
  <c r="BV310" i="40"/>
  <c r="BP312" i="40"/>
  <c r="BQ312" i="40"/>
  <c r="BR312" i="40"/>
  <c r="BS312" i="40"/>
  <c r="BT312" i="40"/>
  <c r="BU312" i="40"/>
  <c r="BV312" i="40"/>
  <c r="BP313" i="40"/>
  <c r="BP314" i="40"/>
  <c r="BP315" i="40"/>
  <c r="BP316" i="40"/>
  <c r="BP317" i="40"/>
  <c r="BQ317" i="40"/>
  <c r="BR317" i="40"/>
  <c r="BS317" i="40"/>
  <c r="BT317" i="40"/>
  <c r="BU317" i="40"/>
  <c r="BV317" i="40"/>
  <c r="BP318" i="40"/>
  <c r="BQ318" i="40"/>
  <c r="BR318" i="40"/>
  <c r="BS318" i="40"/>
  <c r="BT318" i="40"/>
  <c r="BU318" i="40"/>
  <c r="BV318" i="40"/>
  <c r="BP319" i="40"/>
  <c r="BQ319" i="40"/>
  <c r="BR319" i="40"/>
  <c r="BS319" i="40"/>
  <c r="BT319" i="40"/>
  <c r="BU319" i="40"/>
  <c r="BV319" i="40"/>
  <c r="BP320" i="40"/>
  <c r="BQ320" i="40"/>
  <c r="BR320" i="40"/>
  <c r="BS320" i="40"/>
  <c r="BT320" i="40"/>
  <c r="BU320" i="40"/>
  <c r="BV320" i="40"/>
  <c r="BP321" i="40"/>
  <c r="BQ321" i="40"/>
  <c r="BR321" i="40"/>
  <c r="BS321" i="40"/>
  <c r="BT321" i="40"/>
  <c r="BU321" i="40"/>
  <c r="BV321" i="40"/>
  <c r="BP322" i="40"/>
  <c r="BQ322" i="40"/>
  <c r="BR322" i="40"/>
  <c r="BS322" i="40"/>
  <c r="BT322" i="40"/>
  <c r="BU322" i="40"/>
  <c r="BV322" i="40"/>
  <c r="BP323" i="40"/>
  <c r="BQ323" i="40"/>
  <c r="BR323" i="40"/>
  <c r="BS323" i="40"/>
  <c r="BT323" i="40"/>
  <c r="BU323" i="40"/>
  <c r="BV323" i="40"/>
  <c r="BP324" i="40"/>
  <c r="BQ324" i="40"/>
  <c r="BR324" i="40"/>
  <c r="BS324" i="40"/>
  <c r="BT324" i="40"/>
  <c r="BU324" i="40"/>
  <c r="BV324" i="40"/>
  <c r="BP335" i="40"/>
  <c r="BP336" i="40"/>
  <c r="BP386" i="40"/>
  <c r="BP387" i="40"/>
  <c r="BP388" i="40"/>
  <c r="BP389" i="40"/>
  <c r="BP390" i="40"/>
  <c r="BP391" i="40"/>
  <c r="BP392" i="40"/>
  <c r="BP393" i="40"/>
  <c r="BP394" i="40"/>
  <c r="BP395" i="40"/>
  <c r="BP408" i="40"/>
  <c r="BP420" i="40"/>
  <c r="BQ420" i="40"/>
  <c r="BR420" i="40"/>
  <c r="BS420" i="40"/>
  <c r="BT420" i="40"/>
  <c r="BU420" i="40"/>
  <c r="BV420" i="40"/>
  <c r="BP421" i="40"/>
  <c r="BQ421" i="40"/>
  <c r="BR421" i="40"/>
  <c r="BS421" i="40"/>
  <c r="BT421" i="40"/>
  <c r="BU421" i="40"/>
  <c r="BV421" i="40"/>
  <c r="BP422" i="40"/>
  <c r="BQ422" i="40"/>
  <c r="BR422" i="40"/>
  <c r="BS422" i="40"/>
  <c r="BT422" i="40"/>
  <c r="BU422" i="40"/>
  <c r="BV422" i="40"/>
  <c r="BP423" i="40"/>
  <c r="BQ423" i="40"/>
  <c r="BR423" i="40"/>
  <c r="BS423" i="40"/>
  <c r="BT423" i="40"/>
  <c r="BU423" i="40"/>
  <c r="BV423" i="40"/>
  <c r="BP424" i="40"/>
  <c r="BQ424" i="40"/>
  <c r="BR424" i="40"/>
  <c r="BS424" i="40"/>
  <c r="BT424" i="40"/>
  <c r="BU424" i="40"/>
  <c r="BV424" i="40"/>
  <c r="BP425" i="40"/>
  <c r="BQ425" i="40"/>
  <c r="BR425" i="40"/>
  <c r="BS425" i="40"/>
  <c r="BT425" i="40"/>
  <c r="BU425" i="40"/>
  <c r="BV425" i="40"/>
  <c r="BP426" i="40"/>
  <c r="BP483" i="40"/>
  <c r="BQ483" i="40"/>
  <c r="BR483" i="40"/>
  <c r="BS483" i="40"/>
  <c r="BT483" i="40"/>
  <c r="BU483" i="40"/>
  <c r="BV483" i="40"/>
  <c r="BP484" i="40"/>
  <c r="BQ484" i="40"/>
  <c r="BR484" i="40"/>
  <c r="BS484" i="40"/>
  <c r="BT484" i="40"/>
  <c r="BU484" i="40"/>
  <c r="BV484" i="40"/>
  <c r="BP485" i="40"/>
  <c r="BQ485" i="40"/>
  <c r="BR485" i="40"/>
  <c r="BS485" i="40"/>
  <c r="BT485" i="40"/>
  <c r="BU485" i="40"/>
  <c r="BV485" i="40"/>
  <c r="BP486" i="40"/>
  <c r="BQ486" i="40"/>
  <c r="BR486" i="40"/>
  <c r="BS486" i="40"/>
  <c r="BT486" i="40"/>
  <c r="BU486" i="40"/>
  <c r="BV486" i="40"/>
  <c r="BP487" i="40"/>
  <c r="BQ487" i="40"/>
  <c r="BR487" i="40"/>
  <c r="BS487" i="40"/>
  <c r="BT487" i="40"/>
  <c r="BU487" i="40"/>
  <c r="BV487" i="40"/>
  <c r="BP488" i="40"/>
  <c r="BQ488" i="40"/>
  <c r="BR488" i="40"/>
  <c r="BS488" i="40"/>
  <c r="BT488" i="40"/>
  <c r="BU488" i="40"/>
  <c r="BV488" i="40"/>
  <c r="BP489" i="40"/>
  <c r="BQ489" i="40"/>
  <c r="BR489" i="40"/>
  <c r="BS489" i="40"/>
  <c r="BT489" i="40"/>
  <c r="BU489" i="40"/>
  <c r="BV489" i="40"/>
  <c r="BP490" i="40"/>
  <c r="BQ490" i="40"/>
  <c r="BR490" i="40"/>
  <c r="BS490" i="40"/>
  <c r="BT490" i="40"/>
  <c r="BU490" i="40"/>
  <c r="BV490" i="40"/>
  <c r="BP491" i="40"/>
  <c r="BQ491" i="40"/>
  <c r="BR491" i="40"/>
  <c r="BS491" i="40"/>
  <c r="BT491" i="40"/>
  <c r="BU491" i="40"/>
  <c r="BV491" i="40"/>
  <c r="BP492" i="40"/>
  <c r="BQ492" i="40"/>
  <c r="BR492" i="40"/>
  <c r="BS492" i="40"/>
  <c r="BT492" i="40"/>
  <c r="BU492" i="40"/>
  <c r="BV492" i="40"/>
  <c r="BP493" i="40"/>
  <c r="BQ493" i="40"/>
  <c r="BR493" i="40"/>
  <c r="BS493" i="40"/>
  <c r="BT493" i="40"/>
  <c r="BU493" i="40"/>
  <c r="BV493" i="40"/>
  <c r="BP494" i="40"/>
  <c r="BQ494" i="40"/>
  <c r="BR494" i="40"/>
  <c r="BS494" i="40"/>
  <c r="BT494" i="40"/>
  <c r="BU494" i="40"/>
  <c r="BV494" i="40"/>
  <c r="BP495" i="40"/>
  <c r="BQ495" i="40"/>
  <c r="BR495" i="40"/>
  <c r="BS495" i="40"/>
  <c r="BT495" i="40"/>
  <c r="BU495" i="40"/>
  <c r="BV495" i="40"/>
  <c r="BP496" i="40"/>
  <c r="BQ496" i="40"/>
  <c r="BR496" i="40"/>
  <c r="BS496" i="40"/>
  <c r="BT496" i="40"/>
  <c r="BU496" i="40"/>
  <c r="BV496" i="40"/>
  <c r="BP497" i="40"/>
  <c r="BQ497" i="40"/>
  <c r="BR497" i="40"/>
  <c r="BS497" i="40"/>
  <c r="BT497" i="40"/>
  <c r="BU497" i="40"/>
  <c r="BV497" i="40"/>
  <c r="BP498" i="40"/>
  <c r="BQ498" i="40"/>
  <c r="BR498" i="40"/>
  <c r="BS498" i="40"/>
  <c r="BT498" i="40"/>
  <c r="BU498" i="40"/>
  <c r="BV498" i="40"/>
  <c r="BP499" i="40"/>
  <c r="BQ499" i="40"/>
  <c r="BR499" i="40"/>
  <c r="BS499" i="40"/>
  <c r="BT499" i="40"/>
  <c r="BU499" i="40"/>
  <c r="BV499" i="40"/>
  <c r="BP500" i="40"/>
  <c r="BQ500" i="40"/>
  <c r="BR500" i="40"/>
  <c r="BS500" i="40"/>
  <c r="BT500" i="40"/>
  <c r="BU500" i="40"/>
  <c r="BV500" i="40"/>
  <c r="BP501" i="40"/>
  <c r="BQ501" i="40"/>
  <c r="BR501" i="40"/>
  <c r="BS501" i="40"/>
  <c r="BT501" i="40"/>
  <c r="BU501" i="40"/>
  <c r="BV501" i="40"/>
  <c r="BP502" i="40"/>
  <c r="BQ502" i="40"/>
  <c r="BR502" i="40"/>
  <c r="BS502" i="40"/>
  <c r="BT502" i="40"/>
  <c r="BU502" i="40"/>
  <c r="BV502" i="40"/>
  <c r="BP521" i="40"/>
  <c r="BP578" i="40"/>
  <c r="BQ578" i="40"/>
  <c r="BR578" i="40"/>
  <c r="BS578" i="40"/>
  <c r="BT578" i="40"/>
  <c r="BU578" i="40"/>
  <c r="BV578" i="40"/>
  <c r="BP579" i="40"/>
  <c r="BQ579" i="40"/>
  <c r="BR579" i="40"/>
  <c r="BS579" i="40"/>
  <c r="BT579" i="40"/>
  <c r="BU579" i="40"/>
  <c r="BV579" i="40"/>
  <c r="BP585" i="40"/>
  <c r="BQ585" i="40"/>
  <c r="BR585" i="40"/>
  <c r="BS585" i="40"/>
  <c r="BT585" i="40"/>
  <c r="BU585" i="40"/>
  <c r="BV585" i="40"/>
  <c r="BP586" i="40"/>
  <c r="BQ586" i="40"/>
  <c r="BR586" i="40"/>
  <c r="BS586" i="40"/>
  <c r="BT586" i="40"/>
  <c r="BU586" i="40"/>
  <c r="BV586" i="40"/>
  <c r="BP587" i="40"/>
  <c r="BQ587" i="40"/>
  <c r="BR587" i="40"/>
  <c r="BS587" i="40"/>
  <c r="BT587" i="40"/>
  <c r="BU587" i="40"/>
  <c r="BV587" i="40"/>
  <c r="BP588" i="40"/>
  <c r="BQ588" i="40"/>
  <c r="BR588" i="40"/>
  <c r="BS588" i="40"/>
  <c r="BT588" i="40"/>
  <c r="BU588" i="40"/>
  <c r="BV588" i="40"/>
  <c r="BP589" i="40"/>
  <c r="BQ589" i="40"/>
  <c r="BR589" i="40"/>
  <c r="BS589" i="40"/>
  <c r="BT589" i="40"/>
  <c r="BU589" i="40"/>
  <c r="BV589" i="40"/>
  <c r="BP590" i="40"/>
  <c r="BQ590" i="40"/>
  <c r="BR590" i="40"/>
  <c r="BS590" i="40"/>
  <c r="BT590" i="40"/>
  <c r="BU590" i="40"/>
  <c r="BV590" i="40"/>
  <c r="BP591" i="40"/>
  <c r="BQ591" i="40"/>
  <c r="BR591" i="40"/>
  <c r="BS591" i="40"/>
  <c r="BT591" i="40"/>
  <c r="BU591" i="40"/>
  <c r="BV591" i="40"/>
  <c r="BP592" i="40"/>
  <c r="BQ592" i="40"/>
  <c r="BR592" i="40"/>
  <c r="BS592" i="40"/>
  <c r="BT592" i="40"/>
  <c r="BU592" i="40"/>
  <c r="BV592" i="40"/>
  <c r="BP593" i="40"/>
  <c r="BQ593" i="40"/>
  <c r="BR593" i="40"/>
  <c r="BS593" i="40"/>
  <c r="BT593" i="40"/>
  <c r="BU593" i="40"/>
  <c r="BV593" i="40"/>
  <c r="BP594" i="40"/>
  <c r="BQ594" i="40"/>
  <c r="BR594" i="40"/>
  <c r="BS594" i="40"/>
  <c r="BT594" i="40"/>
  <c r="BU594" i="40"/>
  <c r="BV594" i="40"/>
  <c r="BP595" i="40"/>
  <c r="BQ595" i="40"/>
  <c r="BR595" i="40"/>
  <c r="BS595" i="40"/>
  <c r="BT595" i="40"/>
  <c r="BU595" i="40"/>
  <c r="BV595" i="40"/>
  <c r="BP612" i="40"/>
  <c r="BQ612" i="40"/>
  <c r="BR612" i="40"/>
  <c r="BS612" i="40"/>
  <c r="BT612" i="40"/>
  <c r="BU612" i="40"/>
  <c r="BV612" i="40"/>
  <c r="BP613" i="40"/>
  <c r="BQ613" i="40"/>
  <c r="BR613" i="40"/>
  <c r="BS613" i="40"/>
  <c r="BT613" i="40"/>
  <c r="BU613" i="40"/>
  <c r="BV613" i="40"/>
  <c r="BP614" i="40"/>
  <c r="BQ614" i="40"/>
  <c r="BR614" i="40"/>
  <c r="BS614" i="40"/>
  <c r="BT614" i="40"/>
  <c r="BU614" i="40"/>
  <c r="BV614" i="40"/>
  <c r="BP615" i="40"/>
  <c r="BQ615" i="40"/>
  <c r="BR615" i="40"/>
  <c r="BS615" i="40"/>
  <c r="BT615" i="40"/>
  <c r="BU615" i="40"/>
  <c r="BV615" i="40"/>
  <c r="BP616" i="40"/>
  <c r="BQ616" i="40"/>
  <c r="BR616" i="40"/>
  <c r="BS616" i="40"/>
  <c r="BT616" i="40"/>
  <c r="BU616" i="40"/>
  <c r="BV616" i="40"/>
  <c r="BP617" i="40"/>
  <c r="BQ617" i="40"/>
  <c r="BR617" i="40"/>
  <c r="BS617" i="40"/>
  <c r="BT617" i="40"/>
  <c r="BU617" i="40"/>
  <c r="BV617" i="40"/>
  <c r="BP618" i="40"/>
  <c r="BQ618" i="40"/>
  <c r="BR618" i="40"/>
  <c r="BS618" i="40"/>
  <c r="BT618" i="40"/>
  <c r="BU618" i="40"/>
  <c r="BV618" i="40"/>
  <c r="BP619" i="40"/>
  <c r="BQ619" i="40"/>
  <c r="BR619" i="40"/>
  <c r="BS619" i="40"/>
  <c r="BT619" i="40"/>
  <c r="BU619" i="40"/>
  <c r="BV619" i="40"/>
  <c r="BP620" i="40"/>
  <c r="BQ620" i="40"/>
  <c r="BR620" i="40"/>
  <c r="BS620" i="40"/>
  <c r="BT620" i="40"/>
  <c r="BU620" i="40"/>
  <c r="BV620" i="40"/>
  <c r="BP621" i="40"/>
  <c r="BQ621" i="40"/>
  <c r="BR621" i="40"/>
  <c r="BS621" i="40"/>
  <c r="BT621" i="40"/>
  <c r="BU621" i="40"/>
  <c r="BV621" i="40"/>
  <c r="BP622" i="40"/>
  <c r="BQ622" i="40"/>
  <c r="BR622" i="40"/>
  <c r="BS622" i="40"/>
  <c r="BT622" i="40"/>
  <c r="BU622" i="40"/>
  <c r="BV622" i="40"/>
  <c r="BP623" i="40"/>
  <c r="BQ623" i="40"/>
  <c r="BR623" i="40"/>
  <c r="BS623" i="40"/>
  <c r="BT623" i="40"/>
  <c r="BU623" i="40"/>
  <c r="BV623" i="40"/>
  <c r="BP624" i="40"/>
  <c r="BQ624" i="40"/>
  <c r="BR624" i="40"/>
  <c r="BS624" i="40"/>
  <c r="BT624" i="40"/>
  <c r="BU624" i="40"/>
  <c r="BV624" i="40"/>
  <c r="BP625" i="40"/>
  <c r="BQ625" i="40"/>
  <c r="BR625" i="40"/>
  <c r="BS625" i="40"/>
  <c r="BT625" i="40"/>
  <c r="BU625" i="40"/>
  <c r="BV625" i="40"/>
  <c r="BP626" i="40"/>
  <c r="BQ626" i="40"/>
  <c r="BR626" i="40"/>
  <c r="BS626" i="40"/>
  <c r="BT626" i="40"/>
  <c r="BU626" i="40"/>
  <c r="BV626" i="40"/>
  <c r="BP627" i="40"/>
  <c r="BQ627" i="40"/>
  <c r="BR627" i="40"/>
  <c r="BS627" i="40"/>
  <c r="BT627" i="40"/>
  <c r="BU627" i="40"/>
  <c r="BV627" i="40"/>
  <c r="BP628" i="40"/>
  <c r="BQ628" i="40"/>
  <c r="BR628" i="40"/>
  <c r="BS628" i="40"/>
  <c r="BT628" i="40"/>
  <c r="BU628" i="40"/>
  <c r="BV628" i="40"/>
  <c r="BP629" i="40"/>
  <c r="BQ629" i="40"/>
  <c r="BR629" i="40"/>
  <c r="BS629" i="40"/>
  <c r="BT629" i="40"/>
  <c r="BU629" i="40"/>
  <c r="BV629" i="40"/>
  <c r="BP630" i="40"/>
  <c r="BQ630" i="40"/>
  <c r="BR630" i="40"/>
  <c r="BS630" i="40"/>
  <c r="BT630" i="40"/>
  <c r="BU630" i="40"/>
  <c r="BV630" i="40"/>
  <c r="BP631" i="40"/>
  <c r="BQ631" i="40"/>
  <c r="BR631" i="40"/>
  <c r="BS631" i="40"/>
  <c r="BT631" i="40"/>
  <c r="BU631" i="40"/>
  <c r="BV631" i="40"/>
  <c r="BP632" i="40"/>
  <c r="BQ632" i="40"/>
  <c r="BR632" i="40"/>
  <c r="BS632" i="40"/>
  <c r="BT632" i="40"/>
  <c r="BU632" i="40"/>
  <c r="BV632" i="40"/>
  <c r="BP633" i="40"/>
  <c r="BQ633" i="40"/>
  <c r="BR633" i="40"/>
  <c r="BS633" i="40"/>
  <c r="BT633" i="40"/>
  <c r="BU633" i="40"/>
  <c r="BV633" i="40"/>
  <c r="BP634" i="40"/>
  <c r="BQ634" i="40"/>
  <c r="BR634" i="40"/>
  <c r="BS634" i="40"/>
  <c r="BT634" i="40"/>
  <c r="BU634" i="40"/>
  <c r="BV634" i="40"/>
  <c r="BP635" i="40"/>
  <c r="BQ635" i="40"/>
  <c r="BR635" i="40"/>
  <c r="BS635" i="40"/>
  <c r="BT635" i="40"/>
  <c r="BU635" i="40"/>
  <c r="BV635" i="40"/>
  <c r="BP636" i="40"/>
  <c r="BQ636" i="40"/>
  <c r="BR636" i="40"/>
  <c r="BS636" i="40"/>
  <c r="BT636" i="40"/>
  <c r="BU636" i="40"/>
  <c r="BV636" i="40"/>
  <c r="BP637" i="40"/>
  <c r="BQ637" i="40"/>
  <c r="BR637" i="40"/>
  <c r="BS637" i="40"/>
  <c r="BT637" i="40"/>
  <c r="BU637" i="40"/>
  <c r="BV637" i="40"/>
  <c r="BP638" i="40"/>
  <c r="BQ638" i="40"/>
  <c r="BR638" i="40"/>
  <c r="BS638" i="40"/>
  <c r="BT638" i="40"/>
  <c r="BU638" i="40"/>
  <c r="BV638" i="40"/>
  <c r="BP650" i="40"/>
  <c r="BP651" i="40"/>
  <c r="BP652" i="40"/>
  <c r="BP653" i="40"/>
  <c r="BP654" i="40"/>
  <c r="BP656" i="40"/>
  <c r="BP658" i="40"/>
  <c r="BP659" i="40"/>
  <c r="BP660" i="40"/>
  <c r="BP664" i="40"/>
  <c r="BP665" i="40"/>
  <c r="BP666" i="40"/>
  <c r="BP670" i="40"/>
  <c r="BQ670" i="40"/>
  <c r="BR670" i="40"/>
  <c r="BS670" i="40"/>
  <c r="BT670" i="40"/>
  <c r="BU670" i="40"/>
  <c r="BV670" i="40"/>
  <c r="BP671" i="40"/>
  <c r="BQ671" i="40"/>
  <c r="BR671" i="40"/>
  <c r="BS671" i="40"/>
  <c r="BT671" i="40"/>
  <c r="BU671" i="40"/>
  <c r="BV671" i="40"/>
  <c r="BP672" i="40"/>
  <c r="BQ672" i="40"/>
  <c r="BR672" i="40"/>
  <c r="BS672" i="40"/>
  <c r="BT672" i="40"/>
  <c r="BU672" i="40"/>
  <c r="BV672" i="40"/>
  <c r="BP673" i="40"/>
  <c r="BQ673" i="40"/>
  <c r="BR673" i="40"/>
  <c r="BS673" i="40"/>
  <c r="BT673" i="40"/>
  <c r="BU673" i="40"/>
  <c r="BV673" i="40"/>
  <c r="BP674" i="40"/>
  <c r="BQ674" i="40"/>
  <c r="BR674" i="40"/>
  <c r="BS674" i="40"/>
  <c r="BT674" i="40"/>
  <c r="BU674" i="40"/>
  <c r="BV674" i="40"/>
  <c r="BP675" i="40"/>
  <c r="BQ675" i="40"/>
  <c r="BR675" i="40"/>
  <c r="BS675" i="40"/>
  <c r="BT675" i="40"/>
  <c r="BU675" i="40"/>
  <c r="BV675" i="40"/>
  <c r="BP676" i="40"/>
  <c r="BQ676" i="40"/>
  <c r="BR676" i="40"/>
  <c r="BS676" i="40"/>
  <c r="BT676" i="40"/>
  <c r="BU676" i="40"/>
  <c r="BV676" i="40"/>
  <c r="BP677" i="40"/>
  <c r="BQ677" i="40"/>
  <c r="BR677" i="40"/>
  <c r="BS677" i="40"/>
  <c r="BT677" i="40"/>
  <c r="BU677" i="40"/>
  <c r="BV677" i="40"/>
  <c r="BP678" i="40"/>
  <c r="BQ678" i="40"/>
  <c r="BR678" i="40"/>
  <c r="BS678" i="40"/>
  <c r="BT678" i="40"/>
  <c r="BU678" i="40"/>
  <c r="BV678" i="40"/>
  <c r="BP679" i="40"/>
  <c r="BQ679" i="40"/>
  <c r="BR679" i="40"/>
  <c r="BS679" i="40"/>
  <c r="BT679" i="40"/>
  <c r="BU679" i="40"/>
  <c r="BV679" i="40"/>
  <c r="BP680" i="40"/>
  <c r="BQ680" i="40"/>
  <c r="BR680" i="40"/>
  <c r="BS680" i="40"/>
  <c r="BT680" i="40"/>
  <c r="BU680" i="40"/>
  <c r="BV680" i="40"/>
  <c r="BG12" i="40"/>
  <c r="BG13" i="40"/>
  <c r="BG14" i="40"/>
  <c r="BG15" i="40"/>
  <c r="BG16" i="40"/>
  <c r="BG17" i="40"/>
  <c r="BG18" i="40"/>
  <c r="BG19" i="40"/>
  <c r="BG20" i="40"/>
  <c r="BH20" i="40"/>
  <c r="BI20" i="40"/>
  <c r="BJ20" i="40"/>
  <c r="BK20" i="40"/>
  <c r="BL20" i="40"/>
  <c r="BM20" i="40"/>
  <c r="BG25" i="40"/>
  <c r="BG26" i="40"/>
  <c r="BG27" i="40"/>
  <c r="BG31" i="40"/>
  <c r="BG32" i="40"/>
  <c r="BG33" i="40"/>
  <c r="BG34" i="40"/>
  <c r="BH34" i="40"/>
  <c r="BI34" i="40"/>
  <c r="BJ34" i="40"/>
  <c r="BK34" i="40"/>
  <c r="BL34" i="40"/>
  <c r="BM34" i="40"/>
  <c r="BG35" i="40"/>
  <c r="BG36" i="40"/>
  <c r="BG40" i="40"/>
  <c r="BG41" i="40"/>
  <c r="BG42" i="40"/>
  <c r="BG43" i="40"/>
  <c r="BG44" i="40"/>
  <c r="BG70" i="40"/>
  <c r="BH70" i="40"/>
  <c r="BI70" i="40"/>
  <c r="BJ70" i="40"/>
  <c r="BK70" i="40"/>
  <c r="BL70" i="40"/>
  <c r="BM70" i="40"/>
  <c r="BG71" i="40"/>
  <c r="BH71" i="40"/>
  <c r="BI71" i="40"/>
  <c r="BJ71" i="40"/>
  <c r="BK71" i="40"/>
  <c r="BL71" i="40"/>
  <c r="BM71" i="40"/>
  <c r="BG72" i="40"/>
  <c r="BH72" i="40"/>
  <c r="BI72" i="40"/>
  <c r="BJ72" i="40"/>
  <c r="BK72" i="40"/>
  <c r="BL72" i="40"/>
  <c r="BM72" i="40"/>
  <c r="BG135" i="40"/>
  <c r="BH135" i="40"/>
  <c r="BI135" i="40"/>
  <c r="BJ135" i="40"/>
  <c r="BK135" i="40"/>
  <c r="BL135" i="40"/>
  <c r="BM135" i="40"/>
  <c r="BG136" i="40"/>
  <c r="BH136" i="40"/>
  <c r="BI136" i="40"/>
  <c r="BJ136" i="40"/>
  <c r="BK136" i="40"/>
  <c r="BL136" i="40"/>
  <c r="BM136" i="40"/>
  <c r="BG137" i="40"/>
  <c r="BH137" i="40"/>
  <c r="BI137" i="40"/>
  <c r="BJ137" i="40"/>
  <c r="BK137" i="40"/>
  <c r="BL137" i="40"/>
  <c r="BM137" i="40"/>
  <c r="BG138" i="40"/>
  <c r="BH138" i="40"/>
  <c r="BI138" i="40"/>
  <c r="BJ138" i="40"/>
  <c r="BK138" i="40"/>
  <c r="BL138" i="40"/>
  <c r="BM138" i="40"/>
  <c r="BG139" i="40"/>
  <c r="BH139" i="40"/>
  <c r="BI139" i="40"/>
  <c r="BJ139" i="40"/>
  <c r="BK139" i="40"/>
  <c r="BL139" i="40"/>
  <c r="BM139" i="40"/>
  <c r="BG140" i="40"/>
  <c r="BH140" i="40"/>
  <c r="BI140" i="40"/>
  <c r="BJ140" i="40"/>
  <c r="BK140" i="40"/>
  <c r="BL140" i="40"/>
  <c r="BM140" i="40"/>
  <c r="BG141" i="40"/>
  <c r="BH141" i="40"/>
  <c r="BI141" i="40"/>
  <c r="BJ141" i="40"/>
  <c r="BK141" i="40"/>
  <c r="BL141" i="40"/>
  <c r="BM141" i="40"/>
  <c r="BG142" i="40"/>
  <c r="BH142" i="40"/>
  <c r="BI142" i="40"/>
  <c r="BJ142" i="40"/>
  <c r="BK142" i="40"/>
  <c r="BL142" i="40"/>
  <c r="BM142" i="40"/>
  <c r="BG143" i="40"/>
  <c r="BH143" i="40"/>
  <c r="BI143" i="40"/>
  <c r="BJ143" i="40"/>
  <c r="BK143" i="40"/>
  <c r="BL143" i="40"/>
  <c r="BM143" i="40"/>
  <c r="BG144" i="40"/>
  <c r="BH144" i="40"/>
  <c r="BI144" i="40"/>
  <c r="BJ144" i="40"/>
  <c r="BK144" i="40"/>
  <c r="BL144" i="40"/>
  <c r="BM144" i="40"/>
  <c r="BG145" i="40"/>
  <c r="BH145" i="40"/>
  <c r="BI145" i="40"/>
  <c r="BJ145" i="40"/>
  <c r="BK145" i="40"/>
  <c r="BL145" i="40"/>
  <c r="BM145" i="40"/>
  <c r="BG146" i="40"/>
  <c r="BH146" i="40"/>
  <c r="BI146" i="40"/>
  <c r="BJ146" i="40"/>
  <c r="BK146" i="40"/>
  <c r="BL146" i="40"/>
  <c r="BM146" i="40"/>
  <c r="BG147" i="40"/>
  <c r="BH147" i="40"/>
  <c r="BI147" i="40"/>
  <c r="BJ147" i="40"/>
  <c r="BK147" i="40"/>
  <c r="BL147" i="40"/>
  <c r="BM147" i="40"/>
  <c r="BG148" i="40"/>
  <c r="BH148" i="40"/>
  <c r="BI148" i="40"/>
  <c r="BJ148" i="40"/>
  <c r="BK148" i="40"/>
  <c r="BL148" i="40"/>
  <c r="BM148" i="40"/>
  <c r="BG149" i="40"/>
  <c r="BH149" i="40"/>
  <c r="BI149" i="40"/>
  <c r="BJ149" i="40"/>
  <c r="BK149" i="40"/>
  <c r="BL149" i="40"/>
  <c r="BM149" i="40"/>
  <c r="BG150" i="40"/>
  <c r="BH150" i="40"/>
  <c r="BI150" i="40"/>
  <c r="BJ150" i="40"/>
  <c r="BK150" i="40"/>
  <c r="BL150" i="40"/>
  <c r="BM150" i="40"/>
  <c r="BG151" i="40"/>
  <c r="BH151" i="40"/>
  <c r="BI151" i="40"/>
  <c r="BJ151" i="40"/>
  <c r="BK151" i="40"/>
  <c r="BL151" i="40"/>
  <c r="BM151" i="40"/>
  <c r="BG152" i="40"/>
  <c r="BH152" i="40"/>
  <c r="BI152" i="40"/>
  <c r="BJ152" i="40"/>
  <c r="BK152" i="40"/>
  <c r="BL152" i="40"/>
  <c r="BM152" i="40"/>
  <c r="BG153" i="40"/>
  <c r="BH153" i="40"/>
  <c r="BI153" i="40"/>
  <c r="BJ153" i="40"/>
  <c r="BK153" i="40"/>
  <c r="BL153" i="40"/>
  <c r="BM153" i="40"/>
  <c r="BG154" i="40"/>
  <c r="BH154" i="40"/>
  <c r="BI154" i="40"/>
  <c r="BJ154" i="40"/>
  <c r="BK154" i="40"/>
  <c r="BL154" i="40"/>
  <c r="BM154" i="40"/>
  <c r="BG155" i="40"/>
  <c r="BH155" i="40"/>
  <c r="BI155" i="40"/>
  <c r="BJ155" i="40"/>
  <c r="BK155" i="40"/>
  <c r="BL155" i="40"/>
  <c r="BM155" i="40"/>
  <c r="BG156" i="40"/>
  <c r="BH156" i="40"/>
  <c r="BI156" i="40"/>
  <c r="BJ156" i="40"/>
  <c r="BK156" i="40"/>
  <c r="BL156" i="40"/>
  <c r="BM156" i="40"/>
  <c r="BG157" i="40"/>
  <c r="BH157" i="40"/>
  <c r="BI157" i="40"/>
  <c r="BJ157" i="40"/>
  <c r="BK157" i="40"/>
  <c r="BL157" i="40"/>
  <c r="BM157" i="40"/>
  <c r="BG158" i="40"/>
  <c r="BH158" i="40"/>
  <c r="BI158" i="40"/>
  <c r="BJ158" i="40"/>
  <c r="BK158" i="40"/>
  <c r="BL158" i="40"/>
  <c r="BM158" i="40"/>
  <c r="BG159" i="40"/>
  <c r="BH159" i="40"/>
  <c r="BI159" i="40"/>
  <c r="BJ159" i="40"/>
  <c r="BK159" i="40"/>
  <c r="BL159" i="40"/>
  <c r="BM159" i="40"/>
  <c r="BG160" i="40"/>
  <c r="BH160" i="40"/>
  <c r="BI160" i="40"/>
  <c r="BJ160" i="40"/>
  <c r="BK160" i="40"/>
  <c r="BL160" i="40"/>
  <c r="BM160" i="40"/>
  <c r="BG161" i="40"/>
  <c r="BH161" i="40"/>
  <c r="BI161" i="40"/>
  <c r="BJ161" i="40"/>
  <c r="BK161" i="40"/>
  <c r="BL161" i="40"/>
  <c r="BM161" i="40"/>
  <c r="BG162" i="40"/>
  <c r="BH162" i="40"/>
  <c r="BI162" i="40"/>
  <c r="BJ162" i="40"/>
  <c r="BK162" i="40"/>
  <c r="BL162" i="40"/>
  <c r="BM162" i="40"/>
  <c r="BG163" i="40"/>
  <c r="BH163" i="40"/>
  <c r="BI163" i="40"/>
  <c r="BJ163" i="40"/>
  <c r="BK163" i="40"/>
  <c r="BL163" i="40"/>
  <c r="BM163" i="40"/>
  <c r="BG164" i="40"/>
  <c r="BH164" i="40"/>
  <c r="BI164" i="40"/>
  <c r="BJ164" i="40"/>
  <c r="BK164" i="40"/>
  <c r="BL164" i="40"/>
  <c r="BM164" i="40"/>
  <c r="BG165" i="40"/>
  <c r="BH165" i="40"/>
  <c r="BI165" i="40"/>
  <c r="BJ165" i="40"/>
  <c r="BK165" i="40"/>
  <c r="BL165" i="40"/>
  <c r="BM165" i="40"/>
  <c r="BG166" i="40"/>
  <c r="BH166" i="40"/>
  <c r="BI166" i="40"/>
  <c r="BJ166" i="40"/>
  <c r="BK166" i="40"/>
  <c r="BL166" i="40"/>
  <c r="BM166" i="40"/>
  <c r="BG167" i="40"/>
  <c r="BH167" i="40"/>
  <c r="BI167" i="40"/>
  <c r="BJ167" i="40"/>
  <c r="BK167" i="40"/>
  <c r="BL167" i="40"/>
  <c r="BM167" i="40"/>
  <c r="BG168" i="40"/>
  <c r="BH168" i="40"/>
  <c r="BI168" i="40"/>
  <c r="BJ168" i="40"/>
  <c r="BK168" i="40"/>
  <c r="BL168" i="40"/>
  <c r="BM168" i="40"/>
  <c r="BG169" i="40"/>
  <c r="BH169" i="40"/>
  <c r="BI169" i="40"/>
  <c r="BJ169" i="40"/>
  <c r="BK169" i="40"/>
  <c r="BL169" i="40"/>
  <c r="BM169" i="40"/>
  <c r="BG170" i="40"/>
  <c r="BH170" i="40"/>
  <c r="BI170" i="40"/>
  <c r="BJ170" i="40"/>
  <c r="BK170" i="40"/>
  <c r="BL170" i="40"/>
  <c r="BM170" i="40"/>
  <c r="BG171" i="40"/>
  <c r="BH171" i="40"/>
  <c r="BI171" i="40"/>
  <c r="BJ171" i="40"/>
  <c r="BK171" i="40"/>
  <c r="BL171" i="40"/>
  <c r="BM171" i="40"/>
  <c r="BG172" i="40"/>
  <c r="BH172" i="40"/>
  <c r="BI172" i="40"/>
  <c r="BJ172" i="40"/>
  <c r="BK172" i="40"/>
  <c r="BL172" i="40"/>
  <c r="BM172" i="40"/>
  <c r="BG173" i="40"/>
  <c r="BH173" i="40"/>
  <c r="BI173" i="40"/>
  <c r="BJ173" i="40"/>
  <c r="BK173" i="40"/>
  <c r="BL173" i="40"/>
  <c r="BM173" i="40"/>
  <c r="BG174" i="40"/>
  <c r="BH174" i="40"/>
  <c r="BI174" i="40"/>
  <c r="BJ174" i="40"/>
  <c r="BK174" i="40"/>
  <c r="BL174" i="40"/>
  <c r="BM174" i="40"/>
  <c r="BG175" i="40"/>
  <c r="BH175" i="40"/>
  <c r="BI175" i="40"/>
  <c r="BJ175" i="40"/>
  <c r="BK175" i="40"/>
  <c r="BL175" i="40"/>
  <c r="BM175" i="40"/>
  <c r="BG176" i="40"/>
  <c r="BH176" i="40"/>
  <c r="BI176" i="40"/>
  <c r="BJ176" i="40"/>
  <c r="BK176" i="40"/>
  <c r="BL176" i="40"/>
  <c r="BM176" i="40"/>
  <c r="BG177" i="40"/>
  <c r="BH177" i="40"/>
  <c r="BI177" i="40"/>
  <c r="BJ177" i="40"/>
  <c r="BK177" i="40"/>
  <c r="BL177" i="40"/>
  <c r="BM177" i="40"/>
  <c r="BG178" i="40"/>
  <c r="BH178" i="40"/>
  <c r="BI178" i="40"/>
  <c r="BJ178" i="40"/>
  <c r="BK178" i="40"/>
  <c r="BL178" i="40"/>
  <c r="BM178" i="40"/>
  <c r="BG179" i="40"/>
  <c r="BH179" i="40"/>
  <c r="BI179" i="40"/>
  <c r="BJ179" i="40"/>
  <c r="BK179" i="40"/>
  <c r="BL179" i="40"/>
  <c r="BM179" i="40"/>
  <c r="BG180" i="40"/>
  <c r="BH180" i="40"/>
  <c r="BI180" i="40"/>
  <c r="BJ180" i="40"/>
  <c r="BK180" i="40"/>
  <c r="BL180" i="40"/>
  <c r="BM180" i="40"/>
  <c r="BG181" i="40"/>
  <c r="BH181" i="40"/>
  <c r="BI181" i="40"/>
  <c r="BJ181" i="40"/>
  <c r="BK181" i="40"/>
  <c r="BL181" i="40"/>
  <c r="BM181" i="40"/>
  <c r="BG182" i="40"/>
  <c r="BH182" i="40"/>
  <c r="BI182" i="40"/>
  <c r="BJ182" i="40"/>
  <c r="BK182" i="40"/>
  <c r="BL182" i="40"/>
  <c r="BM182" i="40"/>
  <c r="BG183" i="40"/>
  <c r="BH183" i="40"/>
  <c r="BI183" i="40"/>
  <c r="BJ183" i="40"/>
  <c r="BK183" i="40"/>
  <c r="BL183" i="40"/>
  <c r="BM183" i="40"/>
  <c r="BG184" i="40"/>
  <c r="BH184" i="40"/>
  <c r="BI184" i="40"/>
  <c r="BJ184" i="40"/>
  <c r="BK184" i="40"/>
  <c r="BL184" i="40"/>
  <c r="BM184" i="40"/>
  <c r="BG185" i="40"/>
  <c r="BH185" i="40"/>
  <c r="BI185" i="40"/>
  <c r="BJ185" i="40"/>
  <c r="BK185" i="40"/>
  <c r="BL185" i="40"/>
  <c r="BM185" i="40"/>
  <c r="BG186" i="40"/>
  <c r="BH186" i="40"/>
  <c r="BI186" i="40"/>
  <c r="BJ186" i="40"/>
  <c r="BK186" i="40"/>
  <c r="BL186" i="40"/>
  <c r="BM186" i="40"/>
  <c r="BG187" i="40"/>
  <c r="BH187" i="40"/>
  <c r="BI187" i="40"/>
  <c r="BJ187" i="40"/>
  <c r="BK187" i="40"/>
  <c r="BL187" i="40"/>
  <c r="BM187" i="40"/>
  <c r="BG188" i="40"/>
  <c r="BH188" i="40"/>
  <c r="BI188" i="40"/>
  <c r="BJ188" i="40"/>
  <c r="BK188" i="40"/>
  <c r="BL188" i="40"/>
  <c r="BM188" i="40"/>
  <c r="BG189" i="40"/>
  <c r="BH189" i="40"/>
  <c r="BI189" i="40"/>
  <c r="BJ189" i="40"/>
  <c r="BK189" i="40"/>
  <c r="BL189" i="40"/>
  <c r="BM189" i="40"/>
  <c r="BG190" i="40"/>
  <c r="BH190" i="40"/>
  <c r="BI190" i="40"/>
  <c r="BJ190" i="40"/>
  <c r="BK190" i="40"/>
  <c r="BL190" i="40"/>
  <c r="BM190" i="40"/>
  <c r="BG191" i="40"/>
  <c r="BH191" i="40"/>
  <c r="BI191" i="40"/>
  <c r="BJ191" i="40"/>
  <c r="BK191" i="40"/>
  <c r="BL191" i="40"/>
  <c r="BM191" i="40"/>
  <c r="BG192" i="40"/>
  <c r="BH192" i="40"/>
  <c r="BI192" i="40"/>
  <c r="BJ192" i="40"/>
  <c r="BK192" i="40"/>
  <c r="BL192" i="40"/>
  <c r="BM192" i="40"/>
  <c r="BG193" i="40"/>
  <c r="BH193" i="40"/>
  <c r="BI193" i="40"/>
  <c r="BJ193" i="40"/>
  <c r="BK193" i="40"/>
  <c r="BL193" i="40"/>
  <c r="BM193" i="40"/>
  <c r="BG194" i="40"/>
  <c r="BH194" i="40"/>
  <c r="BI194" i="40"/>
  <c r="BJ194" i="40"/>
  <c r="BK194" i="40"/>
  <c r="BL194" i="40"/>
  <c r="BM194" i="40"/>
  <c r="BG195" i="40"/>
  <c r="BH195" i="40"/>
  <c r="BI195" i="40"/>
  <c r="BJ195" i="40"/>
  <c r="BK195" i="40"/>
  <c r="BL195" i="40"/>
  <c r="BM195" i="40"/>
  <c r="BG196" i="40"/>
  <c r="BH196" i="40"/>
  <c r="BI196" i="40"/>
  <c r="BJ196" i="40"/>
  <c r="BK196" i="40"/>
  <c r="BL196" i="40"/>
  <c r="BM196" i="40"/>
  <c r="BG197" i="40"/>
  <c r="BH197" i="40"/>
  <c r="BI197" i="40"/>
  <c r="BJ197" i="40"/>
  <c r="BK197" i="40"/>
  <c r="BL197" i="40"/>
  <c r="BM197" i="40"/>
  <c r="BG198" i="40"/>
  <c r="BH198" i="40"/>
  <c r="BI198" i="40"/>
  <c r="BJ198" i="40"/>
  <c r="BK198" i="40"/>
  <c r="BL198" i="40"/>
  <c r="BM198" i="40"/>
  <c r="BG199" i="40"/>
  <c r="BH199" i="40"/>
  <c r="BI199" i="40"/>
  <c r="BJ199" i="40"/>
  <c r="BK199" i="40"/>
  <c r="BL199" i="40"/>
  <c r="BM199" i="40"/>
  <c r="BG200" i="40"/>
  <c r="BH200" i="40"/>
  <c r="BI200" i="40"/>
  <c r="BJ200" i="40"/>
  <c r="BK200" i="40"/>
  <c r="BL200" i="40"/>
  <c r="BM200" i="40"/>
  <c r="BG201" i="40"/>
  <c r="BH201" i="40"/>
  <c r="BI201" i="40"/>
  <c r="BJ201" i="40"/>
  <c r="BK201" i="40"/>
  <c r="BL201" i="40"/>
  <c r="BM201" i="40"/>
  <c r="BG202" i="40"/>
  <c r="BH202" i="40"/>
  <c r="BI202" i="40"/>
  <c r="BJ202" i="40"/>
  <c r="BK202" i="40"/>
  <c r="BL202" i="40"/>
  <c r="BM202" i="40"/>
  <c r="BG203" i="40"/>
  <c r="BH203" i="40"/>
  <c r="BI203" i="40"/>
  <c r="BJ203" i="40"/>
  <c r="BK203" i="40"/>
  <c r="BL203" i="40"/>
  <c r="BM203" i="40"/>
  <c r="BG204" i="40"/>
  <c r="BH204" i="40"/>
  <c r="BI204" i="40"/>
  <c r="BJ204" i="40"/>
  <c r="BK204" i="40"/>
  <c r="BL204" i="40"/>
  <c r="BM204" i="40"/>
  <c r="BG205" i="40"/>
  <c r="BH205" i="40"/>
  <c r="BI205" i="40"/>
  <c r="BJ205" i="40"/>
  <c r="BK205" i="40"/>
  <c r="BL205" i="40"/>
  <c r="BM205" i="40"/>
  <c r="BG206" i="40"/>
  <c r="BH206" i="40"/>
  <c r="BI206" i="40"/>
  <c r="BJ206" i="40"/>
  <c r="BK206" i="40"/>
  <c r="BL206" i="40"/>
  <c r="BM206" i="40"/>
  <c r="BG207" i="40"/>
  <c r="BH207" i="40"/>
  <c r="BI207" i="40"/>
  <c r="BJ207" i="40"/>
  <c r="BK207" i="40"/>
  <c r="BL207" i="40"/>
  <c r="BM207" i="40"/>
  <c r="BG208" i="40"/>
  <c r="BH208" i="40"/>
  <c r="BI208" i="40"/>
  <c r="BJ208" i="40"/>
  <c r="BK208" i="40"/>
  <c r="BL208" i="40"/>
  <c r="BM208" i="40"/>
  <c r="BG209" i="40"/>
  <c r="BH209" i="40"/>
  <c r="BI209" i="40"/>
  <c r="BJ209" i="40"/>
  <c r="BK209" i="40"/>
  <c r="BL209" i="40"/>
  <c r="BM209" i="40"/>
  <c r="BG210" i="40"/>
  <c r="BH210" i="40"/>
  <c r="BI210" i="40"/>
  <c r="BJ210" i="40"/>
  <c r="BK210" i="40"/>
  <c r="BL210" i="40"/>
  <c r="BM210" i="40"/>
  <c r="BG211" i="40"/>
  <c r="BH211" i="40"/>
  <c r="BI211" i="40"/>
  <c r="BJ211" i="40"/>
  <c r="BK211" i="40"/>
  <c r="BL211" i="40"/>
  <c r="BM211" i="40"/>
  <c r="BG212" i="40"/>
  <c r="BH212" i="40"/>
  <c r="BI212" i="40"/>
  <c r="BJ212" i="40"/>
  <c r="BK212" i="40"/>
  <c r="BL212" i="40"/>
  <c r="BM212" i="40"/>
  <c r="BG213" i="40"/>
  <c r="BH213" i="40"/>
  <c r="BI213" i="40"/>
  <c r="BJ213" i="40"/>
  <c r="BK213" i="40"/>
  <c r="BL213" i="40"/>
  <c r="BM213" i="40"/>
  <c r="BG214" i="40"/>
  <c r="BH214" i="40"/>
  <c r="BI214" i="40"/>
  <c r="BJ214" i="40"/>
  <c r="BK214" i="40"/>
  <c r="BL214" i="40"/>
  <c r="BM214" i="40"/>
  <c r="BG215" i="40"/>
  <c r="BH215" i="40"/>
  <c r="BI215" i="40"/>
  <c r="BJ215" i="40"/>
  <c r="BK215" i="40"/>
  <c r="BL215" i="40"/>
  <c r="BM215" i="40"/>
  <c r="BG216" i="40"/>
  <c r="BH216" i="40"/>
  <c r="BI216" i="40"/>
  <c r="BJ216" i="40"/>
  <c r="BK216" i="40"/>
  <c r="BL216" i="40"/>
  <c r="BM216" i="40"/>
  <c r="BG217" i="40"/>
  <c r="BH217" i="40"/>
  <c r="BI217" i="40"/>
  <c r="BJ217" i="40"/>
  <c r="BK217" i="40"/>
  <c r="BL217" i="40"/>
  <c r="BM217" i="40"/>
  <c r="BG218" i="40"/>
  <c r="BH218" i="40"/>
  <c r="BI218" i="40"/>
  <c r="BJ218" i="40"/>
  <c r="BK218" i="40"/>
  <c r="BL218" i="40"/>
  <c r="BM218" i="40"/>
  <c r="BG221" i="40"/>
  <c r="BG224" i="40"/>
  <c r="BG286" i="40"/>
  <c r="BG291" i="40"/>
  <c r="BG292" i="40"/>
  <c r="BG293" i="40"/>
  <c r="BG294" i="40"/>
  <c r="BG295" i="40"/>
  <c r="BG296" i="40"/>
  <c r="BG298" i="40"/>
  <c r="BH298" i="40"/>
  <c r="BI298" i="40"/>
  <c r="BJ298" i="40"/>
  <c r="BK298" i="40"/>
  <c r="BL298" i="40"/>
  <c r="BM298" i="40"/>
  <c r="BG299" i="40"/>
  <c r="BH299" i="40"/>
  <c r="BI299" i="40"/>
  <c r="BJ299" i="40"/>
  <c r="BK299" i="40"/>
  <c r="BL299" i="40"/>
  <c r="BM299" i="40"/>
  <c r="BG301" i="40"/>
  <c r="BH301" i="40"/>
  <c r="BI301" i="40"/>
  <c r="BJ301" i="40"/>
  <c r="BK301" i="40"/>
  <c r="BL301" i="40"/>
  <c r="BM301" i="40"/>
  <c r="BG302" i="40"/>
  <c r="BH302" i="40"/>
  <c r="BI302" i="40"/>
  <c r="BJ302" i="40"/>
  <c r="BK302" i="40"/>
  <c r="BL302" i="40"/>
  <c r="BM302" i="40"/>
  <c r="BG303" i="40"/>
  <c r="BH303" i="40"/>
  <c r="BI303" i="40"/>
  <c r="BJ303" i="40"/>
  <c r="BK303" i="40"/>
  <c r="BL303" i="40"/>
  <c r="BM303" i="40"/>
  <c r="BG304" i="40"/>
  <c r="BH304" i="40"/>
  <c r="BI304" i="40"/>
  <c r="BJ304" i="40"/>
  <c r="BK304" i="40"/>
  <c r="BL304" i="40"/>
  <c r="BM304" i="40"/>
  <c r="BG305" i="40"/>
  <c r="BH305" i="40"/>
  <c r="BI305" i="40"/>
  <c r="BJ305" i="40"/>
  <c r="BK305" i="40"/>
  <c r="BL305" i="40"/>
  <c r="BM305" i="40"/>
  <c r="BG306" i="40"/>
  <c r="BH306" i="40"/>
  <c r="BI306" i="40"/>
  <c r="BJ306" i="40"/>
  <c r="BK306" i="40"/>
  <c r="BL306" i="40"/>
  <c r="BM306" i="40"/>
  <c r="BG307" i="40"/>
  <c r="BH307" i="40"/>
  <c r="BI307" i="40"/>
  <c r="BJ307" i="40"/>
  <c r="BK307" i="40"/>
  <c r="BL307" i="40"/>
  <c r="BM307" i="40"/>
  <c r="BG308" i="40"/>
  <c r="BH308" i="40"/>
  <c r="BI308" i="40"/>
  <c r="BJ308" i="40"/>
  <c r="BK308" i="40"/>
  <c r="BL308" i="40"/>
  <c r="BM308" i="40"/>
  <c r="BG310" i="40"/>
  <c r="BH310" i="40"/>
  <c r="BI310" i="40"/>
  <c r="BJ310" i="40"/>
  <c r="BK310" i="40"/>
  <c r="BL310" i="40"/>
  <c r="BM310" i="40"/>
  <c r="BG312" i="40"/>
  <c r="BH312" i="40"/>
  <c r="BI312" i="40"/>
  <c r="BJ312" i="40"/>
  <c r="BK312" i="40"/>
  <c r="BL312" i="40"/>
  <c r="BM312" i="40"/>
  <c r="BG313" i="40"/>
  <c r="BG314" i="40"/>
  <c r="BG315" i="40"/>
  <c r="BG316" i="40"/>
  <c r="BG317" i="40"/>
  <c r="BH317" i="40"/>
  <c r="BI317" i="40"/>
  <c r="BJ317" i="40"/>
  <c r="BK317" i="40"/>
  <c r="BL317" i="40"/>
  <c r="BM317" i="40"/>
  <c r="BG318" i="40"/>
  <c r="BH318" i="40"/>
  <c r="BI318" i="40"/>
  <c r="BJ318" i="40"/>
  <c r="BK318" i="40"/>
  <c r="BL318" i="40"/>
  <c r="BM318" i="40"/>
  <c r="BG319" i="40"/>
  <c r="BH319" i="40"/>
  <c r="BI319" i="40"/>
  <c r="BJ319" i="40"/>
  <c r="BK319" i="40"/>
  <c r="BL319" i="40"/>
  <c r="BM319" i="40"/>
  <c r="BG320" i="40"/>
  <c r="BH320" i="40"/>
  <c r="BI320" i="40"/>
  <c r="BJ320" i="40"/>
  <c r="BK320" i="40"/>
  <c r="BL320" i="40"/>
  <c r="BM320" i="40"/>
  <c r="BG321" i="40"/>
  <c r="BH321" i="40"/>
  <c r="BI321" i="40"/>
  <c r="BJ321" i="40"/>
  <c r="BK321" i="40"/>
  <c r="BL321" i="40"/>
  <c r="BM321" i="40"/>
  <c r="BG322" i="40"/>
  <c r="BH322" i="40"/>
  <c r="BI322" i="40"/>
  <c r="BJ322" i="40"/>
  <c r="BK322" i="40"/>
  <c r="BL322" i="40"/>
  <c r="BM322" i="40"/>
  <c r="BG323" i="40"/>
  <c r="BH323" i="40"/>
  <c r="BI323" i="40"/>
  <c r="BJ323" i="40"/>
  <c r="BK323" i="40"/>
  <c r="BL323" i="40"/>
  <c r="BM323" i="40"/>
  <c r="BG324" i="40"/>
  <c r="BH324" i="40"/>
  <c r="BI324" i="40"/>
  <c r="BJ324" i="40"/>
  <c r="BK324" i="40"/>
  <c r="BL324" i="40"/>
  <c r="BM324" i="40"/>
  <c r="BG335" i="40"/>
  <c r="BG336" i="40"/>
  <c r="BG386" i="40"/>
  <c r="BG387" i="40"/>
  <c r="BG388" i="40"/>
  <c r="BG389" i="40"/>
  <c r="BG390" i="40"/>
  <c r="BG391" i="40"/>
  <c r="BG392" i="40"/>
  <c r="BG393" i="40"/>
  <c r="BG394" i="40"/>
  <c r="BG395" i="40"/>
  <c r="BG408" i="40"/>
  <c r="BG420" i="40"/>
  <c r="BH420" i="40"/>
  <c r="BI420" i="40"/>
  <c r="BJ420" i="40"/>
  <c r="BK420" i="40"/>
  <c r="BL420" i="40"/>
  <c r="BM420" i="40"/>
  <c r="BG421" i="40"/>
  <c r="BH421" i="40"/>
  <c r="BI421" i="40"/>
  <c r="BJ421" i="40"/>
  <c r="BK421" i="40"/>
  <c r="BL421" i="40"/>
  <c r="BM421" i="40"/>
  <c r="BG422" i="40"/>
  <c r="BH422" i="40"/>
  <c r="BI422" i="40"/>
  <c r="BJ422" i="40"/>
  <c r="BK422" i="40"/>
  <c r="BL422" i="40"/>
  <c r="BM422" i="40"/>
  <c r="BG423" i="40"/>
  <c r="BH423" i="40"/>
  <c r="BI423" i="40"/>
  <c r="BJ423" i="40"/>
  <c r="BK423" i="40"/>
  <c r="BL423" i="40"/>
  <c r="BM423" i="40"/>
  <c r="BG424" i="40"/>
  <c r="BH424" i="40"/>
  <c r="BI424" i="40"/>
  <c r="BJ424" i="40"/>
  <c r="BK424" i="40"/>
  <c r="BL424" i="40"/>
  <c r="BM424" i="40"/>
  <c r="BG425" i="40"/>
  <c r="BH425" i="40"/>
  <c r="BI425" i="40"/>
  <c r="BJ425" i="40"/>
  <c r="BK425" i="40"/>
  <c r="BL425" i="40"/>
  <c r="BM425" i="40"/>
  <c r="BG426" i="40"/>
  <c r="BG483" i="40"/>
  <c r="BH483" i="40"/>
  <c r="BI483" i="40"/>
  <c r="BJ483" i="40"/>
  <c r="BK483" i="40"/>
  <c r="BL483" i="40"/>
  <c r="BM483" i="40"/>
  <c r="BG484" i="40"/>
  <c r="BH484" i="40"/>
  <c r="BI484" i="40"/>
  <c r="BJ484" i="40"/>
  <c r="BK484" i="40"/>
  <c r="BL484" i="40"/>
  <c r="BM484" i="40"/>
  <c r="BG485" i="40"/>
  <c r="BH485" i="40"/>
  <c r="BI485" i="40"/>
  <c r="BJ485" i="40"/>
  <c r="BK485" i="40"/>
  <c r="BL485" i="40"/>
  <c r="BM485" i="40"/>
  <c r="BG486" i="40"/>
  <c r="BH486" i="40"/>
  <c r="BI486" i="40"/>
  <c r="BJ486" i="40"/>
  <c r="BK486" i="40"/>
  <c r="BL486" i="40"/>
  <c r="BM486" i="40"/>
  <c r="BG487" i="40"/>
  <c r="BH487" i="40"/>
  <c r="BI487" i="40"/>
  <c r="BJ487" i="40"/>
  <c r="BK487" i="40"/>
  <c r="BL487" i="40"/>
  <c r="BM487" i="40"/>
  <c r="BG488" i="40"/>
  <c r="BH488" i="40"/>
  <c r="BI488" i="40"/>
  <c r="BJ488" i="40"/>
  <c r="BK488" i="40"/>
  <c r="BL488" i="40"/>
  <c r="BM488" i="40"/>
  <c r="BG489" i="40"/>
  <c r="BH489" i="40"/>
  <c r="BI489" i="40"/>
  <c r="BJ489" i="40"/>
  <c r="BK489" i="40"/>
  <c r="BL489" i="40"/>
  <c r="BM489" i="40"/>
  <c r="BG490" i="40"/>
  <c r="BH490" i="40"/>
  <c r="BI490" i="40"/>
  <c r="BJ490" i="40"/>
  <c r="BK490" i="40"/>
  <c r="BL490" i="40"/>
  <c r="BM490" i="40"/>
  <c r="BG491" i="40"/>
  <c r="BH491" i="40"/>
  <c r="BI491" i="40"/>
  <c r="BJ491" i="40"/>
  <c r="BK491" i="40"/>
  <c r="BL491" i="40"/>
  <c r="BM491" i="40"/>
  <c r="BG492" i="40"/>
  <c r="BH492" i="40"/>
  <c r="BI492" i="40"/>
  <c r="BJ492" i="40"/>
  <c r="BK492" i="40"/>
  <c r="BL492" i="40"/>
  <c r="BM492" i="40"/>
  <c r="BG493" i="40"/>
  <c r="BH493" i="40"/>
  <c r="BI493" i="40"/>
  <c r="BJ493" i="40"/>
  <c r="BK493" i="40"/>
  <c r="BL493" i="40"/>
  <c r="BM493" i="40"/>
  <c r="BG494" i="40"/>
  <c r="BH494" i="40"/>
  <c r="BI494" i="40"/>
  <c r="BJ494" i="40"/>
  <c r="BK494" i="40"/>
  <c r="BL494" i="40"/>
  <c r="BM494" i="40"/>
  <c r="BG495" i="40"/>
  <c r="BH495" i="40"/>
  <c r="BI495" i="40"/>
  <c r="BJ495" i="40"/>
  <c r="BK495" i="40"/>
  <c r="BL495" i="40"/>
  <c r="BM495" i="40"/>
  <c r="BG496" i="40"/>
  <c r="BH496" i="40"/>
  <c r="BI496" i="40"/>
  <c r="BJ496" i="40"/>
  <c r="BK496" i="40"/>
  <c r="BL496" i="40"/>
  <c r="BM496" i="40"/>
  <c r="BG497" i="40"/>
  <c r="BH497" i="40"/>
  <c r="BI497" i="40"/>
  <c r="BJ497" i="40"/>
  <c r="BK497" i="40"/>
  <c r="BL497" i="40"/>
  <c r="BM497" i="40"/>
  <c r="BG498" i="40"/>
  <c r="BH498" i="40"/>
  <c r="BI498" i="40"/>
  <c r="BJ498" i="40"/>
  <c r="BK498" i="40"/>
  <c r="BL498" i="40"/>
  <c r="BM498" i="40"/>
  <c r="BG499" i="40"/>
  <c r="BH499" i="40"/>
  <c r="BI499" i="40"/>
  <c r="BJ499" i="40"/>
  <c r="BK499" i="40"/>
  <c r="BL499" i="40"/>
  <c r="BM499" i="40"/>
  <c r="BG500" i="40"/>
  <c r="BH500" i="40"/>
  <c r="BI500" i="40"/>
  <c r="BJ500" i="40"/>
  <c r="BK500" i="40"/>
  <c r="BL500" i="40"/>
  <c r="BM500" i="40"/>
  <c r="BG501" i="40"/>
  <c r="BH501" i="40"/>
  <c r="BI501" i="40"/>
  <c r="BJ501" i="40"/>
  <c r="BK501" i="40"/>
  <c r="BL501" i="40"/>
  <c r="BM501" i="40"/>
  <c r="BG502" i="40"/>
  <c r="BH502" i="40"/>
  <c r="BI502" i="40"/>
  <c r="BJ502" i="40"/>
  <c r="BK502" i="40"/>
  <c r="BL502" i="40"/>
  <c r="BM502" i="40"/>
  <c r="BG521" i="40"/>
  <c r="BG578" i="40"/>
  <c r="BH578" i="40"/>
  <c r="BI578" i="40"/>
  <c r="BJ578" i="40"/>
  <c r="BK578" i="40"/>
  <c r="BL578" i="40"/>
  <c r="BM578" i="40"/>
  <c r="BG579" i="40"/>
  <c r="BH579" i="40"/>
  <c r="BI579" i="40"/>
  <c r="BJ579" i="40"/>
  <c r="BK579" i="40"/>
  <c r="BL579" i="40"/>
  <c r="BM579" i="40"/>
  <c r="BG585" i="40"/>
  <c r="BH585" i="40"/>
  <c r="BI585" i="40"/>
  <c r="BJ585" i="40"/>
  <c r="BK585" i="40"/>
  <c r="BL585" i="40"/>
  <c r="BM585" i="40"/>
  <c r="BG586" i="40"/>
  <c r="BH586" i="40"/>
  <c r="BI586" i="40"/>
  <c r="BJ586" i="40"/>
  <c r="BK586" i="40"/>
  <c r="BL586" i="40"/>
  <c r="BM586" i="40"/>
  <c r="BG587" i="40"/>
  <c r="BH587" i="40"/>
  <c r="BI587" i="40"/>
  <c r="BJ587" i="40"/>
  <c r="BK587" i="40"/>
  <c r="BL587" i="40"/>
  <c r="BM587" i="40"/>
  <c r="BG588" i="40"/>
  <c r="BH588" i="40"/>
  <c r="BI588" i="40"/>
  <c r="BJ588" i="40"/>
  <c r="BK588" i="40"/>
  <c r="BL588" i="40"/>
  <c r="BM588" i="40"/>
  <c r="BG589" i="40"/>
  <c r="BH589" i="40"/>
  <c r="BI589" i="40"/>
  <c r="BJ589" i="40"/>
  <c r="BK589" i="40"/>
  <c r="BL589" i="40"/>
  <c r="BM589" i="40"/>
  <c r="BG590" i="40"/>
  <c r="BH590" i="40"/>
  <c r="BI590" i="40"/>
  <c r="BJ590" i="40"/>
  <c r="BK590" i="40"/>
  <c r="BL590" i="40"/>
  <c r="BM590" i="40"/>
  <c r="BG591" i="40"/>
  <c r="BH591" i="40"/>
  <c r="BI591" i="40"/>
  <c r="BJ591" i="40"/>
  <c r="BK591" i="40"/>
  <c r="BL591" i="40"/>
  <c r="BM591" i="40"/>
  <c r="BG592" i="40"/>
  <c r="BH592" i="40"/>
  <c r="BI592" i="40"/>
  <c r="BJ592" i="40"/>
  <c r="BK592" i="40"/>
  <c r="BL592" i="40"/>
  <c r="BM592" i="40"/>
  <c r="BG593" i="40"/>
  <c r="BH593" i="40"/>
  <c r="BI593" i="40"/>
  <c r="BJ593" i="40"/>
  <c r="BK593" i="40"/>
  <c r="BL593" i="40"/>
  <c r="BM593" i="40"/>
  <c r="BG594" i="40"/>
  <c r="BH594" i="40"/>
  <c r="BI594" i="40"/>
  <c r="BJ594" i="40"/>
  <c r="BK594" i="40"/>
  <c r="BL594" i="40"/>
  <c r="BM594" i="40"/>
  <c r="BG595" i="40"/>
  <c r="BH595" i="40"/>
  <c r="BI595" i="40"/>
  <c r="BJ595" i="40"/>
  <c r="BK595" i="40"/>
  <c r="BL595" i="40"/>
  <c r="BM595" i="40"/>
  <c r="BG612" i="40"/>
  <c r="BH612" i="40"/>
  <c r="BI612" i="40"/>
  <c r="BJ612" i="40"/>
  <c r="BK612" i="40"/>
  <c r="BL612" i="40"/>
  <c r="BM612" i="40"/>
  <c r="BG613" i="40"/>
  <c r="BH613" i="40"/>
  <c r="BI613" i="40"/>
  <c r="BJ613" i="40"/>
  <c r="BK613" i="40"/>
  <c r="BL613" i="40"/>
  <c r="BM613" i="40"/>
  <c r="BG614" i="40"/>
  <c r="BH614" i="40"/>
  <c r="BI614" i="40"/>
  <c r="BJ614" i="40"/>
  <c r="BK614" i="40"/>
  <c r="BL614" i="40"/>
  <c r="BM614" i="40"/>
  <c r="BG615" i="40"/>
  <c r="BH615" i="40"/>
  <c r="BI615" i="40"/>
  <c r="BJ615" i="40"/>
  <c r="BK615" i="40"/>
  <c r="BL615" i="40"/>
  <c r="BM615" i="40"/>
  <c r="BG616" i="40"/>
  <c r="BH616" i="40"/>
  <c r="BI616" i="40"/>
  <c r="BJ616" i="40"/>
  <c r="BK616" i="40"/>
  <c r="BL616" i="40"/>
  <c r="BM616" i="40"/>
  <c r="BG617" i="40"/>
  <c r="BH617" i="40"/>
  <c r="BI617" i="40"/>
  <c r="BJ617" i="40"/>
  <c r="BK617" i="40"/>
  <c r="BL617" i="40"/>
  <c r="BM617" i="40"/>
  <c r="BG618" i="40"/>
  <c r="BH618" i="40"/>
  <c r="BI618" i="40"/>
  <c r="BJ618" i="40"/>
  <c r="BK618" i="40"/>
  <c r="BL618" i="40"/>
  <c r="BM618" i="40"/>
  <c r="BG619" i="40"/>
  <c r="BH619" i="40"/>
  <c r="BI619" i="40"/>
  <c r="BJ619" i="40"/>
  <c r="BK619" i="40"/>
  <c r="BL619" i="40"/>
  <c r="BM619" i="40"/>
  <c r="BG620" i="40"/>
  <c r="BH620" i="40"/>
  <c r="BI620" i="40"/>
  <c r="BJ620" i="40"/>
  <c r="BK620" i="40"/>
  <c r="BL620" i="40"/>
  <c r="BM620" i="40"/>
  <c r="BG621" i="40"/>
  <c r="BH621" i="40"/>
  <c r="BI621" i="40"/>
  <c r="BJ621" i="40"/>
  <c r="BK621" i="40"/>
  <c r="BL621" i="40"/>
  <c r="BM621" i="40"/>
  <c r="BG622" i="40"/>
  <c r="BH622" i="40"/>
  <c r="BI622" i="40"/>
  <c r="BJ622" i="40"/>
  <c r="BK622" i="40"/>
  <c r="BL622" i="40"/>
  <c r="BM622" i="40"/>
  <c r="BG623" i="40"/>
  <c r="BH623" i="40"/>
  <c r="BI623" i="40"/>
  <c r="BJ623" i="40"/>
  <c r="BK623" i="40"/>
  <c r="BL623" i="40"/>
  <c r="BM623" i="40"/>
  <c r="BG624" i="40"/>
  <c r="BH624" i="40"/>
  <c r="BI624" i="40"/>
  <c r="BJ624" i="40"/>
  <c r="BK624" i="40"/>
  <c r="BL624" i="40"/>
  <c r="BM624" i="40"/>
  <c r="BG625" i="40"/>
  <c r="BH625" i="40"/>
  <c r="BI625" i="40"/>
  <c r="BJ625" i="40"/>
  <c r="BK625" i="40"/>
  <c r="BL625" i="40"/>
  <c r="BM625" i="40"/>
  <c r="BG626" i="40"/>
  <c r="BH626" i="40"/>
  <c r="BI626" i="40"/>
  <c r="BJ626" i="40"/>
  <c r="BK626" i="40"/>
  <c r="BL626" i="40"/>
  <c r="BM626" i="40"/>
  <c r="BG627" i="40"/>
  <c r="BH627" i="40"/>
  <c r="BI627" i="40"/>
  <c r="BJ627" i="40"/>
  <c r="BK627" i="40"/>
  <c r="BL627" i="40"/>
  <c r="BM627" i="40"/>
  <c r="BG628" i="40"/>
  <c r="BH628" i="40"/>
  <c r="BI628" i="40"/>
  <c r="BJ628" i="40"/>
  <c r="BK628" i="40"/>
  <c r="BL628" i="40"/>
  <c r="BM628" i="40"/>
  <c r="BG629" i="40"/>
  <c r="BH629" i="40"/>
  <c r="BI629" i="40"/>
  <c r="BJ629" i="40"/>
  <c r="BK629" i="40"/>
  <c r="BL629" i="40"/>
  <c r="BM629" i="40"/>
  <c r="BG630" i="40"/>
  <c r="BH630" i="40"/>
  <c r="BI630" i="40"/>
  <c r="BJ630" i="40"/>
  <c r="BK630" i="40"/>
  <c r="BL630" i="40"/>
  <c r="BM630" i="40"/>
  <c r="BG631" i="40"/>
  <c r="BH631" i="40"/>
  <c r="BI631" i="40"/>
  <c r="BJ631" i="40"/>
  <c r="BK631" i="40"/>
  <c r="BL631" i="40"/>
  <c r="BM631" i="40"/>
  <c r="BG632" i="40"/>
  <c r="BH632" i="40"/>
  <c r="BI632" i="40"/>
  <c r="BJ632" i="40"/>
  <c r="BK632" i="40"/>
  <c r="BL632" i="40"/>
  <c r="BM632" i="40"/>
  <c r="BG633" i="40"/>
  <c r="BH633" i="40"/>
  <c r="BI633" i="40"/>
  <c r="BJ633" i="40"/>
  <c r="BK633" i="40"/>
  <c r="BL633" i="40"/>
  <c r="BM633" i="40"/>
  <c r="BG634" i="40"/>
  <c r="BH634" i="40"/>
  <c r="BI634" i="40"/>
  <c r="BJ634" i="40"/>
  <c r="BK634" i="40"/>
  <c r="BL634" i="40"/>
  <c r="BM634" i="40"/>
  <c r="BG635" i="40"/>
  <c r="BH635" i="40"/>
  <c r="BI635" i="40"/>
  <c r="BJ635" i="40"/>
  <c r="BK635" i="40"/>
  <c r="BL635" i="40"/>
  <c r="BM635" i="40"/>
  <c r="BG636" i="40"/>
  <c r="BH636" i="40"/>
  <c r="BI636" i="40"/>
  <c r="BJ636" i="40"/>
  <c r="BK636" i="40"/>
  <c r="BL636" i="40"/>
  <c r="BM636" i="40"/>
  <c r="BG637" i="40"/>
  <c r="BH637" i="40"/>
  <c r="BI637" i="40"/>
  <c r="BJ637" i="40"/>
  <c r="BK637" i="40"/>
  <c r="BL637" i="40"/>
  <c r="BM637" i="40"/>
  <c r="BG638" i="40"/>
  <c r="BH638" i="40"/>
  <c r="BI638" i="40"/>
  <c r="BJ638" i="40"/>
  <c r="BK638" i="40"/>
  <c r="BL638" i="40"/>
  <c r="BM638" i="40"/>
  <c r="BG650" i="40"/>
  <c r="BG651" i="40"/>
  <c r="BG652" i="40"/>
  <c r="BG653" i="40"/>
  <c r="BG654" i="40"/>
  <c r="BG656" i="40"/>
  <c r="BG658" i="40"/>
  <c r="BG659" i="40"/>
  <c r="BG660" i="40"/>
  <c r="BG664" i="40"/>
  <c r="BG665" i="40"/>
  <c r="BG666" i="40"/>
  <c r="BG670" i="40"/>
  <c r="BH670" i="40"/>
  <c r="BI670" i="40"/>
  <c r="BJ670" i="40"/>
  <c r="BK670" i="40"/>
  <c r="BL670" i="40"/>
  <c r="BM670" i="40"/>
  <c r="BG671" i="40"/>
  <c r="BH671" i="40"/>
  <c r="BI671" i="40"/>
  <c r="BJ671" i="40"/>
  <c r="BK671" i="40"/>
  <c r="BL671" i="40"/>
  <c r="BM671" i="40"/>
  <c r="BG672" i="40"/>
  <c r="BH672" i="40"/>
  <c r="BI672" i="40"/>
  <c r="BJ672" i="40"/>
  <c r="BK672" i="40"/>
  <c r="BL672" i="40"/>
  <c r="BM672" i="40"/>
  <c r="BG673" i="40"/>
  <c r="BH673" i="40"/>
  <c r="BI673" i="40"/>
  <c r="BJ673" i="40"/>
  <c r="BK673" i="40"/>
  <c r="BL673" i="40"/>
  <c r="BM673" i="40"/>
  <c r="BG674" i="40"/>
  <c r="BH674" i="40"/>
  <c r="BI674" i="40"/>
  <c r="BJ674" i="40"/>
  <c r="BK674" i="40"/>
  <c r="BL674" i="40"/>
  <c r="BM674" i="40"/>
  <c r="BG675" i="40"/>
  <c r="BH675" i="40"/>
  <c r="BI675" i="40"/>
  <c r="BJ675" i="40"/>
  <c r="BK675" i="40"/>
  <c r="BL675" i="40"/>
  <c r="BM675" i="40"/>
  <c r="BG676" i="40"/>
  <c r="BH676" i="40"/>
  <c r="BI676" i="40"/>
  <c r="BJ676" i="40"/>
  <c r="BK676" i="40"/>
  <c r="BL676" i="40"/>
  <c r="BM676" i="40"/>
  <c r="BG677" i="40"/>
  <c r="BH677" i="40"/>
  <c r="BI677" i="40"/>
  <c r="BJ677" i="40"/>
  <c r="BK677" i="40"/>
  <c r="BL677" i="40"/>
  <c r="BM677" i="40"/>
  <c r="BG678" i="40"/>
  <c r="BH678" i="40"/>
  <c r="BI678" i="40"/>
  <c r="BJ678" i="40"/>
  <c r="BK678" i="40"/>
  <c r="BL678" i="40"/>
  <c r="BM678" i="40"/>
  <c r="BG679" i="40"/>
  <c r="BH679" i="40"/>
  <c r="BI679" i="40"/>
  <c r="BJ679" i="40"/>
  <c r="BK679" i="40"/>
  <c r="BL679" i="40"/>
  <c r="BM679" i="40"/>
  <c r="BG680" i="40"/>
  <c r="BH680" i="40"/>
  <c r="BI680" i="40"/>
  <c r="BJ680" i="40"/>
  <c r="BK680" i="40"/>
  <c r="BL680" i="40"/>
  <c r="BM680" i="40"/>
  <c r="AX12" i="40"/>
  <c r="AX13" i="40"/>
  <c r="AX14" i="40"/>
  <c r="AX15" i="40"/>
  <c r="AX16" i="40"/>
  <c r="AX17" i="40"/>
  <c r="AX18" i="40"/>
  <c r="AX19" i="40"/>
  <c r="AX20" i="40"/>
  <c r="AY20" i="40"/>
  <c r="AZ20" i="40"/>
  <c r="BA20" i="40"/>
  <c r="BB20" i="40"/>
  <c r="BC20" i="40"/>
  <c r="BD20" i="40"/>
  <c r="AX25" i="40"/>
  <c r="AX26" i="40"/>
  <c r="AX27" i="40"/>
  <c r="AX31" i="40"/>
  <c r="AX32" i="40"/>
  <c r="AX33" i="40"/>
  <c r="AX34" i="40"/>
  <c r="AY34" i="40"/>
  <c r="AZ34" i="40"/>
  <c r="BA34" i="40"/>
  <c r="BB34" i="40"/>
  <c r="BC34" i="40"/>
  <c r="BD34" i="40"/>
  <c r="AX35" i="40"/>
  <c r="AX36" i="40"/>
  <c r="AX40" i="40"/>
  <c r="AX41" i="40"/>
  <c r="AX42" i="40"/>
  <c r="AX43" i="40"/>
  <c r="AX44" i="40"/>
  <c r="AX70" i="40"/>
  <c r="AY70" i="40"/>
  <c r="AZ70" i="40"/>
  <c r="BA70" i="40"/>
  <c r="BB70" i="40"/>
  <c r="BC70" i="40"/>
  <c r="BD70" i="40"/>
  <c r="AX71" i="40"/>
  <c r="AY71" i="40"/>
  <c r="AZ71" i="40"/>
  <c r="BA71" i="40"/>
  <c r="BB71" i="40"/>
  <c r="BC71" i="40"/>
  <c r="BD71" i="40"/>
  <c r="AX72" i="40"/>
  <c r="AY72" i="40"/>
  <c r="AZ72" i="40"/>
  <c r="BA72" i="40"/>
  <c r="BB72" i="40"/>
  <c r="BC72" i="40"/>
  <c r="BD72" i="40"/>
  <c r="AX135" i="40"/>
  <c r="AY135" i="40"/>
  <c r="AZ135" i="40"/>
  <c r="BA135" i="40"/>
  <c r="BB135" i="40"/>
  <c r="BC135" i="40"/>
  <c r="BD135" i="40"/>
  <c r="AX136" i="40"/>
  <c r="AY136" i="40"/>
  <c r="AZ136" i="40"/>
  <c r="BA136" i="40"/>
  <c r="BB136" i="40"/>
  <c r="BC136" i="40"/>
  <c r="BD136" i="40"/>
  <c r="AX137" i="40"/>
  <c r="AY137" i="40"/>
  <c r="AZ137" i="40"/>
  <c r="BA137" i="40"/>
  <c r="BB137" i="40"/>
  <c r="BC137" i="40"/>
  <c r="BD137" i="40"/>
  <c r="AX138" i="40"/>
  <c r="AY138" i="40"/>
  <c r="AZ138" i="40"/>
  <c r="BA138" i="40"/>
  <c r="BB138" i="40"/>
  <c r="BC138" i="40"/>
  <c r="BD138" i="40"/>
  <c r="AX139" i="40"/>
  <c r="AY139" i="40"/>
  <c r="AZ139" i="40"/>
  <c r="BA139" i="40"/>
  <c r="BB139" i="40"/>
  <c r="BC139" i="40"/>
  <c r="BD139" i="40"/>
  <c r="AX140" i="40"/>
  <c r="AY140" i="40"/>
  <c r="AZ140" i="40"/>
  <c r="BA140" i="40"/>
  <c r="BB140" i="40"/>
  <c r="BC140" i="40"/>
  <c r="BD140" i="40"/>
  <c r="AX141" i="40"/>
  <c r="AY141" i="40"/>
  <c r="AZ141" i="40"/>
  <c r="BA141" i="40"/>
  <c r="BB141" i="40"/>
  <c r="BC141" i="40"/>
  <c r="BD141" i="40"/>
  <c r="AX142" i="40"/>
  <c r="AY142" i="40"/>
  <c r="AZ142" i="40"/>
  <c r="BA142" i="40"/>
  <c r="BB142" i="40"/>
  <c r="BC142" i="40"/>
  <c r="BD142" i="40"/>
  <c r="AX143" i="40"/>
  <c r="AY143" i="40"/>
  <c r="AZ143" i="40"/>
  <c r="BA143" i="40"/>
  <c r="BB143" i="40"/>
  <c r="BC143" i="40"/>
  <c r="BD143" i="40"/>
  <c r="AX144" i="40"/>
  <c r="AY144" i="40"/>
  <c r="AZ144" i="40"/>
  <c r="BA144" i="40"/>
  <c r="BB144" i="40"/>
  <c r="BC144" i="40"/>
  <c r="BD144" i="40"/>
  <c r="AX145" i="40"/>
  <c r="AY145" i="40"/>
  <c r="AZ145" i="40"/>
  <c r="BA145" i="40"/>
  <c r="BB145" i="40"/>
  <c r="BC145" i="40"/>
  <c r="BD145" i="40"/>
  <c r="AX146" i="40"/>
  <c r="AY146" i="40"/>
  <c r="AZ146" i="40"/>
  <c r="BA146" i="40"/>
  <c r="BB146" i="40"/>
  <c r="BC146" i="40"/>
  <c r="BD146" i="40"/>
  <c r="AX147" i="40"/>
  <c r="AY147" i="40"/>
  <c r="AZ147" i="40"/>
  <c r="BA147" i="40"/>
  <c r="BB147" i="40"/>
  <c r="BC147" i="40"/>
  <c r="BD147" i="40"/>
  <c r="AX148" i="40"/>
  <c r="AY148" i="40"/>
  <c r="AZ148" i="40"/>
  <c r="BA148" i="40"/>
  <c r="BB148" i="40"/>
  <c r="BC148" i="40"/>
  <c r="BD148" i="40"/>
  <c r="AX149" i="40"/>
  <c r="AY149" i="40"/>
  <c r="AZ149" i="40"/>
  <c r="BA149" i="40"/>
  <c r="BB149" i="40"/>
  <c r="BC149" i="40"/>
  <c r="BD149" i="40"/>
  <c r="AX150" i="40"/>
  <c r="AY150" i="40"/>
  <c r="AZ150" i="40"/>
  <c r="BA150" i="40"/>
  <c r="BB150" i="40"/>
  <c r="BC150" i="40"/>
  <c r="BD150" i="40"/>
  <c r="AX151" i="40"/>
  <c r="AY151" i="40"/>
  <c r="AZ151" i="40"/>
  <c r="BA151" i="40"/>
  <c r="BB151" i="40"/>
  <c r="BC151" i="40"/>
  <c r="BD151" i="40"/>
  <c r="AX152" i="40"/>
  <c r="AY152" i="40"/>
  <c r="AZ152" i="40"/>
  <c r="BA152" i="40"/>
  <c r="BB152" i="40"/>
  <c r="BC152" i="40"/>
  <c r="BD152" i="40"/>
  <c r="AX153" i="40"/>
  <c r="AY153" i="40"/>
  <c r="AZ153" i="40"/>
  <c r="BA153" i="40"/>
  <c r="BB153" i="40"/>
  <c r="BC153" i="40"/>
  <c r="BD153" i="40"/>
  <c r="AX154" i="40"/>
  <c r="AY154" i="40"/>
  <c r="AZ154" i="40"/>
  <c r="BA154" i="40"/>
  <c r="BB154" i="40"/>
  <c r="BC154" i="40"/>
  <c r="BD154" i="40"/>
  <c r="AX155" i="40"/>
  <c r="AY155" i="40"/>
  <c r="AZ155" i="40"/>
  <c r="BA155" i="40"/>
  <c r="BB155" i="40"/>
  <c r="BC155" i="40"/>
  <c r="BD155" i="40"/>
  <c r="AX156" i="40"/>
  <c r="AY156" i="40"/>
  <c r="AZ156" i="40"/>
  <c r="BA156" i="40"/>
  <c r="BB156" i="40"/>
  <c r="BC156" i="40"/>
  <c r="BD156" i="40"/>
  <c r="AX157" i="40"/>
  <c r="AY157" i="40"/>
  <c r="AZ157" i="40"/>
  <c r="BA157" i="40"/>
  <c r="BB157" i="40"/>
  <c r="BC157" i="40"/>
  <c r="BD157" i="40"/>
  <c r="AX158" i="40"/>
  <c r="AY158" i="40"/>
  <c r="AZ158" i="40"/>
  <c r="BA158" i="40"/>
  <c r="BB158" i="40"/>
  <c r="BC158" i="40"/>
  <c r="BD158" i="40"/>
  <c r="AX159" i="40"/>
  <c r="AY159" i="40"/>
  <c r="AZ159" i="40"/>
  <c r="BA159" i="40"/>
  <c r="BB159" i="40"/>
  <c r="BC159" i="40"/>
  <c r="BD159" i="40"/>
  <c r="AX160" i="40"/>
  <c r="AY160" i="40"/>
  <c r="AZ160" i="40"/>
  <c r="BA160" i="40"/>
  <c r="BB160" i="40"/>
  <c r="BC160" i="40"/>
  <c r="BD160" i="40"/>
  <c r="AX161" i="40"/>
  <c r="AY161" i="40"/>
  <c r="AZ161" i="40"/>
  <c r="BA161" i="40"/>
  <c r="BB161" i="40"/>
  <c r="BC161" i="40"/>
  <c r="BD161" i="40"/>
  <c r="AX162" i="40"/>
  <c r="AY162" i="40"/>
  <c r="AZ162" i="40"/>
  <c r="BA162" i="40"/>
  <c r="BB162" i="40"/>
  <c r="BC162" i="40"/>
  <c r="BD162" i="40"/>
  <c r="AX163" i="40"/>
  <c r="AY163" i="40"/>
  <c r="AZ163" i="40"/>
  <c r="BA163" i="40"/>
  <c r="BB163" i="40"/>
  <c r="BC163" i="40"/>
  <c r="BD163" i="40"/>
  <c r="AX164" i="40"/>
  <c r="AY164" i="40"/>
  <c r="AZ164" i="40"/>
  <c r="BA164" i="40"/>
  <c r="BB164" i="40"/>
  <c r="BC164" i="40"/>
  <c r="BD164" i="40"/>
  <c r="AX165" i="40"/>
  <c r="AY165" i="40"/>
  <c r="AZ165" i="40"/>
  <c r="BA165" i="40"/>
  <c r="BB165" i="40"/>
  <c r="BC165" i="40"/>
  <c r="BD165" i="40"/>
  <c r="AX166" i="40"/>
  <c r="AY166" i="40"/>
  <c r="AZ166" i="40"/>
  <c r="BA166" i="40"/>
  <c r="BB166" i="40"/>
  <c r="BC166" i="40"/>
  <c r="BD166" i="40"/>
  <c r="AX167" i="40"/>
  <c r="AY167" i="40"/>
  <c r="AZ167" i="40"/>
  <c r="BA167" i="40"/>
  <c r="BB167" i="40"/>
  <c r="BC167" i="40"/>
  <c r="BD167" i="40"/>
  <c r="AX168" i="40"/>
  <c r="AY168" i="40"/>
  <c r="AZ168" i="40"/>
  <c r="BA168" i="40"/>
  <c r="BB168" i="40"/>
  <c r="BC168" i="40"/>
  <c r="BD168" i="40"/>
  <c r="AX169" i="40"/>
  <c r="AY169" i="40"/>
  <c r="AZ169" i="40"/>
  <c r="BA169" i="40"/>
  <c r="BB169" i="40"/>
  <c r="BC169" i="40"/>
  <c r="BD169" i="40"/>
  <c r="AX170" i="40"/>
  <c r="AY170" i="40"/>
  <c r="AZ170" i="40"/>
  <c r="BA170" i="40"/>
  <c r="BB170" i="40"/>
  <c r="BC170" i="40"/>
  <c r="BD170" i="40"/>
  <c r="AX171" i="40"/>
  <c r="AY171" i="40"/>
  <c r="AZ171" i="40"/>
  <c r="BA171" i="40"/>
  <c r="BB171" i="40"/>
  <c r="BC171" i="40"/>
  <c r="BD171" i="40"/>
  <c r="AX172" i="40"/>
  <c r="AY172" i="40"/>
  <c r="AZ172" i="40"/>
  <c r="BA172" i="40"/>
  <c r="BB172" i="40"/>
  <c r="BC172" i="40"/>
  <c r="BD172" i="40"/>
  <c r="AX173" i="40"/>
  <c r="AY173" i="40"/>
  <c r="AZ173" i="40"/>
  <c r="BA173" i="40"/>
  <c r="BB173" i="40"/>
  <c r="BC173" i="40"/>
  <c r="BD173" i="40"/>
  <c r="AX174" i="40"/>
  <c r="AY174" i="40"/>
  <c r="AZ174" i="40"/>
  <c r="BA174" i="40"/>
  <c r="BB174" i="40"/>
  <c r="BC174" i="40"/>
  <c r="BD174" i="40"/>
  <c r="AX175" i="40"/>
  <c r="AY175" i="40"/>
  <c r="AZ175" i="40"/>
  <c r="BA175" i="40"/>
  <c r="BB175" i="40"/>
  <c r="BC175" i="40"/>
  <c r="BD175" i="40"/>
  <c r="AX176" i="40"/>
  <c r="AY176" i="40"/>
  <c r="AZ176" i="40"/>
  <c r="BA176" i="40"/>
  <c r="BB176" i="40"/>
  <c r="BC176" i="40"/>
  <c r="BD176" i="40"/>
  <c r="AX177" i="40"/>
  <c r="AY177" i="40"/>
  <c r="AZ177" i="40"/>
  <c r="BA177" i="40"/>
  <c r="BB177" i="40"/>
  <c r="BC177" i="40"/>
  <c r="BD177" i="40"/>
  <c r="AX178" i="40"/>
  <c r="AY178" i="40"/>
  <c r="AZ178" i="40"/>
  <c r="BA178" i="40"/>
  <c r="BB178" i="40"/>
  <c r="BC178" i="40"/>
  <c r="BD178" i="40"/>
  <c r="AX179" i="40"/>
  <c r="AY179" i="40"/>
  <c r="AZ179" i="40"/>
  <c r="BA179" i="40"/>
  <c r="BB179" i="40"/>
  <c r="BC179" i="40"/>
  <c r="BD179" i="40"/>
  <c r="AX180" i="40"/>
  <c r="AY180" i="40"/>
  <c r="AZ180" i="40"/>
  <c r="BA180" i="40"/>
  <c r="BB180" i="40"/>
  <c r="BC180" i="40"/>
  <c r="BD180" i="40"/>
  <c r="AX181" i="40"/>
  <c r="AY181" i="40"/>
  <c r="AZ181" i="40"/>
  <c r="BA181" i="40"/>
  <c r="BB181" i="40"/>
  <c r="BC181" i="40"/>
  <c r="BD181" i="40"/>
  <c r="AX182" i="40"/>
  <c r="AY182" i="40"/>
  <c r="AZ182" i="40"/>
  <c r="BA182" i="40"/>
  <c r="BB182" i="40"/>
  <c r="BC182" i="40"/>
  <c r="BD182" i="40"/>
  <c r="AX183" i="40"/>
  <c r="AY183" i="40"/>
  <c r="AZ183" i="40"/>
  <c r="BA183" i="40"/>
  <c r="BB183" i="40"/>
  <c r="BC183" i="40"/>
  <c r="BD183" i="40"/>
  <c r="AX184" i="40"/>
  <c r="AY184" i="40"/>
  <c r="AZ184" i="40"/>
  <c r="BA184" i="40"/>
  <c r="BB184" i="40"/>
  <c r="BC184" i="40"/>
  <c r="BD184" i="40"/>
  <c r="AX185" i="40"/>
  <c r="AY185" i="40"/>
  <c r="AZ185" i="40"/>
  <c r="BA185" i="40"/>
  <c r="BB185" i="40"/>
  <c r="BC185" i="40"/>
  <c r="BD185" i="40"/>
  <c r="AX186" i="40"/>
  <c r="AY186" i="40"/>
  <c r="AZ186" i="40"/>
  <c r="BA186" i="40"/>
  <c r="BB186" i="40"/>
  <c r="BC186" i="40"/>
  <c r="BD186" i="40"/>
  <c r="AX187" i="40"/>
  <c r="AY187" i="40"/>
  <c r="AZ187" i="40"/>
  <c r="BA187" i="40"/>
  <c r="BB187" i="40"/>
  <c r="BC187" i="40"/>
  <c r="BD187" i="40"/>
  <c r="AX188" i="40"/>
  <c r="AY188" i="40"/>
  <c r="AZ188" i="40"/>
  <c r="BA188" i="40"/>
  <c r="BB188" i="40"/>
  <c r="BC188" i="40"/>
  <c r="BD188" i="40"/>
  <c r="AX189" i="40"/>
  <c r="AY189" i="40"/>
  <c r="AZ189" i="40"/>
  <c r="BA189" i="40"/>
  <c r="BB189" i="40"/>
  <c r="BC189" i="40"/>
  <c r="BD189" i="40"/>
  <c r="AX190" i="40"/>
  <c r="AY190" i="40"/>
  <c r="AZ190" i="40"/>
  <c r="BA190" i="40"/>
  <c r="BB190" i="40"/>
  <c r="BC190" i="40"/>
  <c r="BD190" i="40"/>
  <c r="AX191" i="40"/>
  <c r="AY191" i="40"/>
  <c r="AZ191" i="40"/>
  <c r="BA191" i="40"/>
  <c r="BB191" i="40"/>
  <c r="BC191" i="40"/>
  <c r="BD191" i="40"/>
  <c r="AX192" i="40"/>
  <c r="AY192" i="40"/>
  <c r="AZ192" i="40"/>
  <c r="BA192" i="40"/>
  <c r="BB192" i="40"/>
  <c r="BC192" i="40"/>
  <c r="BD192" i="40"/>
  <c r="AX193" i="40"/>
  <c r="AY193" i="40"/>
  <c r="AZ193" i="40"/>
  <c r="BA193" i="40"/>
  <c r="BB193" i="40"/>
  <c r="BC193" i="40"/>
  <c r="BD193" i="40"/>
  <c r="AX194" i="40"/>
  <c r="AY194" i="40"/>
  <c r="AZ194" i="40"/>
  <c r="BA194" i="40"/>
  <c r="BB194" i="40"/>
  <c r="BC194" i="40"/>
  <c r="BD194" i="40"/>
  <c r="AX195" i="40"/>
  <c r="AY195" i="40"/>
  <c r="AZ195" i="40"/>
  <c r="BA195" i="40"/>
  <c r="BB195" i="40"/>
  <c r="BC195" i="40"/>
  <c r="BD195" i="40"/>
  <c r="AX196" i="40"/>
  <c r="AY196" i="40"/>
  <c r="AZ196" i="40"/>
  <c r="BA196" i="40"/>
  <c r="BB196" i="40"/>
  <c r="BC196" i="40"/>
  <c r="BD196" i="40"/>
  <c r="AX197" i="40"/>
  <c r="AY197" i="40"/>
  <c r="AZ197" i="40"/>
  <c r="BA197" i="40"/>
  <c r="BB197" i="40"/>
  <c r="BC197" i="40"/>
  <c r="BD197" i="40"/>
  <c r="AX198" i="40"/>
  <c r="AY198" i="40"/>
  <c r="AZ198" i="40"/>
  <c r="BA198" i="40"/>
  <c r="BB198" i="40"/>
  <c r="BC198" i="40"/>
  <c r="BD198" i="40"/>
  <c r="AX199" i="40"/>
  <c r="AY199" i="40"/>
  <c r="AZ199" i="40"/>
  <c r="BA199" i="40"/>
  <c r="BB199" i="40"/>
  <c r="BC199" i="40"/>
  <c r="BD199" i="40"/>
  <c r="AX200" i="40"/>
  <c r="AY200" i="40"/>
  <c r="AZ200" i="40"/>
  <c r="BA200" i="40"/>
  <c r="BB200" i="40"/>
  <c r="BC200" i="40"/>
  <c r="BD200" i="40"/>
  <c r="AX201" i="40"/>
  <c r="AY201" i="40"/>
  <c r="AZ201" i="40"/>
  <c r="BA201" i="40"/>
  <c r="BB201" i="40"/>
  <c r="BC201" i="40"/>
  <c r="BD201" i="40"/>
  <c r="AX202" i="40"/>
  <c r="AY202" i="40"/>
  <c r="AZ202" i="40"/>
  <c r="BA202" i="40"/>
  <c r="BB202" i="40"/>
  <c r="BC202" i="40"/>
  <c r="BD202" i="40"/>
  <c r="AX203" i="40"/>
  <c r="AY203" i="40"/>
  <c r="AZ203" i="40"/>
  <c r="BA203" i="40"/>
  <c r="BB203" i="40"/>
  <c r="BC203" i="40"/>
  <c r="BD203" i="40"/>
  <c r="AX204" i="40"/>
  <c r="AY204" i="40"/>
  <c r="AZ204" i="40"/>
  <c r="BA204" i="40"/>
  <c r="BB204" i="40"/>
  <c r="BC204" i="40"/>
  <c r="BD204" i="40"/>
  <c r="AX205" i="40"/>
  <c r="AY205" i="40"/>
  <c r="AZ205" i="40"/>
  <c r="BA205" i="40"/>
  <c r="BB205" i="40"/>
  <c r="BC205" i="40"/>
  <c r="BD205" i="40"/>
  <c r="AX206" i="40"/>
  <c r="AY206" i="40"/>
  <c r="AZ206" i="40"/>
  <c r="BA206" i="40"/>
  <c r="BB206" i="40"/>
  <c r="BC206" i="40"/>
  <c r="BD206" i="40"/>
  <c r="AX207" i="40"/>
  <c r="AY207" i="40"/>
  <c r="AZ207" i="40"/>
  <c r="BA207" i="40"/>
  <c r="BB207" i="40"/>
  <c r="BC207" i="40"/>
  <c r="BD207" i="40"/>
  <c r="AX208" i="40"/>
  <c r="AY208" i="40"/>
  <c r="AZ208" i="40"/>
  <c r="BA208" i="40"/>
  <c r="BB208" i="40"/>
  <c r="BC208" i="40"/>
  <c r="BD208" i="40"/>
  <c r="AX209" i="40"/>
  <c r="AY209" i="40"/>
  <c r="AZ209" i="40"/>
  <c r="BA209" i="40"/>
  <c r="BB209" i="40"/>
  <c r="BC209" i="40"/>
  <c r="BD209" i="40"/>
  <c r="AX210" i="40"/>
  <c r="AY210" i="40"/>
  <c r="AZ210" i="40"/>
  <c r="BA210" i="40"/>
  <c r="BB210" i="40"/>
  <c r="BC210" i="40"/>
  <c r="BD210" i="40"/>
  <c r="AX211" i="40"/>
  <c r="AY211" i="40"/>
  <c r="AZ211" i="40"/>
  <c r="BA211" i="40"/>
  <c r="BB211" i="40"/>
  <c r="BC211" i="40"/>
  <c r="BD211" i="40"/>
  <c r="AX212" i="40"/>
  <c r="AY212" i="40"/>
  <c r="AZ212" i="40"/>
  <c r="BA212" i="40"/>
  <c r="BB212" i="40"/>
  <c r="BC212" i="40"/>
  <c r="BD212" i="40"/>
  <c r="AX213" i="40"/>
  <c r="AY213" i="40"/>
  <c r="AZ213" i="40"/>
  <c r="BA213" i="40"/>
  <c r="BB213" i="40"/>
  <c r="BC213" i="40"/>
  <c r="BD213" i="40"/>
  <c r="AX214" i="40"/>
  <c r="AY214" i="40"/>
  <c r="AZ214" i="40"/>
  <c r="BA214" i="40"/>
  <c r="BB214" i="40"/>
  <c r="BC214" i="40"/>
  <c r="BD214" i="40"/>
  <c r="AX215" i="40"/>
  <c r="AY215" i="40"/>
  <c r="AZ215" i="40"/>
  <c r="BA215" i="40"/>
  <c r="BB215" i="40"/>
  <c r="BC215" i="40"/>
  <c r="BD215" i="40"/>
  <c r="AX216" i="40"/>
  <c r="AY216" i="40"/>
  <c r="AZ216" i="40"/>
  <c r="BA216" i="40"/>
  <c r="BB216" i="40"/>
  <c r="BC216" i="40"/>
  <c r="BD216" i="40"/>
  <c r="AX217" i="40"/>
  <c r="AY217" i="40"/>
  <c r="AZ217" i="40"/>
  <c r="BA217" i="40"/>
  <c r="BB217" i="40"/>
  <c r="BC217" i="40"/>
  <c r="BD217" i="40"/>
  <c r="AX218" i="40"/>
  <c r="AY218" i="40"/>
  <c r="AZ218" i="40"/>
  <c r="BA218" i="40"/>
  <c r="BB218" i="40"/>
  <c r="BC218" i="40"/>
  <c r="BD218" i="40"/>
  <c r="AX221" i="40"/>
  <c r="AX224" i="40"/>
  <c r="AX286" i="40"/>
  <c r="AX291" i="40"/>
  <c r="AX292" i="40"/>
  <c r="AX293" i="40"/>
  <c r="AX294" i="40"/>
  <c r="AX295" i="40"/>
  <c r="AX296" i="40"/>
  <c r="AX298" i="40"/>
  <c r="AY298" i="40"/>
  <c r="AZ298" i="40"/>
  <c r="BA298" i="40"/>
  <c r="BB298" i="40"/>
  <c r="BC298" i="40"/>
  <c r="BD298" i="40"/>
  <c r="AX299" i="40"/>
  <c r="AY299" i="40"/>
  <c r="AZ299" i="40"/>
  <c r="BA299" i="40"/>
  <c r="BB299" i="40"/>
  <c r="BC299" i="40"/>
  <c r="BD299" i="40"/>
  <c r="AX301" i="40"/>
  <c r="AY301" i="40"/>
  <c r="AZ301" i="40"/>
  <c r="BA301" i="40"/>
  <c r="BB301" i="40"/>
  <c r="BC301" i="40"/>
  <c r="BD301" i="40"/>
  <c r="AX302" i="40"/>
  <c r="AY302" i="40"/>
  <c r="AZ302" i="40"/>
  <c r="BA302" i="40"/>
  <c r="BB302" i="40"/>
  <c r="BC302" i="40"/>
  <c r="BD302" i="40"/>
  <c r="AX303" i="40"/>
  <c r="AY303" i="40"/>
  <c r="AZ303" i="40"/>
  <c r="BA303" i="40"/>
  <c r="BB303" i="40"/>
  <c r="BC303" i="40"/>
  <c r="BD303" i="40"/>
  <c r="AX304" i="40"/>
  <c r="AY304" i="40"/>
  <c r="AZ304" i="40"/>
  <c r="BA304" i="40"/>
  <c r="BB304" i="40"/>
  <c r="BC304" i="40"/>
  <c r="BD304" i="40"/>
  <c r="AX305" i="40"/>
  <c r="AY305" i="40"/>
  <c r="AZ305" i="40"/>
  <c r="BA305" i="40"/>
  <c r="BB305" i="40"/>
  <c r="BC305" i="40"/>
  <c r="BD305" i="40"/>
  <c r="AX306" i="40"/>
  <c r="AY306" i="40"/>
  <c r="AZ306" i="40"/>
  <c r="BA306" i="40"/>
  <c r="BB306" i="40"/>
  <c r="BC306" i="40"/>
  <c r="BD306" i="40"/>
  <c r="AX307" i="40"/>
  <c r="AY307" i="40"/>
  <c r="AZ307" i="40"/>
  <c r="BA307" i="40"/>
  <c r="BB307" i="40"/>
  <c r="BC307" i="40"/>
  <c r="BD307" i="40"/>
  <c r="AX308" i="40"/>
  <c r="AY308" i="40"/>
  <c r="AZ308" i="40"/>
  <c r="BA308" i="40"/>
  <c r="BB308" i="40"/>
  <c r="BC308" i="40"/>
  <c r="BD308" i="40"/>
  <c r="AX310" i="40"/>
  <c r="AY310" i="40"/>
  <c r="AZ310" i="40"/>
  <c r="BA310" i="40"/>
  <c r="BB310" i="40"/>
  <c r="BC310" i="40"/>
  <c r="BD310" i="40"/>
  <c r="AX312" i="40"/>
  <c r="AY312" i="40"/>
  <c r="AZ312" i="40"/>
  <c r="BA312" i="40"/>
  <c r="BB312" i="40"/>
  <c r="BC312" i="40"/>
  <c r="BD312" i="40"/>
  <c r="AX313" i="40"/>
  <c r="AX314" i="40"/>
  <c r="AX315" i="40"/>
  <c r="AX316" i="40"/>
  <c r="AX317" i="40"/>
  <c r="AY317" i="40"/>
  <c r="AZ317" i="40"/>
  <c r="BA317" i="40"/>
  <c r="BB317" i="40"/>
  <c r="BC317" i="40"/>
  <c r="BD317" i="40"/>
  <c r="AX318" i="40"/>
  <c r="AY318" i="40"/>
  <c r="AZ318" i="40"/>
  <c r="BA318" i="40"/>
  <c r="BB318" i="40"/>
  <c r="BC318" i="40"/>
  <c r="BD318" i="40"/>
  <c r="AX319" i="40"/>
  <c r="AY319" i="40"/>
  <c r="AZ319" i="40"/>
  <c r="BA319" i="40"/>
  <c r="BB319" i="40"/>
  <c r="BC319" i="40"/>
  <c r="BD319" i="40"/>
  <c r="AX320" i="40"/>
  <c r="AY320" i="40"/>
  <c r="AZ320" i="40"/>
  <c r="BA320" i="40"/>
  <c r="BB320" i="40"/>
  <c r="BC320" i="40"/>
  <c r="BD320" i="40"/>
  <c r="AX321" i="40"/>
  <c r="AY321" i="40"/>
  <c r="AZ321" i="40"/>
  <c r="BA321" i="40"/>
  <c r="BB321" i="40"/>
  <c r="BC321" i="40"/>
  <c r="BD321" i="40"/>
  <c r="AX322" i="40"/>
  <c r="AY322" i="40"/>
  <c r="AZ322" i="40"/>
  <c r="BA322" i="40"/>
  <c r="BB322" i="40"/>
  <c r="BC322" i="40"/>
  <c r="BD322" i="40"/>
  <c r="AX323" i="40"/>
  <c r="AY323" i="40"/>
  <c r="AZ323" i="40"/>
  <c r="BA323" i="40"/>
  <c r="BB323" i="40"/>
  <c r="BC323" i="40"/>
  <c r="BD323" i="40"/>
  <c r="AX324" i="40"/>
  <c r="AY324" i="40"/>
  <c r="AZ324" i="40"/>
  <c r="BA324" i="40"/>
  <c r="BB324" i="40"/>
  <c r="BC324" i="40"/>
  <c r="BD324" i="40"/>
  <c r="AX335" i="40"/>
  <c r="AX336" i="40"/>
  <c r="AX386" i="40"/>
  <c r="AX387" i="40"/>
  <c r="AX388" i="40"/>
  <c r="AX389" i="40"/>
  <c r="AX390" i="40"/>
  <c r="AX391" i="40"/>
  <c r="AX392" i="40"/>
  <c r="AX393" i="40"/>
  <c r="AX394" i="40"/>
  <c r="AX395" i="40"/>
  <c r="AX408" i="40"/>
  <c r="AX420" i="40"/>
  <c r="AY420" i="40"/>
  <c r="AZ420" i="40"/>
  <c r="BA420" i="40"/>
  <c r="BB420" i="40"/>
  <c r="BC420" i="40"/>
  <c r="BD420" i="40"/>
  <c r="AX421" i="40"/>
  <c r="AY421" i="40"/>
  <c r="AZ421" i="40"/>
  <c r="BA421" i="40"/>
  <c r="BB421" i="40"/>
  <c r="BC421" i="40"/>
  <c r="BD421" i="40"/>
  <c r="AX422" i="40"/>
  <c r="AY422" i="40"/>
  <c r="AZ422" i="40"/>
  <c r="BA422" i="40"/>
  <c r="BB422" i="40"/>
  <c r="BC422" i="40"/>
  <c r="BD422" i="40"/>
  <c r="AX423" i="40"/>
  <c r="AY423" i="40"/>
  <c r="AZ423" i="40"/>
  <c r="BA423" i="40"/>
  <c r="BB423" i="40"/>
  <c r="BC423" i="40"/>
  <c r="BD423" i="40"/>
  <c r="AX424" i="40"/>
  <c r="AY424" i="40"/>
  <c r="AZ424" i="40"/>
  <c r="BA424" i="40"/>
  <c r="BB424" i="40"/>
  <c r="BC424" i="40"/>
  <c r="BD424" i="40"/>
  <c r="AX425" i="40"/>
  <c r="AY425" i="40"/>
  <c r="AZ425" i="40"/>
  <c r="BA425" i="40"/>
  <c r="BB425" i="40"/>
  <c r="BC425" i="40"/>
  <c r="BD425" i="40"/>
  <c r="AX426" i="40"/>
  <c r="AX483" i="40"/>
  <c r="AY483" i="40"/>
  <c r="AZ483" i="40"/>
  <c r="BA483" i="40"/>
  <c r="BB483" i="40"/>
  <c r="BC483" i="40"/>
  <c r="BD483" i="40"/>
  <c r="AX484" i="40"/>
  <c r="AY484" i="40"/>
  <c r="AZ484" i="40"/>
  <c r="BA484" i="40"/>
  <c r="BB484" i="40"/>
  <c r="BC484" i="40"/>
  <c r="BD484" i="40"/>
  <c r="AX485" i="40"/>
  <c r="AY485" i="40"/>
  <c r="AZ485" i="40"/>
  <c r="BA485" i="40"/>
  <c r="BB485" i="40"/>
  <c r="BC485" i="40"/>
  <c r="BD485" i="40"/>
  <c r="AX486" i="40"/>
  <c r="AY486" i="40"/>
  <c r="AZ486" i="40"/>
  <c r="BA486" i="40"/>
  <c r="BB486" i="40"/>
  <c r="BC486" i="40"/>
  <c r="BD486" i="40"/>
  <c r="AX487" i="40"/>
  <c r="AY487" i="40"/>
  <c r="AZ487" i="40"/>
  <c r="BA487" i="40"/>
  <c r="BB487" i="40"/>
  <c r="BC487" i="40"/>
  <c r="BD487" i="40"/>
  <c r="AX488" i="40"/>
  <c r="AY488" i="40"/>
  <c r="AZ488" i="40"/>
  <c r="BA488" i="40"/>
  <c r="BB488" i="40"/>
  <c r="BC488" i="40"/>
  <c r="BD488" i="40"/>
  <c r="AX489" i="40"/>
  <c r="AY489" i="40"/>
  <c r="AZ489" i="40"/>
  <c r="BA489" i="40"/>
  <c r="BB489" i="40"/>
  <c r="BC489" i="40"/>
  <c r="BD489" i="40"/>
  <c r="AX490" i="40"/>
  <c r="AY490" i="40"/>
  <c r="AZ490" i="40"/>
  <c r="BA490" i="40"/>
  <c r="BB490" i="40"/>
  <c r="BC490" i="40"/>
  <c r="BD490" i="40"/>
  <c r="AX491" i="40"/>
  <c r="AY491" i="40"/>
  <c r="AZ491" i="40"/>
  <c r="BA491" i="40"/>
  <c r="BB491" i="40"/>
  <c r="BC491" i="40"/>
  <c r="BD491" i="40"/>
  <c r="AX492" i="40"/>
  <c r="AY492" i="40"/>
  <c r="AZ492" i="40"/>
  <c r="BA492" i="40"/>
  <c r="BB492" i="40"/>
  <c r="BC492" i="40"/>
  <c r="BD492" i="40"/>
  <c r="AX493" i="40"/>
  <c r="AY493" i="40"/>
  <c r="AZ493" i="40"/>
  <c r="BA493" i="40"/>
  <c r="BB493" i="40"/>
  <c r="BC493" i="40"/>
  <c r="BD493" i="40"/>
  <c r="AX494" i="40"/>
  <c r="AY494" i="40"/>
  <c r="AZ494" i="40"/>
  <c r="BA494" i="40"/>
  <c r="BB494" i="40"/>
  <c r="BC494" i="40"/>
  <c r="BD494" i="40"/>
  <c r="AX495" i="40"/>
  <c r="AY495" i="40"/>
  <c r="AZ495" i="40"/>
  <c r="BA495" i="40"/>
  <c r="BB495" i="40"/>
  <c r="BC495" i="40"/>
  <c r="BD495" i="40"/>
  <c r="AX496" i="40"/>
  <c r="AY496" i="40"/>
  <c r="AZ496" i="40"/>
  <c r="BA496" i="40"/>
  <c r="BB496" i="40"/>
  <c r="BC496" i="40"/>
  <c r="BD496" i="40"/>
  <c r="AX497" i="40"/>
  <c r="AY497" i="40"/>
  <c r="AZ497" i="40"/>
  <c r="BA497" i="40"/>
  <c r="BB497" i="40"/>
  <c r="BC497" i="40"/>
  <c r="BD497" i="40"/>
  <c r="AX498" i="40"/>
  <c r="AY498" i="40"/>
  <c r="AZ498" i="40"/>
  <c r="BA498" i="40"/>
  <c r="BB498" i="40"/>
  <c r="BC498" i="40"/>
  <c r="BD498" i="40"/>
  <c r="AX499" i="40"/>
  <c r="AY499" i="40"/>
  <c r="AZ499" i="40"/>
  <c r="BA499" i="40"/>
  <c r="BB499" i="40"/>
  <c r="BC499" i="40"/>
  <c r="BD499" i="40"/>
  <c r="AX500" i="40"/>
  <c r="AY500" i="40"/>
  <c r="AZ500" i="40"/>
  <c r="BA500" i="40"/>
  <c r="BB500" i="40"/>
  <c r="BC500" i="40"/>
  <c r="BD500" i="40"/>
  <c r="AX501" i="40"/>
  <c r="AY501" i="40"/>
  <c r="AZ501" i="40"/>
  <c r="BA501" i="40"/>
  <c r="BB501" i="40"/>
  <c r="BC501" i="40"/>
  <c r="BD501" i="40"/>
  <c r="AX502" i="40"/>
  <c r="AY502" i="40"/>
  <c r="AZ502" i="40"/>
  <c r="BA502" i="40"/>
  <c r="BB502" i="40"/>
  <c r="BC502" i="40"/>
  <c r="BD502" i="40"/>
  <c r="AX521" i="40"/>
  <c r="AX578" i="40"/>
  <c r="AY578" i="40"/>
  <c r="AZ578" i="40"/>
  <c r="BA578" i="40"/>
  <c r="BB578" i="40"/>
  <c r="BC578" i="40"/>
  <c r="BD578" i="40"/>
  <c r="AX579" i="40"/>
  <c r="AY579" i="40"/>
  <c r="AZ579" i="40"/>
  <c r="BA579" i="40"/>
  <c r="BB579" i="40"/>
  <c r="BC579" i="40"/>
  <c r="BD579" i="40"/>
  <c r="AX585" i="40"/>
  <c r="AY585" i="40"/>
  <c r="AZ585" i="40"/>
  <c r="BA585" i="40"/>
  <c r="BB585" i="40"/>
  <c r="BC585" i="40"/>
  <c r="BD585" i="40"/>
  <c r="AX586" i="40"/>
  <c r="AY586" i="40"/>
  <c r="AZ586" i="40"/>
  <c r="BA586" i="40"/>
  <c r="BB586" i="40"/>
  <c r="BC586" i="40"/>
  <c r="BD586" i="40"/>
  <c r="AX587" i="40"/>
  <c r="AY587" i="40"/>
  <c r="AZ587" i="40"/>
  <c r="BA587" i="40"/>
  <c r="BB587" i="40"/>
  <c r="BC587" i="40"/>
  <c r="BD587" i="40"/>
  <c r="AX588" i="40"/>
  <c r="AY588" i="40"/>
  <c r="AZ588" i="40"/>
  <c r="BA588" i="40"/>
  <c r="BB588" i="40"/>
  <c r="BC588" i="40"/>
  <c r="BD588" i="40"/>
  <c r="AX589" i="40"/>
  <c r="AY589" i="40"/>
  <c r="AZ589" i="40"/>
  <c r="BA589" i="40"/>
  <c r="BB589" i="40"/>
  <c r="BC589" i="40"/>
  <c r="BD589" i="40"/>
  <c r="AX590" i="40"/>
  <c r="AY590" i="40"/>
  <c r="AZ590" i="40"/>
  <c r="BA590" i="40"/>
  <c r="BB590" i="40"/>
  <c r="BC590" i="40"/>
  <c r="BD590" i="40"/>
  <c r="AX591" i="40"/>
  <c r="AY591" i="40"/>
  <c r="AZ591" i="40"/>
  <c r="BA591" i="40"/>
  <c r="BB591" i="40"/>
  <c r="BC591" i="40"/>
  <c r="BD591" i="40"/>
  <c r="AX592" i="40"/>
  <c r="AY592" i="40"/>
  <c r="AZ592" i="40"/>
  <c r="BA592" i="40"/>
  <c r="BB592" i="40"/>
  <c r="BC592" i="40"/>
  <c r="BD592" i="40"/>
  <c r="AX593" i="40"/>
  <c r="AY593" i="40"/>
  <c r="AZ593" i="40"/>
  <c r="BA593" i="40"/>
  <c r="BB593" i="40"/>
  <c r="BC593" i="40"/>
  <c r="BD593" i="40"/>
  <c r="AX594" i="40"/>
  <c r="AY594" i="40"/>
  <c r="AZ594" i="40"/>
  <c r="BA594" i="40"/>
  <c r="BB594" i="40"/>
  <c r="BC594" i="40"/>
  <c r="BD594" i="40"/>
  <c r="AX595" i="40"/>
  <c r="AY595" i="40"/>
  <c r="AZ595" i="40"/>
  <c r="BA595" i="40"/>
  <c r="BB595" i="40"/>
  <c r="BC595" i="40"/>
  <c r="BD595" i="40"/>
  <c r="AX612" i="40"/>
  <c r="AY612" i="40"/>
  <c r="AZ612" i="40"/>
  <c r="BA612" i="40"/>
  <c r="BB612" i="40"/>
  <c r="BC612" i="40"/>
  <c r="BD612" i="40"/>
  <c r="AX613" i="40"/>
  <c r="AY613" i="40"/>
  <c r="AZ613" i="40"/>
  <c r="BA613" i="40"/>
  <c r="BB613" i="40"/>
  <c r="BC613" i="40"/>
  <c r="BD613" i="40"/>
  <c r="AX614" i="40"/>
  <c r="AY614" i="40"/>
  <c r="AZ614" i="40"/>
  <c r="BA614" i="40"/>
  <c r="BB614" i="40"/>
  <c r="BC614" i="40"/>
  <c r="BD614" i="40"/>
  <c r="AX615" i="40"/>
  <c r="AY615" i="40"/>
  <c r="AZ615" i="40"/>
  <c r="BA615" i="40"/>
  <c r="BB615" i="40"/>
  <c r="BC615" i="40"/>
  <c r="BD615" i="40"/>
  <c r="AX616" i="40"/>
  <c r="AY616" i="40"/>
  <c r="AZ616" i="40"/>
  <c r="BA616" i="40"/>
  <c r="BB616" i="40"/>
  <c r="BC616" i="40"/>
  <c r="BD616" i="40"/>
  <c r="AX617" i="40"/>
  <c r="AY617" i="40"/>
  <c r="AZ617" i="40"/>
  <c r="BA617" i="40"/>
  <c r="BB617" i="40"/>
  <c r="BC617" i="40"/>
  <c r="BD617" i="40"/>
  <c r="AX618" i="40"/>
  <c r="AY618" i="40"/>
  <c r="AZ618" i="40"/>
  <c r="BA618" i="40"/>
  <c r="BB618" i="40"/>
  <c r="BC618" i="40"/>
  <c r="BD618" i="40"/>
  <c r="AX619" i="40"/>
  <c r="AY619" i="40"/>
  <c r="AZ619" i="40"/>
  <c r="BA619" i="40"/>
  <c r="BB619" i="40"/>
  <c r="BC619" i="40"/>
  <c r="BD619" i="40"/>
  <c r="AX620" i="40"/>
  <c r="AY620" i="40"/>
  <c r="AZ620" i="40"/>
  <c r="BA620" i="40"/>
  <c r="BB620" i="40"/>
  <c r="BC620" i="40"/>
  <c r="BD620" i="40"/>
  <c r="AX621" i="40"/>
  <c r="AY621" i="40"/>
  <c r="AZ621" i="40"/>
  <c r="BA621" i="40"/>
  <c r="BB621" i="40"/>
  <c r="BC621" i="40"/>
  <c r="BD621" i="40"/>
  <c r="AX622" i="40"/>
  <c r="AY622" i="40"/>
  <c r="AZ622" i="40"/>
  <c r="BA622" i="40"/>
  <c r="BB622" i="40"/>
  <c r="BC622" i="40"/>
  <c r="BD622" i="40"/>
  <c r="AX623" i="40"/>
  <c r="AY623" i="40"/>
  <c r="AZ623" i="40"/>
  <c r="BA623" i="40"/>
  <c r="BB623" i="40"/>
  <c r="BC623" i="40"/>
  <c r="BD623" i="40"/>
  <c r="AX624" i="40"/>
  <c r="AY624" i="40"/>
  <c r="AZ624" i="40"/>
  <c r="BA624" i="40"/>
  <c r="BB624" i="40"/>
  <c r="BC624" i="40"/>
  <c r="BD624" i="40"/>
  <c r="AX625" i="40"/>
  <c r="AY625" i="40"/>
  <c r="AZ625" i="40"/>
  <c r="BA625" i="40"/>
  <c r="BB625" i="40"/>
  <c r="BC625" i="40"/>
  <c r="BD625" i="40"/>
  <c r="AX626" i="40"/>
  <c r="AY626" i="40"/>
  <c r="AZ626" i="40"/>
  <c r="BA626" i="40"/>
  <c r="BB626" i="40"/>
  <c r="BC626" i="40"/>
  <c r="BD626" i="40"/>
  <c r="AX627" i="40"/>
  <c r="AY627" i="40"/>
  <c r="AZ627" i="40"/>
  <c r="BA627" i="40"/>
  <c r="BB627" i="40"/>
  <c r="BC627" i="40"/>
  <c r="BD627" i="40"/>
  <c r="AX628" i="40"/>
  <c r="AY628" i="40"/>
  <c r="AZ628" i="40"/>
  <c r="BA628" i="40"/>
  <c r="BB628" i="40"/>
  <c r="BC628" i="40"/>
  <c r="BD628" i="40"/>
  <c r="AX629" i="40"/>
  <c r="AY629" i="40"/>
  <c r="AZ629" i="40"/>
  <c r="BA629" i="40"/>
  <c r="BB629" i="40"/>
  <c r="BC629" i="40"/>
  <c r="BD629" i="40"/>
  <c r="AX630" i="40"/>
  <c r="AY630" i="40"/>
  <c r="AZ630" i="40"/>
  <c r="BA630" i="40"/>
  <c r="BB630" i="40"/>
  <c r="BC630" i="40"/>
  <c r="BD630" i="40"/>
  <c r="AX631" i="40"/>
  <c r="AY631" i="40"/>
  <c r="AZ631" i="40"/>
  <c r="BA631" i="40"/>
  <c r="BB631" i="40"/>
  <c r="BC631" i="40"/>
  <c r="BD631" i="40"/>
  <c r="AX632" i="40"/>
  <c r="AY632" i="40"/>
  <c r="AZ632" i="40"/>
  <c r="BA632" i="40"/>
  <c r="BB632" i="40"/>
  <c r="BC632" i="40"/>
  <c r="BD632" i="40"/>
  <c r="AX633" i="40"/>
  <c r="AY633" i="40"/>
  <c r="AZ633" i="40"/>
  <c r="BA633" i="40"/>
  <c r="BB633" i="40"/>
  <c r="BC633" i="40"/>
  <c r="BD633" i="40"/>
  <c r="AX634" i="40"/>
  <c r="AY634" i="40"/>
  <c r="AZ634" i="40"/>
  <c r="BA634" i="40"/>
  <c r="BB634" i="40"/>
  <c r="BC634" i="40"/>
  <c r="BD634" i="40"/>
  <c r="AX635" i="40"/>
  <c r="AY635" i="40"/>
  <c r="AZ635" i="40"/>
  <c r="BA635" i="40"/>
  <c r="BB635" i="40"/>
  <c r="BC635" i="40"/>
  <c r="BD635" i="40"/>
  <c r="AX636" i="40"/>
  <c r="AY636" i="40"/>
  <c r="AZ636" i="40"/>
  <c r="BA636" i="40"/>
  <c r="BB636" i="40"/>
  <c r="BC636" i="40"/>
  <c r="BD636" i="40"/>
  <c r="AX637" i="40"/>
  <c r="AY637" i="40"/>
  <c r="AZ637" i="40"/>
  <c r="BA637" i="40"/>
  <c r="BB637" i="40"/>
  <c r="BC637" i="40"/>
  <c r="BD637" i="40"/>
  <c r="AX638" i="40"/>
  <c r="AY638" i="40"/>
  <c r="AZ638" i="40"/>
  <c r="BA638" i="40"/>
  <c r="BB638" i="40"/>
  <c r="BC638" i="40"/>
  <c r="BD638" i="40"/>
  <c r="AX650" i="40"/>
  <c r="AX651" i="40"/>
  <c r="AX652" i="40"/>
  <c r="AX653" i="40"/>
  <c r="AX654" i="40"/>
  <c r="AX656" i="40"/>
  <c r="AX658" i="40"/>
  <c r="AX659" i="40"/>
  <c r="AX660" i="40"/>
  <c r="AX664" i="40"/>
  <c r="AX665" i="40"/>
  <c r="AX666" i="40"/>
  <c r="AX670" i="40"/>
  <c r="AY670" i="40"/>
  <c r="AZ670" i="40"/>
  <c r="BA670" i="40"/>
  <c r="BB670" i="40"/>
  <c r="BC670" i="40"/>
  <c r="BD670" i="40"/>
  <c r="AX671" i="40"/>
  <c r="AY671" i="40"/>
  <c r="AZ671" i="40"/>
  <c r="BA671" i="40"/>
  <c r="BB671" i="40"/>
  <c r="BC671" i="40"/>
  <c r="BD671" i="40"/>
  <c r="AX672" i="40"/>
  <c r="AY672" i="40"/>
  <c r="AZ672" i="40"/>
  <c r="BA672" i="40"/>
  <c r="BB672" i="40"/>
  <c r="BC672" i="40"/>
  <c r="BD672" i="40"/>
  <c r="AX673" i="40"/>
  <c r="AY673" i="40"/>
  <c r="AZ673" i="40"/>
  <c r="BA673" i="40"/>
  <c r="BB673" i="40"/>
  <c r="BC673" i="40"/>
  <c r="BD673" i="40"/>
  <c r="AX674" i="40"/>
  <c r="AY674" i="40"/>
  <c r="AZ674" i="40"/>
  <c r="BA674" i="40"/>
  <c r="BB674" i="40"/>
  <c r="BC674" i="40"/>
  <c r="BD674" i="40"/>
  <c r="AX675" i="40"/>
  <c r="AY675" i="40"/>
  <c r="AZ675" i="40"/>
  <c r="BA675" i="40"/>
  <c r="BB675" i="40"/>
  <c r="BC675" i="40"/>
  <c r="BD675" i="40"/>
  <c r="AX676" i="40"/>
  <c r="AY676" i="40"/>
  <c r="AZ676" i="40"/>
  <c r="BA676" i="40"/>
  <c r="BB676" i="40"/>
  <c r="BC676" i="40"/>
  <c r="BD676" i="40"/>
  <c r="AX677" i="40"/>
  <c r="AY677" i="40"/>
  <c r="AZ677" i="40"/>
  <c r="BA677" i="40"/>
  <c r="BB677" i="40"/>
  <c r="BC677" i="40"/>
  <c r="BD677" i="40"/>
  <c r="AX678" i="40"/>
  <c r="AY678" i="40"/>
  <c r="AZ678" i="40"/>
  <c r="BA678" i="40"/>
  <c r="BB678" i="40"/>
  <c r="BC678" i="40"/>
  <c r="BD678" i="40"/>
  <c r="AX679" i="40"/>
  <c r="AY679" i="40"/>
  <c r="AZ679" i="40"/>
  <c r="BA679" i="40"/>
  <c r="BB679" i="40"/>
  <c r="BC679" i="40"/>
  <c r="BD679" i="40"/>
  <c r="AX680" i="40"/>
  <c r="AY680" i="40"/>
  <c r="AZ680" i="40"/>
  <c r="BA680" i="40"/>
  <c r="BB680" i="40"/>
  <c r="BC680" i="40"/>
  <c r="BD680" i="40"/>
  <c r="AG21" i="40"/>
  <c r="AH21" i="40"/>
  <c r="AI21" i="40"/>
  <c r="AJ21" i="40"/>
  <c r="AK21" i="40"/>
  <c r="AL21" i="40"/>
  <c r="AM21" i="40"/>
  <c r="AN21" i="40"/>
  <c r="AP21" i="40" s="1"/>
  <c r="AO21" i="40"/>
  <c r="AQ21" i="40"/>
  <c r="AR21" i="40"/>
  <c r="AS21" i="40"/>
  <c r="AG22" i="40"/>
  <c r="AH22" i="40"/>
  <c r="AI22" i="40"/>
  <c r="AJ22" i="40"/>
  <c r="AK22" i="40"/>
  <c r="AL22" i="40"/>
  <c r="AM22" i="40"/>
  <c r="AN22" i="40"/>
  <c r="AO22" i="40"/>
  <c r="AP22" i="40"/>
  <c r="AQ22" i="40"/>
  <c r="AR22" i="40"/>
  <c r="AS22" i="40"/>
  <c r="AG23" i="40"/>
  <c r="AH23" i="40"/>
  <c r="AI23" i="40"/>
  <c r="AJ23" i="40"/>
  <c r="AK23" i="40"/>
  <c r="AP23" i="40" s="1"/>
  <c r="AL23" i="40"/>
  <c r="AM23" i="40"/>
  <c r="AN23" i="40"/>
  <c r="AO23" i="40"/>
  <c r="AQ23" i="40"/>
  <c r="AR23" i="40"/>
  <c r="AS23" i="40"/>
  <c r="AG24" i="40"/>
  <c r="AH24" i="40"/>
  <c r="AI24" i="40"/>
  <c r="AJ24" i="40"/>
  <c r="AK24" i="40"/>
  <c r="AL24" i="40"/>
  <c r="AM24" i="40"/>
  <c r="AN24" i="40"/>
  <c r="AO24" i="40"/>
  <c r="AP24" i="40" s="1"/>
  <c r="AQ24" i="40"/>
  <c r="AR24" i="40"/>
  <c r="AS24" i="40"/>
  <c r="AG25" i="40"/>
  <c r="AH25" i="40"/>
  <c r="AI25" i="40"/>
  <c r="AJ25" i="40"/>
  <c r="AK25" i="40"/>
  <c r="AL25" i="40"/>
  <c r="AM25" i="40"/>
  <c r="AN25" i="40"/>
  <c r="AO25" i="40"/>
  <c r="AP25" i="40"/>
  <c r="AQ25" i="40"/>
  <c r="AR25" i="40"/>
  <c r="AS25" i="40"/>
  <c r="AG26" i="40"/>
  <c r="AH26" i="40"/>
  <c r="AI26" i="40"/>
  <c r="AJ26" i="40"/>
  <c r="AK26" i="40"/>
  <c r="AL26" i="40"/>
  <c r="AM26" i="40"/>
  <c r="AN26" i="40"/>
  <c r="AP26" i="40" s="1"/>
  <c r="AO26" i="40"/>
  <c r="AQ26" i="40"/>
  <c r="AR26" i="40"/>
  <c r="AS26" i="40"/>
  <c r="AG27" i="40"/>
  <c r="AH27" i="40"/>
  <c r="AI27" i="40"/>
  <c r="AJ27" i="40"/>
  <c r="AK27" i="40"/>
  <c r="AL27" i="40"/>
  <c r="AM27" i="40"/>
  <c r="AN27" i="40"/>
  <c r="AO27" i="40"/>
  <c r="AP27" i="40" s="1"/>
  <c r="AQ27" i="40"/>
  <c r="AR27" i="40"/>
  <c r="AS27" i="40"/>
  <c r="AG28" i="40"/>
  <c r="AH28" i="40"/>
  <c r="AI28" i="40"/>
  <c r="AJ28" i="40"/>
  <c r="AK28" i="40"/>
  <c r="AL28" i="40"/>
  <c r="AM28" i="40"/>
  <c r="AN28" i="40"/>
  <c r="AP28" i="40" s="1"/>
  <c r="AO28" i="40"/>
  <c r="AQ28" i="40"/>
  <c r="AR28" i="40"/>
  <c r="AS28" i="40"/>
  <c r="AG29" i="40"/>
  <c r="AH29" i="40"/>
  <c r="AI29" i="40"/>
  <c r="AJ29" i="40"/>
  <c r="AK29" i="40"/>
  <c r="AL29" i="40"/>
  <c r="AM29" i="40"/>
  <c r="AN29" i="40"/>
  <c r="AO29" i="40"/>
  <c r="AP29" i="40" s="1"/>
  <c r="AQ29" i="40"/>
  <c r="AR29" i="40"/>
  <c r="AS29" i="40"/>
  <c r="AG30" i="40"/>
  <c r="AH30" i="40"/>
  <c r="AI30" i="40"/>
  <c r="AJ30" i="40"/>
  <c r="AK30" i="40"/>
  <c r="AL30" i="40"/>
  <c r="AM30" i="40"/>
  <c r="AN30" i="40"/>
  <c r="AO30" i="40"/>
  <c r="AP30" i="40" s="1"/>
  <c r="AQ30" i="40"/>
  <c r="AR30" i="40"/>
  <c r="AS30" i="40"/>
  <c r="AG31" i="40"/>
  <c r="AH31" i="40"/>
  <c r="AI31" i="40"/>
  <c r="AJ31" i="40"/>
  <c r="AK31" i="40"/>
  <c r="AL31" i="40"/>
  <c r="AM31" i="40"/>
  <c r="AN31" i="40"/>
  <c r="AO31" i="40"/>
  <c r="AP31" i="40"/>
  <c r="AQ31" i="40"/>
  <c r="AR31" i="40"/>
  <c r="AS31" i="40"/>
  <c r="AG32" i="40"/>
  <c r="AH32" i="40"/>
  <c r="AI32" i="40"/>
  <c r="AJ32" i="40"/>
  <c r="AK32" i="40"/>
  <c r="AL32" i="40"/>
  <c r="AM32" i="40"/>
  <c r="AN32" i="40"/>
  <c r="AO32" i="40"/>
  <c r="AP32" i="40"/>
  <c r="AQ32" i="40"/>
  <c r="AR32" i="40"/>
  <c r="AS32" i="40"/>
  <c r="AG33" i="40"/>
  <c r="AH33" i="40"/>
  <c r="AI33" i="40"/>
  <c r="AJ33" i="40"/>
  <c r="AK33" i="40"/>
  <c r="AL33" i="40"/>
  <c r="AM33" i="40"/>
  <c r="AN33" i="40"/>
  <c r="AO33" i="40"/>
  <c r="AP33" i="40"/>
  <c r="AQ33" i="40"/>
  <c r="AR33" i="40"/>
  <c r="AS33" i="40"/>
  <c r="AG34" i="40"/>
  <c r="AH34" i="40"/>
  <c r="AI34" i="40"/>
  <c r="AJ34" i="40"/>
  <c r="AK34" i="40"/>
  <c r="AP34" i="40" s="1"/>
  <c r="AL34" i="40"/>
  <c r="AM34" i="40"/>
  <c r="AN34" i="40"/>
  <c r="AO34" i="40"/>
  <c r="AQ34" i="40"/>
  <c r="AR34" i="40"/>
  <c r="AS34" i="40"/>
  <c r="AG35" i="40"/>
  <c r="AH35" i="40"/>
  <c r="AI35" i="40"/>
  <c r="AJ35" i="40"/>
  <c r="AK35" i="40"/>
  <c r="AL35" i="40"/>
  <c r="AM35" i="40"/>
  <c r="AN35" i="40"/>
  <c r="AO35" i="40"/>
  <c r="AP35" i="40"/>
  <c r="AQ35" i="40"/>
  <c r="AR35" i="40"/>
  <c r="AS35" i="40"/>
  <c r="AG36" i="40"/>
  <c r="AH36" i="40"/>
  <c r="AI36" i="40"/>
  <c r="AJ36" i="40"/>
  <c r="AK36" i="40"/>
  <c r="AL36" i="40"/>
  <c r="AM36" i="40"/>
  <c r="AN36" i="40"/>
  <c r="AO36" i="40"/>
  <c r="AP36" i="40" s="1"/>
  <c r="AQ36" i="40"/>
  <c r="AR36" i="40"/>
  <c r="AS36" i="40"/>
  <c r="AG37" i="40"/>
  <c r="AH37" i="40"/>
  <c r="AI37" i="40"/>
  <c r="AJ37" i="40"/>
  <c r="AK37" i="40"/>
  <c r="AL37" i="40"/>
  <c r="AM37" i="40"/>
  <c r="AN37" i="40"/>
  <c r="AO37" i="40"/>
  <c r="AP37" i="40"/>
  <c r="AQ37" i="40"/>
  <c r="AR37" i="40"/>
  <c r="AS37" i="40"/>
  <c r="AG38" i="40"/>
  <c r="AH38" i="40"/>
  <c r="AI38" i="40"/>
  <c r="AJ38" i="40"/>
  <c r="AK38" i="40"/>
  <c r="AL38" i="40"/>
  <c r="AM38" i="40"/>
  <c r="AN38" i="40"/>
  <c r="AO38" i="40"/>
  <c r="AP38" i="40" s="1"/>
  <c r="AQ38" i="40"/>
  <c r="AR38" i="40"/>
  <c r="AS38" i="40"/>
  <c r="AG39" i="40"/>
  <c r="AH39" i="40"/>
  <c r="AI39" i="40"/>
  <c r="AJ39" i="40"/>
  <c r="AK39" i="40"/>
  <c r="AL39" i="40"/>
  <c r="AM39" i="40"/>
  <c r="AN39" i="40"/>
  <c r="AO39" i="40"/>
  <c r="AP39" i="40"/>
  <c r="AQ39" i="40"/>
  <c r="AR39" i="40"/>
  <c r="AS39" i="40"/>
  <c r="AG40" i="40"/>
  <c r="AH40" i="40"/>
  <c r="AI40" i="40"/>
  <c r="AJ40" i="40"/>
  <c r="AK40" i="40"/>
  <c r="AL40" i="40"/>
  <c r="AM40" i="40"/>
  <c r="AN40" i="40"/>
  <c r="AP40" i="40" s="1"/>
  <c r="AO40" i="40"/>
  <c r="AQ40" i="40"/>
  <c r="AR40" i="40"/>
  <c r="AS40" i="40"/>
  <c r="AG41" i="40"/>
  <c r="AH41" i="40"/>
  <c r="AI41" i="40"/>
  <c r="AJ41" i="40"/>
  <c r="AK41" i="40"/>
  <c r="AL41" i="40"/>
  <c r="AM41" i="40"/>
  <c r="AN41" i="40"/>
  <c r="AO41" i="40"/>
  <c r="AP41" i="40"/>
  <c r="AQ41" i="40"/>
  <c r="AR41" i="40"/>
  <c r="AS41" i="40"/>
  <c r="AG42" i="40"/>
  <c r="AH42" i="40"/>
  <c r="AI42" i="40"/>
  <c r="AJ42" i="40"/>
  <c r="AK42" i="40"/>
  <c r="AL42" i="40"/>
  <c r="AM42" i="40"/>
  <c r="AN42" i="40"/>
  <c r="AO42" i="40"/>
  <c r="AP42" i="40" s="1"/>
  <c r="AQ42" i="40"/>
  <c r="AR42" i="40"/>
  <c r="AS42" i="40"/>
  <c r="AG43" i="40"/>
  <c r="AH43" i="40"/>
  <c r="AI43" i="40"/>
  <c r="AJ43" i="40"/>
  <c r="AK43" i="40"/>
  <c r="AL43" i="40"/>
  <c r="AM43" i="40"/>
  <c r="AN43" i="40"/>
  <c r="AP43" i="40" s="1"/>
  <c r="AO43" i="40"/>
  <c r="AQ43" i="40"/>
  <c r="AR43" i="40"/>
  <c r="AS43" i="40"/>
  <c r="AG44" i="40"/>
  <c r="AH44" i="40"/>
  <c r="AI44" i="40"/>
  <c r="AJ44" i="40"/>
  <c r="AK44" i="40"/>
  <c r="AL44" i="40"/>
  <c r="AM44" i="40"/>
  <c r="AN44" i="40"/>
  <c r="AO44" i="40"/>
  <c r="AP44" i="40" s="1"/>
  <c r="AQ44" i="40"/>
  <c r="AR44" i="40"/>
  <c r="AS44" i="40"/>
  <c r="AG45" i="40"/>
  <c r="AH45" i="40"/>
  <c r="AI45" i="40"/>
  <c r="AJ45" i="40"/>
  <c r="AK45" i="40"/>
  <c r="AL45" i="40"/>
  <c r="AM45" i="40"/>
  <c r="AN45" i="40"/>
  <c r="AP45" i="40" s="1"/>
  <c r="AO45" i="40"/>
  <c r="AQ45" i="40"/>
  <c r="AR45" i="40"/>
  <c r="AS45" i="40"/>
  <c r="AG46" i="40"/>
  <c r="AH46" i="40"/>
  <c r="AI46" i="40"/>
  <c r="AJ46" i="40"/>
  <c r="AK46" i="40"/>
  <c r="AL46" i="40"/>
  <c r="AM46" i="40"/>
  <c r="AN46" i="40"/>
  <c r="AP46" i="40" s="1"/>
  <c r="AO46" i="40"/>
  <c r="AQ46" i="40"/>
  <c r="AR46" i="40"/>
  <c r="AS46" i="40"/>
  <c r="AG47" i="40"/>
  <c r="AH47" i="40"/>
  <c r="AI47" i="40"/>
  <c r="AJ47" i="40"/>
  <c r="AK47" i="40"/>
  <c r="AL47" i="40"/>
  <c r="AM47" i="40"/>
  <c r="AN47" i="40"/>
  <c r="AO47" i="40"/>
  <c r="AP47" i="40"/>
  <c r="AQ47" i="40"/>
  <c r="AR47" i="40"/>
  <c r="AS47" i="40"/>
  <c r="AG48" i="40"/>
  <c r="AH48" i="40"/>
  <c r="AI48" i="40"/>
  <c r="AJ48" i="40"/>
  <c r="AK48" i="40"/>
  <c r="AL48" i="40"/>
  <c r="AM48" i="40"/>
  <c r="AN48" i="40"/>
  <c r="AO48" i="40"/>
  <c r="AP48" i="40"/>
  <c r="AQ48" i="40"/>
  <c r="AR48" i="40"/>
  <c r="AS48" i="40"/>
  <c r="AG49" i="40"/>
  <c r="AH49" i="40"/>
  <c r="AI49" i="40"/>
  <c r="AJ49" i="40"/>
  <c r="AK49" i="40"/>
  <c r="AL49" i="40"/>
  <c r="AM49" i="40"/>
  <c r="AN49" i="40"/>
  <c r="AO49" i="40"/>
  <c r="AP49" i="40"/>
  <c r="AQ49" i="40"/>
  <c r="AR49" i="40"/>
  <c r="AS49" i="40"/>
  <c r="AG50" i="40"/>
  <c r="AH50" i="40"/>
  <c r="AI50" i="40"/>
  <c r="AJ50" i="40"/>
  <c r="AK50" i="40"/>
  <c r="AL50" i="40"/>
  <c r="AM50" i="40"/>
  <c r="AN50" i="40"/>
  <c r="AO50" i="40"/>
  <c r="AP50" i="40" s="1"/>
  <c r="AQ50" i="40"/>
  <c r="AR50" i="40"/>
  <c r="AS50" i="40"/>
  <c r="AG51" i="40"/>
  <c r="AH51" i="40"/>
  <c r="AI51" i="40"/>
  <c r="AJ51" i="40"/>
  <c r="AK51" i="40"/>
  <c r="AL51" i="40"/>
  <c r="AM51" i="40"/>
  <c r="AN51" i="40"/>
  <c r="AP51" i="40" s="1"/>
  <c r="AO51" i="40"/>
  <c r="AQ51" i="40"/>
  <c r="AR51" i="40"/>
  <c r="AS51" i="40"/>
  <c r="AG52" i="40"/>
  <c r="AH52" i="40"/>
  <c r="AI52" i="40"/>
  <c r="AJ52" i="40"/>
  <c r="AK52" i="40"/>
  <c r="AL52" i="40"/>
  <c r="AM52" i="40"/>
  <c r="AN52" i="40"/>
  <c r="AO52" i="40"/>
  <c r="AP52" i="40"/>
  <c r="AQ52" i="40"/>
  <c r="AR52" i="40"/>
  <c r="AS52" i="40"/>
  <c r="AG53" i="40"/>
  <c r="AH53" i="40"/>
  <c r="AI53" i="40"/>
  <c r="AJ53" i="40"/>
  <c r="AK53" i="40"/>
  <c r="AL53" i="40"/>
  <c r="AM53" i="40"/>
  <c r="AN53" i="40"/>
  <c r="AP53" i="40" s="1"/>
  <c r="AO53" i="40"/>
  <c r="AQ53" i="40"/>
  <c r="AR53" i="40"/>
  <c r="AS53" i="40"/>
  <c r="AG54" i="40"/>
  <c r="AH54" i="40"/>
  <c r="AI54" i="40"/>
  <c r="AJ54" i="40"/>
  <c r="AK54" i="40"/>
  <c r="AL54" i="40"/>
  <c r="AM54" i="40"/>
  <c r="AN54" i="40"/>
  <c r="AO54" i="40"/>
  <c r="AP54" i="40"/>
  <c r="AQ54" i="40"/>
  <c r="AR54" i="40"/>
  <c r="AS54" i="40"/>
  <c r="AG55" i="40"/>
  <c r="AH55" i="40"/>
  <c r="AI55" i="40"/>
  <c r="AJ55" i="40"/>
  <c r="AK55" i="40"/>
  <c r="AL55" i="40"/>
  <c r="AM55" i="40"/>
  <c r="AN55" i="40"/>
  <c r="AP55" i="40" s="1"/>
  <c r="AO55" i="40"/>
  <c r="AQ55" i="40"/>
  <c r="AR55" i="40"/>
  <c r="AS55" i="40"/>
  <c r="AG56" i="40"/>
  <c r="AH56" i="40"/>
  <c r="AI56" i="40"/>
  <c r="AJ56" i="40"/>
  <c r="AK56" i="40"/>
  <c r="AP56" i="40" s="1"/>
  <c r="AL56" i="40"/>
  <c r="AM56" i="40"/>
  <c r="AN56" i="40"/>
  <c r="AO56" i="40"/>
  <c r="AQ56" i="40"/>
  <c r="AR56" i="40"/>
  <c r="AS56" i="40"/>
  <c r="AG57" i="40"/>
  <c r="AH57" i="40"/>
  <c r="AI57" i="40"/>
  <c r="AJ57" i="40"/>
  <c r="AK57" i="40"/>
  <c r="AL57" i="40"/>
  <c r="AM57" i="40"/>
  <c r="AN57" i="40"/>
  <c r="AO57" i="40"/>
  <c r="AP57" i="40"/>
  <c r="AQ57" i="40"/>
  <c r="AR57" i="40"/>
  <c r="AS57" i="40"/>
  <c r="AG58" i="40"/>
  <c r="AH58" i="40"/>
  <c r="AI58" i="40"/>
  <c r="AJ58" i="40"/>
  <c r="AK58" i="40"/>
  <c r="AL58" i="40"/>
  <c r="AM58" i="40"/>
  <c r="AN58" i="40"/>
  <c r="AP58" i="40" s="1"/>
  <c r="AO58" i="40"/>
  <c r="AQ58" i="40"/>
  <c r="AR58" i="40"/>
  <c r="AS58" i="40"/>
  <c r="AG59" i="40"/>
  <c r="AH59" i="40"/>
  <c r="AI59" i="40"/>
  <c r="AJ59" i="40"/>
  <c r="AK59" i="40"/>
  <c r="AL59" i="40"/>
  <c r="AM59" i="40"/>
  <c r="AN59" i="40"/>
  <c r="AO59" i="40"/>
  <c r="AP59" i="40" s="1"/>
  <c r="AQ59" i="40"/>
  <c r="AR59" i="40"/>
  <c r="AS59" i="40"/>
  <c r="AG60" i="40"/>
  <c r="AH60" i="40"/>
  <c r="AI60" i="40"/>
  <c r="AJ60" i="40"/>
  <c r="AK60" i="40"/>
  <c r="AL60" i="40"/>
  <c r="AM60" i="40"/>
  <c r="AN60" i="40"/>
  <c r="AP60" i="40" s="1"/>
  <c r="AO60" i="40"/>
  <c r="AQ60" i="40"/>
  <c r="AR60" i="40"/>
  <c r="AS60" i="40"/>
  <c r="AG61" i="40"/>
  <c r="AH61" i="40"/>
  <c r="AI61" i="40"/>
  <c r="AJ61" i="40"/>
  <c r="AK61" i="40"/>
  <c r="AP61" i="40" s="1"/>
  <c r="AL61" i="40"/>
  <c r="AM61" i="40"/>
  <c r="AN61" i="40"/>
  <c r="AO61" i="40"/>
  <c r="AQ61" i="40"/>
  <c r="AR61" i="40"/>
  <c r="AS61" i="40"/>
  <c r="AG62" i="40"/>
  <c r="AH62" i="40"/>
  <c r="AI62" i="40"/>
  <c r="AJ62" i="40"/>
  <c r="AK62" i="40"/>
  <c r="AL62" i="40"/>
  <c r="AM62" i="40"/>
  <c r="AN62" i="40"/>
  <c r="AO62" i="40"/>
  <c r="AP62" i="40" s="1"/>
  <c r="AQ62" i="40"/>
  <c r="AR62" i="40"/>
  <c r="AS62" i="40"/>
  <c r="AG63" i="40"/>
  <c r="AH63" i="40"/>
  <c r="AI63" i="40"/>
  <c r="AJ63" i="40"/>
  <c r="AK63" i="40"/>
  <c r="AL63" i="40"/>
  <c r="AM63" i="40"/>
  <c r="AN63" i="40"/>
  <c r="AO63" i="40"/>
  <c r="AP63" i="40"/>
  <c r="AQ63" i="40"/>
  <c r="AR63" i="40"/>
  <c r="AS63" i="40"/>
  <c r="AG64" i="40"/>
  <c r="AH64" i="40"/>
  <c r="AI64" i="40"/>
  <c r="AJ64" i="40"/>
  <c r="AK64" i="40"/>
  <c r="AL64" i="40"/>
  <c r="AM64" i="40"/>
  <c r="AN64" i="40"/>
  <c r="AP64" i="40" s="1"/>
  <c r="AO64" i="40"/>
  <c r="AQ64" i="40"/>
  <c r="AR64" i="40"/>
  <c r="AS64" i="40"/>
  <c r="AG65" i="40"/>
  <c r="AH65" i="40"/>
  <c r="AI65" i="40"/>
  <c r="AJ65" i="40"/>
  <c r="AK65" i="40"/>
  <c r="AL65" i="40"/>
  <c r="AM65" i="40"/>
  <c r="AN65" i="40"/>
  <c r="AO65" i="40"/>
  <c r="AP65" i="40"/>
  <c r="AQ65" i="40"/>
  <c r="AR65" i="40"/>
  <c r="AS65" i="40"/>
  <c r="AG66" i="40"/>
  <c r="AH66" i="40"/>
  <c r="AI66" i="40"/>
  <c r="AJ66" i="40"/>
  <c r="AK66" i="40"/>
  <c r="AP66" i="40" s="1"/>
  <c r="AL66" i="40"/>
  <c r="AM66" i="40"/>
  <c r="AN66" i="40"/>
  <c r="AO66" i="40"/>
  <c r="AQ66" i="40"/>
  <c r="AR66" i="40"/>
  <c r="AS66" i="40"/>
  <c r="AG67" i="40"/>
  <c r="AH67" i="40"/>
  <c r="AI67" i="40"/>
  <c r="AJ67" i="40"/>
  <c r="AK67" i="40"/>
  <c r="AL67" i="40"/>
  <c r="AM67" i="40"/>
  <c r="AN67" i="40"/>
  <c r="AO67" i="40"/>
  <c r="AP67" i="40"/>
  <c r="AQ67" i="40"/>
  <c r="AR67" i="40"/>
  <c r="AS67" i="40"/>
  <c r="AG68" i="40"/>
  <c r="AH68" i="40"/>
  <c r="AI68" i="40"/>
  <c r="AJ68" i="40"/>
  <c r="AK68" i="40"/>
  <c r="AL68" i="40"/>
  <c r="AM68" i="40"/>
  <c r="AN68" i="40"/>
  <c r="AO68" i="40"/>
  <c r="AP68" i="40" s="1"/>
  <c r="AQ68" i="40"/>
  <c r="AR68" i="40"/>
  <c r="AS68" i="40"/>
  <c r="AG69" i="40"/>
  <c r="AH69" i="40"/>
  <c r="AI69" i="40"/>
  <c r="AJ69" i="40"/>
  <c r="AK69" i="40"/>
  <c r="AL69" i="40"/>
  <c r="AM69" i="40"/>
  <c r="AN69" i="40"/>
  <c r="AO69" i="40"/>
  <c r="AP69" i="40"/>
  <c r="AQ69" i="40"/>
  <c r="AR69" i="40"/>
  <c r="AS69" i="40"/>
  <c r="AG70" i="40"/>
  <c r="AH70" i="40"/>
  <c r="AI70" i="40"/>
  <c r="AJ70" i="40"/>
  <c r="AK70" i="40"/>
  <c r="AL70" i="40"/>
  <c r="AM70" i="40"/>
  <c r="AN70" i="40"/>
  <c r="AO70" i="40"/>
  <c r="AP70" i="40" s="1"/>
  <c r="AQ70" i="40"/>
  <c r="AR70" i="40"/>
  <c r="AS70" i="40"/>
  <c r="AG71" i="40"/>
  <c r="AH71" i="40"/>
  <c r="AI71" i="40"/>
  <c r="AJ71" i="40"/>
  <c r="AK71" i="40"/>
  <c r="AL71" i="40"/>
  <c r="AM71" i="40"/>
  <c r="AN71" i="40"/>
  <c r="AO71" i="40"/>
  <c r="AP71" i="40"/>
  <c r="AQ71" i="40"/>
  <c r="AR71" i="40"/>
  <c r="AS71" i="40"/>
  <c r="AG72" i="40"/>
  <c r="AH72" i="40"/>
  <c r="AI72" i="40"/>
  <c r="AJ72" i="40"/>
  <c r="AK72" i="40"/>
  <c r="AL72" i="40"/>
  <c r="AM72" i="40"/>
  <c r="AN72" i="40"/>
  <c r="AP72" i="40" s="1"/>
  <c r="AO72" i="40"/>
  <c r="AQ72" i="40"/>
  <c r="AR72" i="40"/>
  <c r="AS72" i="40"/>
  <c r="AG73" i="40"/>
  <c r="AH73" i="40"/>
  <c r="AI73" i="40"/>
  <c r="AJ73" i="40"/>
  <c r="AK73" i="40"/>
  <c r="AL73" i="40"/>
  <c r="AM73" i="40"/>
  <c r="AN73" i="40"/>
  <c r="AO73" i="40"/>
  <c r="AP73" i="40"/>
  <c r="AQ73" i="40"/>
  <c r="AR73" i="40"/>
  <c r="AS73" i="40"/>
  <c r="AG74" i="40"/>
  <c r="AH74" i="40"/>
  <c r="AI74" i="40"/>
  <c r="AJ74" i="40"/>
  <c r="AK74" i="40"/>
  <c r="AL74" i="40"/>
  <c r="AM74" i="40"/>
  <c r="AN74" i="40"/>
  <c r="AO74" i="40"/>
  <c r="AP74" i="40" s="1"/>
  <c r="AQ74" i="40"/>
  <c r="AR74" i="40"/>
  <c r="AS74" i="40"/>
  <c r="AG75" i="40"/>
  <c r="AH75" i="40"/>
  <c r="AI75" i="40"/>
  <c r="AJ75" i="40"/>
  <c r="AK75" i="40"/>
  <c r="AL75" i="40"/>
  <c r="AM75" i="40"/>
  <c r="AN75" i="40"/>
  <c r="AO75" i="40"/>
  <c r="AP75" i="40"/>
  <c r="AQ75" i="40"/>
  <c r="AR75" i="40"/>
  <c r="AS75" i="40"/>
  <c r="AG76" i="40"/>
  <c r="AH76" i="40"/>
  <c r="AI76" i="40"/>
  <c r="AJ76" i="40"/>
  <c r="AK76" i="40"/>
  <c r="AL76" i="40"/>
  <c r="AM76" i="40"/>
  <c r="AN76" i="40"/>
  <c r="AO76" i="40"/>
  <c r="AP76" i="40" s="1"/>
  <c r="AQ76" i="40"/>
  <c r="AR76" i="40"/>
  <c r="AS76" i="40"/>
  <c r="AG77" i="40"/>
  <c r="AH77" i="40"/>
  <c r="AI77" i="40"/>
  <c r="AJ77" i="40"/>
  <c r="AK77" i="40"/>
  <c r="AL77" i="40"/>
  <c r="AM77" i="40"/>
  <c r="AN77" i="40"/>
  <c r="AP77" i="40" s="1"/>
  <c r="AO77" i="40"/>
  <c r="AQ77" i="40"/>
  <c r="AR77" i="40"/>
  <c r="AS77" i="40"/>
  <c r="AG78" i="40"/>
  <c r="AH78" i="40"/>
  <c r="AI78" i="40"/>
  <c r="AJ78" i="40"/>
  <c r="AK78" i="40"/>
  <c r="AL78" i="40"/>
  <c r="AM78" i="40"/>
  <c r="AN78" i="40"/>
  <c r="AP78" i="40" s="1"/>
  <c r="AO78" i="40"/>
  <c r="AQ78" i="40"/>
  <c r="AR78" i="40"/>
  <c r="AS78" i="40"/>
  <c r="AG79" i="40"/>
  <c r="AH79" i="40"/>
  <c r="AI79" i="40"/>
  <c r="AJ79" i="40"/>
  <c r="AK79" i="40"/>
  <c r="AP79" i="40" s="1"/>
  <c r="AL79" i="40"/>
  <c r="AM79" i="40"/>
  <c r="AN79" i="40"/>
  <c r="AO79" i="40"/>
  <c r="AQ79" i="40"/>
  <c r="AR79" i="40"/>
  <c r="AS79" i="40"/>
  <c r="AG80" i="40"/>
  <c r="AH80" i="40"/>
  <c r="AI80" i="40"/>
  <c r="AJ80" i="40"/>
  <c r="AK80" i="40"/>
  <c r="AL80" i="40"/>
  <c r="AM80" i="40"/>
  <c r="AN80" i="40"/>
  <c r="AO80" i="40"/>
  <c r="AP80" i="40" s="1"/>
  <c r="AQ80" i="40"/>
  <c r="AR80" i="40"/>
  <c r="AS80" i="40"/>
  <c r="AG81" i="40"/>
  <c r="AH81" i="40"/>
  <c r="AI81" i="40"/>
  <c r="AJ81" i="40"/>
  <c r="AK81" i="40"/>
  <c r="AL81" i="40"/>
  <c r="AM81" i="40"/>
  <c r="AN81" i="40"/>
  <c r="AO81" i="40"/>
  <c r="AP81" i="40"/>
  <c r="AQ81" i="40"/>
  <c r="AR81" i="40"/>
  <c r="AS81" i="40"/>
  <c r="AG82" i="40"/>
  <c r="AH82" i="40"/>
  <c r="AI82" i="40"/>
  <c r="AJ82" i="40"/>
  <c r="AK82" i="40"/>
  <c r="AP82" i="40" s="1"/>
  <c r="AL82" i="40"/>
  <c r="AM82" i="40"/>
  <c r="AN82" i="40"/>
  <c r="AO82" i="40"/>
  <c r="AQ82" i="40"/>
  <c r="AR82" i="40"/>
  <c r="AS82" i="40"/>
  <c r="AG83" i="40"/>
  <c r="AH83" i="40"/>
  <c r="AI83" i="40"/>
  <c r="AJ83" i="40"/>
  <c r="AK83" i="40"/>
  <c r="AL83" i="40"/>
  <c r="AM83" i="40"/>
  <c r="AN83" i="40"/>
  <c r="AP83" i="40" s="1"/>
  <c r="AO83" i="40"/>
  <c r="AQ83" i="40"/>
  <c r="AR83" i="40"/>
  <c r="AS83" i="40"/>
  <c r="AG84" i="40"/>
  <c r="AH84" i="40"/>
  <c r="AI84" i="40"/>
  <c r="AJ84" i="40"/>
  <c r="AK84" i="40"/>
  <c r="AL84" i="40"/>
  <c r="AM84" i="40"/>
  <c r="AN84" i="40"/>
  <c r="AO84" i="40"/>
  <c r="AP84" i="40"/>
  <c r="AQ84" i="40"/>
  <c r="AR84" i="40"/>
  <c r="AS84" i="40"/>
  <c r="AG85" i="40"/>
  <c r="AH85" i="40"/>
  <c r="AI85" i="40"/>
  <c r="AJ85" i="40"/>
  <c r="AK85" i="40"/>
  <c r="AL85" i="40"/>
  <c r="AM85" i="40"/>
  <c r="AN85" i="40"/>
  <c r="AP85" i="40" s="1"/>
  <c r="AO85" i="40"/>
  <c r="AQ85" i="40"/>
  <c r="AR85" i="40"/>
  <c r="AS85" i="40"/>
  <c r="AG86" i="40"/>
  <c r="AH86" i="40"/>
  <c r="AI86" i="40"/>
  <c r="AJ86" i="40"/>
  <c r="AK86" i="40"/>
  <c r="AL86" i="40"/>
  <c r="AM86" i="40"/>
  <c r="AN86" i="40"/>
  <c r="AO86" i="40"/>
  <c r="AP86" i="40"/>
  <c r="AQ86" i="40"/>
  <c r="AR86" i="40"/>
  <c r="AS86" i="40"/>
  <c r="AG87" i="40"/>
  <c r="AH87" i="40"/>
  <c r="AI87" i="40"/>
  <c r="AJ87" i="40"/>
  <c r="AK87" i="40"/>
  <c r="AL87" i="40"/>
  <c r="AM87" i="40"/>
  <c r="AN87" i="40"/>
  <c r="AO87" i="40"/>
  <c r="AP87" i="40" s="1"/>
  <c r="AQ87" i="40"/>
  <c r="AR87" i="40"/>
  <c r="AS87" i="40"/>
  <c r="AG88" i="40"/>
  <c r="AH88" i="40"/>
  <c r="AI88" i="40"/>
  <c r="AJ88" i="40"/>
  <c r="AK88" i="40"/>
  <c r="AP88" i="40" s="1"/>
  <c r="AL88" i="40"/>
  <c r="AM88" i="40"/>
  <c r="AN88" i="40"/>
  <c r="AO88" i="40"/>
  <c r="AQ88" i="40"/>
  <c r="AR88" i="40"/>
  <c r="AS88" i="40"/>
  <c r="AG89" i="40"/>
  <c r="AH89" i="40"/>
  <c r="AI89" i="40"/>
  <c r="AJ89" i="40"/>
  <c r="AK89" i="40"/>
  <c r="AL89" i="40"/>
  <c r="AM89" i="40"/>
  <c r="AN89" i="40"/>
  <c r="AO89" i="40"/>
  <c r="AP89" i="40"/>
  <c r="AQ89" i="40"/>
  <c r="AR89" i="40"/>
  <c r="AS89" i="40"/>
  <c r="AG90" i="40"/>
  <c r="AH90" i="40"/>
  <c r="AI90" i="40"/>
  <c r="AJ90" i="40"/>
  <c r="AK90" i="40"/>
  <c r="AL90" i="40"/>
  <c r="AM90" i="40"/>
  <c r="AN90" i="40"/>
  <c r="AP90" i="40" s="1"/>
  <c r="AO90" i="40"/>
  <c r="AQ90" i="40"/>
  <c r="AR90" i="40"/>
  <c r="AS90" i="40"/>
  <c r="AG91" i="40"/>
  <c r="AH91" i="40"/>
  <c r="AI91" i="40"/>
  <c r="AJ91" i="40"/>
  <c r="AK91" i="40"/>
  <c r="AL91" i="40"/>
  <c r="AM91" i="40"/>
  <c r="AN91" i="40"/>
  <c r="AO91" i="40"/>
  <c r="AP91" i="40" s="1"/>
  <c r="AQ91" i="40"/>
  <c r="AR91" i="40"/>
  <c r="AS91" i="40"/>
  <c r="AG92" i="40"/>
  <c r="AH92" i="40"/>
  <c r="AI92" i="40"/>
  <c r="AJ92" i="40"/>
  <c r="AK92" i="40"/>
  <c r="AL92" i="40"/>
  <c r="AM92" i="40"/>
  <c r="AN92" i="40"/>
  <c r="AP92" i="40" s="1"/>
  <c r="AO92" i="40"/>
  <c r="AQ92" i="40"/>
  <c r="AR92" i="40"/>
  <c r="AS92" i="40"/>
  <c r="AG93" i="40"/>
  <c r="AH93" i="40"/>
  <c r="AI93" i="40"/>
  <c r="AJ93" i="40"/>
  <c r="AK93" i="40"/>
  <c r="AP93" i="40" s="1"/>
  <c r="AL93" i="40"/>
  <c r="AM93" i="40"/>
  <c r="AN93" i="40"/>
  <c r="AO93" i="40"/>
  <c r="AQ93" i="40"/>
  <c r="AR93" i="40"/>
  <c r="AS93" i="40"/>
  <c r="AG94" i="40"/>
  <c r="AH94" i="40"/>
  <c r="AI94" i="40"/>
  <c r="AJ94" i="40"/>
  <c r="AK94" i="40"/>
  <c r="AL94" i="40"/>
  <c r="AM94" i="40"/>
  <c r="AN94" i="40"/>
  <c r="AO94" i="40"/>
  <c r="AP94" i="40" s="1"/>
  <c r="AQ94" i="40"/>
  <c r="AR94" i="40"/>
  <c r="AS94" i="40"/>
  <c r="AG95" i="40"/>
  <c r="AH95" i="40"/>
  <c r="AI95" i="40"/>
  <c r="AJ95" i="40"/>
  <c r="AK95" i="40"/>
  <c r="AL95" i="40"/>
  <c r="AM95" i="40"/>
  <c r="AN95" i="40"/>
  <c r="AO95" i="40"/>
  <c r="AP95" i="40"/>
  <c r="AQ95" i="40"/>
  <c r="AR95" i="40"/>
  <c r="AS95" i="40"/>
  <c r="AG96" i="40"/>
  <c r="AH96" i="40"/>
  <c r="AI96" i="40"/>
  <c r="AJ96" i="40"/>
  <c r="AK96" i="40"/>
  <c r="AL96" i="40"/>
  <c r="AM96" i="40"/>
  <c r="AN96" i="40"/>
  <c r="AP96" i="40" s="1"/>
  <c r="AO96" i="40"/>
  <c r="AQ96" i="40"/>
  <c r="AR96" i="40"/>
  <c r="AS96" i="40"/>
  <c r="AG97" i="40"/>
  <c r="AH97" i="40"/>
  <c r="AI97" i="40"/>
  <c r="AJ97" i="40"/>
  <c r="AK97" i="40"/>
  <c r="AL97" i="40"/>
  <c r="AM97" i="40"/>
  <c r="AN97" i="40"/>
  <c r="AO97" i="40"/>
  <c r="AP97" i="40"/>
  <c r="AQ97" i="40"/>
  <c r="AR97" i="40"/>
  <c r="AS97" i="40"/>
  <c r="AG98" i="40"/>
  <c r="AH98" i="40"/>
  <c r="AI98" i="40"/>
  <c r="AJ98" i="40"/>
  <c r="AK98" i="40"/>
  <c r="AP98" i="40" s="1"/>
  <c r="AL98" i="40"/>
  <c r="AM98" i="40"/>
  <c r="AN98" i="40"/>
  <c r="AO98" i="40"/>
  <c r="AQ98" i="40"/>
  <c r="AR98" i="40"/>
  <c r="AS98" i="40"/>
  <c r="AG99" i="40"/>
  <c r="AH99" i="40"/>
  <c r="AI99" i="40"/>
  <c r="AJ99" i="40"/>
  <c r="AK99" i="40"/>
  <c r="AL99" i="40"/>
  <c r="AM99" i="40"/>
  <c r="AN99" i="40"/>
  <c r="AO99" i="40"/>
  <c r="AP99" i="40"/>
  <c r="AQ99" i="40"/>
  <c r="AR99" i="40"/>
  <c r="AS99" i="40"/>
  <c r="AG100" i="40"/>
  <c r="AH100" i="40"/>
  <c r="AI100" i="40"/>
  <c r="AJ100" i="40"/>
  <c r="AK100" i="40"/>
  <c r="AL100" i="40"/>
  <c r="AM100" i="40"/>
  <c r="AN100" i="40"/>
  <c r="AO100" i="40"/>
  <c r="AP100" i="40"/>
  <c r="AQ100" i="40"/>
  <c r="AR100" i="40"/>
  <c r="AS100" i="40"/>
  <c r="AG101" i="40"/>
  <c r="AH101" i="40"/>
  <c r="AI101" i="40"/>
  <c r="AJ101" i="40"/>
  <c r="AK101" i="40"/>
  <c r="AL101" i="40"/>
  <c r="AM101" i="40"/>
  <c r="AN101" i="40"/>
  <c r="AO101" i="40"/>
  <c r="AP101" i="40"/>
  <c r="AQ101" i="40"/>
  <c r="AR101" i="40"/>
  <c r="AS101" i="40"/>
  <c r="AG102" i="40"/>
  <c r="AH102" i="40"/>
  <c r="AI102" i="40"/>
  <c r="AJ102" i="40"/>
  <c r="AK102" i="40"/>
  <c r="AL102" i="40"/>
  <c r="AM102" i="40"/>
  <c r="AN102" i="40"/>
  <c r="AO102" i="40"/>
  <c r="AP102" i="40" s="1"/>
  <c r="AQ102" i="40"/>
  <c r="AR102" i="40"/>
  <c r="AS102" i="40"/>
  <c r="AG103" i="40"/>
  <c r="AH103" i="40"/>
  <c r="AI103" i="40"/>
  <c r="AJ103" i="40"/>
  <c r="AK103" i="40"/>
  <c r="AL103" i="40"/>
  <c r="AM103" i="40"/>
  <c r="AN103" i="40"/>
  <c r="AO103" i="40"/>
  <c r="AP103" i="40"/>
  <c r="AQ103" i="40"/>
  <c r="AR103" i="40"/>
  <c r="AS103" i="40"/>
  <c r="AG104" i="40"/>
  <c r="AH104" i="40"/>
  <c r="AI104" i="40"/>
  <c r="AJ104" i="40"/>
  <c r="AK104" i="40"/>
  <c r="AL104" i="40"/>
  <c r="AM104" i="40"/>
  <c r="AN104" i="40"/>
  <c r="AP104" i="40" s="1"/>
  <c r="AO104" i="40"/>
  <c r="AQ104" i="40"/>
  <c r="AR104" i="40"/>
  <c r="AS104" i="40"/>
  <c r="AG105" i="40"/>
  <c r="AH105" i="40"/>
  <c r="AI105" i="40"/>
  <c r="AJ105" i="40"/>
  <c r="AK105" i="40"/>
  <c r="AL105" i="40"/>
  <c r="AM105" i="40"/>
  <c r="AN105" i="40"/>
  <c r="AO105" i="40"/>
  <c r="AP105" i="40"/>
  <c r="AQ105" i="40"/>
  <c r="AR105" i="40"/>
  <c r="AS105" i="40"/>
  <c r="AG106" i="40"/>
  <c r="AH106" i="40"/>
  <c r="AI106" i="40"/>
  <c r="AJ106" i="40"/>
  <c r="AK106" i="40"/>
  <c r="AL106" i="40"/>
  <c r="AM106" i="40"/>
  <c r="AN106" i="40"/>
  <c r="AO106" i="40"/>
  <c r="AP106" i="40" s="1"/>
  <c r="AQ106" i="40"/>
  <c r="AR106" i="40"/>
  <c r="AS106" i="40"/>
  <c r="AG107" i="40"/>
  <c r="AH107" i="40"/>
  <c r="AI107" i="40"/>
  <c r="AJ107" i="40"/>
  <c r="AK107" i="40"/>
  <c r="AL107" i="40"/>
  <c r="AM107" i="40"/>
  <c r="AN107" i="40"/>
  <c r="AO107" i="40"/>
  <c r="AP107" i="40"/>
  <c r="AQ107" i="40"/>
  <c r="AR107" i="40"/>
  <c r="AS107" i="40"/>
  <c r="AG108" i="40"/>
  <c r="AH108" i="40"/>
  <c r="AI108" i="40"/>
  <c r="AJ108" i="40"/>
  <c r="AK108" i="40"/>
  <c r="AL108" i="40"/>
  <c r="AM108" i="40"/>
  <c r="AN108" i="40"/>
  <c r="AO108" i="40"/>
  <c r="AP108" i="40" s="1"/>
  <c r="AQ108" i="40"/>
  <c r="AR108" i="40"/>
  <c r="AS108" i="40"/>
  <c r="AG109" i="40"/>
  <c r="AH109" i="40"/>
  <c r="AI109" i="40"/>
  <c r="AJ109" i="40"/>
  <c r="AK109" i="40"/>
  <c r="AL109" i="40"/>
  <c r="AM109" i="40"/>
  <c r="AN109" i="40"/>
  <c r="AP109" i="40" s="1"/>
  <c r="AO109" i="40"/>
  <c r="AQ109" i="40"/>
  <c r="AR109" i="40"/>
  <c r="AS109" i="40"/>
  <c r="AG110" i="40"/>
  <c r="AH110" i="40"/>
  <c r="AI110" i="40"/>
  <c r="AJ110" i="40"/>
  <c r="AK110" i="40"/>
  <c r="AL110" i="40"/>
  <c r="AM110" i="40"/>
  <c r="AN110" i="40"/>
  <c r="AP110" i="40" s="1"/>
  <c r="AO110" i="40"/>
  <c r="AQ110" i="40"/>
  <c r="AR110" i="40"/>
  <c r="AS110" i="40"/>
  <c r="AG111" i="40"/>
  <c r="AH111" i="40"/>
  <c r="AI111" i="40"/>
  <c r="AJ111" i="40"/>
  <c r="AK111" i="40"/>
  <c r="AP111" i="40" s="1"/>
  <c r="AL111" i="40"/>
  <c r="AM111" i="40"/>
  <c r="AN111" i="40"/>
  <c r="AO111" i="40"/>
  <c r="AQ111" i="40"/>
  <c r="AR111" i="40"/>
  <c r="AS111" i="40"/>
  <c r="AG112" i="40"/>
  <c r="AH112" i="40"/>
  <c r="AI112" i="40"/>
  <c r="AJ112" i="40"/>
  <c r="AK112" i="40"/>
  <c r="AL112" i="40"/>
  <c r="AM112" i="40"/>
  <c r="AN112" i="40"/>
  <c r="AO112" i="40"/>
  <c r="AP112" i="40" s="1"/>
  <c r="AQ112" i="40"/>
  <c r="AR112" i="40"/>
  <c r="AS112" i="40"/>
  <c r="AG113" i="40"/>
  <c r="AH113" i="40"/>
  <c r="AI113" i="40"/>
  <c r="AJ113" i="40"/>
  <c r="AK113" i="40"/>
  <c r="AL113" i="40"/>
  <c r="AM113" i="40"/>
  <c r="AN113" i="40"/>
  <c r="AO113" i="40"/>
  <c r="AP113" i="40"/>
  <c r="AQ113" i="40"/>
  <c r="AR113" i="40"/>
  <c r="AS113" i="40"/>
  <c r="AG114" i="40"/>
  <c r="AH114" i="40"/>
  <c r="AI114" i="40"/>
  <c r="AJ114" i="40"/>
  <c r="AK114" i="40"/>
  <c r="AP114" i="40" s="1"/>
  <c r="AL114" i="40"/>
  <c r="AM114" i="40"/>
  <c r="AN114" i="40"/>
  <c r="AO114" i="40"/>
  <c r="AQ114" i="40"/>
  <c r="AR114" i="40"/>
  <c r="AS114" i="40"/>
  <c r="AG115" i="40"/>
  <c r="AH115" i="40"/>
  <c r="AI115" i="40"/>
  <c r="AJ115" i="40"/>
  <c r="AK115" i="40"/>
  <c r="AL115" i="40"/>
  <c r="AM115" i="40"/>
  <c r="AN115" i="40"/>
  <c r="AP115" i="40" s="1"/>
  <c r="AO115" i="40"/>
  <c r="AQ115" i="40"/>
  <c r="AR115" i="40"/>
  <c r="AS115" i="40"/>
  <c r="AG116" i="40"/>
  <c r="AH116" i="40"/>
  <c r="AI116" i="40"/>
  <c r="AJ116" i="40"/>
  <c r="AK116" i="40"/>
  <c r="AL116" i="40"/>
  <c r="AM116" i="40"/>
  <c r="AN116" i="40"/>
  <c r="AO116" i="40"/>
  <c r="AP116" i="40"/>
  <c r="AQ116" i="40"/>
  <c r="AR116" i="40"/>
  <c r="AS116" i="40"/>
  <c r="AG117" i="40"/>
  <c r="AH117" i="40"/>
  <c r="AI117" i="40"/>
  <c r="AJ117" i="40"/>
  <c r="AK117" i="40"/>
  <c r="AL117" i="40"/>
  <c r="AM117" i="40"/>
  <c r="AN117" i="40"/>
  <c r="AP117" i="40" s="1"/>
  <c r="AO117" i="40"/>
  <c r="AQ117" i="40"/>
  <c r="AR117" i="40"/>
  <c r="AS117" i="40"/>
  <c r="AG118" i="40"/>
  <c r="AH118" i="40"/>
  <c r="AI118" i="40"/>
  <c r="AJ118" i="40"/>
  <c r="AK118" i="40"/>
  <c r="AL118" i="40"/>
  <c r="AM118" i="40"/>
  <c r="AN118" i="40"/>
  <c r="AO118" i="40"/>
  <c r="AP118" i="40"/>
  <c r="AQ118" i="40"/>
  <c r="AR118" i="40"/>
  <c r="AS118" i="40"/>
  <c r="AG119" i="40"/>
  <c r="AH119" i="40"/>
  <c r="AI119" i="40"/>
  <c r="AJ119" i="40"/>
  <c r="AK119" i="40"/>
  <c r="AP119" i="40" s="1"/>
  <c r="AL119" i="40"/>
  <c r="AM119" i="40"/>
  <c r="AN119" i="40"/>
  <c r="AO119" i="40"/>
  <c r="AQ119" i="40"/>
  <c r="AR119" i="40"/>
  <c r="AS119" i="40"/>
  <c r="AG120" i="40"/>
  <c r="AH120" i="40"/>
  <c r="AI120" i="40"/>
  <c r="AJ120" i="40"/>
  <c r="AK120" i="40"/>
  <c r="AP120" i="40" s="1"/>
  <c r="AL120" i="40"/>
  <c r="AM120" i="40"/>
  <c r="AN120" i="40"/>
  <c r="AO120" i="40"/>
  <c r="AQ120" i="40"/>
  <c r="AR120" i="40"/>
  <c r="AS120" i="40"/>
  <c r="AG121" i="40"/>
  <c r="AH121" i="40"/>
  <c r="AI121" i="40"/>
  <c r="AJ121" i="40"/>
  <c r="AK121" i="40"/>
  <c r="AL121" i="40"/>
  <c r="AM121" i="40"/>
  <c r="AN121" i="40"/>
  <c r="AO121" i="40"/>
  <c r="AP121" i="40"/>
  <c r="AQ121" i="40"/>
  <c r="AR121" i="40"/>
  <c r="AS121" i="40"/>
  <c r="AG122" i="40"/>
  <c r="AH122" i="40"/>
  <c r="AI122" i="40"/>
  <c r="AJ122" i="40"/>
  <c r="AK122" i="40"/>
  <c r="AL122" i="40"/>
  <c r="AM122" i="40"/>
  <c r="AN122" i="40"/>
  <c r="AP122" i="40" s="1"/>
  <c r="AO122" i="40"/>
  <c r="AQ122" i="40"/>
  <c r="AR122" i="40"/>
  <c r="AS122" i="40"/>
  <c r="AG123" i="40"/>
  <c r="AH123" i="40"/>
  <c r="AI123" i="40"/>
  <c r="AJ123" i="40"/>
  <c r="AK123" i="40"/>
  <c r="AL123" i="40"/>
  <c r="AM123" i="40"/>
  <c r="AN123" i="40"/>
  <c r="AP123" i="40" s="1"/>
  <c r="AO123" i="40"/>
  <c r="AQ123" i="40"/>
  <c r="AR123" i="40"/>
  <c r="AS123" i="40"/>
  <c r="AG124" i="40"/>
  <c r="AH124" i="40"/>
  <c r="AI124" i="40"/>
  <c r="AJ124" i="40"/>
  <c r="AK124" i="40"/>
  <c r="AP124" i="40" s="1"/>
  <c r="AL124" i="40"/>
  <c r="AM124" i="40"/>
  <c r="AN124" i="40"/>
  <c r="AO124" i="40"/>
  <c r="AQ124" i="40"/>
  <c r="AR124" i="40"/>
  <c r="AS124" i="40"/>
  <c r="AG125" i="40"/>
  <c r="AH125" i="40"/>
  <c r="AI125" i="40"/>
  <c r="AJ125" i="40"/>
  <c r="AK125" i="40"/>
  <c r="AP125" i="40" s="1"/>
  <c r="AL125" i="40"/>
  <c r="AM125" i="40"/>
  <c r="AN125" i="40"/>
  <c r="AO125" i="40"/>
  <c r="AQ125" i="40"/>
  <c r="AR125" i="40"/>
  <c r="AS125" i="40"/>
  <c r="AG126" i="40"/>
  <c r="AH126" i="40"/>
  <c r="AI126" i="40"/>
  <c r="AJ126" i="40"/>
  <c r="AK126" i="40"/>
  <c r="AL126" i="40"/>
  <c r="AM126" i="40"/>
  <c r="AN126" i="40"/>
  <c r="AO126" i="40"/>
  <c r="AP126" i="40" s="1"/>
  <c r="AQ126" i="40"/>
  <c r="AR126" i="40"/>
  <c r="AS126" i="40"/>
  <c r="AG127" i="40"/>
  <c r="AH127" i="40"/>
  <c r="AI127" i="40"/>
  <c r="AJ127" i="40"/>
  <c r="AK127" i="40"/>
  <c r="AL127" i="40"/>
  <c r="AP127" i="40" s="1"/>
  <c r="AM127" i="40"/>
  <c r="AN127" i="40"/>
  <c r="AO127" i="40"/>
  <c r="AQ127" i="40"/>
  <c r="AR127" i="40"/>
  <c r="AS127" i="40"/>
  <c r="AG128" i="40"/>
  <c r="AH128" i="40"/>
  <c r="AI128" i="40"/>
  <c r="AJ128" i="40"/>
  <c r="AK128" i="40"/>
  <c r="AL128" i="40"/>
  <c r="AM128" i="40"/>
  <c r="AN128" i="40"/>
  <c r="AP128" i="40" s="1"/>
  <c r="AO128" i="40"/>
  <c r="AQ128" i="40"/>
  <c r="AR128" i="40"/>
  <c r="AS128" i="40"/>
  <c r="AG129" i="40"/>
  <c r="AH129" i="40"/>
  <c r="AI129" i="40"/>
  <c r="AJ129" i="40"/>
  <c r="AK129" i="40"/>
  <c r="AL129" i="40"/>
  <c r="AM129" i="40"/>
  <c r="AN129" i="40"/>
  <c r="AO129" i="40"/>
  <c r="AP129" i="40"/>
  <c r="AQ129" i="40"/>
  <c r="AR129" i="40"/>
  <c r="AS129" i="40"/>
  <c r="AG130" i="40"/>
  <c r="AH130" i="40"/>
  <c r="AI130" i="40"/>
  <c r="AJ130" i="40"/>
  <c r="AK130" i="40"/>
  <c r="AL130" i="40"/>
  <c r="AM130" i="40"/>
  <c r="AN130" i="40"/>
  <c r="AO130" i="40"/>
  <c r="AP130" i="40" s="1"/>
  <c r="AQ130" i="40"/>
  <c r="AR130" i="40"/>
  <c r="AS130" i="40"/>
  <c r="AG131" i="40"/>
  <c r="AH131" i="40"/>
  <c r="AI131" i="40"/>
  <c r="AJ131" i="40"/>
  <c r="AK131" i="40"/>
  <c r="AL131" i="40"/>
  <c r="AM131" i="40"/>
  <c r="AN131" i="40"/>
  <c r="AO131" i="40"/>
  <c r="AP131" i="40"/>
  <c r="AQ131" i="40"/>
  <c r="AR131" i="40"/>
  <c r="AS131" i="40"/>
  <c r="AG132" i="40"/>
  <c r="AH132" i="40"/>
  <c r="AI132" i="40"/>
  <c r="AJ132" i="40"/>
  <c r="AK132" i="40"/>
  <c r="AP132" i="40" s="1"/>
  <c r="AL132" i="40"/>
  <c r="AM132" i="40"/>
  <c r="AN132" i="40"/>
  <c r="AO132" i="40"/>
  <c r="AQ132" i="40"/>
  <c r="AR132" i="40"/>
  <c r="AS132" i="40"/>
  <c r="AG133" i="40"/>
  <c r="AH133" i="40"/>
  <c r="AI133" i="40"/>
  <c r="AJ133" i="40"/>
  <c r="AK133" i="40"/>
  <c r="AL133" i="40"/>
  <c r="AP133" i="40" s="1"/>
  <c r="AM133" i="40"/>
  <c r="AN133" i="40"/>
  <c r="AO133" i="40"/>
  <c r="AQ133" i="40"/>
  <c r="AR133" i="40"/>
  <c r="AS133" i="40"/>
  <c r="AG134" i="40"/>
  <c r="AH134" i="40"/>
  <c r="AI134" i="40"/>
  <c r="AJ134" i="40"/>
  <c r="AK134" i="40"/>
  <c r="AL134" i="40"/>
  <c r="AM134" i="40"/>
  <c r="AN134" i="40"/>
  <c r="AO134" i="40"/>
  <c r="AP134" i="40" s="1"/>
  <c r="AQ134" i="40"/>
  <c r="AR134" i="40"/>
  <c r="AS134" i="40"/>
  <c r="AG135" i="40"/>
  <c r="AH135" i="40"/>
  <c r="AI135" i="40"/>
  <c r="AJ135" i="40"/>
  <c r="AK135" i="40"/>
  <c r="AL135" i="40"/>
  <c r="AM135" i="40"/>
  <c r="AN135" i="40"/>
  <c r="AO135" i="40"/>
  <c r="AP135" i="40"/>
  <c r="AQ135" i="40"/>
  <c r="AR135" i="40"/>
  <c r="AS135" i="40"/>
  <c r="AG136" i="40"/>
  <c r="AH136" i="40"/>
  <c r="AI136" i="40"/>
  <c r="AJ136" i="40"/>
  <c r="AK136" i="40"/>
  <c r="AL136" i="40"/>
  <c r="AM136" i="40"/>
  <c r="AN136" i="40"/>
  <c r="AP136" i="40" s="1"/>
  <c r="AO136" i="40"/>
  <c r="AQ136" i="40"/>
  <c r="AR136" i="40"/>
  <c r="AS136" i="40"/>
  <c r="AG137" i="40"/>
  <c r="AH137" i="40"/>
  <c r="AI137" i="40"/>
  <c r="AJ137" i="40"/>
  <c r="AK137" i="40"/>
  <c r="AL137" i="40"/>
  <c r="AM137" i="40"/>
  <c r="AN137" i="40"/>
  <c r="AO137" i="40"/>
  <c r="AP137" i="40"/>
  <c r="AQ137" i="40"/>
  <c r="AR137" i="40"/>
  <c r="AS137" i="40"/>
  <c r="AG138" i="40"/>
  <c r="AH138" i="40"/>
  <c r="AI138" i="40"/>
  <c r="AJ138" i="40"/>
  <c r="AK138" i="40"/>
  <c r="AL138" i="40"/>
  <c r="AM138" i="40"/>
  <c r="AN138" i="40"/>
  <c r="AO138" i="40"/>
  <c r="AP138" i="40" s="1"/>
  <c r="AQ138" i="40"/>
  <c r="AR138" i="40"/>
  <c r="AS138" i="40"/>
  <c r="AG139" i="40"/>
  <c r="AH139" i="40"/>
  <c r="AI139" i="40"/>
  <c r="AJ139" i="40"/>
  <c r="AK139" i="40"/>
  <c r="AL139" i="40"/>
  <c r="AM139" i="40"/>
  <c r="AN139" i="40"/>
  <c r="AO139" i="40"/>
  <c r="AP139" i="40"/>
  <c r="AQ139" i="40"/>
  <c r="AR139" i="40"/>
  <c r="AS139" i="40"/>
  <c r="AG140" i="40"/>
  <c r="AH140" i="40"/>
  <c r="AI140" i="40"/>
  <c r="AJ140" i="40"/>
  <c r="AK140" i="40"/>
  <c r="AL140" i="40"/>
  <c r="AM140" i="40"/>
  <c r="AN140" i="40"/>
  <c r="AO140" i="40"/>
  <c r="AP140" i="40" s="1"/>
  <c r="AQ140" i="40"/>
  <c r="AR140" i="40"/>
  <c r="AS140" i="40"/>
  <c r="AG141" i="40"/>
  <c r="AH141" i="40"/>
  <c r="AI141" i="40"/>
  <c r="AJ141" i="40"/>
  <c r="AK141" i="40"/>
  <c r="AL141" i="40"/>
  <c r="AM141" i="40"/>
  <c r="AN141" i="40"/>
  <c r="AP141" i="40" s="1"/>
  <c r="AO141" i="40"/>
  <c r="AQ141" i="40"/>
  <c r="AR141" i="40"/>
  <c r="AS141" i="40"/>
  <c r="AG142" i="40"/>
  <c r="AH142" i="40"/>
  <c r="AI142" i="40"/>
  <c r="AJ142" i="40"/>
  <c r="AK142" i="40"/>
  <c r="AL142" i="40"/>
  <c r="AM142" i="40"/>
  <c r="AN142" i="40"/>
  <c r="AP142" i="40" s="1"/>
  <c r="AO142" i="40"/>
  <c r="AQ142" i="40"/>
  <c r="AR142" i="40"/>
  <c r="AS142" i="40"/>
  <c r="AG143" i="40"/>
  <c r="AH143" i="40"/>
  <c r="AI143" i="40"/>
  <c r="AJ143" i="40"/>
  <c r="AK143" i="40"/>
  <c r="AP143" i="40" s="1"/>
  <c r="AL143" i="40"/>
  <c r="AM143" i="40"/>
  <c r="AN143" i="40"/>
  <c r="AO143" i="40"/>
  <c r="AQ143" i="40"/>
  <c r="AR143" i="40"/>
  <c r="AS143" i="40"/>
  <c r="AG144" i="40"/>
  <c r="AH144" i="40"/>
  <c r="AI144" i="40"/>
  <c r="AJ144" i="40"/>
  <c r="AK144" i="40"/>
  <c r="AL144" i="40"/>
  <c r="AM144" i="40"/>
  <c r="AN144" i="40"/>
  <c r="AO144" i="40"/>
  <c r="AP144" i="40" s="1"/>
  <c r="AQ144" i="40"/>
  <c r="AR144" i="40"/>
  <c r="AS144" i="40"/>
  <c r="AG145" i="40"/>
  <c r="AH145" i="40"/>
  <c r="AI145" i="40"/>
  <c r="AJ145" i="40"/>
  <c r="AK145" i="40"/>
  <c r="AL145" i="40"/>
  <c r="AM145" i="40"/>
  <c r="AN145" i="40"/>
  <c r="AO145" i="40"/>
  <c r="AP145" i="40"/>
  <c r="AQ145" i="40"/>
  <c r="AR145" i="40"/>
  <c r="AS145" i="40"/>
  <c r="AG146" i="40"/>
  <c r="AH146" i="40"/>
  <c r="AI146" i="40"/>
  <c r="AJ146" i="40"/>
  <c r="AK146" i="40"/>
  <c r="AL146" i="40"/>
  <c r="AM146" i="40"/>
  <c r="AN146" i="40"/>
  <c r="AO146" i="40"/>
  <c r="AP146" i="40" s="1"/>
  <c r="AQ146" i="40"/>
  <c r="AR146" i="40"/>
  <c r="AS146" i="40"/>
  <c r="AG147" i="40"/>
  <c r="AH147" i="40"/>
  <c r="AI147" i="40"/>
  <c r="AJ147" i="40"/>
  <c r="AK147" i="40"/>
  <c r="AL147" i="40"/>
  <c r="AM147" i="40"/>
  <c r="AN147" i="40"/>
  <c r="AP147" i="40" s="1"/>
  <c r="AO147" i="40"/>
  <c r="AQ147" i="40"/>
  <c r="AR147" i="40"/>
  <c r="AS147" i="40"/>
  <c r="AG148" i="40"/>
  <c r="AH148" i="40"/>
  <c r="AI148" i="40"/>
  <c r="AJ148" i="40"/>
  <c r="AK148" i="40"/>
  <c r="AL148" i="40"/>
  <c r="AM148" i="40"/>
  <c r="AN148" i="40"/>
  <c r="AO148" i="40"/>
  <c r="AP148" i="40"/>
  <c r="AQ148" i="40"/>
  <c r="AR148" i="40"/>
  <c r="AS148" i="40"/>
  <c r="AG149" i="40"/>
  <c r="AH149" i="40"/>
  <c r="AI149" i="40"/>
  <c r="AJ149" i="40"/>
  <c r="AK149" i="40"/>
  <c r="AL149" i="40"/>
  <c r="AM149" i="40"/>
  <c r="AN149" i="40"/>
  <c r="AP149" i="40" s="1"/>
  <c r="AO149" i="40"/>
  <c r="AQ149" i="40"/>
  <c r="AR149" i="40"/>
  <c r="AS149" i="40"/>
  <c r="AG150" i="40"/>
  <c r="AH150" i="40"/>
  <c r="AI150" i="40"/>
  <c r="AJ150" i="40"/>
  <c r="AK150" i="40"/>
  <c r="AL150" i="40"/>
  <c r="AM150" i="40"/>
  <c r="AN150" i="40"/>
  <c r="AO150" i="40"/>
  <c r="AP150" i="40" s="1"/>
  <c r="AQ150" i="40"/>
  <c r="AR150" i="40"/>
  <c r="AS150" i="40"/>
  <c r="AG151" i="40"/>
  <c r="AH151" i="40"/>
  <c r="AI151" i="40"/>
  <c r="AJ151" i="40"/>
  <c r="AK151" i="40"/>
  <c r="AP151" i="40" s="1"/>
  <c r="AL151" i="40"/>
  <c r="AM151" i="40"/>
  <c r="AN151" i="40"/>
  <c r="AO151" i="40"/>
  <c r="AQ151" i="40"/>
  <c r="AR151" i="40"/>
  <c r="AS151" i="40"/>
  <c r="AG152" i="40"/>
  <c r="AH152" i="40"/>
  <c r="AI152" i="40"/>
  <c r="AJ152" i="40"/>
  <c r="AK152" i="40"/>
  <c r="AP152" i="40" s="1"/>
  <c r="AL152" i="40"/>
  <c r="AM152" i="40"/>
  <c r="AN152" i="40"/>
  <c r="AO152" i="40"/>
  <c r="AQ152" i="40"/>
  <c r="AR152" i="40"/>
  <c r="AS152" i="40"/>
  <c r="AG153" i="40"/>
  <c r="AH153" i="40"/>
  <c r="AI153" i="40"/>
  <c r="AJ153" i="40"/>
  <c r="AK153" i="40"/>
  <c r="AL153" i="40"/>
  <c r="AM153" i="40"/>
  <c r="AN153" i="40"/>
  <c r="AO153" i="40"/>
  <c r="AP153" i="40" s="1"/>
  <c r="AQ153" i="40"/>
  <c r="AR153" i="40"/>
  <c r="AS153" i="40"/>
  <c r="AG154" i="40"/>
  <c r="AH154" i="40"/>
  <c r="AI154" i="40"/>
  <c r="AJ154" i="40"/>
  <c r="AK154" i="40"/>
  <c r="AL154" i="40"/>
  <c r="AM154" i="40"/>
  <c r="AN154" i="40"/>
  <c r="AP154" i="40" s="1"/>
  <c r="AO154" i="40"/>
  <c r="AQ154" i="40"/>
  <c r="AR154" i="40"/>
  <c r="AS154" i="40"/>
  <c r="AG155" i="40"/>
  <c r="AH155" i="40"/>
  <c r="AI155" i="40"/>
  <c r="AJ155" i="40"/>
  <c r="AK155" i="40"/>
  <c r="AL155" i="40"/>
  <c r="AM155" i="40"/>
  <c r="AN155" i="40"/>
  <c r="AP155" i="40" s="1"/>
  <c r="AO155" i="40"/>
  <c r="AQ155" i="40"/>
  <c r="AR155" i="40"/>
  <c r="AS155" i="40"/>
  <c r="AG156" i="40"/>
  <c r="AH156" i="40"/>
  <c r="AI156" i="40"/>
  <c r="AJ156" i="40"/>
  <c r="AK156" i="40"/>
  <c r="AL156" i="40"/>
  <c r="AM156" i="40"/>
  <c r="AN156" i="40"/>
  <c r="AO156" i="40"/>
  <c r="AP156" i="40" s="1"/>
  <c r="AQ156" i="40"/>
  <c r="AR156" i="40"/>
  <c r="AS156" i="40"/>
  <c r="AG157" i="40"/>
  <c r="AH157" i="40"/>
  <c r="AI157" i="40"/>
  <c r="AJ157" i="40"/>
  <c r="AK157" i="40"/>
  <c r="AP157" i="40" s="1"/>
  <c r="AL157" i="40"/>
  <c r="AM157" i="40"/>
  <c r="AN157" i="40"/>
  <c r="AO157" i="40"/>
  <c r="AQ157" i="40"/>
  <c r="AR157" i="40"/>
  <c r="AS157" i="40"/>
  <c r="AG158" i="40"/>
  <c r="AH158" i="40"/>
  <c r="AI158" i="40"/>
  <c r="AJ158" i="40"/>
  <c r="AK158" i="40"/>
  <c r="AL158" i="40"/>
  <c r="AM158" i="40"/>
  <c r="AN158" i="40"/>
  <c r="AP158" i="40" s="1"/>
  <c r="AO158" i="40"/>
  <c r="AQ158" i="40"/>
  <c r="AR158" i="40"/>
  <c r="AS158" i="40"/>
  <c r="AG159" i="40"/>
  <c r="AH159" i="40"/>
  <c r="AI159" i="40"/>
  <c r="AJ159" i="40"/>
  <c r="AK159" i="40"/>
  <c r="AL159" i="40"/>
  <c r="AP159" i="40" s="1"/>
  <c r="AM159" i="40"/>
  <c r="AN159" i="40"/>
  <c r="AO159" i="40"/>
  <c r="AQ159" i="40"/>
  <c r="AR159" i="40"/>
  <c r="AS159" i="40"/>
  <c r="AG160" i="40"/>
  <c r="AH160" i="40"/>
  <c r="AI160" i="40"/>
  <c r="AJ160" i="40"/>
  <c r="AK160" i="40"/>
  <c r="AL160" i="40"/>
  <c r="AM160" i="40"/>
  <c r="AN160" i="40"/>
  <c r="AP160" i="40" s="1"/>
  <c r="AO160" i="40"/>
  <c r="AQ160" i="40"/>
  <c r="AR160" i="40"/>
  <c r="AS160" i="40"/>
  <c r="AG161" i="40"/>
  <c r="AH161" i="40"/>
  <c r="AI161" i="40"/>
  <c r="AJ161" i="40"/>
  <c r="AK161" i="40"/>
  <c r="AL161" i="40"/>
  <c r="AM161" i="40"/>
  <c r="AN161" i="40"/>
  <c r="AP161" i="40" s="1"/>
  <c r="AO161" i="40"/>
  <c r="AQ161" i="40"/>
  <c r="AR161" i="40"/>
  <c r="AS161" i="40"/>
  <c r="AG162" i="40"/>
  <c r="AH162" i="40"/>
  <c r="AI162" i="40"/>
  <c r="AJ162" i="40"/>
  <c r="AK162" i="40"/>
  <c r="AL162" i="40"/>
  <c r="AM162" i="40"/>
  <c r="AN162" i="40"/>
  <c r="AO162" i="40"/>
  <c r="AP162" i="40" s="1"/>
  <c r="AQ162" i="40"/>
  <c r="AR162" i="40"/>
  <c r="AS162" i="40"/>
  <c r="AG163" i="40"/>
  <c r="AH163" i="40"/>
  <c r="AI163" i="40"/>
  <c r="AJ163" i="40"/>
  <c r="AK163" i="40"/>
  <c r="AL163" i="40"/>
  <c r="AM163" i="40"/>
  <c r="AN163" i="40"/>
  <c r="AO163" i="40"/>
  <c r="AP163" i="40"/>
  <c r="AQ163" i="40"/>
  <c r="AR163" i="40"/>
  <c r="AS163" i="40"/>
  <c r="AG164" i="40"/>
  <c r="AH164" i="40"/>
  <c r="AI164" i="40"/>
  <c r="AJ164" i="40"/>
  <c r="AK164" i="40"/>
  <c r="AP164" i="40" s="1"/>
  <c r="AL164" i="40"/>
  <c r="AM164" i="40"/>
  <c r="AN164" i="40"/>
  <c r="AO164" i="40"/>
  <c r="AQ164" i="40"/>
  <c r="AR164" i="40"/>
  <c r="AS164" i="40"/>
  <c r="AG165" i="40"/>
  <c r="AH165" i="40"/>
  <c r="AI165" i="40"/>
  <c r="AJ165" i="40"/>
  <c r="AK165" i="40"/>
  <c r="AL165" i="40"/>
  <c r="AP165" i="40" s="1"/>
  <c r="AM165" i="40"/>
  <c r="AN165" i="40"/>
  <c r="AO165" i="40"/>
  <c r="AQ165" i="40"/>
  <c r="AR165" i="40"/>
  <c r="AS165" i="40"/>
  <c r="AG166" i="40"/>
  <c r="AH166" i="40"/>
  <c r="AI166" i="40"/>
  <c r="AJ166" i="40"/>
  <c r="AK166" i="40"/>
  <c r="AL166" i="40"/>
  <c r="AM166" i="40"/>
  <c r="AN166" i="40"/>
  <c r="AO166" i="40"/>
  <c r="AP166" i="40" s="1"/>
  <c r="AQ166" i="40"/>
  <c r="AR166" i="40"/>
  <c r="AS166" i="40"/>
  <c r="AG167" i="40"/>
  <c r="AH167" i="40"/>
  <c r="AI167" i="40"/>
  <c r="AJ167" i="40"/>
  <c r="AK167" i="40"/>
  <c r="AL167" i="40"/>
  <c r="AM167" i="40"/>
  <c r="AN167" i="40"/>
  <c r="AP167" i="40" s="1"/>
  <c r="AO167" i="40"/>
  <c r="AQ167" i="40"/>
  <c r="AR167" i="40"/>
  <c r="AS167" i="40"/>
  <c r="AG168" i="40"/>
  <c r="AH168" i="40"/>
  <c r="AI168" i="40"/>
  <c r="AJ168" i="40"/>
  <c r="AK168" i="40"/>
  <c r="AL168" i="40"/>
  <c r="AM168" i="40"/>
  <c r="AN168" i="40"/>
  <c r="AP168" i="40" s="1"/>
  <c r="AO168" i="40"/>
  <c r="AQ168" i="40"/>
  <c r="AR168" i="40"/>
  <c r="AS168" i="40"/>
  <c r="AG169" i="40"/>
  <c r="AH169" i="40"/>
  <c r="AI169" i="40"/>
  <c r="AJ169" i="40"/>
  <c r="AK169" i="40"/>
  <c r="AL169" i="40"/>
  <c r="AM169" i="40"/>
  <c r="AN169" i="40"/>
  <c r="AO169" i="40"/>
  <c r="AP169" i="40"/>
  <c r="AQ169" i="40"/>
  <c r="AR169" i="40"/>
  <c r="AS169" i="40"/>
  <c r="AG170" i="40"/>
  <c r="AH170" i="40"/>
  <c r="AI170" i="40"/>
  <c r="AJ170" i="40"/>
  <c r="AK170" i="40"/>
  <c r="AL170" i="40"/>
  <c r="AM170" i="40"/>
  <c r="AN170" i="40"/>
  <c r="AO170" i="40"/>
  <c r="AP170" i="40" s="1"/>
  <c r="AQ170" i="40"/>
  <c r="AR170" i="40"/>
  <c r="AS170" i="40"/>
  <c r="AG171" i="40"/>
  <c r="AH171" i="40"/>
  <c r="AI171" i="40"/>
  <c r="AJ171" i="40"/>
  <c r="AK171" i="40"/>
  <c r="AL171" i="40"/>
  <c r="AM171" i="40"/>
  <c r="AN171" i="40"/>
  <c r="AO171" i="40"/>
  <c r="AP171" i="40"/>
  <c r="AQ171" i="40"/>
  <c r="AR171" i="40"/>
  <c r="AS171" i="40"/>
  <c r="AG172" i="40"/>
  <c r="AH172" i="40"/>
  <c r="AI172" i="40"/>
  <c r="AJ172" i="40"/>
  <c r="AK172" i="40"/>
  <c r="AL172" i="40"/>
  <c r="AM172" i="40"/>
  <c r="AN172" i="40"/>
  <c r="AO172" i="40"/>
  <c r="AP172" i="40"/>
  <c r="AQ172" i="40"/>
  <c r="AR172" i="40"/>
  <c r="AS172" i="40"/>
  <c r="AG173" i="40"/>
  <c r="AH173" i="40"/>
  <c r="AI173" i="40"/>
  <c r="AJ173" i="40"/>
  <c r="AK173" i="40"/>
  <c r="AL173" i="40"/>
  <c r="AM173" i="40"/>
  <c r="AN173" i="40"/>
  <c r="AP173" i="40" s="1"/>
  <c r="AO173" i="40"/>
  <c r="AQ173" i="40"/>
  <c r="AR173" i="40"/>
  <c r="AS173" i="40"/>
  <c r="AG174" i="40"/>
  <c r="AH174" i="40"/>
  <c r="AI174" i="40"/>
  <c r="AJ174" i="40"/>
  <c r="AK174" i="40"/>
  <c r="AL174" i="40"/>
  <c r="AM174" i="40"/>
  <c r="AN174" i="40"/>
  <c r="AP174" i="40" s="1"/>
  <c r="AO174" i="40"/>
  <c r="AQ174" i="40"/>
  <c r="AR174" i="40"/>
  <c r="AS174" i="40"/>
  <c r="AG175" i="40"/>
  <c r="AH175" i="40"/>
  <c r="AI175" i="40"/>
  <c r="AJ175" i="40"/>
  <c r="AK175" i="40"/>
  <c r="AP175" i="40" s="1"/>
  <c r="AL175" i="40"/>
  <c r="AM175" i="40"/>
  <c r="AN175" i="40"/>
  <c r="AO175" i="40"/>
  <c r="AQ175" i="40"/>
  <c r="AR175" i="40"/>
  <c r="AS175" i="40"/>
  <c r="AG176" i="40"/>
  <c r="AH176" i="40"/>
  <c r="AI176" i="40"/>
  <c r="AJ176" i="40"/>
  <c r="AK176" i="40"/>
  <c r="AL176" i="40"/>
  <c r="AM176" i="40"/>
  <c r="AN176" i="40"/>
  <c r="AO176" i="40"/>
  <c r="AP176" i="40" s="1"/>
  <c r="AQ176" i="40"/>
  <c r="AR176" i="40"/>
  <c r="AS176" i="40"/>
  <c r="AG177" i="40"/>
  <c r="AH177" i="40"/>
  <c r="AI177" i="40"/>
  <c r="AJ177" i="40"/>
  <c r="AK177" i="40"/>
  <c r="AL177" i="40"/>
  <c r="AM177" i="40"/>
  <c r="AN177" i="40"/>
  <c r="AO177" i="40"/>
  <c r="AP177" i="40"/>
  <c r="AQ177" i="40"/>
  <c r="AR177" i="40"/>
  <c r="AS177" i="40"/>
  <c r="AG178" i="40"/>
  <c r="AH178" i="40"/>
  <c r="AI178" i="40"/>
  <c r="AJ178" i="40"/>
  <c r="AK178" i="40"/>
  <c r="AL178" i="40"/>
  <c r="AM178" i="40"/>
  <c r="AN178" i="40"/>
  <c r="AO178" i="40"/>
  <c r="AP178" i="40" s="1"/>
  <c r="AQ178" i="40"/>
  <c r="AR178" i="40"/>
  <c r="AS178" i="40"/>
  <c r="AG179" i="40"/>
  <c r="AH179" i="40"/>
  <c r="AI179" i="40"/>
  <c r="AJ179" i="40"/>
  <c r="AK179" i="40"/>
  <c r="AL179" i="40"/>
  <c r="AM179" i="40"/>
  <c r="AN179" i="40"/>
  <c r="AP179" i="40" s="1"/>
  <c r="AO179" i="40"/>
  <c r="AQ179" i="40"/>
  <c r="AR179" i="40"/>
  <c r="AS179" i="40"/>
  <c r="AG180" i="40"/>
  <c r="AH180" i="40"/>
  <c r="AI180" i="40"/>
  <c r="AJ180" i="40"/>
  <c r="AK180" i="40"/>
  <c r="AL180" i="40"/>
  <c r="AM180" i="40"/>
  <c r="AN180" i="40"/>
  <c r="AO180" i="40"/>
  <c r="AP180" i="40"/>
  <c r="AQ180" i="40"/>
  <c r="AR180" i="40"/>
  <c r="AS180" i="40"/>
  <c r="AG181" i="40"/>
  <c r="AH181" i="40"/>
  <c r="AI181" i="40"/>
  <c r="AJ181" i="40"/>
  <c r="AK181" i="40"/>
  <c r="AL181" i="40"/>
  <c r="AM181" i="40"/>
  <c r="AN181" i="40"/>
  <c r="AP181" i="40" s="1"/>
  <c r="AO181" i="40"/>
  <c r="AQ181" i="40"/>
  <c r="AR181" i="40"/>
  <c r="AS181" i="40"/>
  <c r="AG182" i="40"/>
  <c r="AH182" i="40"/>
  <c r="AI182" i="40"/>
  <c r="AJ182" i="40"/>
  <c r="AK182" i="40"/>
  <c r="AL182" i="40"/>
  <c r="AM182" i="40"/>
  <c r="AN182" i="40"/>
  <c r="AO182" i="40"/>
  <c r="AP182" i="40" s="1"/>
  <c r="AQ182" i="40"/>
  <c r="AR182" i="40"/>
  <c r="AS182" i="40"/>
  <c r="AG183" i="40"/>
  <c r="AH183" i="40"/>
  <c r="AI183" i="40"/>
  <c r="AJ183" i="40"/>
  <c r="AK183" i="40"/>
  <c r="AP183" i="40" s="1"/>
  <c r="AL183" i="40"/>
  <c r="AM183" i="40"/>
  <c r="AN183" i="40"/>
  <c r="AO183" i="40"/>
  <c r="AQ183" i="40"/>
  <c r="AR183" i="40"/>
  <c r="AS183" i="40"/>
  <c r="AG184" i="40"/>
  <c r="AH184" i="40"/>
  <c r="AI184" i="40"/>
  <c r="AJ184" i="40"/>
  <c r="AK184" i="40"/>
  <c r="AP184" i="40" s="1"/>
  <c r="AL184" i="40"/>
  <c r="AM184" i="40"/>
  <c r="AN184" i="40"/>
  <c r="AO184" i="40"/>
  <c r="AQ184" i="40"/>
  <c r="AR184" i="40"/>
  <c r="AS184" i="40"/>
  <c r="AG185" i="40"/>
  <c r="AH185" i="40"/>
  <c r="AI185" i="40"/>
  <c r="AJ185" i="40"/>
  <c r="AK185" i="40"/>
  <c r="AL185" i="40"/>
  <c r="AM185" i="40"/>
  <c r="AN185" i="40"/>
  <c r="AO185" i="40"/>
  <c r="AP185" i="40" s="1"/>
  <c r="AQ185" i="40"/>
  <c r="AR185" i="40"/>
  <c r="AS185" i="40"/>
  <c r="AG186" i="40"/>
  <c r="AH186" i="40"/>
  <c r="AI186" i="40"/>
  <c r="AJ186" i="40"/>
  <c r="AK186" i="40"/>
  <c r="AL186" i="40"/>
  <c r="AM186" i="40"/>
  <c r="AN186" i="40"/>
  <c r="AP186" i="40" s="1"/>
  <c r="AO186" i="40"/>
  <c r="AQ186" i="40"/>
  <c r="AR186" i="40"/>
  <c r="AS186" i="40"/>
  <c r="AG187" i="40"/>
  <c r="AH187" i="40"/>
  <c r="AI187" i="40"/>
  <c r="AJ187" i="40"/>
  <c r="AK187" i="40"/>
  <c r="AL187" i="40"/>
  <c r="AM187" i="40"/>
  <c r="AN187" i="40"/>
  <c r="AP187" i="40" s="1"/>
  <c r="AO187" i="40"/>
  <c r="AQ187" i="40"/>
  <c r="AR187" i="40"/>
  <c r="AS187" i="40"/>
  <c r="AG188" i="40"/>
  <c r="AH188" i="40"/>
  <c r="AI188" i="40"/>
  <c r="AJ188" i="40"/>
  <c r="AK188" i="40"/>
  <c r="AL188" i="40"/>
  <c r="AM188" i="40"/>
  <c r="AN188" i="40"/>
  <c r="AO188" i="40"/>
  <c r="AP188" i="40" s="1"/>
  <c r="AQ188" i="40"/>
  <c r="AR188" i="40"/>
  <c r="AS188" i="40"/>
  <c r="AG189" i="40"/>
  <c r="AH189" i="40"/>
  <c r="AI189" i="40"/>
  <c r="AJ189" i="40"/>
  <c r="AK189" i="40"/>
  <c r="AP189" i="40" s="1"/>
  <c r="AL189" i="40"/>
  <c r="AM189" i="40"/>
  <c r="AN189" i="40"/>
  <c r="AO189" i="40"/>
  <c r="AQ189" i="40"/>
  <c r="AR189" i="40"/>
  <c r="AS189" i="40"/>
  <c r="AG190" i="40"/>
  <c r="AH190" i="40"/>
  <c r="AI190" i="40"/>
  <c r="AJ190" i="40"/>
  <c r="AK190" i="40"/>
  <c r="AL190" i="40"/>
  <c r="AM190" i="40"/>
  <c r="AN190" i="40"/>
  <c r="AP190" i="40" s="1"/>
  <c r="AO190" i="40"/>
  <c r="AQ190" i="40"/>
  <c r="AR190" i="40"/>
  <c r="AS190" i="40"/>
  <c r="AG191" i="40"/>
  <c r="AH191" i="40"/>
  <c r="AI191" i="40"/>
  <c r="AJ191" i="40"/>
  <c r="AK191" i="40"/>
  <c r="AL191" i="40"/>
  <c r="AP191" i="40" s="1"/>
  <c r="AM191" i="40"/>
  <c r="AN191" i="40"/>
  <c r="AO191" i="40"/>
  <c r="AQ191" i="40"/>
  <c r="AR191" i="40"/>
  <c r="AS191" i="40"/>
  <c r="AG192" i="40"/>
  <c r="AH192" i="40"/>
  <c r="AI192" i="40"/>
  <c r="AJ192" i="40"/>
  <c r="AK192" i="40"/>
  <c r="AL192" i="40"/>
  <c r="AM192" i="40"/>
  <c r="AN192" i="40"/>
  <c r="AP192" i="40" s="1"/>
  <c r="AO192" i="40"/>
  <c r="AQ192" i="40"/>
  <c r="AR192" i="40"/>
  <c r="AS192" i="40"/>
  <c r="AG193" i="40"/>
  <c r="AH193" i="40"/>
  <c r="AI193" i="40"/>
  <c r="AJ193" i="40"/>
  <c r="AK193" i="40"/>
  <c r="AL193" i="40"/>
  <c r="AM193" i="40"/>
  <c r="AN193" i="40"/>
  <c r="AP193" i="40" s="1"/>
  <c r="AO193" i="40"/>
  <c r="AQ193" i="40"/>
  <c r="AR193" i="40"/>
  <c r="AS193" i="40"/>
  <c r="AG194" i="40"/>
  <c r="AH194" i="40"/>
  <c r="AI194" i="40"/>
  <c r="AJ194" i="40"/>
  <c r="AK194" i="40"/>
  <c r="AL194" i="40"/>
  <c r="AM194" i="40"/>
  <c r="AN194" i="40"/>
  <c r="AO194" i="40"/>
  <c r="AP194" i="40" s="1"/>
  <c r="AQ194" i="40"/>
  <c r="AR194" i="40"/>
  <c r="AS194" i="40"/>
  <c r="AG195" i="40"/>
  <c r="AH195" i="40"/>
  <c r="AI195" i="40"/>
  <c r="AJ195" i="40"/>
  <c r="AK195" i="40"/>
  <c r="AL195" i="40"/>
  <c r="AM195" i="40"/>
  <c r="AN195" i="40"/>
  <c r="AO195" i="40"/>
  <c r="AP195" i="40"/>
  <c r="AQ195" i="40"/>
  <c r="AR195" i="40"/>
  <c r="AS195" i="40"/>
  <c r="AG196" i="40"/>
  <c r="AH196" i="40"/>
  <c r="AI196" i="40"/>
  <c r="AJ196" i="40"/>
  <c r="AK196" i="40"/>
  <c r="AP196" i="40" s="1"/>
  <c r="AL196" i="40"/>
  <c r="AM196" i="40"/>
  <c r="AN196" i="40"/>
  <c r="AO196" i="40"/>
  <c r="AQ196" i="40"/>
  <c r="AR196" i="40"/>
  <c r="AS196" i="40"/>
  <c r="AG197" i="40"/>
  <c r="AH197" i="40"/>
  <c r="AI197" i="40"/>
  <c r="AJ197" i="40"/>
  <c r="AK197" i="40"/>
  <c r="AL197" i="40"/>
  <c r="AP197" i="40" s="1"/>
  <c r="AM197" i="40"/>
  <c r="AN197" i="40"/>
  <c r="AO197" i="40"/>
  <c r="AQ197" i="40"/>
  <c r="AR197" i="40"/>
  <c r="AS197" i="40"/>
  <c r="AG198" i="40"/>
  <c r="AH198" i="40"/>
  <c r="AI198" i="40"/>
  <c r="AJ198" i="40"/>
  <c r="AK198" i="40"/>
  <c r="AL198" i="40"/>
  <c r="AM198" i="40"/>
  <c r="AN198" i="40"/>
  <c r="AO198" i="40"/>
  <c r="AP198" i="40" s="1"/>
  <c r="AQ198" i="40"/>
  <c r="AR198" i="40"/>
  <c r="AS198" i="40"/>
  <c r="AG199" i="40"/>
  <c r="AH199" i="40"/>
  <c r="AI199" i="40"/>
  <c r="AJ199" i="40"/>
  <c r="AK199" i="40"/>
  <c r="AL199" i="40"/>
  <c r="AM199" i="40"/>
  <c r="AN199" i="40"/>
  <c r="AO199" i="40"/>
  <c r="AP199" i="40"/>
  <c r="AQ199" i="40"/>
  <c r="AR199" i="40"/>
  <c r="AS199" i="40"/>
  <c r="AG200" i="40"/>
  <c r="AH200" i="40"/>
  <c r="AI200" i="40"/>
  <c r="AJ200" i="40"/>
  <c r="AK200" i="40"/>
  <c r="AL200" i="40"/>
  <c r="AM200" i="40"/>
  <c r="AN200" i="40"/>
  <c r="AP200" i="40" s="1"/>
  <c r="AO200" i="40"/>
  <c r="AQ200" i="40"/>
  <c r="AR200" i="40"/>
  <c r="AS200" i="40"/>
  <c r="AG201" i="40"/>
  <c r="AH201" i="40"/>
  <c r="AI201" i="40"/>
  <c r="AJ201" i="40"/>
  <c r="AK201" i="40"/>
  <c r="AL201" i="40"/>
  <c r="AM201" i="40"/>
  <c r="AN201" i="40"/>
  <c r="AO201" i="40"/>
  <c r="AP201" i="40" s="1"/>
  <c r="AQ201" i="40"/>
  <c r="AR201" i="40"/>
  <c r="AS201" i="40"/>
  <c r="AG202" i="40"/>
  <c r="AH202" i="40"/>
  <c r="AI202" i="40"/>
  <c r="AJ202" i="40"/>
  <c r="AK202" i="40"/>
  <c r="AL202" i="40"/>
  <c r="AM202" i="40"/>
  <c r="AN202" i="40"/>
  <c r="AO202" i="40"/>
  <c r="AP202" i="40" s="1"/>
  <c r="AQ202" i="40"/>
  <c r="AR202" i="40"/>
  <c r="AS202" i="40"/>
  <c r="AG203" i="40"/>
  <c r="AH203" i="40"/>
  <c r="AI203" i="40"/>
  <c r="AJ203" i="40"/>
  <c r="AK203" i="40"/>
  <c r="AL203" i="40"/>
  <c r="AM203" i="40"/>
  <c r="AN203" i="40"/>
  <c r="AO203" i="40"/>
  <c r="AP203" i="40"/>
  <c r="AQ203" i="40"/>
  <c r="AR203" i="40"/>
  <c r="AS203" i="40"/>
  <c r="AG204" i="40"/>
  <c r="AH204" i="40"/>
  <c r="AI204" i="40"/>
  <c r="AJ204" i="40"/>
  <c r="AK204" i="40"/>
  <c r="AL204" i="40"/>
  <c r="AM204" i="40"/>
  <c r="AN204" i="40"/>
  <c r="AO204" i="40"/>
  <c r="AP204" i="40"/>
  <c r="AQ204" i="40"/>
  <c r="AR204" i="40"/>
  <c r="AS204" i="40"/>
  <c r="AG205" i="40"/>
  <c r="AH205" i="40"/>
  <c r="AI205" i="40"/>
  <c r="AJ205" i="40"/>
  <c r="AK205" i="40"/>
  <c r="AL205" i="40"/>
  <c r="AM205" i="40"/>
  <c r="AN205" i="40"/>
  <c r="AP205" i="40" s="1"/>
  <c r="AO205" i="40"/>
  <c r="AQ205" i="40"/>
  <c r="AR205" i="40"/>
  <c r="AS205" i="40"/>
  <c r="AG206" i="40"/>
  <c r="AH206" i="40"/>
  <c r="AI206" i="40"/>
  <c r="AJ206" i="40"/>
  <c r="AK206" i="40"/>
  <c r="AL206" i="40"/>
  <c r="AM206" i="40"/>
  <c r="AN206" i="40"/>
  <c r="AP206" i="40" s="1"/>
  <c r="AO206" i="40"/>
  <c r="AQ206" i="40"/>
  <c r="AR206" i="40"/>
  <c r="AS206" i="40"/>
  <c r="AG207" i="40"/>
  <c r="AH207" i="40"/>
  <c r="AI207" i="40"/>
  <c r="AJ207" i="40"/>
  <c r="AK207" i="40"/>
  <c r="AL207" i="40"/>
  <c r="AM207" i="40"/>
  <c r="AN207" i="40"/>
  <c r="AP207" i="40" s="1"/>
  <c r="AO207" i="40"/>
  <c r="AQ207" i="40"/>
  <c r="AR207" i="40"/>
  <c r="AS207" i="40"/>
  <c r="AG208" i="40"/>
  <c r="AH208" i="40"/>
  <c r="AI208" i="40"/>
  <c r="AJ208" i="40"/>
  <c r="AK208" i="40"/>
  <c r="AL208" i="40"/>
  <c r="AM208" i="40"/>
  <c r="AN208" i="40"/>
  <c r="AO208" i="40"/>
  <c r="AP208" i="40" s="1"/>
  <c r="AQ208" i="40"/>
  <c r="AR208" i="40"/>
  <c r="AS208" i="40"/>
  <c r="AG209" i="40"/>
  <c r="AH209" i="40"/>
  <c r="AI209" i="40"/>
  <c r="AJ209" i="40"/>
  <c r="AK209" i="40"/>
  <c r="AL209" i="40"/>
  <c r="AM209" i="40"/>
  <c r="AN209" i="40"/>
  <c r="AO209" i="40"/>
  <c r="AP209" i="40"/>
  <c r="AQ209" i="40"/>
  <c r="AR209" i="40"/>
  <c r="AS209" i="40"/>
  <c r="AG210" i="40"/>
  <c r="AH210" i="40"/>
  <c r="AI210" i="40"/>
  <c r="AJ210" i="40"/>
  <c r="AK210" i="40"/>
  <c r="AL210" i="40"/>
  <c r="AM210" i="40"/>
  <c r="AN210" i="40"/>
  <c r="AO210" i="40"/>
  <c r="AP210" i="40" s="1"/>
  <c r="AQ210" i="40"/>
  <c r="AR210" i="40"/>
  <c r="AS210" i="40"/>
  <c r="AG211" i="40"/>
  <c r="AH211" i="40"/>
  <c r="AI211" i="40"/>
  <c r="AJ211" i="40"/>
  <c r="AK211" i="40"/>
  <c r="AL211" i="40"/>
  <c r="AM211" i="40"/>
  <c r="AN211" i="40"/>
  <c r="AP211" i="40" s="1"/>
  <c r="AO211" i="40"/>
  <c r="AQ211" i="40"/>
  <c r="AR211" i="40"/>
  <c r="AS211" i="40"/>
  <c r="AG212" i="40"/>
  <c r="AH212" i="40"/>
  <c r="AI212" i="40"/>
  <c r="AJ212" i="40"/>
  <c r="AK212" i="40"/>
  <c r="AL212" i="40"/>
  <c r="AM212" i="40"/>
  <c r="AN212" i="40"/>
  <c r="AO212" i="40"/>
  <c r="AP212" i="40"/>
  <c r="AQ212" i="40"/>
  <c r="AR212" i="40"/>
  <c r="AS212" i="40"/>
  <c r="AG213" i="40"/>
  <c r="AH213" i="40"/>
  <c r="AI213" i="40"/>
  <c r="AJ213" i="40"/>
  <c r="AK213" i="40"/>
  <c r="AL213" i="40"/>
  <c r="AM213" i="40"/>
  <c r="AN213" i="40"/>
  <c r="AP213" i="40" s="1"/>
  <c r="AO213" i="40"/>
  <c r="AQ213" i="40"/>
  <c r="AR213" i="40"/>
  <c r="AS213" i="40"/>
  <c r="AG214" i="40"/>
  <c r="AH214" i="40"/>
  <c r="AI214" i="40"/>
  <c r="AJ214" i="40"/>
  <c r="AK214" i="40"/>
  <c r="AL214" i="40"/>
  <c r="AM214" i="40"/>
  <c r="AN214" i="40"/>
  <c r="AO214" i="40"/>
  <c r="AP214" i="40" s="1"/>
  <c r="AQ214" i="40"/>
  <c r="AR214" i="40"/>
  <c r="AS214" i="40"/>
  <c r="AG215" i="40"/>
  <c r="AH215" i="40"/>
  <c r="AI215" i="40"/>
  <c r="AJ215" i="40"/>
  <c r="AK215" i="40"/>
  <c r="AP215" i="40" s="1"/>
  <c r="AL215" i="40"/>
  <c r="AM215" i="40"/>
  <c r="AN215" i="40"/>
  <c r="AO215" i="40"/>
  <c r="AQ215" i="40"/>
  <c r="AR215" i="40"/>
  <c r="AS215" i="40"/>
  <c r="AG216" i="40"/>
  <c r="AH216" i="40"/>
  <c r="AI216" i="40"/>
  <c r="AJ216" i="40"/>
  <c r="AK216" i="40"/>
  <c r="AP216" i="40" s="1"/>
  <c r="AL216" i="40"/>
  <c r="AM216" i="40"/>
  <c r="AN216" i="40"/>
  <c r="AO216" i="40"/>
  <c r="AQ216" i="40"/>
  <c r="AR216" i="40"/>
  <c r="AS216" i="40"/>
  <c r="AG217" i="40"/>
  <c r="AH217" i="40"/>
  <c r="AI217" i="40"/>
  <c r="AJ217" i="40"/>
  <c r="AK217" i="40"/>
  <c r="AL217" i="40"/>
  <c r="AM217" i="40"/>
  <c r="AN217" i="40"/>
  <c r="AO217" i="40"/>
  <c r="AP217" i="40" s="1"/>
  <c r="AQ217" i="40"/>
  <c r="AR217" i="40"/>
  <c r="AS217" i="40"/>
  <c r="AG218" i="40"/>
  <c r="AH218" i="40"/>
  <c r="AI218" i="40"/>
  <c r="AJ218" i="40"/>
  <c r="AK218" i="40"/>
  <c r="AL218" i="40"/>
  <c r="AM218" i="40"/>
  <c r="AN218" i="40"/>
  <c r="AP218" i="40" s="1"/>
  <c r="AO218" i="40"/>
  <c r="AQ218" i="40"/>
  <c r="AR218" i="40"/>
  <c r="AS218" i="40"/>
  <c r="AG219" i="40"/>
  <c r="AH219" i="40"/>
  <c r="AI219" i="40"/>
  <c r="AJ219" i="40"/>
  <c r="AK219" i="40"/>
  <c r="AL219" i="40"/>
  <c r="AM219" i="40"/>
  <c r="AN219" i="40"/>
  <c r="AP219" i="40" s="1"/>
  <c r="AO219" i="40"/>
  <c r="AQ219" i="40"/>
  <c r="AR219" i="40"/>
  <c r="AS219" i="40"/>
  <c r="AG220" i="40"/>
  <c r="AH220" i="40"/>
  <c r="AI220" i="40"/>
  <c r="AJ220" i="40"/>
  <c r="AK220" i="40"/>
  <c r="AL220" i="40"/>
  <c r="AM220" i="40"/>
  <c r="AN220" i="40"/>
  <c r="AO220" i="40"/>
  <c r="AP220" i="40" s="1"/>
  <c r="AQ220" i="40"/>
  <c r="AR220" i="40"/>
  <c r="AS220" i="40"/>
  <c r="AG221" i="40"/>
  <c r="AH221" i="40"/>
  <c r="AI221" i="40"/>
  <c r="AJ221" i="40"/>
  <c r="AK221" i="40"/>
  <c r="AP221" i="40" s="1"/>
  <c r="AL221" i="40"/>
  <c r="AM221" i="40"/>
  <c r="AN221" i="40"/>
  <c r="AO221" i="40"/>
  <c r="AQ221" i="40"/>
  <c r="AR221" i="40"/>
  <c r="AS221" i="40"/>
  <c r="AG222" i="40"/>
  <c r="AH222" i="40"/>
  <c r="AI222" i="40"/>
  <c r="AJ222" i="40"/>
  <c r="AK222" i="40"/>
  <c r="AL222" i="40"/>
  <c r="AM222" i="40"/>
  <c r="AN222" i="40"/>
  <c r="AP222" i="40" s="1"/>
  <c r="AO222" i="40"/>
  <c r="AQ222" i="40"/>
  <c r="AR222" i="40"/>
  <c r="AS222" i="40"/>
  <c r="AG223" i="40"/>
  <c r="AH223" i="40"/>
  <c r="AI223" i="40"/>
  <c r="AJ223" i="40"/>
  <c r="AK223" i="40"/>
  <c r="AL223" i="40"/>
  <c r="AP223" i="40" s="1"/>
  <c r="AM223" i="40"/>
  <c r="AN223" i="40"/>
  <c r="AO223" i="40"/>
  <c r="AQ223" i="40"/>
  <c r="AR223" i="40"/>
  <c r="AS223" i="40"/>
  <c r="AG224" i="40"/>
  <c r="AH224" i="40"/>
  <c r="AI224" i="40"/>
  <c r="AJ224" i="40"/>
  <c r="AK224" i="40"/>
  <c r="AL224" i="40"/>
  <c r="AM224" i="40"/>
  <c r="AN224" i="40"/>
  <c r="AP224" i="40" s="1"/>
  <c r="AO224" i="40"/>
  <c r="AQ224" i="40"/>
  <c r="AR224" i="40"/>
  <c r="AS224" i="40"/>
  <c r="AG225" i="40"/>
  <c r="AH225" i="40"/>
  <c r="AI225" i="40"/>
  <c r="AJ225" i="40"/>
  <c r="AK225" i="40"/>
  <c r="AL225" i="40"/>
  <c r="AM225" i="40"/>
  <c r="AN225" i="40"/>
  <c r="AP225" i="40" s="1"/>
  <c r="AO225" i="40"/>
  <c r="AQ225" i="40"/>
  <c r="AR225" i="40"/>
  <c r="AS225" i="40"/>
  <c r="AG226" i="40"/>
  <c r="AH226" i="40"/>
  <c r="AI226" i="40"/>
  <c r="AJ226" i="40"/>
  <c r="AK226" i="40"/>
  <c r="AL226" i="40"/>
  <c r="AM226" i="40"/>
  <c r="AN226" i="40"/>
  <c r="AO226" i="40"/>
  <c r="AP226" i="40" s="1"/>
  <c r="AQ226" i="40"/>
  <c r="AR226" i="40"/>
  <c r="AS226" i="40"/>
  <c r="AG227" i="40"/>
  <c r="AH227" i="40"/>
  <c r="AI227" i="40"/>
  <c r="AJ227" i="40"/>
  <c r="AK227" i="40"/>
  <c r="AL227" i="40"/>
  <c r="AM227" i="40"/>
  <c r="AN227" i="40"/>
  <c r="AO227" i="40"/>
  <c r="AP227" i="40"/>
  <c r="AQ227" i="40"/>
  <c r="AR227" i="40"/>
  <c r="AS227" i="40"/>
  <c r="AG228" i="40"/>
  <c r="AH228" i="40"/>
  <c r="AI228" i="40"/>
  <c r="AJ228" i="40"/>
  <c r="AK228" i="40"/>
  <c r="AP228" i="40" s="1"/>
  <c r="AL228" i="40"/>
  <c r="AM228" i="40"/>
  <c r="AN228" i="40"/>
  <c r="AO228" i="40"/>
  <c r="AQ228" i="40"/>
  <c r="AR228" i="40"/>
  <c r="AS228" i="40"/>
  <c r="AG229" i="40"/>
  <c r="AH229" i="40"/>
  <c r="AI229" i="40"/>
  <c r="AJ229" i="40"/>
  <c r="AK229" i="40"/>
  <c r="AL229" i="40"/>
  <c r="AP229" i="40" s="1"/>
  <c r="AM229" i="40"/>
  <c r="AN229" i="40"/>
  <c r="AO229" i="40"/>
  <c r="AQ229" i="40"/>
  <c r="AR229" i="40"/>
  <c r="AS229" i="40"/>
  <c r="AG230" i="40"/>
  <c r="AH230" i="40"/>
  <c r="AI230" i="40"/>
  <c r="AJ230" i="40"/>
  <c r="AK230" i="40"/>
  <c r="AL230" i="40"/>
  <c r="AM230" i="40"/>
  <c r="AN230" i="40"/>
  <c r="AP230" i="40" s="1"/>
  <c r="AO230" i="40"/>
  <c r="AQ230" i="40"/>
  <c r="AR230" i="40"/>
  <c r="AS230" i="40"/>
  <c r="AG231" i="40"/>
  <c r="AH231" i="40"/>
  <c r="AI231" i="40"/>
  <c r="AJ231" i="40"/>
  <c r="AK231" i="40"/>
  <c r="AL231" i="40"/>
  <c r="AM231" i="40"/>
  <c r="AN231" i="40"/>
  <c r="AO231" i="40"/>
  <c r="AP231" i="40"/>
  <c r="AQ231" i="40"/>
  <c r="AR231" i="40"/>
  <c r="AS231" i="40"/>
  <c r="AG232" i="40"/>
  <c r="AH232" i="40"/>
  <c r="AI232" i="40"/>
  <c r="AJ232" i="40"/>
  <c r="AK232" i="40"/>
  <c r="AL232" i="40"/>
  <c r="AM232" i="40"/>
  <c r="AN232" i="40"/>
  <c r="AP232" i="40" s="1"/>
  <c r="AO232" i="40"/>
  <c r="AQ232" i="40"/>
  <c r="AR232" i="40"/>
  <c r="AS232" i="40"/>
  <c r="AG233" i="40"/>
  <c r="AH233" i="40"/>
  <c r="AI233" i="40"/>
  <c r="AJ233" i="40"/>
  <c r="AK233" i="40"/>
  <c r="AL233" i="40"/>
  <c r="AM233" i="40"/>
  <c r="AN233" i="40"/>
  <c r="AO233" i="40"/>
  <c r="AP233" i="40" s="1"/>
  <c r="AQ233" i="40"/>
  <c r="AR233" i="40"/>
  <c r="AS233" i="40"/>
  <c r="AG234" i="40"/>
  <c r="AH234" i="40"/>
  <c r="AI234" i="40"/>
  <c r="AJ234" i="40"/>
  <c r="AK234" i="40"/>
  <c r="AL234" i="40"/>
  <c r="AM234" i="40"/>
  <c r="AN234" i="40"/>
  <c r="AO234" i="40"/>
  <c r="AP234" i="40" s="1"/>
  <c r="AQ234" i="40"/>
  <c r="AR234" i="40"/>
  <c r="AS234" i="40"/>
  <c r="AG235" i="40"/>
  <c r="AH235" i="40"/>
  <c r="AI235" i="40"/>
  <c r="AJ235" i="40"/>
  <c r="AK235" i="40"/>
  <c r="AL235" i="40"/>
  <c r="AM235" i="40"/>
  <c r="AN235" i="40"/>
  <c r="AO235" i="40"/>
  <c r="AP235" i="40"/>
  <c r="AQ235" i="40"/>
  <c r="AR235" i="40"/>
  <c r="AS235" i="40"/>
  <c r="AG236" i="40"/>
  <c r="AH236" i="40"/>
  <c r="AI236" i="40"/>
  <c r="AJ236" i="40"/>
  <c r="AK236" i="40"/>
  <c r="AL236" i="40"/>
  <c r="AM236" i="40"/>
  <c r="AN236" i="40"/>
  <c r="AO236" i="40"/>
  <c r="AP236" i="40"/>
  <c r="AQ236" i="40"/>
  <c r="AR236" i="40"/>
  <c r="AS236" i="40"/>
  <c r="AG237" i="40"/>
  <c r="AH237" i="40"/>
  <c r="AI237" i="40"/>
  <c r="AJ237" i="40"/>
  <c r="AK237" i="40"/>
  <c r="AL237" i="40"/>
  <c r="AM237" i="40"/>
  <c r="AN237" i="40"/>
  <c r="AP237" i="40" s="1"/>
  <c r="AO237" i="40"/>
  <c r="AQ237" i="40"/>
  <c r="AR237" i="40"/>
  <c r="AS237" i="40"/>
  <c r="AG238" i="40"/>
  <c r="AH238" i="40"/>
  <c r="AI238" i="40"/>
  <c r="AJ238" i="40"/>
  <c r="AK238" i="40"/>
  <c r="AL238" i="40"/>
  <c r="AM238" i="40"/>
  <c r="AN238" i="40"/>
  <c r="AP238" i="40" s="1"/>
  <c r="AO238" i="40"/>
  <c r="AQ238" i="40"/>
  <c r="AR238" i="40"/>
  <c r="AS238" i="40"/>
  <c r="AG239" i="40"/>
  <c r="AH239" i="40"/>
  <c r="AI239" i="40"/>
  <c r="AJ239" i="40"/>
  <c r="AK239" i="40"/>
  <c r="AL239" i="40"/>
  <c r="AM239" i="40"/>
  <c r="AN239" i="40"/>
  <c r="AP239" i="40" s="1"/>
  <c r="AO239" i="40"/>
  <c r="AQ239" i="40"/>
  <c r="AR239" i="40"/>
  <c r="AS239" i="40"/>
  <c r="AG240" i="40"/>
  <c r="AH240" i="40"/>
  <c r="AI240" i="40"/>
  <c r="AJ240" i="40"/>
  <c r="AK240" i="40"/>
  <c r="AL240" i="40"/>
  <c r="AM240" i="40"/>
  <c r="AN240" i="40"/>
  <c r="AO240" i="40"/>
  <c r="AP240" i="40" s="1"/>
  <c r="AQ240" i="40"/>
  <c r="AR240" i="40"/>
  <c r="AS240" i="40"/>
  <c r="AG241" i="40"/>
  <c r="AH241" i="40"/>
  <c r="AI241" i="40"/>
  <c r="AJ241" i="40"/>
  <c r="AK241" i="40"/>
  <c r="AL241" i="40"/>
  <c r="AM241" i="40"/>
  <c r="AN241" i="40"/>
  <c r="AO241" i="40"/>
  <c r="AP241" i="40"/>
  <c r="AQ241" i="40"/>
  <c r="AR241" i="40"/>
  <c r="AS241" i="40"/>
  <c r="AG242" i="40"/>
  <c r="AH242" i="40"/>
  <c r="AI242" i="40"/>
  <c r="AJ242" i="40"/>
  <c r="AK242" i="40"/>
  <c r="AL242" i="40"/>
  <c r="AM242" i="40"/>
  <c r="AN242" i="40"/>
  <c r="AO242" i="40"/>
  <c r="AP242" i="40" s="1"/>
  <c r="AQ242" i="40"/>
  <c r="AR242" i="40"/>
  <c r="AS242" i="40"/>
  <c r="AG243" i="40"/>
  <c r="AH243" i="40"/>
  <c r="AI243" i="40"/>
  <c r="AJ243" i="40"/>
  <c r="AK243" i="40"/>
  <c r="AL243" i="40"/>
  <c r="AM243" i="40"/>
  <c r="AN243" i="40"/>
  <c r="AP243" i="40" s="1"/>
  <c r="AO243" i="40"/>
  <c r="AQ243" i="40"/>
  <c r="AR243" i="40"/>
  <c r="AS243" i="40"/>
  <c r="AG244" i="40"/>
  <c r="AH244" i="40"/>
  <c r="AI244" i="40"/>
  <c r="AJ244" i="40"/>
  <c r="AK244" i="40"/>
  <c r="AL244" i="40"/>
  <c r="AM244" i="40"/>
  <c r="AN244" i="40"/>
  <c r="AO244" i="40"/>
  <c r="AP244" i="40"/>
  <c r="AQ244" i="40"/>
  <c r="AR244" i="40"/>
  <c r="AS244" i="40"/>
  <c r="AG245" i="40"/>
  <c r="AH245" i="40"/>
  <c r="AI245" i="40"/>
  <c r="AJ245" i="40"/>
  <c r="AK245" i="40"/>
  <c r="AL245" i="40"/>
  <c r="AM245" i="40"/>
  <c r="AN245" i="40"/>
  <c r="AP245" i="40" s="1"/>
  <c r="AO245" i="40"/>
  <c r="AQ245" i="40"/>
  <c r="AR245" i="40"/>
  <c r="AS245" i="40"/>
  <c r="AG246" i="40"/>
  <c r="AH246" i="40"/>
  <c r="AI246" i="40"/>
  <c r="AJ246" i="40"/>
  <c r="AK246" i="40"/>
  <c r="AL246" i="40"/>
  <c r="AM246" i="40"/>
  <c r="AN246" i="40"/>
  <c r="AO246" i="40"/>
  <c r="AP246" i="40" s="1"/>
  <c r="AQ246" i="40"/>
  <c r="AR246" i="40"/>
  <c r="AS246" i="40"/>
  <c r="AG247" i="40"/>
  <c r="AH247" i="40"/>
  <c r="AI247" i="40"/>
  <c r="AJ247" i="40"/>
  <c r="AK247" i="40"/>
  <c r="AP247" i="40" s="1"/>
  <c r="AL247" i="40"/>
  <c r="AM247" i="40"/>
  <c r="AN247" i="40"/>
  <c r="AO247" i="40"/>
  <c r="AQ247" i="40"/>
  <c r="AR247" i="40"/>
  <c r="AS247" i="40"/>
  <c r="AG248" i="40"/>
  <c r="AH248" i="40"/>
  <c r="AI248" i="40"/>
  <c r="AJ248" i="40"/>
  <c r="AK248" i="40"/>
  <c r="AP248" i="40" s="1"/>
  <c r="AL248" i="40"/>
  <c r="AM248" i="40"/>
  <c r="AN248" i="40"/>
  <c r="AO248" i="40"/>
  <c r="AQ248" i="40"/>
  <c r="AR248" i="40"/>
  <c r="AS248" i="40"/>
  <c r="AG249" i="40"/>
  <c r="AH249" i="40"/>
  <c r="AI249" i="40"/>
  <c r="AJ249" i="40"/>
  <c r="AK249" i="40"/>
  <c r="AL249" i="40"/>
  <c r="AM249" i="40"/>
  <c r="AN249" i="40"/>
  <c r="AO249" i="40"/>
  <c r="AP249" i="40" s="1"/>
  <c r="AQ249" i="40"/>
  <c r="AR249" i="40"/>
  <c r="AS249" i="40"/>
  <c r="AG250" i="40"/>
  <c r="AH250" i="40"/>
  <c r="AI250" i="40"/>
  <c r="AJ250" i="40"/>
  <c r="AK250" i="40"/>
  <c r="AL250" i="40"/>
  <c r="AM250" i="40"/>
  <c r="AN250" i="40"/>
  <c r="AP250" i="40" s="1"/>
  <c r="AO250" i="40"/>
  <c r="AQ250" i="40"/>
  <c r="AR250" i="40"/>
  <c r="AS250" i="40"/>
  <c r="AG251" i="40"/>
  <c r="AH251" i="40"/>
  <c r="AI251" i="40"/>
  <c r="AJ251" i="40"/>
  <c r="AK251" i="40"/>
  <c r="AL251" i="40"/>
  <c r="AM251" i="40"/>
  <c r="AN251" i="40"/>
  <c r="AP251" i="40" s="1"/>
  <c r="AO251" i="40"/>
  <c r="AQ251" i="40"/>
  <c r="AR251" i="40"/>
  <c r="AS251" i="40"/>
  <c r="AG252" i="40"/>
  <c r="AH252" i="40"/>
  <c r="AI252" i="40"/>
  <c r="AJ252" i="40"/>
  <c r="AK252" i="40"/>
  <c r="AL252" i="40"/>
  <c r="AM252" i="40"/>
  <c r="AN252" i="40"/>
  <c r="AO252" i="40"/>
  <c r="AP252" i="40" s="1"/>
  <c r="AQ252" i="40"/>
  <c r="AR252" i="40"/>
  <c r="AS252" i="40"/>
  <c r="AG253" i="40"/>
  <c r="AH253" i="40"/>
  <c r="AI253" i="40"/>
  <c r="AJ253" i="40"/>
  <c r="AK253" i="40"/>
  <c r="AP253" i="40" s="1"/>
  <c r="AL253" i="40"/>
  <c r="AM253" i="40"/>
  <c r="AN253" i="40"/>
  <c r="AO253" i="40"/>
  <c r="AQ253" i="40"/>
  <c r="AR253" i="40"/>
  <c r="AS253" i="40"/>
  <c r="AG254" i="40"/>
  <c r="AH254" i="40"/>
  <c r="AI254" i="40"/>
  <c r="AJ254" i="40"/>
  <c r="AK254" i="40"/>
  <c r="AL254" i="40"/>
  <c r="AM254" i="40"/>
  <c r="AN254" i="40"/>
  <c r="AP254" i="40" s="1"/>
  <c r="AO254" i="40"/>
  <c r="AQ254" i="40"/>
  <c r="AR254" i="40"/>
  <c r="AS254" i="40"/>
  <c r="AG255" i="40"/>
  <c r="AH255" i="40"/>
  <c r="AI255" i="40"/>
  <c r="AJ255" i="40"/>
  <c r="AK255" i="40"/>
  <c r="AL255" i="40"/>
  <c r="AP255" i="40" s="1"/>
  <c r="AM255" i="40"/>
  <c r="AN255" i="40"/>
  <c r="AO255" i="40"/>
  <c r="AQ255" i="40"/>
  <c r="AR255" i="40"/>
  <c r="AS255" i="40"/>
  <c r="AG256" i="40"/>
  <c r="AH256" i="40"/>
  <c r="AI256" i="40"/>
  <c r="AJ256" i="40"/>
  <c r="AK256" i="40"/>
  <c r="AL256" i="40"/>
  <c r="AM256" i="40"/>
  <c r="AN256" i="40"/>
  <c r="AP256" i="40" s="1"/>
  <c r="AO256" i="40"/>
  <c r="AQ256" i="40"/>
  <c r="AR256" i="40"/>
  <c r="AS256" i="40"/>
  <c r="AG257" i="40"/>
  <c r="AH257" i="40"/>
  <c r="AI257" i="40"/>
  <c r="AJ257" i="40"/>
  <c r="AK257" i="40"/>
  <c r="AL257" i="40"/>
  <c r="AM257" i="40"/>
  <c r="AN257" i="40"/>
  <c r="AP257" i="40" s="1"/>
  <c r="AO257" i="40"/>
  <c r="AQ257" i="40"/>
  <c r="AR257" i="40"/>
  <c r="AS257" i="40"/>
  <c r="AG258" i="40"/>
  <c r="AH258" i="40"/>
  <c r="AI258" i="40"/>
  <c r="AJ258" i="40"/>
  <c r="AK258" i="40"/>
  <c r="AP258" i="40" s="1"/>
  <c r="AL258" i="40"/>
  <c r="AM258" i="40"/>
  <c r="AN258" i="40"/>
  <c r="AO258" i="40"/>
  <c r="AQ258" i="40"/>
  <c r="AR258" i="40"/>
  <c r="AS258" i="40"/>
  <c r="AG259" i="40"/>
  <c r="AH259" i="40"/>
  <c r="AI259" i="40"/>
  <c r="AJ259" i="40"/>
  <c r="AK259" i="40"/>
  <c r="AL259" i="40"/>
  <c r="AM259" i="40"/>
  <c r="AN259" i="40"/>
  <c r="AO259" i="40"/>
  <c r="AP259" i="40"/>
  <c r="AQ259" i="40"/>
  <c r="AR259" i="40"/>
  <c r="AS259" i="40"/>
  <c r="AG260" i="40"/>
  <c r="AH260" i="40"/>
  <c r="AI260" i="40"/>
  <c r="AJ260" i="40"/>
  <c r="AK260" i="40"/>
  <c r="AP260" i="40" s="1"/>
  <c r="AL260" i="40"/>
  <c r="AM260" i="40"/>
  <c r="AN260" i="40"/>
  <c r="AO260" i="40"/>
  <c r="AQ260" i="40"/>
  <c r="AR260" i="40"/>
  <c r="AS260" i="40"/>
  <c r="AG261" i="40"/>
  <c r="AH261" i="40"/>
  <c r="AI261" i="40"/>
  <c r="AJ261" i="40"/>
  <c r="AK261" i="40"/>
  <c r="AL261" i="40"/>
  <c r="AP261" i="40" s="1"/>
  <c r="AM261" i="40"/>
  <c r="AN261" i="40"/>
  <c r="AO261" i="40"/>
  <c r="AQ261" i="40"/>
  <c r="AR261" i="40"/>
  <c r="AS261" i="40"/>
  <c r="AG262" i="40"/>
  <c r="AH262" i="40"/>
  <c r="AI262" i="40"/>
  <c r="AJ262" i="40"/>
  <c r="AK262" i="40"/>
  <c r="AL262" i="40"/>
  <c r="AM262" i="40"/>
  <c r="AN262" i="40"/>
  <c r="AP262" i="40" s="1"/>
  <c r="AO262" i="40"/>
  <c r="AQ262" i="40"/>
  <c r="AR262" i="40"/>
  <c r="AS262" i="40"/>
  <c r="AG263" i="40"/>
  <c r="AH263" i="40"/>
  <c r="AI263" i="40"/>
  <c r="AJ263" i="40"/>
  <c r="AK263" i="40"/>
  <c r="AL263" i="40"/>
  <c r="AM263" i="40"/>
  <c r="AN263" i="40"/>
  <c r="AO263" i="40"/>
  <c r="AP263" i="40" s="1"/>
  <c r="AQ263" i="40"/>
  <c r="AR263" i="40"/>
  <c r="AS263" i="40"/>
  <c r="AG264" i="40"/>
  <c r="AH264" i="40"/>
  <c r="AI264" i="40"/>
  <c r="AJ264" i="40"/>
  <c r="AK264" i="40"/>
  <c r="AL264" i="40"/>
  <c r="AM264" i="40"/>
  <c r="AN264" i="40"/>
  <c r="AP264" i="40" s="1"/>
  <c r="AO264" i="40"/>
  <c r="AQ264" i="40"/>
  <c r="AR264" i="40"/>
  <c r="AS264" i="40"/>
  <c r="AG265" i="40"/>
  <c r="AH265" i="40"/>
  <c r="AI265" i="40"/>
  <c r="AJ265" i="40"/>
  <c r="AK265" i="40"/>
  <c r="AL265" i="40"/>
  <c r="AM265" i="40"/>
  <c r="AN265" i="40"/>
  <c r="AO265" i="40"/>
  <c r="AP265" i="40" s="1"/>
  <c r="AQ265" i="40"/>
  <c r="AR265" i="40"/>
  <c r="AS265" i="40"/>
  <c r="AG266" i="40"/>
  <c r="AH266" i="40"/>
  <c r="AI266" i="40"/>
  <c r="AJ266" i="40"/>
  <c r="AK266" i="40"/>
  <c r="AL266" i="40"/>
  <c r="AM266" i="40"/>
  <c r="AN266" i="40"/>
  <c r="AO266" i="40"/>
  <c r="AP266" i="40" s="1"/>
  <c r="AQ266" i="40"/>
  <c r="AR266" i="40"/>
  <c r="AS266" i="40"/>
  <c r="AG267" i="40"/>
  <c r="AH267" i="40"/>
  <c r="AI267" i="40"/>
  <c r="AJ267" i="40"/>
  <c r="AK267" i="40"/>
  <c r="AL267" i="40"/>
  <c r="AM267" i="40"/>
  <c r="AN267" i="40"/>
  <c r="AO267" i="40"/>
  <c r="AP267" i="40"/>
  <c r="AQ267" i="40"/>
  <c r="AR267" i="40"/>
  <c r="AS267" i="40"/>
  <c r="AG268" i="40"/>
  <c r="AH268" i="40"/>
  <c r="AI268" i="40"/>
  <c r="AJ268" i="40"/>
  <c r="AK268" i="40"/>
  <c r="AL268" i="40"/>
  <c r="AM268" i="40"/>
  <c r="AN268" i="40"/>
  <c r="AO268" i="40"/>
  <c r="AP268" i="40"/>
  <c r="AQ268" i="40"/>
  <c r="AR268" i="40"/>
  <c r="AS268" i="40"/>
  <c r="AG269" i="40"/>
  <c r="AH269" i="40"/>
  <c r="AI269" i="40"/>
  <c r="AJ269" i="40"/>
  <c r="AK269" i="40"/>
  <c r="AL269" i="40"/>
  <c r="AM269" i="40"/>
  <c r="AN269" i="40"/>
  <c r="AP269" i="40" s="1"/>
  <c r="AO269" i="40"/>
  <c r="AQ269" i="40"/>
  <c r="AR269" i="40"/>
  <c r="AS269" i="40"/>
  <c r="AG270" i="40"/>
  <c r="AH270" i="40"/>
  <c r="AI270" i="40"/>
  <c r="AJ270" i="40"/>
  <c r="AK270" i="40"/>
  <c r="AL270" i="40"/>
  <c r="AM270" i="40"/>
  <c r="AN270" i="40"/>
  <c r="AP270" i="40" s="1"/>
  <c r="AO270" i="40"/>
  <c r="AQ270" i="40"/>
  <c r="AR270" i="40"/>
  <c r="AS270" i="40"/>
  <c r="AG271" i="40"/>
  <c r="AH271" i="40"/>
  <c r="AI271" i="40"/>
  <c r="AJ271" i="40"/>
  <c r="AK271" i="40"/>
  <c r="AL271" i="40"/>
  <c r="AM271" i="40"/>
  <c r="AN271" i="40"/>
  <c r="AP271" i="40" s="1"/>
  <c r="AO271" i="40"/>
  <c r="AQ271" i="40"/>
  <c r="AR271" i="40"/>
  <c r="AS271" i="40"/>
  <c r="AG272" i="40"/>
  <c r="AH272" i="40"/>
  <c r="AI272" i="40"/>
  <c r="AJ272" i="40"/>
  <c r="AK272" i="40"/>
  <c r="AL272" i="40"/>
  <c r="AM272" i="40"/>
  <c r="AN272" i="40"/>
  <c r="AO272" i="40"/>
  <c r="AP272" i="40" s="1"/>
  <c r="AQ272" i="40"/>
  <c r="AR272" i="40"/>
  <c r="AS272" i="40"/>
  <c r="AG273" i="40"/>
  <c r="AH273" i="40"/>
  <c r="AI273" i="40"/>
  <c r="AJ273" i="40"/>
  <c r="AK273" i="40"/>
  <c r="AL273" i="40"/>
  <c r="AM273" i="40"/>
  <c r="AN273" i="40"/>
  <c r="AO273" i="40"/>
  <c r="AP273" i="40"/>
  <c r="AQ273" i="40"/>
  <c r="AR273" i="40"/>
  <c r="AS273" i="40"/>
  <c r="AG274" i="40"/>
  <c r="AH274" i="40"/>
  <c r="AI274" i="40"/>
  <c r="AJ274" i="40"/>
  <c r="AK274" i="40"/>
  <c r="AL274" i="40"/>
  <c r="AM274" i="40"/>
  <c r="AN274" i="40"/>
  <c r="AO274" i="40"/>
  <c r="AP274" i="40" s="1"/>
  <c r="AQ274" i="40"/>
  <c r="AR274" i="40"/>
  <c r="AS274" i="40"/>
  <c r="AG275" i="40"/>
  <c r="AH275" i="40"/>
  <c r="AI275" i="40"/>
  <c r="AJ275" i="40"/>
  <c r="AK275" i="40"/>
  <c r="AL275" i="40"/>
  <c r="AM275" i="40"/>
  <c r="AN275" i="40"/>
  <c r="AP275" i="40" s="1"/>
  <c r="AO275" i="40"/>
  <c r="AQ275" i="40"/>
  <c r="AR275" i="40"/>
  <c r="AS275" i="40"/>
  <c r="AG276" i="40"/>
  <c r="AH276" i="40"/>
  <c r="AI276" i="40"/>
  <c r="AJ276" i="40"/>
  <c r="AK276" i="40"/>
  <c r="AL276" i="40"/>
  <c r="AM276" i="40"/>
  <c r="AN276" i="40"/>
  <c r="AO276" i="40"/>
  <c r="AP276" i="40"/>
  <c r="AQ276" i="40"/>
  <c r="AR276" i="40"/>
  <c r="AS276" i="40"/>
  <c r="AG277" i="40"/>
  <c r="AH277" i="40"/>
  <c r="AI277" i="40"/>
  <c r="AJ277" i="40"/>
  <c r="AK277" i="40"/>
  <c r="AL277" i="40"/>
  <c r="AM277" i="40"/>
  <c r="AN277" i="40"/>
  <c r="AP277" i="40" s="1"/>
  <c r="AO277" i="40"/>
  <c r="AQ277" i="40"/>
  <c r="AR277" i="40"/>
  <c r="AS277" i="40"/>
  <c r="AG278" i="40"/>
  <c r="AH278" i="40"/>
  <c r="AI278" i="40"/>
  <c r="AJ278" i="40"/>
  <c r="AK278" i="40"/>
  <c r="AL278" i="40"/>
  <c r="AM278" i="40"/>
  <c r="AN278" i="40"/>
  <c r="AO278" i="40"/>
  <c r="AP278" i="40" s="1"/>
  <c r="AQ278" i="40"/>
  <c r="AR278" i="40"/>
  <c r="AS278" i="40"/>
  <c r="AG279" i="40"/>
  <c r="AH279" i="40"/>
  <c r="AI279" i="40"/>
  <c r="AJ279" i="40"/>
  <c r="AK279" i="40"/>
  <c r="AP279" i="40" s="1"/>
  <c r="AL279" i="40"/>
  <c r="AM279" i="40"/>
  <c r="AN279" i="40"/>
  <c r="AO279" i="40"/>
  <c r="AQ279" i="40"/>
  <c r="AR279" i="40"/>
  <c r="AS279" i="40"/>
  <c r="AG280" i="40"/>
  <c r="AH280" i="40"/>
  <c r="AI280" i="40"/>
  <c r="AJ280" i="40"/>
  <c r="AK280" i="40"/>
  <c r="AP280" i="40" s="1"/>
  <c r="AL280" i="40"/>
  <c r="AM280" i="40"/>
  <c r="AN280" i="40"/>
  <c r="AO280" i="40"/>
  <c r="AQ280" i="40"/>
  <c r="AR280" i="40"/>
  <c r="AS280" i="40"/>
  <c r="AG281" i="40"/>
  <c r="AH281" i="40"/>
  <c r="AI281" i="40"/>
  <c r="AJ281" i="40"/>
  <c r="AK281" i="40"/>
  <c r="AL281" i="40"/>
  <c r="AM281" i="40"/>
  <c r="AN281" i="40"/>
  <c r="AO281" i="40"/>
  <c r="AP281" i="40" s="1"/>
  <c r="AQ281" i="40"/>
  <c r="AR281" i="40"/>
  <c r="AS281" i="40"/>
  <c r="AG282" i="40"/>
  <c r="AH282" i="40"/>
  <c r="AI282" i="40"/>
  <c r="AJ282" i="40"/>
  <c r="AK282" i="40"/>
  <c r="AL282" i="40"/>
  <c r="AM282" i="40"/>
  <c r="AN282" i="40"/>
  <c r="AP282" i="40" s="1"/>
  <c r="AO282" i="40"/>
  <c r="AQ282" i="40"/>
  <c r="AR282" i="40"/>
  <c r="AS282" i="40"/>
  <c r="AG283" i="40"/>
  <c r="AH283" i="40"/>
  <c r="AI283" i="40"/>
  <c r="AJ283" i="40"/>
  <c r="AK283" i="40"/>
  <c r="AL283" i="40"/>
  <c r="AM283" i="40"/>
  <c r="AN283" i="40"/>
  <c r="AP283" i="40" s="1"/>
  <c r="AO283" i="40"/>
  <c r="AQ283" i="40"/>
  <c r="AR283" i="40"/>
  <c r="AS283" i="40"/>
  <c r="AG284" i="40"/>
  <c r="AH284" i="40"/>
  <c r="AI284" i="40"/>
  <c r="AJ284" i="40"/>
  <c r="AK284" i="40"/>
  <c r="AL284" i="40"/>
  <c r="AM284" i="40"/>
  <c r="AN284" i="40"/>
  <c r="AO284" i="40"/>
  <c r="AP284" i="40" s="1"/>
  <c r="AQ284" i="40"/>
  <c r="AR284" i="40"/>
  <c r="AS284" i="40"/>
  <c r="AG285" i="40"/>
  <c r="AH285" i="40"/>
  <c r="AI285" i="40"/>
  <c r="AJ285" i="40"/>
  <c r="AK285" i="40"/>
  <c r="AP285" i="40" s="1"/>
  <c r="AL285" i="40"/>
  <c r="AM285" i="40"/>
  <c r="AN285" i="40"/>
  <c r="AO285" i="40"/>
  <c r="AQ285" i="40"/>
  <c r="AR285" i="40"/>
  <c r="AS285" i="40"/>
  <c r="AG286" i="40"/>
  <c r="AH286" i="40"/>
  <c r="AI286" i="40"/>
  <c r="AJ286" i="40"/>
  <c r="AK286" i="40"/>
  <c r="AL286" i="40"/>
  <c r="AM286" i="40"/>
  <c r="AN286" i="40"/>
  <c r="AP286" i="40" s="1"/>
  <c r="AO286" i="40"/>
  <c r="AQ286" i="40"/>
  <c r="AR286" i="40"/>
  <c r="AS286" i="40"/>
  <c r="AG287" i="40"/>
  <c r="AH287" i="40"/>
  <c r="AI287" i="40"/>
  <c r="AJ287" i="40"/>
  <c r="AK287" i="40"/>
  <c r="AL287" i="40"/>
  <c r="AP287" i="40" s="1"/>
  <c r="AM287" i="40"/>
  <c r="AN287" i="40"/>
  <c r="AO287" i="40"/>
  <c r="AQ287" i="40"/>
  <c r="AR287" i="40"/>
  <c r="AS287" i="40"/>
  <c r="AG288" i="40"/>
  <c r="AH288" i="40"/>
  <c r="AI288" i="40"/>
  <c r="AJ288" i="40"/>
  <c r="AK288" i="40"/>
  <c r="AL288" i="40"/>
  <c r="AM288" i="40"/>
  <c r="AN288" i="40"/>
  <c r="AP288" i="40" s="1"/>
  <c r="AO288" i="40"/>
  <c r="AQ288" i="40"/>
  <c r="AR288" i="40"/>
  <c r="AS288" i="40"/>
  <c r="AG289" i="40"/>
  <c r="AH289" i="40"/>
  <c r="AI289" i="40"/>
  <c r="AJ289" i="40"/>
  <c r="AK289" i="40"/>
  <c r="AL289" i="40"/>
  <c r="AM289" i="40"/>
  <c r="AN289" i="40"/>
  <c r="AP289" i="40" s="1"/>
  <c r="AO289" i="40"/>
  <c r="AQ289" i="40"/>
  <c r="AR289" i="40"/>
  <c r="AS289" i="40"/>
  <c r="AG290" i="40"/>
  <c r="AH290" i="40"/>
  <c r="AI290" i="40"/>
  <c r="AJ290" i="40"/>
  <c r="AK290" i="40"/>
  <c r="AL290" i="40"/>
  <c r="AM290" i="40"/>
  <c r="AN290" i="40"/>
  <c r="AP290" i="40" s="1"/>
  <c r="AO290" i="40"/>
  <c r="AQ290" i="40"/>
  <c r="AR290" i="40"/>
  <c r="AS290" i="40"/>
  <c r="AG291" i="40"/>
  <c r="AH291" i="40"/>
  <c r="AI291" i="40"/>
  <c r="AJ291" i="40"/>
  <c r="AK291" i="40"/>
  <c r="AL291" i="40"/>
  <c r="AM291" i="40"/>
  <c r="AN291" i="40"/>
  <c r="AO291" i="40"/>
  <c r="AP291" i="40"/>
  <c r="AQ291" i="40"/>
  <c r="AR291" i="40"/>
  <c r="AS291" i="40"/>
  <c r="AG292" i="40"/>
  <c r="AH292" i="40"/>
  <c r="AI292" i="40"/>
  <c r="AJ292" i="40"/>
  <c r="AK292" i="40"/>
  <c r="AP292" i="40" s="1"/>
  <c r="AL292" i="40"/>
  <c r="AM292" i="40"/>
  <c r="AN292" i="40"/>
  <c r="AO292" i="40"/>
  <c r="AQ292" i="40"/>
  <c r="AR292" i="40"/>
  <c r="AS292" i="40"/>
  <c r="AG293" i="40"/>
  <c r="AH293" i="40"/>
  <c r="AI293" i="40"/>
  <c r="AJ293" i="40"/>
  <c r="AK293" i="40"/>
  <c r="AP293" i="40" s="1"/>
  <c r="AL293" i="40"/>
  <c r="AM293" i="40"/>
  <c r="AN293" i="40"/>
  <c r="AO293" i="40"/>
  <c r="AQ293" i="40"/>
  <c r="AR293" i="40"/>
  <c r="AS293" i="40"/>
  <c r="AG294" i="40"/>
  <c r="AH294" i="40"/>
  <c r="AI294" i="40"/>
  <c r="AJ294" i="40"/>
  <c r="AK294" i="40"/>
  <c r="AL294" i="40"/>
  <c r="AM294" i="40"/>
  <c r="AN294" i="40"/>
  <c r="AP294" i="40" s="1"/>
  <c r="AO294" i="40"/>
  <c r="AQ294" i="40"/>
  <c r="AR294" i="40"/>
  <c r="AS294" i="40"/>
  <c r="AG295" i="40"/>
  <c r="AH295" i="40"/>
  <c r="AI295" i="40"/>
  <c r="AJ295" i="40"/>
  <c r="AK295" i="40"/>
  <c r="AL295" i="40"/>
  <c r="AM295" i="40"/>
  <c r="AN295" i="40"/>
  <c r="AP295" i="40" s="1"/>
  <c r="AO295" i="40"/>
  <c r="AQ295" i="40"/>
  <c r="AR295" i="40"/>
  <c r="AS295" i="40"/>
  <c r="AG296" i="40"/>
  <c r="AH296" i="40"/>
  <c r="AI296" i="40"/>
  <c r="AJ296" i="40"/>
  <c r="AK296" i="40"/>
  <c r="AL296" i="40"/>
  <c r="AM296" i="40"/>
  <c r="AN296" i="40"/>
  <c r="AP296" i="40" s="1"/>
  <c r="AO296" i="40"/>
  <c r="AQ296" i="40"/>
  <c r="AR296" i="40"/>
  <c r="AS296" i="40"/>
  <c r="AG297" i="40"/>
  <c r="AH297" i="40"/>
  <c r="AI297" i="40"/>
  <c r="AJ297" i="40"/>
  <c r="AK297" i="40"/>
  <c r="AL297" i="40"/>
  <c r="AM297" i="40"/>
  <c r="AN297" i="40"/>
  <c r="AO297" i="40"/>
  <c r="AP297" i="40" s="1"/>
  <c r="AQ297" i="40"/>
  <c r="AR297" i="40"/>
  <c r="AS297" i="40"/>
  <c r="AG298" i="40"/>
  <c r="AH298" i="40"/>
  <c r="AI298" i="40"/>
  <c r="AJ298" i="40"/>
  <c r="AK298" i="40"/>
  <c r="AL298" i="40"/>
  <c r="AM298" i="40"/>
  <c r="AN298" i="40"/>
  <c r="AO298" i="40"/>
  <c r="AP298" i="40" s="1"/>
  <c r="AQ298" i="40"/>
  <c r="AR298" i="40"/>
  <c r="AS298" i="40"/>
  <c r="AG299" i="40"/>
  <c r="AH299" i="40"/>
  <c r="AI299" i="40"/>
  <c r="AJ299" i="40"/>
  <c r="AK299" i="40"/>
  <c r="AL299" i="40"/>
  <c r="AM299" i="40"/>
  <c r="AN299" i="40"/>
  <c r="AO299" i="40"/>
  <c r="AP299" i="40"/>
  <c r="AQ299" i="40"/>
  <c r="AR299" i="40"/>
  <c r="AS299" i="40"/>
  <c r="AG300" i="40"/>
  <c r="AH300" i="40"/>
  <c r="AI300" i="40"/>
  <c r="AJ300" i="40"/>
  <c r="AK300" i="40"/>
  <c r="AL300" i="40"/>
  <c r="AM300" i="40"/>
  <c r="AN300" i="40"/>
  <c r="AO300" i="40"/>
  <c r="AP300" i="40"/>
  <c r="AQ300" i="40"/>
  <c r="AR300" i="40"/>
  <c r="AS300" i="40"/>
  <c r="AG301" i="40"/>
  <c r="AH301" i="40"/>
  <c r="AI301" i="40"/>
  <c r="AJ301" i="40"/>
  <c r="AK301" i="40"/>
  <c r="AL301" i="40"/>
  <c r="AM301" i="40"/>
  <c r="AN301" i="40"/>
  <c r="AP301" i="40" s="1"/>
  <c r="AO301" i="40"/>
  <c r="AQ301" i="40"/>
  <c r="AR301" i="40"/>
  <c r="AS301" i="40"/>
  <c r="AG302" i="40"/>
  <c r="AH302" i="40"/>
  <c r="AI302" i="40"/>
  <c r="AJ302" i="40"/>
  <c r="AK302" i="40"/>
  <c r="AL302" i="40"/>
  <c r="AM302" i="40"/>
  <c r="AN302" i="40"/>
  <c r="AP302" i="40" s="1"/>
  <c r="AO302" i="40"/>
  <c r="AQ302" i="40"/>
  <c r="AR302" i="40"/>
  <c r="AS302" i="40"/>
  <c r="AG303" i="40"/>
  <c r="AH303" i="40"/>
  <c r="AI303" i="40"/>
  <c r="AJ303" i="40"/>
  <c r="AK303" i="40"/>
  <c r="AP303" i="40" s="1"/>
  <c r="AL303" i="40"/>
  <c r="AM303" i="40"/>
  <c r="AN303" i="40"/>
  <c r="AO303" i="40"/>
  <c r="AQ303" i="40"/>
  <c r="AR303" i="40"/>
  <c r="AS303" i="40"/>
  <c r="AG304" i="40"/>
  <c r="AH304" i="40"/>
  <c r="AI304" i="40"/>
  <c r="AJ304" i="40"/>
  <c r="AK304" i="40"/>
  <c r="AL304" i="40"/>
  <c r="AM304" i="40"/>
  <c r="AN304" i="40"/>
  <c r="AP304" i="40" s="1"/>
  <c r="AO304" i="40"/>
  <c r="AQ304" i="40"/>
  <c r="AR304" i="40"/>
  <c r="AS304" i="40"/>
  <c r="AG305" i="40"/>
  <c r="AH305" i="40"/>
  <c r="AI305" i="40"/>
  <c r="AJ305" i="40"/>
  <c r="AK305" i="40"/>
  <c r="AL305" i="40"/>
  <c r="AM305" i="40"/>
  <c r="AN305" i="40"/>
  <c r="AO305" i="40"/>
  <c r="AP305" i="40"/>
  <c r="AQ305" i="40"/>
  <c r="AR305" i="40"/>
  <c r="AS305" i="40"/>
  <c r="AG306" i="40"/>
  <c r="AH306" i="40"/>
  <c r="AI306" i="40"/>
  <c r="AJ306" i="40"/>
  <c r="AK306" i="40"/>
  <c r="AL306" i="40"/>
  <c r="AM306" i="40"/>
  <c r="AN306" i="40"/>
  <c r="AO306" i="40"/>
  <c r="AP306" i="40" s="1"/>
  <c r="AQ306" i="40"/>
  <c r="AR306" i="40"/>
  <c r="AS306" i="40"/>
  <c r="AG307" i="40"/>
  <c r="AH307" i="40"/>
  <c r="AI307" i="40"/>
  <c r="AJ307" i="40"/>
  <c r="AK307" i="40"/>
  <c r="AL307" i="40"/>
  <c r="AM307" i="40"/>
  <c r="AN307" i="40"/>
  <c r="AP307" i="40" s="1"/>
  <c r="AO307" i="40"/>
  <c r="AQ307" i="40"/>
  <c r="AR307" i="40"/>
  <c r="AS307" i="40"/>
  <c r="AG308" i="40"/>
  <c r="AH308" i="40"/>
  <c r="AI308" i="40"/>
  <c r="AJ308" i="40"/>
  <c r="AK308" i="40"/>
  <c r="AL308" i="40"/>
  <c r="AM308" i="40"/>
  <c r="AN308" i="40"/>
  <c r="AO308" i="40"/>
  <c r="AP308" i="40"/>
  <c r="AQ308" i="40"/>
  <c r="AR308" i="40"/>
  <c r="AS308" i="40"/>
  <c r="AG309" i="40"/>
  <c r="AH309" i="40"/>
  <c r="AI309" i="40"/>
  <c r="AJ309" i="40"/>
  <c r="AK309" i="40"/>
  <c r="AL309" i="40"/>
  <c r="AM309" i="40"/>
  <c r="AN309" i="40"/>
  <c r="AP309" i="40" s="1"/>
  <c r="AO309" i="40"/>
  <c r="AQ309" i="40"/>
  <c r="AR309" i="40"/>
  <c r="AS309" i="40"/>
  <c r="AG310" i="40"/>
  <c r="AH310" i="40"/>
  <c r="AI310" i="40"/>
  <c r="AJ310" i="40"/>
  <c r="AK310" i="40"/>
  <c r="AL310" i="40"/>
  <c r="AM310" i="40"/>
  <c r="AN310" i="40"/>
  <c r="AO310" i="40"/>
  <c r="AP310" i="40" s="1"/>
  <c r="AQ310" i="40"/>
  <c r="AR310" i="40"/>
  <c r="AS310" i="40"/>
  <c r="AG311" i="40"/>
  <c r="AH311" i="40"/>
  <c r="AI311" i="40"/>
  <c r="AJ311" i="40"/>
  <c r="AK311" i="40"/>
  <c r="AP311" i="40" s="1"/>
  <c r="AL311" i="40"/>
  <c r="AM311" i="40"/>
  <c r="AN311" i="40"/>
  <c r="AO311" i="40"/>
  <c r="AQ311" i="40"/>
  <c r="AR311" i="40"/>
  <c r="AS311" i="40"/>
  <c r="AG312" i="40"/>
  <c r="AH312" i="40"/>
  <c r="AI312" i="40"/>
  <c r="AJ312" i="40"/>
  <c r="AK312" i="40"/>
  <c r="AP312" i="40" s="1"/>
  <c r="AL312" i="40"/>
  <c r="AM312" i="40"/>
  <c r="AN312" i="40"/>
  <c r="AO312" i="40"/>
  <c r="AQ312" i="40"/>
  <c r="AR312" i="40"/>
  <c r="AS312" i="40"/>
  <c r="AG313" i="40"/>
  <c r="AH313" i="40"/>
  <c r="AI313" i="40"/>
  <c r="AJ313" i="40"/>
  <c r="AK313" i="40"/>
  <c r="AL313" i="40"/>
  <c r="AM313" i="40"/>
  <c r="AN313" i="40"/>
  <c r="AO313" i="40"/>
  <c r="AP313" i="40" s="1"/>
  <c r="AQ313" i="40"/>
  <c r="AR313" i="40"/>
  <c r="AS313" i="40"/>
  <c r="AG314" i="40"/>
  <c r="AH314" i="40"/>
  <c r="AI314" i="40"/>
  <c r="AJ314" i="40"/>
  <c r="AK314" i="40"/>
  <c r="AL314" i="40"/>
  <c r="AM314" i="40"/>
  <c r="AN314" i="40"/>
  <c r="AP314" i="40" s="1"/>
  <c r="AO314" i="40"/>
  <c r="AQ314" i="40"/>
  <c r="AR314" i="40"/>
  <c r="AS314" i="40"/>
  <c r="AG315" i="40"/>
  <c r="AH315" i="40"/>
  <c r="AI315" i="40"/>
  <c r="AJ315" i="40"/>
  <c r="AK315" i="40"/>
  <c r="AL315" i="40"/>
  <c r="AM315" i="40"/>
  <c r="AN315" i="40"/>
  <c r="AP315" i="40" s="1"/>
  <c r="AO315" i="40"/>
  <c r="AQ315" i="40"/>
  <c r="AR315" i="40"/>
  <c r="AS315" i="40"/>
  <c r="AG316" i="40"/>
  <c r="AH316" i="40"/>
  <c r="AI316" i="40"/>
  <c r="AJ316" i="40"/>
  <c r="AK316" i="40"/>
  <c r="AP316" i="40" s="1"/>
  <c r="AL316" i="40"/>
  <c r="AM316" i="40"/>
  <c r="AN316" i="40"/>
  <c r="AO316" i="40"/>
  <c r="AQ316" i="40"/>
  <c r="AR316" i="40"/>
  <c r="AS316" i="40"/>
  <c r="AG317" i="40"/>
  <c r="AH317" i="40"/>
  <c r="AI317" i="40"/>
  <c r="AJ317" i="40"/>
  <c r="AK317" i="40"/>
  <c r="AL317" i="40"/>
  <c r="AM317" i="40"/>
  <c r="AN317" i="40"/>
  <c r="AO317" i="40"/>
  <c r="AP317" i="40" s="1"/>
  <c r="AQ317" i="40"/>
  <c r="AR317" i="40"/>
  <c r="AS317" i="40"/>
  <c r="AG318" i="40"/>
  <c r="AH318" i="40"/>
  <c r="AI318" i="40"/>
  <c r="AJ318" i="40"/>
  <c r="AK318" i="40"/>
  <c r="AL318" i="40"/>
  <c r="AM318" i="40"/>
  <c r="AN318" i="40"/>
  <c r="AP318" i="40" s="1"/>
  <c r="AO318" i="40"/>
  <c r="AQ318" i="40"/>
  <c r="AR318" i="40"/>
  <c r="AS318" i="40"/>
  <c r="AG319" i="40"/>
  <c r="AH319" i="40"/>
  <c r="AI319" i="40"/>
  <c r="AJ319" i="40"/>
  <c r="AK319" i="40"/>
  <c r="AL319" i="40"/>
  <c r="AP319" i="40" s="1"/>
  <c r="AM319" i="40"/>
  <c r="AN319" i="40"/>
  <c r="AO319" i="40"/>
  <c r="AQ319" i="40"/>
  <c r="AR319" i="40"/>
  <c r="AS319" i="40"/>
  <c r="AG320" i="40"/>
  <c r="AH320" i="40"/>
  <c r="AI320" i="40"/>
  <c r="AJ320" i="40"/>
  <c r="AK320" i="40"/>
  <c r="AL320" i="40"/>
  <c r="AM320" i="40"/>
  <c r="AN320" i="40"/>
  <c r="AP320" i="40" s="1"/>
  <c r="AO320" i="40"/>
  <c r="AQ320" i="40"/>
  <c r="AR320" i="40"/>
  <c r="AS320" i="40"/>
  <c r="AG321" i="40"/>
  <c r="AH321" i="40"/>
  <c r="AI321" i="40"/>
  <c r="AJ321" i="40"/>
  <c r="AK321" i="40"/>
  <c r="AL321" i="40"/>
  <c r="AM321" i="40"/>
  <c r="AN321" i="40"/>
  <c r="AP321" i="40" s="1"/>
  <c r="AO321" i="40"/>
  <c r="AQ321" i="40"/>
  <c r="AR321" i="40"/>
  <c r="AS321" i="40"/>
  <c r="AG322" i="40"/>
  <c r="AH322" i="40"/>
  <c r="AI322" i="40"/>
  <c r="AJ322" i="40"/>
  <c r="AK322" i="40"/>
  <c r="AL322" i="40"/>
  <c r="AM322" i="40"/>
  <c r="AN322" i="40"/>
  <c r="AP322" i="40" s="1"/>
  <c r="AO322" i="40"/>
  <c r="AQ322" i="40"/>
  <c r="AR322" i="40"/>
  <c r="AS322" i="40"/>
  <c r="AG323" i="40"/>
  <c r="AH323" i="40"/>
  <c r="AI323" i="40"/>
  <c r="AJ323" i="40"/>
  <c r="AK323" i="40"/>
  <c r="AL323" i="40"/>
  <c r="AM323" i="40"/>
  <c r="AN323" i="40"/>
  <c r="AO323" i="40"/>
  <c r="AP323" i="40"/>
  <c r="AQ323" i="40"/>
  <c r="AR323" i="40"/>
  <c r="AS323" i="40"/>
  <c r="AG324" i="40"/>
  <c r="AH324" i="40"/>
  <c r="AI324" i="40"/>
  <c r="AJ324" i="40"/>
  <c r="AK324" i="40"/>
  <c r="AP324" i="40" s="1"/>
  <c r="AL324" i="40"/>
  <c r="AM324" i="40"/>
  <c r="AN324" i="40"/>
  <c r="AO324" i="40"/>
  <c r="AQ324" i="40"/>
  <c r="AR324" i="40"/>
  <c r="AS324" i="40"/>
  <c r="AG325" i="40"/>
  <c r="AH325" i="40"/>
  <c r="AI325" i="40"/>
  <c r="AJ325" i="40"/>
  <c r="AK325" i="40"/>
  <c r="AL325" i="40"/>
  <c r="AM325" i="40"/>
  <c r="AN325" i="40"/>
  <c r="AP325" i="40" s="1"/>
  <c r="AO325" i="40"/>
  <c r="AQ325" i="40"/>
  <c r="AR325" i="40"/>
  <c r="AS325" i="40"/>
  <c r="AG326" i="40"/>
  <c r="AH326" i="40"/>
  <c r="AI326" i="40"/>
  <c r="AJ326" i="40"/>
  <c r="AK326" i="40"/>
  <c r="AL326" i="40"/>
  <c r="AM326" i="40"/>
  <c r="AN326" i="40"/>
  <c r="AP326" i="40" s="1"/>
  <c r="AO326" i="40"/>
  <c r="AQ326" i="40"/>
  <c r="AR326" i="40"/>
  <c r="AS326" i="40"/>
  <c r="AG327" i="40"/>
  <c r="AH327" i="40"/>
  <c r="AI327" i="40"/>
  <c r="AJ327" i="40"/>
  <c r="AK327" i="40"/>
  <c r="AL327" i="40"/>
  <c r="AM327" i="40"/>
  <c r="AN327" i="40"/>
  <c r="AP327" i="40" s="1"/>
  <c r="AO327" i="40"/>
  <c r="AQ327" i="40"/>
  <c r="AR327" i="40"/>
  <c r="AS327" i="40"/>
  <c r="AG328" i="40"/>
  <c r="AH328" i="40"/>
  <c r="AI328" i="40"/>
  <c r="AJ328" i="40"/>
  <c r="AK328" i="40"/>
  <c r="AL328" i="40"/>
  <c r="AM328" i="40"/>
  <c r="AN328" i="40"/>
  <c r="AP328" i="40" s="1"/>
  <c r="AO328" i="40"/>
  <c r="AQ328" i="40"/>
  <c r="AR328" i="40"/>
  <c r="AS328" i="40"/>
  <c r="AG329" i="40"/>
  <c r="AH329" i="40"/>
  <c r="AI329" i="40"/>
  <c r="AJ329" i="40"/>
  <c r="AK329" i="40"/>
  <c r="AL329" i="40"/>
  <c r="AM329" i="40"/>
  <c r="AN329" i="40"/>
  <c r="AO329" i="40"/>
  <c r="AP329" i="40" s="1"/>
  <c r="AQ329" i="40"/>
  <c r="AR329" i="40"/>
  <c r="AS329" i="40"/>
  <c r="AG330" i="40"/>
  <c r="AH330" i="40"/>
  <c r="AI330" i="40"/>
  <c r="AJ330" i="40"/>
  <c r="AK330" i="40"/>
  <c r="AL330" i="40"/>
  <c r="AM330" i="40"/>
  <c r="AN330" i="40"/>
  <c r="AP330" i="40" s="1"/>
  <c r="AO330" i="40"/>
  <c r="AQ330" i="40"/>
  <c r="AR330" i="40"/>
  <c r="AS330" i="40"/>
  <c r="AG331" i="40"/>
  <c r="AH331" i="40"/>
  <c r="AI331" i="40"/>
  <c r="AJ331" i="40"/>
  <c r="AK331" i="40"/>
  <c r="AL331" i="40"/>
  <c r="AM331" i="40"/>
  <c r="AN331" i="40"/>
  <c r="AO331" i="40"/>
  <c r="AP331" i="40"/>
  <c r="AQ331" i="40"/>
  <c r="AR331" i="40"/>
  <c r="AS331" i="40"/>
  <c r="AG332" i="40"/>
  <c r="AH332" i="40"/>
  <c r="AI332" i="40"/>
  <c r="AJ332" i="40"/>
  <c r="AK332" i="40"/>
  <c r="AL332" i="40"/>
  <c r="AM332" i="40"/>
  <c r="AN332" i="40"/>
  <c r="AO332" i="40"/>
  <c r="AP332" i="40"/>
  <c r="AQ332" i="40"/>
  <c r="AR332" i="40"/>
  <c r="AS332" i="40"/>
  <c r="AG333" i="40"/>
  <c r="AH333" i="40"/>
  <c r="AI333" i="40"/>
  <c r="AJ333" i="40"/>
  <c r="AK333" i="40"/>
  <c r="AL333" i="40"/>
  <c r="AM333" i="40"/>
  <c r="AN333" i="40"/>
  <c r="AP333" i="40" s="1"/>
  <c r="AO333" i="40"/>
  <c r="AQ333" i="40"/>
  <c r="AR333" i="40"/>
  <c r="AS333" i="40"/>
  <c r="AG334" i="40"/>
  <c r="AH334" i="40"/>
  <c r="AI334" i="40"/>
  <c r="AJ334" i="40"/>
  <c r="AK334" i="40"/>
  <c r="AL334" i="40"/>
  <c r="AM334" i="40"/>
  <c r="AN334" i="40"/>
  <c r="AP334" i="40" s="1"/>
  <c r="AO334" i="40"/>
  <c r="AQ334" i="40"/>
  <c r="AR334" i="40"/>
  <c r="AS334" i="40"/>
  <c r="AG335" i="40"/>
  <c r="AH335" i="40"/>
  <c r="AI335" i="40"/>
  <c r="AJ335" i="40"/>
  <c r="AK335" i="40"/>
  <c r="AL335" i="40"/>
  <c r="AM335" i="40"/>
  <c r="AN335" i="40"/>
  <c r="AP335" i="40" s="1"/>
  <c r="AO335" i="40"/>
  <c r="AQ335" i="40"/>
  <c r="AR335" i="40"/>
  <c r="AS335" i="40"/>
  <c r="AG336" i="40"/>
  <c r="AH336" i="40"/>
  <c r="AI336" i="40"/>
  <c r="AJ336" i="40"/>
  <c r="AK336" i="40"/>
  <c r="AL336" i="40"/>
  <c r="AM336" i="40"/>
  <c r="AN336" i="40"/>
  <c r="AP336" i="40" s="1"/>
  <c r="AO336" i="40"/>
  <c r="AQ336" i="40"/>
  <c r="AR336" i="40"/>
  <c r="AS336" i="40"/>
  <c r="AG337" i="40"/>
  <c r="AH337" i="40"/>
  <c r="AI337" i="40"/>
  <c r="AJ337" i="40"/>
  <c r="AK337" i="40"/>
  <c r="AL337" i="40"/>
  <c r="AM337" i="40"/>
  <c r="AN337" i="40"/>
  <c r="AO337" i="40"/>
  <c r="AP337" i="40"/>
  <c r="AQ337" i="40"/>
  <c r="AR337" i="40"/>
  <c r="AS337" i="40"/>
  <c r="AG338" i="40"/>
  <c r="AH338" i="40"/>
  <c r="AI338" i="40"/>
  <c r="AJ338" i="40"/>
  <c r="AK338" i="40"/>
  <c r="AL338" i="40"/>
  <c r="AM338" i="40"/>
  <c r="AN338" i="40"/>
  <c r="AO338" i="40"/>
  <c r="AP338" i="40" s="1"/>
  <c r="AQ338" i="40"/>
  <c r="AR338" i="40"/>
  <c r="AS338" i="40"/>
  <c r="AG339" i="40"/>
  <c r="AH339" i="40"/>
  <c r="AI339" i="40"/>
  <c r="AJ339" i="40"/>
  <c r="AK339" i="40"/>
  <c r="AL339" i="40"/>
  <c r="AM339" i="40"/>
  <c r="AN339" i="40"/>
  <c r="AP339" i="40" s="1"/>
  <c r="AO339" i="40"/>
  <c r="AQ339" i="40"/>
  <c r="AR339" i="40"/>
  <c r="AS339" i="40"/>
  <c r="AG340" i="40"/>
  <c r="AH340" i="40"/>
  <c r="AI340" i="40"/>
  <c r="AJ340" i="40"/>
  <c r="AK340" i="40"/>
  <c r="AL340" i="40"/>
  <c r="AM340" i="40"/>
  <c r="AN340" i="40"/>
  <c r="AO340" i="40"/>
  <c r="AP340" i="40"/>
  <c r="AQ340" i="40"/>
  <c r="AR340" i="40"/>
  <c r="AS340" i="40"/>
  <c r="AG341" i="40"/>
  <c r="AH341" i="40"/>
  <c r="AI341" i="40"/>
  <c r="AJ341" i="40"/>
  <c r="AK341" i="40"/>
  <c r="AL341" i="40"/>
  <c r="AM341" i="40"/>
  <c r="AN341" i="40"/>
  <c r="AP341" i="40" s="1"/>
  <c r="AO341" i="40"/>
  <c r="AQ341" i="40"/>
  <c r="AR341" i="40"/>
  <c r="AS341" i="40"/>
  <c r="AG342" i="40"/>
  <c r="AH342" i="40"/>
  <c r="AI342" i="40"/>
  <c r="AJ342" i="40"/>
  <c r="AK342" i="40"/>
  <c r="AL342" i="40"/>
  <c r="AM342" i="40"/>
  <c r="AN342" i="40"/>
  <c r="AO342" i="40"/>
  <c r="AP342" i="40" s="1"/>
  <c r="AQ342" i="40"/>
  <c r="AR342" i="40"/>
  <c r="AS342" i="40"/>
  <c r="AG343" i="40"/>
  <c r="AH343" i="40"/>
  <c r="AI343" i="40"/>
  <c r="AJ343" i="40"/>
  <c r="AK343" i="40"/>
  <c r="AP343" i="40" s="1"/>
  <c r="AL343" i="40"/>
  <c r="AM343" i="40"/>
  <c r="AN343" i="40"/>
  <c r="AO343" i="40"/>
  <c r="AQ343" i="40"/>
  <c r="AR343" i="40"/>
  <c r="AS343" i="40"/>
  <c r="AG344" i="40"/>
  <c r="AH344" i="40"/>
  <c r="AI344" i="40"/>
  <c r="AJ344" i="40"/>
  <c r="AK344" i="40"/>
  <c r="AP344" i="40" s="1"/>
  <c r="AL344" i="40"/>
  <c r="AM344" i="40"/>
  <c r="AN344" i="40"/>
  <c r="AO344" i="40"/>
  <c r="AQ344" i="40"/>
  <c r="AR344" i="40"/>
  <c r="AS344" i="40"/>
  <c r="AG345" i="40"/>
  <c r="AH345" i="40"/>
  <c r="AI345" i="40"/>
  <c r="AJ345" i="40"/>
  <c r="AK345" i="40"/>
  <c r="AL345" i="40"/>
  <c r="AM345" i="40"/>
  <c r="AN345" i="40"/>
  <c r="AO345" i="40"/>
  <c r="AP345" i="40" s="1"/>
  <c r="AQ345" i="40"/>
  <c r="AR345" i="40"/>
  <c r="AS345" i="40"/>
  <c r="AG346" i="40"/>
  <c r="AH346" i="40"/>
  <c r="AI346" i="40"/>
  <c r="AJ346" i="40"/>
  <c r="AK346" i="40"/>
  <c r="AL346" i="40"/>
  <c r="AM346" i="40"/>
  <c r="AN346" i="40"/>
  <c r="AP346" i="40" s="1"/>
  <c r="AO346" i="40"/>
  <c r="AQ346" i="40"/>
  <c r="AR346" i="40"/>
  <c r="AS346" i="40"/>
  <c r="AG347" i="40"/>
  <c r="AH347" i="40"/>
  <c r="AI347" i="40"/>
  <c r="AJ347" i="40"/>
  <c r="AK347" i="40"/>
  <c r="AL347" i="40"/>
  <c r="AM347" i="40"/>
  <c r="AN347" i="40"/>
  <c r="AP347" i="40" s="1"/>
  <c r="AO347" i="40"/>
  <c r="AQ347" i="40"/>
  <c r="AR347" i="40"/>
  <c r="AS347" i="40"/>
  <c r="AG348" i="40"/>
  <c r="AH348" i="40"/>
  <c r="AI348" i="40"/>
  <c r="AJ348" i="40"/>
  <c r="AK348" i="40"/>
  <c r="AP348" i="40" s="1"/>
  <c r="AL348" i="40"/>
  <c r="AM348" i="40"/>
  <c r="AN348" i="40"/>
  <c r="AO348" i="40"/>
  <c r="AQ348" i="40"/>
  <c r="AR348" i="40"/>
  <c r="AS348" i="40"/>
  <c r="AG349" i="40"/>
  <c r="AH349" i="40"/>
  <c r="AI349" i="40"/>
  <c r="AJ349" i="40"/>
  <c r="AK349" i="40"/>
  <c r="AL349" i="40"/>
  <c r="AM349" i="40"/>
  <c r="AN349" i="40"/>
  <c r="AO349" i="40"/>
  <c r="AP349" i="40" s="1"/>
  <c r="AQ349" i="40"/>
  <c r="AR349" i="40"/>
  <c r="AS349" i="40"/>
  <c r="AG350" i="40"/>
  <c r="AH350" i="40"/>
  <c r="AI350" i="40"/>
  <c r="AJ350" i="40"/>
  <c r="AK350" i="40"/>
  <c r="AL350" i="40"/>
  <c r="AM350" i="40"/>
  <c r="AN350" i="40"/>
  <c r="AP350" i="40" s="1"/>
  <c r="AO350" i="40"/>
  <c r="AQ350" i="40"/>
  <c r="AR350" i="40"/>
  <c r="AS350" i="40"/>
  <c r="AG351" i="40"/>
  <c r="AH351" i="40"/>
  <c r="AI351" i="40"/>
  <c r="AJ351" i="40"/>
  <c r="AK351" i="40"/>
  <c r="AL351" i="40"/>
  <c r="AP351" i="40" s="1"/>
  <c r="AM351" i="40"/>
  <c r="AN351" i="40"/>
  <c r="AO351" i="40"/>
  <c r="AQ351" i="40"/>
  <c r="AR351" i="40"/>
  <c r="AS351" i="40"/>
  <c r="AG352" i="40"/>
  <c r="AH352" i="40"/>
  <c r="AI352" i="40"/>
  <c r="AJ352" i="40"/>
  <c r="AK352" i="40"/>
  <c r="AL352" i="40"/>
  <c r="AM352" i="40"/>
  <c r="AN352" i="40"/>
  <c r="AP352" i="40" s="1"/>
  <c r="AO352" i="40"/>
  <c r="AQ352" i="40"/>
  <c r="AR352" i="40"/>
  <c r="AS352" i="40"/>
  <c r="AG353" i="40"/>
  <c r="AH353" i="40"/>
  <c r="AI353" i="40"/>
  <c r="AJ353" i="40"/>
  <c r="AK353" i="40"/>
  <c r="AL353" i="40"/>
  <c r="AM353" i="40"/>
  <c r="AN353" i="40"/>
  <c r="AP353" i="40" s="1"/>
  <c r="AO353" i="40"/>
  <c r="AQ353" i="40"/>
  <c r="AR353" i="40"/>
  <c r="AS353" i="40"/>
  <c r="AG354" i="40"/>
  <c r="AH354" i="40"/>
  <c r="AI354" i="40"/>
  <c r="AJ354" i="40"/>
  <c r="AK354" i="40"/>
  <c r="AL354" i="40"/>
  <c r="AM354" i="40"/>
  <c r="AN354" i="40"/>
  <c r="AP354" i="40" s="1"/>
  <c r="AO354" i="40"/>
  <c r="AQ354" i="40"/>
  <c r="AR354" i="40"/>
  <c r="AS354" i="40"/>
  <c r="AG355" i="40"/>
  <c r="AH355" i="40"/>
  <c r="AI355" i="40"/>
  <c r="AJ355" i="40"/>
  <c r="AK355" i="40"/>
  <c r="AL355" i="40"/>
  <c r="AM355" i="40"/>
  <c r="AN355" i="40"/>
  <c r="AO355" i="40"/>
  <c r="AP355" i="40"/>
  <c r="AQ355" i="40"/>
  <c r="AR355" i="40"/>
  <c r="AS355" i="40"/>
  <c r="AG356" i="40"/>
  <c r="AH356" i="40"/>
  <c r="AI356" i="40"/>
  <c r="AJ356" i="40"/>
  <c r="AK356" i="40"/>
  <c r="AP356" i="40" s="1"/>
  <c r="AL356" i="40"/>
  <c r="AM356" i="40"/>
  <c r="AN356" i="40"/>
  <c r="AO356" i="40"/>
  <c r="AQ356" i="40"/>
  <c r="AR356" i="40"/>
  <c r="AS356" i="40"/>
  <c r="AG357" i="40"/>
  <c r="AH357" i="40"/>
  <c r="AI357" i="40"/>
  <c r="AJ357" i="40"/>
  <c r="AK357" i="40"/>
  <c r="AL357" i="40"/>
  <c r="AM357" i="40"/>
  <c r="AN357" i="40"/>
  <c r="AP357" i="40" s="1"/>
  <c r="AO357" i="40"/>
  <c r="AQ357" i="40"/>
  <c r="AR357" i="40"/>
  <c r="AS357" i="40"/>
  <c r="AG358" i="40"/>
  <c r="AH358" i="40"/>
  <c r="AI358" i="40"/>
  <c r="AJ358" i="40"/>
  <c r="AK358" i="40"/>
  <c r="AL358" i="40"/>
  <c r="AM358" i="40"/>
  <c r="AN358" i="40"/>
  <c r="AP358" i="40" s="1"/>
  <c r="AO358" i="40"/>
  <c r="AQ358" i="40"/>
  <c r="AR358" i="40"/>
  <c r="AS358" i="40"/>
  <c r="AG359" i="40"/>
  <c r="AH359" i="40"/>
  <c r="AI359" i="40"/>
  <c r="AJ359" i="40"/>
  <c r="AK359" i="40"/>
  <c r="AL359" i="40"/>
  <c r="AM359" i="40"/>
  <c r="AN359" i="40"/>
  <c r="AP359" i="40" s="1"/>
  <c r="AO359" i="40"/>
  <c r="AQ359" i="40"/>
  <c r="AR359" i="40"/>
  <c r="AS359" i="40"/>
  <c r="AG360" i="40"/>
  <c r="AH360" i="40"/>
  <c r="AI360" i="40"/>
  <c r="AJ360" i="40"/>
  <c r="AK360" i="40"/>
  <c r="AL360" i="40"/>
  <c r="AM360" i="40"/>
  <c r="AN360" i="40"/>
  <c r="AP360" i="40" s="1"/>
  <c r="AO360" i="40"/>
  <c r="AQ360" i="40"/>
  <c r="AR360" i="40"/>
  <c r="AS360" i="40"/>
  <c r="AG361" i="40"/>
  <c r="AH361" i="40"/>
  <c r="AI361" i="40"/>
  <c r="AJ361" i="40"/>
  <c r="AK361" i="40"/>
  <c r="AL361" i="40"/>
  <c r="AM361" i="40"/>
  <c r="AN361" i="40"/>
  <c r="AO361" i="40"/>
  <c r="AP361" i="40" s="1"/>
  <c r="AQ361" i="40"/>
  <c r="AR361" i="40"/>
  <c r="AS361" i="40"/>
  <c r="AG362" i="40"/>
  <c r="AH362" i="40"/>
  <c r="AI362" i="40"/>
  <c r="AJ362" i="40"/>
  <c r="AK362" i="40"/>
  <c r="AL362" i="40"/>
  <c r="AM362" i="40"/>
  <c r="AN362" i="40"/>
  <c r="AP362" i="40" s="1"/>
  <c r="AO362" i="40"/>
  <c r="AQ362" i="40"/>
  <c r="AR362" i="40"/>
  <c r="AS362" i="40"/>
  <c r="AG363" i="40"/>
  <c r="AH363" i="40"/>
  <c r="AI363" i="40"/>
  <c r="AJ363" i="40"/>
  <c r="AK363" i="40"/>
  <c r="AL363" i="40"/>
  <c r="AM363" i="40"/>
  <c r="AN363" i="40"/>
  <c r="AO363" i="40"/>
  <c r="AP363" i="40"/>
  <c r="AQ363" i="40"/>
  <c r="AR363" i="40"/>
  <c r="AS363" i="40"/>
  <c r="AG364" i="40"/>
  <c r="AH364" i="40"/>
  <c r="AI364" i="40"/>
  <c r="AJ364" i="40"/>
  <c r="AK364" i="40"/>
  <c r="AL364" i="40"/>
  <c r="AM364" i="40"/>
  <c r="AN364" i="40"/>
  <c r="AO364" i="40"/>
  <c r="AP364" i="40"/>
  <c r="AQ364" i="40"/>
  <c r="AR364" i="40"/>
  <c r="AS364" i="40"/>
  <c r="AG365" i="40"/>
  <c r="AH365" i="40"/>
  <c r="AI365" i="40"/>
  <c r="AJ365" i="40"/>
  <c r="AK365" i="40"/>
  <c r="AL365" i="40"/>
  <c r="AM365" i="40"/>
  <c r="AN365" i="40"/>
  <c r="AP365" i="40" s="1"/>
  <c r="AO365" i="40"/>
  <c r="AQ365" i="40"/>
  <c r="AR365" i="40"/>
  <c r="AS365" i="40"/>
  <c r="AG366" i="40"/>
  <c r="AH366" i="40"/>
  <c r="AI366" i="40"/>
  <c r="AJ366" i="40"/>
  <c r="AK366" i="40"/>
  <c r="AL366" i="40"/>
  <c r="AM366" i="40"/>
  <c r="AN366" i="40"/>
  <c r="AP366" i="40" s="1"/>
  <c r="AO366" i="40"/>
  <c r="AQ366" i="40"/>
  <c r="AR366" i="40"/>
  <c r="AS366" i="40"/>
  <c r="AG367" i="40"/>
  <c r="AH367" i="40"/>
  <c r="AI367" i="40"/>
  <c r="AJ367" i="40"/>
  <c r="AK367" i="40"/>
  <c r="AL367" i="40"/>
  <c r="AM367" i="40"/>
  <c r="AN367" i="40"/>
  <c r="AP367" i="40" s="1"/>
  <c r="AO367" i="40"/>
  <c r="AQ367" i="40"/>
  <c r="AR367" i="40"/>
  <c r="AS367" i="40"/>
  <c r="AG368" i="40"/>
  <c r="AH368" i="40"/>
  <c r="AI368" i="40"/>
  <c r="AJ368" i="40"/>
  <c r="AK368" i="40"/>
  <c r="AL368" i="40"/>
  <c r="AM368" i="40"/>
  <c r="AN368" i="40"/>
  <c r="AP368" i="40" s="1"/>
  <c r="AO368" i="40"/>
  <c r="AQ368" i="40"/>
  <c r="AR368" i="40"/>
  <c r="AS368" i="40"/>
  <c r="AG369" i="40"/>
  <c r="AH369" i="40"/>
  <c r="AI369" i="40"/>
  <c r="AJ369" i="40"/>
  <c r="AK369" i="40"/>
  <c r="AL369" i="40"/>
  <c r="AM369" i="40"/>
  <c r="AN369" i="40"/>
  <c r="AO369" i="40"/>
  <c r="AP369" i="40"/>
  <c r="AQ369" i="40"/>
  <c r="AR369" i="40"/>
  <c r="AS369" i="40"/>
  <c r="AG370" i="40"/>
  <c r="AH370" i="40"/>
  <c r="AI370" i="40"/>
  <c r="AJ370" i="40"/>
  <c r="AK370" i="40"/>
  <c r="AL370" i="40"/>
  <c r="AM370" i="40"/>
  <c r="AN370" i="40"/>
  <c r="AO370" i="40"/>
  <c r="AP370" i="40" s="1"/>
  <c r="AQ370" i="40"/>
  <c r="AR370" i="40"/>
  <c r="AS370" i="40"/>
  <c r="AG371" i="40"/>
  <c r="AH371" i="40"/>
  <c r="AI371" i="40"/>
  <c r="AJ371" i="40"/>
  <c r="AK371" i="40"/>
  <c r="AL371" i="40"/>
  <c r="AM371" i="40"/>
  <c r="AN371" i="40"/>
  <c r="AP371" i="40" s="1"/>
  <c r="AO371" i="40"/>
  <c r="AQ371" i="40"/>
  <c r="AR371" i="40"/>
  <c r="AS371" i="40"/>
  <c r="AG372" i="40"/>
  <c r="AH372" i="40"/>
  <c r="AI372" i="40"/>
  <c r="AJ372" i="40"/>
  <c r="AK372" i="40"/>
  <c r="AL372" i="40"/>
  <c r="AM372" i="40"/>
  <c r="AN372" i="40"/>
  <c r="AO372" i="40"/>
  <c r="AP372" i="40"/>
  <c r="AQ372" i="40"/>
  <c r="AR372" i="40"/>
  <c r="AS372" i="40"/>
  <c r="AG373" i="40"/>
  <c r="AH373" i="40"/>
  <c r="AI373" i="40"/>
  <c r="AJ373" i="40"/>
  <c r="AK373" i="40"/>
  <c r="AL373" i="40"/>
  <c r="AM373" i="40"/>
  <c r="AN373" i="40"/>
  <c r="AP373" i="40" s="1"/>
  <c r="AO373" i="40"/>
  <c r="AQ373" i="40"/>
  <c r="AR373" i="40"/>
  <c r="AS373" i="40"/>
  <c r="AG374" i="40"/>
  <c r="AH374" i="40"/>
  <c r="AI374" i="40"/>
  <c r="AJ374" i="40"/>
  <c r="AK374" i="40"/>
  <c r="AL374" i="40"/>
  <c r="AM374" i="40"/>
  <c r="AN374" i="40"/>
  <c r="AO374" i="40"/>
  <c r="AP374" i="40" s="1"/>
  <c r="AQ374" i="40"/>
  <c r="AR374" i="40"/>
  <c r="AS374" i="40"/>
  <c r="AG375" i="40"/>
  <c r="AH375" i="40"/>
  <c r="AI375" i="40"/>
  <c r="AJ375" i="40"/>
  <c r="AK375" i="40"/>
  <c r="AP375" i="40" s="1"/>
  <c r="AL375" i="40"/>
  <c r="AM375" i="40"/>
  <c r="AN375" i="40"/>
  <c r="AO375" i="40"/>
  <c r="AQ375" i="40"/>
  <c r="AR375" i="40"/>
  <c r="AS375" i="40"/>
  <c r="AG376" i="40"/>
  <c r="AH376" i="40"/>
  <c r="AI376" i="40"/>
  <c r="AJ376" i="40"/>
  <c r="AK376" i="40"/>
  <c r="AP376" i="40" s="1"/>
  <c r="AL376" i="40"/>
  <c r="AM376" i="40"/>
  <c r="AN376" i="40"/>
  <c r="AO376" i="40"/>
  <c r="AQ376" i="40"/>
  <c r="AR376" i="40"/>
  <c r="AS376" i="40"/>
  <c r="AG377" i="40"/>
  <c r="AH377" i="40"/>
  <c r="AI377" i="40"/>
  <c r="AJ377" i="40"/>
  <c r="AK377" i="40"/>
  <c r="AL377" i="40"/>
  <c r="AM377" i="40"/>
  <c r="AN377" i="40"/>
  <c r="AO377" i="40"/>
  <c r="AP377" i="40" s="1"/>
  <c r="AQ377" i="40"/>
  <c r="AR377" i="40"/>
  <c r="AS377" i="40"/>
  <c r="AG378" i="40"/>
  <c r="AH378" i="40"/>
  <c r="AI378" i="40"/>
  <c r="AJ378" i="40"/>
  <c r="AK378" i="40"/>
  <c r="AL378" i="40"/>
  <c r="AM378" i="40"/>
  <c r="AN378" i="40"/>
  <c r="AP378" i="40" s="1"/>
  <c r="AO378" i="40"/>
  <c r="AQ378" i="40"/>
  <c r="AR378" i="40"/>
  <c r="AS378" i="40"/>
  <c r="AG379" i="40"/>
  <c r="AH379" i="40"/>
  <c r="AI379" i="40"/>
  <c r="AJ379" i="40"/>
  <c r="AK379" i="40"/>
  <c r="AL379" i="40"/>
  <c r="AM379" i="40"/>
  <c r="AN379" i="40"/>
  <c r="AP379" i="40" s="1"/>
  <c r="AO379" i="40"/>
  <c r="AQ379" i="40"/>
  <c r="AR379" i="40"/>
  <c r="AS379" i="40"/>
  <c r="AG380" i="40"/>
  <c r="AH380" i="40"/>
  <c r="AI380" i="40"/>
  <c r="AJ380" i="40"/>
  <c r="AK380" i="40"/>
  <c r="AP380" i="40" s="1"/>
  <c r="AL380" i="40"/>
  <c r="AM380" i="40"/>
  <c r="AN380" i="40"/>
  <c r="AO380" i="40"/>
  <c r="AQ380" i="40"/>
  <c r="AR380" i="40"/>
  <c r="AS380" i="40"/>
  <c r="AG381" i="40"/>
  <c r="AH381" i="40"/>
  <c r="AI381" i="40"/>
  <c r="AJ381" i="40"/>
  <c r="AK381" i="40"/>
  <c r="AP381" i="40" s="1"/>
  <c r="AL381" i="40"/>
  <c r="AM381" i="40"/>
  <c r="AN381" i="40"/>
  <c r="AO381" i="40"/>
  <c r="AQ381" i="40"/>
  <c r="AR381" i="40"/>
  <c r="AS381" i="40"/>
  <c r="AG382" i="40"/>
  <c r="AH382" i="40"/>
  <c r="AI382" i="40"/>
  <c r="AJ382" i="40"/>
  <c r="AK382" i="40"/>
  <c r="AL382" i="40"/>
  <c r="AM382" i="40"/>
  <c r="AN382" i="40"/>
  <c r="AP382" i="40" s="1"/>
  <c r="AO382" i="40"/>
  <c r="AQ382" i="40"/>
  <c r="AR382" i="40"/>
  <c r="AS382" i="40"/>
  <c r="AG383" i="40"/>
  <c r="AH383" i="40"/>
  <c r="AI383" i="40"/>
  <c r="AJ383" i="40"/>
  <c r="AK383" i="40"/>
  <c r="AL383" i="40"/>
  <c r="AP383" i="40" s="1"/>
  <c r="AM383" i="40"/>
  <c r="AN383" i="40"/>
  <c r="AO383" i="40"/>
  <c r="AQ383" i="40"/>
  <c r="AR383" i="40"/>
  <c r="AS383" i="40"/>
  <c r="AG384" i="40"/>
  <c r="AH384" i="40"/>
  <c r="AI384" i="40"/>
  <c r="AJ384" i="40"/>
  <c r="AK384" i="40"/>
  <c r="AL384" i="40"/>
  <c r="AM384" i="40"/>
  <c r="AN384" i="40"/>
  <c r="AP384" i="40" s="1"/>
  <c r="AO384" i="40"/>
  <c r="AQ384" i="40"/>
  <c r="AR384" i="40"/>
  <c r="AS384" i="40"/>
  <c r="AG385" i="40"/>
  <c r="AH385" i="40"/>
  <c r="AI385" i="40"/>
  <c r="AJ385" i="40"/>
  <c r="AK385" i="40"/>
  <c r="AL385" i="40"/>
  <c r="AM385" i="40"/>
  <c r="AN385" i="40"/>
  <c r="AP385" i="40" s="1"/>
  <c r="AO385" i="40"/>
  <c r="AQ385" i="40"/>
  <c r="AR385" i="40"/>
  <c r="AS385" i="40"/>
  <c r="AG386" i="40"/>
  <c r="AH386" i="40"/>
  <c r="AI386" i="40"/>
  <c r="AJ386" i="40"/>
  <c r="AK386" i="40"/>
  <c r="AL386" i="40"/>
  <c r="AM386" i="40"/>
  <c r="AN386" i="40"/>
  <c r="AO386" i="40"/>
  <c r="AP386" i="40" s="1"/>
  <c r="AQ386" i="40"/>
  <c r="AR386" i="40"/>
  <c r="AS386" i="40"/>
  <c r="AG387" i="40"/>
  <c r="AH387" i="40"/>
  <c r="AI387" i="40"/>
  <c r="AJ387" i="40"/>
  <c r="AK387" i="40"/>
  <c r="AL387" i="40"/>
  <c r="AM387" i="40"/>
  <c r="AN387" i="40"/>
  <c r="AO387" i="40"/>
  <c r="AP387" i="40"/>
  <c r="AQ387" i="40"/>
  <c r="AR387" i="40"/>
  <c r="AS387" i="40"/>
  <c r="AG388" i="40"/>
  <c r="AH388" i="40"/>
  <c r="AI388" i="40"/>
  <c r="AJ388" i="40"/>
  <c r="AK388" i="40"/>
  <c r="AL388" i="40"/>
  <c r="AM388" i="40"/>
  <c r="AN388" i="40"/>
  <c r="AO388" i="40"/>
  <c r="AP388" i="40" s="1"/>
  <c r="AQ388" i="40"/>
  <c r="AR388" i="40"/>
  <c r="AS388" i="40"/>
  <c r="AG389" i="40"/>
  <c r="AH389" i="40"/>
  <c r="AI389" i="40"/>
  <c r="AJ389" i="40"/>
  <c r="AK389" i="40"/>
  <c r="AL389" i="40"/>
  <c r="AM389" i="40"/>
  <c r="AN389" i="40"/>
  <c r="AP389" i="40" s="1"/>
  <c r="AO389" i="40"/>
  <c r="AQ389" i="40"/>
  <c r="AR389" i="40"/>
  <c r="AS389" i="40"/>
  <c r="AG390" i="40"/>
  <c r="AH390" i="40"/>
  <c r="AI390" i="40"/>
  <c r="AJ390" i="40"/>
  <c r="AK390" i="40"/>
  <c r="AL390" i="40"/>
  <c r="AM390" i="40"/>
  <c r="AN390" i="40"/>
  <c r="AP390" i="40" s="1"/>
  <c r="AO390" i="40"/>
  <c r="AQ390" i="40"/>
  <c r="AR390" i="40"/>
  <c r="AS390" i="40"/>
  <c r="AG391" i="40"/>
  <c r="AH391" i="40"/>
  <c r="AI391" i="40"/>
  <c r="AJ391" i="40"/>
  <c r="AK391" i="40"/>
  <c r="AL391" i="40"/>
  <c r="AM391" i="40"/>
  <c r="AN391" i="40"/>
  <c r="AP391" i="40" s="1"/>
  <c r="AO391" i="40"/>
  <c r="AQ391" i="40"/>
  <c r="AR391" i="40"/>
  <c r="AS391" i="40"/>
  <c r="AG392" i="40"/>
  <c r="AH392" i="40"/>
  <c r="AI392" i="40"/>
  <c r="AJ392" i="40"/>
  <c r="AK392" i="40"/>
  <c r="AL392" i="40"/>
  <c r="AM392" i="40"/>
  <c r="AN392" i="40"/>
  <c r="AP392" i="40" s="1"/>
  <c r="AO392" i="40"/>
  <c r="AQ392" i="40"/>
  <c r="AR392" i="40"/>
  <c r="AS392" i="40"/>
  <c r="AG393" i="40"/>
  <c r="AH393" i="40"/>
  <c r="AI393" i="40"/>
  <c r="AJ393" i="40"/>
  <c r="AK393" i="40"/>
  <c r="AL393" i="40"/>
  <c r="AM393" i="40"/>
  <c r="AN393" i="40"/>
  <c r="AO393" i="40"/>
  <c r="AP393" i="40"/>
  <c r="AQ393" i="40"/>
  <c r="AR393" i="40"/>
  <c r="AS393" i="40"/>
  <c r="AG394" i="40"/>
  <c r="AH394" i="40"/>
  <c r="AI394" i="40"/>
  <c r="AJ394" i="40"/>
  <c r="AK394" i="40"/>
  <c r="AL394" i="40"/>
  <c r="AM394" i="40"/>
  <c r="AN394" i="40"/>
  <c r="AP394" i="40" s="1"/>
  <c r="AO394" i="40"/>
  <c r="AQ394" i="40"/>
  <c r="AR394" i="40"/>
  <c r="AS394" i="40"/>
  <c r="AG395" i="40"/>
  <c r="AH395" i="40"/>
  <c r="AI395" i="40"/>
  <c r="AJ395" i="40"/>
  <c r="AK395" i="40"/>
  <c r="AL395" i="40"/>
  <c r="AM395" i="40"/>
  <c r="AN395" i="40"/>
  <c r="AO395" i="40"/>
  <c r="AP395" i="40"/>
  <c r="AQ395" i="40"/>
  <c r="AR395" i="40"/>
  <c r="AS395" i="40"/>
  <c r="AG396" i="40"/>
  <c r="AH396" i="40"/>
  <c r="AI396" i="40"/>
  <c r="AJ396" i="40"/>
  <c r="AK396" i="40"/>
  <c r="AL396" i="40"/>
  <c r="AM396" i="40"/>
  <c r="AN396" i="40"/>
  <c r="AO396" i="40"/>
  <c r="AP396" i="40"/>
  <c r="AQ396" i="40"/>
  <c r="AR396" i="40"/>
  <c r="AS396" i="40"/>
  <c r="AG397" i="40"/>
  <c r="AH397" i="40"/>
  <c r="AI397" i="40"/>
  <c r="AJ397" i="40"/>
  <c r="AK397" i="40"/>
  <c r="AL397" i="40"/>
  <c r="AM397" i="40"/>
  <c r="AN397" i="40"/>
  <c r="AP397" i="40" s="1"/>
  <c r="AO397" i="40"/>
  <c r="AQ397" i="40"/>
  <c r="AR397" i="40"/>
  <c r="AS397" i="40"/>
  <c r="AG398" i="40"/>
  <c r="AH398" i="40"/>
  <c r="AI398" i="40"/>
  <c r="AJ398" i="40"/>
  <c r="AK398" i="40"/>
  <c r="AL398" i="40"/>
  <c r="AM398" i="40"/>
  <c r="AN398" i="40"/>
  <c r="AP398" i="40" s="1"/>
  <c r="AO398" i="40"/>
  <c r="AQ398" i="40"/>
  <c r="AR398" i="40"/>
  <c r="AS398" i="40"/>
  <c r="AG399" i="40"/>
  <c r="AH399" i="40"/>
  <c r="AI399" i="40"/>
  <c r="AJ399" i="40"/>
  <c r="AK399" i="40"/>
  <c r="AL399" i="40"/>
  <c r="AM399" i="40"/>
  <c r="AN399" i="40"/>
  <c r="AP399" i="40" s="1"/>
  <c r="AO399" i="40"/>
  <c r="AQ399" i="40"/>
  <c r="AR399" i="40"/>
  <c r="AS399" i="40"/>
  <c r="AG400" i="40"/>
  <c r="AH400" i="40"/>
  <c r="AI400" i="40"/>
  <c r="AJ400" i="40"/>
  <c r="AK400" i="40"/>
  <c r="AL400" i="40"/>
  <c r="AM400" i="40"/>
  <c r="AN400" i="40"/>
  <c r="AP400" i="40" s="1"/>
  <c r="AO400" i="40"/>
  <c r="AQ400" i="40"/>
  <c r="AR400" i="40"/>
  <c r="AS400" i="40"/>
  <c r="AG401" i="40"/>
  <c r="AH401" i="40"/>
  <c r="AI401" i="40"/>
  <c r="AJ401" i="40"/>
  <c r="AK401" i="40"/>
  <c r="AL401" i="40"/>
  <c r="AM401" i="40"/>
  <c r="AN401" i="40"/>
  <c r="AO401" i="40"/>
  <c r="AP401" i="40"/>
  <c r="AQ401" i="40"/>
  <c r="AR401" i="40"/>
  <c r="AS401" i="40"/>
  <c r="AG402" i="40"/>
  <c r="AH402" i="40"/>
  <c r="AI402" i="40"/>
  <c r="AJ402" i="40"/>
  <c r="AK402" i="40"/>
  <c r="AL402" i="40"/>
  <c r="AM402" i="40"/>
  <c r="AN402" i="40"/>
  <c r="AO402" i="40"/>
  <c r="AP402" i="40" s="1"/>
  <c r="AQ402" i="40"/>
  <c r="AR402" i="40"/>
  <c r="AS402" i="40"/>
  <c r="AG403" i="40"/>
  <c r="AH403" i="40"/>
  <c r="AI403" i="40"/>
  <c r="AJ403" i="40"/>
  <c r="AK403" i="40"/>
  <c r="AL403" i="40"/>
  <c r="AM403" i="40"/>
  <c r="AN403" i="40"/>
  <c r="AP403" i="40" s="1"/>
  <c r="AO403" i="40"/>
  <c r="AQ403" i="40"/>
  <c r="AR403" i="40"/>
  <c r="AS403" i="40"/>
  <c r="AG404" i="40"/>
  <c r="AH404" i="40"/>
  <c r="AI404" i="40"/>
  <c r="AJ404" i="40"/>
  <c r="AK404" i="40"/>
  <c r="AL404" i="40"/>
  <c r="AM404" i="40"/>
  <c r="AN404" i="40"/>
  <c r="AO404" i="40"/>
  <c r="AP404" i="40"/>
  <c r="AQ404" i="40"/>
  <c r="AR404" i="40"/>
  <c r="AS404" i="40"/>
  <c r="AG405" i="40"/>
  <c r="AH405" i="40"/>
  <c r="AI405" i="40"/>
  <c r="AJ405" i="40"/>
  <c r="AK405" i="40"/>
  <c r="AL405" i="40"/>
  <c r="AM405" i="40"/>
  <c r="AN405" i="40"/>
  <c r="AP405" i="40" s="1"/>
  <c r="AO405" i="40"/>
  <c r="AQ405" i="40"/>
  <c r="AR405" i="40"/>
  <c r="AS405" i="40"/>
  <c r="AG406" i="40"/>
  <c r="AH406" i="40"/>
  <c r="AI406" i="40"/>
  <c r="AJ406" i="40"/>
  <c r="AK406" i="40"/>
  <c r="AL406" i="40"/>
  <c r="AM406" i="40"/>
  <c r="AN406" i="40"/>
  <c r="AO406" i="40"/>
  <c r="AP406" i="40" s="1"/>
  <c r="AQ406" i="40"/>
  <c r="AR406" i="40"/>
  <c r="AS406" i="40"/>
  <c r="AG407" i="40"/>
  <c r="AH407" i="40"/>
  <c r="AI407" i="40"/>
  <c r="AJ407" i="40"/>
  <c r="AK407" i="40"/>
  <c r="AP407" i="40" s="1"/>
  <c r="AL407" i="40"/>
  <c r="AM407" i="40"/>
  <c r="AN407" i="40"/>
  <c r="AO407" i="40"/>
  <c r="AQ407" i="40"/>
  <c r="AR407" i="40"/>
  <c r="AS407" i="40"/>
  <c r="AG408" i="40"/>
  <c r="AH408" i="40"/>
  <c r="AI408" i="40"/>
  <c r="AJ408" i="40"/>
  <c r="AK408" i="40"/>
  <c r="AP408" i="40" s="1"/>
  <c r="AL408" i="40"/>
  <c r="AM408" i="40"/>
  <c r="AN408" i="40"/>
  <c r="AO408" i="40"/>
  <c r="AQ408" i="40"/>
  <c r="AR408" i="40"/>
  <c r="AS408" i="40"/>
  <c r="AG409" i="40"/>
  <c r="AH409" i="40"/>
  <c r="AI409" i="40"/>
  <c r="AJ409" i="40"/>
  <c r="AK409" i="40"/>
  <c r="AL409" i="40"/>
  <c r="AM409" i="40"/>
  <c r="AN409" i="40"/>
  <c r="AO409" i="40"/>
  <c r="AP409" i="40" s="1"/>
  <c r="AQ409" i="40"/>
  <c r="AR409" i="40"/>
  <c r="AS409" i="40"/>
  <c r="AG410" i="40"/>
  <c r="AH410" i="40"/>
  <c r="AI410" i="40"/>
  <c r="AJ410" i="40"/>
  <c r="AK410" i="40"/>
  <c r="AL410" i="40"/>
  <c r="AM410" i="40"/>
  <c r="AN410" i="40"/>
  <c r="AP410" i="40" s="1"/>
  <c r="AO410" i="40"/>
  <c r="AQ410" i="40"/>
  <c r="AR410" i="40"/>
  <c r="AS410" i="40"/>
  <c r="AG411" i="40"/>
  <c r="AH411" i="40"/>
  <c r="AI411" i="40"/>
  <c r="AJ411" i="40"/>
  <c r="AK411" i="40"/>
  <c r="AL411" i="40"/>
  <c r="AM411" i="40"/>
  <c r="AN411" i="40"/>
  <c r="AP411" i="40" s="1"/>
  <c r="AO411" i="40"/>
  <c r="AQ411" i="40"/>
  <c r="AR411" i="40"/>
  <c r="AS411" i="40"/>
  <c r="AG412" i="40"/>
  <c r="AH412" i="40"/>
  <c r="AI412" i="40"/>
  <c r="AJ412" i="40"/>
  <c r="AK412" i="40"/>
  <c r="AP412" i="40" s="1"/>
  <c r="AL412" i="40"/>
  <c r="AM412" i="40"/>
  <c r="AN412" i="40"/>
  <c r="AO412" i="40"/>
  <c r="AQ412" i="40"/>
  <c r="AR412" i="40"/>
  <c r="AS412" i="40"/>
  <c r="AG413" i="40"/>
  <c r="AH413" i="40"/>
  <c r="AI413" i="40"/>
  <c r="AJ413" i="40"/>
  <c r="AK413" i="40"/>
  <c r="AP413" i="40" s="1"/>
  <c r="AL413" i="40"/>
  <c r="AM413" i="40"/>
  <c r="AN413" i="40"/>
  <c r="AO413" i="40"/>
  <c r="AQ413" i="40"/>
  <c r="AR413" i="40"/>
  <c r="AS413" i="40"/>
  <c r="AG414" i="40"/>
  <c r="AH414" i="40"/>
  <c r="AI414" i="40"/>
  <c r="AJ414" i="40"/>
  <c r="AK414" i="40"/>
  <c r="AL414" i="40"/>
  <c r="AM414" i="40"/>
  <c r="AN414" i="40"/>
  <c r="AP414" i="40" s="1"/>
  <c r="AO414" i="40"/>
  <c r="AQ414" i="40"/>
  <c r="AR414" i="40"/>
  <c r="AS414" i="40"/>
  <c r="AG415" i="40"/>
  <c r="AH415" i="40"/>
  <c r="AI415" i="40"/>
  <c r="AJ415" i="40"/>
  <c r="AK415" i="40"/>
  <c r="AL415" i="40"/>
  <c r="AP415" i="40" s="1"/>
  <c r="AM415" i="40"/>
  <c r="AN415" i="40"/>
  <c r="AO415" i="40"/>
  <c r="AQ415" i="40"/>
  <c r="AR415" i="40"/>
  <c r="AS415" i="40"/>
  <c r="AG416" i="40"/>
  <c r="AH416" i="40"/>
  <c r="AI416" i="40"/>
  <c r="AJ416" i="40"/>
  <c r="AK416" i="40"/>
  <c r="AL416" i="40"/>
  <c r="AM416" i="40"/>
  <c r="AN416" i="40"/>
  <c r="AP416" i="40" s="1"/>
  <c r="AO416" i="40"/>
  <c r="AQ416" i="40"/>
  <c r="AR416" i="40"/>
  <c r="AS416" i="40"/>
  <c r="AG417" i="40"/>
  <c r="AH417" i="40"/>
  <c r="AI417" i="40"/>
  <c r="AJ417" i="40"/>
  <c r="AK417" i="40"/>
  <c r="AL417" i="40"/>
  <c r="AM417" i="40"/>
  <c r="AN417" i="40"/>
  <c r="AP417" i="40" s="1"/>
  <c r="AO417" i="40"/>
  <c r="AQ417" i="40"/>
  <c r="AR417" i="40"/>
  <c r="AS417" i="40"/>
  <c r="AG418" i="40"/>
  <c r="AH418" i="40"/>
  <c r="AI418" i="40"/>
  <c r="AJ418" i="40"/>
  <c r="AK418" i="40"/>
  <c r="AL418" i="40"/>
  <c r="AM418" i="40"/>
  <c r="AN418" i="40"/>
  <c r="AO418" i="40"/>
  <c r="AP418" i="40" s="1"/>
  <c r="AQ418" i="40"/>
  <c r="AR418" i="40"/>
  <c r="AS418" i="40"/>
  <c r="AG419" i="40"/>
  <c r="AH419" i="40"/>
  <c r="AI419" i="40"/>
  <c r="AJ419" i="40"/>
  <c r="AK419" i="40"/>
  <c r="AL419" i="40"/>
  <c r="AM419" i="40"/>
  <c r="AN419" i="40"/>
  <c r="AO419" i="40"/>
  <c r="AP419" i="40"/>
  <c r="AQ419" i="40"/>
  <c r="AR419" i="40"/>
  <c r="AS419" i="40"/>
  <c r="AG420" i="40"/>
  <c r="AH420" i="40"/>
  <c r="AI420" i="40"/>
  <c r="AJ420" i="40"/>
  <c r="AK420" i="40"/>
  <c r="AL420" i="40"/>
  <c r="AM420" i="40"/>
  <c r="AN420" i="40"/>
  <c r="AO420" i="40"/>
  <c r="AP420" i="40" s="1"/>
  <c r="AQ420" i="40"/>
  <c r="AR420" i="40"/>
  <c r="AS420" i="40"/>
  <c r="AG421" i="40"/>
  <c r="AH421" i="40"/>
  <c r="AI421" i="40"/>
  <c r="AJ421" i="40"/>
  <c r="AK421" i="40"/>
  <c r="AL421" i="40"/>
  <c r="AM421" i="40"/>
  <c r="AN421" i="40"/>
  <c r="AP421" i="40" s="1"/>
  <c r="AO421" i="40"/>
  <c r="AQ421" i="40"/>
  <c r="AR421" i="40"/>
  <c r="AS421" i="40"/>
  <c r="AG422" i="40"/>
  <c r="AH422" i="40"/>
  <c r="AI422" i="40"/>
  <c r="AJ422" i="40"/>
  <c r="AK422" i="40"/>
  <c r="AL422" i="40"/>
  <c r="AM422" i="40"/>
  <c r="AN422" i="40"/>
  <c r="AP422" i="40" s="1"/>
  <c r="AO422" i="40"/>
  <c r="AQ422" i="40"/>
  <c r="AR422" i="40"/>
  <c r="AS422" i="40"/>
  <c r="AG423" i="40"/>
  <c r="AH423" i="40"/>
  <c r="AI423" i="40"/>
  <c r="AJ423" i="40"/>
  <c r="AK423" i="40"/>
  <c r="AL423" i="40"/>
  <c r="AM423" i="40"/>
  <c r="AN423" i="40"/>
  <c r="AP423" i="40" s="1"/>
  <c r="AO423" i="40"/>
  <c r="AQ423" i="40"/>
  <c r="AR423" i="40"/>
  <c r="AS423" i="40"/>
  <c r="AG424" i="40"/>
  <c r="AH424" i="40"/>
  <c r="AI424" i="40"/>
  <c r="AJ424" i="40"/>
  <c r="AK424" i="40"/>
  <c r="AL424" i="40"/>
  <c r="AM424" i="40"/>
  <c r="AN424" i="40"/>
  <c r="AP424" i="40" s="1"/>
  <c r="AO424" i="40"/>
  <c r="AQ424" i="40"/>
  <c r="AR424" i="40"/>
  <c r="AS424" i="40"/>
  <c r="AG425" i="40"/>
  <c r="AH425" i="40"/>
  <c r="AI425" i="40"/>
  <c r="AJ425" i="40"/>
  <c r="AK425" i="40"/>
  <c r="AL425" i="40"/>
  <c r="AM425" i="40"/>
  <c r="AN425" i="40"/>
  <c r="AO425" i="40"/>
  <c r="AP425" i="40"/>
  <c r="AQ425" i="40"/>
  <c r="AR425" i="40"/>
  <c r="AS425" i="40"/>
  <c r="AG426" i="40"/>
  <c r="AH426" i="40"/>
  <c r="AI426" i="40"/>
  <c r="AJ426" i="40"/>
  <c r="AK426" i="40"/>
  <c r="AL426" i="40"/>
  <c r="AM426" i="40"/>
  <c r="AN426" i="40"/>
  <c r="AP426" i="40" s="1"/>
  <c r="AO426" i="40"/>
  <c r="AQ426" i="40"/>
  <c r="AR426" i="40"/>
  <c r="AS426" i="40"/>
  <c r="AG427" i="40"/>
  <c r="AH427" i="40"/>
  <c r="AI427" i="40"/>
  <c r="AJ427" i="40"/>
  <c r="AK427" i="40"/>
  <c r="AL427" i="40"/>
  <c r="AM427" i="40"/>
  <c r="AN427" i="40"/>
  <c r="AO427" i="40"/>
  <c r="AP427" i="40"/>
  <c r="AQ427" i="40"/>
  <c r="AR427" i="40"/>
  <c r="AS427" i="40"/>
  <c r="AG428" i="40"/>
  <c r="AH428" i="40"/>
  <c r="AI428" i="40"/>
  <c r="AJ428" i="40"/>
  <c r="AK428" i="40"/>
  <c r="AL428" i="40"/>
  <c r="AM428" i="40"/>
  <c r="AN428" i="40"/>
  <c r="AO428" i="40"/>
  <c r="AP428" i="40"/>
  <c r="AQ428" i="40"/>
  <c r="AR428" i="40"/>
  <c r="AS428" i="40"/>
  <c r="AG429" i="40"/>
  <c r="AH429" i="40"/>
  <c r="AI429" i="40"/>
  <c r="AJ429" i="40"/>
  <c r="AK429" i="40"/>
  <c r="AL429" i="40"/>
  <c r="AM429" i="40"/>
  <c r="AN429" i="40"/>
  <c r="AP429" i="40" s="1"/>
  <c r="AO429" i="40"/>
  <c r="AQ429" i="40"/>
  <c r="AR429" i="40"/>
  <c r="AS429" i="40"/>
  <c r="AG430" i="40"/>
  <c r="AH430" i="40"/>
  <c r="AI430" i="40"/>
  <c r="AJ430" i="40"/>
  <c r="AK430" i="40"/>
  <c r="AL430" i="40"/>
  <c r="AM430" i="40"/>
  <c r="AN430" i="40"/>
  <c r="AP430" i="40" s="1"/>
  <c r="AO430" i="40"/>
  <c r="AQ430" i="40"/>
  <c r="AR430" i="40"/>
  <c r="AS430" i="40"/>
  <c r="AG431" i="40"/>
  <c r="AH431" i="40"/>
  <c r="AI431" i="40"/>
  <c r="AJ431" i="40"/>
  <c r="AK431" i="40"/>
  <c r="AL431" i="40"/>
  <c r="AM431" i="40"/>
  <c r="AN431" i="40"/>
  <c r="AP431" i="40" s="1"/>
  <c r="AO431" i="40"/>
  <c r="AQ431" i="40"/>
  <c r="AR431" i="40"/>
  <c r="AS431" i="40"/>
  <c r="AG432" i="40"/>
  <c r="AH432" i="40"/>
  <c r="AI432" i="40"/>
  <c r="AJ432" i="40"/>
  <c r="AK432" i="40"/>
  <c r="AL432" i="40"/>
  <c r="AM432" i="40"/>
  <c r="AN432" i="40"/>
  <c r="AP432" i="40" s="1"/>
  <c r="AO432" i="40"/>
  <c r="AQ432" i="40"/>
  <c r="AR432" i="40"/>
  <c r="AS432" i="40"/>
  <c r="AG433" i="40"/>
  <c r="AH433" i="40"/>
  <c r="AI433" i="40"/>
  <c r="AJ433" i="40"/>
  <c r="AK433" i="40"/>
  <c r="AL433" i="40"/>
  <c r="AM433" i="40"/>
  <c r="AN433" i="40"/>
  <c r="AO433" i="40"/>
  <c r="AP433" i="40"/>
  <c r="AQ433" i="40"/>
  <c r="AR433" i="40"/>
  <c r="AS433" i="40"/>
  <c r="AG434" i="40"/>
  <c r="AH434" i="40"/>
  <c r="AI434" i="40"/>
  <c r="AJ434" i="40"/>
  <c r="AK434" i="40"/>
  <c r="AL434" i="40"/>
  <c r="AM434" i="40"/>
  <c r="AN434" i="40"/>
  <c r="AO434" i="40"/>
  <c r="AP434" i="40" s="1"/>
  <c r="AQ434" i="40"/>
  <c r="AR434" i="40"/>
  <c r="AS434" i="40"/>
  <c r="AG435" i="40"/>
  <c r="AH435" i="40"/>
  <c r="AI435" i="40"/>
  <c r="AJ435" i="40"/>
  <c r="AK435" i="40"/>
  <c r="AL435" i="40"/>
  <c r="AM435" i="40"/>
  <c r="AN435" i="40"/>
  <c r="AP435" i="40" s="1"/>
  <c r="AO435" i="40"/>
  <c r="AQ435" i="40"/>
  <c r="AR435" i="40"/>
  <c r="AS435" i="40"/>
  <c r="AG436" i="40"/>
  <c r="AH436" i="40"/>
  <c r="AI436" i="40"/>
  <c r="AJ436" i="40"/>
  <c r="AK436" i="40"/>
  <c r="AL436" i="40"/>
  <c r="AM436" i="40"/>
  <c r="AN436" i="40"/>
  <c r="AO436" i="40"/>
  <c r="AP436" i="40"/>
  <c r="AQ436" i="40"/>
  <c r="AR436" i="40"/>
  <c r="AS436" i="40"/>
  <c r="AG437" i="40"/>
  <c r="AH437" i="40"/>
  <c r="AI437" i="40"/>
  <c r="AJ437" i="40"/>
  <c r="AK437" i="40"/>
  <c r="AL437" i="40"/>
  <c r="AM437" i="40"/>
  <c r="AN437" i="40"/>
  <c r="AP437" i="40" s="1"/>
  <c r="AO437" i="40"/>
  <c r="AQ437" i="40"/>
  <c r="AR437" i="40"/>
  <c r="AS437" i="40"/>
  <c r="AG438" i="40"/>
  <c r="AH438" i="40"/>
  <c r="AI438" i="40"/>
  <c r="AJ438" i="40"/>
  <c r="AK438" i="40"/>
  <c r="AL438" i="40"/>
  <c r="AM438" i="40"/>
  <c r="AN438" i="40"/>
  <c r="AO438" i="40"/>
  <c r="AP438" i="40" s="1"/>
  <c r="AQ438" i="40"/>
  <c r="AR438" i="40"/>
  <c r="AS438" i="40"/>
  <c r="AG439" i="40"/>
  <c r="AH439" i="40"/>
  <c r="AI439" i="40"/>
  <c r="AJ439" i="40"/>
  <c r="AK439" i="40"/>
  <c r="AP439" i="40" s="1"/>
  <c r="AL439" i="40"/>
  <c r="AM439" i="40"/>
  <c r="AN439" i="40"/>
  <c r="AO439" i="40"/>
  <c r="AQ439" i="40"/>
  <c r="AR439" i="40"/>
  <c r="AS439" i="40"/>
  <c r="AG440" i="40"/>
  <c r="AH440" i="40"/>
  <c r="AI440" i="40"/>
  <c r="AJ440" i="40"/>
  <c r="AK440" i="40"/>
  <c r="AP440" i="40" s="1"/>
  <c r="AL440" i="40"/>
  <c r="AM440" i="40"/>
  <c r="AN440" i="40"/>
  <c r="AO440" i="40"/>
  <c r="AQ440" i="40"/>
  <c r="AR440" i="40"/>
  <c r="AS440" i="40"/>
  <c r="AG441" i="40"/>
  <c r="AH441" i="40"/>
  <c r="AI441" i="40"/>
  <c r="AJ441" i="40"/>
  <c r="AK441" i="40"/>
  <c r="AL441" i="40"/>
  <c r="AM441" i="40"/>
  <c r="AN441" i="40"/>
  <c r="AO441" i="40"/>
  <c r="AP441" i="40" s="1"/>
  <c r="AQ441" i="40"/>
  <c r="AR441" i="40"/>
  <c r="AS441" i="40"/>
  <c r="AG442" i="40"/>
  <c r="AH442" i="40"/>
  <c r="AI442" i="40"/>
  <c r="AJ442" i="40"/>
  <c r="AK442" i="40"/>
  <c r="AL442" i="40"/>
  <c r="AM442" i="40"/>
  <c r="AN442" i="40"/>
  <c r="AP442" i="40" s="1"/>
  <c r="AO442" i="40"/>
  <c r="AQ442" i="40"/>
  <c r="AR442" i="40"/>
  <c r="AS442" i="40"/>
  <c r="AG443" i="40"/>
  <c r="AH443" i="40"/>
  <c r="AI443" i="40"/>
  <c r="AJ443" i="40"/>
  <c r="AK443" i="40"/>
  <c r="AL443" i="40"/>
  <c r="AM443" i="40"/>
  <c r="AN443" i="40"/>
  <c r="AP443" i="40" s="1"/>
  <c r="AO443" i="40"/>
  <c r="AQ443" i="40"/>
  <c r="AR443" i="40"/>
  <c r="AS443" i="40"/>
  <c r="AG444" i="40"/>
  <c r="AH444" i="40"/>
  <c r="AI444" i="40"/>
  <c r="AJ444" i="40"/>
  <c r="AK444" i="40"/>
  <c r="AP444" i="40" s="1"/>
  <c r="AL444" i="40"/>
  <c r="AM444" i="40"/>
  <c r="AN444" i="40"/>
  <c r="AO444" i="40"/>
  <c r="AQ444" i="40"/>
  <c r="AR444" i="40"/>
  <c r="AS444" i="40"/>
  <c r="AG445" i="40"/>
  <c r="AH445" i="40"/>
  <c r="AI445" i="40"/>
  <c r="AJ445" i="40"/>
  <c r="AK445" i="40"/>
  <c r="AP445" i="40" s="1"/>
  <c r="AL445" i="40"/>
  <c r="AM445" i="40"/>
  <c r="AN445" i="40"/>
  <c r="AO445" i="40"/>
  <c r="AQ445" i="40"/>
  <c r="AR445" i="40"/>
  <c r="AS445" i="40"/>
  <c r="AG446" i="40"/>
  <c r="AH446" i="40"/>
  <c r="AI446" i="40"/>
  <c r="AJ446" i="40"/>
  <c r="AK446" i="40"/>
  <c r="AL446" i="40"/>
  <c r="AM446" i="40"/>
  <c r="AN446" i="40"/>
  <c r="AP446" i="40" s="1"/>
  <c r="AO446" i="40"/>
  <c r="AQ446" i="40"/>
  <c r="AR446" i="40"/>
  <c r="AS446" i="40"/>
  <c r="AG447" i="40"/>
  <c r="AH447" i="40"/>
  <c r="AI447" i="40"/>
  <c r="AJ447" i="40"/>
  <c r="AK447" i="40"/>
  <c r="AL447" i="40"/>
  <c r="AP447" i="40" s="1"/>
  <c r="AM447" i="40"/>
  <c r="AN447" i="40"/>
  <c r="AO447" i="40"/>
  <c r="AQ447" i="40"/>
  <c r="AR447" i="40"/>
  <c r="AS447" i="40"/>
  <c r="AG448" i="40"/>
  <c r="AH448" i="40"/>
  <c r="AI448" i="40"/>
  <c r="AJ448" i="40"/>
  <c r="AK448" i="40"/>
  <c r="AL448" i="40"/>
  <c r="AM448" i="40"/>
  <c r="AN448" i="40"/>
  <c r="AP448" i="40" s="1"/>
  <c r="AO448" i="40"/>
  <c r="AQ448" i="40"/>
  <c r="AR448" i="40"/>
  <c r="AS448" i="40"/>
  <c r="AG449" i="40"/>
  <c r="AH449" i="40"/>
  <c r="AI449" i="40"/>
  <c r="AJ449" i="40"/>
  <c r="AK449" i="40"/>
  <c r="AL449" i="40"/>
  <c r="AM449" i="40"/>
  <c r="AN449" i="40"/>
  <c r="AP449" i="40" s="1"/>
  <c r="AO449" i="40"/>
  <c r="AQ449" i="40"/>
  <c r="AR449" i="40"/>
  <c r="AS449" i="40"/>
  <c r="AG450" i="40"/>
  <c r="AH450" i="40"/>
  <c r="AI450" i="40"/>
  <c r="AJ450" i="40"/>
  <c r="AK450" i="40"/>
  <c r="AL450" i="40"/>
  <c r="AM450" i="40"/>
  <c r="AN450" i="40"/>
  <c r="AO450" i="40"/>
  <c r="AP450" i="40" s="1"/>
  <c r="AQ450" i="40"/>
  <c r="AR450" i="40"/>
  <c r="AS450" i="40"/>
  <c r="AG451" i="40"/>
  <c r="AH451" i="40"/>
  <c r="AI451" i="40"/>
  <c r="AJ451" i="40"/>
  <c r="AK451" i="40"/>
  <c r="AL451" i="40"/>
  <c r="AM451" i="40"/>
  <c r="AN451" i="40"/>
  <c r="AO451" i="40"/>
  <c r="AP451" i="40"/>
  <c r="AQ451" i="40"/>
  <c r="AR451" i="40"/>
  <c r="AS451" i="40"/>
  <c r="AG452" i="40"/>
  <c r="AH452" i="40"/>
  <c r="AI452" i="40"/>
  <c r="AJ452" i="40"/>
  <c r="AK452" i="40"/>
  <c r="AL452" i="40"/>
  <c r="AM452" i="40"/>
  <c r="AN452" i="40"/>
  <c r="AO452" i="40"/>
  <c r="AP452" i="40" s="1"/>
  <c r="AQ452" i="40"/>
  <c r="AR452" i="40"/>
  <c r="AS452" i="40"/>
  <c r="AG453" i="40"/>
  <c r="AH453" i="40"/>
  <c r="AI453" i="40"/>
  <c r="AJ453" i="40"/>
  <c r="AK453" i="40"/>
  <c r="AL453" i="40"/>
  <c r="AM453" i="40"/>
  <c r="AN453" i="40"/>
  <c r="AP453" i="40" s="1"/>
  <c r="AO453" i="40"/>
  <c r="AQ453" i="40"/>
  <c r="AR453" i="40"/>
  <c r="AS453" i="40"/>
  <c r="AG454" i="40"/>
  <c r="AH454" i="40"/>
  <c r="AI454" i="40"/>
  <c r="AJ454" i="40"/>
  <c r="AK454" i="40"/>
  <c r="AL454" i="40"/>
  <c r="AM454" i="40"/>
  <c r="AN454" i="40"/>
  <c r="AP454" i="40" s="1"/>
  <c r="AO454" i="40"/>
  <c r="AQ454" i="40"/>
  <c r="AR454" i="40"/>
  <c r="AS454" i="40"/>
  <c r="AG455" i="40"/>
  <c r="AH455" i="40"/>
  <c r="AI455" i="40"/>
  <c r="AJ455" i="40"/>
  <c r="AK455" i="40"/>
  <c r="AL455" i="40"/>
  <c r="AM455" i="40"/>
  <c r="AN455" i="40"/>
  <c r="AP455" i="40" s="1"/>
  <c r="AO455" i="40"/>
  <c r="AQ455" i="40"/>
  <c r="AR455" i="40"/>
  <c r="AS455" i="40"/>
  <c r="AG456" i="40"/>
  <c r="AH456" i="40"/>
  <c r="AI456" i="40"/>
  <c r="AJ456" i="40"/>
  <c r="AK456" i="40"/>
  <c r="AL456" i="40"/>
  <c r="AM456" i="40"/>
  <c r="AN456" i="40"/>
  <c r="AP456" i="40" s="1"/>
  <c r="AO456" i="40"/>
  <c r="AQ456" i="40"/>
  <c r="AR456" i="40"/>
  <c r="AS456" i="40"/>
  <c r="AG457" i="40"/>
  <c r="AH457" i="40"/>
  <c r="AI457" i="40"/>
  <c r="AJ457" i="40"/>
  <c r="AK457" i="40"/>
  <c r="AL457" i="40"/>
  <c r="AM457" i="40"/>
  <c r="AN457" i="40"/>
  <c r="AO457" i="40"/>
  <c r="AP457" i="40"/>
  <c r="AQ457" i="40"/>
  <c r="AR457" i="40"/>
  <c r="AS457" i="40"/>
  <c r="AG458" i="40"/>
  <c r="AH458" i="40"/>
  <c r="AI458" i="40"/>
  <c r="AJ458" i="40"/>
  <c r="AK458" i="40"/>
  <c r="AL458" i="40"/>
  <c r="AM458" i="40"/>
  <c r="AN458" i="40"/>
  <c r="AP458" i="40" s="1"/>
  <c r="AO458" i="40"/>
  <c r="AQ458" i="40"/>
  <c r="AR458" i="40"/>
  <c r="AS458" i="40"/>
  <c r="AG459" i="40"/>
  <c r="AH459" i="40"/>
  <c r="AI459" i="40"/>
  <c r="AJ459" i="40"/>
  <c r="AK459" i="40"/>
  <c r="AL459" i="40"/>
  <c r="AM459" i="40"/>
  <c r="AN459" i="40"/>
  <c r="AO459" i="40"/>
  <c r="AP459" i="40"/>
  <c r="AQ459" i="40"/>
  <c r="AR459" i="40"/>
  <c r="AS459" i="40"/>
  <c r="AG460" i="40"/>
  <c r="AH460" i="40"/>
  <c r="AI460" i="40"/>
  <c r="AJ460" i="40"/>
  <c r="AK460" i="40"/>
  <c r="AL460" i="40"/>
  <c r="AM460" i="40"/>
  <c r="AN460" i="40"/>
  <c r="AO460" i="40"/>
  <c r="AP460" i="40"/>
  <c r="AQ460" i="40"/>
  <c r="AR460" i="40"/>
  <c r="AS460" i="40"/>
  <c r="AG461" i="40"/>
  <c r="AH461" i="40"/>
  <c r="AI461" i="40"/>
  <c r="AJ461" i="40"/>
  <c r="AK461" i="40"/>
  <c r="AL461" i="40"/>
  <c r="AM461" i="40"/>
  <c r="AN461" i="40"/>
  <c r="AP461" i="40" s="1"/>
  <c r="AO461" i="40"/>
  <c r="AQ461" i="40"/>
  <c r="AR461" i="40"/>
  <c r="AS461" i="40"/>
  <c r="AG462" i="40"/>
  <c r="AH462" i="40"/>
  <c r="AI462" i="40"/>
  <c r="AJ462" i="40"/>
  <c r="AK462" i="40"/>
  <c r="AL462" i="40"/>
  <c r="AM462" i="40"/>
  <c r="AN462" i="40"/>
  <c r="AP462" i="40" s="1"/>
  <c r="AO462" i="40"/>
  <c r="AQ462" i="40"/>
  <c r="AR462" i="40"/>
  <c r="AS462" i="40"/>
  <c r="AG463" i="40"/>
  <c r="AH463" i="40"/>
  <c r="AI463" i="40"/>
  <c r="AJ463" i="40"/>
  <c r="AK463" i="40"/>
  <c r="AL463" i="40"/>
  <c r="AM463" i="40"/>
  <c r="AN463" i="40"/>
  <c r="AP463" i="40" s="1"/>
  <c r="AO463" i="40"/>
  <c r="AQ463" i="40"/>
  <c r="AR463" i="40"/>
  <c r="AS463" i="40"/>
  <c r="AG464" i="40"/>
  <c r="AH464" i="40"/>
  <c r="AI464" i="40"/>
  <c r="AJ464" i="40"/>
  <c r="AK464" i="40"/>
  <c r="AL464" i="40"/>
  <c r="AM464" i="40"/>
  <c r="AN464" i="40"/>
  <c r="AP464" i="40" s="1"/>
  <c r="AO464" i="40"/>
  <c r="AQ464" i="40"/>
  <c r="AR464" i="40"/>
  <c r="AS464" i="40"/>
  <c r="AG465" i="40"/>
  <c r="AH465" i="40"/>
  <c r="AI465" i="40"/>
  <c r="AJ465" i="40"/>
  <c r="AK465" i="40"/>
  <c r="AL465" i="40"/>
  <c r="AM465" i="40"/>
  <c r="AN465" i="40"/>
  <c r="AO465" i="40"/>
  <c r="AP465" i="40"/>
  <c r="AQ465" i="40"/>
  <c r="AR465" i="40"/>
  <c r="AS465" i="40"/>
  <c r="AG466" i="40"/>
  <c r="AH466" i="40"/>
  <c r="AI466" i="40"/>
  <c r="AJ466" i="40"/>
  <c r="AK466" i="40"/>
  <c r="AL466" i="40"/>
  <c r="AM466" i="40"/>
  <c r="AN466" i="40"/>
  <c r="AO466" i="40"/>
  <c r="AP466" i="40" s="1"/>
  <c r="AQ466" i="40"/>
  <c r="AR466" i="40"/>
  <c r="AS466" i="40"/>
  <c r="AG467" i="40"/>
  <c r="AH467" i="40"/>
  <c r="AI467" i="40"/>
  <c r="AJ467" i="40"/>
  <c r="AK467" i="40"/>
  <c r="AL467" i="40"/>
  <c r="AM467" i="40"/>
  <c r="AN467" i="40"/>
  <c r="AP467" i="40" s="1"/>
  <c r="AO467" i="40"/>
  <c r="AQ467" i="40"/>
  <c r="AR467" i="40"/>
  <c r="AS467" i="40"/>
  <c r="AG468" i="40"/>
  <c r="AH468" i="40"/>
  <c r="AI468" i="40"/>
  <c r="AJ468" i="40"/>
  <c r="AK468" i="40"/>
  <c r="AL468" i="40"/>
  <c r="AM468" i="40"/>
  <c r="AN468" i="40"/>
  <c r="AO468" i="40"/>
  <c r="AP468" i="40"/>
  <c r="AQ468" i="40"/>
  <c r="AR468" i="40"/>
  <c r="AS468" i="40"/>
  <c r="AG469" i="40"/>
  <c r="AH469" i="40"/>
  <c r="AI469" i="40"/>
  <c r="AJ469" i="40"/>
  <c r="AK469" i="40"/>
  <c r="AL469" i="40"/>
  <c r="AM469" i="40"/>
  <c r="AN469" i="40"/>
  <c r="AP469" i="40" s="1"/>
  <c r="AO469" i="40"/>
  <c r="AQ469" i="40"/>
  <c r="AR469" i="40"/>
  <c r="AS469" i="40"/>
  <c r="AG470" i="40"/>
  <c r="AH470" i="40"/>
  <c r="AI470" i="40"/>
  <c r="AJ470" i="40"/>
  <c r="AK470" i="40"/>
  <c r="AL470" i="40"/>
  <c r="AM470" i="40"/>
  <c r="AN470" i="40"/>
  <c r="AO470" i="40"/>
  <c r="AP470" i="40" s="1"/>
  <c r="AQ470" i="40"/>
  <c r="AR470" i="40"/>
  <c r="AS470" i="40"/>
  <c r="AG471" i="40"/>
  <c r="AH471" i="40"/>
  <c r="AI471" i="40"/>
  <c r="AJ471" i="40"/>
  <c r="AK471" i="40"/>
  <c r="AP471" i="40" s="1"/>
  <c r="AL471" i="40"/>
  <c r="AM471" i="40"/>
  <c r="AN471" i="40"/>
  <c r="AO471" i="40"/>
  <c r="AQ471" i="40"/>
  <c r="AR471" i="40"/>
  <c r="AS471" i="40"/>
  <c r="AG472" i="40"/>
  <c r="AH472" i="40"/>
  <c r="AI472" i="40"/>
  <c r="AJ472" i="40"/>
  <c r="AK472" i="40"/>
  <c r="AP472" i="40" s="1"/>
  <c r="AL472" i="40"/>
  <c r="AM472" i="40"/>
  <c r="AN472" i="40"/>
  <c r="AO472" i="40"/>
  <c r="AQ472" i="40"/>
  <c r="AR472" i="40"/>
  <c r="AS472" i="40"/>
  <c r="AG473" i="40"/>
  <c r="AH473" i="40"/>
  <c r="AI473" i="40"/>
  <c r="AJ473" i="40"/>
  <c r="AK473" i="40"/>
  <c r="AL473" i="40"/>
  <c r="AM473" i="40"/>
  <c r="AN473" i="40"/>
  <c r="AO473" i="40"/>
  <c r="AP473" i="40" s="1"/>
  <c r="AQ473" i="40"/>
  <c r="AR473" i="40"/>
  <c r="AS473" i="40"/>
  <c r="AG474" i="40"/>
  <c r="AH474" i="40"/>
  <c r="AI474" i="40"/>
  <c r="AJ474" i="40"/>
  <c r="AK474" i="40"/>
  <c r="AL474" i="40"/>
  <c r="AM474" i="40"/>
  <c r="AN474" i="40"/>
  <c r="AP474" i="40" s="1"/>
  <c r="AO474" i="40"/>
  <c r="AQ474" i="40"/>
  <c r="AR474" i="40"/>
  <c r="AS474" i="40"/>
  <c r="AG475" i="40"/>
  <c r="AH475" i="40"/>
  <c r="AI475" i="40"/>
  <c r="AJ475" i="40"/>
  <c r="AK475" i="40"/>
  <c r="AL475" i="40"/>
  <c r="AM475" i="40"/>
  <c r="AN475" i="40"/>
  <c r="AO475" i="40"/>
  <c r="AP475" i="40"/>
  <c r="AQ475" i="40"/>
  <c r="AR475" i="40"/>
  <c r="AS475" i="40"/>
  <c r="AG476" i="40"/>
  <c r="AH476" i="40"/>
  <c r="AI476" i="40"/>
  <c r="AJ476" i="40"/>
  <c r="AK476" i="40"/>
  <c r="AP476" i="40" s="1"/>
  <c r="AL476" i="40"/>
  <c r="AM476" i="40"/>
  <c r="AN476" i="40"/>
  <c r="AO476" i="40"/>
  <c r="AQ476" i="40"/>
  <c r="AR476" i="40"/>
  <c r="AS476" i="40"/>
  <c r="AG477" i="40"/>
  <c r="AH477" i="40"/>
  <c r="AI477" i="40"/>
  <c r="AJ477" i="40"/>
  <c r="AK477" i="40"/>
  <c r="AP477" i="40" s="1"/>
  <c r="AL477" i="40"/>
  <c r="AM477" i="40"/>
  <c r="AN477" i="40"/>
  <c r="AO477" i="40"/>
  <c r="AQ477" i="40"/>
  <c r="AR477" i="40"/>
  <c r="AS477" i="40"/>
  <c r="AG478" i="40"/>
  <c r="AH478" i="40"/>
  <c r="AI478" i="40"/>
  <c r="AJ478" i="40"/>
  <c r="AK478" i="40"/>
  <c r="AL478" i="40"/>
  <c r="AM478" i="40"/>
  <c r="AN478" i="40"/>
  <c r="AP478" i="40" s="1"/>
  <c r="AO478" i="40"/>
  <c r="AQ478" i="40"/>
  <c r="AR478" i="40"/>
  <c r="AS478" i="40"/>
  <c r="AG479" i="40"/>
  <c r="AH479" i="40"/>
  <c r="AI479" i="40"/>
  <c r="AJ479" i="40"/>
  <c r="AK479" i="40"/>
  <c r="AL479" i="40"/>
  <c r="AP479" i="40" s="1"/>
  <c r="AM479" i="40"/>
  <c r="AN479" i="40"/>
  <c r="AO479" i="40"/>
  <c r="AQ479" i="40"/>
  <c r="AR479" i="40"/>
  <c r="AS479" i="40"/>
  <c r="AG480" i="40"/>
  <c r="AH480" i="40"/>
  <c r="AI480" i="40"/>
  <c r="AJ480" i="40"/>
  <c r="AK480" i="40"/>
  <c r="AL480" i="40"/>
  <c r="AM480" i="40"/>
  <c r="AN480" i="40"/>
  <c r="AP480" i="40" s="1"/>
  <c r="AO480" i="40"/>
  <c r="AQ480" i="40"/>
  <c r="AR480" i="40"/>
  <c r="AS480" i="40"/>
  <c r="AG481" i="40"/>
  <c r="AH481" i="40"/>
  <c r="AI481" i="40"/>
  <c r="AJ481" i="40"/>
  <c r="AK481" i="40"/>
  <c r="AL481" i="40"/>
  <c r="AM481" i="40"/>
  <c r="AN481" i="40"/>
  <c r="AP481" i="40" s="1"/>
  <c r="AO481" i="40"/>
  <c r="AQ481" i="40"/>
  <c r="AR481" i="40"/>
  <c r="AS481" i="40"/>
  <c r="AG482" i="40"/>
  <c r="AH482" i="40"/>
  <c r="AI482" i="40"/>
  <c r="AJ482" i="40"/>
  <c r="AK482" i="40"/>
  <c r="AL482" i="40"/>
  <c r="AM482" i="40"/>
  <c r="AN482" i="40"/>
  <c r="AO482" i="40"/>
  <c r="AP482" i="40" s="1"/>
  <c r="AQ482" i="40"/>
  <c r="AR482" i="40"/>
  <c r="AS482" i="40"/>
  <c r="AG483" i="40"/>
  <c r="AH483" i="40"/>
  <c r="AI483" i="40"/>
  <c r="AJ483" i="40"/>
  <c r="AK483" i="40"/>
  <c r="AL483" i="40"/>
  <c r="AM483" i="40"/>
  <c r="AN483" i="40"/>
  <c r="AO483" i="40"/>
  <c r="AP483" i="40"/>
  <c r="AQ483" i="40"/>
  <c r="AR483" i="40"/>
  <c r="AS483" i="40"/>
  <c r="AG484" i="40"/>
  <c r="AH484" i="40"/>
  <c r="AI484" i="40"/>
  <c r="AJ484" i="40"/>
  <c r="AK484" i="40"/>
  <c r="AL484" i="40"/>
  <c r="AM484" i="40"/>
  <c r="AN484" i="40"/>
  <c r="AO484" i="40"/>
  <c r="AP484" i="40" s="1"/>
  <c r="AQ484" i="40"/>
  <c r="AR484" i="40"/>
  <c r="AS484" i="40"/>
  <c r="AG485" i="40"/>
  <c r="AH485" i="40"/>
  <c r="AI485" i="40"/>
  <c r="AJ485" i="40"/>
  <c r="AK485" i="40"/>
  <c r="AL485" i="40"/>
  <c r="AM485" i="40"/>
  <c r="AN485" i="40"/>
  <c r="AP485" i="40" s="1"/>
  <c r="AO485" i="40"/>
  <c r="AQ485" i="40"/>
  <c r="AR485" i="40"/>
  <c r="AS485" i="40"/>
  <c r="AG486" i="40"/>
  <c r="AH486" i="40"/>
  <c r="AI486" i="40"/>
  <c r="AJ486" i="40"/>
  <c r="AK486" i="40"/>
  <c r="AL486" i="40"/>
  <c r="AM486" i="40"/>
  <c r="AN486" i="40"/>
  <c r="AP486" i="40" s="1"/>
  <c r="AO486" i="40"/>
  <c r="AQ486" i="40"/>
  <c r="AR486" i="40"/>
  <c r="AS486" i="40"/>
  <c r="AG487" i="40"/>
  <c r="AH487" i="40"/>
  <c r="AI487" i="40"/>
  <c r="AJ487" i="40"/>
  <c r="AK487" i="40"/>
  <c r="AL487" i="40"/>
  <c r="AM487" i="40"/>
  <c r="AN487" i="40"/>
  <c r="AP487" i="40" s="1"/>
  <c r="AO487" i="40"/>
  <c r="AQ487" i="40"/>
  <c r="AR487" i="40"/>
  <c r="AS487" i="40"/>
  <c r="AG488" i="40"/>
  <c r="AH488" i="40"/>
  <c r="AI488" i="40"/>
  <c r="AJ488" i="40"/>
  <c r="AK488" i="40"/>
  <c r="AL488" i="40"/>
  <c r="AM488" i="40"/>
  <c r="AN488" i="40"/>
  <c r="AP488" i="40" s="1"/>
  <c r="AO488" i="40"/>
  <c r="AQ488" i="40"/>
  <c r="AR488" i="40"/>
  <c r="AS488" i="40"/>
  <c r="AG489" i="40"/>
  <c r="AH489" i="40"/>
  <c r="AI489" i="40"/>
  <c r="AJ489" i="40"/>
  <c r="AK489" i="40"/>
  <c r="AL489" i="40"/>
  <c r="AM489" i="40"/>
  <c r="AN489" i="40"/>
  <c r="AP489" i="40" s="1"/>
  <c r="AO489" i="40"/>
  <c r="AQ489" i="40"/>
  <c r="AR489" i="40"/>
  <c r="AS489" i="40"/>
  <c r="AG490" i="40"/>
  <c r="AH490" i="40"/>
  <c r="AI490" i="40"/>
  <c r="AJ490" i="40"/>
  <c r="AK490" i="40"/>
  <c r="AL490" i="40"/>
  <c r="AM490" i="40"/>
  <c r="AN490" i="40"/>
  <c r="AP490" i="40" s="1"/>
  <c r="AO490" i="40"/>
  <c r="AQ490" i="40"/>
  <c r="AR490" i="40"/>
  <c r="AS490" i="40"/>
  <c r="AG491" i="40"/>
  <c r="AH491" i="40"/>
  <c r="AI491" i="40"/>
  <c r="AJ491" i="40"/>
  <c r="AK491" i="40"/>
  <c r="AL491" i="40"/>
  <c r="AM491" i="40"/>
  <c r="AN491" i="40"/>
  <c r="AO491" i="40"/>
  <c r="AP491" i="40"/>
  <c r="AQ491" i="40"/>
  <c r="AR491" i="40"/>
  <c r="AS491" i="40"/>
  <c r="AG492" i="40"/>
  <c r="AH492" i="40"/>
  <c r="AI492" i="40"/>
  <c r="AJ492" i="40"/>
  <c r="AK492" i="40"/>
  <c r="AL492" i="40"/>
  <c r="AM492" i="40"/>
  <c r="AN492" i="40"/>
  <c r="AO492" i="40"/>
  <c r="AP492" i="40"/>
  <c r="AQ492" i="40"/>
  <c r="AR492" i="40"/>
  <c r="AS492" i="40"/>
  <c r="AG493" i="40"/>
  <c r="AH493" i="40"/>
  <c r="AI493" i="40"/>
  <c r="AJ493" i="40"/>
  <c r="AK493" i="40"/>
  <c r="AL493" i="40"/>
  <c r="AM493" i="40"/>
  <c r="AN493" i="40"/>
  <c r="AP493" i="40" s="1"/>
  <c r="AO493" i="40"/>
  <c r="AQ493" i="40"/>
  <c r="AR493" i="40"/>
  <c r="AS493" i="40"/>
  <c r="AG494" i="40"/>
  <c r="AH494" i="40"/>
  <c r="AI494" i="40"/>
  <c r="AJ494" i="40"/>
  <c r="AK494" i="40"/>
  <c r="AL494" i="40"/>
  <c r="AM494" i="40"/>
  <c r="AN494" i="40"/>
  <c r="AP494" i="40" s="1"/>
  <c r="AO494" i="40"/>
  <c r="AQ494" i="40"/>
  <c r="AR494" i="40"/>
  <c r="AS494" i="40"/>
  <c r="AG495" i="40"/>
  <c r="AH495" i="40"/>
  <c r="AI495" i="40"/>
  <c r="AJ495" i="40"/>
  <c r="AK495" i="40"/>
  <c r="AL495" i="40"/>
  <c r="AM495" i="40"/>
  <c r="AN495" i="40"/>
  <c r="AP495" i="40" s="1"/>
  <c r="AO495" i="40"/>
  <c r="AQ495" i="40"/>
  <c r="AR495" i="40"/>
  <c r="AS495" i="40"/>
  <c r="AG496" i="40"/>
  <c r="AH496" i="40"/>
  <c r="AI496" i="40"/>
  <c r="AJ496" i="40"/>
  <c r="AK496" i="40"/>
  <c r="AL496" i="40"/>
  <c r="AM496" i="40"/>
  <c r="AN496" i="40"/>
  <c r="AP496" i="40" s="1"/>
  <c r="AO496" i="40"/>
  <c r="AQ496" i="40"/>
  <c r="AR496" i="40"/>
  <c r="AS496" i="40"/>
  <c r="AG497" i="40"/>
  <c r="AH497" i="40"/>
  <c r="AI497" i="40"/>
  <c r="AJ497" i="40"/>
  <c r="AK497" i="40"/>
  <c r="AL497" i="40"/>
  <c r="AM497" i="40"/>
  <c r="AN497" i="40"/>
  <c r="AO497" i="40"/>
  <c r="AP497" i="40"/>
  <c r="AQ497" i="40"/>
  <c r="AR497" i="40"/>
  <c r="AS497" i="40"/>
  <c r="AG498" i="40"/>
  <c r="AH498" i="40"/>
  <c r="AI498" i="40"/>
  <c r="AJ498" i="40"/>
  <c r="AK498" i="40"/>
  <c r="AL498" i="40"/>
  <c r="AM498" i="40"/>
  <c r="AN498" i="40"/>
  <c r="AO498" i="40"/>
  <c r="AP498" i="40" s="1"/>
  <c r="AQ498" i="40"/>
  <c r="AR498" i="40"/>
  <c r="AS498" i="40"/>
  <c r="AG499" i="40"/>
  <c r="AH499" i="40"/>
  <c r="AI499" i="40"/>
  <c r="AJ499" i="40"/>
  <c r="AK499" i="40"/>
  <c r="AL499" i="40"/>
  <c r="AM499" i="40"/>
  <c r="AN499" i="40"/>
  <c r="AP499" i="40" s="1"/>
  <c r="AO499" i="40"/>
  <c r="AQ499" i="40"/>
  <c r="AR499" i="40"/>
  <c r="AS499" i="40"/>
  <c r="AG500" i="40"/>
  <c r="AH500" i="40"/>
  <c r="AI500" i="40"/>
  <c r="AJ500" i="40"/>
  <c r="AK500" i="40"/>
  <c r="AL500" i="40"/>
  <c r="AM500" i="40"/>
  <c r="AN500" i="40"/>
  <c r="AO500" i="40"/>
  <c r="AP500" i="40"/>
  <c r="AQ500" i="40"/>
  <c r="AR500" i="40"/>
  <c r="AS500" i="40"/>
  <c r="AG501" i="40"/>
  <c r="AH501" i="40"/>
  <c r="AI501" i="40"/>
  <c r="AJ501" i="40"/>
  <c r="AK501" i="40"/>
  <c r="AL501" i="40"/>
  <c r="AM501" i="40"/>
  <c r="AN501" i="40"/>
  <c r="AP501" i="40" s="1"/>
  <c r="AO501" i="40"/>
  <c r="AQ501" i="40"/>
  <c r="AR501" i="40"/>
  <c r="AS501" i="40"/>
  <c r="AG502" i="40"/>
  <c r="AH502" i="40"/>
  <c r="AI502" i="40"/>
  <c r="AJ502" i="40"/>
  <c r="AK502" i="40"/>
  <c r="AL502" i="40"/>
  <c r="AM502" i="40"/>
  <c r="AN502" i="40"/>
  <c r="AP502" i="40" s="1"/>
  <c r="AO502" i="40"/>
  <c r="AQ502" i="40"/>
  <c r="AR502" i="40"/>
  <c r="AS502" i="40"/>
  <c r="AG503" i="40"/>
  <c r="AH503" i="40"/>
  <c r="AI503" i="40"/>
  <c r="AJ503" i="40"/>
  <c r="AK503" i="40"/>
  <c r="AP503" i="40" s="1"/>
  <c r="AL503" i="40"/>
  <c r="AM503" i="40"/>
  <c r="AN503" i="40"/>
  <c r="AO503" i="40"/>
  <c r="AQ503" i="40"/>
  <c r="AR503" i="40"/>
  <c r="AS503" i="40"/>
  <c r="AG504" i="40"/>
  <c r="AH504" i="40"/>
  <c r="AI504" i="40"/>
  <c r="AJ504" i="40"/>
  <c r="AK504" i="40"/>
  <c r="AL504" i="40"/>
  <c r="AM504" i="40"/>
  <c r="AN504" i="40"/>
  <c r="AO504" i="40"/>
  <c r="AP504" i="40" s="1"/>
  <c r="AQ504" i="40"/>
  <c r="AR504" i="40"/>
  <c r="AS504" i="40"/>
  <c r="AG505" i="40"/>
  <c r="AH505" i="40"/>
  <c r="AI505" i="40"/>
  <c r="AJ505" i="40"/>
  <c r="AK505" i="40"/>
  <c r="AL505" i="40"/>
  <c r="AM505" i="40"/>
  <c r="AN505" i="40"/>
  <c r="AO505" i="40"/>
  <c r="AP505" i="40" s="1"/>
  <c r="AQ505" i="40"/>
  <c r="AR505" i="40"/>
  <c r="AS505" i="40"/>
  <c r="AG506" i="40"/>
  <c r="AH506" i="40"/>
  <c r="AI506" i="40"/>
  <c r="AJ506" i="40"/>
  <c r="AK506" i="40"/>
  <c r="AL506" i="40"/>
  <c r="AM506" i="40"/>
  <c r="AN506" i="40"/>
  <c r="AP506" i="40" s="1"/>
  <c r="AO506" i="40"/>
  <c r="AQ506" i="40"/>
  <c r="AR506" i="40"/>
  <c r="AS506" i="40"/>
  <c r="AG507" i="40"/>
  <c r="AH507" i="40"/>
  <c r="AI507" i="40"/>
  <c r="AJ507" i="40"/>
  <c r="AK507" i="40"/>
  <c r="AL507" i="40"/>
  <c r="AM507" i="40"/>
  <c r="AN507" i="40"/>
  <c r="AO507" i="40"/>
  <c r="AP507" i="40"/>
  <c r="AQ507" i="40"/>
  <c r="AR507" i="40"/>
  <c r="AS507" i="40"/>
  <c r="AG508" i="40"/>
  <c r="AH508" i="40"/>
  <c r="AI508" i="40"/>
  <c r="AJ508" i="40"/>
  <c r="AK508" i="40"/>
  <c r="AP508" i="40" s="1"/>
  <c r="AL508" i="40"/>
  <c r="AM508" i="40"/>
  <c r="AN508" i="40"/>
  <c r="AO508" i="40"/>
  <c r="AQ508" i="40"/>
  <c r="AR508" i="40"/>
  <c r="AS508" i="40"/>
  <c r="AG509" i="40"/>
  <c r="AH509" i="40"/>
  <c r="AI509" i="40"/>
  <c r="AJ509" i="40"/>
  <c r="AK509" i="40"/>
  <c r="AP509" i="40" s="1"/>
  <c r="AL509" i="40"/>
  <c r="AM509" i="40"/>
  <c r="AN509" i="40"/>
  <c r="AO509" i="40"/>
  <c r="AQ509" i="40"/>
  <c r="AR509" i="40"/>
  <c r="AS509" i="40"/>
  <c r="AG510" i="40"/>
  <c r="AH510" i="40"/>
  <c r="AI510" i="40"/>
  <c r="AJ510" i="40"/>
  <c r="AK510" i="40"/>
  <c r="AL510" i="40"/>
  <c r="AM510" i="40"/>
  <c r="AN510" i="40"/>
  <c r="AP510" i="40" s="1"/>
  <c r="AO510" i="40"/>
  <c r="AQ510" i="40"/>
  <c r="AR510" i="40"/>
  <c r="AS510" i="40"/>
  <c r="AG511" i="40"/>
  <c r="AH511" i="40"/>
  <c r="AI511" i="40"/>
  <c r="AJ511" i="40"/>
  <c r="AK511" i="40"/>
  <c r="AL511" i="40"/>
  <c r="AP511" i="40" s="1"/>
  <c r="AM511" i="40"/>
  <c r="AN511" i="40"/>
  <c r="AO511" i="40"/>
  <c r="AQ511" i="40"/>
  <c r="AR511" i="40"/>
  <c r="AS511" i="40"/>
  <c r="AG512" i="40"/>
  <c r="AH512" i="40"/>
  <c r="AI512" i="40"/>
  <c r="AJ512" i="40"/>
  <c r="AK512" i="40"/>
  <c r="AL512" i="40"/>
  <c r="AM512" i="40"/>
  <c r="AN512" i="40"/>
  <c r="AP512" i="40" s="1"/>
  <c r="AO512" i="40"/>
  <c r="AQ512" i="40"/>
  <c r="AR512" i="40"/>
  <c r="AS512" i="40"/>
  <c r="AG513" i="40"/>
  <c r="AH513" i="40"/>
  <c r="AI513" i="40"/>
  <c r="AJ513" i="40"/>
  <c r="AK513" i="40"/>
  <c r="AL513" i="40"/>
  <c r="AM513" i="40"/>
  <c r="AN513" i="40"/>
  <c r="AP513" i="40" s="1"/>
  <c r="AO513" i="40"/>
  <c r="AQ513" i="40"/>
  <c r="AR513" i="40"/>
  <c r="AS513" i="40"/>
  <c r="AG514" i="40"/>
  <c r="AH514" i="40"/>
  <c r="AI514" i="40"/>
  <c r="AJ514" i="40"/>
  <c r="AK514" i="40"/>
  <c r="AL514" i="40"/>
  <c r="AM514" i="40"/>
  <c r="AN514" i="40"/>
  <c r="AP514" i="40" s="1"/>
  <c r="AO514" i="40"/>
  <c r="AQ514" i="40"/>
  <c r="AR514" i="40"/>
  <c r="AS514" i="40"/>
  <c r="AG515" i="40"/>
  <c r="AH515" i="40"/>
  <c r="AI515" i="40"/>
  <c r="AJ515" i="40"/>
  <c r="AK515" i="40"/>
  <c r="AL515" i="40"/>
  <c r="AM515" i="40"/>
  <c r="AN515" i="40"/>
  <c r="AO515" i="40"/>
  <c r="AP515" i="40"/>
  <c r="AQ515" i="40"/>
  <c r="AR515" i="40"/>
  <c r="AS515" i="40"/>
  <c r="AG516" i="40"/>
  <c r="AH516" i="40"/>
  <c r="AI516" i="40"/>
  <c r="AJ516" i="40"/>
  <c r="AK516" i="40"/>
  <c r="AL516" i="40"/>
  <c r="AM516" i="40"/>
  <c r="AN516" i="40"/>
  <c r="AO516" i="40"/>
  <c r="AP516" i="40" s="1"/>
  <c r="AQ516" i="40"/>
  <c r="AR516" i="40"/>
  <c r="AS516" i="40"/>
  <c r="AG517" i="40"/>
  <c r="AH517" i="40"/>
  <c r="AI517" i="40"/>
  <c r="AJ517" i="40"/>
  <c r="AK517" i="40"/>
  <c r="AL517" i="40"/>
  <c r="AM517" i="40"/>
  <c r="AN517" i="40"/>
  <c r="AP517" i="40" s="1"/>
  <c r="AO517" i="40"/>
  <c r="AQ517" i="40"/>
  <c r="AR517" i="40"/>
  <c r="AS517" i="40"/>
  <c r="AG518" i="40"/>
  <c r="AH518" i="40"/>
  <c r="AI518" i="40"/>
  <c r="AJ518" i="40"/>
  <c r="AK518" i="40"/>
  <c r="AL518" i="40"/>
  <c r="AM518" i="40"/>
  <c r="AN518" i="40"/>
  <c r="AP518" i="40" s="1"/>
  <c r="AO518" i="40"/>
  <c r="AQ518" i="40"/>
  <c r="AR518" i="40"/>
  <c r="AS518" i="40"/>
  <c r="AG519" i="40"/>
  <c r="AH519" i="40"/>
  <c r="AI519" i="40"/>
  <c r="AJ519" i="40"/>
  <c r="AK519" i="40"/>
  <c r="AL519" i="40"/>
  <c r="AM519" i="40"/>
  <c r="AN519" i="40"/>
  <c r="AP519" i="40" s="1"/>
  <c r="AO519" i="40"/>
  <c r="AQ519" i="40"/>
  <c r="AR519" i="40"/>
  <c r="AS519" i="40"/>
  <c r="AG520" i="40"/>
  <c r="AH520" i="40"/>
  <c r="AI520" i="40"/>
  <c r="AJ520" i="40"/>
  <c r="AK520" i="40"/>
  <c r="AL520" i="40"/>
  <c r="AM520" i="40"/>
  <c r="AN520" i="40"/>
  <c r="AP520" i="40" s="1"/>
  <c r="AO520" i="40"/>
  <c r="AQ520" i="40"/>
  <c r="AR520" i="40"/>
  <c r="AS520" i="40"/>
  <c r="AG521" i="40"/>
  <c r="AH521" i="40"/>
  <c r="AI521" i="40"/>
  <c r="AJ521" i="40"/>
  <c r="AK521" i="40"/>
  <c r="AL521" i="40"/>
  <c r="AM521" i="40"/>
  <c r="AN521" i="40"/>
  <c r="AP521" i="40" s="1"/>
  <c r="AO521" i="40"/>
  <c r="AQ521" i="40"/>
  <c r="AR521" i="40"/>
  <c r="AS521" i="40"/>
  <c r="AG522" i="40"/>
  <c r="AH522" i="40"/>
  <c r="AI522" i="40"/>
  <c r="AJ522" i="40"/>
  <c r="AK522" i="40"/>
  <c r="AL522" i="40"/>
  <c r="AM522" i="40"/>
  <c r="AN522" i="40"/>
  <c r="AP522" i="40" s="1"/>
  <c r="AO522" i="40"/>
  <c r="AQ522" i="40"/>
  <c r="AR522" i="40"/>
  <c r="AS522" i="40"/>
  <c r="AG523" i="40"/>
  <c r="AH523" i="40"/>
  <c r="AI523" i="40"/>
  <c r="AJ523" i="40"/>
  <c r="AK523" i="40"/>
  <c r="AL523" i="40"/>
  <c r="AM523" i="40"/>
  <c r="AN523" i="40"/>
  <c r="AO523" i="40"/>
  <c r="AP523" i="40"/>
  <c r="AQ523" i="40"/>
  <c r="AR523" i="40"/>
  <c r="AS523" i="40"/>
  <c r="AG524" i="40"/>
  <c r="AH524" i="40"/>
  <c r="AI524" i="40"/>
  <c r="AJ524" i="40"/>
  <c r="AK524" i="40"/>
  <c r="AL524" i="40"/>
  <c r="AM524" i="40"/>
  <c r="AN524" i="40"/>
  <c r="AO524" i="40"/>
  <c r="AP524" i="40"/>
  <c r="AQ524" i="40"/>
  <c r="AR524" i="40"/>
  <c r="AS524" i="40"/>
  <c r="AG525" i="40"/>
  <c r="AH525" i="40"/>
  <c r="AI525" i="40"/>
  <c r="AJ525" i="40"/>
  <c r="AK525" i="40"/>
  <c r="AL525" i="40"/>
  <c r="AM525" i="40"/>
  <c r="AN525" i="40"/>
  <c r="AP525" i="40" s="1"/>
  <c r="AO525" i="40"/>
  <c r="AQ525" i="40"/>
  <c r="AR525" i="40"/>
  <c r="AS525" i="40"/>
  <c r="AG526" i="40"/>
  <c r="AH526" i="40"/>
  <c r="AI526" i="40"/>
  <c r="AJ526" i="40"/>
  <c r="AK526" i="40"/>
  <c r="AL526" i="40"/>
  <c r="AM526" i="40"/>
  <c r="AN526" i="40"/>
  <c r="AP526" i="40" s="1"/>
  <c r="AO526" i="40"/>
  <c r="AQ526" i="40"/>
  <c r="AR526" i="40"/>
  <c r="AS526" i="40"/>
  <c r="AG527" i="40"/>
  <c r="AH527" i="40"/>
  <c r="AI527" i="40"/>
  <c r="AJ527" i="40"/>
  <c r="AK527" i="40"/>
  <c r="AL527" i="40"/>
  <c r="AM527" i="40"/>
  <c r="AN527" i="40"/>
  <c r="AP527" i="40" s="1"/>
  <c r="AO527" i="40"/>
  <c r="AQ527" i="40"/>
  <c r="AR527" i="40"/>
  <c r="AS527" i="40"/>
  <c r="AG528" i="40"/>
  <c r="AH528" i="40"/>
  <c r="AI528" i="40"/>
  <c r="AJ528" i="40"/>
  <c r="AK528" i="40"/>
  <c r="AL528" i="40"/>
  <c r="AM528" i="40"/>
  <c r="AN528" i="40"/>
  <c r="AO528" i="40"/>
  <c r="AQ528" i="40"/>
  <c r="AR528" i="40"/>
  <c r="AS528" i="40"/>
  <c r="AG529" i="40"/>
  <c r="AH529" i="40"/>
  <c r="AI529" i="40"/>
  <c r="AJ529" i="40"/>
  <c r="AK529" i="40"/>
  <c r="AL529" i="40"/>
  <c r="AP529" i="40" s="1"/>
  <c r="AM529" i="40"/>
  <c r="AN529" i="40"/>
  <c r="AO529" i="40"/>
  <c r="AQ529" i="40"/>
  <c r="AR529" i="40"/>
  <c r="AS529" i="40"/>
  <c r="AG530" i="40"/>
  <c r="AH530" i="40"/>
  <c r="AI530" i="40"/>
  <c r="AJ530" i="40"/>
  <c r="AK530" i="40"/>
  <c r="AL530" i="40"/>
  <c r="AM530" i="40"/>
  <c r="AN530" i="40"/>
  <c r="AO530" i="40"/>
  <c r="AQ530" i="40"/>
  <c r="AR530" i="40"/>
  <c r="AS530" i="40"/>
  <c r="AG531" i="40"/>
  <c r="AH531" i="40"/>
  <c r="AI531" i="40"/>
  <c r="AJ531" i="40"/>
  <c r="AK531" i="40"/>
  <c r="AL531" i="40"/>
  <c r="AM531" i="40"/>
  <c r="AN531" i="40"/>
  <c r="AO531" i="40"/>
  <c r="AQ531" i="40"/>
  <c r="AR531" i="40"/>
  <c r="AS531" i="40"/>
  <c r="AG532" i="40"/>
  <c r="AH532" i="40"/>
  <c r="AI532" i="40"/>
  <c r="AJ532" i="40"/>
  <c r="AK532" i="40"/>
  <c r="AL532" i="40"/>
  <c r="AM532" i="40"/>
  <c r="AN532" i="40"/>
  <c r="AO532" i="40"/>
  <c r="AP532" i="40"/>
  <c r="BP532" i="40" s="1"/>
  <c r="AQ532" i="40"/>
  <c r="AR532" i="40"/>
  <c r="AS532" i="40"/>
  <c r="AG533" i="40"/>
  <c r="AH533" i="40"/>
  <c r="AI533" i="40"/>
  <c r="AJ533" i="40"/>
  <c r="AK533" i="40"/>
  <c r="AL533" i="40"/>
  <c r="AM533" i="40"/>
  <c r="AN533" i="40"/>
  <c r="AO533" i="40"/>
  <c r="AQ533" i="40"/>
  <c r="AR533" i="40"/>
  <c r="AS533" i="40"/>
  <c r="AG534" i="40"/>
  <c r="AH534" i="40"/>
  <c r="AI534" i="40"/>
  <c r="AJ534" i="40"/>
  <c r="AK534" i="40"/>
  <c r="AL534" i="40"/>
  <c r="AM534" i="40"/>
  <c r="AN534" i="40"/>
  <c r="AP534" i="40" s="1"/>
  <c r="AO534" i="40"/>
  <c r="AQ534" i="40"/>
  <c r="AR534" i="40"/>
  <c r="AS534" i="40"/>
  <c r="AG535" i="40"/>
  <c r="AH535" i="40"/>
  <c r="AI535" i="40"/>
  <c r="AJ535" i="40"/>
  <c r="AK535" i="40"/>
  <c r="AP535" i="40" s="1"/>
  <c r="BG535" i="40" s="1"/>
  <c r="AL535" i="40"/>
  <c r="AM535" i="40"/>
  <c r="AN535" i="40"/>
  <c r="AO535" i="40"/>
  <c r="AQ535" i="40"/>
  <c r="AR535" i="40"/>
  <c r="AS535" i="40"/>
  <c r="AG536" i="40"/>
  <c r="AH536" i="40"/>
  <c r="AI536" i="40"/>
  <c r="AJ536" i="40"/>
  <c r="AK536" i="40"/>
  <c r="AL536" i="40"/>
  <c r="AM536" i="40"/>
  <c r="AN536" i="40"/>
  <c r="AO536" i="40"/>
  <c r="AP536" i="40" s="1"/>
  <c r="AQ536" i="40"/>
  <c r="AR536" i="40"/>
  <c r="AS536" i="40"/>
  <c r="AG537" i="40"/>
  <c r="AH537" i="40"/>
  <c r="AI537" i="40"/>
  <c r="AJ537" i="40"/>
  <c r="AK537" i="40"/>
  <c r="AL537" i="40"/>
  <c r="AM537" i="40"/>
  <c r="AN537" i="40"/>
  <c r="AO537" i="40"/>
  <c r="AP537" i="40" s="1"/>
  <c r="CY537" i="40" s="1"/>
  <c r="AQ537" i="40"/>
  <c r="AR537" i="40"/>
  <c r="AS537" i="40"/>
  <c r="AG538" i="40"/>
  <c r="AH538" i="40"/>
  <c r="AI538" i="40"/>
  <c r="AJ538" i="40"/>
  <c r="AK538" i="40"/>
  <c r="AL538" i="40"/>
  <c r="AM538" i="40"/>
  <c r="AN538" i="40"/>
  <c r="AO538" i="40"/>
  <c r="AQ538" i="40"/>
  <c r="AR538" i="40"/>
  <c r="AS538" i="40"/>
  <c r="AG539" i="40"/>
  <c r="AH539" i="40"/>
  <c r="AI539" i="40"/>
  <c r="AJ539" i="40"/>
  <c r="AK539" i="40"/>
  <c r="AL539" i="40"/>
  <c r="AM539" i="40"/>
  <c r="AN539" i="40"/>
  <c r="AO539" i="40"/>
  <c r="AP539" i="40"/>
  <c r="AQ539" i="40"/>
  <c r="AR539" i="40"/>
  <c r="AS539" i="40"/>
  <c r="AG540" i="40"/>
  <c r="AH540" i="40"/>
  <c r="AI540" i="40"/>
  <c r="AJ540" i="40"/>
  <c r="AK540" i="40"/>
  <c r="AL540" i="40"/>
  <c r="AM540" i="40"/>
  <c r="AN540" i="40"/>
  <c r="AO540" i="40"/>
  <c r="AQ540" i="40"/>
  <c r="AR540" i="40"/>
  <c r="AS540" i="40"/>
  <c r="AG541" i="40"/>
  <c r="AH541" i="40"/>
  <c r="AI541" i="40"/>
  <c r="AJ541" i="40"/>
  <c r="AK541" i="40"/>
  <c r="AL541" i="40"/>
  <c r="AM541" i="40"/>
  <c r="AN541" i="40"/>
  <c r="AO541" i="40"/>
  <c r="AQ541" i="40"/>
  <c r="AR541" i="40"/>
  <c r="AS541" i="40"/>
  <c r="AG542" i="40"/>
  <c r="AH542" i="40"/>
  <c r="AI542" i="40"/>
  <c r="AJ542" i="40"/>
  <c r="AK542" i="40"/>
  <c r="AL542" i="40"/>
  <c r="AM542" i="40"/>
  <c r="AN542" i="40"/>
  <c r="AO542" i="40"/>
  <c r="AQ542" i="40"/>
  <c r="AR542" i="40"/>
  <c r="AS542" i="40"/>
  <c r="AG543" i="40"/>
  <c r="AH543" i="40"/>
  <c r="AI543" i="40"/>
  <c r="AJ543" i="40"/>
  <c r="AK543" i="40"/>
  <c r="AL543" i="40"/>
  <c r="AP543" i="40" s="1"/>
  <c r="BY543" i="40" s="1"/>
  <c r="AM543" i="40"/>
  <c r="AN543" i="40"/>
  <c r="AO543" i="40"/>
  <c r="AQ543" i="40"/>
  <c r="AR543" i="40"/>
  <c r="AS543" i="40"/>
  <c r="AG544" i="40"/>
  <c r="AH544" i="40"/>
  <c r="AI544" i="40"/>
  <c r="AJ544" i="40"/>
  <c r="AK544" i="40"/>
  <c r="AL544" i="40"/>
  <c r="AM544" i="40"/>
  <c r="AN544" i="40"/>
  <c r="AO544" i="40"/>
  <c r="AP544" i="40" s="1"/>
  <c r="AQ544" i="40"/>
  <c r="AR544" i="40"/>
  <c r="AS544" i="40"/>
  <c r="AG545" i="40"/>
  <c r="AH545" i="40"/>
  <c r="AI545" i="40"/>
  <c r="AJ545" i="40"/>
  <c r="AK545" i="40"/>
  <c r="AL545" i="40"/>
  <c r="AM545" i="40"/>
  <c r="AN545" i="40"/>
  <c r="AP545" i="40" s="1"/>
  <c r="AO545" i="40"/>
  <c r="AQ545" i="40"/>
  <c r="AR545" i="40"/>
  <c r="AS545" i="40"/>
  <c r="AG546" i="40"/>
  <c r="AH546" i="40"/>
  <c r="AI546" i="40"/>
  <c r="AJ546" i="40"/>
  <c r="AK546" i="40"/>
  <c r="AL546" i="40"/>
  <c r="AM546" i="40"/>
  <c r="AN546" i="40"/>
  <c r="AO546" i="40"/>
  <c r="AQ546" i="40"/>
  <c r="AR546" i="40"/>
  <c r="AS546" i="40"/>
  <c r="AG547" i="40"/>
  <c r="AH547" i="40"/>
  <c r="AI547" i="40"/>
  <c r="AJ547" i="40"/>
  <c r="AK547" i="40"/>
  <c r="AL547" i="40"/>
  <c r="AM547" i="40"/>
  <c r="AN547" i="40"/>
  <c r="AO547" i="40"/>
  <c r="AP547" i="40"/>
  <c r="AQ547" i="40"/>
  <c r="AR547" i="40"/>
  <c r="AS547" i="40"/>
  <c r="AG548" i="40"/>
  <c r="AH548" i="40"/>
  <c r="AI548" i="40"/>
  <c r="AJ548" i="40"/>
  <c r="AK548" i="40"/>
  <c r="AL548" i="40"/>
  <c r="AM548" i="40"/>
  <c r="AN548" i="40"/>
  <c r="AO548" i="40"/>
  <c r="AP548" i="40" s="1"/>
  <c r="AQ548" i="40"/>
  <c r="AR548" i="40"/>
  <c r="AS548" i="40"/>
  <c r="AG549" i="40"/>
  <c r="AH549" i="40"/>
  <c r="AI549" i="40"/>
  <c r="AJ549" i="40"/>
  <c r="AK549" i="40"/>
  <c r="AL549" i="40"/>
  <c r="AM549" i="40"/>
  <c r="AN549" i="40"/>
  <c r="AO549" i="40"/>
  <c r="AQ549" i="40"/>
  <c r="AR549" i="40"/>
  <c r="AS549" i="40"/>
  <c r="AG550" i="40"/>
  <c r="AH550" i="40"/>
  <c r="AI550" i="40"/>
  <c r="AJ550" i="40"/>
  <c r="AK550" i="40"/>
  <c r="AL550" i="40"/>
  <c r="AM550" i="40"/>
  <c r="AN550" i="40"/>
  <c r="AO550" i="40"/>
  <c r="AQ550" i="40"/>
  <c r="AR550" i="40"/>
  <c r="AS550" i="40"/>
  <c r="AG551" i="40"/>
  <c r="AH551" i="40"/>
  <c r="AI551" i="40"/>
  <c r="AJ551" i="40"/>
  <c r="AK551" i="40"/>
  <c r="AL551" i="40"/>
  <c r="AM551" i="40"/>
  <c r="AN551" i="40"/>
  <c r="AP551" i="40" s="1"/>
  <c r="AO551" i="40"/>
  <c r="AQ551" i="40"/>
  <c r="AR551" i="40"/>
  <c r="AS551" i="40"/>
  <c r="AG552" i="40"/>
  <c r="AH552" i="40"/>
  <c r="AI552" i="40"/>
  <c r="AJ552" i="40"/>
  <c r="AK552" i="40"/>
  <c r="AL552" i="40"/>
  <c r="AM552" i="40"/>
  <c r="AN552" i="40"/>
  <c r="AP552" i="40" s="1"/>
  <c r="AX552" i="40" s="1"/>
  <c r="AO552" i="40"/>
  <c r="AQ552" i="40"/>
  <c r="AR552" i="40"/>
  <c r="AS552" i="40"/>
  <c r="AG553" i="40"/>
  <c r="AH553" i="40"/>
  <c r="AI553" i="40"/>
  <c r="AJ553" i="40"/>
  <c r="AK553" i="40"/>
  <c r="AL553" i="40"/>
  <c r="AM553" i="40"/>
  <c r="AN553" i="40"/>
  <c r="AO553" i="40"/>
  <c r="AQ553" i="40"/>
  <c r="AR553" i="40"/>
  <c r="AS553" i="40"/>
  <c r="AG554" i="40"/>
  <c r="AH554" i="40"/>
  <c r="AI554" i="40"/>
  <c r="AJ554" i="40"/>
  <c r="AK554" i="40"/>
  <c r="AL554" i="40"/>
  <c r="AM554" i="40"/>
  <c r="AN554" i="40"/>
  <c r="AO554" i="40"/>
  <c r="AQ554" i="40"/>
  <c r="AR554" i="40"/>
  <c r="AS554" i="40"/>
  <c r="AG555" i="40"/>
  <c r="AH555" i="40"/>
  <c r="AI555" i="40"/>
  <c r="AJ555" i="40"/>
  <c r="AK555" i="40"/>
  <c r="AL555" i="40"/>
  <c r="AM555" i="40"/>
  <c r="AN555" i="40"/>
  <c r="AO555" i="40"/>
  <c r="AP555" i="40"/>
  <c r="BP555" i="40" s="1"/>
  <c r="AQ555" i="40"/>
  <c r="AR555" i="40"/>
  <c r="AS555" i="40"/>
  <c r="AG556" i="40"/>
  <c r="AH556" i="40"/>
  <c r="AI556" i="40"/>
  <c r="AJ556" i="40"/>
  <c r="AK556" i="40"/>
  <c r="AL556" i="40"/>
  <c r="AM556" i="40"/>
  <c r="AN556" i="40"/>
  <c r="AO556" i="40"/>
  <c r="AP556" i="40"/>
  <c r="AQ556" i="40"/>
  <c r="AR556" i="40"/>
  <c r="AS556" i="40"/>
  <c r="AG557" i="40"/>
  <c r="AH557" i="40"/>
  <c r="AI557" i="40"/>
  <c r="AJ557" i="40"/>
  <c r="AK557" i="40"/>
  <c r="AL557" i="40"/>
  <c r="AM557" i="40"/>
  <c r="AN557" i="40"/>
  <c r="AP557" i="40" s="1"/>
  <c r="AO557" i="40"/>
  <c r="AQ557" i="40"/>
  <c r="AR557" i="40"/>
  <c r="AS557" i="40"/>
  <c r="AG558" i="40"/>
  <c r="AH558" i="40"/>
  <c r="AI558" i="40"/>
  <c r="AJ558" i="40"/>
  <c r="AK558" i="40"/>
  <c r="AL558" i="40"/>
  <c r="AM558" i="40"/>
  <c r="AN558" i="40"/>
  <c r="AO558" i="40"/>
  <c r="AQ558" i="40"/>
  <c r="AR558" i="40"/>
  <c r="AS558" i="40"/>
  <c r="AG559" i="40"/>
  <c r="AH559" i="40"/>
  <c r="AI559" i="40"/>
  <c r="AJ559" i="40"/>
  <c r="AK559" i="40"/>
  <c r="AL559" i="40"/>
  <c r="AM559" i="40"/>
  <c r="AN559" i="40"/>
  <c r="AO559" i="40"/>
  <c r="AQ559" i="40"/>
  <c r="AR559" i="40"/>
  <c r="AS559" i="40"/>
  <c r="AG560" i="40"/>
  <c r="AH560" i="40"/>
  <c r="AI560" i="40"/>
  <c r="AJ560" i="40"/>
  <c r="AK560" i="40"/>
  <c r="AL560" i="40"/>
  <c r="AM560" i="40"/>
  <c r="AN560" i="40"/>
  <c r="AP560" i="40" s="1"/>
  <c r="AO560" i="40"/>
  <c r="AQ560" i="40"/>
  <c r="AR560" i="40"/>
  <c r="AS560" i="40"/>
  <c r="AG561" i="40"/>
  <c r="AH561" i="40"/>
  <c r="AI561" i="40"/>
  <c r="AJ561" i="40"/>
  <c r="AK561" i="40"/>
  <c r="AL561" i="40"/>
  <c r="AM561" i="40"/>
  <c r="AN561" i="40"/>
  <c r="AO561" i="40"/>
  <c r="AP561" i="40" s="1"/>
  <c r="AX561" i="40" s="1"/>
  <c r="AQ561" i="40"/>
  <c r="AR561" i="40"/>
  <c r="AS561" i="40"/>
  <c r="AG562" i="40"/>
  <c r="AH562" i="40"/>
  <c r="AI562" i="40"/>
  <c r="AJ562" i="40"/>
  <c r="AK562" i="40"/>
  <c r="AL562" i="40"/>
  <c r="AM562" i="40"/>
  <c r="AN562" i="40"/>
  <c r="AO562" i="40"/>
  <c r="AQ562" i="40"/>
  <c r="AR562" i="40"/>
  <c r="AS562" i="40"/>
  <c r="AG563" i="40"/>
  <c r="AH563" i="40"/>
  <c r="AI563" i="40"/>
  <c r="AJ563" i="40"/>
  <c r="AK563" i="40"/>
  <c r="AL563" i="40"/>
  <c r="AM563" i="40"/>
  <c r="AN563" i="40"/>
  <c r="AP563" i="40" s="1"/>
  <c r="AO563" i="40"/>
  <c r="AQ563" i="40"/>
  <c r="AR563" i="40"/>
  <c r="AS563" i="40"/>
  <c r="AG564" i="40"/>
  <c r="AH564" i="40"/>
  <c r="AI564" i="40"/>
  <c r="AJ564" i="40"/>
  <c r="AK564" i="40"/>
  <c r="AL564" i="40"/>
  <c r="AM564" i="40"/>
  <c r="AN564" i="40"/>
  <c r="AO564" i="40"/>
  <c r="AP564" i="40"/>
  <c r="BP564" i="40" s="1"/>
  <c r="AQ564" i="40"/>
  <c r="AR564" i="40"/>
  <c r="AS564" i="40"/>
  <c r="AG565" i="40"/>
  <c r="AH565" i="40"/>
  <c r="AI565" i="40"/>
  <c r="AJ565" i="40"/>
  <c r="AK565" i="40"/>
  <c r="AL565" i="40"/>
  <c r="AM565" i="40"/>
  <c r="AN565" i="40"/>
  <c r="AP565" i="40" s="1"/>
  <c r="AO565" i="40"/>
  <c r="AQ565" i="40"/>
  <c r="AR565" i="40"/>
  <c r="AS565" i="40"/>
  <c r="AG566" i="40"/>
  <c r="AH566" i="40"/>
  <c r="AI566" i="40"/>
  <c r="AJ566" i="40"/>
  <c r="AK566" i="40"/>
  <c r="AL566" i="40"/>
  <c r="AM566" i="40"/>
  <c r="AN566" i="40"/>
  <c r="AP566" i="40" s="1"/>
  <c r="AO566" i="40"/>
  <c r="AQ566" i="40"/>
  <c r="AR566" i="40"/>
  <c r="AS566" i="40"/>
  <c r="AG567" i="40"/>
  <c r="AH567" i="40"/>
  <c r="AI567" i="40"/>
  <c r="AJ567" i="40"/>
  <c r="AK567" i="40"/>
  <c r="AP567" i="40" s="1"/>
  <c r="BG567" i="40" s="1"/>
  <c r="AL567" i="40"/>
  <c r="AM567" i="40"/>
  <c r="AN567" i="40"/>
  <c r="AO567" i="40"/>
  <c r="AQ567" i="40"/>
  <c r="AR567" i="40"/>
  <c r="AS567" i="40"/>
  <c r="AG568" i="40"/>
  <c r="AH568" i="40"/>
  <c r="AI568" i="40"/>
  <c r="AJ568" i="40"/>
  <c r="AK568" i="40"/>
  <c r="AL568" i="40"/>
  <c r="AM568" i="40"/>
  <c r="AN568" i="40"/>
  <c r="AO568" i="40"/>
  <c r="AP568" i="40" s="1"/>
  <c r="AQ568" i="40"/>
  <c r="AR568" i="40"/>
  <c r="AS568" i="40"/>
  <c r="AG569" i="40"/>
  <c r="AH569" i="40"/>
  <c r="AI569" i="40"/>
  <c r="AJ569" i="40"/>
  <c r="AK569" i="40"/>
  <c r="AL569" i="40"/>
  <c r="AM569" i="40"/>
  <c r="AN569" i="40"/>
  <c r="AO569" i="40"/>
  <c r="AP569" i="40" s="1"/>
  <c r="CY569" i="40" s="1"/>
  <c r="AQ569" i="40"/>
  <c r="AR569" i="40"/>
  <c r="AS569" i="40"/>
  <c r="AG570" i="40"/>
  <c r="AH570" i="40"/>
  <c r="AI570" i="40"/>
  <c r="AJ570" i="40"/>
  <c r="AK570" i="40"/>
  <c r="AL570" i="40"/>
  <c r="AM570" i="40"/>
  <c r="AN570" i="40"/>
  <c r="AO570" i="40"/>
  <c r="AQ570" i="40"/>
  <c r="AR570" i="40"/>
  <c r="AS570" i="40"/>
  <c r="AG571" i="40"/>
  <c r="AH571" i="40"/>
  <c r="AI571" i="40"/>
  <c r="AJ571" i="40"/>
  <c r="AK571" i="40"/>
  <c r="AL571" i="40"/>
  <c r="AP571" i="40" s="1"/>
  <c r="AM571" i="40"/>
  <c r="AN571" i="40"/>
  <c r="AO571" i="40"/>
  <c r="AQ571" i="40"/>
  <c r="AR571" i="40"/>
  <c r="AS571" i="40"/>
  <c r="AG572" i="40"/>
  <c r="AH572" i="40"/>
  <c r="AI572" i="40"/>
  <c r="AJ572" i="40"/>
  <c r="AK572" i="40"/>
  <c r="AL572" i="40"/>
  <c r="AM572" i="40"/>
  <c r="AN572" i="40"/>
  <c r="AO572" i="40"/>
  <c r="AQ572" i="40"/>
  <c r="AR572" i="40"/>
  <c r="AS572" i="40"/>
  <c r="AG573" i="40"/>
  <c r="AH573" i="40"/>
  <c r="AI573" i="40"/>
  <c r="AJ573" i="40"/>
  <c r="AK573" i="40"/>
  <c r="AL573" i="40"/>
  <c r="AM573" i="40"/>
  <c r="AN573" i="40"/>
  <c r="AO573" i="40"/>
  <c r="AP573" i="40" s="1"/>
  <c r="CL573" i="40" s="1"/>
  <c r="AQ573" i="40"/>
  <c r="AR573" i="40"/>
  <c r="AS573" i="40"/>
  <c r="AG574" i="40"/>
  <c r="AH574" i="40"/>
  <c r="AI574" i="40"/>
  <c r="AJ574" i="40"/>
  <c r="AK574" i="40"/>
  <c r="AL574" i="40"/>
  <c r="AM574" i="40"/>
  <c r="AN574" i="40"/>
  <c r="AO574" i="40"/>
  <c r="AQ574" i="40"/>
  <c r="AR574" i="40"/>
  <c r="AS574" i="40"/>
  <c r="AG575" i="40"/>
  <c r="AH575" i="40"/>
  <c r="AI575" i="40"/>
  <c r="AJ575" i="40"/>
  <c r="AK575" i="40"/>
  <c r="AL575" i="40"/>
  <c r="AP575" i="40" s="1"/>
  <c r="BY575" i="40" s="1"/>
  <c r="AM575" i="40"/>
  <c r="AN575" i="40"/>
  <c r="AO575" i="40"/>
  <c r="AQ575" i="40"/>
  <c r="AR575" i="40"/>
  <c r="AS575" i="40"/>
  <c r="AG576" i="40"/>
  <c r="AH576" i="40"/>
  <c r="AI576" i="40"/>
  <c r="AJ576" i="40"/>
  <c r="AK576" i="40"/>
  <c r="AL576" i="40"/>
  <c r="AM576" i="40"/>
  <c r="AN576" i="40"/>
  <c r="AO576" i="40"/>
  <c r="AP576" i="40" s="1"/>
  <c r="AQ576" i="40"/>
  <c r="AR576" i="40"/>
  <c r="AS576" i="40"/>
  <c r="AG577" i="40"/>
  <c r="AH577" i="40"/>
  <c r="AI577" i="40"/>
  <c r="AJ577" i="40"/>
  <c r="AK577" i="40"/>
  <c r="AL577" i="40"/>
  <c r="AM577" i="40"/>
  <c r="AN577" i="40"/>
  <c r="AP577" i="40" s="1"/>
  <c r="AO577" i="40"/>
  <c r="AQ577" i="40"/>
  <c r="AR577" i="40"/>
  <c r="AS577" i="40"/>
  <c r="AG578" i="40"/>
  <c r="AH578" i="40"/>
  <c r="AI578" i="40"/>
  <c r="AJ578" i="40"/>
  <c r="AK578" i="40"/>
  <c r="AL578" i="40"/>
  <c r="AM578" i="40"/>
  <c r="AN578" i="40"/>
  <c r="AO578" i="40"/>
  <c r="AP578" i="40" s="1"/>
  <c r="AQ578" i="40"/>
  <c r="AR578" i="40"/>
  <c r="AS578" i="40"/>
  <c r="AG579" i="40"/>
  <c r="AH579" i="40"/>
  <c r="AI579" i="40"/>
  <c r="AJ579" i="40"/>
  <c r="AK579" i="40"/>
  <c r="AL579" i="40"/>
  <c r="AM579" i="40"/>
  <c r="AN579" i="40"/>
  <c r="AO579" i="40"/>
  <c r="AP579" i="40"/>
  <c r="AQ579" i="40"/>
  <c r="AR579" i="40"/>
  <c r="AS579" i="40"/>
  <c r="AG580" i="40"/>
  <c r="AH580" i="40"/>
  <c r="AI580" i="40"/>
  <c r="AJ580" i="40"/>
  <c r="AK580" i="40"/>
  <c r="AP580" i="40" s="1"/>
  <c r="AL580" i="40"/>
  <c r="AM580" i="40"/>
  <c r="AN580" i="40"/>
  <c r="AO580" i="40"/>
  <c r="AQ580" i="40"/>
  <c r="AR580" i="40"/>
  <c r="AS580" i="40"/>
  <c r="AG581" i="40"/>
  <c r="AH581" i="40"/>
  <c r="AI581" i="40"/>
  <c r="AJ581" i="40"/>
  <c r="AK581" i="40"/>
  <c r="AL581" i="40"/>
  <c r="AM581" i="40"/>
  <c r="AN581" i="40"/>
  <c r="AP581" i="40" s="1"/>
  <c r="AO581" i="40"/>
  <c r="AQ581" i="40"/>
  <c r="AR581" i="40"/>
  <c r="AS581" i="40"/>
  <c r="AG582" i="40"/>
  <c r="AH582" i="40"/>
  <c r="AI582" i="40"/>
  <c r="AJ582" i="40"/>
  <c r="AK582" i="40"/>
  <c r="AL582" i="40"/>
  <c r="AM582" i="40"/>
  <c r="AN582" i="40"/>
  <c r="AP582" i="40" s="1"/>
  <c r="AO582" i="40"/>
  <c r="AQ582" i="40"/>
  <c r="AR582" i="40"/>
  <c r="AS582" i="40"/>
  <c r="AG583" i="40"/>
  <c r="AH583" i="40"/>
  <c r="AI583" i="40"/>
  <c r="AJ583" i="40"/>
  <c r="AK583" i="40"/>
  <c r="AL583" i="40"/>
  <c r="AM583" i="40"/>
  <c r="AN583" i="40"/>
  <c r="AP583" i="40" s="1"/>
  <c r="AO583" i="40"/>
  <c r="AQ583" i="40"/>
  <c r="AR583" i="40"/>
  <c r="AS583" i="40"/>
  <c r="AG584" i="40"/>
  <c r="AH584" i="40"/>
  <c r="AI584" i="40"/>
  <c r="AJ584" i="40"/>
  <c r="AK584" i="40"/>
  <c r="AL584" i="40"/>
  <c r="AM584" i="40"/>
  <c r="AN584" i="40"/>
  <c r="AP584" i="40" s="1"/>
  <c r="AO584" i="40"/>
  <c r="AQ584" i="40"/>
  <c r="AR584" i="40"/>
  <c r="AS584" i="40"/>
  <c r="AG585" i="40"/>
  <c r="AH585" i="40"/>
  <c r="AI585" i="40"/>
  <c r="AJ585" i="40"/>
  <c r="AK585" i="40"/>
  <c r="AL585" i="40"/>
  <c r="AM585" i="40"/>
  <c r="AN585" i="40"/>
  <c r="AO585" i="40"/>
  <c r="AP585" i="40" s="1"/>
  <c r="AQ585" i="40"/>
  <c r="AR585" i="40"/>
  <c r="AS585" i="40"/>
  <c r="AG586" i="40"/>
  <c r="AH586" i="40"/>
  <c r="AI586" i="40"/>
  <c r="AJ586" i="40"/>
  <c r="AK586" i="40"/>
  <c r="AL586" i="40"/>
  <c r="AM586" i="40"/>
  <c r="AN586" i="40"/>
  <c r="AP586" i="40" s="1"/>
  <c r="AO586" i="40"/>
  <c r="AQ586" i="40"/>
  <c r="AR586" i="40"/>
  <c r="AS586" i="40"/>
  <c r="AG587" i="40"/>
  <c r="AH587" i="40"/>
  <c r="AI587" i="40"/>
  <c r="AJ587" i="40"/>
  <c r="AK587" i="40"/>
  <c r="AL587" i="40"/>
  <c r="AM587" i="40"/>
  <c r="AN587" i="40"/>
  <c r="AO587" i="40"/>
  <c r="AP587" i="40"/>
  <c r="AQ587" i="40"/>
  <c r="AR587" i="40"/>
  <c r="AS587" i="40"/>
  <c r="AG588" i="40"/>
  <c r="AH588" i="40"/>
  <c r="AI588" i="40"/>
  <c r="AJ588" i="40"/>
  <c r="AK588" i="40"/>
  <c r="AL588" i="40"/>
  <c r="AM588" i="40"/>
  <c r="AN588" i="40"/>
  <c r="AO588" i="40"/>
  <c r="AP588" i="40"/>
  <c r="AQ588" i="40"/>
  <c r="AR588" i="40"/>
  <c r="AS588" i="40"/>
  <c r="AG589" i="40"/>
  <c r="AH589" i="40"/>
  <c r="AI589" i="40"/>
  <c r="AJ589" i="40"/>
  <c r="AK589" i="40"/>
  <c r="AL589" i="40"/>
  <c r="AM589" i="40"/>
  <c r="AN589" i="40"/>
  <c r="AP589" i="40" s="1"/>
  <c r="AO589" i="40"/>
  <c r="AQ589" i="40"/>
  <c r="AR589" i="40"/>
  <c r="AS589" i="40"/>
  <c r="AG590" i="40"/>
  <c r="AH590" i="40"/>
  <c r="AI590" i="40"/>
  <c r="AJ590" i="40"/>
  <c r="AK590" i="40"/>
  <c r="AL590" i="40"/>
  <c r="AM590" i="40"/>
  <c r="AN590" i="40"/>
  <c r="AP590" i="40" s="1"/>
  <c r="AO590" i="40"/>
  <c r="AQ590" i="40"/>
  <c r="AR590" i="40"/>
  <c r="AS590" i="40"/>
  <c r="AG591" i="40"/>
  <c r="AH591" i="40"/>
  <c r="AI591" i="40"/>
  <c r="AJ591" i="40"/>
  <c r="AK591" i="40"/>
  <c r="AL591" i="40"/>
  <c r="AM591" i="40"/>
  <c r="AN591" i="40"/>
  <c r="AP591" i="40" s="1"/>
  <c r="AO591" i="40"/>
  <c r="AQ591" i="40"/>
  <c r="AR591" i="40"/>
  <c r="AS591" i="40"/>
  <c r="AG592" i="40"/>
  <c r="AH592" i="40"/>
  <c r="AI592" i="40"/>
  <c r="AJ592" i="40"/>
  <c r="AK592" i="40"/>
  <c r="AL592" i="40"/>
  <c r="AM592" i="40"/>
  <c r="AN592" i="40"/>
  <c r="AP592" i="40" s="1"/>
  <c r="AO592" i="40"/>
  <c r="AQ592" i="40"/>
  <c r="AR592" i="40"/>
  <c r="AS592" i="40"/>
  <c r="AG593" i="40"/>
  <c r="AH593" i="40"/>
  <c r="AI593" i="40"/>
  <c r="AJ593" i="40"/>
  <c r="AK593" i="40"/>
  <c r="AL593" i="40"/>
  <c r="AM593" i="40"/>
  <c r="AN593" i="40"/>
  <c r="AO593" i="40"/>
  <c r="AP593" i="40" s="1"/>
  <c r="AQ593" i="40"/>
  <c r="AR593" i="40"/>
  <c r="AS593" i="40"/>
  <c r="AG594" i="40"/>
  <c r="AH594" i="40"/>
  <c r="AI594" i="40"/>
  <c r="AJ594" i="40"/>
  <c r="AK594" i="40"/>
  <c r="AL594" i="40"/>
  <c r="AM594" i="40"/>
  <c r="AN594" i="40"/>
  <c r="AO594" i="40"/>
  <c r="AP594" i="40" s="1"/>
  <c r="AQ594" i="40"/>
  <c r="AR594" i="40"/>
  <c r="AS594" i="40"/>
  <c r="AG595" i="40"/>
  <c r="AH595" i="40"/>
  <c r="AI595" i="40"/>
  <c r="AJ595" i="40"/>
  <c r="AK595" i="40"/>
  <c r="AL595" i="40"/>
  <c r="AM595" i="40"/>
  <c r="AN595" i="40"/>
  <c r="AP595" i="40" s="1"/>
  <c r="AO595" i="40"/>
  <c r="AQ595" i="40"/>
  <c r="AR595" i="40"/>
  <c r="AS595" i="40"/>
  <c r="AG596" i="40"/>
  <c r="AH596" i="40"/>
  <c r="AI596" i="40"/>
  <c r="AJ596" i="40"/>
  <c r="AK596" i="40"/>
  <c r="AL596" i="40"/>
  <c r="AM596" i="40"/>
  <c r="AN596" i="40"/>
  <c r="AO596" i="40"/>
  <c r="AP596" i="40"/>
  <c r="AQ596" i="40"/>
  <c r="AR596" i="40"/>
  <c r="AS596" i="40"/>
  <c r="AG597" i="40"/>
  <c r="AH597" i="40"/>
  <c r="AI597" i="40"/>
  <c r="AJ597" i="40"/>
  <c r="AK597" i="40"/>
  <c r="AL597" i="40"/>
  <c r="AM597" i="40"/>
  <c r="AN597" i="40"/>
  <c r="AP597" i="40" s="1"/>
  <c r="AO597" i="40"/>
  <c r="AQ597" i="40"/>
  <c r="AR597" i="40"/>
  <c r="AS597" i="40"/>
  <c r="AG598" i="40"/>
  <c r="AH598" i="40"/>
  <c r="AI598" i="40"/>
  <c r="AJ598" i="40"/>
  <c r="AK598" i="40"/>
  <c r="AL598" i="40"/>
  <c r="AM598" i="40"/>
  <c r="AN598" i="40"/>
  <c r="AP598" i="40" s="1"/>
  <c r="AO598" i="40"/>
  <c r="AQ598" i="40"/>
  <c r="AR598" i="40"/>
  <c r="AS598" i="40"/>
  <c r="AG599" i="40"/>
  <c r="AH599" i="40"/>
  <c r="AI599" i="40"/>
  <c r="AJ599" i="40"/>
  <c r="AK599" i="40"/>
  <c r="AP599" i="40" s="1"/>
  <c r="AL599" i="40"/>
  <c r="AM599" i="40"/>
  <c r="AN599" i="40"/>
  <c r="AO599" i="40"/>
  <c r="AQ599" i="40"/>
  <c r="AR599" i="40"/>
  <c r="AS599" i="40"/>
  <c r="AG600" i="40"/>
  <c r="AH600" i="40"/>
  <c r="AI600" i="40"/>
  <c r="AJ600" i="40"/>
  <c r="AK600" i="40"/>
  <c r="AP600" i="40" s="1"/>
  <c r="AL600" i="40"/>
  <c r="AM600" i="40"/>
  <c r="AN600" i="40"/>
  <c r="AO600" i="40"/>
  <c r="AQ600" i="40"/>
  <c r="AR600" i="40"/>
  <c r="AS600" i="40"/>
  <c r="AG601" i="40"/>
  <c r="AH601" i="40"/>
  <c r="AI601" i="40"/>
  <c r="AJ601" i="40"/>
  <c r="AK601" i="40"/>
  <c r="AL601" i="40"/>
  <c r="AM601" i="40"/>
  <c r="AN601" i="40"/>
  <c r="AO601" i="40"/>
  <c r="AP601" i="40" s="1"/>
  <c r="AQ601" i="40"/>
  <c r="AR601" i="40"/>
  <c r="AS601" i="40"/>
  <c r="AG602" i="40"/>
  <c r="AH602" i="40"/>
  <c r="AI602" i="40"/>
  <c r="AJ602" i="40"/>
  <c r="AK602" i="40"/>
  <c r="AL602" i="40"/>
  <c r="AM602" i="40"/>
  <c r="AN602" i="40"/>
  <c r="AP602" i="40" s="1"/>
  <c r="AO602" i="40"/>
  <c r="AQ602" i="40"/>
  <c r="AR602" i="40"/>
  <c r="AS602" i="40"/>
  <c r="AG603" i="40"/>
  <c r="AH603" i="40"/>
  <c r="AI603" i="40"/>
  <c r="AJ603" i="40"/>
  <c r="AK603" i="40"/>
  <c r="AL603" i="40"/>
  <c r="AM603" i="40"/>
  <c r="AN603" i="40"/>
  <c r="AO603" i="40"/>
  <c r="AP603" i="40"/>
  <c r="AQ603" i="40"/>
  <c r="AR603" i="40"/>
  <c r="AS603" i="40"/>
  <c r="AG604" i="40"/>
  <c r="AH604" i="40"/>
  <c r="AI604" i="40"/>
  <c r="AJ604" i="40"/>
  <c r="AK604" i="40"/>
  <c r="AP604" i="40" s="1"/>
  <c r="AL604" i="40"/>
  <c r="AM604" i="40"/>
  <c r="AN604" i="40"/>
  <c r="AO604" i="40"/>
  <c r="AQ604" i="40"/>
  <c r="AR604" i="40"/>
  <c r="AS604" i="40"/>
  <c r="AG605" i="40"/>
  <c r="AH605" i="40"/>
  <c r="AI605" i="40"/>
  <c r="AJ605" i="40"/>
  <c r="AK605" i="40"/>
  <c r="AL605" i="40"/>
  <c r="AM605" i="40"/>
  <c r="AN605" i="40"/>
  <c r="AP605" i="40" s="1"/>
  <c r="AO605" i="40"/>
  <c r="AQ605" i="40"/>
  <c r="AR605" i="40"/>
  <c r="AS605" i="40"/>
  <c r="AG606" i="40"/>
  <c r="AH606" i="40"/>
  <c r="AI606" i="40"/>
  <c r="AJ606" i="40"/>
  <c r="AK606" i="40"/>
  <c r="AL606" i="40"/>
  <c r="AM606" i="40"/>
  <c r="AN606" i="40"/>
  <c r="AP606" i="40" s="1"/>
  <c r="AO606" i="40"/>
  <c r="AQ606" i="40"/>
  <c r="AR606" i="40"/>
  <c r="AS606" i="40"/>
  <c r="AG607" i="40"/>
  <c r="AH607" i="40"/>
  <c r="AI607" i="40"/>
  <c r="AJ607" i="40"/>
  <c r="AK607" i="40"/>
  <c r="AL607" i="40"/>
  <c r="AP607" i="40" s="1"/>
  <c r="AM607" i="40"/>
  <c r="AN607" i="40"/>
  <c r="AO607" i="40"/>
  <c r="AQ607" i="40"/>
  <c r="AR607" i="40"/>
  <c r="AS607" i="40"/>
  <c r="AG608" i="40"/>
  <c r="AH608" i="40"/>
  <c r="AI608" i="40"/>
  <c r="AJ608" i="40"/>
  <c r="AK608" i="40"/>
  <c r="AL608" i="40"/>
  <c r="AM608" i="40"/>
  <c r="AN608" i="40"/>
  <c r="AO608" i="40"/>
  <c r="AP608" i="40" s="1"/>
  <c r="AQ608" i="40"/>
  <c r="AR608" i="40"/>
  <c r="AS608" i="40"/>
  <c r="AG609" i="40"/>
  <c r="AH609" i="40"/>
  <c r="AI609" i="40"/>
  <c r="AJ609" i="40"/>
  <c r="AK609" i="40"/>
  <c r="AL609" i="40"/>
  <c r="AM609" i="40"/>
  <c r="AN609" i="40"/>
  <c r="AP609" i="40" s="1"/>
  <c r="AO609" i="40"/>
  <c r="AQ609" i="40"/>
  <c r="AR609" i="40"/>
  <c r="AS609" i="40"/>
  <c r="AG610" i="40"/>
  <c r="AH610" i="40"/>
  <c r="AI610" i="40"/>
  <c r="AJ610" i="40"/>
  <c r="AK610" i="40"/>
  <c r="AP610" i="40" s="1"/>
  <c r="AL610" i="40"/>
  <c r="AM610" i="40"/>
  <c r="AN610" i="40"/>
  <c r="AO610" i="40"/>
  <c r="AQ610" i="40"/>
  <c r="AR610" i="40"/>
  <c r="AS610" i="40"/>
  <c r="AG611" i="40"/>
  <c r="AH611" i="40"/>
  <c r="AI611" i="40"/>
  <c r="AJ611" i="40"/>
  <c r="AK611" i="40"/>
  <c r="AL611" i="40"/>
  <c r="AM611" i="40"/>
  <c r="AN611" i="40"/>
  <c r="AO611" i="40"/>
  <c r="AP611" i="40"/>
  <c r="AQ611" i="40"/>
  <c r="AR611" i="40"/>
  <c r="AS611" i="40"/>
  <c r="AG612" i="40"/>
  <c r="AH612" i="40"/>
  <c r="AI612" i="40"/>
  <c r="AJ612" i="40"/>
  <c r="AK612" i="40"/>
  <c r="AP612" i="40" s="1"/>
  <c r="AL612" i="40"/>
  <c r="AM612" i="40"/>
  <c r="AN612" i="40"/>
  <c r="AO612" i="40"/>
  <c r="AQ612" i="40"/>
  <c r="AR612" i="40"/>
  <c r="AS612" i="40"/>
  <c r="AG613" i="40"/>
  <c r="AH613" i="40"/>
  <c r="AI613" i="40"/>
  <c r="AJ613" i="40"/>
  <c r="AK613" i="40"/>
  <c r="AL613" i="40"/>
  <c r="AM613" i="40"/>
  <c r="AN613" i="40"/>
  <c r="AP613" i="40" s="1"/>
  <c r="AO613" i="40"/>
  <c r="AQ613" i="40"/>
  <c r="AR613" i="40"/>
  <c r="AS613" i="40"/>
  <c r="AG614" i="40"/>
  <c r="AH614" i="40"/>
  <c r="AI614" i="40"/>
  <c r="AJ614" i="40"/>
  <c r="AK614" i="40"/>
  <c r="AL614" i="40"/>
  <c r="AM614" i="40"/>
  <c r="AN614" i="40"/>
  <c r="AP614" i="40" s="1"/>
  <c r="AO614" i="40"/>
  <c r="AQ614" i="40"/>
  <c r="AR614" i="40"/>
  <c r="AS614" i="40"/>
  <c r="AG615" i="40"/>
  <c r="AH615" i="40"/>
  <c r="AI615" i="40"/>
  <c r="AJ615" i="40"/>
  <c r="AK615" i="40"/>
  <c r="AL615" i="40"/>
  <c r="AM615" i="40"/>
  <c r="AN615" i="40"/>
  <c r="AO615" i="40"/>
  <c r="AP615" i="40" s="1"/>
  <c r="AQ615" i="40"/>
  <c r="AR615" i="40"/>
  <c r="AS615" i="40"/>
  <c r="AG616" i="40"/>
  <c r="AH616" i="40"/>
  <c r="AI616" i="40"/>
  <c r="AJ616" i="40"/>
  <c r="AK616" i="40"/>
  <c r="AL616" i="40"/>
  <c r="AM616" i="40"/>
  <c r="AN616" i="40"/>
  <c r="AP616" i="40" s="1"/>
  <c r="AO616" i="40"/>
  <c r="AQ616" i="40"/>
  <c r="AR616" i="40"/>
  <c r="AS616" i="40"/>
  <c r="AG617" i="40"/>
  <c r="AH617" i="40"/>
  <c r="AI617" i="40"/>
  <c r="AJ617" i="40"/>
  <c r="AK617" i="40"/>
  <c r="AL617" i="40"/>
  <c r="AM617" i="40"/>
  <c r="AN617" i="40"/>
  <c r="AO617" i="40"/>
  <c r="AP617" i="40" s="1"/>
  <c r="AQ617" i="40"/>
  <c r="AR617" i="40"/>
  <c r="AS617" i="40"/>
  <c r="AG618" i="40"/>
  <c r="AH618" i="40"/>
  <c r="AI618" i="40"/>
  <c r="AJ618" i="40"/>
  <c r="AK618" i="40"/>
  <c r="AL618" i="40"/>
  <c r="AM618" i="40"/>
  <c r="AN618" i="40"/>
  <c r="AP618" i="40" s="1"/>
  <c r="AO618" i="40"/>
  <c r="AQ618" i="40"/>
  <c r="AR618" i="40"/>
  <c r="AS618" i="40"/>
  <c r="AG619" i="40"/>
  <c r="AH619" i="40"/>
  <c r="AI619" i="40"/>
  <c r="AJ619" i="40"/>
  <c r="AK619" i="40"/>
  <c r="AL619" i="40"/>
  <c r="AM619" i="40"/>
  <c r="AN619" i="40"/>
  <c r="AO619" i="40"/>
  <c r="AP619" i="40"/>
  <c r="AQ619" i="40"/>
  <c r="AR619" i="40"/>
  <c r="AS619" i="40"/>
  <c r="AG620" i="40"/>
  <c r="AH620" i="40"/>
  <c r="AI620" i="40"/>
  <c r="AJ620" i="40"/>
  <c r="AK620" i="40"/>
  <c r="AL620" i="40"/>
  <c r="AM620" i="40"/>
  <c r="AN620" i="40"/>
  <c r="AO620" i="40"/>
  <c r="AP620" i="40"/>
  <c r="AQ620" i="40"/>
  <c r="AR620" i="40"/>
  <c r="AS620" i="40"/>
  <c r="AG621" i="40"/>
  <c r="AH621" i="40"/>
  <c r="AI621" i="40"/>
  <c r="AJ621" i="40"/>
  <c r="AK621" i="40"/>
  <c r="AL621" i="40"/>
  <c r="AM621" i="40"/>
  <c r="AN621" i="40"/>
  <c r="AP621" i="40" s="1"/>
  <c r="AO621" i="40"/>
  <c r="AQ621" i="40"/>
  <c r="AR621" i="40"/>
  <c r="AS621" i="40"/>
  <c r="AG622" i="40"/>
  <c r="AH622" i="40"/>
  <c r="AI622" i="40"/>
  <c r="AJ622" i="40"/>
  <c r="AK622" i="40"/>
  <c r="AL622" i="40"/>
  <c r="AM622" i="40"/>
  <c r="AN622" i="40"/>
  <c r="AP622" i="40" s="1"/>
  <c r="AO622" i="40"/>
  <c r="AQ622" i="40"/>
  <c r="AR622" i="40"/>
  <c r="AS622" i="40"/>
  <c r="AG623" i="40"/>
  <c r="AH623" i="40"/>
  <c r="AI623" i="40"/>
  <c r="AJ623" i="40"/>
  <c r="AK623" i="40"/>
  <c r="AL623" i="40"/>
  <c r="AM623" i="40"/>
  <c r="AN623" i="40"/>
  <c r="AP623" i="40" s="1"/>
  <c r="AO623" i="40"/>
  <c r="AQ623" i="40"/>
  <c r="AR623" i="40"/>
  <c r="AS623" i="40"/>
  <c r="AG624" i="40"/>
  <c r="AH624" i="40"/>
  <c r="AI624" i="40"/>
  <c r="AJ624" i="40"/>
  <c r="AK624" i="40"/>
  <c r="AL624" i="40"/>
  <c r="AM624" i="40"/>
  <c r="AN624" i="40"/>
  <c r="AP624" i="40" s="1"/>
  <c r="AO624" i="40"/>
  <c r="AQ624" i="40"/>
  <c r="AR624" i="40"/>
  <c r="AS624" i="40"/>
  <c r="AG625" i="40"/>
  <c r="AH625" i="40"/>
  <c r="AI625" i="40"/>
  <c r="AJ625" i="40"/>
  <c r="AK625" i="40"/>
  <c r="AL625" i="40"/>
  <c r="AM625" i="40"/>
  <c r="AN625" i="40"/>
  <c r="AO625" i="40"/>
  <c r="AP625" i="40" s="1"/>
  <c r="AQ625" i="40"/>
  <c r="AR625" i="40"/>
  <c r="AS625" i="40"/>
  <c r="AG626" i="40"/>
  <c r="AH626" i="40"/>
  <c r="AI626" i="40"/>
  <c r="AJ626" i="40"/>
  <c r="AK626" i="40"/>
  <c r="AP626" i="40" s="1"/>
  <c r="AL626" i="40"/>
  <c r="AM626" i="40"/>
  <c r="AN626" i="40"/>
  <c r="AO626" i="40"/>
  <c r="AQ626" i="40"/>
  <c r="AR626" i="40"/>
  <c r="AS626" i="40"/>
  <c r="AG627" i="40"/>
  <c r="AH627" i="40"/>
  <c r="AI627" i="40"/>
  <c r="AJ627" i="40"/>
  <c r="AK627" i="40"/>
  <c r="AL627" i="40"/>
  <c r="AM627" i="40"/>
  <c r="AN627" i="40"/>
  <c r="AP627" i="40" s="1"/>
  <c r="AO627" i="40"/>
  <c r="AQ627" i="40"/>
  <c r="AR627" i="40"/>
  <c r="AS627" i="40"/>
  <c r="AG628" i="40"/>
  <c r="AH628" i="40"/>
  <c r="AI628" i="40"/>
  <c r="AJ628" i="40"/>
  <c r="AK628" i="40"/>
  <c r="AL628" i="40"/>
  <c r="AM628" i="40"/>
  <c r="AN628" i="40"/>
  <c r="AO628" i="40"/>
  <c r="AP628" i="40"/>
  <c r="AQ628" i="40"/>
  <c r="AR628" i="40"/>
  <c r="AS628" i="40"/>
  <c r="AG629" i="40"/>
  <c r="AH629" i="40"/>
  <c r="AI629" i="40"/>
  <c r="AJ629" i="40"/>
  <c r="AK629" i="40"/>
  <c r="AL629" i="40"/>
  <c r="AM629" i="40"/>
  <c r="AN629" i="40"/>
  <c r="AP629" i="40" s="1"/>
  <c r="AO629" i="40"/>
  <c r="AQ629" i="40"/>
  <c r="AR629" i="40"/>
  <c r="AS629" i="40"/>
  <c r="AG630" i="40"/>
  <c r="AH630" i="40"/>
  <c r="AI630" i="40"/>
  <c r="AJ630" i="40"/>
  <c r="AK630" i="40"/>
  <c r="AL630" i="40"/>
  <c r="AM630" i="40"/>
  <c r="AN630" i="40"/>
  <c r="AO630" i="40"/>
  <c r="AP630" i="40" s="1"/>
  <c r="AQ630" i="40"/>
  <c r="AR630" i="40"/>
  <c r="AS630" i="40"/>
  <c r="AG631" i="40"/>
  <c r="AH631" i="40"/>
  <c r="AI631" i="40"/>
  <c r="AJ631" i="40"/>
  <c r="AK631" i="40"/>
  <c r="AP631" i="40" s="1"/>
  <c r="AL631" i="40"/>
  <c r="AM631" i="40"/>
  <c r="AN631" i="40"/>
  <c r="AO631" i="40"/>
  <c r="AQ631" i="40"/>
  <c r="AR631" i="40"/>
  <c r="AS631" i="40"/>
  <c r="AG632" i="40"/>
  <c r="AH632" i="40"/>
  <c r="AI632" i="40"/>
  <c r="AJ632" i="40"/>
  <c r="AK632" i="40"/>
  <c r="AP632" i="40" s="1"/>
  <c r="AL632" i="40"/>
  <c r="AM632" i="40"/>
  <c r="AN632" i="40"/>
  <c r="AO632" i="40"/>
  <c r="AQ632" i="40"/>
  <c r="AR632" i="40"/>
  <c r="AS632" i="40"/>
  <c r="AG633" i="40"/>
  <c r="AH633" i="40"/>
  <c r="AI633" i="40"/>
  <c r="AJ633" i="40"/>
  <c r="AK633" i="40"/>
  <c r="AL633" i="40"/>
  <c r="AM633" i="40"/>
  <c r="AN633" i="40"/>
  <c r="AO633" i="40"/>
  <c r="AP633" i="40" s="1"/>
  <c r="AQ633" i="40"/>
  <c r="AR633" i="40"/>
  <c r="AS633" i="40"/>
  <c r="AG634" i="40"/>
  <c r="AH634" i="40"/>
  <c r="AI634" i="40"/>
  <c r="AJ634" i="40"/>
  <c r="AK634" i="40"/>
  <c r="AL634" i="40"/>
  <c r="AM634" i="40"/>
  <c r="AN634" i="40"/>
  <c r="AP634" i="40" s="1"/>
  <c r="AO634" i="40"/>
  <c r="AQ634" i="40"/>
  <c r="AR634" i="40"/>
  <c r="AS634" i="40"/>
  <c r="AG635" i="40"/>
  <c r="AH635" i="40"/>
  <c r="AI635" i="40"/>
  <c r="AJ635" i="40"/>
  <c r="AK635" i="40"/>
  <c r="AL635" i="40"/>
  <c r="AM635" i="40"/>
  <c r="AN635" i="40"/>
  <c r="AO635" i="40"/>
  <c r="AP635" i="40"/>
  <c r="AQ635" i="40"/>
  <c r="AR635" i="40"/>
  <c r="AS635" i="40"/>
  <c r="AG636" i="40"/>
  <c r="AH636" i="40"/>
  <c r="AI636" i="40"/>
  <c r="AJ636" i="40"/>
  <c r="AK636" i="40"/>
  <c r="AP636" i="40" s="1"/>
  <c r="AL636" i="40"/>
  <c r="AM636" i="40"/>
  <c r="AN636" i="40"/>
  <c r="AO636" i="40"/>
  <c r="AQ636" i="40"/>
  <c r="AR636" i="40"/>
  <c r="AS636" i="40"/>
  <c r="AG637" i="40"/>
  <c r="AH637" i="40"/>
  <c r="AI637" i="40"/>
  <c r="AJ637" i="40"/>
  <c r="AK637" i="40"/>
  <c r="AL637" i="40"/>
  <c r="AM637" i="40"/>
  <c r="AN637" i="40"/>
  <c r="AO637" i="40"/>
  <c r="AP637" i="40" s="1"/>
  <c r="AQ637" i="40"/>
  <c r="AR637" i="40"/>
  <c r="AS637" i="40"/>
  <c r="AG638" i="40"/>
  <c r="AH638" i="40"/>
  <c r="AI638" i="40"/>
  <c r="AJ638" i="40"/>
  <c r="AK638" i="40"/>
  <c r="AL638" i="40"/>
  <c r="AM638" i="40"/>
  <c r="AN638" i="40"/>
  <c r="AO638" i="40"/>
  <c r="AP638" i="40"/>
  <c r="AQ638" i="40"/>
  <c r="AR638" i="40"/>
  <c r="AS638" i="40"/>
  <c r="AG639" i="40"/>
  <c r="AH639" i="40"/>
  <c r="AI639" i="40"/>
  <c r="AJ639" i="40"/>
  <c r="AK639" i="40"/>
  <c r="AP639" i="40" s="1"/>
  <c r="AL639" i="40"/>
  <c r="AM639" i="40"/>
  <c r="AN639" i="40"/>
  <c r="AO639" i="40"/>
  <c r="AQ639" i="40"/>
  <c r="AR639" i="40"/>
  <c r="AS639" i="40"/>
  <c r="AG640" i="40"/>
  <c r="AH640" i="40"/>
  <c r="AI640" i="40"/>
  <c r="AJ640" i="40"/>
  <c r="AK640" i="40"/>
  <c r="AL640" i="40"/>
  <c r="AM640" i="40"/>
  <c r="AN640" i="40"/>
  <c r="AO640" i="40"/>
  <c r="AP640" i="40" s="1"/>
  <c r="AQ640" i="40"/>
  <c r="AR640" i="40"/>
  <c r="AS640" i="40"/>
  <c r="AG641" i="40"/>
  <c r="AH641" i="40"/>
  <c r="AI641" i="40"/>
  <c r="AJ641" i="40"/>
  <c r="AK641" i="40"/>
  <c r="AL641" i="40"/>
  <c r="AM641" i="40"/>
  <c r="AN641" i="40"/>
  <c r="AP641" i="40" s="1"/>
  <c r="AO641" i="40"/>
  <c r="AQ641" i="40"/>
  <c r="AR641" i="40"/>
  <c r="AS641" i="40"/>
  <c r="AG642" i="40"/>
  <c r="AH642" i="40"/>
  <c r="AI642" i="40"/>
  <c r="AJ642" i="40"/>
  <c r="AK642" i="40"/>
  <c r="AL642" i="40"/>
  <c r="AM642" i="40"/>
  <c r="AN642" i="40"/>
  <c r="AP642" i="40" s="1"/>
  <c r="AO642" i="40"/>
  <c r="AQ642" i="40"/>
  <c r="AR642" i="40"/>
  <c r="AS642" i="40"/>
  <c r="AG643" i="40"/>
  <c r="AH643" i="40"/>
  <c r="AI643" i="40"/>
  <c r="AJ643" i="40"/>
  <c r="AK643" i="40"/>
  <c r="AL643" i="40"/>
  <c r="AM643" i="40"/>
  <c r="AN643" i="40"/>
  <c r="AO643" i="40"/>
  <c r="AP643" i="40"/>
  <c r="AQ643" i="40"/>
  <c r="AR643" i="40"/>
  <c r="AS643" i="40"/>
  <c r="AG644" i="40"/>
  <c r="AH644" i="40"/>
  <c r="AI644" i="40"/>
  <c r="AJ644" i="40"/>
  <c r="AK644" i="40"/>
  <c r="AP644" i="40" s="1"/>
  <c r="AL644" i="40"/>
  <c r="AM644" i="40"/>
  <c r="AN644" i="40"/>
  <c r="AO644" i="40"/>
  <c r="AQ644" i="40"/>
  <c r="AR644" i="40"/>
  <c r="AS644" i="40"/>
  <c r="AG645" i="40"/>
  <c r="AH645" i="40"/>
  <c r="AI645" i="40"/>
  <c r="AJ645" i="40"/>
  <c r="AK645" i="40"/>
  <c r="AL645" i="40"/>
  <c r="AM645" i="40"/>
  <c r="AN645" i="40"/>
  <c r="AP645" i="40" s="1"/>
  <c r="AO645" i="40"/>
  <c r="AQ645" i="40"/>
  <c r="AR645" i="40"/>
  <c r="AS645" i="40"/>
  <c r="AG646" i="40"/>
  <c r="AH646" i="40"/>
  <c r="AI646" i="40"/>
  <c r="AJ646" i="40"/>
  <c r="AK646" i="40"/>
  <c r="AL646" i="40"/>
  <c r="AM646" i="40"/>
  <c r="AN646" i="40"/>
  <c r="AP646" i="40" s="1"/>
  <c r="AO646" i="40"/>
  <c r="AQ646" i="40"/>
  <c r="AR646" i="40"/>
  <c r="AS646" i="40"/>
  <c r="AG647" i="40"/>
  <c r="AH647" i="40"/>
  <c r="AI647" i="40"/>
  <c r="AJ647" i="40"/>
  <c r="AK647" i="40"/>
  <c r="AL647" i="40"/>
  <c r="AM647" i="40"/>
  <c r="AN647" i="40"/>
  <c r="AP647" i="40" s="1"/>
  <c r="AO647" i="40"/>
  <c r="AQ647" i="40"/>
  <c r="AR647" i="40"/>
  <c r="AS647" i="40"/>
  <c r="AG648" i="40"/>
  <c r="AH648" i="40"/>
  <c r="AI648" i="40"/>
  <c r="AJ648" i="40"/>
  <c r="AK648" i="40"/>
  <c r="AL648" i="40"/>
  <c r="AM648" i="40"/>
  <c r="AN648" i="40"/>
  <c r="AP648" i="40" s="1"/>
  <c r="AO648" i="40"/>
  <c r="AQ648" i="40"/>
  <c r="AR648" i="40"/>
  <c r="AS648" i="40"/>
  <c r="AG649" i="40"/>
  <c r="AH649" i="40"/>
  <c r="AI649" i="40"/>
  <c r="AJ649" i="40"/>
  <c r="AK649" i="40"/>
  <c r="AL649" i="40"/>
  <c r="AM649" i="40"/>
  <c r="AN649" i="40"/>
  <c r="AO649" i="40"/>
  <c r="AP649" i="40"/>
  <c r="AQ649" i="40"/>
  <c r="AR649" i="40"/>
  <c r="AS649" i="40"/>
  <c r="AG650" i="40"/>
  <c r="AH650" i="40"/>
  <c r="AI650" i="40"/>
  <c r="AJ650" i="40"/>
  <c r="AK650" i="40"/>
  <c r="AL650" i="40"/>
  <c r="AM650" i="40"/>
  <c r="AN650" i="40"/>
  <c r="AP650" i="40" s="1"/>
  <c r="AO650" i="40"/>
  <c r="AQ650" i="40"/>
  <c r="AR650" i="40"/>
  <c r="AS650" i="40"/>
  <c r="AG651" i="40"/>
  <c r="AH651" i="40"/>
  <c r="AI651" i="40"/>
  <c r="AJ651" i="40"/>
  <c r="AK651" i="40"/>
  <c r="AL651" i="40"/>
  <c r="AM651" i="40"/>
  <c r="AN651" i="40"/>
  <c r="AO651" i="40"/>
  <c r="AP651" i="40"/>
  <c r="AQ651" i="40"/>
  <c r="AR651" i="40"/>
  <c r="AS651" i="40"/>
  <c r="AG652" i="40"/>
  <c r="AH652" i="40"/>
  <c r="AI652" i="40"/>
  <c r="AJ652" i="40"/>
  <c r="AK652" i="40"/>
  <c r="AL652" i="40"/>
  <c r="AM652" i="40"/>
  <c r="AN652" i="40"/>
  <c r="AO652" i="40"/>
  <c r="AP652" i="40"/>
  <c r="AQ652" i="40"/>
  <c r="AR652" i="40"/>
  <c r="AS652" i="40"/>
  <c r="AG653" i="40"/>
  <c r="AH653" i="40"/>
  <c r="AI653" i="40"/>
  <c r="AJ653" i="40"/>
  <c r="AK653" i="40"/>
  <c r="AL653" i="40"/>
  <c r="AM653" i="40"/>
  <c r="AN653" i="40"/>
  <c r="AP653" i="40" s="1"/>
  <c r="AO653" i="40"/>
  <c r="AQ653" i="40"/>
  <c r="AR653" i="40"/>
  <c r="AS653" i="40"/>
  <c r="AG654" i="40"/>
  <c r="AH654" i="40"/>
  <c r="AI654" i="40"/>
  <c r="AJ654" i="40"/>
  <c r="AK654" i="40"/>
  <c r="AL654" i="40"/>
  <c r="AM654" i="40"/>
  <c r="AN654" i="40"/>
  <c r="AP654" i="40" s="1"/>
  <c r="AO654" i="40"/>
  <c r="AQ654" i="40"/>
  <c r="AR654" i="40"/>
  <c r="AS654" i="40"/>
  <c r="AG655" i="40"/>
  <c r="AH655" i="40"/>
  <c r="AI655" i="40"/>
  <c r="AJ655" i="40"/>
  <c r="AK655" i="40"/>
  <c r="AL655" i="40"/>
  <c r="AM655" i="40"/>
  <c r="AN655" i="40"/>
  <c r="AP655" i="40" s="1"/>
  <c r="AO655" i="40"/>
  <c r="AQ655" i="40"/>
  <c r="AR655" i="40"/>
  <c r="AS655" i="40"/>
  <c r="AG656" i="40"/>
  <c r="AH656" i="40"/>
  <c r="AI656" i="40"/>
  <c r="AJ656" i="40"/>
  <c r="AK656" i="40"/>
  <c r="AL656" i="40"/>
  <c r="AM656" i="40"/>
  <c r="AN656" i="40"/>
  <c r="AP656" i="40" s="1"/>
  <c r="AO656" i="40"/>
  <c r="AQ656" i="40"/>
  <c r="AR656" i="40"/>
  <c r="AS656" i="40"/>
  <c r="AG657" i="40"/>
  <c r="AH657" i="40"/>
  <c r="AI657" i="40"/>
  <c r="AJ657" i="40"/>
  <c r="AK657" i="40"/>
  <c r="AL657" i="40"/>
  <c r="AM657" i="40"/>
  <c r="AN657" i="40"/>
  <c r="AO657" i="40"/>
  <c r="AP657" i="40"/>
  <c r="AQ657" i="40"/>
  <c r="AR657" i="40"/>
  <c r="AS657" i="40"/>
  <c r="AG658" i="40"/>
  <c r="AH658" i="40"/>
  <c r="AI658" i="40"/>
  <c r="AJ658" i="40"/>
  <c r="AK658" i="40"/>
  <c r="AP658" i="40" s="1"/>
  <c r="AL658" i="40"/>
  <c r="AM658" i="40"/>
  <c r="AN658" i="40"/>
  <c r="AO658" i="40"/>
  <c r="AQ658" i="40"/>
  <c r="AR658" i="40"/>
  <c r="AS658" i="40"/>
  <c r="AG659" i="40"/>
  <c r="AH659" i="40"/>
  <c r="AI659" i="40"/>
  <c r="AJ659" i="40"/>
  <c r="AK659" i="40"/>
  <c r="AL659" i="40"/>
  <c r="AM659" i="40"/>
  <c r="AN659" i="40"/>
  <c r="AP659" i="40" s="1"/>
  <c r="AO659" i="40"/>
  <c r="AQ659" i="40"/>
  <c r="AR659" i="40"/>
  <c r="AS659" i="40"/>
  <c r="AG660" i="40"/>
  <c r="AH660" i="40"/>
  <c r="AI660" i="40"/>
  <c r="AJ660" i="40"/>
  <c r="AK660" i="40"/>
  <c r="AL660" i="40"/>
  <c r="AM660" i="40"/>
  <c r="AN660" i="40"/>
  <c r="AO660" i="40"/>
  <c r="AP660" i="40"/>
  <c r="AQ660" i="40"/>
  <c r="AR660" i="40"/>
  <c r="AS660" i="40"/>
  <c r="AG661" i="40"/>
  <c r="AH661" i="40"/>
  <c r="AI661" i="40"/>
  <c r="AJ661" i="40"/>
  <c r="AK661" i="40"/>
  <c r="AL661" i="40"/>
  <c r="AM661" i="40"/>
  <c r="AN661" i="40"/>
  <c r="AP661" i="40" s="1"/>
  <c r="AO661" i="40"/>
  <c r="AQ661" i="40"/>
  <c r="AR661" i="40"/>
  <c r="AS661" i="40"/>
  <c r="AG662" i="40"/>
  <c r="AH662" i="40"/>
  <c r="AI662" i="40"/>
  <c r="AJ662" i="40"/>
  <c r="AK662" i="40"/>
  <c r="AL662" i="40"/>
  <c r="AM662" i="40"/>
  <c r="AN662" i="40"/>
  <c r="AO662" i="40"/>
  <c r="AP662" i="40"/>
  <c r="AQ662" i="40"/>
  <c r="AR662" i="40"/>
  <c r="AS662" i="40"/>
  <c r="AG663" i="40"/>
  <c r="AH663" i="40"/>
  <c r="AI663" i="40"/>
  <c r="AJ663" i="40"/>
  <c r="AK663" i="40"/>
  <c r="AP663" i="40" s="1"/>
  <c r="AL663" i="40"/>
  <c r="AM663" i="40"/>
  <c r="AN663" i="40"/>
  <c r="AO663" i="40"/>
  <c r="AQ663" i="40"/>
  <c r="AR663" i="40"/>
  <c r="AS663" i="40"/>
  <c r="AG664" i="40"/>
  <c r="AH664" i="40"/>
  <c r="AI664" i="40"/>
  <c r="AJ664" i="40"/>
  <c r="AK664" i="40"/>
  <c r="AL664" i="40"/>
  <c r="AP664" i="40" s="1"/>
  <c r="AM664" i="40"/>
  <c r="AN664" i="40"/>
  <c r="AO664" i="40"/>
  <c r="AQ664" i="40"/>
  <c r="AR664" i="40"/>
  <c r="AS664" i="40"/>
  <c r="AG665" i="40"/>
  <c r="AH665" i="40"/>
  <c r="AI665" i="40"/>
  <c r="AJ665" i="40"/>
  <c r="AK665" i="40"/>
  <c r="AL665" i="40"/>
  <c r="AM665" i="40"/>
  <c r="AN665" i="40"/>
  <c r="AO665" i="40"/>
  <c r="AP665" i="40" s="1"/>
  <c r="AQ665" i="40"/>
  <c r="AR665" i="40"/>
  <c r="AS665" i="40"/>
  <c r="AG666" i="40"/>
  <c r="AH666" i="40"/>
  <c r="AI666" i="40"/>
  <c r="AJ666" i="40"/>
  <c r="AK666" i="40"/>
  <c r="AL666" i="40"/>
  <c r="AM666" i="40"/>
  <c r="AN666" i="40"/>
  <c r="AP666" i="40" s="1"/>
  <c r="AO666" i="40"/>
  <c r="AQ666" i="40"/>
  <c r="AR666" i="40"/>
  <c r="AS666" i="40"/>
  <c r="AG667" i="40"/>
  <c r="AH667" i="40"/>
  <c r="AI667" i="40"/>
  <c r="AJ667" i="40"/>
  <c r="AK667" i="40"/>
  <c r="AL667" i="40"/>
  <c r="AM667" i="40"/>
  <c r="AN667" i="40"/>
  <c r="AO667" i="40"/>
  <c r="AP667" i="40"/>
  <c r="AQ667" i="40"/>
  <c r="AR667" i="40"/>
  <c r="AS667" i="40"/>
  <c r="AG668" i="40"/>
  <c r="AH668" i="40"/>
  <c r="AI668" i="40"/>
  <c r="AJ668" i="40"/>
  <c r="AK668" i="40"/>
  <c r="AP668" i="40" s="1"/>
  <c r="AL668" i="40"/>
  <c r="AM668" i="40"/>
  <c r="AN668" i="40"/>
  <c r="AO668" i="40"/>
  <c r="AQ668" i="40"/>
  <c r="AR668" i="40"/>
  <c r="AS668" i="40"/>
  <c r="AG669" i="40"/>
  <c r="AH669" i="40"/>
  <c r="AI669" i="40"/>
  <c r="AJ669" i="40"/>
  <c r="AK669" i="40"/>
  <c r="AP669" i="40" s="1"/>
  <c r="AL669" i="40"/>
  <c r="AM669" i="40"/>
  <c r="AN669" i="40"/>
  <c r="AO669" i="40"/>
  <c r="AQ669" i="40"/>
  <c r="AR669" i="40"/>
  <c r="AS669" i="40"/>
  <c r="AG670" i="40"/>
  <c r="AH670" i="40"/>
  <c r="AI670" i="40"/>
  <c r="AJ670" i="40"/>
  <c r="AK670" i="40"/>
  <c r="AL670" i="40"/>
  <c r="AM670" i="40"/>
  <c r="AN670" i="40"/>
  <c r="AO670" i="40"/>
  <c r="AP670" i="40"/>
  <c r="AQ670" i="40"/>
  <c r="AR670" i="40"/>
  <c r="AS670" i="40"/>
  <c r="AG671" i="40"/>
  <c r="AH671" i="40"/>
  <c r="AI671" i="40"/>
  <c r="AJ671" i="40"/>
  <c r="AK671" i="40"/>
  <c r="AP671" i="40" s="1"/>
  <c r="AL671" i="40"/>
  <c r="AM671" i="40"/>
  <c r="AN671" i="40"/>
  <c r="AO671" i="40"/>
  <c r="AQ671" i="40"/>
  <c r="AR671" i="40"/>
  <c r="AS671" i="40"/>
  <c r="AG672" i="40"/>
  <c r="AH672" i="40"/>
  <c r="AI672" i="40"/>
  <c r="AJ672" i="40"/>
  <c r="AK672" i="40"/>
  <c r="AL672" i="40"/>
  <c r="AM672" i="40"/>
  <c r="AN672" i="40"/>
  <c r="AO672" i="40"/>
  <c r="AP672" i="40"/>
  <c r="AQ672" i="40"/>
  <c r="AR672" i="40"/>
  <c r="AS672" i="40"/>
  <c r="AG673" i="40"/>
  <c r="AH673" i="40"/>
  <c r="AI673" i="40"/>
  <c r="AJ673" i="40"/>
  <c r="AK673" i="40"/>
  <c r="AL673" i="40"/>
  <c r="AM673" i="40"/>
  <c r="AN673" i="40"/>
  <c r="AP673" i="40" s="1"/>
  <c r="AO673" i="40"/>
  <c r="AQ673" i="40"/>
  <c r="AR673" i="40"/>
  <c r="AS673" i="40"/>
  <c r="AG674" i="40"/>
  <c r="AH674" i="40"/>
  <c r="AI674" i="40"/>
  <c r="AJ674" i="40"/>
  <c r="AK674" i="40"/>
  <c r="AP674" i="40" s="1"/>
  <c r="AL674" i="40"/>
  <c r="AM674" i="40"/>
  <c r="AN674" i="40"/>
  <c r="AO674" i="40"/>
  <c r="AQ674" i="40"/>
  <c r="AR674" i="40"/>
  <c r="AS674" i="40"/>
  <c r="AG675" i="40"/>
  <c r="AH675" i="40"/>
  <c r="AI675" i="40"/>
  <c r="AJ675" i="40"/>
  <c r="AK675" i="40"/>
  <c r="AL675" i="40"/>
  <c r="AM675" i="40"/>
  <c r="AN675" i="40"/>
  <c r="AO675" i="40"/>
  <c r="AP675" i="40"/>
  <c r="AQ675" i="40"/>
  <c r="AR675" i="40"/>
  <c r="AS675" i="40"/>
  <c r="AG676" i="40"/>
  <c r="AH676" i="40"/>
  <c r="AI676" i="40"/>
  <c r="AJ676" i="40"/>
  <c r="AK676" i="40"/>
  <c r="AP676" i="40" s="1"/>
  <c r="AL676" i="40"/>
  <c r="AM676" i="40"/>
  <c r="AN676" i="40"/>
  <c r="AO676" i="40"/>
  <c r="AQ676" i="40"/>
  <c r="AR676" i="40"/>
  <c r="AS676" i="40"/>
  <c r="AG677" i="40"/>
  <c r="AH677" i="40"/>
  <c r="AI677" i="40"/>
  <c r="AJ677" i="40"/>
  <c r="AK677" i="40"/>
  <c r="AL677" i="40"/>
  <c r="AM677" i="40"/>
  <c r="AN677" i="40"/>
  <c r="AP677" i="40" s="1"/>
  <c r="AO677" i="40"/>
  <c r="AQ677" i="40"/>
  <c r="AR677" i="40"/>
  <c r="AS677" i="40"/>
  <c r="AG678" i="40"/>
  <c r="AH678" i="40"/>
  <c r="AI678" i="40"/>
  <c r="AJ678" i="40"/>
  <c r="AK678" i="40"/>
  <c r="AL678" i="40"/>
  <c r="AM678" i="40"/>
  <c r="AN678" i="40"/>
  <c r="AP678" i="40" s="1"/>
  <c r="AO678" i="40"/>
  <c r="AQ678" i="40"/>
  <c r="AR678" i="40"/>
  <c r="AS678" i="40"/>
  <c r="AG679" i="40"/>
  <c r="AH679" i="40"/>
  <c r="AI679" i="40"/>
  <c r="AJ679" i="40"/>
  <c r="AK679" i="40"/>
  <c r="AL679" i="40"/>
  <c r="AM679" i="40"/>
  <c r="AN679" i="40"/>
  <c r="AP679" i="40" s="1"/>
  <c r="AO679" i="40"/>
  <c r="AQ679" i="40"/>
  <c r="AR679" i="40"/>
  <c r="AS679" i="40"/>
  <c r="AG680" i="40"/>
  <c r="AH680" i="40"/>
  <c r="AI680" i="40"/>
  <c r="AJ680" i="40"/>
  <c r="AK680" i="40"/>
  <c r="AL680" i="40"/>
  <c r="AM680" i="40"/>
  <c r="AN680" i="40"/>
  <c r="AP680" i="40" s="1"/>
  <c r="AO680" i="40"/>
  <c r="AQ680" i="40"/>
  <c r="AR680" i="40"/>
  <c r="AS680" i="40"/>
  <c r="AG13" i="40"/>
  <c r="AH13" i="40"/>
  <c r="AI13" i="40"/>
  <c r="AJ13" i="40"/>
  <c r="AK13" i="40"/>
  <c r="AL13" i="40"/>
  <c r="AM13" i="40"/>
  <c r="AN13" i="40"/>
  <c r="AP13" i="40" s="1"/>
  <c r="AO13" i="40"/>
  <c r="AQ13" i="40"/>
  <c r="AR13" i="40"/>
  <c r="AS13" i="40"/>
  <c r="AG14" i="40"/>
  <c r="AH14" i="40"/>
  <c r="AI14" i="40"/>
  <c r="AJ14" i="40"/>
  <c r="AK14" i="40"/>
  <c r="AL14" i="40"/>
  <c r="AM14" i="40"/>
  <c r="AN14" i="40"/>
  <c r="AO14" i="40"/>
  <c r="AP14" i="40"/>
  <c r="AQ14" i="40"/>
  <c r="AR14" i="40"/>
  <c r="AS14" i="40"/>
  <c r="AG15" i="40"/>
  <c r="AH15" i="40"/>
  <c r="AI15" i="40"/>
  <c r="AJ15" i="40"/>
  <c r="AK15" i="40"/>
  <c r="AP15" i="40" s="1"/>
  <c r="AL15" i="40"/>
  <c r="AM15" i="40"/>
  <c r="AN15" i="40"/>
  <c r="AO15" i="40"/>
  <c r="AQ15" i="40"/>
  <c r="AR15" i="40"/>
  <c r="AS15" i="40"/>
  <c r="AG16" i="40"/>
  <c r="AH16" i="40"/>
  <c r="AI16" i="40"/>
  <c r="AJ16" i="40"/>
  <c r="AK16" i="40"/>
  <c r="AL16" i="40"/>
  <c r="AM16" i="40"/>
  <c r="AN16" i="40"/>
  <c r="AO16" i="40"/>
  <c r="AP16" i="40" s="1"/>
  <c r="AQ16" i="40"/>
  <c r="AR16" i="40"/>
  <c r="AS16" i="40"/>
  <c r="AG17" i="40"/>
  <c r="AH17" i="40"/>
  <c r="AI17" i="40"/>
  <c r="AJ17" i="40"/>
  <c r="AK17" i="40"/>
  <c r="AL17" i="40"/>
  <c r="AM17" i="40"/>
  <c r="AN17" i="40"/>
  <c r="AP17" i="40" s="1"/>
  <c r="AO17" i="40"/>
  <c r="AQ17" i="40"/>
  <c r="AR17" i="40"/>
  <c r="AS17" i="40"/>
  <c r="AG18" i="40"/>
  <c r="AH18" i="40"/>
  <c r="AI18" i="40"/>
  <c r="AJ18" i="40"/>
  <c r="AK18" i="40"/>
  <c r="AL18" i="40"/>
  <c r="AM18" i="40"/>
  <c r="AN18" i="40"/>
  <c r="AO18" i="40"/>
  <c r="AP18" i="40" s="1"/>
  <c r="AQ18" i="40"/>
  <c r="AR18" i="40"/>
  <c r="AS18" i="40"/>
  <c r="AG19" i="40"/>
  <c r="AH19" i="40"/>
  <c r="AI19" i="40"/>
  <c r="AJ19" i="40"/>
  <c r="AK19" i="40"/>
  <c r="AL19" i="40"/>
  <c r="AM19" i="40"/>
  <c r="AN19" i="40"/>
  <c r="AO19" i="40"/>
  <c r="AP19" i="40"/>
  <c r="AQ19" i="40"/>
  <c r="AR19" i="40"/>
  <c r="AS19" i="40"/>
  <c r="AG20" i="40"/>
  <c r="AH20" i="40"/>
  <c r="AI20" i="40"/>
  <c r="AJ20" i="40"/>
  <c r="AK20" i="40"/>
  <c r="AL20" i="40"/>
  <c r="AM20" i="40"/>
  <c r="AN20" i="40"/>
  <c r="AP20" i="40" s="1"/>
  <c r="AO20" i="40"/>
  <c r="AQ20" i="40"/>
  <c r="AR20" i="40"/>
  <c r="AS20" i="40"/>
  <c r="AG12" i="40"/>
  <c r="AH12" i="40"/>
  <c r="AI12" i="40"/>
  <c r="AJ12" i="40"/>
  <c r="AK12" i="40"/>
  <c r="AL12" i="40"/>
  <c r="AM12" i="40"/>
  <c r="AN12" i="40"/>
  <c r="AO12" i="40"/>
  <c r="AP12" i="40" s="1"/>
  <c r="AQ12" i="40"/>
  <c r="AR12" i="40"/>
  <c r="AS12" i="40"/>
  <c r="CY571" i="40" l="1"/>
  <c r="AX571" i="40"/>
  <c r="BP571" i="40"/>
  <c r="BY571" i="40"/>
  <c r="BG571" i="40"/>
  <c r="CL571" i="40"/>
  <c r="AX529" i="40"/>
  <c r="BP529" i="40"/>
  <c r="BY529" i="40"/>
  <c r="CL529" i="40"/>
  <c r="BG529" i="40"/>
  <c r="CY529" i="40"/>
  <c r="AP554" i="40"/>
  <c r="CL539" i="40"/>
  <c r="CY568" i="40"/>
  <c r="CY536" i="40"/>
  <c r="AP546" i="40"/>
  <c r="AX556" i="40"/>
  <c r="BP568" i="40"/>
  <c r="BP536" i="40"/>
  <c r="BY573" i="40"/>
  <c r="CY567" i="40"/>
  <c r="CY535" i="40"/>
  <c r="AP559" i="40"/>
  <c r="AP538" i="40"/>
  <c r="AP530" i="40"/>
  <c r="AX565" i="40"/>
  <c r="BG539" i="40"/>
  <c r="CL569" i="40"/>
  <c r="CL537" i="40"/>
  <c r="CY566" i="40"/>
  <c r="CY534" i="40"/>
  <c r="BY539" i="40"/>
  <c r="CL568" i="40"/>
  <c r="CL536" i="40"/>
  <c r="CY565" i="40"/>
  <c r="AX551" i="40"/>
  <c r="BG557" i="40"/>
  <c r="BP563" i="40"/>
  <c r="CL567" i="40"/>
  <c r="CL535" i="40"/>
  <c r="CY564" i="40"/>
  <c r="CY532" i="40"/>
  <c r="AX560" i="40"/>
  <c r="BG566" i="40"/>
  <c r="BG534" i="40"/>
  <c r="BY569" i="40"/>
  <c r="BY537" i="40"/>
  <c r="CL566" i="40"/>
  <c r="CL534" i="40"/>
  <c r="CY563" i="40"/>
  <c r="AX569" i="40"/>
  <c r="AX537" i="40"/>
  <c r="BG543" i="40"/>
  <c r="BY568" i="40"/>
  <c r="BY536" i="40"/>
  <c r="CL565" i="40"/>
  <c r="BG552" i="40"/>
  <c r="BY567" i="40"/>
  <c r="BY535" i="40"/>
  <c r="CL564" i="40"/>
  <c r="CL532" i="40"/>
  <c r="CY561" i="40"/>
  <c r="AP572" i="40"/>
  <c r="AX555" i="40"/>
  <c r="BG561" i="40"/>
  <c r="BP567" i="40"/>
  <c r="BP535" i="40"/>
  <c r="BY566" i="40"/>
  <c r="BY534" i="40"/>
  <c r="CL563" i="40"/>
  <c r="CY560" i="40"/>
  <c r="AX564" i="40"/>
  <c r="AX532" i="40"/>
  <c r="BY565" i="40"/>
  <c r="D571" i="42"/>
  <c r="C571" i="42"/>
  <c r="BY564" i="40"/>
  <c r="BY532" i="40"/>
  <c r="CL561" i="40"/>
  <c r="BG556" i="40"/>
  <c r="BY563" i="40"/>
  <c r="CL560" i="40"/>
  <c r="CY557" i="40"/>
  <c r="AP574" i="40"/>
  <c r="AP553" i="40"/>
  <c r="AP540" i="40"/>
  <c r="BG565" i="40"/>
  <c r="BP539" i="40"/>
  <c r="CY556" i="40"/>
  <c r="AX568" i="40"/>
  <c r="AX536" i="40"/>
  <c r="BY561" i="40"/>
  <c r="CY555" i="40"/>
  <c r="AP558" i="40"/>
  <c r="BG551" i="40"/>
  <c r="BP557" i="40"/>
  <c r="BY560" i="40"/>
  <c r="CL557" i="40"/>
  <c r="BG560" i="40"/>
  <c r="BP566" i="40"/>
  <c r="BP534" i="40"/>
  <c r="CL556" i="40"/>
  <c r="AP550" i="40"/>
  <c r="AX563" i="40"/>
  <c r="BG569" i="40"/>
  <c r="BG537" i="40"/>
  <c r="BP543" i="40"/>
  <c r="CL555" i="40"/>
  <c r="CY552" i="40"/>
  <c r="AP542" i="40"/>
  <c r="BP552" i="40"/>
  <c r="BY557" i="40"/>
  <c r="CY551" i="40"/>
  <c r="C536" i="42"/>
  <c r="BG555" i="40"/>
  <c r="BP561" i="40"/>
  <c r="BY556" i="40"/>
  <c r="BG564" i="40"/>
  <c r="BG532" i="40"/>
  <c r="BY555" i="40"/>
  <c r="CL552" i="40"/>
  <c r="AX567" i="40"/>
  <c r="AX535" i="40"/>
  <c r="CL551" i="40"/>
  <c r="CY548" i="40"/>
  <c r="D579" i="42"/>
  <c r="BP556" i="40"/>
  <c r="CY547" i="40"/>
  <c r="E579" i="42"/>
  <c r="BP565" i="40"/>
  <c r="BY552" i="40"/>
  <c r="BG568" i="40"/>
  <c r="BG536" i="40"/>
  <c r="BY551" i="40"/>
  <c r="CL548" i="40"/>
  <c r="CY577" i="40"/>
  <c r="CY545" i="40"/>
  <c r="AP531" i="40"/>
  <c r="AX539" i="40"/>
  <c r="BP551" i="40"/>
  <c r="CL547" i="40"/>
  <c r="CY576" i="40"/>
  <c r="CY544" i="40"/>
  <c r="BP560" i="40"/>
  <c r="CY575" i="40"/>
  <c r="CY543" i="40"/>
  <c r="C572" i="42"/>
  <c r="AX557" i="40"/>
  <c r="BG563" i="40"/>
  <c r="BP569" i="40"/>
  <c r="BP537" i="40"/>
  <c r="BY548" i="40"/>
  <c r="CL577" i="40"/>
  <c r="CL545" i="40"/>
  <c r="D572" i="42"/>
  <c r="E574" i="42"/>
  <c r="F574" i="42"/>
  <c r="AX566" i="40"/>
  <c r="AX534" i="40"/>
  <c r="BY547" i="40"/>
  <c r="CL576" i="40"/>
  <c r="CL544" i="40"/>
  <c r="CY573" i="40"/>
  <c r="E572" i="42"/>
  <c r="C577" i="42"/>
  <c r="C546" i="42"/>
  <c r="AP549" i="40"/>
  <c r="AX543" i="40"/>
  <c r="CL575" i="40"/>
  <c r="CL543" i="40"/>
  <c r="D577" i="42"/>
  <c r="D546" i="42"/>
  <c r="AP570" i="40"/>
  <c r="AP562" i="40"/>
  <c r="AP541" i="40"/>
  <c r="BY577" i="40"/>
  <c r="BY545" i="40"/>
  <c r="CY539" i="40"/>
  <c r="E577" i="42"/>
  <c r="E546" i="42"/>
  <c r="AP533" i="40"/>
  <c r="BY576" i="40"/>
  <c r="BY544" i="40"/>
  <c r="C565" i="42"/>
  <c r="AP528" i="40"/>
  <c r="D530" i="42"/>
  <c r="F449" i="42"/>
  <c r="E449" i="42"/>
  <c r="D449" i="42"/>
  <c r="C449" i="42"/>
  <c r="F290" i="42"/>
  <c r="E290" i="42"/>
  <c r="D290" i="42"/>
  <c r="C290" i="42"/>
  <c r="F306" i="42"/>
  <c r="E306" i="42"/>
  <c r="D306" i="42"/>
  <c r="C306" i="42"/>
  <c r="C240" i="42"/>
  <c r="F240" i="42"/>
  <c r="E240" i="42"/>
  <c r="D240" i="42"/>
  <c r="F322" i="42"/>
  <c r="E322" i="42"/>
  <c r="D322" i="42"/>
  <c r="C322" i="42"/>
  <c r="F374" i="42"/>
  <c r="E374" i="42"/>
  <c r="D374" i="42"/>
  <c r="C374" i="42"/>
  <c r="F468" i="42"/>
  <c r="E468" i="42"/>
  <c r="D468" i="42"/>
  <c r="C468" i="42"/>
  <c r="F644" i="42"/>
  <c r="E644" i="42"/>
  <c r="D644" i="42"/>
  <c r="C644" i="42"/>
  <c r="D478" i="42"/>
  <c r="C478" i="42"/>
  <c r="F478" i="42"/>
  <c r="E478" i="42"/>
  <c r="F360" i="42"/>
  <c r="E360" i="42"/>
  <c r="D360" i="42"/>
  <c r="C360" i="42"/>
  <c r="F561" i="42"/>
  <c r="E561" i="42"/>
  <c r="D561" i="42"/>
  <c r="C561" i="42"/>
  <c r="D382" i="42"/>
  <c r="C382" i="42"/>
  <c r="F382" i="42"/>
  <c r="E382" i="42"/>
  <c r="F346" i="42"/>
  <c r="E346" i="42"/>
  <c r="D346" i="42"/>
  <c r="C346" i="42"/>
  <c r="D430" i="42"/>
  <c r="C430" i="42"/>
  <c r="F430" i="42"/>
  <c r="E430" i="42"/>
  <c r="D462" i="42"/>
  <c r="C462" i="42"/>
  <c r="F462" i="42"/>
  <c r="E462" i="42"/>
  <c r="F368" i="42"/>
  <c r="E368" i="42"/>
  <c r="D368" i="42"/>
  <c r="C368" i="42"/>
  <c r="F421" i="42"/>
  <c r="E421" i="42"/>
  <c r="D421" i="42"/>
  <c r="C421" i="42"/>
  <c r="F596" i="42"/>
  <c r="E596" i="42"/>
  <c r="D596" i="42"/>
  <c r="C596" i="42"/>
  <c r="F282" i="42"/>
  <c r="E282" i="42"/>
  <c r="D282" i="42"/>
  <c r="C282" i="42"/>
  <c r="F316" i="42"/>
  <c r="E316" i="42"/>
  <c r="D316" i="42"/>
  <c r="C316" i="42"/>
  <c r="F437" i="42"/>
  <c r="E437" i="42"/>
  <c r="C437" i="42"/>
  <c r="D437" i="42"/>
  <c r="F405" i="42"/>
  <c r="E405" i="42"/>
  <c r="D405" i="42"/>
  <c r="C405" i="42"/>
  <c r="C304" i="42"/>
  <c r="F304" i="42"/>
  <c r="E304" i="42"/>
  <c r="D304" i="42"/>
  <c r="F500" i="42"/>
  <c r="E500" i="42"/>
  <c r="D500" i="42"/>
  <c r="C500" i="42"/>
  <c r="F376" i="42"/>
  <c r="E376" i="42"/>
  <c r="D376" i="42"/>
  <c r="C376" i="42"/>
  <c r="F234" i="42"/>
  <c r="E234" i="42"/>
  <c r="D234" i="42"/>
  <c r="C234" i="42"/>
  <c r="F485" i="42"/>
  <c r="E485" i="42"/>
  <c r="C485" i="42"/>
  <c r="D485" i="42"/>
  <c r="D398" i="42"/>
  <c r="C398" i="42"/>
  <c r="F398" i="42"/>
  <c r="E398" i="42"/>
  <c r="F277" i="42"/>
  <c r="E277" i="42"/>
  <c r="D277" i="42"/>
  <c r="C277" i="42"/>
  <c r="F358" i="42"/>
  <c r="E358" i="42"/>
  <c r="C358" i="42"/>
  <c r="D358" i="42"/>
  <c r="F580" i="42"/>
  <c r="E580" i="42"/>
  <c r="D580" i="42"/>
  <c r="C580" i="42"/>
  <c r="F389" i="42"/>
  <c r="E389" i="42"/>
  <c r="D389" i="42"/>
  <c r="C389" i="42"/>
  <c r="F529" i="42"/>
  <c r="E529" i="42"/>
  <c r="D529" i="42"/>
  <c r="C529" i="42"/>
  <c r="F357" i="42"/>
  <c r="E357" i="42"/>
  <c r="D357" i="42"/>
  <c r="C357" i="42"/>
  <c r="F351" i="42"/>
  <c r="E351" i="42"/>
  <c r="D351" i="42"/>
  <c r="C351" i="42"/>
  <c r="F332" i="42"/>
  <c r="E332" i="42"/>
  <c r="D332" i="42"/>
  <c r="C332" i="42"/>
  <c r="C320" i="42"/>
  <c r="F320" i="42"/>
  <c r="E320" i="42"/>
  <c r="D320" i="42"/>
  <c r="F612" i="42"/>
  <c r="E612" i="42"/>
  <c r="D612" i="42"/>
  <c r="C612" i="42"/>
  <c r="F268" i="42"/>
  <c r="E268" i="42"/>
  <c r="D268" i="42"/>
  <c r="C268" i="42"/>
  <c r="C256" i="42"/>
  <c r="F256" i="42"/>
  <c r="E256" i="42"/>
  <c r="D256" i="42"/>
  <c r="F293" i="42"/>
  <c r="E293" i="42"/>
  <c r="D293" i="42"/>
  <c r="C293" i="42"/>
  <c r="F303" i="42"/>
  <c r="E303" i="42"/>
  <c r="D303" i="42"/>
  <c r="C303" i="42"/>
  <c r="F341" i="42"/>
  <c r="E341" i="42"/>
  <c r="D341" i="42"/>
  <c r="C341" i="42"/>
  <c r="F298" i="42"/>
  <c r="E298" i="42"/>
  <c r="D298" i="42"/>
  <c r="C298" i="42"/>
  <c r="F373" i="42"/>
  <c r="E373" i="42"/>
  <c r="D373" i="42"/>
  <c r="C373" i="42"/>
  <c r="F284" i="42"/>
  <c r="E284" i="42"/>
  <c r="D284" i="42"/>
  <c r="C284" i="42"/>
  <c r="F252" i="42"/>
  <c r="E252" i="42"/>
  <c r="D252" i="42"/>
  <c r="C252" i="42"/>
  <c r="C272" i="42"/>
  <c r="F272" i="42"/>
  <c r="E272" i="42"/>
  <c r="D272" i="42"/>
  <c r="F657" i="42"/>
  <c r="E657" i="42"/>
  <c r="D657" i="42"/>
  <c r="C657" i="42"/>
  <c r="D354" i="42"/>
  <c r="C354" i="42"/>
  <c r="F354" i="42"/>
  <c r="E354" i="42"/>
  <c r="F258" i="42"/>
  <c r="E258" i="42"/>
  <c r="D258" i="42"/>
  <c r="C258" i="42"/>
  <c r="F300" i="42"/>
  <c r="E300" i="42"/>
  <c r="C300" i="42"/>
  <c r="D300" i="42"/>
  <c r="F239" i="42"/>
  <c r="E239" i="42"/>
  <c r="D239" i="42"/>
  <c r="C239" i="42"/>
  <c r="C288" i="42"/>
  <c r="E288" i="42"/>
  <c r="D288" i="42"/>
  <c r="F288" i="42"/>
  <c r="F348" i="42"/>
  <c r="E348" i="42"/>
  <c r="D348" i="42"/>
  <c r="C348" i="42"/>
  <c r="F497" i="42"/>
  <c r="E497" i="42"/>
  <c r="D497" i="42"/>
  <c r="C497" i="42"/>
  <c r="C336" i="42"/>
  <c r="F336" i="42"/>
  <c r="E336" i="42"/>
  <c r="D336" i="42"/>
  <c r="F452" i="42"/>
  <c r="E452" i="42"/>
  <c r="D452" i="42"/>
  <c r="C452" i="42"/>
  <c r="F309" i="42"/>
  <c r="E309" i="42"/>
  <c r="D309" i="42"/>
  <c r="C309" i="42"/>
  <c r="W668" i="33"/>
  <c r="X668" i="33"/>
  <c r="Y668" i="33"/>
  <c r="Z668" i="33"/>
  <c r="AA668" i="33"/>
  <c r="AB668" i="33"/>
  <c r="AC668" i="33"/>
  <c r="O668" i="33"/>
  <c r="P668" i="33"/>
  <c r="Q668" i="33"/>
  <c r="R668" i="33"/>
  <c r="S668" i="33"/>
  <c r="T668" i="33"/>
  <c r="H659" i="33"/>
  <c r="K655" i="33"/>
  <c r="K645" i="33"/>
  <c r="G641" i="33"/>
  <c r="J618" i="33"/>
  <c r="W613" i="33"/>
  <c r="X613" i="33"/>
  <c r="Y613" i="33"/>
  <c r="Z613" i="33"/>
  <c r="AA613" i="33"/>
  <c r="AB613" i="33"/>
  <c r="AC613" i="33"/>
  <c r="T613" i="33"/>
  <c r="U613" i="33"/>
  <c r="O613" i="33"/>
  <c r="P613" i="33"/>
  <c r="Q613" i="33"/>
  <c r="G609" i="33"/>
  <c r="W604" i="33"/>
  <c r="X604" i="33"/>
  <c r="Y604" i="33"/>
  <c r="Z604" i="33"/>
  <c r="AA604" i="33"/>
  <c r="AB604" i="33"/>
  <c r="AC604" i="33"/>
  <c r="O604" i="33"/>
  <c r="P604" i="33"/>
  <c r="Q604" i="33"/>
  <c r="R604" i="33"/>
  <c r="S604" i="33"/>
  <c r="T604" i="33"/>
  <c r="U604" i="33"/>
  <c r="W599" i="33"/>
  <c r="X599" i="33"/>
  <c r="Y599" i="33"/>
  <c r="Z599" i="33"/>
  <c r="AA599" i="33"/>
  <c r="AB599" i="33"/>
  <c r="AC599" i="33"/>
  <c r="O599" i="33"/>
  <c r="P599" i="33"/>
  <c r="Q599" i="33"/>
  <c r="R599" i="33"/>
  <c r="S599" i="33"/>
  <c r="T599" i="33"/>
  <c r="U599" i="33"/>
  <c r="H595" i="33"/>
  <c r="K591" i="33"/>
  <c r="J586" i="33"/>
  <c r="W581" i="33"/>
  <c r="X581" i="33"/>
  <c r="Y581" i="33"/>
  <c r="Z581" i="33"/>
  <c r="AA581" i="33"/>
  <c r="AB581" i="33"/>
  <c r="AC581" i="33"/>
  <c r="U581" i="33"/>
  <c r="O581" i="33"/>
  <c r="P581" i="33"/>
  <c r="Q581" i="33"/>
  <c r="R581" i="33"/>
  <c r="G577" i="33"/>
  <c r="W572" i="33"/>
  <c r="X572" i="33"/>
  <c r="Y572" i="33"/>
  <c r="Z572" i="33"/>
  <c r="AA572" i="33"/>
  <c r="AB572" i="33"/>
  <c r="AC572" i="33"/>
  <c r="O572" i="33"/>
  <c r="P572" i="33"/>
  <c r="Q572" i="33"/>
  <c r="R572" i="33"/>
  <c r="S572" i="33"/>
  <c r="T572" i="33"/>
  <c r="U572" i="33"/>
  <c r="W550" i="33"/>
  <c r="X550" i="33"/>
  <c r="Y550" i="33"/>
  <c r="Z550" i="33"/>
  <c r="AA550" i="33"/>
  <c r="AB550" i="33"/>
  <c r="AC550" i="33"/>
  <c r="O550" i="33"/>
  <c r="P550" i="33"/>
  <c r="Q550" i="33"/>
  <c r="R550" i="33"/>
  <c r="S550" i="33"/>
  <c r="T550" i="33"/>
  <c r="U550" i="33"/>
  <c r="AC541" i="33"/>
  <c r="W541" i="33"/>
  <c r="X541" i="33"/>
  <c r="Y541" i="33"/>
  <c r="Z541" i="33"/>
  <c r="AA541" i="33"/>
  <c r="AB541" i="33"/>
  <c r="O541" i="33"/>
  <c r="P541" i="33"/>
  <c r="Q541" i="33"/>
  <c r="R541" i="33"/>
  <c r="S541" i="33"/>
  <c r="T541" i="33"/>
  <c r="K537" i="33"/>
  <c r="H532" i="33"/>
  <c r="H528" i="33"/>
  <c r="AA523" i="33"/>
  <c r="AB523" i="33"/>
  <c r="W523" i="33"/>
  <c r="X523" i="33"/>
  <c r="Y523" i="33"/>
  <c r="Z523" i="33"/>
  <c r="AC523" i="33"/>
  <c r="O523" i="33"/>
  <c r="P523" i="33"/>
  <c r="Q523" i="33"/>
  <c r="R523" i="33"/>
  <c r="S523" i="33"/>
  <c r="T523" i="33"/>
  <c r="U523" i="33"/>
  <c r="J506" i="33"/>
  <c r="G502" i="33"/>
  <c r="H475" i="33"/>
  <c r="W457" i="33"/>
  <c r="X457" i="33"/>
  <c r="Y457" i="33"/>
  <c r="Z457" i="33"/>
  <c r="AA457" i="33"/>
  <c r="AB457" i="33"/>
  <c r="AC457" i="33"/>
  <c r="O457" i="33"/>
  <c r="P457" i="33"/>
  <c r="Q457" i="33"/>
  <c r="R457" i="33"/>
  <c r="S457" i="33"/>
  <c r="T457" i="33"/>
  <c r="U457" i="33"/>
  <c r="I453" i="33"/>
  <c r="W443" i="33"/>
  <c r="X443" i="33"/>
  <c r="Y443" i="33"/>
  <c r="Z443" i="33"/>
  <c r="AA443" i="33"/>
  <c r="AB443" i="33"/>
  <c r="AC443" i="33"/>
  <c r="O443" i="33"/>
  <c r="P443" i="33"/>
  <c r="Q443" i="33"/>
  <c r="R443" i="33"/>
  <c r="S443" i="33"/>
  <c r="T443" i="33"/>
  <c r="U443" i="33"/>
  <c r="W420" i="33"/>
  <c r="X420" i="33"/>
  <c r="Y420" i="33"/>
  <c r="Z420" i="33"/>
  <c r="AA420" i="33"/>
  <c r="AB420" i="33"/>
  <c r="AC420" i="33"/>
  <c r="P420" i="33"/>
  <c r="Q420" i="33"/>
  <c r="R420" i="33"/>
  <c r="T420" i="33"/>
  <c r="O420" i="33"/>
  <c r="S420" i="33"/>
  <c r="U420" i="33"/>
  <c r="G412" i="33"/>
  <c r="K403" i="33"/>
  <c r="K390" i="33"/>
  <c r="J371" i="33"/>
  <c r="G367" i="33"/>
  <c r="I363" i="33"/>
  <c r="Y358" i="33"/>
  <c r="Z358" i="33"/>
  <c r="AA358" i="33"/>
  <c r="AB358" i="33"/>
  <c r="AC358" i="33"/>
  <c r="W358" i="33"/>
  <c r="X358" i="33"/>
  <c r="S358" i="33"/>
  <c r="T358" i="33"/>
  <c r="U358" i="33"/>
  <c r="O358" i="33"/>
  <c r="P358" i="33"/>
  <c r="Q358" i="33"/>
  <c r="R358" i="33"/>
  <c r="G339" i="33"/>
  <c r="H339" i="33"/>
  <c r="I326" i="33"/>
  <c r="K294" i="33"/>
  <c r="I286" i="33"/>
  <c r="J286" i="33"/>
  <c r="Y271" i="33"/>
  <c r="Z271" i="33"/>
  <c r="AA271" i="33"/>
  <c r="AB271" i="33"/>
  <c r="AC271" i="33"/>
  <c r="W271" i="33"/>
  <c r="X271" i="33"/>
  <c r="O271" i="33"/>
  <c r="P271" i="33"/>
  <c r="Q271" i="33"/>
  <c r="S271" i="33"/>
  <c r="R271" i="33"/>
  <c r="T271" i="33"/>
  <c r="U271" i="33"/>
  <c r="K262" i="33"/>
  <c r="S623" i="33"/>
  <c r="R527" i="33"/>
  <c r="K677" i="33"/>
  <c r="G668" i="33"/>
  <c r="I641" i="33"/>
  <c r="J631" i="33"/>
  <c r="H627" i="33"/>
  <c r="I609" i="33"/>
  <c r="G604" i="33"/>
  <c r="I577" i="33"/>
  <c r="G572" i="33"/>
  <c r="W510" i="33"/>
  <c r="Z510" i="33"/>
  <c r="X510" i="33"/>
  <c r="Y510" i="33"/>
  <c r="AA510" i="33"/>
  <c r="AB510" i="33"/>
  <c r="AC510" i="33"/>
  <c r="S510" i="33"/>
  <c r="T510" i="33"/>
  <c r="U510" i="33"/>
  <c r="O510" i="33"/>
  <c r="P510" i="33"/>
  <c r="Q510" i="33"/>
  <c r="R510" i="33"/>
  <c r="I502" i="33"/>
  <c r="W452" i="33"/>
  <c r="X452" i="33"/>
  <c r="Y452" i="33"/>
  <c r="Z452" i="33"/>
  <c r="AA452" i="33"/>
  <c r="AB452" i="33"/>
  <c r="AC452" i="33"/>
  <c r="Q452" i="33"/>
  <c r="O452" i="33"/>
  <c r="P452" i="33"/>
  <c r="R452" i="33"/>
  <c r="S452" i="33"/>
  <c r="T452" i="33"/>
  <c r="U452" i="33"/>
  <c r="G443" i="33"/>
  <c r="I435" i="33"/>
  <c r="I412" i="33"/>
  <c r="J394" i="33"/>
  <c r="I385" i="33"/>
  <c r="H371" i="33"/>
  <c r="W362" i="33"/>
  <c r="X362" i="33"/>
  <c r="Y362" i="33"/>
  <c r="Z362" i="33"/>
  <c r="AA362" i="33"/>
  <c r="AB362" i="33"/>
  <c r="AC362" i="33"/>
  <c r="O362" i="33"/>
  <c r="P362" i="33"/>
  <c r="Q362" i="33"/>
  <c r="R362" i="33"/>
  <c r="S362" i="33"/>
  <c r="T362" i="33"/>
  <c r="U362" i="33"/>
  <c r="G349" i="33"/>
  <c r="H349" i="33"/>
  <c r="I339" i="33"/>
  <c r="W325" i="33"/>
  <c r="X325" i="33"/>
  <c r="Y325" i="33"/>
  <c r="Z325" i="33"/>
  <c r="AA325" i="33"/>
  <c r="AB325" i="33"/>
  <c r="AC325" i="33"/>
  <c r="O325" i="33"/>
  <c r="P325" i="33"/>
  <c r="Q325" i="33"/>
  <c r="R325" i="33"/>
  <c r="S325" i="33"/>
  <c r="T325" i="33"/>
  <c r="U325" i="33"/>
  <c r="W320" i="33"/>
  <c r="X320" i="33"/>
  <c r="Y320" i="33"/>
  <c r="Z320" i="33"/>
  <c r="AA320" i="33"/>
  <c r="AB320" i="33"/>
  <c r="AC320" i="33"/>
  <c r="P320" i="33"/>
  <c r="Q320" i="33"/>
  <c r="R320" i="33"/>
  <c r="S320" i="33"/>
  <c r="T320" i="33"/>
  <c r="U320" i="33"/>
  <c r="O320" i="33"/>
  <c r="W316" i="33"/>
  <c r="X316" i="33"/>
  <c r="Y316" i="33"/>
  <c r="Z316" i="33"/>
  <c r="AA316" i="33"/>
  <c r="AC316" i="33"/>
  <c r="AB316" i="33"/>
  <c r="O316" i="33"/>
  <c r="P316" i="33"/>
  <c r="Q316" i="33"/>
  <c r="R316" i="33"/>
  <c r="S316" i="33"/>
  <c r="T316" i="33"/>
  <c r="U316" i="33"/>
  <c r="W298" i="33"/>
  <c r="X298" i="33"/>
  <c r="Y298" i="33"/>
  <c r="Z298" i="33"/>
  <c r="AA298" i="33"/>
  <c r="AB298" i="33"/>
  <c r="AC298" i="33"/>
  <c r="O298" i="33"/>
  <c r="P298" i="33"/>
  <c r="Q298" i="33"/>
  <c r="R298" i="33"/>
  <c r="S298" i="33"/>
  <c r="T298" i="33"/>
  <c r="U298" i="33"/>
  <c r="AC285" i="33"/>
  <c r="W285" i="33"/>
  <c r="X285" i="33"/>
  <c r="Y285" i="33"/>
  <c r="Z285" i="33"/>
  <c r="AA285" i="33"/>
  <c r="AB285" i="33"/>
  <c r="Q285" i="33"/>
  <c r="O285" i="33"/>
  <c r="P285" i="33"/>
  <c r="R285" i="33"/>
  <c r="S285" i="33"/>
  <c r="T285" i="33"/>
  <c r="U285" i="33"/>
  <c r="G240" i="33"/>
  <c r="AC234" i="33"/>
  <c r="W234" i="33"/>
  <c r="X234" i="33"/>
  <c r="Y234" i="33"/>
  <c r="Z234" i="33"/>
  <c r="AA234" i="33"/>
  <c r="AB234" i="33"/>
  <c r="R234" i="33"/>
  <c r="S234" i="33"/>
  <c r="T234" i="33"/>
  <c r="Q234" i="33"/>
  <c r="U234" i="33"/>
  <c r="O234" i="33"/>
  <c r="P234" i="33"/>
  <c r="W97" i="33"/>
  <c r="X97" i="33"/>
  <c r="Y97" i="33"/>
  <c r="Z97" i="33"/>
  <c r="AA97" i="33"/>
  <c r="AB97" i="33"/>
  <c r="AC97" i="33"/>
  <c r="Q97" i="33"/>
  <c r="R97" i="33"/>
  <c r="S97" i="33"/>
  <c r="U97" i="33"/>
  <c r="P97" i="33"/>
  <c r="O97" i="33"/>
  <c r="T97" i="33"/>
  <c r="G677" i="33"/>
  <c r="I673" i="33"/>
  <c r="H663" i="33"/>
  <c r="J655" i="33"/>
  <c r="G650" i="33"/>
  <c r="I645" i="33"/>
  <c r="W640" i="33"/>
  <c r="X640" i="33"/>
  <c r="Y640" i="33"/>
  <c r="Z640" i="33"/>
  <c r="AB640" i="33"/>
  <c r="AA640" i="33"/>
  <c r="AC640" i="33"/>
  <c r="O640" i="33"/>
  <c r="P640" i="33"/>
  <c r="Q640" i="33"/>
  <c r="R640" i="33"/>
  <c r="S640" i="33"/>
  <c r="T640" i="33"/>
  <c r="U640" i="33"/>
  <c r="K636" i="33"/>
  <c r="G623" i="33"/>
  <c r="K613" i="33"/>
  <c r="W608" i="33"/>
  <c r="X608" i="33"/>
  <c r="Y608" i="33"/>
  <c r="Z608" i="33"/>
  <c r="AA608" i="33"/>
  <c r="AB608" i="33"/>
  <c r="AC608" i="33"/>
  <c r="T608" i="33"/>
  <c r="U608" i="33"/>
  <c r="O608" i="33"/>
  <c r="P608" i="33"/>
  <c r="Q608" i="33"/>
  <c r="J599" i="33"/>
  <c r="J591" i="33"/>
  <c r="K581" i="33"/>
  <c r="W576" i="33"/>
  <c r="X576" i="33"/>
  <c r="Y576" i="33"/>
  <c r="Z576" i="33"/>
  <c r="AA576" i="33"/>
  <c r="AB576" i="33"/>
  <c r="AC576" i="33"/>
  <c r="P576" i="33"/>
  <c r="Q576" i="33"/>
  <c r="R576" i="33"/>
  <c r="S576" i="33"/>
  <c r="T576" i="33"/>
  <c r="U576" i="33"/>
  <c r="W567" i="33"/>
  <c r="X567" i="33"/>
  <c r="Y567" i="33"/>
  <c r="Z567" i="33"/>
  <c r="AA567" i="33"/>
  <c r="AB567" i="33"/>
  <c r="AC567" i="33"/>
  <c r="O567" i="33"/>
  <c r="P567" i="33"/>
  <c r="Q567" i="33"/>
  <c r="R567" i="33"/>
  <c r="S567" i="33"/>
  <c r="T567" i="33"/>
  <c r="U567" i="33"/>
  <c r="H563" i="33"/>
  <c r="K559" i="33"/>
  <c r="W554" i="33"/>
  <c r="X554" i="33"/>
  <c r="Y554" i="33"/>
  <c r="Z554" i="33"/>
  <c r="AA554" i="33"/>
  <c r="AB554" i="33"/>
  <c r="AC554" i="33"/>
  <c r="O554" i="33"/>
  <c r="P554" i="33"/>
  <c r="Q554" i="33"/>
  <c r="R554" i="33"/>
  <c r="S554" i="33"/>
  <c r="T554" i="33"/>
  <c r="U554" i="33"/>
  <c r="I546" i="33"/>
  <c r="H541" i="33"/>
  <c r="I537" i="33"/>
  <c r="J532" i="33"/>
  <c r="J523" i="33"/>
  <c r="H519" i="33"/>
  <c r="Y501" i="33"/>
  <c r="W501" i="33"/>
  <c r="X501" i="33"/>
  <c r="Z501" i="33"/>
  <c r="AA501" i="33"/>
  <c r="AB501" i="33"/>
  <c r="AC501" i="33"/>
  <c r="R501" i="33"/>
  <c r="S501" i="33"/>
  <c r="T501" i="33"/>
  <c r="U501" i="33"/>
  <c r="O501" i="33"/>
  <c r="P501" i="33"/>
  <c r="Q501" i="33"/>
  <c r="G497" i="33"/>
  <c r="X492" i="33"/>
  <c r="W492" i="33"/>
  <c r="Y492" i="33"/>
  <c r="Z492" i="33"/>
  <c r="AA492" i="33"/>
  <c r="AB492" i="33"/>
  <c r="AC492" i="33"/>
  <c r="Q492" i="33"/>
  <c r="R492" i="33"/>
  <c r="S492" i="33"/>
  <c r="T492" i="33"/>
  <c r="U492" i="33"/>
  <c r="O492" i="33"/>
  <c r="P492" i="33"/>
  <c r="H488" i="33"/>
  <c r="W483" i="33"/>
  <c r="X483" i="33"/>
  <c r="Y483" i="33"/>
  <c r="Z483" i="33"/>
  <c r="AA483" i="33"/>
  <c r="AB483" i="33"/>
  <c r="AC483" i="33"/>
  <c r="P483" i="33"/>
  <c r="Q483" i="33"/>
  <c r="R483" i="33"/>
  <c r="S483" i="33"/>
  <c r="T483" i="33"/>
  <c r="U483" i="33"/>
  <c r="O483" i="33"/>
  <c r="W479" i="33"/>
  <c r="X479" i="33"/>
  <c r="Y479" i="33"/>
  <c r="Z479" i="33"/>
  <c r="AA479" i="33"/>
  <c r="AB479" i="33"/>
  <c r="AC479" i="33"/>
  <c r="O479" i="33"/>
  <c r="P479" i="33"/>
  <c r="Q479" i="33"/>
  <c r="R479" i="33"/>
  <c r="S479" i="33"/>
  <c r="T479" i="33"/>
  <c r="U479" i="33"/>
  <c r="W461" i="33"/>
  <c r="X461" i="33"/>
  <c r="Y461" i="33"/>
  <c r="Z461" i="33"/>
  <c r="AA461" i="33"/>
  <c r="AB461" i="33"/>
  <c r="AC461" i="33"/>
  <c r="O461" i="33"/>
  <c r="P461" i="33"/>
  <c r="Q461" i="33"/>
  <c r="R461" i="33"/>
  <c r="S461" i="33"/>
  <c r="T461" i="33"/>
  <c r="U461" i="33"/>
  <c r="J457" i="33"/>
  <c r="K452" i="33"/>
  <c r="W434" i="33"/>
  <c r="X434" i="33"/>
  <c r="Y434" i="33"/>
  <c r="Z434" i="33"/>
  <c r="AA434" i="33"/>
  <c r="AB434" i="33"/>
  <c r="AC434" i="33"/>
  <c r="O434" i="33"/>
  <c r="P434" i="33"/>
  <c r="Q434" i="33"/>
  <c r="R434" i="33"/>
  <c r="T434" i="33"/>
  <c r="S434" i="33"/>
  <c r="U434" i="33"/>
  <c r="H425" i="33"/>
  <c r="J420" i="33"/>
  <c r="W411" i="33"/>
  <c r="X411" i="33"/>
  <c r="Y411" i="33"/>
  <c r="Z411" i="33"/>
  <c r="AA411" i="33"/>
  <c r="AB411" i="33"/>
  <c r="AC411" i="33"/>
  <c r="O411" i="33"/>
  <c r="P411" i="33"/>
  <c r="Q411" i="33"/>
  <c r="S411" i="33"/>
  <c r="R411" i="33"/>
  <c r="T411" i="33"/>
  <c r="U411" i="33"/>
  <c r="W407" i="33"/>
  <c r="X407" i="33"/>
  <c r="Y407" i="33"/>
  <c r="AC407" i="33"/>
  <c r="Z407" i="33"/>
  <c r="AA407" i="33"/>
  <c r="AB407" i="33"/>
  <c r="O407" i="33"/>
  <c r="P407" i="33"/>
  <c r="Q407" i="33"/>
  <c r="R407" i="33"/>
  <c r="S407" i="33"/>
  <c r="T407" i="33"/>
  <c r="U407" i="33"/>
  <c r="I390" i="33"/>
  <c r="AA384" i="33"/>
  <c r="AB384" i="33"/>
  <c r="W384" i="33"/>
  <c r="X384" i="33"/>
  <c r="Y384" i="33"/>
  <c r="Z384" i="33"/>
  <c r="AC384" i="33"/>
  <c r="P384" i="33"/>
  <c r="U384" i="33"/>
  <c r="O384" i="33"/>
  <c r="Q384" i="33"/>
  <c r="R384" i="33"/>
  <c r="S384" i="33"/>
  <c r="T384" i="33"/>
  <c r="H380" i="33"/>
  <c r="G376" i="33"/>
  <c r="K371" i="33"/>
  <c r="H358" i="33"/>
  <c r="H344" i="33"/>
  <c r="W338" i="33"/>
  <c r="X338" i="33"/>
  <c r="AB338" i="33"/>
  <c r="Z338" i="33"/>
  <c r="AA338" i="33"/>
  <c r="AC338" i="33"/>
  <c r="Y338" i="33"/>
  <c r="O338" i="33"/>
  <c r="P338" i="33"/>
  <c r="R338" i="33"/>
  <c r="T338" i="33"/>
  <c r="Q338" i="33"/>
  <c r="S338" i="33"/>
  <c r="U338" i="33"/>
  <c r="K325" i="33"/>
  <c r="K320" i="33"/>
  <c r="W302" i="33"/>
  <c r="X302" i="33"/>
  <c r="Y302" i="33"/>
  <c r="Z302" i="33"/>
  <c r="AA302" i="33"/>
  <c r="AB302" i="33"/>
  <c r="AC302" i="33"/>
  <c r="O302" i="33"/>
  <c r="P302" i="33"/>
  <c r="Q302" i="33"/>
  <c r="R302" i="33"/>
  <c r="S302" i="33"/>
  <c r="T302" i="33"/>
  <c r="U302" i="33"/>
  <c r="K298" i="33"/>
  <c r="G267" i="33"/>
  <c r="W250" i="33"/>
  <c r="X250" i="33"/>
  <c r="Y250" i="33"/>
  <c r="AB250" i="33"/>
  <c r="Z250" i="33"/>
  <c r="AA250" i="33"/>
  <c r="AC250" i="33"/>
  <c r="U250" i="33"/>
  <c r="O250" i="33"/>
  <c r="P250" i="33"/>
  <c r="Q250" i="33"/>
  <c r="R250" i="33"/>
  <c r="S250" i="33"/>
  <c r="T250" i="33"/>
  <c r="K42" i="33"/>
  <c r="S618" i="33"/>
  <c r="I677" i="33"/>
  <c r="W672" i="33"/>
  <c r="X672" i="33"/>
  <c r="Y672" i="33"/>
  <c r="Z672" i="33"/>
  <c r="AA672" i="33"/>
  <c r="AB672" i="33"/>
  <c r="AC672" i="33"/>
  <c r="O672" i="33"/>
  <c r="P672" i="33"/>
  <c r="Q672" i="33"/>
  <c r="R672" i="33"/>
  <c r="S672" i="33"/>
  <c r="T672" i="33"/>
  <c r="U672" i="33"/>
  <c r="K668" i="33"/>
  <c r="W654" i="33"/>
  <c r="X654" i="33"/>
  <c r="Y654" i="33"/>
  <c r="Z654" i="33"/>
  <c r="AC654" i="33"/>
  <c r="AB654" i="33"/>
  <c r="AA654" i="33"/>
  <c r="P654" i="33"/>
  <c r="Q654" i="33"/>
  <c r="R654" i="33"/>
  <c r="S654" i="33"/>
  <c r="T654" i="33"/>
  <c r="U654" i="33"/>
  <c r="W644" i="33"/>
  <c r="X644" i="33"/>
  <c r="Z644" i="33"/>
  <c r="AA644" i="33"/>
  <c r="Y644" i="33"/>
  <c r="AB644" i="33"/>
  <c r="AC644" i="33"/>
  <c r="P644" i="33"/>
  <c r="Q644" i="33"/>
  <c r="R644" i="33"/>
  <c r="S644" i="33"/>
  <c r="T644" i="33"/>
  <c r="U644" i="33"/>
  <c r="H636" i="33"/>
  <c r="J623" i="33"/>
  <c r="G613" i="33"/>
  <c r="K604" i="33"/>
  <c r="W590" i="33"/>
  <c r="X590" i="33"/>
  <c r="Y590" i="33"/>
  <c r="Z590" i="33"/>
  <c r="AA590" i="33"/>
  <c r="AB590" i="33"/>
  <c r="AC590" i="33"/>
  <c r="O590" i="33"/>
  <c r="P590" i="33"/>
  <c r="Q590" i="33"/>
  <c r="R590" i="33"/>
  <c r="S590" i="33"/>
  <c r="T590" i="33"/>
  <c r="U590" i="33"/>
  <c r="G581" i="33"/>
  <c r="K572" i="33"/>
  <c r="G559" i="33"/>
  <c r="W545" i="33"/>
  <c r="X545" i="33"/>
  <c r="Y545" i="33"/>
  <c r="Z545" i="33"/>
  <c r="AA545" i="33"/>
  <c r="AB545" i="33"/>
  <c r="AC545" i="33"/>
  <c r="O545" i="33"/>
  <c r="P545" i="33"/>
  <c r="Q545" i="33"/>
  <c r="R545" i="33"/>
  <c r="S545" i="33"/>
  <c r="T545" i="33"/>
  <c r="U545" i="33"/>
  <c r="G541" i="33"/>
  <c r="W536" i="33"/>
  <c r="X536" i="33"/>
  <c r="Y536" i="33"/>
  <c r="Z536" i="33"/>
  <c r="AA536" i="33"/>
  <c r="AB536" i="33"/>
  <c r="AC536" i="33"/>
  <c r="O536" i="33"/>
  <c r="P536" i="33"/>
  <c r="Q536" i="33"/>
  <c r="R536" i="33"/>
  <c r="S536" i="33"/>
  <c r="T536" i="33"/>
  <c r="U536" i="33"/>
  <c r="I532" i="33"/>
  <c r="J501" i="33"/>
  <c r="I497" i="33"/>
  <c r="K483" i="33"/>
  <c r="I479" i="33"/>
  <c r="K443" i="33"/>
  <c r="G430" i="33"/>
  <c r="W415" i="33"/>
  <c r="Y415" i="33"/>
  <c r="Z415" i="33"/>
  <c r="X415" i="33"/>
  <c r="AA415" i="33"/>
  <c r="AB415" i="33"/>
  <c r="AC415" i="33"/>
  <c r="S415" i="33"/>
  <c r="T415" i="33"/>
  <c r="U415" i="33"/>
  <c r="O415" i="33"/>
  <c r="P415" i="33"/>
  <c r="Q415" i="33"/>
  <c r="R415" i="33"/>
  <c r="I403" i="33"/>
  <c r="H394" i="33"/>
  <c r="AB389" i="33"/>
  <c r="AC389" i="33"/>
  <c r="W389" i="33"/>
  <c r="X389" i="33"/>
  <c r="Y389" i="33"/>
  <c r="Z389" i="33"/>
  <c r="AA389" i="33"/>
  <c r="O389" i="33"/>
  <c r="P389" i="33"/>
  <c r="Q389" i="33"/>
  <c r="R389" i="33"/>
  <c r="S389" i="33"/>
  <c r="T389" i="33"/>
  <c r="U389" i="33"/>
  <c r="W366" i="33"/>
  <c r="X366" i="33"/>
  <c r="Y366" i="33"/>
  <c r="Z366" i="33"/>
  <c r="AA366" i="33"/>
  <c r="AB366" i="33"/>
  <c r="AC366" i="33"/>
  <c r="O366" i="33"/>
  <c r="P366" i="33"/>
  <c r="Q366" i="33"/>
  <c r="R366" i="33"/>
  <c r="S366" i="33"/>
  <c r="T366" i="33"/>
  <c r="U366" i="33"/>
  <c r="W348" i="33"/>
  <c r="X348" i="33"/>
  <c r="Y348" i="33"/>
  <c r="Z348" i="33"/>
  <c r="AA348" i="33"/>
  <c r="AB348" i="33"/>
  <c r="AC348" i="33"/>
  <c r="P348" i="33"/>
  <c r="Q348" i="33"/>
  <c r="R348" i="33"/>
  <c r="S348" i="33"/>
  <c r="T348" i="33"/>
  <c r="U348" i="33"/>
  <c r="O348" i="33"/>
  <c r="J344" i="33"/>
  <c r="J338" i="33"/>
  <c r="H316" i="33"/>
  <c r="K302" i="33"/>
  <c r="AC293" i="33"/>
  <c r="W293" i="33"/>
  <c r="X293" i="33"/>
  <c r="Y293" i="33"/>
  <c r="Z293" i="33"/>
  <c r="AA293" i="33"/>
  <c r="AB293" i="33"/>
  <c r="O293" i="33"/>
  <c r="P293" i="33"/>
  <c r="Q293" i="33"/>
  <c r="R293" i="33"/>
  <c r="S293" i="33"/>
  <c r="T293" i="33"/>
  <c r="U293" i="33"/>
  <c r="J290" i="33"/>
  <c r="I290" i="33"/>
  <c r="I256" i="33"/>
  <c r="K256" i="33"/>
  <c r="W676" i="33"/>
  <c r="X676" i="33"/>
  <c r="Z676" i="33"/>
  <c r="AA676" i="33"/>
  <c r="Y676" i="33"/>
  <c r="AB676" i="33"/>
  <c r="AC676" i="33"/>
  <c r="O676" i="33"/>
  <c r="P676" i="33"/>
  <c r="Q676" i="33"/>
  <c r="R676" i="33"/>
  <c r="S676" i="33"/>
  <c r="T676" i="33"/>
  <c r="U676" i="33"/>
  <c r="K672" i="33"/>
  <c r="J654" i="33"/>
  <c r="W649" i="33"/>
  <c r="X649" i="33"/>
  <c r="Z649" i="33"/>
  <c r="AA649" i="33"/>
  <c r="Y649" i="33"/>
  <c r="AB649" i="33"/>
  <c r="AC649" i="33"/>
  <c r="P649" i="33"/>
  <c r="Q649" i="33"/>
  <c r="R649" i="33"/>
  <c r="S649" i="33"/>
  <c r="T649" i="33"/>
  <c r="U649" i="33"/>
  <c r="J644" i="33"/>
  <c r="J640" i="33"/>
  <c r="W622" i="33"/>
  <c r="X622" i="33"/>
  <c r="Y622" i="33"/>
  <c r="Z622" i="33"/>
  <c r="AA622" i="33"/>
  <c r="AB622" i="33"/>
  <c r="AC622" i="33"/>
  <c r="O622" i="33"/>
  <c r="P622" i="33"/>
  <c r="Q622" i="33"/>
  <c r="R622" i="33"/>
  <c r="S622" i="33"/>
  <c r="T622" i="33"/>
  <c r="U622" i="33"/>
  <c r="J608" i="33"/>
  <c r="H599" i="33"/>
  <c r="J576" i="33"/>
  <c r="J567" i="33"/>
  <c r="J554" i="33"/>
  <c r="H523" i="33"/>
  <c r="Z514" i="33"/>
  <c r="AA514" i="33"/>
  <c r="W514" i="33"/>
  <c r="X514" i="33"/>
  <c r="Y514" i="33"/>
  <c r="AB514" i="33"/>
  <c r="AC514" i="33"/>
  <c r="O514" i="33"/>
  <c r="P514" i="33"/>
  <c r="Q514" i="33"/>
  <c r="R514" i="33"/>
  <c r="S514" i="33"/>
  <c r="T514" i="33"/>
  <c r="U514" i="33"/>
  <c r="X496" i="33"/>
  <c r="Y496" i="33"/>
  <c r="AB496" i="33"/>
  <c r="W496" i="33"/>
  <c r="Z496" i="33"/>
  <c r="AA496" i="33"/>
  <c r="AC496" i="33"/>
  <c r="U496" i="33"/>
  <c r="S496" i="33"/>
  <c r="T496" i="33"/>
  <c r="O496" i="33"/>
  <c r="P496" i="33"/>
  <c r="J483" i="33"/>
  <c r="AA470" i="33"/>
  <c r="AB470" i="33"/>
  <c r="AC470" i="33"/>
  <c r="W470" i="33"/>
  <c r="X470" i="33"/>
  <c r="Y470" i="33"/>
  <c r="Z470" i="33"/>
  <c r="O470" i="33"/>
  <c r="P470" i="33"/>
  <c r="Q470" i="33"/>
  <c r="R470" i="33"/>
  <c r="S470" i="33"/>
  <c r="T470" i="33"/>
  <c r="U470" i="33"/>
  <c r="J461" i="33"/>
  <c r="W447" i="33"/>
  <c r="X447" i="33"/>
  <c r="Y447" i="33"/>
  <c r="Z447" i="33"/>
  <c r="AA447" i="33"/>
  <c r="AB447" i="33"/>
  <c r="AC447" i="33"/>
  <c r="S447" i="33"/>
  <c r="T447" i="33"/>
  <c r="O447" i="33"/>
  <c r="P447" i="33"/>
  <c r="Q447" i="33"/>
  <c r="R447" i="33"/>
  <c r="U447" i="33"/>
  <c r="W438" i="33"/>
  <c r="X438" i="33"/>
  <c r="Y438" i="33"/>
  <c r="Z438" i="33"/>
  <c r="AA438" i="33"/>
  <c r="AB438" i="33"/>
  <c r="AC438" i="33"/>
  <c r="R438" i="33"/>
  <c r="S438" i="33"/>
  <c r="O438" i="33"/>
  <c r="P438" i="33"/>
  <c r="Q438" i="33"/>
  <c r="T438" i="33"/>
  <c r="U438" i="33"/>
  <c r="H420" i="33"/>
  <c r="Z402" i="33"/>
  <c r="AA402" i="33"/>
  <c r="AB402" i="33"/>
  <c r="AC402" i="33"/>
  <c r="W402" i="33"/>
  <c r="X402" i="33"/>
  <c r="Y402" i="33"/>
  <c r="O402" i="33"/>
  <c r="P402" i="33"/>
  <c r="R402" i="33"/>
  <c r="Q402" i="33"/>
  <c r="S402" i="33"/>
  <c r="T402" i="33"/>
  <c r="U402" i="33"/>
  <c r="Z379" i="33"/>
  <c r="AA379" i="33"/>
  <c r="AC379" i="33"/>
  <c r="W379" i="33"/>
  <c r="X379" i="33"/>
  <c r="Y379" i="33"/>
  <c r="AB379" i="33"/>
  <c r="O379" i="33"/>
  <c r="P379" i="33"/>
  <c r="Q379" i="33"/>
  <c r="S379" i="33"/>
  <c r="T379" i="33"/>
  <c r="U379" i="33"/>
  <c r="R379" i="33"/>
  <c r="Z375" i="33"/>
  <c r="AB375" i="33"/>
  <c r="AC375" i="33"/>
  <c r="AA375" i="33"/>
  <c r="W375" i="33"/>
  <c r="X375" i="33"/>
  <c r="Y375" i="33"/>
  <c r="O375" i="33"/>
  <c r="P375" i="33"/>
  <c r="Q375" i="33"/>
  <c r="R375" i="33"/>
  <c r="S375" i="33"/>
  <c r="T375" i="33"/>
  <c r="U375" i="33"/>
  <c r="W352" i="33"/>
  <c r="X352" i="33"/>
  <c r="Y352" i="33"/>
  <c r="AC352" i="33"/>
  <c r="Z352" i="33"/>
  <c r="AA352" i="33"/>
  <c r="AB352" i="33"/>
  <c r="P352" i="33"/>
  <c r="R352" i="33"/>
  <c r="O352" i="33"/>
  <c r="Q352" i="33"/>
  <c r="S352" i="33"/>
  <c r="T352" i="33"/>
  <c r="U352" i="33"/>
  <c r="J348" i="33"/>
  <c r="W343" i="33"/>
  <c r="X343" i="33"/>
  <c r="Y343" i="33"/>
  <c r="Z343" i="33"/>
  <c r="AA343" i="33"/>
  <c r="AB343" i="33"/>
  <c r="AC343" i="33"/>
  <c r="O343" i="33"/>
  <c r="Q343" i="33"/>
  <c r="P343" i="33"/>
  <c r="R343" i="33"/>
  <c r="S343" i="33"/>
  <c r="T343" i="33"/>
  <c r="U343" i="33"/>
  <c r="W289" i="33"/>
  <c r="X289" i="33"/>
  <c r="Y289" i="33"/>
  <c r="Z289" i="33"/>
  <c r="AA289" i="33"/>
  <c r="AB289" i="33"/>
  <c r="AC289" i="33"/>
  <c r="O289" i="33"/>
  <c r="P289" i="33"/>
  <c r="Q289" i="33"/>
  <c r="R289" i="33"/>
  <c r="S289" i="33"/>
  <c r="T289" i="33"/>
  <c r="U289" i="33"/>
  <c r="G276" i="33"/>
  <c r="H276" i="33"/>
  <c r="W266" i="33"/>
  <c r="X266" i="33"/>
  <c r="Y266" i="33"/>
  <c r="Z266" i="33"/>
  <c r="AA266" i="33"/>
  <c r="AB266" i="33"/>
  <c r="AC266" i="33"/>
  <c r="R266" i="33"/>
  <c r="S266" i="33"/>
  <c r="T266" i="33"/>
  <c r="O266" i="33"/>
  <c r="P266" i="33"/>
  <c r="Q266" i="33"/>
  <c r="U266" i="33"/>
  <c r="S613" i="33"/>
  <c r="W681" i="33"/>
  <c r="X681" i="33"/>
  <c r="Y681" i="33"/>
  <c r="Z681" i="33"/>
  <c r="AA681" i="33"/>
  <c r="AB681" i="33"/>
  <c r="AC681" i="33"/>
  <c r="O681" i="33"/>
  <c r="P681" i="33"/>
  <c r="Q681" i="33"/>
  <c r="R681" i="33"/>
  <c r="S681" i="33"/>
  <c r="T681" i="33"/>
  <c r="U681" i="33"/>
  <c r="W635" i="33"/>
  <c r="Y635" i="33"/>
  <c r="Z635" i="33"/>
  <c r="AA635" i="33"/>
  <c r="AB635" i="33"/>
  <c r="AC635" i="33"/>
  <c r="X635" i="33"/>
  <c r="O635" i="33"/>
  <c r="P635" i="33"/>
  <c r="Q635" i="33"/>
  <c r="R635" i="33"/>
  <c r="S635" i="33"/>
  <c r="T635" i="33"/>
  <c r="U635" i="33"/>
  <c r="J622" i="33"/>
  <c r="W612" i="33"/>
  <c r="X612" i="33"/>
  <c r="Y612" i="33"/>
  <c r="Z612" i="33"/>
  <c r="AA612" i="33"/>
  <c r="AB612" i="33"/>
  <c r="AC612" i="33"/>
  <c r="O612" i="33"/>
  <c r="P612" i="33"/>
  <c r="Q612" i="33"/>
  <c r="R612" i="33"/>
  <c r="S612" i="33"/>
  <c r="T612" i="33"/>
  <c r="U612" i="33"/>
  <c r="J590" i="33"/>
  <c r="W580" i="33"/>
  <c r="X580" i="33"/>
  <c r="Y580" i="33"/>
  <c r="Z580" i="33"/>
  <c r="AA580" i="33"/>
  <c r="AB580" i="33"/>
  <c r="AC580" i="33"/>
  <c r="O580" i="33"/>
  <c r="Q580" i="33"/>
  <c r="P580" i="33"/>
  <c r="R580" i="33"/>
  <c r="S580" i="33"/>
  <c r="T580" i="33"/>
  <c r="U580" i="33"/>
  <c r="W558" i="33"/>
  <c r="Z558" i="33"/>
  <c r="AA558" i="33"/>
  <c r="Y558" i="33"/>
  <c r="AB558" i="33"/>
  <c r="AC558" i="33"/>
  <c r="X558" i="33"/>
  <c r="O558" i="33"/>
  <c r="P558" i="33"/>
  <c r="Q558" i="33"/>
  <c r="R558" i="33"/>
  <c r="S558" i="33"/>
  <c r="T558" i="33"/>
  <c r="U558" i="33"/>
  <c r="K545" i="33"/>
  <c r="G501" i="33"/>
  <c r="K492" i="33"/>
  <c r="I483" i="33"/>
  <c r="H452" i="33"/>
  <c r="W429" i="33"/>
  <c r="X429" i="33"/>
  <c r="Y429" i="33"/>
  <c r="Z429" i="33"/>
  <c r="AA429" i="33"/>
  <c r="AB429" i="33"/>
  <c r="AC429" i="33"/>
  <c r="Q429" i="33"/>
  <c r="R429" i="33"/>
  <c r="U429" i="33"/>
  <c r="O429" i="33"/>
  <c r="P429" i="33"/>
  <c r="T429" i="33"/>
  <c r="S429" i="33"/>
  <c r="G411" i="33"/>
  <c r="W397" i="33"/>
  <c r="X397" i="33"/>
  <c r="Y397" i="33"/>
  <c r="Z397" i="33"/>
  <c r="AA397" i="33"/>
  <c r="AB397" i="33"/>
  <c r="AC397" i="33"/>
  <c r="Q397" i="33"/>
  <c r="R397" i="33"/>
  <c r="S397" i="33"/>
  <c r="U397" i="33"/>
  <c r="O397" i="33"/>
  <c r="P397" i="33"/>
  <c r="T397" i="33"/>
  <c r="W393" i="33"/>
  <c r="X393" i="33"/>
  <c r="Y393" i="33"/>
  <c r="Z393" i="33"/>
  <c r="AA393" i="33"/>
  <c r="AB393" i="33"/>
  <c r="AC393" i="33"/>
  <c r="O393" i="33"/>
  <c r="Q393" i="33"/>
  <c r="P393" i="33"/>
  <c r="R393" i="33"/>
  <c r="S393" i="33"/>
  <c r="T393" i="33"/>
  <c r="U393" i="33"/>
  <c r="H389" i="33"/>
  <c r="H384" i="33"/>
  <c r="J375" i="33"/>
  <c r="H366" i="33"/>
  <c r="H352" i="33"/>
  <c r="W329" i="33"/>
  <c r="X329" i="33"/>
  <c r="Y329" i="33"/>
  <c r="Z329" i="33"/>
  <c r="AA329" i="33"/>
  <c r="AB329" i="33"/>
  <c r="AC329" i="33"/>
  <c r="O329" i="33"/>
  <c r="Q329" i="33"/>
  <c r="R329" i="33"/>
  <c r="S329" i="33"/>
  <c r="P329" i="33"/>
  <c r="T329" i="33"/>
  <c r="U329" i="33"/>
  <c r="J276" i="33"/>
  <c r="I276" i="33"/>
  <c r="W218" i="33"/>
  <c r="X218" i="33"/>
  <c r="Y218" i="33"/>
  <c r="AB218" i="33"/>
  <c r="AC218" i="33"/>
  <c r="Z218" i="33"/>
  <c r="AA218" i="33"/>
  <c r="R218" i="33"/>
  <c r="S218" i="33"/>
  <c r="T218" i="33"/>
  <c r="O218" i="33"/>
  <c r="P218" i="33"/>
  <c r="Q218" i="33"/>
  <c r="U218" i="33"/>
  <c r="G154" i="33"/>
  <c r="H154" i="33"/>
  <c r="G63" i="33"/>
  <c r="H63" i="33"/>
  <c r="R613" i="33"/>
  <c r="W667" i="33"/>
  <c r="Y667" i="33"/>
  <c r="Z667" i="33"/>
  <c r="AC667" i="33"/>
  <c r="X667" i="33"/>
  <c r="AA667" i="33"/>
  <c r="AB667" i="33"/>
  <c r="O667" i="33"/>
  <c r="P667" i="33"/>
  <c r="Q667" i="33"/>
  <c r="R667" i="33"/>
  <c r="S667" i="33"/>
  <c r="T667" i="33"/>
  <c r="U667" i="33"/>
  <c r="X658" i="33"/>
  <c r="Y658" i="33"/>
  <c r="W658" i="33"/>
  <c r="Z658" i="33"/>
  <c r="AB658" i="33"/>
  <c r="AC658" i="33"/>
  <c r="AA658" i="33"/>
  <c r="O658" i="33"/>
  <c r="P658" i="33"/>
  <c r="Q658" i="33"/>
  <c r="R658" i="33"/>
  <c r="S658" i="33"/>
  <c r="T658" i="33"/>
  <c r="K649" i="33"/>
  <c r="H644" i="33"/>
  <c r="H640" i="33"/>
  <c r="W617" i="33"/>
  <c r="X617" i="33"/>
  <c r="Y617" i="33"/>
  <c r="Z617" i="33"/>
  <c r="AA617" i="33"/>
  <c r="AB617" i="33"/>
  <c r="AC617" i="33"/>
  <c r="O617" i="33"/>
  <c r="P617" i="33"/>
  <c r="Q617" i="33"/>
  <c r="R617" i="33"/>
  <c r="S617" i="33"/>
  <c r="T617" i="33"/>
  <c r="U617" i="33"/>
  <c r="H612" i="33"/>
  <c r="H608" i="33"/>
  <c r="W603" i="33"/>
  <c r="X603" i="33"/>
  <c r="Y603" i="33"/>
  <c r="Z603" i="33"/>
  <c r="AA603" i="33"/>
  <c r="AB603" i="33"/>
  <c r="AC603" i="33"/>
  <c r="T603" i="33"/>
  <c r="U603" i="33"/>
  <c r="O603" i="33"/>
  <c r="P603" i="33"/>
  <c r="Q603" i="33"/>
  <c r="W594" i="33"/>
  <c r="X594" i="33"/>
  <c r="Y594" i="33"/>
  <c r="Z594" i="33"/>
  <c r="AA594" i="33"/>
  <c r="AB594" i="33"/>
  <c r="AC594" i="33"/>
  <c r="O594" i="33"/>
  <c r="P594" i="33"/>
  <c r="Q594" i="33"/>
  <c r="R594" i="33"/>
  <c r="S594" i="33"/>
  <c r="T594" i="33"/>
  <c r="U594" i="33"/>
  <c r="W585" i="33"/>
  <c r="X585" i="33"/>
  <c r="Y585" i="33"/>
  <c r="Z585" i="33"/>
  <c r="AA585" i="33"/>
  <c r="AB585" i="33"/>
  <c r="AC585" i="33"/>
  <c r="O585" i="33"/>
  <c r="P585" i="33"/>
  <c r="Q585" i="33"/>
  <c r="R585" i="33"/>
  <c r="S585" i="33"/>
  <c r="T585" i="33"/>
  <c r="U585" i="33"/>
  <c r="H580" i="33"/>
  <c r="H576" i="33"/>
  <c r="W571" i="33"/>
  <c r="X571" i="33"/>
  <c r="Y571" i="33"/>
  <c r="Z571" i="33"/>
  <c r="AA571" i="33"/>
  <c r="AB571" i="33"/>
  <c r="AC571" i="33"/>
  <c r="P571" i="33"/>
  <c r="R571" i="33"/>
  <c r="O571" i="33"/>
  <c r="Q571" i="33"/>
  <c r="S571" i="33"/>
  <c r="T571" i="33"/>
  <c r="U571" i="33"/>
  <c r="H567" i="33"/>
  <c r="W549" i="33"/>
  <c r="X549" i="33"/>
  <c r="Y549" i="33"/>
  <c r="Z549" i="33"/>
  <c r="AA549" i="33"/>
  <c r="AB549" i="33"/>
  <c r="AC549" i="33"/>
  <c r="O549" i="33"/>
  <c r="P549" i="33"/>
  <c r="Q549" i="33"/>
  <c r="R549" i="33"/>
  <c r="S549" i="33"/>
  <c r="G545" i="33"/>
  <c r="W540" i="33"/>
  <c r="X540" i="33"/>
  <c r="Y540" i="33"/>
  <c r="Z540" i="33"/>
  <c r="AA540" i="33"/>
  <c r="AB540" i="33"/>
  <c r="AC540" i="33"/>
  <c r="O540" i="33"/>
  <c r="P540" i="33"/>
  <c r="Q540" i="33"/>
  <c r="R540" i="33"/>
  <c r="S540" i="33"/>
  <c r="T540" i="33"/>
  <c r="U540" i="33"/>
  <c r="H536" i="33"/>
  <c r="W531" i="33"/>
  <c r="X531" i="33"/>
  <c r="Y531" i="33"/>
  <c r="Z531" i="33"/>
  <c r="AA531" i="33"/>
  <c r="AB531" i="33"/>
  <c r="AC531" i="33"/>
  <c r="O531" i="33"/>
  <c r="P531" i="33"/>
  <c r="Q531" i="33"/>
  <c r="R531" i="33"/>
  <c r="S531" i="33"/>
  <c r="T531" i="33"/>
  <c r="U531" i="33"/>
  <c r="W527" i="33"/>
  <c r="X527" i="33"/>
  <c r="Y527" i="33"/>
  <c r="Z527" i="33"/>
  <c r="AA527" i="33"/>
  <c r="AB527" i="33"/>
  <c r="AC527" i="33"/>
  <c r="S527" i="33"/>
  <c r="T527" i="33"/>
  <c r="U527" i="33"/>
  <c r="O527" i="33"/>
  <c r="P527" i="33"/>
  <c r="G510" i="33"/>
  <c r="Y505" i="33"/>
  <c r="Z505" i="33"/>
  <c r="AC505" i="33"/>
  <c r="W505" i="33"/>
  <c r="X505" i="33"/>
  <c r="AA505" i="33"/>
  <c r="AB505" i="33"/>
  <c r="O505" i="33"/>
  <c r="P505" i="33"/>
  <c r="Q505" i="33"/>
  <c r="R505" i="33"/>
  <c r="S505" i="33"/>
  <c r="T505" i="33"/>
  <c r="U505" i="33"/>
  <c r="H492" i="33"/>
  <c r="W487" i="33"/>
  <c r="X487" i="33"/>
  <c r="AA487" i="33"/>
  <c r="Y487" i="33"/>
  <c r="Z487" i="33"/>
  <c r="AB487" i="33"/>
  <c r="AC487" i="33"/>
  <c r="T487" i="33"/>
  <c r="U487" i="33"/>
  <c r="O487" i="33"/>
  <c r="P487" i="33"/>
  <c r="Q487" i="33"/>
  <c r="R487" i="33"/>
  <c r="S487" i="33"/>
  <c r="K479" i="33"/>
  <c r="W474" i="33"/>
  <c r="X474" i="33"/>
  <c r="Y474" i="33"/>
  <c r="Z474" i="33"/>
  <c r="AA474" i="33"/>
  <c r="AB474" i="33"/>
  <c r="AC474" i="33"/>
  <c r="O474" i="33"/>
  <c r="P474" i="33"/>
  <c r="Q474" i="33"/>
  <c r="R474" i="33"/>
  <c r="S474" i="33"/>
  <c r="T474" i="33"/>
  <c r="U474" i="33"/>
  <c r="AA465" i="33"/>
  <c r="AB465" i="33"/>
  <c r="AC465" i="33"/>
  <c r="W465" i="33"/>
  <c r="X465" i="33"/>
  <c r="Y465" i="33"/>
  <c r="Z465" i="33"/>
  <c r="O465" i="33"/>
  <c r="P465" i="33"/>
  <c r="Q465" i="33"/>
  <c r="R465" i="33"/>
  <c r="S465" i="33"/>
  <c r="T465" i="33"/>
  <c r="U465" i="33"/>
  <c r="W442" i="33"/>
  <c r="X442" i="33"/>
  <c r="Y442" i="33"/>
  <c r="Z442" i="33"/>
  <c r="AA442" i="33"/>
  <c r="AB442" i="33"/>
  <c r="AC442" i="33"/>
  <c r="O442" i="33"/>
  <c r="P442" i="33"/>
  <c r="Q442" i="33"/>
  <c r="R442" i="33"/>
  <c r="S442" i="33"/>
  <c r="T442" i="33"/>
  <c r="U442" i="33"/>
  <c r="I438" i="33"/>
  <c r="I434" i="33"/>
  <c r="H415" i="33"/>
  <c r="I411" i="33"/>
  <c r="I407" i="33"/>
  <c r="I402" i="33"/>
  <c r="I375" i="33"/>
  <c r="Y370" i="33"/>
  <c r="AA370" i="33"/>
  <c r="AB370" i="33"/>
  <c r="W370" i="33"/>
  <c r="X370" i="33"/>
  <c r="Z370" i="33"/>
  <c r="AC370" i="33"/>
  <c r="O370" i="33"/>
  <c r="P370" i="33"/>
  <c r="R370" i="33"/>
  <c r="Q370" i="33"/>
  <c r="S370" i="33"/>
  <c r="T370" i="33"/>
  <c r="U370" i="33"/>
  <c r="W357" i="33"/>
  <c r="X357" i="33"/>
  <c r="Y357" i="33"/>
  <c r="Z357" i="33"/>
  <c r="AA357" i="33"/>
  <c r="AB357" i="33"/>
  <c r="AC357" i="33"/>
  <c r="O357" i="33"/>
  <c r="P357" i="33"/>
  <c r="Q357" i="33"/>
  <c r="R357" i="33"/>
  <c r="S357" i="33"/>
  <c r="T357" i="33"/>
  <c r="U357" i="33"/>
  <c r="J352" i="33"/>
  <c r="W333" i="33"/>
  <c r="X333" i="33"/>
  <c r="Z333" i="33"/>
  <c r="AB333" i="33"/>
  <c r="AC333" i="33"/>
  <c r="Y333" i="33"/>
  <c r="AA333" i="33"/>
  <c r="Q333" i="33"/>
  <c r="R333" i="33"/>
  <c r="S333" i="33"/>
  <c r="U333" i="33"/>
  <c r="O333" i="33"/>
  <c r="P333" i="33"/>
  <c r="T333" i="33"/>
  <c r="G302" i="33"/>
  <c r="W275" i="33"/>
  <c r="Y275" i="33"/>
  <c r="Z275" i="33"/>
  <c r="AA275" i="33"/>
  <c r="X275" i="33"/>
  <c r="AB275" i="33"/>
  <c r="AC275" i="33"/>
  <c r="S275" i="33"/>
  <c r="T275" i="33"/>
  <c r="U275" i="33"/>
  <c r="O275" i="33"/>
  <c r="P275" i="33"/>
  <c r="Q275" i="33"/>
  <c r="R275" i="33"/>
  <c r="W270" i="33"/>
  <c r="X270" i="33"/>
  <c r="Y270" i="33"/>
  <c r="Z270" i="33"/>
  <c r="AA270" i="33"/>
  <c r="AB270" i="33"/>
  <c r="AC270" i="33"/>
  <c r="O270" i="33"/>
  <c r="P270" i="33"/>
  <c r="Q270" i="33"/>
  <c r="R270" i="33"/>
  <c r="S270" i="33"/>
  <c r="T270" i="33"/>
  <c r="U270" i="33"/>
  <c r="W213" i="33"/>
  <c r="X213" i="33"/>
  <c r="Y213" i="33"/>
  <c r="Z213" i="33"/>
  <c r="AA213" i="33"/>
  <c r="AB213" i="33"/>
  <c r="AC213" i="33"/>
  <c r="P213" i="33"/>
  <c r="Q213" i="33"/>
  <c r="R213" i="33"/>
  <c r="T213" i="33"/>
  <c r="U213" i="33"/>
  <c r="O213" i="33"/>
  <c r="S213" i="33"/>
  <c r="K175" i="33"/>
  <c r="I154" i="33"/>
  <c r="I63" i="33"/>
  <c r="S608" i="33"/>
  <c r="R496" i="33"/>
  <c r="K681" i="33"/>
  <c r="G654" i="33"/>
  <c r="G649" i="33"/>
  <c r="W626" i="33"/>
  <c r="X626" i="33"/>
  <c r="Y626" i="33"/>
  <c r="Z626" i="33"/>
  <c r="AA626" i="33"/>
  <c r="AB626" i="33"/>
  <c r="AC626" i="33"/>
  <c r="O626" i="33"/>
  <c r="P626" i="33"/>
  <c r="Q626" i="33"/>
  <c r="R626" i="33"/>
  <c r="S626" i="33"/>
  <c r="T626" i="33"/>
  <c r="U626" i="33"/>
  <c r="I545" i="33"/>
  <c r="K536" i="33"/>
  <c r="I510" i="33"/>
  <c r="AB500" i="33"/>
  <c r="AC500" i="33"/>
  <c r="AA500" i="33"/>
  <c r="W500" i="33"/>
  <c r="X500" i="33"/>
  <c r="Y500" i="33"/>
  <c r="Z500" i="33"/>
  <c r="O500" i="33"/>
  <c r="P500" i="33"/>
  <c r="Q500" i="33"/>
  <c r="R500" i="33"/>
  <c r="S500" i="33"/>
  <c r="T500" i="33"/>
  <c r="U500" i="33"/>
  <c r="I492" i="33"/>
  <c r="G479" i="33"/>
  <c r="I425" i="33"/>
  <c r="Z410" i="33"/>
  <c r="AB410" i="33"/>
  <c r="AC410" i="33"/>
  <c r="W410" i="33"/>
  <c r="X410" i="33"/>
  <c r="Y410" i="33"/>
  <c r="AA410" i="33"/>
  <c r="S410" i="33"/>
  <c r="T410" i="33"/>
  <c r="U410" i="33"/>
  <c r="O410" i="33"/>
  <c r="P410" i="33"/>
  <c r="Q410" i="33"/>
  <c r="R410" i="33"/>
  <c r="G407" i="33"/>
  <c r="H393" i="33"/>
  <c r="I384" i="33"/>
  <c r="G375" i="33"/>
  <c r="K357" i="33"/>
  <c r="I352" i="33"/>
  <c r="K348" i="33"/>
  <c r="W337" i="33"/>
  <c r="X337" i="33"/>
  <c r="AA337" i="33"/>
  <c r="AB337" i="33"/>
  <c r="AC337" i="33"/>
  <c r="Y337" i="33"/>
  <c r="Z337" i="33"/>
  <c r="U337" i="33"/>
  <c r="O337" i="33"/>
  <c r="P337" i="33"/>
  <c r="Q337" i="33"/>
  <c r="R337" i="33"/>
  <c r="S337" i="33"/>
  <c r="T337" i="33"/>
  <c r="G250" i="33"/>
  <c r="H250" i="33"/>
  <c r="W197" i="33"/>
  <c r="X197" i="33"/>
  <c r="Y197" i="33"/>
  <c r="Z197" i="33"/>
  <c r="AA197" i="33"/>
  <c r="AB197" i="33"/>
  <c r="AC197" i="33"/>
  <c r="U197" i="33"/>
  <c r="O197" i="33"/>
  <c r="P197" i="33"/>
  <c r="Q197" i="33"/>
  <c r="R197" i="33"/>
  <c r="S197" i="33"/>
  <c r="T197" i="33"/>
  <c r="G191" i="33"/>
  <c r="K191" i="33"/>
  <c r="H175" i="33"/>
  <c r="R608" i="33"/>
  <c r="Q496" i="33"/>
  <c r="K667" i="33"/>
  <c r="W662" i="33"/>
  <c r="X662" i="33"/>
  <c r="Y662" i="33"/>
  <c r="Z662" i="33"/>
  <c r="AB662" i="33"/>
  <c r="AC662" i="33"/>
  <c r="AA662" i="33"/>
  <c r="O662" i="33"/>
  <c r="P662" i="33"/>
  <c r="Q662" i="33"/>
  <c r="R662" i="33"/>
  <c r="S662" i="33"/>
  <c r="T662" i="33"/>
  <c r="U662" i="33"/>
  <c r="W562" i="33"/>
  <c r="X562" i="33"/>
  <c r="Y562" i="33"/>
  <c r="Z562" i="33"/>
  <c r="AA562" i="33"/>
  <c r="AB562" i="33"/>
  <c r="AC562" i="33"/>
  <c r="O562" i="33"/>
  <c r="Q562" i="33"/>
  <c r="P562" i="33"/>
  <c r="R562" i="33"/>
  <c r="S562" i="33"/>
  <c r="T562" i="33"/>
  <c r="U562" i="33"/>
  <c r="W544" i="33"/>
  <c r="X544" i="33"/>
  <c r="Y544" i="33"/>
  <c r="AC544" i="33"/>
  <c r="Z544" i="33"/>
  <c r="AA544" i="33"/>
  <c r="AB544" i="33"/>
  <c r="O544" i="33"/>
  <c r="P544" i="33"/>
  <c r="Q544" i="33"/>
  <c r="R544" i="33"/>
  <c r="S544" i="33"/>
  <c r="T544" i="33"/>
  <c r="U544" i="33"/>
  <c r="W518" i="33"/>
  <c r="X518" i="33"/>
  <c r="Y518" i="33"/>
  <c r="Z518" i="33"/>
  <c r="AA518" i="33"/>
  <c r="AB518" i="33"/>
  <c r="AC518" i="33"/>
  <c r="P518" i="33"/>
  <c r="Q518" i="33"/>
  <c r="R518" i="33"/>
  <c r="S518" i="33"/>
  <c r="T518" i="33"/>
  <c r="U518" i="33"/>
  <c r="AC509" i="33"/>
  <c r="W509" i="33"/>
  <c r="X509" i="33"/>
  <c r="Y509" i="33"/>
  <c r="Z509" i="33"/>
  <c r="AA509" i="33"/>
  <c r="AB509" i="33"/>
  <c r="O509" i="33"/>
  <c r="P509" i="33"/>
  <c r="Q509" i="33"/>
  <c r="R509" i="33"/>
  <c r="S509" i="33"/>
  <c r="T509" i="33"/>
  <c r="U509" i="33"/>
  <c r="AA491" i="33"/>
  <c r="AB491" i="33"/>
  <c r="W491" i="33"/>
  <c r="X491" i="33"/>
  <c r="Y491" i="33"/>
  <c r="Z491" i="33"/>
  <c r="AC491" i="33"/>
  <c r="O491" i="33"/>
  <c r="P491" i="33"/>
  <c r="Q491" i="33"/>
  <c r="R491" i="33"/>
  <c r="S491" i="33"/>
  <c r="T491" i="33"/>
  <c r="U491" i="33"/>
  <c r="W424" i="33"/>
  <c r="X424" i="33"/>
  <c r="Y424" i="33"/>
  <c r="Z424" i="33"/>
  <c r="AA424" i="33"/>
  <c r="AB424" i="33"/>
  <c r="AC424" i="33"/>
  <c r="T424" i="33"/>
  <c r="U424" i="33"/>
  <c r="O424" i="33"/>
  <c r="Q424" i="33"/>
  <c r="P424" i="33"/>
  <c r="R424" i="33"/>
  <c r="S424" i="33"/>
  <c r="AA361" i="33"/>
  <c r="AB361" i="33"/>
  <c r="AC361" i="33"/>
  <c r="W361" i="33"/>
  <c r="X361" i="33"/>
  <c r="Y361" i="33"/>
  <c r="Z361" i="33"/>
  <c r="O361" i="33"/>
  <c r="Q361" i="33"/>
  <c r="P361" i="33"/>
  <c r="R361" i="33"/>
  <c r="S361" i="33"/>
  <c r="T361" i="33"/>
  <c r="U361" i="33"/>
  <c r="W279" i="33"/>
  <c r="X279" i="33"/>
  <c r="Y279" i="33"/>
  <c r="Z279" i="33"/>
  <c r="AA279" i="33"/>
  <c r="AB279" i="33"/>
  <c r="AC279" i="33"/>
  <c r="O279" i="33"/>
  <c r="P279" i="33"/>
  <c r="Q279" i="33"/>
  <c r="R279" i="33"/>
  <c r="T279" i="33"/>
  <c r="U279" i="33"/>
  <c r="I261" i="33"/>
  <c r="J261" i="33"/>
  <c r="I250" i="33"/>
  <c r="I239" i="33"/>
  <c r="J239" i="33"/>
  <c r="S603" i="33"/>
  <c r="T486" i="33"/>
  <c r="W506" i="33"/>
  <c r="X506" i="33"/>
  <c r="Y506" i="33"/>
  <c r="Z506" i="33"/>
  <c r="AA506" i="33"/>
  <c r="AB506" i="33"/>
  <c r="AC506" i="33"/>
  <c r="O506" i="33"/>
  <c r="P506" i="33"/>
  <c r="Q506" i="33"/>
  <c r="R506" i="33"/>
  <c r="S506" i="33"/>
  <c r="T506" i="33"/>
  <c r="U506" i="33"/>
  <c r="AB394" i="33"/>
  <c r="AC394" i="33"/>
  <c r="W394" i="33"/>
  <c r="X394" i="33"/>
  <c r="Y394" i="33"/>
  <c r="Z394" i="33"/>
  <c r="AA394" i="33"/>
  <c r="O394" i="33"/>
  <c r="P394" i="33"/>
  <c r="Q394" i="33"/>
  <c r="R394" i="33"/>
  <c r="S394" i="33"/>
  <c r="T394" i="33"/>
  <c r="U394" i="33"/>
  <c r="K412" i="33"/>
  <c r="G363" i="33"/>
  <c r="W653" i="33"/>
  <c r="X653" i="33"/>
  <c r="Y653" i="33"/>
  <c r="AA653" i="33"/>
  <c r="AB653" i="33"/>
  <c r="Z653" i="33"/>
  <c r="AC653" i="33"/>
  <c r="O653" i="33"/>
  <c r="P653" i="33"/>
  <c r="Q653" i="33"/>
  <c r="R653" i="33"/>
  <c r="S653" i="33"/>
  <c r="T653" i="33"/>
  <c r="Y648" i="33"/>
  <c r="Z648" i="33"/>
  <c r="AA648" i="33"/>
  <c r="AB648" i="33"/>
  <c r="W648" i="33"/>
  <c r="X648" i="33"/>
  <c r="AC648" i="33"/>
  <c r="Q648" i="33"/>
  <c r="O648" i="33"/>
  <c r="P648" i="33"/>
  <c r="R648" i="33"/>
  <c r="S648" i="33"/>
  <c r="T648" i="33"/>
  <c r="W630" i="33"/>
  <c r="X630" i="33"/>
  <c r="Y630" i="33"/>
  <c r="Z630" i="33"/>
  <c r="AA630" i="33"/>
  <c r="AB630" i="33"/>
  <c r="AC630" i="33"/>
  <c r="O630" i="33"/>
  <c r="P630" i="33"/>
  <c r="Q630" i="33"/>
  <c r="R630" i="33"/>
  <c r="S630" i="33"/>
  <c r="T630" i="33"/>
  <c r="U630" i="33"/>
  <c r="W478" i="33"/>
  <c r="Z478" i="33"/>
  <c r="X478" i="33"/>
  <c r="Y478" i="33"/>
  <c r="AA478" i="33"/>
  <c r="AB478" i="33"/>
  <c r="AC478" i="33"/>
  <c r="S478" i="33"/>
  <c r="T478" i="33"/>
  <c r="U478" i="33"/>
  <c r="O478" i="33"/>
  <c r="P478" i="33"/>
  <c r="Q478" i="33"/>
  <c r="R478" i="33"/>
  <c r="W456" i="33"/>
  <c r="X456" i="33"/>
  <c r="Y456" i="33"/>
  <c r="Z456" i="33"/>
  <c r="AA456" i="33"/>
  <c r="AB456" i="33"/>
  <c r="AC456" i="33"/>
  <c r="O456" i="33"/>
  <c r="P456" i="33"/>
  <c r="Q456" i="33"/>
  <c r="R456" i="33"/>
  <c r="S456" i="33"/>
  <c r="T456" i="33"/>
  <c r="U456" i="33"/>
  <c r="Y437" i="33"/>
  <c r="W437" i="33"/>
  <c r="X437" i="33"/>
  <c r="Z437" i="33"/>
  <c r="AA437" i="33"/>
  <c r="AB437" i="33"/>
  <c r="AC437" i="33"/>
  <c r="O437" i="33"/>
  <c r="P437" i="33"/>
  <c r="Q437" i="33"/>
  <c r="R437" i="33"/>
  <c r="S437" i="33"/>
  <c r="T437" i="33"/>
  <c r="U437" i="33"/>
  <c r="W433" i="33"/>
  <c r="X433" i="33"/>
  <c r="Y433" i="33"/>
  <c r="Z433" i="33"/>
  <c r="AA433" i="33"/>
  <c r="AB433" i="33"/>
  <c r="AC433" i="33"/>
  <c r="U433" i="33"/>
  <c r="O433" i="33"/>
  <c r="P433" i="33"/>
  <c r="Q433" i="33"/>
  <c r="R433" i="33"/>
  <c r="S433" i="33"/>
  <c r="T433" i="33"/>
  <c r="X406" i="33"/>
  <c r="Y406" i="33"/>
  <c r="W406" i="33"/>
  <c r="Z406" i="33"/>
  <c r="AA406" i="33"/>
  <c r="AB406" i="33"/>
  <c r="AC406" i="33"/>
  <c r="R406" i="33"/>
  <c r="S406" i="33"/>
  <c r="T406" i="33"/>
  <c r="O406" i="33"/>
  <c r="P406" i="33"/>
  <c r="Q406" i="33"/>
  <c r="U406" i="33"/>
  <c r="Y374" i="33"/>
  <c r="Z374" i="33"/>
  <c r="AB374" i="33"/>
  <c r="AC374" i="33"/>
  <c r="W374" i="33"/>
  <c r="X374" i="33"/>
  <c r="AA374" i="33"/>
  <c r="R374" i="33"/>
  <c r="S374" i="33"/>
  <c r="T374" i="33"/>
  <c r="O374" i="33"/>
  <c r="P374" i="33"/>
  <c r="Q374" i="33"/>
  <c r="U374" i="33"/>
  <c r="I311" i="33"/>
  <c r="K311" i="33"/>
  <c r="G255" i="33"/>
  <c r="H255" i="33"/>
  <c r="X249" i="33"/>
  <c r="Y249" i="33"/>
  <c r="Z249" i="33"/>
  <c r="AA249" i="33"/>
  <c r="AB249" i="33"/>
  <c r="W249" i="33"/>
  <c r="AC249" i="33"/>
  <c r="O249" i="33"/>
  <c r="P249" i="33"/>
  <c r="Q249" i="33"/>
  <c r="R249" i="33"/>
  <c r="S249" i="33"/>
  <c r="T249" i="33"/>
  <c r="U249" i="33"/>
  <c r="W228" i="33"/>
  <c r="X228" i="33"/>
  <c r="Y228" i="33"/>
  <c r="Z228" i="33"/>
  <c r="AA228" i="33"/>
  <c r="AB228" i="33"/>
  <c r="AC228" i="33"/>
  <c r="O228" i="33"/>
  <c r="P228" i="33"/>
  <c r="Q228" i="33"/>
  <c r="R228" i="33"/>
  <c r="S228" i="33"/>
  <c r="T228" i="33"/>
  <c r="U228" i="33"/>
  <c r="I191" i="33"/>
  <c r="J191" i="33"/>
  <c r="I127" i="33"/>
  <c r="W45" i="33"/>
  <c r="X45" i="33"/>
  <c r="Y45" i="33"/>
  <c r="Z45" i="33"/>
  <c r="AA45" i="33"/>
  <c r="AB45" i="33"/>
  <c r="AC45" i="33"/>
  <c r="O45" i="33"/>
  <c r="P45" i="33"/>
  <c r="Q45" i="33"/>
  <c r="R45" i="33"/>
  <c r="T45" i="33"/>
  <c r="U45" i="33"/>
  <c r="S45" i="33"/>
  <c r="R603" i="33"/>
  <c r="W586" i="33"/>
  <c r="X586" i="33"/>
  <c r="Y586" i="33"/>
  <c r="Z586" i="33"/>
  <c r="AA586" i="33"/>
  <c r="AB586" i="33"/>
  <c r="AC586" i="33"/>
  <c r="O586" i="33"/>
  <c r="P586" i="33"/>
  <c r="Q586" i="33"/>
  <c r="R586" i="33"/>
  <c r="S586" i="33"/>
  <c r="T586" i="33"/>
  <c r="U586" i="33"/>
  <c r="W334" i="33"/>
  <c r="X334" i="33"/>
  <c r="Y334" i="33"/>
  <c r="Z334" i="33"/>
  <c r="AA334" i="33"/>
  <c r="AC334" i="33"/>
  <c r="AB334" i="33"/>
  <c r="O334" i="33"/>
  <c r="P334" i="33"/>
  <c r="Q334" i="33"/>
  <c r="R334" i="33"/>
  <c r="S334" i="33"/>
  <c r="T334" i="33"/>
  <c r="U334" i="33"/>
  <c r="W488" i="33"/>
  <c r="X488" i="33"/>
  <c r="Y488" i="33"/>
  <c r="Z488" i="33"/>
  <c r="AA488" i="33"/>
  <c r="AB488" i="33"/>
  <c r="AC488" i="33"/>
  <c r="O488" i="33"/>
  <c r="P488" i="33"/>
  <c r="Q488" i="33"/>
  <c r="R488" i="33"/>
  <c r="S488" i="33"/>
  <c r="T488" i="33"/>
  <c r="U488" i="33"/>
  <c r="Y680" i="33"/>
  <c r="Z680" i="33"/>
  <c r="AA680" i="33"/>
  <c r="AB680" i="33"/>
  <c r="W680" i="33"/>
  <c r="X680" i="33"/>
  <c r="AC680" i="33"/>
  <c r="Q680" i="33"/>
  <c r="O680" i="33"/>
  <c r="P680" i="33"/>
  <c r="R680" i="33"/>
  <c r="S680" i="33"/>
  <c r="T680" i="33"/>
  <c r="U680" i="33"/>
  <c r="K676" i="33"/>
  <c r="G667" i="33"/>
  <c r="K653" i="33"/>
  <c r="W621" i="33"/>
  <c r="X621" i="33"/>
  <c r="Y621" i="33"/>
  <c r="Z621" i="33"/>
  <c r="AA621" i="33"/>
  <c r="AB621" i="33"/>
  <c r="AC621" i="33"/>
  <c r="O621" i="33"/>
  <c r="P621" i="33"/>
  <c r="Q621" i="33"/>
  <c r="R621" i="33"/>
  <c r="S621" i="33"/>
  <c r="T621" i="33"/>
  <c r="U621" i="33"/>
  <c r="I617" i="33"/>
  <c r="W598" i="33"/>
  <c r="X598" i="33"/>
  <c r="Y598" i="33"/>
  <c r="Z598" i="33"/>
  <c r="AA598" i="33"/>
  <c r="AB598" i="33"/>
  <c r="AC598" i="33"/>
  <c r="O598" i="33"/>
  <c r="T598" i="33"/>
  <c r="U598" i="33"/>
  <c r="P598" i="33"/>
  <c r="Q598" i="33"/>
  <c r="W589" i="33"/>
  <c r="X589" i="33"/>
  <c r="Y589" i="33"/>
  <c r="Z589" i="33"/>
  <c r="AA589" i="33"/>
  <c r="AB589" i="33"/>
  <c r="AC589" i="33"/>
  <c r="O589" i="33"/>
  <c r="P589" i="33"/>
  <c r="Q589" i="33"/>
  <c r="R589" i="33"/>
  <c r="S589" i="33"/>
  <c r="T589" i="33"/>
  <c r="U589" i="33"/>
  <c r="I585" i="33"/>
  <c r="G558" i="33"/>
  <c r="W553" i="33"/>
  <c r="X553" i="33"/>
  <c r="Y553" i="33"/>
  <c r="Z553" i="33"/>
  <c r="AA553" i="33"/>
  <c r="AB553" i="33"/>
  <c r="AC553" i="33"/>
  <c r="O553" i="33"/>
  <c r="P553" i="33"/>
  <c r="Q553" i="33"/>
  <c r="R553" i="33"/>
  <c r="S553" i="33"/>
  <c r="T553" i="33"/>
  <c r="U553" i="33"/>
  <c r="I549" i="33"/>
  <c r="H540" i="33"/>
  <c r="W535" i="33"/>
  <c r="X535" i="33"/>
  <c r="Y535" i="33"/>
  <c r="Z535" i="33"/>
  <c r="AA535" i="33"/>
  <c r="AB535" i="33"/>
  <c r="AC535" i="33"/>
  <c r="O535" i="33"/>
  <c r="S535" i="33"/>
  <c r="U535" i="33"/>
  <c r="P535" i="33"/>
  <c r="Q535" i="33"/>
  <c r="K527" i="33"/>
  <c r="W522" i="33"/>
  <c r="X522" i="33"/>
  <c r="Y522" i="33"/>
  <c r="Z522" i="33"/>
  <c r="AA522" i="33"/>
  <c r="AB522" i="33"/>
  <c r="AC522" i="33"/>
  <c r="O522" i="33"/>
  <c r="P522" i="33"/>
  <c r="Q522" i="33"/>
  <c r="R522" i="33"/>
  <c r="S522" i="33"/>
  <c r="T522" i="33"/>
  <c r="U522" i="33"/>
  <c r="I514" i="33"/>
  <c r="I505" i="33"/>
  <c r="Y469" i="33"/>
  <c r="W469" i="33"/>
  <c r="X469" i="33"/>
  <c r="Z469" i="33"/>
  <c r="AA469" i="33"/>
  <c r="AB469" i="33"/>
  <c r="AC469" i="33"/>
  <c r="R469" i="33"/>
  <c r="S469" i="33"/>
  <c r="T469" i="33"/>
  <c r="U469" i="33"/>
  <c r="O469" i="33"/>
  <c r="P469" i="33"/>
  <c r="Q469" i="33"/>
  <c r="I465" i="33"/>
  <c r="X460" i="33"/>
  <c r="AA460" i="33"/>
  <c r="AB460" i="33"/>
  <c r="AC460" i="33"/>
  <c r="W460" i="33"/>
  <c r="Y460" i="33"/>
  <c r="Z460" i="33"/>
  <c r="Q460" i="33"/>
  <c r="R460" i="33"/>
  <c r="S460" i="33"/>
  <c r="T460" i="33"/>
  <c r="U460" i="33"/>
  <c r="O460" i="33"/>
  <c r="P460" i="33"/>
  <c r="K437" i="33"/>
  <c r="I429" i="33"/>
  <c r="J424" i="33"/>
  <c r="W419" i="33"/>
  <c r="AA419" i="33"/>
  <c r="AC419" i="33"/>
  <c r="X419" i="33"/>
  <c r="Y419" i="33"/>
  <c r="Z419" i="33"/>
  <c r="AB419" i="33"/>
  <c r="P419" i="33"/>
  <c r="T419" i="33"/>
  <c r="O419" i="33"/>
  <c r="Q419" i="33"/>
  <c r="R419" i="33"/>
  <c r="S419" i="33"/>
  <c r="U419" i="33"/>
  <c r="W414" i="33"/>
  <c r="Y414" i="33"/>
  <c r="Z414" i="33"/>
  <c r="X414" i="33"/>
  <c r="AA414" i="33"/>
  <c r="AB414" i="33"/>
  <c r="AC414" i="33"/>
  <c r="O414" i="33"/>
  <c r="Q414" i="33"/>
  <c r="R414" i="33"/>
  <c r="S414" i="33"/>
  <c r="U414" i="33"/>
  <c r="P414" i="33"/>
  <c r="T414" i="33"/>
  <c r="W388" i="33"/>
  <c r="X388" i="33"/>
  <c r="Y388" i="33"/>
  <c r="Z388" i="33"/>
  <c r="AA388" i="33"/>
  <c r="AB388" i="33"/>
  <c r="AC388" i="33"/>
  <c r="P388" i="33"/>
  <c r="Q388" i="33"/>
  <c r="R388" i="33"/>
  <c r="T388" i="33"/>
  <c r="O388" i="33"/>
  <c r="S388" i="33"/>
  <c r="U388" i="33"/>
  <c r="W383" i="33"/>
  <c r="X383" i="33"/>
  <c r="Y383" i="33"/>
  <c r="Z383" i="33"/>
  <c r="AA383" i="33"/>
  <c r="AB383" i="33"/>
  <c r="AC383" i="33"/>
  <c r="S383" i="33"/>
  <c r="T383" i="33"/>
  <c r="U383" i="33"/>
  <c r="O383" i="33"/>
  <c r="P383" i="33"/>
  <c r="Q383" i="33"/>
  <c r="R383" i="33"/>
  <c r="W351" i="33"/>
  <c r="X351" i="33"/>
  <c r="Y351" i="33"/>
  <c r="Z351" i="33"/>
  <c r="AA351" i="33"/>
  <c r="AB351" i="33"/>
  <c r="AC351" i="33"/>
  <c r="S351" i="33"/>
  <c r="T351" i="33"/>
  <c r="U351" i="33"/>
  <c r="O351" i="33"/>
  <c r="P351" i="33"/>
  <c r="Q351" i="33"/>
  <c r="R351" i="33"/>
  <c r="W347" i="33"/>
  <c r="X347" i="33"/>
  <c r="Y347" i="33"/>
  <c r="Z347" i="33"/>
  <c r="AA347" i="33"/>
  <c r="AB347" i="33"/>
  <c r="AC347" i="33"/>
  <c r="O347" i="33"/>
  <c r="P347" i="33"/>
  <c r="Q347" i="33"/>
  <c r="S347" i="33"/>
  <c r="U347" i="33"/>
  <c r="R347" i="33"/>
  <c r="T347" i="33"/>
  <c r="H315" i="33"/>
  <c r="G315" i="33"/>
  <c r="I255" i="33"/>
  <c r="J255" i="33"/>
  <c r="W190" i="33"/>
  <c r="X190" i="33"/>
  <c r="Y190" i="33"/>
  <c r="Z190" i="33"/>
  <c r="AA190" i="33"/>
  <c r="AB190" i="33"/>
  <c r="AC190" i="33"/>
  <c r="O190" i="33"/>
  <c r="P190" i="33"/>
  <c r="Q190" i="33"/>
  <c r="R190" i="33"/>
  <c r="S190" i="33"/>
  <c r="T190" i="33"/>
  <c r="U190" i="33"/>
  <c r="H180" i="33"/>
  <c r="G180" i="33"/>
  <c r="K132" i="33"/>
  <c r="W67" i="33"/>
  <c r="X67" i="33"/>
  <c r="Y67" i="33"/>
  <c r="Z67" i="33"/>
  <c r="AA67" i="33"/>
  <c r="AB67" i="33"/>
  <c r="AC67" i="33"/>
  <c r="O67" i="33"/>
  <c r="R67" i="33"/>
  <c r="S67" i="33"/>
  <c r="T67" i="33"/>
  <c r="U67" i="33"/>
  <c r="P67" i="33"/>
  <c r="Q67" i="33"/>
  <c r="S598" i="33"/>
  <c r="Y645" i="33"/>
  <c r="X645" i="33"/>
  <c r="Z645" i="33"/>
  <c r="AA645" i="33"/>
  <c r="AB645" i="33"/>
  <c r="AC645" i="33"/>
  <c r="W645" i="33"/>
  <c r="O645" i="33"/>
  <c r="P645" i="33"/>
  <c r="Q645" i="33"/>
  <c r="R645" i="33"/>
  <c r="S645" i="33"/>
  <c r="T645" i="33"/>
  <c r="U645" i="33"/>
  <c r="W563" i="33"/>
  <c r="X563" i="33"/>
  <c r="Y563" i="33"/>
  <c r="Z563" i="33"/>
  <c r="AA563" i="33"/>
  <c r="AB563" i="33"/>
  <c r="AC563" i="33"/>
  <c r="Q563" i="33"/>
  <c r="R563" i="33"/>
  <c r="S563" i="33"/>
  <c r="T563" i="33"/>
  <c r="U563" i="33"/>
  <c r="I667" i="33"/>
  <c r="Y616" i="33"/>
  <c r="Z616" i="33"/>
  <c r="AA616" i="33"/>
  <c r="AB616" i="33"/>
  <c r="AC616" i="33"/>
  <c r="X616" i="33"/>
  <c r="W616" i="33"/>
  <c r="Q616" i="33"/>
  <c r="O616" i="33"/>
  <c r="P616" i="33"/>
  <c r="R616" i="33"/>
  <c r="S616" i="33"/>
  <c r="T616" i="33"/>
  <c r="U616" i="33"/>
  <c r="Y584" i="33"/>
  <c r="Z584" i="33"/>
  <c r="AA584" i="33"/>
  <c r="AB584" i="33"/>
  <c r="AC584" i="33"/>
  <c r="W584" i="33"/>
  <c r="X584" i="33"/>
  <c r="O584" i="33"/>
  <c r="P584" i="33"/>
  <c r="Q584" i="33"/>
  <c r="R584" i="33"/>
  <c r="S584" i="33"/>
  <c r="T584" i="33"/>
  <c r="U584" i="33"/>
  <c r="I558" i="33"/>
  <c r="W548" i="33"/>
  <c r="X548" i="33"/>
  <c r="Y548" i="33"/>
  <c r="Z548" i="33"/>
  <c r="AA548" i="33"/>
  <c r="AB548" i="33"/>
  <c r="AC548" i="33"/>
  <c r="O548" i="33"/>
  <c r="P548" i="33"/>
  <c r="Q548" i="33"/>
  <c r="R548" i="33"/>
  <c r="S548" i="33"/>
  <c r="T548" i="33"/>
  <c r="U548" i="33"/>
  <c r="I540" i="33"/>
  <c r="W513" i="33"/>
  <c r="X513" i="33"/>
  <c r="Y513" i="33"/>
  <c r="Z513" i="33"/>
  <c r="AA513" i="33"/>
  <c r="AB513" i="33"/>
  <c r="AC513" i="33"/>
  <c r="O513" i="33"/>
  <c r="P513" i="33"/>
  <c r="Q513" i="33"/>
  <c r="R513" i="33"/>
  <c r="S513" i="33"/>
  <c r="T513" i="33"/>
  <c r="U513" i="33"/>
  <c r="W504" i="33"/>
  <c r="X504" i="33"/>
  <c r="Y504" i="33"/>
  <c r="Z504" i="33"/>
  <c r="AA504" i="33"/>
  <c r="AB504" i="33"/>
  <c r="AC504" i="33"/>
  <c r="Q504" i="33"/>
  <c r="O504" i="33"/>
  <c r="P504" i="33"/>
  <c r="R504" i="33"/>
  <c r="S504" i="33"/>
  <c r="T504" i="33"/>
  <c r="U504" i="33"/>
  <c r="J478" i="33"/>
  <c r="X464" i="33"/>
  <c r="Y464" i="33"/>
  <c r="AB464" i="33"/>
  <c r="W464" i="33"/>
  <c r="Z464" i="33"/>
  <c r="AA464" i="33"/>
  <c r="AC464" i="33"/>
  <c r="U464" i="33"/>
  <c r="R464" i="33"/>
  <c r="S464" i="33"/>
  <c r="T464" i="33"/>
  <c r="O464" i="33"/>
  <c r="W451" i="33"/>
  <c r="X451" i="33"/>
  <c r="Y451" i="33"/>
  <c r="Z451" i="33"/>
  <c r="AA451" i="33"/>
  <c r="AB451" i="33"/>
  <c r="AC451" i="33"/>
  <c r="O451" i="33"/>
  <c r="P451" i="33"/>
  <c r="Q451" i="33"/>
  <c r="R451" i="33"/>
  <c r="S451" i="33"/>
  <c r="T451" i="33"/>
  <c r="U451" i="33"/>
  <c r="X428" i="33"/>
  <c r="W428" i="33"/>
  <c r="Y428" i="33"/>
  <c r="Z428" i="33"/>
  <c r="AA428" i="33"/>
  <c r="AB428" i="33"/>
  <c r="AC428" i="33"/>
  <c r="O428" i="33"/>
  <c r="P428" i="33"/>
  <c r="Q428" i="33"/>
  <c r="R428" i="33"/>
  <c r="S428" i="33"/>
  <c r="T428" i="33"/>
  <c r="U428" i="33"/>
  <c r="H410" i="33"/>
  <c r="Y401" i="33"/>
  <c r="AA401" i="33"/>
  <c r="AB401" i="33"/>
  <c r="W401" i="33"/>
  <c r="X401" i="33"/>
  <c r="Z401" i="33"/>
  <c r="AC401" i="33"/>
  <c r="U401" i="33"/>
  <c r="O401" i="33"/>
  <c r="P401" i="33"/>
  <c r="Q401" i="33"/>
  <c r="R401" i="33"/>
  <c r="S401" i="33"/>
  <c r="T401" i="33"/>
  <c r="W392" i="33"/>
  <c r="X392" i="33"/>
  <c r="Y392" i="33"/>
  <c r="Z392" i="33"/>
  <c r="AA392" i="33"/>
  <c r="AB392" i="33"/>
  <c r="AC392" i="33"/>
  <c r="T392" i="33"/>
  <c r="U392" i="33"/>
  <c r="O392" i="33"/>
  <c r="P392" i="33"/>
  <c r="Q392" i="33"/>
  <c r="R392" i="33"/>
  <c r="S392" i="33"/>
  <c r="X365" i="33"/>
  <c r="Z365" i="33"/>
  <c r="AA365" i="33"/>
  <c r="AC365" i="33"/>
  <c r="W365" i="33"/>
  <c r="Y365" i="33"/>
  <c r="AB365" i="33"/>
  <c r="Q365" i="33"/>
  <c r="R365" i="33"/>
  <c r="S365" i="33"/>
  <c r="U365" i="33"/>
  <c r="O365" i="33"/>
  <c r="P365" i="33"/>
  <c r="T365" i="33"/>
  <c r="AC342" i="33"/>
  <c r="W342" i="33"/>
  <c r="X342" i="33"/>
  <c r="Y342" i="33"/>
  <c r="Z342" i="33"/>
  <c r="AA342" i="33"/>
  <c r="AB342" i="33"/>
  <c r="R342" i="33"/>
  <c r="S342" i="33"/>
  <c r="T342" i="33"/>
  <c r="P342" i="33"/>
  <c r="Q342" i="33"/>
  <c r="U342" i="33"/>
  <c r="O342" i="33"/>
  <c r="I329" i="33"/>
  <c r="J319" i="33"/>
  <c r="I315" i="33"/>
  <c r="G275" i="33"/>
  <c r="W233" i="33"/>
  <c r="X233" i="33"/>
  <c r="Y233" i="33"/>
  <c r="Z233" i="33"/>
  <c r="AA233" i="33"/>
  <c r="AB233" i="33"/>
  <c r="AC233" i="33"/>
  <c r="O233" i="33"/>
  <c r="P233" i="33"/>
  <c r="Q233" i="33"/>
  <c r="R233" i="33"/>
  <c r="S233" i="33"/>
  <c r="T233" i="33"/>
  <c r="U233" i="33"/>
  <c r="W79" i="33"/>
  <c r="X79" i="33"/>
  <c r="Y79" i="33"/>
  <c r="Z79" i="33"/>
  <c r="AA79" i="33"/>
  <c r="AB79" i="33"/>
  <c r="AC79" i="33"/>
  <c r="O79" i="33"/>
  <c r="P79" i="33"/>
  <c r="Q79" i="33"/>
  <c r="R79" i="33"/>
  <c r="S79" i="33"/>
  <c r="T79" i="33"/>
  <c r="U79" i="33"/>
  <c r="R598" i="33"/>
  <c r="W559" i="33"/>
  <c r="X559" i="33"/>
  <c r="Y559" i="33"/>
  <c r="Z559" i="33"/>
  <c r="AA559" i="33"/>
  <c r="AB559" i="33"/>
  <c r="AC559" i="33"/>
  <c r="O559" i="33"/>
  <c r="P559" i="33"/>
  <c r="Q559" i="33"/>
  <c r="R559" i="33"/>
  <c r="S559" i="33"/>
  <c r="T559" i="33"/>
  <c r="U559" i="33"/>
  <c r="W262" i="33"/>
  <c r="X262" i="33"/>
  <c r="Y262" i="33"/>
  <c r="Z262" i="33"/>
  <c r="AA262" i="33"/>
  <c r="AB262" i="33"/>
  <c r="AC262" i="33"/>
  <c r="O262" i="33"/>
  <c r="P262" i="33"/>
  <c r="R262" i="33"/>
  <c r="T262" i="33"/>
  <c r="S262" i="33"/>
  <c r="U262" i="33"/>
  <c r="Q262" i="33"/>
  <c r="W497" i="33"/>
  <c r="X497" i="33"/>
  <c r="Y497" i="33"/>
  <c r="Z497" i="33"/>
  <c r="AA497" i="33"/>
  <c r="AB497" i="33"/>
  <c r="AC497" i="33"/>
  <c r="O497" i="33"/>
  <c r="P497" i="33"/>
  <c r="Q497" i="33"/>
  <c r="R497" i="33"/>
  <c r="S497" i="33"/>
  <c r="T497" i="33"/>
  <c r="U497" i="33"/>
  <c r="W371" i="33"/>
  <c r="X371" i="33"/>
  <c r="Y371" i="33"/>
  <c r="Z371" i="33"/>
  <c r="AA371" i="33"/>
  <c r="AB371" i="33"/>
  <c r="AC371" i="33"/>
  <c r="O371" i="33"/>
  <c r="P371" i="33"/>
  <c r="Q371" i="33"/>
  <c r="R371" i="33"/>
  <c r="S371" i="33"/>
  <c r="T371" i="33"/>
  <c r="U371" i="33"/>
  <c r="G317" i="33"/>
  <c r="I680" i="33"/>
  <c r="AA666" i="33"/>
  <c r="AB666" i="33"/>
  <c r="AC666" i="33"/>
  <c r="W666" i="33"/>
  <c r="X666" i="33"/>
  <c r="O666" i="33"/>
  <c r="P666" i="33"/>
  <c r="S666" i="33"/>
  <c r="Y666" i="33"/>
  <c r="Z666" i="33"/>
  <c r="Q666" i="33"/>
  <c r="R666" i="33"/>
  <c r="T666" i="33"/>
  <c r="U666" i="33"/>
  <c r="G662" i="33"/>
  <c r="I658" i="33"/>
  <c r="G648" i="33"/>
  <c r="AB643" i="33"/>
  <c r="AC643" i="33"/>
  <c r="W643" i="33"/>
  <c r="X643" i="33"/>
  <c r="Y643" i="33"/>
  <c r="Z643" i="33"/>
  <c r="AA643" i="33"/>
  <c r="P643" i="33"/>
  <c r="Q643" i="33"/>
  <c r="T643" i="33"/>
  <c r="O643" i="33"/>
  <c r="R643" i="33"/>
  <c r="S643" i="33"/>
  <c r="X639" i="33"/>
  <c r="Y639" i="33"/>
  <c r="Z639" i="33"/>
  <c r="AA639" i="33"/>
  <c r="AC639" i="33"/>
  <c r="W639" i="33"/>
  <c r="AB639" i="33"/>
  <c r="P639" i="33"/>
  <c r="O639" i="33"/>
  <c r="Q639" i="33"/>
  <c r="R639" i="33"/>
  <c r="S639" i="33"/>
  <c r="T639" i="33"/>
  <c r="U639" i="33"/>
  <c r="G626" i="33"/>
  <c r="H621" i="33"/>
  <c r="J616" i="33"/>
  <c r="AB611" i="33"/>
  <c r="AC611" i="33"/>
  <c r="W611" i="33"/>
  <c r="X611" i="33"/>
  <c r="Y611" i="33"/>
  <c r="Z611" i="33"/>
  <c r="AA611" i="33"/>
  <c r="P611" i="33"/>
  <c r="Q611" i="33"/>
  <c r="T611" i="33"/>
  <c r="O611" i="33"/>
  <c r="R611" i="33"/>
  <c r="S611" i="33"/>
  <c r="U611" i="33"/>
  <c r="X607" i="33"/>
  <c r="Y607" i="33"/>
  <c r="Z607" i="33"/>
  <c r="AA607" i="33"/>
  <c r="AB607" i="33"/>
  <c r="AC607" i="33"/>
  <c r="W607" i="33"/>
  <c r="P607" i="33"/>
  <c r="O607" i="33"/>
  <c r="Q607" i="33"/>
  <c r="R607" i="33"/>
  <c r="S607" i="33"/>
  <c r="T607" i="33"/>
  <c r="U607" i="33"/>
  <c r="I594" i="33"/>
  <c r="H589" i="33"/>
  <c r="J584" i="33"/>
  <c r="AB579" i="33"/>
  <c r="AC579" i="33"/>
  <c r="AA579" i="33"/>
  <c r="W579" i="33"/>
  <c r="X579" i="33"/>
  <c r="Y579" i="33"/>
  <c r="Z579" i="33"/>
  <c r="P579" i="33"/>
  <c r="Q579" i="33"/>
  <c r="R579" i="33"/>
  <c r="S579" i="33"/>
  <c r="T579" i="33"/>
  <c r="U579" i="33"/>
  <c r="O579" i="33"/>
  <c r="X575" i="33"/>
  <c r="Y575" i="33"/>
  <c r="Z575" i="33"/>
  <c r="AA575" i="33"/>
  <c r="AB575" i="33"/>
  <c r="AC575" i="33"/>
  <c r="W575" i="33"/>
  <c r="O575" i="33"/>
  <c r="P575" i="33"/>
  <c r="Q575" i="33"/>
  <c r="R575" i="33"/>
  <c r="T575" i="33"/>
  <c r="S575" i="33"/>
  <c r="W566" i="33"/>
  <c r="X566" i="33"/>
  <c r="Y566" i="33"/>
  <c r="Z566" i="33"/>
  <c r="AA566" i="33"/>
  <c r="AB566" i="33"/>
  <c r="AC566" i="33"/>
  <c r="O566" i="33"/>
  <c r="P566" i="33"/>
  <c r="Q566" i="33"/>
  <c r="S566" i="33"/>
  <c r="U566" i="33"/>
  <c r="R566" i="33"/>
  <c r="T566" i="33"/>
  <c r="W557" i="33"/>
  <c r="X557" i="33"/>
  <c r="Y557" i="33"/>
  <c r="Z557" i="33"/>
  <c r="AA557" i="33"/>
  <c r="AB557" i="33"/>
  <c r="AC557" i="33"/>
  <c r="O557" i="33"/>
  <c r="P557" i="33"/>
  <c r="R557" i="33"/>
  <c r="T557" i="33"/>
  <c r="Q557" i="33"/>
  <c r="S557" i="33"/>
  <c r="U557" i="33"/>
  <c r="K553" i="33"/>
  <c r="H548" i="33"/>
  <c r="H544" i="33"/>
  <c r="W539" i="33"/>
  <c r="X539" i="33"/>
  <c r="Y539" i="33"/>
  <c r="Z539" i="33"/>
  <c r="AA539" i="33"/>
  <c r="AB539" i="33"/>
  <c r="AC539" i="33"/>
  <c r="O539" i="33"/>
  <c r="P539" i="33"/>
  <c r="Q539" i="33"/>
  <c r="R539" i="33"/>
  <c r="S539" i="33"/>
  <c r="T539" i="33"/>
  <c r="U539" i="33"/>
  <c r="J535" i="33"/>
  <c r="J527" i="33"/>
  <c r="J522" i="33"/>
  <c r="G518" i="33"/>
  <c r="H491" i="33"/>
  <c r="Z482" i="33"/>
  <c r="AA482" i="33"/>
  <c r="W482" i="33"/>
  <c r="X482" i="33"/>
  <c r="Y482" i="33"/>
  <c r="AB482" i="33"/>
  <c r="AC482" i="33"/>
  <c r="O482" i="33"/>
  <c r="P482" i="33"/>
  <c r="Q482" i="33"/>
  <c r="R482" i="33"/>
  <c r="S482" i="33"/>
  <c r="T482" i="33"/>
  <c r="U482" i="33"/>
  <c r="G474" i="33"/>
  <c r="I469" i="33"/>
  <c r="K460" i="33"/>
  <c r="G433" i="33"/>
  <c r="H419" i="33"/>
  <c r="J414" i="33"/>
  <c r="G406" i="33"/>
  <c r="G397" i="33"/>
  <c r="H392" i="33"/>
  <c r="I388" i="33"/>
  <c r="J383" i="33"/>
  <c r="K374" i="33"/>
  <c r="I357" i="33"/>
  <c r="J351" i="33"/>
  <c r="H342" i="33"/>
  <c r="G333" i="33"/>
  <c r="W328" i="33"/>
  <c r="X328" i="33"/>
  <c r="Z328" i="33"/>
  <c r="AA328" i="33"/>
  <c r="AB328" i="33"/>
  <c r="AC328" i="33"/>
  <c r="Y328" i="33"/>
  <c r="T328" i="33"/>
  <c r="U328" i="33"/>
  <c r="O328" i="33"/>
  <c r="P328" i="33"/>
  <c r="Q328" i="33"/>
  <c r="R328" i="33"/>
  <c r="S328" i="33"/>
  <c r="W314" i="33"/>
  <c r="X314" i="33"/>
  <c r="Y314" i="33"/>
  <c r="AC314" i="33"/>
  <c r="Z314" i="33"/>
  <c r="AA314" i="33"/>
  <c r="AB314" i="33"/>
  <c r="Q314" i="33"/>
  <c r="R314" i="33"/>
  <c r="S314" i="33"/>
  <c r="T314" i="33"/>
  <c r="U314" i="33"/>
  <c r="O314" i="33"/>
  <c r="P314" i="33"/>
  <c r="Z310" i="33"/>
  <c r="AA310" i="33"/>
  <c r="AB310" i="33"/>
  <c r="AC310" i="33"/>
  <c r="W310" i="33"/>
  <c r="X310" i="33"/>
  <c r="Y310" i="33"/>
  <c r="R310" i="33"/>
  <c r="S310" i="33"/>
  <c r="T310" i="33"/>
  <c r="O310" i="33"/>
  <c r="P310" i="33"/>
  <c r="Q310" i="33"/>
  <c r="U310" i="33"/>
  <c r="H279" i="33"/>
  <c r="I275" i="33"/>
  <c r="J254" i="33"/>
  <c r="G174" i="33"/>
  <c r="H174" i="33"/>
  <c r="Q464" i="33"/>
  <c r="W677" i="33"/>
  <c r="X677" i="33"/>
  <c r="Y677" i="33"/>
  <c r="Z677" i="33"/>
  <c r="AA677" i="33"/>
  <c r="AB677" i="33"/>
  <c r="AC677" i="33"/>
  <c r="O677" i="33"/>
  <c r="P677" i="33"/>
  <c r="Q677" i="33"/>
  <c r="R677" i="33"/>
  <c r="S677" i="33"/>
  <c r="T677" i="33"/>
  <c r="U677" i="33"/>
  <c r="AB675" i="33"/>
  <c r="AC675" i="33"/>
  <c r="W675" i="33"/>
  <c r="X675" i="33"/>
  <c r="Y675" i="33"/>
  <c r="Z675" i="33"/>
  <c r="AA675" i="33"/>
  <c r="P675" i="33"/>
  <c r="Q675" i="33"/>
  <c r="T675" i="33"/>
  <c r="O675" i="33"/>
  <c r="R675" i="33"/>
  <c r="S675" i="33"/>
  <c r="U675" i="33"/>
  <c r="X671" i="33"/>
  <c r="Y671" i="33"/>
  <c r="Z671" i="33"/>
  <c r="AA671" i="33"/>
  <c r="AC671" i="33"/>
  <c r="W671" i="33"/>
  <c r="AB671" i="33"/>
  <c r="P671" i="33"/>
  <c r="O671" i="33"/>
  <c r="Q671" i="33"/>
  <c r="R671" i="33"/>
  <c r="S671" i="33"/>
  <c r="T671" i="33"/>
  <c r="U671" i="33"/>
  <c r="I662" i="33"/>
  <c r="Z657" i="33"/>
  <c r="AA657" i="33"/>
  <c r="AB657" i="33"/>
  <c r="AC657" i="33"/>
  <c r="W657" i="33"/>
  <c r="X657" i="33"/>
  <c r="Y657" i="33"/>
  <c r="O657" i="33"/>
  <c r="R657" i="33"/>
  <c r="P657" i="33"/>
  <c r="Q657" i="33"/>
  <c r="S657" i="33"/>
  <c r="T657" i="33"/>
  <c r="U657" i="33"/>
  <c r="AA634" i="33"/>
  <c r="AB634" i="33"/>
  <c r="AC634" i="33"/>
  <c r="W634" i="33"/>
  <c r="X634" i="33"/>
  <c r="Y634" i="33"/>
  <c r="Z634" i="33"/>
  <c r="O634" i="33"/>
  <c r="P634" i="33"/>
  <c r="S634" i="33"/>
  <c r="Q634" i="33"/>
  <c r="R634" i="33"/>
  <c r="T634" i="33"/>
  <c r="U634" i="33"/>
  <c r="I626" i="33"/>
  <c r="G621" i="33"/>
  <c r="I616" i="33"/>
  <c r="Z593" i="33"/>
  <c r="AA593" i="33"/>
  <c r="AB593" i="33"/>
  <c r="AC593" i="33"/>
  <c r="W593" i="33"/>
  <c r="X593" i="33"/>
  <c r="Y593" i="33"/>
  <c r="O593" i="33"/>
  <c r="P593" i="33"/>
  <c r="R593" i="33"/>
  <c r="S593" i="33"/>
  <c r="T593" i="33"/>
  <c r="U593" i="33"/>
  <c r="G589" i="33"/>
  <c r="I584" i="33"/>
  <c r="K557" i="33"/>
  <c r="K539" i="33"/>
  <c r="W526" i="33"/>
  <c r="X526" i="33"/>
  <c r="Y526" i="33"/>
  <c r="Z526" i="33"/>
  <c r="AA526" i="33"/>
  <c r="AB526" i="33"/>
  <c r="AC526" i="33"/>
  <c r="P526" i="33"/>
  <c r="Q526" i="33"/>
  <c r="R526" i="33"/>
  <c r="S526" i="33"/>
  <c r="T526" i="33"/>
  <c r="O526" i="33"/>
  <c r="U526" i="33"/>
  <c r="I518" i="33"/>
  <c r="H464" i="33"/>
  <c r="H437" i="33"/>
  <c r="I433" i="33"/>
  <c r="K419" i="33"/>
  <c r="I406" i="33"/>
  <c r="G388" i="33"/>
  <c r="J365" i="33"/>
  <c r="W360" i="33"/>
  <c r="Y360" i="33"/>
  <c r="Z360" i="33"/>
  <c r="AA360" i="33"/>
  <c r="AB360" i="33"/>
  <c r="X360" i="33"/>
  <c r="AC360" i="33"/>
  <c r="T360" i="33"/>
  <c r="U360" i="33"/>
  <c r="O360" i="33"/>
  <c r="P360" i="33"/>
  <c r="Q360" i="33"/>
  <c r="R360" i="33"/>
  <c r="S360" i="33"/>
  <c r="W356" i="33"/>
  <c r="X356" i="33"/>
  <c r="Y356" i="33"/>
  <c r="Z356" i="33"/>
  <c r="AA356" i="33"/>
  <c r="AB356" i="33"/>
  <c r="AC356" i="33"/>
  <c r="P356" i="33"/>
  <c r="Q356" i="33"/>
  <c r="R356" i="33"/>
  <c r="T356" i="33"/>
  <c r="O356" i="33"/>
  <c r="S356" i="33"/>
  <c r="U356" i="33"/>
  <c r="K328" i="33"/>
  <c r="X323" i="33"/>
  <c r="Y323" i="33"/>
  <c r="Z323" i="33"/>
  <c r="W323" i="33"/>
  <c r="AA323" i="33"/>
  <c r="AB323" i="33"/>
  <c r="AC323" i="33"/>
  <c r="O323" i="33"/>
  <c r="P323" i="33"/>
  <c r="Q323" i="33"/>
  <c r="R323" i="33"/>
  <c r="S323" i="33"/>
  <c r="T323" i="33"/>
  <c r="U323" i="33"/>
  <c r="H319" i="33"/>
  <c r="Z288" i="33"/>
  <c r="AA288" i="33"/>
  <c r="AB288" i="33"/>
  <c r="AC288" i="33"/>
  <c r="W288" i="33"/>
  <c r="X288" i="33"/>
  <c r="Y288" i="33"/>
  <c r="P288" i="33"/>
  <c r="Q288" i="33"/>
  <c r="R288" i="33"/>
  <c r="O288" i="33"/>
  <c r="S288" i="33"/>
  <c r="T288" i="33"/>
  <c r="U288" i="33"/>
  <c r="W274" i="33"/>
  <c r="X274" i="33"/>
  <c r="Y274" i="33"/>
  <c r="Z274" i="33"/>
  <c r="AA274" i="33"/>
  <c r="AB274" i="33"/>
  <c r="AC274" i="33"/>
  <c r="O274" i="33"/>
  <c r="P274" i="33"/>
  <c r="Q274" i="33"/>
  <c r="R274" i="33"/>
  <c r="S274" i="33"/>
  <c r="T274" i="33"/>
  <c r="U274" i="33"/>
  <c r="AC265" i="33"/>
  <c r="W265" i="33"/>
  <c r="X265" i="33"/>
  <c r="Y265" i="33"/>
  <c r="Z265" i="33"/>
  <c r="AA265" i="33"/>
  <c r="AB265" i="33"/>
  <c r="O265" i="33"/>
  <c r="P265" i="33"/>
  <c r="Q265" i="33"/>
  <c r="R265" i="33"/>
  <c r="S265" i="33"/>
  <c r="T265" i="33"/>
  <c r="U265" i="33"/>
  <c r="P464" i="33"/>
  <c r="W240" i="33"/>
  <c r="X240" i="33"/>
  <c r="Y240" i="33"/>
  <c r="Z240" i="33"/>
  <c r="AA240" i="33"/>
  <c r="AC240" i="33"/>
  <c r="AB240" i="33"/>
  <c r="Q240" i="33"/>
  <c r="R240" i="33"/>
  <c r="S240" i="33"/>
  <c r="U240" i="33"/>
  <c r="O240" i="33"/>
  <c r="P240" i="33"/>
  <c r="T240" i="33"/>
  <c r="K577" i="33"/>
  <c r="W380" i="33"/>
  <c r="AA380" i="33"/>
  <c r="AC380" i="33"/>
  <c r="X380" i="33"/>
  <c r="Y380" i="33"/>
  <c r="Z380" i="33"/>
  <c r="AB380" i="33"/>
  <c r="O380" i="33"/>
  <c r="P380" i="33"/>
  <c r="Q380" i="33"/>
  <c r="R380" i="33"/>
  <c r="S380" i="33"/>
  <c r="T380" i="33"/>
  <c r="U380" i="33"/>
  <c r="K675" i="33"/>
  <c r="I671" i="33"/>
  <c r="AA661" i="33"/>
  <c r="AB661" i="33"/>
  <c r="AC661" i="33"/>
  <c r="W661" i="33"/>
  <c r="X661" i="33"/>
  <c r="Y661" i="33"/>
  <c r="Z661" i="33"/>
  <c r="R661" i="33"/>
  <c r="S661" i="33"/>
  <c r="O661" i="33"/>
  <c r="P661" i="33"/>
  <c r="Q661" i="33"/>
  <c r="T661" i="33"/>
  <c r="U661" i="33"/>
  <c r="H657" i="33"/>
  <c r="W647" i="33"/>
  <c r="X647" i="33"/>
  <c r="Y647" i="33"/>
  <c r="Z647" i="33"/>
  <c r="AA647" i="33"/>
  <c r="AB647" i="33"/>
  <c r="AC647" i="33"/>
  <c r="T647" i="33"/>
  <c r="U647" i="33"/>
  <c r="O647" i="33"/>
  <c r="P647" i="33"/>
  <c r="Q647" i="33"/>
  <c r="R647" i="33"/>
  <c r="S647" i="33"/>
  <c r="H639" i="33"/>
  <c r="Z625" i="33"/>
  <c r="AA625" i="33"/>
  <c r="AB625" i="33"/>
  <c r="AC625" i="33"/>
  <c r="W625" i="33"/>
  <c r="X625" i="33"/>
  <c r="Y625" i="33"/>
  <c r="O625" i="33"/>
  <c r="R625" i="33"/>
  <c r="P625" i="33"/>
  <c r="Q625" i="33"/>
  <c r="S625" i="33"/>
  <c r="T625" i="33"/>
  <c r="U625" i="33"/>
  <c r="AA602" i="33"/>
  <c r="AB602" i="33"/>
  <c r="AC602" i="33"/>
  <c r="W602" i="33"/>
  <c r="X602" i="33"/>
  <c r="Y602" i="33"/>
  <c r="Z602" i="33"/>
  <c r="O602" i="33"/>
  <c r="P602" i="33"/>
  <c r="S602" i="33"/>
  <c r="Q602" i="33"/>
  <c r="R602" i="33"/>
  <c r="T602" i="33"/>
  <c r="U602" i="33"/>
  <c r="J593" i="33"/>
  <c r="H575" i="33"/>
  <c r="AA570" i="33"/>
  <c r="AB570" i="33"/>
  <c r="AC570" i="33"/>
  <c r="W570" i="33"/>
  <c r="X570" i="33"/>
  <c r="Y570" i="33"/>
  <c r="Z570" i="33"/>
  <c r="O570" i="33"/>
  <c r="P570" i="33"/>
  <c r="Q570" i="33"/>
  <c r="R570" i="33"/>
  <c r="S570" i="33"/>
  <c r="T570" i="33"/>
  <c r="U570" i="33"/>
  <c r="H557" i="33"/>
  <c r="J548" i="33"/>
  <c r="W517" i="33"/>
  <c r="X517" i="33"/>
  <c r="Y517" i="33"/>
  <c r="Z517" i="33"/>
  <c r="AA517" i="33"/>
  <c r="AB517" i="33"/>
  <c r="AC517" i="33"/>
  <c r="O517" i="33"/>
  <c r="P517" i="33"/>
  <c r="Q517" i="33"/>
  <c r="R517" i="33"/>
  <c r="S517" i="33"/>
  <c r="T517" i="33"/>
  <c r="W508" i="33"/>
  <c r="X508" i="33"/>
  <c r="Y508" i="33"/>
  <c r="Z508" i="33"/>
  <c r="AA508" i="33"/>
  <c r="AB508" i="33"/>
  <c r="AC508" i="33"/>
  <c r="O508" i="33"/>
  <c r="P508" i="33"/>
  <c r="Q508" i="33"/>
  <c r="R508" i="33"/>
  <c r="T508" i="33"/>
  <c r="U508" i="33"/>
  <c r="H504" i="33"/>
  <c r="Z499" i="33"/>
  <c r="AC499" i="33"/>
  <c r="W499" i="33"/>
  <c r="X499" i="33"/>
  <c r="Y499" i="33"/>
  <c r="AA499" i="33"/>
  <c r="AB499" i="33"/>
  <c r="O499" i="33"/>
  <c r="P499" i="33"/>
  <c r="Q499" i="33"/>
  <c r="T499" i="33"/>
  <c r="R499" i="33"/>
  <c r="S499" i="33"/>
  <c r="U499" i="33"/>
  <c r="AA495" i="33"/>
  <c r="AB495" i="33"/>
  <c r="AC495" i="33"/>
  <c r="W495" i="33"/>
  <c r="X495" i="33"/>
  <c r="Y495" i="33"/>
  <c r="Z495" i="33"/>
  <c r="P495" i="33"/>
  <c r="O495" i="33"/>
  <c r="Q495" i="33"/>
  <c r="R495" i="33"/>
  <c r="S495" i="33"/>
  <c r="T495" i="33"/>
  <c r="U495" i="33"/>
  <c r="J482" i="33"/>
  <c r="Y473" i="33"/>
  <c r="Z473" i="33"/>
  <c r="AC473" i="33"/>
  <c r="W473" i="33"/>
  <c r="X473" i="33"/>
  <c r="AA473" i="33"/>
  <c r="AB473" i="33"/>
  <c r="O473" i="33"/>
  <c r="P473" i="33"/>
  <c r="Q473" i="33"/>
  <c r="R473" i="33"/>
  <c r="S473" i="33"/>
  <c r="T473" i="33"/>
  <c r="U473" i="33"/>
  <c r="W446" i="33"/>
  <c r="Z446" i="33"/>
  <c r="X446" i="33"/>
  <c r="Y446" i="33"/>
  <c r="AA446" i="33"/>
  <c r="AB446" i="33"/>
  <c r="AC446" i="33"/>
  <c r="P446" i="33"/>
  <c r="Q446" i="33"/>
  <c r="R446" i="33"/>
  <c r="S446" i="33"/>
  <c r="T446" i="33"/>
  <c r="U446" i="33"/>
  <c r="O446" i="33"/>
  <c r="X432" i="33"/>
  <c r="Y432" i="33"/>
  <c r="AB432" i="33"/>
  <c r="W432" i="33"/>
  <c r="Z432" i="33"/>
  <c r="AA432" i="33"/>
  <c r="AC432" i="33"/>
  <c r="O432" i="33"/>
  <c r="P432" i="33"/>
  <c r="Q432" i="33"/>
  <c r="R432" i="33"/>
  <c r="S432" i="33"/>
  <c r="T432" i="33"/>
  <c r="U432" i="33"/>
  <c r="X405" i="33"/>
  <c r="Y405" i="33"/>
  <c r="AC405" i="33"/>
  <c r="W405" i="33"/>
  <c r="Z405" i="33"/>
  <c r="AA405" i="33"/>
  <c r="AB405" i="33"/>
  <c r="R405" i="33"/>
  <c r="S405" i="33"/>
  <c r="T405" i="33"/>
  <c r="U405" i="33"/>
  <c r="O405" i="33"/>
  <c r="P405" i="33"/>
  <c r="Q405" i="33"/>
  <c r="W396" i="33"/>
  <c r="Y396" i="33"/>
  <c r="X396" i="33"/>
  <c r="AA396" i="33"/>
  <c r="AB396" i="33"/>
  <c r="Z396" i="33"/>
  <c r="AC396" i="33"/>
  <c r="O396" i="33"/>
  <c r="P396" i="33"/>
  <c r="Q396" i="33"/>
  <c r="R396" i="33"/>
  <c r="S396" i="33"/>
  <c r="T396" i="33"/>
  <c r="U396" i="33"/>
  <c r="H383" i="33"/>
  <c r="W378" i="33"/>
  <c r="Y378" i="33"/>
  <c r="X378" i="33"/>
  <c r="Z378" i="33"/>
  <c r="AA378" i="33"/>
  <c r="AB378" i="33"/>
  <c r="AC378" i="33"/>
  <c r="O378" i="33"/>
  <c r="P378" i="33"/>
  <c r="Q378" i="33"/>
  <c r="R378" i="33"/>
  <c r="S378" i="33"/>
  <c r="T378" i="33"/>
  <c r="U378" i="33"/>
  <c r="K360" i="33"/>
  <c r="H351" i="33"/>
  <c r="W332" i="33"/>
  <c r="Y332" i="33"/>
  <c r="Z332" i="33"/>
  <c r="AA332" i="33"/>
  <c r="X332" i="33"/>
  <c r="AB332" i="33"/>
  <c r="AC332" i="33"/>
  <c r="O332" i="33"/>
  <c r="P332" i="33"/>
  <c r="Q332" i="33"/>
  <c r="R332" i="33"/>
  <c r="S332" i="33"/>
  <c r="T332" i="33"/>
  <c r="U332" i="33"/>
  <c r="H323" i="33"/>
  <c r="G297" i="33"/>
  <c r="H297" i="33"/>
  <c r="K288" i="33"/>
  <c r="I284" i="33"/>
  <c r="J284" i="33"/>
  <c r="W243" i="33"/>
  <c r="X243" i="33"/>
  <c r="Y243" i="33"/>
  <c r="Z243" i="33"/>
  <c r="AA243" i="33"/>
  <c r="AB243" i="33"/>
  <c r="AC243" i="33"/>
  <c r="S243" i="33"/>
  <c r="T243" i="33"/>
  <c r="U243" i="33"/>
  <c r="O243" i="33"/>
  <c r="P243" i="33"/>
  <c r="Q243" i="33"/>
  <c r="R243" i="33"/>
  <c r="K85" i="33"/>
  <c r="Q587" i="33"/>
  <c r="K609" i="33"/>
  <c r="W679" i="33"/>
  <c r="X679" i="33"/>
  <c r="Y679" i="33"/>
  <c r="Z679" i="33"/>
  <c r="AA679" i="33"/>
  <c r="AB679" i="33"/>
  <c r="AC679" i="33"/>
  <c r="T679" i="33"/>
  <c r="U679" i="33"/>
  <c r="P679" i="33"/>
  <c r="Q679" i="33"/>
  <c r="R679" i="33"/>
  <c r="S679" i="33"/>
  <c r="AC652" i="33"/>
  <c r="W652" i="33"/>
  <c r="X652" i="33"/>
  <c r="Z652" i="33"/>
  <c r="AA652" i="33"/>
  <c r="AB652" i="33"/>
  <c r="Q652" i="33"/>
  <c r="R652" i="33"/>
  <c r="U652" i="33"/>
  <c r="Y652" i="33"/>
  <c r="O652" i="33"/>
  <c r="P652" i="33"/>
  <c r="S652" i="33"/>
  <c r="T652" i="33"/>
  <c r="W629" i="33"/>
  <c r="X629" i="33"/>
  <c r="Y629" i="33"/>
  <c r="Z629" i="33"/>
  <c r="AA629" i="33"/>
  <c r="AB629" i="33"/>
  <c r="AC629" i="33"/>
  <c r="R629" i="33"/>
  <c r="S629" i="33"/>
  <c r="O629" i="33"/>
  <c r="P629" i="33"/>
  <c r="Q629" i="33"/>
  <c r="T629" i="33"/>
  <c r="U629" i="33"/>
  <c r="Z561" i="33"/>
  <c r="AA561" i="33"/>
  <c r="AB561" i="33"/>
  <c r="AC561" i="33"/>
  <c r="W561" i="33"/>
  <c r="X561" i="33"/>
  <c r="Y561" i="33"/>
  <c r="O561" i="33"/>
  <c r="P561" i="33"/>
  <c r="Q561" i="33"/>
  <c r="R561" i="33"/>
  <c r="S561" i="33"/>
  <c r="T561" i="33"/>
  <c r="U561" i="33"/>
  <c r="W552" i="33"/>
  <c r="X552" i="33"/>
  <c r="Y552" i="33"/>
  <c r="Z552" i="33"/>
  <c r="AA552" i="33"/>
  <c r="AB552" i="33"/>
  <c r="AC552" i="33"/>
  <c r="O552" i="33"/>
  <c r="P552" i="33"/>
  <c r="Q552" i="33"/>
  <c r="R552" i="33"/>
  <c r="S552" i="33"/>
  <c r="T552" i="33"/>
  <c r="U552" i="33"/>
  <c r="J526" i="33"/>
  <c r="AB468" i="33"/>
  <c r="AC468" i="33"/>
  <c r="W468" i="33"/>
  <c r="X468" i="33"/>
  <c r="Y468" i="33"/>
  <c r="Z468" i="33"/>
  <c r="AA468" i="33"/>
  <c r="O468" i="33"/>
  <c r="P468" i="33"/>
  <c r="Q468" i="33"/>
  <c r="R468" i="33"/>
  <c r="S468" i="33"/>
  <c r="T468" i="33"/>
  <c r="U468" i="33"/>
  <c r="AA459" i="33"/>
  <c r="AB459" i="33"/>
  <c r="W459" i="33"/>
  <c r="X459" i="33"/>
  <c r="Y459" i="33"/>
  <c r="Z459" i="33"/>
  <c r="AC459" i="33"/>
  <c r="O459" i="33"/>
  <c r="P459" i="33"/>
  <c r="Q459" i="33"/>
  <c r="R459" i="33"/>
  <c r="S459" i="33"/>
  <c r="T459" i="33"/>
  <c r="U459" i="33"/>
  <c r="W455" i="33"/>
  <c r="X455" i="33"/>
  <c r="AA455" i="33"/>
  <c r="Z455" i="33"/>
  <c r="AB455" i="33"/>
  <c r="AC455" i="33"/>
  <c r="Y455" i="33"/>
  <c r="T455" i="33"/>
  <c r="U455" i="33"/>
  <c r="O455" i="33"/>
  <c r="P455" i="33"/>
  <c r="Q455" i="33"/>
  <c r="R455" i="33"/>
  <c r="S455" i="33"/>
  <c r="J396" i="33"/>
  <c r="X387" i="33"/>
  <c r="Z387" i="33"/>
  <c r="W387" i="33"/>
  <c r="Y387" i="33"/>
  <c r="AA387" i="33"/>
  <c r="AB387" i="33"/>
  <c r="AC387" i="33"/>
  <c r="O387" i="33"/>
  <c r="P387" i="33"/>
  <c r="Q387" i="33"/>
  <c r="R387" i="33"/>
  <c r="S387" i="33"/>
  <c r="T387" i="33"/>
  <c r="U387" i="33"/>
  <c r="X373" i="33"/>
  <c r="Z373" i="33"/>
  <c r="AB373" i="33"/>
  <c r="W373" i="33"/>
  <c r="Y373" i="33"/>
  <c r="AA373" i="33"/>
  <c r="AC373" i="33"/>
  <c r="O373" i="33"/>
  <c r="P373" i="33"/>
  <c r="Q373" i="33"/>
  <c r="U373" i="33"/>
  <c r="R373" i="33"/>
  <c r="H365" i="33"/>
  <c r="J360" i="33"/>
  <c r="G332" i="33"/>
  <c r="W283" i="33"/>
  <c r="X283" i="33"/>
  <c r="Y283" i="33"/>
  <c r="Z283" i="33"/>
  <c r="AA283" i="33"/>
  <c r="AB283" i="33"/>
  <c r="AC283" i="33"/>
  <c r="O283" i="33"/>
  <c r="P283" i="33"/>
  <c r="R283" i="33"/>
  <c r="S283" i="33"/>
  <c r="T283" i="33"/>
  <c r="U283" i="33"/>
  <c r="Q283" i="33"/>
  <c r="H196" i="33"/>
  <c r="G196" i="33"/>
  <c r="AB157" i="33"/>
  <c r="AC157" i="33"/>
  <c r="W157" i="33"/>
  <c r="X157" i="33"/>
  <c r="Y157" i="33"/>
  <c r="Z157" i="33"/>
  <c r="AA157" i="33"/>
  <c r="O157" i="33"/>
  <c r="Q157" i="33"/>
  <c r="S157" i="33"/>
  <c r="P157" i="33"/>
  <c r="R157" i="33"/>
  <c r="T157" i="33"/>
  <c r="U157" i="33"/>
  <c r="U668" i="33"/>
  <c r="K661" i="33"/>
  <c r="G652" i="33"/>
  <c r="H643" i="33"/>
  <c r="K639" i="33"/>
  <c r="K625" i="33"/>
  <c r="AC620" i="33"/>
  <c r="W620" i="33"/>
  <c r="X620" i="33"/>
  <c r="Y620" i="33"/>
  <c r="Z620" i="33"/>
  <c r="AA620" i="33"/>
  <c r="AB620" i="33"/>
  <c r="Q620" i="33"/>
  <c r="R620" i="33"/>
  <c r="U620" i="33"/>
  <c r="O620" i="33"/>
  <c r="P620" i="33"/>
  <c r="S620" i="33"/>
  <c r="T620" i="33"/>
  <c r="W615" i="33"/>
  <c r="X615" i="33"/>
  <c r="Y615" i="33"/>
  <c r="Z615" i="33"/>
  <c r="AB615" i="33"/>
  <c r="AA615" i="33"/>
  <c r="AC615" i="33"/>
  <c r="T615" i="33"/>
  <c r="U615" i="33"/>
  <c r="O615" i="33"/>
  <c r="P615" i="33"/>
  <c r="Q615" i="33"/>
  <c r="R615" i="33"/>
  <c r="S615" i="33"/>
  <c r="H611" i="33"/>
  <c r="K607" i="33"/>
  <c r="W597" i="33"/>
  <c r="X597" i="33"/>
  <c r="Y597" i="33"/>
  <c r="Z597" i="33"/>
  <c r="AA597" i="33"/>
  <c r="AB597" i="33"/>
  <c r="AC597" i="33"/>
  <c r="R597" i="33"/>
  <c r="S597" i="33"/>
  <c r="O597" i="33"/>
  <c r="P597" i="33"/>
  <c r="Q597" i="33"/>
  <c r="T597" i="33"/>
  <c r="U597" i="33"/>
  <c r="G593" i="33"/>
  <c r="AC588" i="33"/>
  <c r="W588" i="33"/>
  <c r="X588" i="33"/>
  <c r="Y588" i="33"/>
  <c r="Z588" i="33"/>
  <c r="AA588" i="33"/>
  <c r="AB588" i="33"/>
  <c r="Q588" i="33"/>
  <c r="R588" i="33"/>
  <c r="S588" i="33"/>
  <c r="T588" i="33"/>
  <c r="U588" i="33"/>
  <c r="O588" i="33"/>
  <c r="P588" i="33"/>
  <c r="W583" i="33"/>
  <c r="X583" i="33"/>
  <c r="Y583" i="33"/>
  <c r="Z583" i="33"/>
  <c r="AA583" i="33"/>
  <c r="AB583" i="33"/>
  <c r="AC583" i="33"/>
  <c r="T583" i="33"/>
  <c r="U583" i="33"/>
  <c r="O583" i="33"/>
  <c r="P583" i="33"/>
  <c r="Q583" i="33"/>
  <c r="R583" i="33"/>
  <c r="S583" i="33"/>
  <c r="H579" i="33"/>
  <c r="K575" i="33"/>
  <c r="G566" i="33"/>
  <c r="J561" i="33"/>
  <c r="I552" i="33"/>
  <c r="H539" i="33"/>
  <c r="W530" i="33"/>
  <c r="X530" i="33"/>
  <c r="Y530" i="33"/>
  <c r="Z530" i="33"/>
  <c r="AA530" i="33"/>
  <c r="AB530" i="33"/>
  <c r="AC530" i="33"/>
  <c r="O530" i="33"/>
  <c r="P530" i="33"/>
  <c r="Q530" i="33"/>
  <c r="R530" i="33"/>
  <c r="S530" i="33"/>
  <c r="T530" i="33"/>
  <c r="U530" i="33"/>
  <c r="G522" i="33"/>
  <c r="K517" i="33"/>
  <c r="W512" i="33"/>
  <c r="X512" i="33"/>
  <c r="Y512" i="33"/>
  <c r="Z512" i="33"/>
  <c r="AA512" i="33"/>
  <c r="AB512" i="33"/>
  <c r="AC512" i="33"/>
  <c r="O512" i="33"/>
  <c r="P512" i="33"/>
  <c r="R512" i="33"/>
  <c r="S512" i="33"/>
  <c r="T512" i="33"/>
  <c r="U512" i="33"/>
  <c r="Q512" i="33"/>
  <c r="H495" i="33"/>
  <c r="W486" i="33"/>
  <c r="X486" i="33"/>
  <c r="Y486" i="33"/>
  <c r="Z486" i="33"/>
  <c r="AA486" i="33"/>
  <c r="AB486" i="33"/>
  <c r="AC486" i="33"/>
  <c r="O486" i="33"/>
  <c r="U486" i="33"/>
  <c r="P486" i="33"/>
  <c r="Q486" i="33"/>
  <c r="R486" i="33"/>
  <c r="AC477" i="33"/>
  <c r="W477" i="33"/>
  <c r="X477" i="33"/>
  <c r="Y477" i="33"/>
  <c r="Z477" i="33"/>
  <c r="AA477" i="33"/>
  <c r="AB477" i="33"/>
  <c r="P477" i="33"/>
  <c r="Q477" i="33"/>
  <c r="R477" i="33"/>
  <c r="S477" i="33"/>
  <c r="T477" i="33"/>
  <c r="U477" i="33"/>
  <c r="K473" i="33"/>
  <c r="J455" i="33"/>
  <c r="G451" i="33"/>
  <c r="Y441" i="33"/>
  <c r="Z441" i="33"/>
  <c r="AC441" i="33"/>
  <c r="W441" i="33"/>
  <c r="X441" i="33"/>
  <c r="AA441" i="33"/>
  <c r="AB441" i="33"/>
  <c r="Q441" i="33"/>
  <c r="R441" i="33"/>
  <c r="S441" i="33"/>
  <c r="T441" i="33"/>
  <c r="U441" i="33"/>
  <c r="O441" i="33"/>
  <c r="P441" i="33"/>
  <c r="H432" i="33"/>
  <c r="AA427" i="33"/>
  <c r="AB427" i="33"/>
  <c r="W427" i="33"/>
  <c r="X427" i="33"/>
  <c r="Y427" i="33"/>
  <c r="Z427" i="33"/>
  <c r="AC427" i="33"/>
  <c r="O427" i="33"/>
  <c r="P427" i="33"/>
  <c r="Q427" i="33"/>
  <c r="R427" i="33"/>
  <c r="S427" i="33"/>
  <c r="T427" i="33"/>
  <c r="U427" i="33"/>
  <c r="W423" i="33"/>
  <c r="X423" i="33"/>
  <c r="AA423" i="33"/>
  <c r="Y423" i="33"/>
  <c r="Z423" i="33"/>
  <c r="AB423" i="33"/>
  <c r="AC423" i="33"/>
  <c r="O423" i="33"/>
  <c r="P423" i="33"/>
  <c r="Q423" i="33"/>
  <c r="R423" i="33"/>
  <c r="S423" i="33"/>
  <c r="T423" i="33"/>
  <c r="U423" i="33"/>
  <c r="J405" i="33"/>
  <c r="K387" i="33"/>
  <c r="X369" i="33"/>
  <c r="W369" i="33"/>
  <c r="Y369" i="33"/>
  <c r="AA369" i="33"/>
  <c r="AB369" i="33"/>
  <c r="Z369" i="33"/>
  <c r="AC369" i="33"/>
  <c r="U369" i="33"/>
  <c r="O369" i="33"/>
  <c r="P369" i="33"/>
  <c r="Q369" i="33"/>
  <c r="R369" i="33"/>
  <c r="S369" i="33"/>
  <c r="T369" i="33"/>
  <c r="G356" i="33"/>
  <c r="W346" i="33"/>
  <c r="Y346" i="33"/>
  <c r="Z346" i="33"/>
  <c r="AA346" i="33"/>
  <c r="AB346" i="33"/>
  <c r="AC346" i="33"/>
  <c r="X346" i="33"/>
  <c r="O346" i="33"/>
  <c r="P346" i="33"/>
  <c r="Q346" i="33"/>
  <c r="R346" i="33"/>
  <c r="S346" i="33"/>
  <c r="T346" i="33"/>
  <c r="U346" i="33"/>
  <c r="X336" i="33"/>
  <c r="AA336" i="33"/>
  <c r="AC336" i="33"/>
  <c r="W336" i="33"/>
  <c r="Y336" i="33"/>
  <c r="Z336" i="33"/>
  <c r="AB336" i="33"/>
  <c r="U336" i="33"/>
  <c r="O336" i="33"/>
  <c r="P336" i="33"/>
  <c r="Q336" i="33"/>
  <c r="R336" i="33"/>
  <c r="S336" i="33"/>
  <c r="T336" i="33"/>
  <c r="J332" i="33"/>
  <c r="H328" i="33"/>
  <c r="W296" i="33"/>
  <c r="X296" i="33"/>
  <c r="Y296" i="33"/>
  <c r="Z296" i="33"/>
  <c r="AA296" i="33"/>
  <c r="AB296" i="33"/>
  <c r="AC296" i="33"/>
  <c r="T296" i="33"/>
  <c r="U296" i="33"/>
  <c r="O296" i="33"/>
  <c r="P296" i="33"/>
  <c r="Q296" i="33"/>
  <c r="R296" i="33"/>
  <c r="S296" i="33"/>
  <c r="H292" i="33"/>
  <c r="G265" i="33"/>
  <c r="H265" i="33"/>
  <c r="G254" i="33"/>
  <c r="X227" i="33"/>
  <c r="Y227" i="33"/>
  <c r="Z227" i="33"/>
  <c r="AC227" i="33"/>
  <c r="W227" i="33"/>
  <c r="AA227" i="33"/>
  <c r="AB227" i="33"/>
  <c r="O227" i="33"/>
  <c r="P227" i="33"/>
  <c r="Q227" i="33"/>
  <c r="R227" i="33"/>
  <c r="S227" i="33"/>
  <c r="T227" i="33"/>
  <c r="U227" i="33"/>
  <c r="T581" i="33"/>
  <c r="P440" i="33"/>
  <c r="AC684" i="33"/>
  <c r="X684" i="33"/>
  <c r="Y684" i="33"/>
  <c r="Z684" i="33"/>
  <c r="AA684" i="33"/>
  <c r="AB684" i="33"/>
  <c r="W684" i="33"/>
  <c r="Q684" i="33"/>
  <c r="R684" i="33"/>
  <c r="U684" i="33"/>
  <c r="P684" i="33"/>
  <c r="S684" i="33"/>
  <c r="T684" i="33"/>
  <c r="I657" i="33"/>
  <c r="K629" i="33"/>
  <c r="G625" i="33"/>
  <c r="G607" i="33"/>
  <c r="I593" i="33"/>
  <c r="I566" i="33"/>
  <c r="K561" i="33"/>
  <c r="K477" i="33"/>
  <c r="H468" i="33"/>
  <c r="W463" i="33"/>
  <c r="X463" i="33"/>
  <c r="Y463" i="33"/>
  <c r="Z463" i="33"/>
  <c r="AA463" i="33"/>
  <c r="AB463" i="33"/>
  <c r="AC463" i="33"/>
  <c r="P463" i="33"/>
  <c r="O463" i="33"/>
  <c r="Q463" i="33"/>
  <c r="R463" i="33"/>
  <c r="S463" i="33"/>
  <c r="T463" i="33"/>
  <c r="U463" i="33"/>
  <c r="I455" i="33"/>
  <c r="I451" i="33"/>
  <c r="I432" i="33"/>
  <c r="J423" i="33"/>
  <c r="Z418" i="33"/>
  <c r="AA418" i="33"/>
  <c r="AC418" i="33"/>
  <c r="W418" i="33"/>
  <c r="X418" i="33"/>
  <c r="Y418" i="33"/>
  <c r="AB418" i="33"/>
  <c r="O418" i="33"/>
  <c r="P418" i="33"/>
  <c r="Q418" i="33"/>
  <c r="R418" i="33"/>
  <c r="S418" i="33"/>
  <c r="T418" i="33"/>
  <c r="U418" i="33"/>
  <c r="Y409" i="33"/>
  <c r="Z409" i="33"/>
  <c r="AB409" i="33"/>
  <c r="AC409" i="33"/>
  <c r="W409" i="33"/>
  <c r="X409" i="33"/>
  <c r="AA409" i="33"/>
  <c r="P409" i="33"/>
  <c r="Q409" i="33"/>
  <c r="R409" i="33"/>
  <c r="T409" i="33"/>
  <c r="U409" i="33"/>
  <c r="G405" i="33"/>
  <c r="X400" i="33"/>
  <c r="AA400" i="33"/>
  <c r="AC400" i="33"/>
  <c r="Y400" i="33"/>
  <c r="Z400" i="33"/>
  <c r="W400" i="33"/>
  <c r="AB400" i="33"/>
  <c r="Q400" i="33"/>
  <c r="R400" i="33"/>
  <c r="S400" i="33"/>
  <c r="T400" i="33"/>
  <c r="U400" i="33"/>
  <c r="O400" i="33"/>
  <c r="P400" i="33"/>
  <c r="I392" i="33"/>
  <c r="K378" i="33"/>
  <c r="H373" i="33"/>
  <c r="K369" i="33"/>
  <c r="I356" i="33"/>
  <c r="X341" i="33"/>
  <c r="Z341" i="33"/>
  <c r="AA341" i="33"/>
  <c r="AB341" i="33"/>
  <c r="W341" i="33"/>
  <c r="Y341" i="33"/>
  <c r="AC341" i="33"/>
  <c r="O341" i="33"/>
  <c r="P341" i="33"/>
  <c r="Q341" i="33"/>
  <c r="R341" i="33"/>
  <c r="S341" i="33"/>
  <c r="T341" i="33"/>
  <c r="U341" i="33"/>
  <c r="G305" i="33"/>
  <c r="H305" i="33"/>
  <c r="K296" i="33"/>
  <c r="K259" i="33"/>
  <c r="K227" i="33"/>
  <c r="W195" i="33"/>
  <c r="X195" i="33"/>
  <c r="Y195" i="33"/>
  <c r="Z195" i="33"/>
  <c r="AC195" i="33"/>
  <c r="AA195" i="33"/>
  <c r="AB195" i="33"/>
  <c r="Q195" i="33"/>
  <c r="R195" i="33"/>
  <c r="S195" i="33"/>
  <c r="T195" i="33"/>
  <c r="U195" i="33"/>
  <c r="O195" i="33"/>
  <c r="P195" i="33"/>
  <c r="X89" i="33"/>
  <c r="Y89" i="33"/>
  <c r="Z89" i="33"/>
  <c r="AA89" i="33"/>
  <c r="AB89" i="33"/>
  <c r="AC89" i="33"/>
  <c r="W89" i="33"/>
  <c r="O89" i="33"/>
  <c r="P89" i="33"/>
  <c r="Q89" i="33"/>
  <c r="R89" i="33"/>
  <c r="S89" i="33"/>
  <c r="T89" i="33"/>
  <c r="U89" i="33"/>
  <c r="H50" i="33"/>
  <c r="S581" i="33"/>
  <c r="X656" i="33"/>
  <c r="Y656" i="33"/>
  <c r="Z656" i="33"/>
  <c r="AA656" i="33"/>
  <c r="AB656" i="33"/>
  <c r="AC656" i="33"/>
  <c r="W656" i="33"/>
  <c r="U656" i="33"/>
  <c r="O656" i="33"/>
  <c r="P656" i="33"/>
  <c r="Q656" i="33"/>
  <c r="R656" i="33"/>
  <c r="S656" i="33"/>
  <c r="T656" i="33"/>
  <c r="J639" i="33"/>
  <c r="J607" i="33"/>
  <c r="W592" i="33"/>
  <c r="X592" i="33"/>
  <c r="Y592" i="33"/>
  <c r="Z592" i="33"/>
  <c r="AA592" i="33"/>
  <c r="AB592" i="33"/>
  <c r="AC592" i="33"/>
  <c r="U592" i="33"/>
  <c r="O592" i="33"/>
  <c r="P592" i="33"/>
  <c r="Q592" i="33"/>
  <c r="R592" i="33"/>
  <c r="S592" i="33"/>
  <c r="J575" i="33"/>
  <c r="Y565" i="33"/>
  <c r="Z565" i="33"/>
  <c r="AA565" i="33"/>
  <c r="AB565" i="33"/>
  <c r="AC565" i="33"/>
  <c r="W565" i="33"/>
  <c r="X565" i="33"/>
  <c r="R565" i="33"/>
  <c r="S565" i="33"/>
  <c r="T565" i="33"/>
  <c r="U565" i="33"/>
  <c r="O565" i="33"/>
  <c r="P565" i="33"/>
  <c r="Q565" i="33"/>
  <c r="X556" i="33"/>
  <c r="Z556" i="33"/>
  <c r="AA556" i="33"/>
  <c r="AB556" i="33"/>
  <c r="AC556" i="33"/>
  <c r="W556" i="33"/>
  <c r="Y556" i="33"/>
  <c r="Q556" i="33"/>
  <c r="R556" i="33"/>
  <c r="S556" i="33"/>
  <c r="T556" i="33"/>
  <c r="U556" i="33"/>
  <c r="P556" i="33"/>
  <c r="W547" i="33"/>
  <c r="X547" i="33"/>
  <c r="Y547" i="33"/>
  <c r="Z547" i="33"/>
  <c r="AA547" i="33"/>
  <c r="AB547" i="33"/>
  <c r="AC547" i="33"/>
  <c r="P547" i="33"/>
  <c r="Q547" i="33"/>
  <c r="R547" i="33"/>
  <c r="S547" i="33"/>
  <c r="T547" i="33"/>
  <c r="U547" i="33"/>
  <c r="O547" i="33"/>
  <c r="W543" i="33"/>
  <c r="X543" i="33"/>
  <c r="Y543" i="33"/>
  <c r="Z543" i="33"/>
  <c r="AA543" i="33"/>
  <c r="AB543" i="33"/>
  <c r="AC543" i="33"/>
  <c r="O543" i="33"/>
  <c r="P543" i="33"/>
  <c r="Q543" i="33"/>
  <c r="R543" i="33"/>
  <c r="S543" i="33"/>
  <c r="T543" i="33"/>
  <c r="U543" i="33"/>
  <c r="W521" i="33"/>
  <c r="X521" i="33"/>
  <c r="Y521" i="33"/>
  <c r="Z521" i="33"/>
  <c r="AA521" i="33"/>
  <c r="AB521" i="33"/>
  <c r="AC521" i="33"/>
  <c r="O521" i="33"/>
  <c r="P521" i="33"/>
  <c r="Q521" i="33"/>
  <c r="S521" i="33"/>
  <c r="T521" i="33"/>
  <c r="U521" i="33"/>
  <c r="R521" i="33"/>
  <c r="W503" i="33"/>
  <c r="X503" i="33"/>
  <c r="Y503" i="33"/>
  <c r="Z503" i="33"/>
  <c r="AA503" i="33"/>
  <c r="AB503" i="33"/>
  <c r="AC503" i="33"/>
  <c r="O503" i="33"/>
  <c r="Q503" i="33"/>
  <c r="R503" i="33"/>
  <c r="S503" i="33"/>
  <c r="T503" i="33"/>
  <c r="U503" i="33"/>
  <c r="P503" i="33"/>
  <c r="AA490" i="33"/>
  <c r="AB490" i="33"/>
  <c r="AC490" i="33"/>
  <c r="W490" i="33"/>
  <c r="X490" i="33"/>
  <c r="Y490" i="33"/>
  <c r="Z490" i="33"/>
  <c r="O490" i="33"/>
  <c r="P490" i="33"/>
  <c r="S490" i="33"/>
  <c r="Q490" i="33"/>
  <c r="R490" i="33"/>
  <c r="T490" i="33"/>
  <c r="U490" i="33"/>
  <c r="Z450" i="33"/>
  <c r="AA450" i="33"/>
  <c r="X450" i="33"/>
  <c r="Y450" i="33"/>
  <c r="AB450" i="33"/>
  <c r="AC450" i="33"/>
  <c r="W450" i="33"/>
  <c r="O450" i="33"/>
  <c r="P450" i="33"/>
  <c r="Q450" i="33"/>
  <c r="R450" i="33"/>
  <c r="S450" i="33"/>
  <c r="T450" i="33"/>
  <c r="W391" i="33"/>
  <c r="Z391" i="33"/>
  <c r="AB391" i="33"/>
  <c r="Y391" i="33"/>
  <c r="AA391" i="33"/>
  <c r="X391" i="33"/>
  <c r="AC391" i="33"/>
  <c r="O391" i="33"/>
  <c r="P391" i="33"/>
  <c r="Q391" i="33"/>
  <c r="R391" i="33"/>
  <c r="S391" i="33"/>
  <c r="T391" i="33"/>
  <c r="U391" i="33"/>
  <c r="X355" i="33"/>
  <c r="Z355" i="33"/>
  <c r="W355" i="33"/>
  <c r="Y355" i="33"/>
  <c r="AA355" i="33"/>
  <c r="AB355" i="33"/>
  <c r="AC355" i="33"/>
  <c r="O355" i="33"/>
  <c r="P355" i="33"/>
  <c r="Q355" i="33"/>
  <c r="R355" i="33"/>
  <c r="S355" i="33"/>
  <c r="T355" i="33"/>
  <c r="U355" i="33"/>
  <c r="I305" i="33"/>
  <c r="J305" i="33"/>
  <c r="W278" i="33"/>
  <c r="X278" i="33"/>
  <c r="Y278" i="33"/>
  <c r="Z278" i="33"/>
  <c r="AA278" i="33"/>
  <c r="AB278" i="33"/>
  <c r="AC278" i="33"/>
  <c r="O278" i="33"/>
  <c r="Q278" i="33"/>
  <c r="R278" i="33"/>
  <c r="S278" i="33"/>
  <c r="T278" i="33"/>
  <c r="P278" i="33"/>
  <c r="U278" i="33"/>
  <c r="AB253" i="33"/>
  <c r="AC253" i="33"/>
  <c r="W253" i="33"/>
  <c r="X253" i="33"/>
  <c r="Y253" i="33"/>
  <c r="Z253" i="33"/>
  <c r="O253" i="33"/>
  <c r="AA253" i="33"/>
  <c r="Q253" i="33"/>
  <c r="S253" i="33"/>
  <c r="P253" i="33"/>
  <c r="R253" i="33"/>
  <c r="T253" i="33"/>
  <c r="U253" i="33"/>
  <c r="G248" i="33"/>
  <c r="I248" i="33"/>
  <c r="K248" i="33"/>
  <c r="W232" i="33"/>
  <c r="Z232" i="33"/>
  <c r="X232" i="33"/>
  <c r="Y232" i="33"/>
  <c r="AA232" i="33"/>
  <c r="AB232" i="33"/>
  <c r="AC232" i="33"/>
  <c r="P232" i="33"/>
  <c r="Q232" i="33"/>
  <c r="R232" i="33"/>
  <c r="S232" i="33"/>
  <c r="T232" i="33"/>
  <c r="U232" i="33"/>
  <c r="O232" i="33"/>
  <c r="W24" i="33"/>
  <c r="X24" i="33"/>
  <c r="Y24" i="33"/>
  <c r="Z24" i="33"/>
  <c r="AA24" i="33"/>
  <c r="AB24" i="33"/>
  <c r="AC24" i="33"/>
  <c r="O24" i="33"/>
  <c r="P24" i="33"/>
  <c r="Q24" i="33"/>
  <c r="R24" i="33"/>
  <c r="S24" i="33"/>
  <c r="T24" i="33"/>
  <c r="U24" i="33"/>
  <c r="O576" i="33"/>
  <c r="W660" i="33"/>
  <c r="X660" i="33"/>
  <c r="Y660" i="33"/>
  <c r="Z660" i="33"/>
  <c r="AA660" i="33"/>
  <c r="AB660" i="33"/>
  <c r="AC660" i="33"/>
  <c r="O660" i="33"/>
  <c r="P660" i="33"/>
  <c r="Q660" i="33"/>
  <c r="R660" i="33"/>
  <c r="S660" i="33"/>
  <c r="T660" i="33"/>
  <c r="U660" i="33"/>
  <c r="Y638" i="33"/>
  <c r="Z638" i="33"/>
  <c r="AA638" i="33"/>
  <c r="AB638" i="33"/>
  <c r="AC638" i="33"/>
  <c r="W638" i="33"/>
  <c r="X638" i="33"/>
  <c r="S638" i="33"/>
  <c r="T638" i="33"/>
  <c r="O638" i="33"/>
  <c r="P638" i="33"/>
  <c r="Q638" i="33"/>
  <c r="G634" i="33"/>
  <c r="X624" i="33"/>
  <c r="Y624" i="33"/>
  <c r="Z624" i="33"/>
  <c r="AA624" i="33"/>
  <c r="AB624" i="33"/>
  <c r="AC624" i="33"/>
  <c r="W624" i="33"/>
  <c r="U624" i="33"/>
  <c r="O624" i="33"/>
  <c r="P624" i="33"/>
  <c r="Q624" i="33"/>
  <c r="R624" i="33"/>
  <c r="S624" i="33"/>
  <c r="T624" i="33"/>
  <c r="K620" i="33"/>
  <c r="W606" i="33"/>
  <c r="X606" i="33"/>
  <c r="Y606" i="33"/>
  <c r="Z606" i="33"/>
  <c r="AA606" i="33"/>
  <c r="AB606" i="33"/>
  <c r="AC606" i="33"/>
  <c r="S606" i="33"/>
  <c r="T606" i="33"/>
  <c r="O606" i="33"/>
  <c r="P606" i="33"/>
  <c r="Q606" i="33"/>
  <c r="R606" i="33"/>
  <c r="U606" i="33"/>
  <c r="W574" i="33"/>
  <c r="X574" i="33"/>
  <c r="Y574" i="33"/>
  <c r="Z574" i="33"/>
  <c r="AA574" i="33"/>
  <c r="AB574" i="33"/>
  <c r="AC574" i="33"/>
  <c r="S574" i="33"/>
  <c r="T574" i="33"/>
  <c r="U574" i="33"/>
  <c r="O574" i="33"/>
  <c r="P574" i="33"/>
  <c r="Q574" i="33"/>
  <c r="R574" i="33"/>
  <c r="W516" i="33"/>
  <c r="X516" i="33"/>
  <c r="Y516" i="33"/>
  <c r="Z516" i="33"/>
  <c r="AA516" i="33"/>
  <c r="AB516" i="33"/>
  <c r="AC516" i="33"/>
  <c r="O516" i="33"/>
  <c r="P516" i="33"/>
  <c r="Q516" i="33"/>
  <c r="R516" i="33"/>
  <c r="S516" i="33"/>
  <c r="T516" i="33"/>
  <c r="U516" i="33"/>
  <c r="W481" i="33"/>
  <c r="X481" i="33"/>
  <c r="Y481" i="33"/>
  <c r="Z481" i="33"/>
  <c r="AA481" i="33"/>
  <c r="AB481" i="33"/>
  <c r="AC481" i="33"/>
  <c r="O481" i="33"/>
  <c r="R481" i="33"/>
  <c r="P481" i="33"/>
  <c r="Q481" i="33"/>
  <c r="S481" i="33"/>
  <c r="T481" i="33"/>
  <c r="U481" i="33"/>
  <c r="W472" i="33"/>
  <c r="X472" i="33"/>
  <c r="Y472" i="33"/>
  <c r="Z472" i="33"/>
  <c r="AA472" i="33"/>
  <c r="AB472" i="33"/>
  <c r="AC472" i="33"/>
  <c r="O472" i="33"/>
  <c r="Q472" i="33"/>
  <c r="P472" i="33"/>
  <c r="R472" i="33"/>
  <c r="S472" i="33"/>
  <c r="T472" i="33"/>
  <c r="U472" i="33"/>
  <c r="AB436" i="33"/>
  <c r="AC436" i="33"/>
  <c r="W436" i="33"/>
  <c r="X436" i="33"/>
  <c r="Y436" i="33"/>
  <c r="Z436" i="33"/>
  <c r="AA436" i="33"/>
  <c r="R436" i="33"/>
  <c r="S436" i="33"/>
  <c r="T436" i="33"/>
  <c r="U436" i="33"/>
  <c r="O436" i="33"/>
  <c r="P436" i="33"/>
  <c r="Q436" i="33"/>
  <c r="Y382" i="33"/>
  <c r="AA382" i="33"/>
  <c r="AC382" i="33"/>
  <c r="AB382" i="33"/>
  <c r="W382" i="33"/>
  <c r="X382" i="33"/>
  <c r="Z382" i="33"/>
  <c r="O382" i="33"/>
  <c r="P382" i="33"/>
  <c r="Q382" i="33"/>
  <c r="R382" i="33"/>
  <c r="S382" i="33"/>
  <c r="T382" i="33"/>
  <c r="U382" i="33"/>
  <c r="Z322" i="33"/>
  <c r="AC322" i="33"/>
  <c r="X322" i="33"/>
  <c r="AA322" i="33"/>
  <c r="AB322" i="33"/>
  <c r="W322" i="33"/>
  <c r="Y322" i="33"/>
  <c r="O322" i="33"/>
  <c r="P322" i="33"/>
  <c r="Q322" i="33"/>
  <c r="R322" i="33"/>
  <c r="S322" i="33"/>
  <c r="T322" i="33"/>
  <c r="U322" i="33"/>
  <c r="X304" i="33"/>
  <c r="AA304" i="33"/>
  <c r="AC304" i="33"/>
  <c r="AB304" i="33"/>
  <c r="W304" i="33"/>
  <c r="Y304" i="33"/>
  <c r="Z304" i="33"/>
  <c r="O304" i="33"/>
  <c r="P304" i="33"/>
  <c r="Q304" i="33"/>
  <c r="R304" i="33"/>
  <c r="S304" i="33"/>
  <c r="T304" i="33"/>
  <c r="U304" i="33"/>
  <c r="G288" i="33"/>
  <c r="K283" i="33"/>
  <c r="W273" i="33"/>
  <c r="X273" i="33"/>
  <c r="Y273" i="33"/>
  <c r="Z273" i="33"/>
  <c r="AA273" i="33"/>
  <c r="AB273" i="33"/>
  <c r="AC273" i="33"/>
  <c r="P273" i="33"/>
  <c r="Q273" i="33"/>
  <c r="R273" i="33"/>
  <c r="S273" i="33"/>
  <c r="U273" i="33"/>
  <c r="O273" i="33"/>
  <c r="K237" i="33"/>
  <c r="J232" i="33"/>
  <c r="G110" i="33"/>
  <c r="H110" i="33"/>
  <c r="G72" i="33"/>
  <c r="U658" i="33"/>
  <c r="U575" i="33"/>
  <c r="K684" i="33"/>
  <c r="W670" i="33"/>
  <c r="X670" i="33"/>
  <c r="Y670" i="33"/>
  <c r="Z670" i="33"/>
  <c r="AA670" i="33"/>
  <c r="AB670" i="33"/>
  <c r="AC670" i="33"/>
  <c r="S670" i="33"/>
  <c r="T670" i="33"/>
  <c r="O670" i="33"/>
  <c r="P670" i="33"/>
  <c r="Q670" i="33"/>
  <c r="R670" i="33"/>
  <c r="U670" i="33"/>
  <c r="W665" i="33"/>
  <c r="X665" i="33"/>
  <c r="Y665" i="33"/>
  <c r="Z665" i="33"/>
  <c r="AA665" i="33"/>
  <c r="AB665" i="33"/>
  <c r="AC665" i="33"/>
  <c r="O665" i="33"/>
  <c r="P665" i="33"/>
  <c r="Q665" i="33"/>
  <c r="R665" i="33"/>
  <c r="S665" i="33"/>
  <c r="T665" i="33"/>
  <c r="U665" i="33"/>
  <c r="I652" i="33"/>
  <c r="W628" i="33"/>
  <c r="X628" i="33"/>
  <c r="Y628" i="33"/>
  <c r="Z628" i="33"/>
  <c r="AA628" i="33"/>
  <c r="AB628" i="33"/>
  <c r="AC628" i="33"/>
  <c r="T628" i="33"/>
  <c r="U628" i="33"/>
  <c r="O628" i="33"/>
  <c r="P628" i="33"/>
  <c r="Q628" i="33"/>
  <c r="H620" i="33"/>
  <c r="G602" i="33"/>
  <c r="I597" i="33"/>
  <c r="H588" i="33"/>
  <c r="G570" i="33"/>
  <c r="K565" i="33"/>
  <c r="X560" i="33"/>
  <c r="Y560" i="33"/>
  <c r="AB560" i="33"/>
  <c r="W560" i="33"/>
  <c r="Z560" i="33"/>
  <c r="AA560" i="33"/>
  <c r="AC560" i="33"/>
  <c r="U560" i="33"/>
  <c r="O560" i="33"/>
  <c r="P560" i="33"/>
  <c r="Q560" i="33"/>
  <c r="R560" i="33"/>
  <c r="S560" i="33"/>
  <c r="T560" i="33"/>
  <c r="W534" i="33"/>
  <c r="X534" i="33"/>
  <c r="Y534" i="33"/>
  <c r="Z534" i="33"/>
  <c r="AA534" i="33"/>
  <c r="AB534" i="33"/>
  <c r="AC534" i="33"/>
  <c r="O534" i="33"/>
  <c r="P534" i="33"/>
  <c r="Q534" i="33"/>
  <c r="R534" i="33"/>
  <c r="S534" i="33"/>
  <c r="T534" i="33"/>
  <c r="U534" i="33"/>
  <c r="W525" i="33"/>
  <c r="X525" i="33"/>
  <c r="Y525" i="33"/>
  <c r="Z525" i="33"/>
  <c r="AA525" i="33"/>
  <c r="AB525" i="33"/>
  <c r="AC525" i="33"/>
  <c r="O525" i="33"/>
  <c r="P525" i="33"/>
  <c r="Q525" i="33"/>
  <c r="R525" i="33"/>
  <c r="S525" i="33"/>
  <c r="T525" i="33"/>
  <c r="U525" i="33"/>
  <c r="K521" i="33"/>
  <c r="W507" i="33"/>
  <c r="X507" i="33"/>
  <c r="Y507" i="33"/>
  <c r="Z507" i="33"/>
  <c r="AA507" i="33"/>
  <c r="AB507" i="33"/>
  <c r="AC507" i="33"/>
  <c r="O507" i="33"/>
  <c r="P507" i="33"/>
  <c r="Q507" i="33"/>
  <c r="R507" i="33"/>
  <c r="S507" i="33"/>
  <c r="U507" i="33"/>
  <c r="G486" i="33"/>
  <c r="W454" i="33"/>
  <c r="X454" i="33"/>
  <c r="Y454" i="33"/>
  <c r="Z454" i="33"/>
  <c r="AA454" i="33"/>
  <c r="AB454" i="33"/>
  <c r="AC454" i="33"/>
  <c r="O454" i="33"/>
  <c r="P454" i="33"/>
  <c r="Q454" i="33"/>
  <c r="R454" i="33"/>
  <c r="S454" i="33"/>
  <c r="T454" i="33"/>
  <c r="U454" i="33"/>
  <c r="K450" i="33"/>
  <c r="I446" i="33"/>
  <c r="W431" i="33"/>
  <c r="X431" i="33"/>
  <c r="Y431" i="33"/>
  <c r="Z431" i="33"/>
  <c r="AA431" i="33"/>
  <c r="AB431" i="33"/>
  <c r="AC431" i="33"/>
  <c r="S431" i="33"/>
  <c r="T431" i="33"/>
  <c r="U431" i="33"/>
  <c r="O431" i="33"/>
  <c r="P431" i="33"/>
  <c r="Q431" i="33"/>
  <c r="R431" i="33"/>
  <c r="AC413" i="33"/>
  <c r="AA413" i="33"/>
  <c r="AB413" i="33"/>
  <c r="W413" i="33"/>
  <c r="X413" i="33"/>
  <c r="Y413" i="33"/>
  <c r="Z413" i="33"/>
  <c r="O413" i="33"/>
  <c r="P413" i="33"/>
  <c r="Q413" i="33"/>
  <c r="R413" i="33"/>
  <c r="S413" i="33"/>
  <c r="T413" i="33"/>
  <c r="U413" i="33"/>
  <c r="AB404" i="33"/>
  <c r="AC404" i="33"/>
  <c r="W404" i="33"/>
  <c r="X404" i="33"/>
  <c r="Y404" i="33"/>
  <c r="Z404" i="33"/>
  <c r="AA404" i="33"/>
  <c r="O404" i="33"/>
  <c r="P404" i="33"/>
  <c r="Q404" i="33"/>
  <c r="R404" i="33"/>
  <c r="S404" i="33"/>
  <c r="T404" i="33"/>
  <c r="U404" i="33"/>
  <c r="G400" i="33"/>
  <c r="Z386" i="33"/>
  <c r="AC386" i="33"/>
  <c r="W386" i="33"/>
  <c r="X386" i="33"/>
  <c r="Y386" i="33"/>
  <c r="AA386" i="33"/>
  <c r="AB386" i="33"/>
  <c r="O386" i="33"/>
  <c r="P386" i="33"/>
  <c r="Q386" i="33"/>
  <c r="R386" i="33"/>
  <c r="S386" i="33"/>
  <c r="T386" i="33"/>
  <c r="U386" i="33"/>
  <c r="W364" i="33"/>
  <c r="Y364" i="33"/>
  <c r="AA364" i="33"/>
  <c r="X364" i="33"/>
  <c r="Z364" i="33"/>
  <c r="AB364" i="33"/>
  <c r="AC364" i="33"/>
  <c r="O364" i="33"/>
  <c r="P364" i="33"/>
  <c r="Q364" i="33"/>
  <c r="R364" i="33"/>
  <c r="S364" i="33"/>
  <c r="T364" i="33"/>
  <c r="U364" i="33"/>
  <c r="Y350" i="33"/>
  <c r="AA350" i="33"/>
  <c r="AC350" i="33"/>
  <c r="W350" i="33"/>
  <c r="X350" i="33"/>
  <c r="Z350" i="33"/>
  <c r="AB350" i="33"/>
  <c r="O350" i="33"/>
  <c r="P350" i="33"/>
  <c r="Q350" i="33"/>
  <c r="R350" i="33"/>
  <c r="S350" i="33"/>
  <c r="T350" i="33"/>
  <c r="U350" i="33"/>
  <c r="G336" i="33"/>
  <c r="AA331" i="33"/>
  <c r="AB331" i="33"/>
  <c r="AC331" i="33"/>
  <c r="W331" i="33"/>
  <c r="X331" i="33"/>
  <c r="Y331" i="33"/>
  <c r="Z331" i="33"/>
  <c r="R331" i="33"/>
  <c r="S331" i="33"/>
  <c r="T331" i="33"/>
  <c r="U331" i="33"/>
  <c r="Q331" i="33"/>
  <c r="I221" i="33"/>
  <c r="O654" i="33"/>
  <c r="S409" i="33"/>
  <c r="H684" i="33"/>
  <c r="W651" i="33"/>
  <c r="X651" i="33"/>
  <c r="Y651" i="33"/>
  <c r="Z651" i="33"/>
  <c r="AA651" i="33"/>
  <c r="AB651" i="33"/>
  <c r="AC651" i="33"/>
  <c r="O651" i="33"/>
  <c r="P651" i="33"/>
  <c r="Q651" i="33"/>
  <c r="R651" i="33"/>
  <c r="S651" i="33"/>
  <c r="T651" i="33"/>
  <c r="U651" i="33"/>
  <c r="W633" i="33"/>
  <c r="X633" i="33"/>
  <c r="Y633" i="33"/>
  <c r="Z633" i="33"/>
  <c r="AA633" i="33"/>
  <c r="AB633" i="33"/>
  <c r="AC633" i="33"/>
  <c r="T633" i="33"/>
  <c r="U633" i="33"/>
  <c r="O633" i="33"/>
  <c r="P633" i="33"/>
  <c r="Q633" i="33"/>
  <c r="I620" i="33"/>
  <c r="W596" i="33"/>
  <c r="X596" i="33"/>
  <c r="Y596" i="33"/>
  <c r="Z596" i="33"/>
  <c r="AA596" i="33"/>
  <c r="AB596" i="33"/>
  <c r="AC596" i="33"/>
  <c r="O596" i="33"/>
  <c r="P596" i="33"/>
  <c r="Q596" i="33"/>
  <c r="R596" i="33"/>
  <c r="S596" i="33"/>
  <c r="T596" i="33"/>
  <c r="U596" i="33"/>
  <c r="I588" i="33"/>
  <c r="G565" i="33"/>
  <c r="K556" i="33"/>
  <c r="G530" i="33"/>
  <c r="G521" i="33"/>
  <c r="Y494" i="33"/>
  <c r="Z494" i="33"/>
  <c r="W494" i="33"/>
  <c r="X494" i="33"/>
  <c r="AA494" i="33"/>
  <c r="AB494" i="33"/>
  <c r="AC494" i="33"/>
  <c r="P494" i="33"/>
  <c r="Q494" i="33"/>
  <c r="R494" i="33"/>
  <c r="S494" i="33"/>
  <c r="T494" i="33"/>
  <c r="O494" i="33"/>
  <c r="U494" i="33"/>
  <c r="I486" i="33"/>
  <c r="K481" i="33"/>
  <c r="W467" i="33"/>
  <c r="X467" i="33"/>
  <c r="Y467" i="33"/>
  <c r="Z467" i="33"/>
  <c r="AA467" i="33"/>
  <c r="AB467" i="33"/>
  <c r="AC467" i="33"/>
  <c r="O467" i="33"/>
  <c r="P467" i="33"/>
  <c r="Q467" i="33"/>
  <c r="R467" i="33"/>
  <c r="T467" i="33"/>
  <c r="S467" i="33"/>
  <c r="U467" i="33"/>
  <c r="K463" i="33"/>
  <c r="G450" i="33"/>
  <c r="AC445" i="33"/>
  <c r="X445" i="33"/>
  <c r="Y445" i="33"/>
  <c r="Z445" i="33"/>
  <c r="AA445" i="33"/>
  <c r="AB445" i="33"/>
  <c r="W445" i="33"/>
  <c r="O445" i="33"/>
  <c r="P445" i="33"/>
  <c r="Q445" i="33"/>
  <c r="R445" i="33"/>
  <c r="S445" i="33"/>
  <c r="T445" i="33"/>
  <c r="U445" i="33"/>
  <c r="W422" i="33"/>
  <c r="X422" i="33"/>
  <c r="Y422" i="33"/>
  <c r="Z422" i="33"/>
  <c r="AA422" i="33"/>
  <c r="AB422" i="33"/>
  <c r="AC422" i="33"/>
  <c r="O422" i="33"/>
  <c r="P422" i="33"/>
  <c r="Q422" i="33"/>
  <c r="R422" i="33"/>
  <c r="S422" i="33"/>
  <c r="T422" i="33"/>
  <c r="U422" i="33"/>
  <c r="K409" i="33"/>
  <c r="Y377" i="33"/>
  <c r="AB377" i="33"/>
  <c r="W377" i="33"/>
  <c r="X377" i="33"/>
  <c r="Z377" i="33"/>
  <c r="AA377" i="33"/>
  <c r="AC377" i="33"/>
  <c r="O377" i="33"/>
  <c r="P377" i="33"/>
  <c r="Q377" i="33"/>
  <c r="R377" i="33"/>
  <c r="S377" i="33"/>
  <c r="T377" i="33"/>
  <c r="U377" i="33"/>
  <c r="AB372" i="33"/>
  <c r="W372" i="33"/>
  <c r="X372" i="33"/>
  <c r="Y372" i="33"/>
  <c r="Z372" i="33"/>
  <c r="AA372" i="33"/>
  <c r="AC372" i="33"/>
  <c r="O372" i="33"/>
  <c r="P372" i="33"/>
  <c r="Q372" i="33"/>
  <c r="R372" i="33"/>
  <c r="S372" i="33"/>
  <c r="T372" i="33"/>
  <c r="U372" i="33"/>
  <c r="G369" i="33"/>
  <c r="G296" i="33"/>
  <c r="W287" i="33"/>
  <c r="X287" i="33"/>
  <c r="Y287" i="33"/>
  <c r="Z287" i="33"/>
  <c r="AA287" i="33"/>
  <c r="AB287" i="33"/>
  <c r="AC287" i="33"/>
  <c r="S287" i="33"/>
  <c r="T287" i="33"/>
  <c r="U287" i="33"/>
  <c r="O287" i="33"/>
  <c r="P287" i="33"/>
  <c r="Q287" i="33"/>
  <c r="R287" i="33"/>
  <c r="Y258" i="33"/>
  <c r="Z258" i="33"/>
  <c r="AB258" i="33"/>
  <c r="AC258" i="33"/>
  <c r="W258" i="33"/>
  <c r="X258" i="33"/>
  <c r="AA258" i="33"/>
  <c r="P258" i="33"/>
  <c r="O258" i="33"/>
  <c r="Q258" i="33"/>
  <c r="R258" i="33"/>
  <c r="S258" i="33"/>
  <c r="T258" i="33"/>
  <c r="U258" i="33"/>
  <c r="Y226" i="33"/>
  <c r="Z226" i="33"/>
  <c r="AA226" i="33"/>
  <c r="AB226" i="33"/>
  <c r="AC226" i="33"/>
  <c r="W226" i="33"/>
  <c r="X226" i="33"/>
  <c r="P226" i="33"/>
  <c r="O226" i="33"/>
  <c r="Q226" i="33"/>
  <c r="R226" i="33"/>
  <c r="S226" i="33"/>
  <c r="T226" i="33"/>
  <c r="U226" i="33"/>
  <c r="G140" i="33"/>
  <c r="I55" i="33"/>
  <c r="U653" i="33"/>
  <c r="O409" i="33"/>
  <c r="W416" i="33"/>
  <c r="X416" i="33"/>
  <c r="Y416" i="33"/>
  <c r="Z416" i="33"/>
  <c r="AA416" i="33"/>
  <c r="AB416" i="33"/>
  <c r="AC416" i="33"/>
  <c r="P416" i="33"/>
  <c r="Q416" i="33"/>
  <c r="R416" i="33"/>
  <c r="S416" i="33"/>
  <c r="T416" i="33"/>
  <c r="U416" i="33"/>
  <c r="O416" i="33"/>
  <c r="W245" i="33"/>
  <c r="X245" i="33"/>
  <c r="Z245" i="33"/>
  <c r="AA245" i="33"/>
  <c r="AB245" i="33"/>
  <c r="Y245" i="33"/>
  <c r="AC245" i="33"/>
  <c r="S245" i="33"/>
  <c r="T245" i="33"/>
  <c r="U245" i="33"/>
  <c r="R245" i="33"/>
  <c r="O245" i="33"/>
  <c r="P245" i="33"/>
  <c r="Q245" i="33"/>
  <c r="I684" i="33"/>
  <c r="K665" i="33"/>
  <c r="W642" i="33"/>
  <c r="X642" i="33"/>
  <c r="Y642" i="33"/>
  <c r="Z642" i="33"/>
  <c r="AA642" i="33"/>
  <c r="AB642" i="33"/>
  <c r="AC642" i="33"/>
  <c r="O642" i="33"/>
  <c r="P642" i="33"/>
  <c r="Q642" i="33"/>
  <c r="R642" i="33"/>
  <c r="S642" i="33"/>
  <c r="T642" i="33"/>
  <c r="U642" i="33"/>
  <c r="W619" i="33"/>
  <c r="X619" i="33"/>
  <c r="Y619" i="33"/>
  <c r="Z619" i="33"/>
  <c r="AA619" i="33"/>
  <c r="AB619" i="33"/>
  <c r="AC619" i="33"/>
  <c r="O619" i="33"/>
  <c r="P619" i="33"/>
  <c r="Q619" i="33"/>
  <c r="R619" i="33"/>
  <c r="S619" i="33"/>
  <c r="T619" i="33"/>
  <c r="U619" i="33"/>
  <c r="W610" i="33"/>
  <c r="X610" i="33"/>
  <c r="Y610" i="33"/>
  <c r="Z610" i="33"/>
  <c r="AA610" i="33"/>
  <c r="AB610" i="33"/>
  <c r="AC610" i="33"/>
  <c r="O610" i="33"/>
  <c r="P610" i="33"/>
  <c r="Q610" i="33"/>
  <c r="R610" i="33"/>
  <c r="S610" i="33"/>
  <c r="T610" i="33"/>
  <c r="U610" i="33"/>
  <c r="AC601" i="33"/>
  <c r="W601" i="33"/>
  <c r="X601" i="33"/>
  <c r="Y601" i="33"/>
  <c r="Z601" i="33"/>
  <c r="AA601" i="33"/>
  <c r="AB601" i="33"/>
  <c r="O601" i="33"/>
  <c r="P601" i="33"/>
  <c r="Q601" i="33"/>
  <c r="R601" i="33"/>
  <c r="S601" i="33"/>
  <c r="T601" i="33"/>
  <c r="U601" i="33"/>
  <c r="AA587" i="33"/>
  <c r="AB587" i="33"/>
  <c r="AC587" i="33"/>
  <c r="W587" i="33"/>
  <c r="X587" i="33"/>
  <c r="Y587" i="33"/>
  <c r="Z587" i="33"/>
  <c r="R587" i="33"/>
  <c r="S587" i="33"/>
  <c r="T587" i="33"/>
  <c r="U587" i="33"/>
  <c r="O587" i="33"/>
  <c r="W578" i="33"/>
  <c r="X578" i="33"/>
  <c r="Y578" i="33"/>
  <c r="Z578" i="33"/>
  <c r="AA578" i="33"/>
  <c r="AB578" i="33"/>
  <c r="AC578" i="33"/>
  <c r="O578" i="33"/>
  <c r="P578" i="33"/>
  <c r="Q578" i="33"/>
  <c r="R578" i="33"/>
  <c r="S578" i="33"/>
  <c r="T578" i="33"/>
  <c r="U578" i="33"/>
  <c r="W569" i="33"/>
  <c r="X569" i="33"/>
  <c r="Y569" i="33"/>
  <c r="Z569" i="33"/>
  <c r="AA569" i="33"/>
  <c r="AB569" i="33"/>
  <c r="AC569" i="33"/>
  <c r="P569" i="33"/>
  <c r="Q569" i="33"/>
  <c r="R569" i="33"/>
  <c r="S569" i="33"/>
  <c r="T569" i="33"/>
  <c r="U569" i="33"/>
  <c r="I565" i="33"/>
  <c r="H556" i="33"/>
  <c r="W551" i="33"/>
  <c r="X551" i="33"/>
  <c r="AA551" i="33"/>
  <c r="Y551" i="33"/>
  <c r="Z551" i="33"/>
  <c r="AB551" i="33"/>
  <c r="AC551" i="33"/>
  <c r="T551" i="33"/>
  <c r="U551" i="33"/>
  <c r="O551" i="33"/>
  <c r="P551" i="33"/>
  <c r="Q551" i="33"/>
  <c r="R551" i="33"/>
  <c r="S551" i="33"/>
  <c r="K543" i="33"/>
  <c r="W538" i="33"/>
  <c r="X538" i="33"/>
  <c r="Y538" i="33"/>
  <c r="Z538" i="33"/>
  <c r="AA538" i="33"/>
  <c r="AB538" i="33"/>
  <c r="AC538" i="33"/>
  <c r="O538" i="33"/>
  <c r="P538" i="33"/>
  <c r="Q538" i="33"/>
  <c r="R538" i="33"/>
  <c r="S538" i="33"/>
  <c r="T538" i="33"/>
  <c r="U538" i="33"/>
  <c r="I530" i="33"/>
  <c r="I521" i="33"/>
  <c r="AA485" i="33"/>
  <c r="AB485" i="33"/>
  <c r="AC485" i="33"/>
  <c r="W485" i="33"/>
  <c r="X485" i="33"/>
  <c r="Y485" i="33"/>
  <c r="Z485" i="33"/>
  <c r="O485" i="33"/>
  <c r="P485" i="33"/>
  <c r="Q485" i="33"/>
  <c r="R485" i="33"/>
  <c r="S485" i="33"/>
  <c r="T485" i="33"/>
  <c r="U485" i="33"/>
  <c r="G481" i="33"/>
  <c r="W476" i="33"/>
  <c r="X476" i="33"/>
  <c r="Y476" i="33"/>
  <c r="Z476" i="33"/>
  <c r="AA476" i="33"/>
  <c r="AB476" i="33"/>
  <c r="AC476" i="33"/>
  <c r="O476" i="33"/>
  <c r="P476" i="33"/>
  <c r="Q476" i="33"/>
  <c r="R476" i="33"/>
  <c r="U476" i="33"/>
  <c r="S476" i="33"/>
  <c r="W458" i="33"/>
  <c r="X458" i="33"/>
  <c r="Y458" i="33"/>
  <c r="Z458" i="33"/>
  <c r="AA458" i="33"/>
  <c r="AB458" i="33"/>
  <c r="AC458" i="33"/>
  <c r="O458" i="33"/>
  <c r="P458" i="33"/>
  <c r="Q458" i="33"/>
  <c r="S458" i="33"/>
  <c r="R458" i="33"/>
  <c r="T458" i="33"/>
  <c r="U458" i="33"/>
  <c r="I450" i="33"/>
  <c r="G441" i="33"/>
  <c r="G418" i="33"/>
  <c r="AB399" i="33"/>
  <c r="AC399" i="33"/>
  <c r="W399" i="33"/>
  <c r="X399" i="33"/>
  <c r="Y399" i="33"/>
  <c r="Z399" i="33"/>
  <c r="AA399" i="33"/>
  <c r="O399" i="33"/>
  <c r="P399" i="33"/>
  <c r="Q399" i="33"/>
  <c r="R399" i="33"/>
  <c r="S399" i="33"/>
  <c r="T399" i="33"/>
  <c r="U399" i="33"/>
  <c r="G355" i="33"/>
  <c r="G341" i="33"/>
  <c r="W335" i="33"/>
  <c r="X335" i="33"/>
  <c r="Y335" i="33"/>
  <c r="Z335" i="33"/>
  <c r="AA335" i="33"/>
  <c r="AB335" i="33"/>
  <c r="AC335" i="33"/>
  <c r="O335" i="33"/>
  <c r="P335" i="33"/>
  <c r="Q335" i="33"/>
  <c r="R335" i="33"/>
  <c r="S335" i="33"/>
  <c r="T335" i="33"/>
  <c r="U335" i="33"/>
  <c r="W327" i="33"/>
  <c r="Z327" i="33"/>
  <c r="AB327" i="33"/>
  <c r="AC327" i="33"/>
  <c r="X327" i="33"/>
  <c r="Y327" i="33"/>
  <c r="AA327" i="33"/>
  <c r="O327" i="33"/>
  <c r="P327" i="33"/>
  <c r="Q327" i="33"/>
  <c r="R327" i="33"/>
  <c r="S327" i="33"/>
  <c r="T327" i="33"/>
  <c r="U327" i="33"/>
  <c r="T313" i="33"/>
  <c r="AB308" i="33"/>
  <c r="W308" i="33"/>
  <c r="X308" i="33"/>
  <c r="Y308" i="33"/>
  <c r="Z308" i="33"/>
  <c r="AA308" i="33"/>
  <c r="AC308" i="33"/>
  <c r="U308" i="33"/>
  <c r="O308" i="33"/>
  <c r="P308" i="33"/>
  <c r="Q308" i="33"/>
  <c r="R308" i="33"/>
  <c r="S308" i="33"/>
  <c r="T308" i="33"/>
  <c r="H304" i="33"/>
  <c r="X291" i="33"/>
  <c r="Y291" i="33"/>
  <c r="Z291" i="33"/>
  <c r="W291" i="33"/>
  <c r="AA291" i="33"/>
  <c r="AB291" i="33"/>
  <c r="AC291" i="33"/>
  <c r="T291" i="33"/>
  <c r="U291" i="33"/>
  <c r="O291" i="33"/>
  <c r="P291" i="33"/>
  <c r="Q291" i="33"/>
  <c r="R291" i="33"/>
  <c r="S291" i="33"/>
  <c r="G201" i="33"/>
  <c r="H201" i="33"/>
  <c r="K162" i="33"/>
  <c r="I140" i="33"/>
  <c r="O649" i="33"/>
  <c r="P563" i="33"/>
  <c r="T373" i="33"/>
  <c r="W448" i="33"/>
  <c r="X448" i="33"/>
  <c r="Y448" i="33"/>
  <c r="Z448" i="33"/>
  <c r="AA448" i="33"/>
  <c r="AB448" i="33"/>
  <c r="AC448" i="33"/>
  <c r="O448" i="33"/>
  <c r="P448" i="33"/>
  <c r="Q448" i="33"/>
  <c r="R448" i="33"/>
  <c r="S448" i="33"/>
  <c r="T448" i="33"/>
  <c r="U448" i="33"/>
  <c r="W631" i="33"/>
  <c r="X631" i="33"/>
  <c r="Y631" i="33"/>
  <c r="Z631" i="33"/>
  <c r="AA631" i="33"/>
  <c r="AB631" i="33"/>
  <c r="AC631" i="33"/>
  <c r="O631" i="33"/>
  <c r="P631" i="33"/>
  <c r="Q631" i="33"/>
  <c r="R631" i="33"/>
  <c r="S631" i="33"/>
  <c r="T631" i="33"/>
  <c r="U631" i="33"/>
  <c r="Z683" i="33"/>
  <c r="AA683" i="33"/>
  <c r="AB683" i="33"/>
  <c r="AC683" i="33"/>
  <c r="W683" i="33"/>
  <c r="X683" i="33"/>
  <c r="Y683" i="33"/>
  <c r="O683" i="33"/>
  <c r="P683" i="33"/>
  <c r="Q683" i="33"/>
  <c r="R683" i="33"/>
  <c r="S683" i="33"/>
  <c r="T683" i="33"/>
  <c r="W674" i="33"/>
  <c r="X674" i="33"/>
  <c r="Y674" i="33"/>
  <c r="Z674" i="33"/>
  <c r="AA674" i="33"/>
  <c r="AB674" i="33"/>
  <c r="AC674" i="33"/>
  <c r="P674" i="33"/>
  <c r="Q674" i="33"/>
  <c r="R674" i="33"/>
  <c r="S674" i="33"/>
  <c r="T674" i="33"/>
  <c r="U674" i="33"/>
  <c r="K670" i="33"/>
  <c r="G665" i="33"/>
  <c r="H651" i="33"/>
  <c r="G638" i="33"/>
  <c r="K633" i="33"/>
  <c r="W564" i="33"/>
  <c r="X564" i="33"/>
  <c r="Y564" i="33"/>
  <c r="Z564" i="33"/>
  <c r="AA564" i="33"/>
  <c r="AB564" i="33"/>
  <c r="AC564" i="33"/>
  <c r="O564" i="33"/>
  <c r="P564" i="33"/>
  <c r="Q564" i="33"/>
  <c r="R564" i="33"/>
  <c r="S564" i="33"/>
  <c r="T564" i="33"/>
  <c r="U564" i="33"/>
  <c r="I556" i="33"/>
  <c r="G543" i="33"/>
  <c r="W529" i="33"/>
  <c r="X529" i="33"/>
  <c r="Y529" i="33"/>
  <c r="Z529" i="33"/>
  <c r="AA529" i="33"/>
  <c r="AB529" i="33"/>
  <c r="AC529" i="33"/>
  <c r="O529" i="33"/>
  <c r="P529" i="33"/>
  <c r="Q529" i="33"/>
  <c r="R529" i="33"/>
  <c r="S529" i="33"/>
  <c r="T529" i="33"/>
  <c r="U529" i="33"/>
  <c r="G525" i="33"/>
  <c r="W520" i="33"/>
  <c r="X520" i="33"/>
  <c r="Y520" i="33"/>
  <c r="Z520" i="33"/>
  <c r="AA520" i="33"/>
  <c r="AB520" i="33"/>
  <c r="AC520" i="33"/>
  <c r="O520" i="33"/>
  <c r="P520" i="33"/>
  <c r="Q520" i="33"/>
  <c r="R520" i="33"/>
  <c r="S520" i="33"/>
  <c r="T520" i="33"/>
  <c r="U520" i="33"/>
  <c r="I481" i="33"/>
  <c r="J467" i="33"/>
  <c r="I463" i="33"/>
  <c r="W449" i="33"/>
  <c r="X449" i="33"/>
  <c r="Y449" i="33"/>
  <c r="AC449" i="33"/>
  <c r="Z449" i="33"/>
  <c r="AA449" i="33"/>
  <c r="AB449" i="33"/>
  <c r="O449" i="33"/>
  <c r="Q449" i="33"/>
  <c r="P449" i="33"/>
  <c r="R449" i="33"/>
  <c r="S449" i="33"/>
  <c r="T449" i="33"/>
  <c r="U449" i="33"/>
  <c r="I441" i="33"/>
  <c r="W426" i="33"/>
  <c r="X426" i="33"/>
  <c r="Y426" i="33"/>
  <c r="Z426" i="33"/>
  <c r="AA426" i="33"/>
  <c r="AB426" i="33"/>
  <c r="AC426" i="33"/>
  <c r="S426" i="33"/>
  <c r="T426" i="33"/>
  <c r="U426" i="33"/>
  <c r="P426" i="33"/>
  <c r="Q426" i="33"/>
  <c r="R426" i="33"/>
  <c r="I418" i="33"/>
  <c r="I409" i="33"/>
  <c r="AA395" i="33"/>
  <c r="X395" i="33"/>
  <c r="Y395" i="33"/>
  <c r="AB395" i="33"/>
  <c r="AC395" i="33"/>
  <c r="W395" i="33"/>
  <c r="Z395" i="33"/>
  <c r="P395" i="33"/>
  <c r="Q395" i="33"/>
  <c r="R395" i="33"/>
  <c r="S395" i="33"/>
  <c r="T395" i="33"/>
  <c r="U395" i="33"/>
  <c r="O395" i="33"/>
  <c r="G382" i="33"/>
  <c r="H377" i="33"/>
  <c r="J372" i="33"/>
  <c r="X368" i="33"/>
  <c r="AA368" i="33"/>
  <c r="AC368" i="33"/>
  <c r="W368" i="33"/>
  <c r="Y368" i="33"/>
  <c r="Z368" i="33"/>
  <c r="AB368" i="33"/>
  <c r="U368" i="33"/>
  <c r="O368" i="33"/>
  <c r="P368" i="33"/>
  <c r="Q368" i="33"/>
  <c r="R368" i="33"/>
  <c r="S368" i="33"/>
  <c r="T368" i="33"/>
  <c r="W359" i="33"/>
  <c r="Z359" i="33"/>
  <c r="AB359" i="33"/>
  <c r="AC359" i="33"/>
  <c r="X359" i="33"/>
  <c r="Y359" i="33"/>
  <c r="AA359" i="33"/>
  <c r="O359" i="33"/>
  <c r="P359" i="33"/>
  <c r="Q359" i="33"/>
  <c r="R359" i="33"/>
  <c r="S359" i="33"/>
  <c r="T359" i="33"/>
  <c r="U359" i="33"/>
  <c r="I355" i="33"/>
  <c r="Y345" i="33"/>
  <c r="AB345" i="33"/>
  <c r="W345" i="33"/>
  <c r="X345" i="33"/>
  <c r="Z345" i="33"/>
  <c r="AA345" i="33"/>
  <c r="AC345" i="33"/>
  <c r="O345" i="33"/>
  <c r="P345" i="33"/>
  <c r="Q345" i="33"/>
  <c r="R345" i="33"/>
  <c r="S345" i="33"/>
  <c r="T345" i="33"/>
  <c r="U345" i="33"/>
  <c r="AA299" i="33"/>
  <c r="X299" i="33"/>
  <c r="Y299" i="33"/>
  <c r="Z299" i="33"/>
  <c r="AB299" i="33"/>
  <c r="AC299" i="33"/>
  <c r="W299" i="33"/>
  <c r="O299" i="33"/>
  <c r="P299" i="33"/>
  <c r="Q299" i="33"/>
  <c r="R299" i="33"/>
  <c r="S299" i="33"/>
  <c r="T299" i="33"/>
  <c r="U299" i="33"/>
  <c r="W295" i="33"/>
  <c r="Z295" i="33"/>
  <c r="AB295" i="33"/>
  <c r="AC295" i="33"/>
  <c r="X295" i="33"/>
  <c r="Y295" i="33"/>
  <c r="AA295" i="33"/>
  <c r="O295" i="33"/>
  <c r="P295" i="33"/>
  <c r="Q295" i="33"/>
  <c r="R295" i="33"/>
  <c r="S295" i="33"/>
  <c r="T295" i="33"/>
  <c r="U295" i="33"/>
  <c r="W277" i="33"/>
  <c r="X277" i="33"/>
  <c r="Z277" i="33"/>
  <c r="AA277" i="33"/>
  <c r="AB277" i="33"/>
  <c r="Y277" i="33"/>
  <c r="AC277" i="33"/>
  <c r="T277" i="33"/>
  <c r="U277" i="33"/>
  <c r="O277" i="33"/>
  <c r="P277" i="33"/>
  <c r="Q277" i="33"/>
  <c r="R277" i="33"/>
  <c r="S277" i="33"/>
  <c r="I264" i="33"/>
  <c r="J264" i="33"/>
  <c r="I253" i="33"/>
  <c r="J253" i="33"/>
  <c r="G211" i="33"/>
  <c r="H211" i="33"/>
  <c r="H162" i="33"/>
  <c r="W28" i="33"/>
  <c r="X28" i="33"/>
  <c r="Y28" i="33"/>
  <c r="Z28" i="33"/>
  <c r="AA28" i="33"/>
  <c r="AB28" i="33"/>
  <c r="AC28" i="33"/>
  <c r="O28" i="33"/>
  <c r="P28" i="33"/>
  <c r="Q28" i="33"/>
  <c r="S28" i="33"/>
  <c r="T28" i="33"/>
  <c r="U28" i="33"/>
  <c r="R28" i="33"/>
  <c r="U648" i="33"/>
  <c r="O563" i="33"/>
  <c r="S373" i="33"/>
  <c r="W618" i="33"/>
  <c r="X618" i="33"/>
  <c r="Y618" i="33"/>
  <c r="Z618" i="33"/>
  <c r="AA618" i="33"/>
  <c r="AB618" i="33"/>
  <c r="AC618" i="33"/>
  <c r="T618" i="33"/>
  <c r="U618" i="33"/>
  <c r="O618" i="33"/>
  <c r="P618" i="33"/>
  <c r="Q618" i="33"/>
  <c r="G76" i="33"/>
  <c r="H76" i="33"/>
  <c r="I665" i="33"/>
  <c r="W646" i="33"/>
  <c r="X646" i="33"/>
  <c r="Y646" i="33"/>
  <c r="Z646" i="33"/>
  <c r="AA646" i="33"/>
  <c r="AB646" i="33"/>
  <c r="AC646" i="33"/>
  <c r="O646" i="33"/>
  <c r="P646" i="33"/>
  <c r="Q646" i="33"/>
  <c r="R646" i="33"/>
  <c r="S646" i="33"/>
  <c r="T646" i="33"/>
  <c r="U646" i="33"/>
  <c r="I638" i="33"/>
  <c r="K601" i="33"/>
  <c r="G574" i="33"/>
  <c r="K569" i="33"/>
  <c r="AA555" i="33"/>
  <c r="AB555" i="33"/>
  <c r="W555" i="33"/>
  <c r="X555" i="33"/>
  <c r="Y555" i="33"/>
  <c r="Z555" i="33"/>
  <c r="AC555" i="33"/>
  <c r="O555" i="33"/>
  <c r="P555" i="33"/>
  <c r="Q555" i="33"/>
  <c r="R555" i="33"/>
  <c r="S555" i="33"/>
  <c r="T555" i="33"/>
  <c r="J551" i="33"/>
  <c r="J543" i="33"/>
  <c r="G534" i="33"/>
  <c r="W498" i="33"/>
  <c r="X498" i="33"/>
  <c r="Y498" i="33"/>
  <c r="Z498" i="33"/>
  <c r="AA498" i="33"/>
  <c r="AB498" i="33"/>
  <c r="AC498" i="33"/>
  <c r="O498" i="33"/>
  <c r="P498" i="33"/>
  <c r="Q498" i="33"/>
  <c r="R498" i="33"/>
  <c r="T498" i="33"/>
  <c r="U498" i="33"/>
  <c r="S498" i="33"/>
  <c r="AA480" i="33"/>
  <c r="AB480" i="33"/>
  <c r="AC480" i="33"/>
  <c r="W480" i="33"/>
  <c r="X480" i="33"/>
  <c r="Y480" i="33"/>
  <c r="Z480" i="33"/>
  <c r="O480" i="33"/>
  <c r="P480" i="33"/>
  <c r="R480" i="33"/>
  <c r="S480" i="33"/>
  <c r="T480" i="33"/>
  <c r="U480" i="33"/>
  <c r="Q480" i="33"/>
  <c r="W462" i="33"/>
  <c r="X462" i="33"/>
  <c r="Y462" i="33"/>
  <c r="Z462" i="33"/>
  <c r="AA462" i="33"/>
  <c r="AB462" i="33"/>
  <c r="AC462" i="33"/>
  <c r="O462" i="33"/>
  <c r="P462" i="33"/>
  <c r="Q462" i="33"/>
  <c r="R462" i="33"/>
  <c r="S462" i="33"/>
  <c r="T462" i="33"/>
  <c r="U462" i="33"/>
  <c r="J458" i="33"/>
  <c r="X440" i="33"/>
  <c r="Y440" i="33"/>
  <c r="Z440" i="33"/>
  <c r="AA440" i="33"/>
  <c r="AB440" i="33"/>
  <c r="AC440" i="33"/>
  <c r="W440" i="33"/>
  <c r="Q440" i="33"/>
  <c r="R440" i="33"/>
  <c r="S440" i="33"/>
  <c r="T440" i="33"/>
  <c r="U440" i="33"/>
  <c r="G422" i="33"/>
  <c r="W417" i="33"/>
  <c r="X417" i="33"/>
  <c r="Y417" i="33"/>
  <c r="Z417" i="33"/>
  <c r="AA417" i="33"/>
  <c r="AB417" i="33"/>
  <c r="AC417" i="33"/>
  <c r="O417" i="33"/>
  <c r="P417" i="33"/>
  <c r="Q417" i="33"/>
  <c r="R417" i="33"/>
  <c r="S417" i="33"/>
  <c r="T417" i="33"/>
  <c r="U417" i="33"/>
  <c r="W408" i="33"/>
  <c r="X408" i="33"/>
  <c r="Y408" i="33"/>
  <c r="Z408" i="33"/>
  <c r="AA408" i="33"/>
  <c r="AB408" i="33"/>
  <c r="AC408" i="33"/>
  <c r="O408" i="33"/>
  <c r="P408" i="33"/>
  <c r="Q408" i="33"/>
  <c r="R408" i="33"/>
  <c r="S408" i="33"/>
  <c r="T408" i="33"/>
  <c r="U408" i="33"/>
  <c r="J404" i="33"/>
  <c r="K399" i="33"/>
  <c r="K395" i="33"/>
  <c r="I382" i="33"/>
  <c r="K364" i="33"/>
  <c r="Z354" i="33"/>
  <c r="AC354" i="33"/>
  <c r="Y354" i="33"/>
  <c r="AB354" i="33"/>
  <c r="W354" i="33"/>
  <c r="X354" i="33"/>
  <c r="AA354" i="33"/>
  <c r="O354" i="33"/>
  <c r="P354" i="33"/>
  <c r="Q354" i="33"/>
  <c r="R354" i="33"/>
  <c r="S354" i="33"/>
  <c r="T354" i="33"/>
  <c r="U354" i="33"/>
  <c r="K350" i="33"/>
  <c r="AB340" i="33"/>
  <c r="W340" i="33"/>
  <c r="X340" i="33"/>
  <c r="Y340" i="33"/>
  <c r="Z340" i="33"/>
  <c r="AA340" i="33"/>
  <c r="AC340" i="33"/>
  <c r="O340" i="33"/>
  <c r="P340" i="33"/>
  <c r="Q340" i="33"/>
  <c r="R340" i="33"/>
  <c r="S340" i="33"/>
  <c r="T340" i="33"/>
  <c r="U340" i="33"/>
  <c r="H291" i="33"/>
  <c r="W263" i="33"/>
  <c r="Y263" i="33"/>
  <c r="Z263" i="33"/>
  <c r="AB263" i="33"/>
  <c r="AC263" i="33"/>
  <c r="X263" i="33"/>
  <c r="AA263" i="33"/>
  <c r="O263" i="33"/>
  <c r="P263" i="33"/>
  <c r="Q263" i="33"/>
  <c r="R263" i="33"/>
  <c r="S263" i="33"/>
  <c r="T263" i="33"/>
  <c r="U263" i="33"/>
  <c r="K258" i="33"/>
  <c r="I242" i="33"/>
  <c r="J242" i="33"/>
  <c r="I162" i="33"/>
  <c r="K93" i="33"/>
  <c r="O644" i="33"/>
  <c r="O556" i="33"/>
  <c r="P331" i="33"/>
  <c r="Y537" i="33"/>
  <c r="Z537" i="33"/>
  <c r="AC537" i="33"/>
  <c r="W537" i="33"/>
  <c r="X537" i="33"/>
  <c r="AA537" i="33"/>
  <c r="AB537" i="33"/>
  <c r="O537" i="33"/>
  <c r="P537" i="33"/>
  <c r="Q537" i="33"/>
  <c r="R537" i="33"/>
  <c r="S537" i="33"/>
  <c r="T537" i="33"/>
  <c r="U537" i="33"/>
  <c r="W439" i="33"/>
  <c r="X439" i="33"/>
  <c r="Y439" i="33"/>
  <c r="Z439" i="33"/>
  <c r="AA439" i="33"/>
  <c r="AB439" i="33"/>
  <c r="AC439" i="33"/>
  <c r="O439" i="33"/>
  <c r="P439" i="33"/>
  <c r="Q439" i="33"/>
  <c r="S439" i="33"/>
  <c r="R439" i="33"/>
  <c r="T439" i="33"/>
  <c r="U439" i="33"/>
  <c r="W636" i="33"/>
  <c r="X636" i="33"/>
  <c r="Y636" i="33"/>
  <c r="Z636" i="33"/>
  <c r="AA636" i="33"/>
  <c r="AB636" i="33"/>
  <c r="AC636" i="33"/>
  <c r="O636" i="33"/>
  <c r="P636" i="33"/>
  <c r="Q636" i="33"/>
  <c r="R636" i="33"/>
  <c r="S636" i="33"/>
  <c r="T636" i="33"/>
  <c r="U636" i="33"/>
  <c r="AB532" i="33"/>
  <c r="AC532" i="33"/>
  <c r="W532" i="33"/>
  <c r="X532" i="33"/>
  <c r="Y532" i="33"/>
  <c r="Z532" i="33"/>
  <c r="AA532" i="33"/>
  <c r="O532" i="33"/>
  <c r="P532" i="33"/>
  <c r="Q532" i="33"/>
  <c r="R532" i="33"/>
  <c r="S532" i="33"/>
  <c r="T532" i="33"/>
  <c r="U532" i="33"/>
  <c r="AB678" i="33"/>
  <c r="AC678" i="33"/>
  <c r="W678" i="33"/>
  <c r="X678" i="33"/>
  <c r="Y678" i="33"/>
  <c r="Z678" i="33"/>
  <c r="AA678" i="33"/>
  <c r="O678" i="33"/>
  <c r="P678" i="33"/>
  <c r="Q678" i="33"/>
  <c r="R678" i="33"/>
  <c r="S678" i="33"/>
  <c r="T678" i="33"/>
  <c r="I670" i="33"/>
  <c r="X664" i="33"/>
  <c r="Y664" i="33"/>
  <c r="Z664" i="33"/>
  <c r="AA664" i="33"/>
  <c r="AB664" i="33"/>
  <c r="AC664" i="33"/>
  <c r="W664" i="33"/>
  <c r="P664" i="33"/>
  <c r="Q664" i="33"/>
  <c r="R664" i="33"/>
  <c r="S664" i="33"/>
  <c r="T664" i="33"/>
  <c r="U664" i="33"/>
  <c r="K660" i="33"/>
  <c r="W637" i="33"/>
  <c r="X637" i="33"/>
  <c r="Y637" i="33"/>
  <c r="Z637" i="33"/>
  <c r="AA637" i="33"/>
  <c r="AB637" i="33"/>
  <c r="AC637" i="33"/>
  <c r="O637" i="33"/>
  <c r="P637" i="33"/>
  <c r="Q637" i="33"/>
  <c r="R637" i="33"/>
  <c r="S637" i="33"/>
  <c r="T637" i="33"/>
  <c r="U637" i="33"/>
  <c r="I633" i="33"/>
  <c r="I606" i="33"/>
  <c r="G601" i="33"/>
  <c r="I596" i="33"/>
  <c r="I574" i="33"/>
  <c r="G569" i="33"/>
  <c r="W542" i="33"/>
  <c r="Z542" i="33"/>
  <c r="X542" i="33"/>
  <c r="Y542" i="33"/>
  <c r="AA542" i="33"/>
  <c r="AB542" i="33"/>
  <c r="AC542" i="33"/>
  <c r="S542" i="33"/>
  <c r="T542" i="33"/>
  <c r="U542" i="33"/>
  <c r="P542" i="33"/>
  <c r="Q542" i="33"/>
  <c r="R542" i="33"/>
  <c r="I534" i="33"/>
  <c r="K529" i="33"/>
  <c r="G485" i="33"/>
  <c r="K476" i="33"/>
  <c r="G445" i="33"/>
  <c r="K417" i="33"/>
  <c r="G399" i="33"/>
  <c r="AC381" i="33"/>
  <c r="W381" i="33"/>
  <c r="Y381" i="33"/>
  <c r="X381" i="33"/>
  <c r="Z381" i="33"/>
  <c r="AA381" i="33"/>
  <c r="AB381" i="33"/>
  <c r="O381" i="33"/>
  <c r="P381" i="33"/>
  <c r="Q381" i="33"/>
  <c r="R381" i="33"/>
  <c r="S381" i="33"/>
  <c r="T381" i="33"/>
  <c r="U381" i="33"/>
  <c r="G364" i="33"/>
  <c r="J359" i="33"/>
  <c r="H345" i="33"/>
  <c r="J299" i="33"/>
  <c r="H258" i="33"/>
  <c r="H252" i="33"/>
  <c r="J252" i="33"/>
  <c r="I247" i="33"/>
  <c r="J247" i="33"/>
  <c r="W241" i="33"/>
  <c r="X241" i="33"/>
  <c r="AA241" i="33"/>
  <c r="Y241" i="33"/>
  <c r="Z241" i="33"/>
  <c r="AB241" i="33"/>
  <c r="AC241" i="33"/>
  <c r="O241" i="33"/>
  <c r="P241" i="33"/>
  <c r="Q241" i="33"/>
  <c r="R241" i="33"/>
  <c r="S241" i="33"/>
  <c r="T241" i="33"/>
  <c r="U241" i="33"/>
  <c r="W210" i="33"/>
  <c r="X210" i="33"/>
  <c r="Y210" i="33"/>
  <c r="Z210" i="33"/>
  <c r="AA210" i="33"/>
  <c r="AB210" i="33"/>
  <c r="AC210" i="33"/>
  <c r="U210" i="33"/>
  <c r="O210" i="33"/>
  <c r="P210" i="33"/>
  <c r="Q210" i="33"/>
  <c r="R210" i="33"/>
  <c r="S210" i="33"/>
  <c r="T210" i="33"/>
  <c r="G59" i="33"/>
  <c r="H59" i="33"/>
  <c r="U643" i="33"/>
  <c r="U555" i="33"/>
  <c r="O331" i="33"/>
  <c r="H187" i="33"/>
  <c r="J187" i="33"/>
  <c r="K568" i="33"/>
  <c r="W669" i="33"/>
  <c r="X669" i="33"/>
  <c r="Y669" i="33"/>
  <c r="AA669" i="33"/>
  <c r="AB669" i="33"/>
  <c r="AC669" i="33"/>
  <c r="Z669" i="33"/>
  <c r="P669" i="33"/>
  <c r="Q669" i="33"/>
  <c r="R669" i="33"/>
  <c r="S669" i="33"/>
  <c r="T669" i="33"/>
  <c r="U669" i="33"/>
  <c r="X632" i="33"/>
  <c r="Y632" i="33"/>
  <c r="Z632" i="33"/>
  <c r="AA632" i="33"/>
  <c r="AB632" i="33"/>
  <c r="AC632" i="33"/>
  <c r="W632" i="33"/>
  <c r="O632" i="33"/>
  <c r="P632" i="33"/>
  <c r="Q632" i="33"/>
  <c r="R632" i="33"/>
  <c r="S632" i="33"/>
  <c r="T632" i="33"/>
  <c r="U632" i="33"/>
  <c r="W614" i="33"/>
  <c r="X614" i="33"/>
  <c r="Y614" i="33"/>
  <c r="Z614" i="33"/>
  <c r="AA614" i="33"/>
  <c r="AB614" i="33"/>
  <c r="AC614" i="33"/>
  <c r="O614" i="33"/>
  <c r="P614" i="33"/>
  <c r="Q614" i="33"/>
  <c r="R614" i="33"/>
  <c r="S614" i="33"/>
  <c r="T614" i="33"/>
  <c r="U614" i="33"/>
  <c r="W605" i="33"/>
  <c r="X605" i="33"/>
  <c r="Y605" i="33"/>
  <c r="Z605" i="33"/>
  <c r="AA605" i="33"/>
  <c r="AB605" i="33"/>
  <c r="AC605" i="33"/>
  <c r="O605" i="33"/>
  <c r="P605" i="33"/>
  <c r="Q605" i="33"/>
  <c r="R605" i="33"/>
  <c r="S605" i="33"/>
  <c r="T605" i="33"/>
  <c r="U605" i="33"/>
  <c r="I601" i="33"/>
  <c r="W582" i="33"/>
  <c r="X582" i="33"/>
  <c r="Y582" i="33"/>
  <c r="Z582" i="33"/>
  <c r="AA582" i="33"/>
  <c r="AB582" i="33"/>
  <c r="AC582" i="33"/>
  <c r="O582" i="33"/>
  <c r="P582" i="33"/>
  <c r="Q582" i="33"/>
  <c r="R582" i="33"/>
  <c r="S582" i="33"/>
  <c r="T582" i="33"/>
  <c r="U582" i="33"/>
  <c r="Y573" i="33"/>
  <c r="Z573" i="33"/>
  <c r="AA573" i="33"/>
  <c r="AB573" i="33"/>
  <c r="AC573" i="33"/>
  <c r="W573" i="33"/>
  <c r="X573" i="33"/>
  <c r="O573" i="33"/>
  <c r="P573" i="33"/>
  <c r="Q573" i="33"/>
  <c r="R573" i="33"/>
  <c r="S573" i="33"/>
  <c r="T573" i="33"/>
  <c r="U573" i="33"/>
  <c r="I569" i="33"/>
  <c r="J555" i="33"/>
  <c r="H551" i="33"/>
  <c r="Y533" i="33"/>
  <c r="W533" i="33"/>
  <c r="X533" i="33"/>
  <c r="Z533" i="33"/>
  <c r="AA533" i="33"/>
  <c r="AB533" i="33"/>
  <c r="AC533" i="33"/>
  <c r="R533" i="33"/>
  <c r="S533" i="33"/>
  <c r="T533" i="33"/>
  <c r="U533" i="33"/>
  <c r="O533" i="33"/>
  <c r="P533" i="33"/>
  <c r="Q533" i="33"/>
  <c r="X524" i="33"/>
  <c r="W524" i="33"/>
  <c r="Y524" i="33"/>
  <c r="Z524" i="33"/>
  <c r="AA524" i="33"/>
  <c r="AB524" i="33"/>
  <c r="AC524" i="33"/>
  <c r="Q524" i="33"/>
  <c r="R524" i="33"/>
  <c r="S524" i="33"/>
  <c r="T524" i="33"/>
  <c r="U524" i="33"/>
  <c r="O524" i="33"/>
  <c r="P524" i="33"/>
  <c r="W515" i="33"/>
  <c r="X515" i="33"/>
  <c r="Y515" i="33"/>
  <c r="Z515" i="33"/>
  <c r="AA515" i="33"/>
  <c r="AB515" i="33"/>
  <c r="AC515" i="33"/>
  <c r="P515" i="33"/>
  <c r="Q515" i="33"/>
  <c r="R515" i="33"/>
  <c r="S515" i="33"/>
  <c r="T515" i="33"/>
  <c r="U515" i="33"/>
  <c r="O515" i="33"/>
  <c r="W511" i="33"/>
  <c r="X511" i="33"/>
  <c r="Y511" i="33"/>
  <c r="Z511" i="33"/>
  <c r="AA511" i="33"/>
  <c r="AB511" i="33"/>
  <c r="AC511" i="33"/>
  <c r="O511" i="33"/>
  <c r="P511" i="33"/>
  <c r="Q511" i="33"/>
  <c r="R511" i="33"/>
  <c r="S511" i="33"/>
  <c r="T511" i="33"/>
  <c r="U511" i="33"/>
  <c r="J498" i="33"/>
  <c r="W489" i="33"/>
  <c r="X489" i="33"/>
  <c r="Y489" i="33"/>
  <c r="Z489" i="33"/>
  <c r="AA489" i="33"/>
  <c r="AB489" i="33"/>
  <c r="AC489" i="33"/>
  <c r="O489" i="33"/>
  <c r="P489" i="33"/>
  <c r="Q489" i="33"/>
  <c r="S489" i="33"/>
  <c r="T489" i="33"/>
  <c r="U489" i="33"/>
  <c r="R489" i="33"/>
  <c r="J480" i="33"/>
  <c r="H476" i="33"/>
  <c r="W471" i="33"/>
  <c r="X471" i="33"/>
  <c r="Y471" i="33"/>
  <c r="Z471" i="33"/>
  <c r="AA471" i="33"/>
  <c r="AB471" i="33"/>
  <c r="AC471" i="33"/>
  <c r="O471" i="33"/>
  <c r="Q471" i="33"/>
  <c r="R471" i="33"/>
  <c r="S471" i="33"/>
  <c r="T471" i="33"/>
  <c r="U471" i="33"/>
  <c r="P471" i="33"/>
  <c r="J462" i="33"/>
  <c r="H458" i="33"/>
  <c r="W453" i="33"/>
  <c r="X453" i="33"/>
  <c r="Y453" i="33"/>
  <c r="Z453" i="33"/>
  <c r="AA453" i="33"/>
  <c r="AB453" i="33"/>
  <c r="AC453" i="33"/>
  <c r="O453" i="33"/>
  <c r="P453" i="33"/>
  <c r="Q453" i="33"/>
  <c r="R453" i="33"/>
  <c r="S453" i="33"/>
  <c r="T453" i="33"/>
  <c r="I445" i="33"/>
  <c r="X435" i="33"/>
  <c r="Y435" i="33"/>
  <c r="Z435" i="33"/>
  <c r="AA435" i="33"/>
  <c r="AB435" i="33"/>
  <c r="AC435" i="33"/>
  <c r="W435" i="33"/>
  <c r="O435" i="33"/>
  <c r="P435" i="33"/>
  <c r="Q435" i="33"/>
  <c r="R435" i="33"/>
  <c r="S435" i="33"/>
  <c r="T435" i="33"/>
  <c r="U435" i="33"/>
  <c r="W421" i="33"/>
  <c r="X421" i="33"/>
  <c r="Y421" i="33"/>
  <c r="Z421" i="33"/>
  <c r="AA421" i="33"/>
  <c r="AB421" i="33"/>
  <c r="AC421" i="33"/>
  <c r="R421" i="33"/>
  <c r="S421" i="33"/>
  <c r="T421" i="33"/>
  <c r="U421" i="33"/>
  <c r="O421" i="33"/>
  <c r="P421" i="33"/>
  <c r="Q421" i="33"/>
  <c r="H417" i="33"/>
  <c r="G413" i="33"/>
  <c r="J408" i="33"/>
  <c r="I399" i="33"/>
  <c r="K377" i="33"/>
  <c r="K354" i="33"/>
  <c r="K340" i="33"/>
  <c r="H313" i="33"/>
  <c r="H308" i="33"/>
  <c r="K282" i="33"/>
  <c r="I258" i="33"/>
  <c r="X246" i="33"/>
  <c r="W246" i="33"/>
  <c r="Y246" i="33"/>
  <c r="Z246" i="33"/>
  <c r="AA246" i="33"/>
  <c r="AB246" i="33"/>
  <c r="AC246" i="33"/>
  <c r="P246" i="33"/>
  <c r="Q246" i="33"/>
  <c r="R246" i="33"/>
  <c r="S246" i="33"/>
  <c r="O246" i="33"/>
  <c r="T246" i="33"/>
  <c r="U246" i="33"/>
  <c r="I205" i="33"/>
  <c r="J205" i="33"/>
  <c r="I93" i="33"/>
  <c r="I59" i="33"/>
  <c r="U638" i="33"/>
  <c r="U549" i="33"/>
  <c r="S279" i="33"/>
  <c r="Y673" i="33"/>
  <c r="Z673" i="33"/>
  <c r="AA673" i="33"/>
  <c r="AB673" i="33"/>
  <c r="AC673" i="33"/>
  <c r="W673" i="33"/>
  <c r="X673" i="33"/>
  <c r="O673" i="33"/>
  <c r="P673" i="33"/>
  <c r="Q673" i="33"/>
  <c r="R673" i="33"/>
  <c r="S673" i="33"/>
  <c r="T673" i="33"/>
  <c r="K641" i="33"/>
  <c r="H637" i="33"/>
  <c r="J632" i="33"/>
  <c r="G610" i="33"/>
  <c r="W600" i="33"/>
  <c r="X600" i="33"/>
  <c r="Y600" i="33"/>
  <c r="Z600" i="33"/>
  <c r="AA600" i="33"/>
  <c r="AB600" i="33"/>
  <c r="AC600" i="33"/>
  <c r="O600" i="33"/>
  <c r="P600" i="33"/>
  <c r="Q600" i="33"/>
  <c r="R600" i="33"/>
  <c r="S600" i="33"/>
  <c r="T600" i="33"/>
  <c r="U600" i="33"/>
  <c r="G578" i="33"/>
  <c r="W568" i="33"/>
  <c r="X568" i="33"/>
  <c r="Y568" i="33"/>
  <c r="Z568" i="33"/>
  <c r="AA568" i="33"/>
  <c r="AB568" i="33"/>
  <c r="AC568" i="33"/>
  <c r="O568" i="33"/>
  <c r="P568" i="33"/>
  <c r="Q568" i="33"/>
  <c r="R568" i="33"/>
  <c r="S568" i="33"/>
  <c r="T568" i="33"/>
  <c r="J542" i="33"/>
  <c r="G524" i="33"/>
  <c r="K520" i="33"/>
  <c r="I511" i="33"/>
  <c r="W484" i="33"/>
  <c r="X484" i="33"/>
  <c r="Y484" i="33"/>
  <c r="Z484" i="33"/>
  <c r="AA484" i="33"/>
  <c r="AB484" i="33"/>
  <c r="AC484" i="33"/>
  <c r="O484" i="33"/>
  <c r="P484" i="33"/>
  <c r="Q484" i="33"/>
  <c r="R484" i="33"/>
  <c r="S484" i="33"/>
  <c r="T484" i="33"/>
  <c r="U484" i="33"/>
  <c r="H453" i="33"/>
  <c r="W444" i="33"/>
  <c r="X444" i="33"/>
  <c r="Y444" i="33"/>
  <c r="Z444" i="33"/>
  <c r="AA444" i="33"/>
  <c r="AB444" i="33"/>
  <c r="AC444" i="33"/>
  <c r="O444" i="33"/>
  <c r="P444" i="33"/>
  <c r="R444" i="33"/>
  <c r="Q444" i="33"/>
  <c r="S444" i="33"/>
  <c r="T444" i="33"/>
  <c r="U444" i="33"/>
  <c r="J435" i="33"/>
  <c r="J426" i="33"/>
  <c r="W398" i="33"/>
  <c r="X398" i="33"/>
  <c r="Y398" i="33"/>
  <c r="Z398" i="33"/>
  <c r="AA398" i="33"/>
  <c r="AB398" i="33"/>
  <c r="AC398" i="33"/>
  <c r="O398" i="33"/>
  <c r="P398" i="33"/>
  <c r="Q398" i="33"/>
  <c r="R398" i="33"/>
  <c r="S398" i="33"/>
  <c r="T398" i="33"/>
  <c r="U398" i="33"/>
  <c r="W385" i="33"/>
  <c r="X385" i="33"/>
  <c r="AB385" i="33"/>
  <c r="Y385" i="33"/>
  <c r="Z385" i="33"/>
  <c r="AA385" i="33"/>
  <c r="AC385" i="33"/>
  <c r="O385" i="33"/>
  <c r="P385" i="33"/>
  <c r="Q385" i="33"/>
  <c r="R385" i="33"/>
  <c r="S385" i="33"/>
  <c r="T385" i="33"/>
  <c r="U385" i="33"/>
  <c r="J381" i="33"/>
  <c r="AA363" i="33"/>
  <c r="Z363" i="33"/>
  <c r="AB363" i="33"/>
  <c r="AC363" i="33"/>
  <c r="W363" i="33"/>
  <c r="X363" i="33"/>
  <c r="Y363" i="33"/>
  <c r="T363" i="33"/>
  <c r="U363" i="33"/>
  <c r="O363" i="33"/>
  <c r="P363" i="33"/>
  <c r="Q363" i="33"/>
  <c r="R363" i="33"/>
  <c r="S363" i="33"/>
  <c r="H359" i="33"/>
  <c r="AC349" i="33"/>
  <c r="X349" i="33"/>
  <c r="Z349" i="33"/>
  <c r="AA349" i="33"/>
  <c r="AB349" i="33"/>
  <c r="W349" i="33"/>
  <c r="Y349" i="33"/>
  <c r="O349" i="33"/>
  <c r="P349" i="33"/>
  <c r="Q349" i="33"/>
  <c r="R349" i="33"/>
  <c r="S349" i="33"/>
  <c r="T349" i="33"/>
  <c r="U349" i="33"/>
  <c r="H321" i="33"/>
  <c r="J317" i="33"/>
  <c r="I313" i="33"/>
  <c r="J313" i="33"/>
  <c r="I308" i="33"/>
  <c r="W303" i="33"/>
  <c r="X303" i="33"/>
  <c r="Y303" i="33"/>
  <c r="Z303" i="33"/>
  <c r="AA303" i="33"/>
  <c r="AB303" i="33"/>
  <c r="AC303" i="33"/>
  <c r="R303" i="33"/>
  <c r="S303" i="33"/>
  <c r="T303" i="33"/>
  <c r="U303" i="33"/>
  <c r="O303" i="33"/>
  <c r="P303" i="33"/>
  <c r="Q303" i="33"/>
  <c r="G263" i="33"/>
  <c r="W257" i="33"/>
  <c r="X257" i="33"/>
  <c r="Y257" i="33"/>
  <c r="Z257" i="33"/>
  <c r="AA257" i="33"/>
  <c r="AB257" i="33"/>
  <c r="AC257" i="33"/>
  <c r="Q257" i="33"/>
  <c r="R257" i="33"/>
  <c r="S257" i="33"/>
  <c r="U257" i="33"/>
  <c r="O257" i="33"/>
  <c r="P257" i="33"/>
  <c r="T257" i="33"/>
  <c r="G241" i="33"/>
  <c r="I236" i="33"/>
  <c r="H188" i="33"/>
  <c r="R638" i="33"/>
  <c r="T549" i="33"/>
  <c r="T273" i="33"/>
  <c r="W466" i="33"/>
  <c r="X466" i="33"/>
  <c r="Y466" i="33"/>
  <c r="Z466" i="33"/>
  <c r="AA466" i="33"/>
  <c r="AB466" i="33"/>
  <c r="AC466" i="33"/>
  <c r="O466" i="33"/>
  <c r="P466" i="33"/>
  <c r="Q466" i="33"/>
  <c r="R466" i="33"/>
  <c r="S466" i="33"/>
  <c r="T466" i="33"/>
  <c r="U466" i="33"/>
  <c r="K385" i="33"/>
  <c r="H669" i="33"/>
  <c r="W659" i="33"/>
  <c r="X659" i="33"/>
  <c r="Y659" i="33"/>
  <c r="Z659" i="33"/>
  <c r="AA659" i="33"/>
  <c r="AB659" i="33"/>
  <c r="AC659" i="33"/>
  <c r="P659" i="33"/>
  <c r="Q659" i="33"/>
  <c r="R659" i="33"/>
  <c r="S659" i="33"/>
  <c r="T659" i="33"/>
  <c r="U659" i="33"/>
  <c r="W655" i="33"/>
  <c r="X655" i="33"/>
  <c r="Y655" i="33"/>
  <c r="Z655" i="33"/>
  <c r="AA655" i="33"/>
  <c r="AB655" i="33"/>
  <c r="AC655" i="33"/>
  <c r="O655" i="33"/>
  <c r="P655" i="33"/>
  <c r="Q655" i="33"/>
  <c r="R655" i="33"/>
  <c r="S655" i="33"/>
  <c r="T655" i="33"/>
  <c r="U655" i="33"/>
  <c r="AB650" i="33"/>
  <c r="AC650" i="33"/>
  <c r="W650" i="33"/>
  <c r="X650" i="33"/>
  <c r="Y650" i="33"/>
  <c r="Z650" i="33"/>
  <c r="AA650" i="33"/>
  <c r="O650" i="33"/>
  <c r="P650" i="33"/>
  <c r="Q650" i="33"/>
  <c r="R650" i="33"/>
  <c r="S650" i="33"/>
  <c r="T650" i="33"/>
  <c r="U650" i="33"/>
  <c r="G646" i="33"/>
  <c r="G637" i="33"/>
  <c r="I632" i="33"/>
  <c r="I610" i="33"/>
  <c r="H605" i="33"/>
  <c r="J600" i="33"/>
  <c r="W595" i="33"/>
  <c r="AA595" i="33"/>
  <c r="AB595" i="33"/>
  <c r="AC595" i="33"/>
  <c r="X595" i="33"/>
  <c r="Y595" i="33"/>
  <c r="Z595" i="33"/>
  <c r="O595" i="33"/>
  <c r="P595" i="33"/>
  <c r="Q595" i="33"/>
  <c r="R595" i="33"/>
  <c r="S595" i="33"/>
  <c r="T595" i="33"/>
  <c r="U595" i="33"/>
  <c r="W591" i="33"/>
  <c r="X591" i="33"/>
  <c r="Y591" i="33"/>
  <c r="Z591" i="33"/>
  <c r="AA591" i="33"/>
  <c r="AB591" i="33"/>
  <c r="AC591" i="33"/>
  <c r="O591" i="33"/>
  <c r="P591" i="33"/>
  <c r="Q591" i="33"/>
  <c r="R591" i="33"/>
  <c r="S591" i="33"/>
  <c r="T591" i="33"/>
  <c r="U591" i="33"/>
  <c r="I578" i="33"/>
  <c r="H573" i="33"/>
  <c r="H555" i="33"/>
  <c r="Z546" i="33"/>
  <c r="AA546" i="33"/>
  <c r="W546" i="33"/>
  <c r="X546" i="33"/>
  <c r="Y546" i="33"/>
  <c r="AB546" i="33"/>
  <c r="AC546" i="33"/>
  <c r="O546" i="33"/>
  <c r="P546" i="33"/>
  <c r="Q546" i="33"/>
  <c r="R546" i="33"/>
  <c r="S546" i="33"/>
  <c r="T546" i="33"/>
  <c r="U546" i="33"/>
  <c r="K533" i="33"/>
  <c r="X528" i="33"/>
  <c r="Y528" i="33"/>
  <c r="AB528" i="33"/>
  <c r="W528" i="33"/>
  <c r="Z528" i="33"/>
  <c r="AA528" i="33"/>
  <c r="AC528" i="33"/>
  <c r="U528" i="33"/>
  <c r="O528" i="33"/>
  <c r="P528" i="33"/>
  <c r="Q528" i="33"/>
  <c r="R528" i="33"/>
  <c r="S528" i="33"/>
  <c r="T528" i="33"/>
  <c r="J515" i="33"/>
  <c r="W502" i="33"/>
  <c r="X502" i="33"/>
  <c r="Y502" i="33"/>
  <c r="Z502" i="33"/>
  <c r="AA502" i="33"/>
  <c r="AB502" i="33"/>
  <c r="AC502" i="33"/>
  <c r="O502" i="33"/>
  <c r="P502" i="33"/>
  <c r="Q502" i="33"/>
  <c r="R502" i="33"/>
  <c r="S502" i="33"/>
  <c r="T502" i="33"/>
  <c r="U502" i="33"/>
  <c r="W493" i="33"/>
  <c r="X493" i="33"/>
  <c r="Y493" i="33"/>
  <c r="Z493" i="33"/>
  <c r="AA493" i="33"/>
  <c r="AB493" i="33"/>
  <c r="AC493" i="33"/>
  <c r="O493" i="33"/>
  <c r="P493" i="33"/>
  <c r="Q493" i="33"/>
  <c r="R493" i="33"/>
  <c r="S493" i="33"/>
  <c r="T493" i="33"/>
  <c r="U493" i="33"/>
  <c r="K489" i="33"/>
  <c r="H484" i="33"/>
  <c r="H480" i="33"/>
  <c r="AA475" i="33"/>
  <c r="AB475" i="33"/>
  <c r="AC475" i="33"/>
  <c r="W475" i="33"/>
  <c r="X475" i="33"/>
  <c r="Y475" i="33"/>
  <c r="Z475" i="33"/>
  <c r="O475" i="33"/>
  <c r="P475" i="33"/>
  <c r="Q475" i="33"/>
  <c r="R475" i="33"/>
  <c r="S475" i="33"/>
  <c r="U475" i="33"/>
  <c r="T475" i="33"/>
  <c r="J471" i="33"/>
  <c r="H462" i="33"/>
  <c r="H444" i="33"/>
  <c r="G440" i="33"/>
  <c r="H435" i="33"/>
  <c r="X430" i="33"/>
  <c r="Y430" i="33"/>
  <c r="Z430" i="33"/>
  <c r="AA430" i="33"/>
  <c r="AB430" i="33"/>
  <c r="AC430" i="33"/>
  <c r="W430" i="33"/>
  <c r="O430" i="33"/>
  <c r="P430" i="33"/>
  <c r="Q430" i="33"/>
  <c r="R430" i="33"/>
  <c r="S430" i="33"/>
  <c r="T430" i="33"/>
  <c r="U430" i="33"/>
  <c r="H421" i="33"/>
  <c r="W412" i="33"/>
  <c r="X412" i="33"/>
  <c r="Y412" i="33"/>
  <c r="Z412" i="33"/>
  <c r="AA412" i="33"/>
  <c r="AB412" i="33"/>
  <c r="AC412" i="33"/>
  <c r="O412" i="33"/>
  <c r="P412" i="33"/>
  <c r="Q412" i="33"/>
  <c r="R412" i="33"/>
  <c r="S412" i="33"/>
  <c r="T412" i="33"/>
  <c r="U412" i="33"/>
  <c r="H408" i="33"/>
  <c r="W403" i="33"/>
  <c r="X403" i="33"/>
  <c r="Y403" i="33"/>
  <c r="Z403" i="33"/>
  <c r="AA403" i="33"/>
  <c r="AB403" i="33"/>
  <c r="AC403" i="33"/>
  <c r="O403" i="33"/>
  <c r="P403" i="33"/>
  <c r="Q403" i="33"/>
  <c r="R403" i="33"/>
  <c r="S403" i="33"/>
  <c r="T403" i="33"/>
  <c r="U403" i="33"/>
  <c r="X390" i="33"/>
  <c r="Y390" i="33"/>
  <c r="AC390" i="33"/>
  <c r="W390" i="33"/>
  <c r="Z390" i="33"/>
  <c r="AA390" i="33"/>
  <c r="AB390" i="33"/>
  <c r="O390" i="33"/>
  <c r="P390" i="33"/>
  <c r="Q390" i="33"/>
  <c r="R390" i="33"/>
  <c r="S390" i="33"/>
  <c r="T390" i="33"/>
  <c r="U390" i="33"/>
  <c r="H385" i="33"/>
  <c r="I377" i="33"/>
  <c r="G335" i="33"/>
  <c r="H335" i="33"/>
  <c r="Y326" i="33"/>
  <c r="Z326" i="33"/>
  <c r="AA326" i="33"/>
  <c r="AB326" i="33"/>
  <c r="AC326" i="33"/>
  <c r="W326" i="33"/>
  <c r="X326" i="33"/>
  <c r="O326" i="33"/>
  <c r="P326" i="33"/>
  <c r="Q326" i="33"/>
  <c r="R326" i="33"/>
  <c r="S326" i="33"/>
  <c r="T326" i="33"/>
  <c r="U326" i="33"/>
  <c r="W312" i="33"/>
  <c r="X312" i="33"/>
  <c r="Y312" i="33"/>
  <c r="Z312" i="33"/>
  <c r="AA312" i="33"/>
  <c r="AB312" i="33"/>
  <c r="AC312" i="33"/>
  <c r="O312" i="33"/>
  <c r="P312" i="33"/>
  <c r="Q312" i="33"/>
  <c r="R312" i="33"/>
  <c r="S312" i="33"/>
  <c r="T312" i="33"/>
  <c r="U312" i="33"/>
  <c r="W307" i="33"/>
  <c r="X307" i="33"/>
  <c r="Y307" i="33"/>
  <c r="Z307" i="33"/>
  <c r="AA307" i="33"/>
  <c r="AB307" i="33"/>
  <c r="AC307" i="33"/>
  <c r="O307" i="33"/>
  <c r="P307" i="33"/>
  <c r="Q307" i="33"/>
  <c r="R307" i="33"/>
  <c r="S307" i="33"/>
  <c r="T307" i="33"/>
  <c r="U307" i="33"/>
  <c r="J282" i="33"/>
  <c r="Z235" i="33"/>
  <c r="AA235" i="33"/>
  <c r="AB235" i="33"/>
  <c r="AC235" i="33"/>
  <c r="W235" i="33"/>
  <c r="X235" i="33"/>
  <c r="Y235" i="33"/>
  <c r="O235" i="33"/>
  <c r="Q235" i="33"/>
  <c r="P235" i="33"/>
  <c r="S235" i="33"/>
  <c r="T235" i="33"/>
  <c r="U235" i="33"/>
  <c r="R235" i="33"/>
  <c r="S633" i="33"/>
  <c r="O542" i="33"/>
  <c r="W663" i="33"/>
  <c r="X663" i="33"/>
  <c r="Y663" i="33"/>
  <c r="Z663" i="33"/>
  <c r="AA663" i="33"/>
  <c r="AB663" i="33"/>
  <c r="AC663" i="33"/>
  <c r="O663" i="33"/>
  <c r="P663" i="33"/>
  <c r="Q663" i="33"/>
  <c r="R663" i="33"/>
  <c r="S663" i="33"/>
  <c r="T663" i="33"/>
  <c r="W519" i="33"/>
  <c r="X519" i="33"/>
  <c r="AA519" i="33"/>
  <c r="Y519" i="33"/>
  <c r="Z519" i="33"/>
  <c r="AB519" i="33"/>
  <c r="AC519" i="33"/>
  <c r="T519" i="33"/>
  <c r="U519" i="33"/>
  <c r="O519" i="33"/>
  <c r="P519" i="33"/>
  <c r="Q519" i="33"/>
  <c r="R519" i="33"/>
  <c r="S519" i="33"/>
  <c r="G511" i="33"/>
  <c r="X425" i="33"/>
  <c r="Y425" i="33"/>
  <c r="Z425" i="33"/>
  <c r="AA425" i="33"/>
  <c r="AB425" i="33"/>
  <c r="AC425" i="33"/>
  <c r="W425" i="33"/>
  <c r="O425" i="33"/>
  <c r="Q425" i="33"/>
  <c r="P425" i="33"/>
  <c r="R425" i="33"/>
  <c r="S425" i="33"/>
  <c r="T425" i="33"/>
  <c r="W682" i="33"/>
  <c r="X682" i="33"/>
  <c r="Y682" i="33"/>
  <c r="Z682" i="33"/>
  <c r="AA682" i="33"/>
  <c r="AB682" i="33"/>
  <c r="AC682" i="33"/>
  <c r="O682" i="33"/>
  <c r="P682" i="33"/>
  <c r="Q682" i="33"/>
  <c r="R682" i="33"/>
  <c r="S682" i="33"/>
  <c r="T682" i="33"/>
  <c r="U682" i="33"/>
  <c r="G678" i="33"/>
  <c r="I674" i="33"/>
  <c r="G669" i="33"/>
  <c r="I655" i="33"/>
  <c r="I646" i="33"/>
  <c r="W641" i="33"/>
  <c r="X641" i="33"/>
  <c r="Y641" i="33"/>
  <c r="Z641" i="33"/>
  <c r="AA641" i="33"/>
  <c r="AB641" i="33"/>
  <c r="AC641" i="33"/>
  <c r="O641" i="33"/>
  <c r="P641" i="33"/>
  <c r="Q641" i="33"/>
  <c r="R641" i="33"/>
  <c r="S641" i="33"/>
  <c r="T641" i="33"/>
  <c r="U641" i="33"/>
  <c r="W627" i="33"/>
  <c r="X627" i="33"/>
  <c r="Y627" i="33"/>
  <c r="Z627" i="33"/>
  <c r="AA627" i="33"/>
  <c r="AB627" i="33"/>
  <c r="AC627" i="33"/>
  <c r="O627" i="33"/>
  <c r="P627" i="33"/>
  <c r="Q627" i="33"/>
  <c r="R627" i="33"/>
  <c r="S627" i="33"/>
  <c r="T627" i="33"/>
  <c r="U627" i="33"/>
  <c r="W623" i="33"/>
  <c r="X623" i="33"/>
  <c r="Y623" i="33"/>
  <c r="Z623" i="33"/>
  <c r="AA623" i="33"/>
  <c r="AB623" i="33"/>
  <c r="AC623" i="33"/>
  <c r="T623" i="33"/>
  <c r="U623" i="33"/>
  <c r="O623" i="33"/>
  <c r="P623" i="33"/>
  <c r="Q623" i="33"/>
  <c r="AC609" i="33"/>
  <c r="W609" i="33"/>
  <c r="X609" i="33"/>
  <c r="Z609" i="33"/>
  <c r="AB609" i="33"/>
  <c r="Y609" i="33"/>
  <c r="AA609" i="33"/>
  <c r="O609" i="33"/>
  <c r="P609" i="33"/>
  <c r="Q609" i="33"/>
  <c r="R609" i="33"/>
  <c r="S609" i="33"/>
  <c r="T609" i="33"/>
  <c r="U609" i="33"/>
  <c r="G605" i="33"/>
  <c r="I600" i="33"/>
  <c r="I591" i="33"/>
  <c r="W577" i="33"/>
  <c r="X577" i="33"/>
  <c r="Y577" i="33"/>
  <c r="Z577" i="33"/>
  <c r="AA577" i="33"/>
  <c r="AB577" i="33"/>
  <c r="AC577" i="33"/>
  <c r="O577" i="33"/>
  <c r="P577" i="33"/>
  <c r="Q577" i="33"/>
  <c r="R577" i="33"/>
  <c r="S577" i="33"/>
  <c r="T577" i="33"/>
  <c r="U577" i="33"/>
  <c r="G573" i="33"/>
  <c r="G498" i="33"/>
  <c r="K493" i="33"/>
  <c r="G489" i="33"/>
  <c r="K444" i="33"/>
  <c r="I440" i="33"/>
  <c r="I421" i="33"/>
  <c r="J412" i="33"/>
  <c r="J403" i="33"/>
  <c r="I395" i="33"/>
  <c r="J390" i="33"/>
  <c r="X376" i="33"/>
  <c r="W376" i="33"/>
  <c r="Y376" i="33"/>
  <c r="Z376" i="33"/>
  <c r="AA376" i="33"/>
  <c r="AB376" i="33"/>
  <c r="AC376" i="33"/>
  <c r="O376" i="33"/>
  <c r="P376" i="33"/>
  <c r="Q376" i="33"/>
  <c r="R376" i="33"/>
  <c r="S376" i="33"/>
  <c r="T376" i="33"/>
  <c r="U376" i="33"/>
  <c r="W367" i="33"/>
  <c r="X367" i="33"/>
  <c r="Y367" i="33"/>
  <c r="Z367" i="33"/>
  <c r="AA367" i="33"/>
  <c r="AB367" i="33"/>
  <c r="AC367" i="33"/>
  <c r="O367" i="33"/>
  <c r="P367" i="33"/>
  <c r="Q367" i="33"/>
  <c r="R367" i="33"/>
  <c r="S367" i="33"/>
  <c r="T367" i="33"/>
  <c r="U367" i="33"/>
  <c r="X353" i="33"/>
  <c r="Y353" i="33"/>
  <c r="Z353" i="33"/>
  <c r="AA353" i="33"/>
  <c r="AB353" i="33"/>
  <c r="W353" i="33"/>
  <c r="AC353" i="33"/>
  <c r="R353" i="33"/>
  <c r="S353" i="33"/>
  <c r="T353" i="33"/>
  <c r="U353" i="33"/>
  <c r="O353" i="33"/>
  <c r="P353" i="33"/>
  <c r="Q353" i="33"/>
  <c r="W344" i="33"/>
  <c r="Y344" i="33"/>
  <c r="Z344" i="33"/>
  <c r="AA344" i="33"/>
  <c r="AB344" i="33"/>
  <c r="X344" i="33"/>
  <c r="AC344" i="33"/>
  <c r="O344" i="33"/>
  <c r="P344" i="33"/>
  <c r="Q344" i="33"/>
  <c r="R344" i="33"/>
  <c r="S344" i="33"/>
  <c r="T344" i="33"/>
  <c r="U344" i="33"/>
  <c r="J307" i="33"/>
  <c r="J303" i="33"/>
  <c r="Y281" i="33"/>
  <c r="AA281" i="33"/>
  <c r="AB281" i="33"/>
  <c r="W281" i="33"/>
  <c r="X281" i="33"/>
  <c r="Z281" i="33"/>
  <c r="AC281" i="33"/>
  <c r="O281" i="33"/>
  <c r="P281" i="33"/>
  <c r="Q281" i="33"/>
  <c r="R281" i="33"/>
  <c r="S281" i="33"/>
  <c r="T281" i="33"/>
  <c r="U281" i="33"/>
  <c r="J263" i="33"/>
  <c r="W37" i="33"/>
  <c r="X37" i="33"/>
  <c r="Y37" i="33"/>
  <c r="Z37" i="33"/>
  <c r="AA37" i="33"/>
  <c r="AB37" i="33"/>
  <c r="AC37" i="33"/>
  <c r="T37" i="33"/>
  <c r="U37" i="33"/>
  <c r="O37" i="33"/>
  <c r="P37" i="33"/>
  <c r="Q37" i="33"/>
  <c r="R37" i="33"/>
  <c r="S37" i="33"/>
  <c r="R633" i="33"/>
  <c r="U541" i="33"/>
  <c r="W205" i="33"/>
  <c r="X205" i="33"/>
  <c r="Y205" i="33"/>
  <c r="Z205" i="33"/>
  <c r="AA205" i="33"/>
  <c r="AB205" i="33"/>
  <c r="AC205" i="33"/>
  <c r="O205" i="33"/>
  <c r="P205" i="33"/>
  <c r="Q205" i="33"/>
  <c r="R205" i="33"/>
  <c r="S205" i="33"/>
  <c r="T205" i="33"/>
  <c r="U205" i="33"/>
  <c r="Y191" i="33"/>
  <c r="Z191" i="33"/>
  <c r="AA191" i="33"/>
  <c r="W191" i="33"/>
  <c r="X191" i="33"/>
  <c r="AB191" i="33"/>
  <c r="AC191" i="33"/>
  <c r="Q191" i="33"/>
  <c r="R191" i="33"/>
  <c r="S191" i="33"/>
  <c r="T191" i="33"/>
  <c r="U191" i="33"/>
  <c r="O191" i="33"/>
  <c r="P191" i="33"/>
  <c r="K188" i="33"/>
  <c r="W179" i="33"/>
  <c r="X179" i="33"/>
  <c r="Y179" i="33"/>
  <c r="Z179" i="33"/>
  <c r="AA179" i="33"/>
  <c r="AB179" i="33"/>
  <c r="AC179" i="33"/>
  <c r="S179" i="33"/>
  <c r="T179" i="33"/>
  <c r="U179" i="33"/>
  <c r="O179" i="33"/>
  <c r="P179" i="33"/>
  <c r="Q179" i="33"/>
  <c r="R179" i="33"/>
  <c r="J157" i="33"/>
  <c r="H132" i="33"/>
  <c r="G127" i="33"/>
  <c r="K119" i="33"/>
  <c r="I110" i="33"/>
  <c r="W101" i="33"/>
  <c r="Y101" i="33"/>
  <c r="Z101" i="33"/>
  <c r="X101" i="33"/>
  <c r="AA101" i="33"/>
  <c r="AB101" i="33"/>
  <c r="AC101" i="33"/>
  <c r="U101" i="33"/>
  <c r="O101" i="33"/>
  <c r="P101" i="33"/>
  <c r="Q101" i="33"/>
  <c r="R101" i="33"/>
  <c r="S101" i="33"/>
  <c r="T101" i="33"/>
  <c r="K97" i="33"/>
  <c r="G93" i="33"/>
  <c r="Z75" i="33"/>
  <c r="AA75" i="33"/>
  <c r="AB75" i="33"/>
  <c r="AC75" i="33"/>
  <c r="W75" i="33"/>
  <c r="X75" i="33"/>
  <c r="Y75" i="33"/>
  <c r="O75" i="33"/>
  <c r="P75" i="33"/>
  <c r="Q75" i="33"/>
  <c r="R75" i="33"/>
  <c r="S75" i="33"/>
  <c r="T75" i="33"/>
  <c r="U75" i="33"/>
  <c r="H24" i="33"/>
  <c r="G259" i="33"/>
  <c r="W254" i="33"/>
  <c r="X254" i="33"/>
  <c r="Y254" i="33"/>
  <c r="AA254" i="33"/>
  <c r="AB254" i="33"/>
  <c r="AC254" i="33"/>
  <c r="Z254" i="33"/>
  <c r="O254" i="33"/>
  <c r="P254" i="33"/>
  <c r="Q254" i="33"/>
  <c r="R254" i="33"/>
  <c r="S254" i="33"/>
  <c r="T254" i="33"/>
  <c r="U254" i="33"/>
  <c r="J246" i="33"/>
  <c r="K241" i="33"/>
  <c r="G210" i="33"/>
  <c r="G197" i="33"/>
  <c r="X153" i="33"/>
  <c r="Y153" i="33"/>
  <c r="Z153" i="33"/>
  <c r="AA153" i="33"/>
  <c r="AB153" i="33"/>
  <c r="AC153" i="33"/>
  <c r="W153" i="33"/>
  <c r="O153" i="33"/>
  <c r="S153" i="33"/>
  <c r="T153" i="33"/>
  <c r="U153" i="33"/>
  <c r="P153" i="33"/>
  <c r="Q153" i="33"/>
  <c r="R153" i="33"/>
  <c r="W143" i="33"/>
  <c r="X143" i="33"/>
  <c r="Y143" i="33"/>
  <c r="Z143" i="33"/>
  <c r="AA143" i="33"/>
  <c r="AB143" i="33"/>
  <c r="AC143" i="33"/>
  <c r="O143" i="33"/>
  <c r="P143" i="33"/>
  <c r="Q143" i="33"/>
  <c r="S143" i="33"/>
  <c r="U143" i="33"/>
  <c r="R143" i="33"/>
  <c r="T143" i="33"/>
  <c r="H136" i="33"/>
  <c r="I132" i="33"/>
  <c r="W109" i="33"/>
  <c r="X109" i="33"/>
  <c r="Y109" i="33"/>
  <c r="Z109" i="33"/>
  <c r="AA109" i="33"/>
  <c r="AB109" i="33"/>
  <c r="AC109" i="33"/>
  <c r="U109" i="33"/>
  <c r="R109" i="33"/>
  <c r="S109" i="33"/>
  <c r="T109" i="33"/>
  <c r="K101" i="33"/>
  <c r="G97" i="33"/>
  <c r="K89" i="33"/>
  <c r="J79" i="33"/>
  <c r="K75" i="33"/>
  <c r="W62" i="33"/>
  <c r="X62" i="33"/>
  <c r="Y62" i="33"/>
  <c r="Z62" i="33"/>
  <c r="AA62" i="33"/>
  <c r="AB62" i="33"/>
  <c r="AC62" i="33"/>
  <c r="O62" i="33"/>
  <c r="Q62" i="33"/>
  <c r="R62" i="33"/>
  <c r="P62" i="33"/>
  <c r="T62" i="33"/>
  <c r="U62" i="33"/>
  <c r="S62" i="33"/>
  <c r="W58" i="33"/>
  <c r="X58" i="33"/>
  <c r="Y58" i="33"/>
  <c r="Z58" i="33"/>
  <c r="AA58" i="33"/>
  <c r="AB58" i="33"/>
  <c r="AC58" i="33"/>
  <c r="O58" i="33"/>
  <c r="Q58" i="33"/>
  <c r="R58" i="33"/>
  <c r="P58" i="33"/>
  <c r="S58" i="33"/>
  <c r="T58" i="33"/>
  <c r="U58" i="33"/>
  <c r="W54" i="33"/>
  <c r="X54" i="33"/>
  <c r="Y54" i="33"/>
  <c r="Z54" i="33"/>
  <c r="AA54" i="33"/>
  <c r="AB54" i="33"/>
  <c r="AC54" i="33"/>
  <c r="U54" i="33"/>
  <c r="O54" i="33"/>
  <c r="T54" i="33"/>
  <c r="P54" i="33"/>
  <c r="H37" i="33"/>
  <c r="I259" i="33"/>
  <c r="W222" i="33"/>
  <c r="X222" i="33"/>
  <c r="Y222" i="33"/>
  <c r="Z222" i="33"/>
  <c r="AA222" i="33"/>
  <c r="AB222" i="33"/>
  <c r="AC222" i="33"/>
  <c r="O222" i="33"/>
  <c r="P222" i="33"/>
  <c r="Q222" i="33"/>
  <c r="R222" i="33"/>
  <c r="S222" i="33"/>
  <c r="T222" i="33"/>
  <c r="U222" i="33"/>
  <c r="AC161" i="33"/>
  <c r="W161" i="33"/>
  <c r="X161" i="33"/>
  <c r="Y161" i="33"/>
  <c r="Z161" i="33"/>
  <c r="AA161" i="33"/>
  <c r="AB161" i="33"/>
  <c r="Q161" i="33"/>
  <c r="R161" i="33"/>
  <c r="S161" i="33"/>
  <c r="U161" i="33"/>
  <c r="O161" i="33"/>
  <c r="P161" i="33"/>
  <c r="T161" i="33"/>
  <c r="K143" i="33"/>
  <c r="Z139" i="33"/>
  <c r="AA139" i="33"/>
  <c r="AB139" i="33"/>
  <c r="AC139" i="33"/>
  <c r="W139" i="33"/>
  <c r="X139" i="33"/>
  <c r="Y139" i="33"/>
  <c r="O139" i="33"/>
  <c r="Q139" i="33"/>
  <c r="P139" i="33"/>
  <c r="R139" i="33"/>
  <c r="S139" i="33"/>
  <c r="T139" i="33"/>
  <c r="U139" i="33"/>
  <c r="W131" i="33"/>
  <c r="X131" i="33"/>
  <c r="Y131" i="33"/>
  <c r="Z131" i="33"/>
  <c r="AA131" i="33"/>
  <c r="AB131" i="33"/>
  <c r="AC131" i="33"/>
  <c r="T131" i="33"/>
  <c r="U131" i="33"/>
  <c r="O131" i="33"/>
  <c r="P131" i="33"/>
  <c r="Q131" i="33"/>
  <c r="R131" i="33"/>
  <c r="S131" i="33"/>
  <c r="W126" i="33"/>
  <c r="X126" i="33"/>
  <c r="Y126" i="33"/>
  <c r="Z126" i="33"/>
  <c r="AA126" i="33"/>
  <c r="AB126" i="33"/>
  <c r="AC126" i="33"/>
  <c r="R126" i="33"/>
  <c r="S126" i="33"/>
  <c r="T126" i="33"/>
  <c r="U126" i="33"/>
  <c r="O126" i="33"/>
  <c r="P126" i="33"/>
  <c r="Q126" i="33"/>
  <c r="K109" i="33"/>
  <c r="J101" i="33"/>
  <c r="I97" i="33"/>
  <c r="W92" i="33"/>
  <c r="X92" i="33"/>
  <c r="Y92" i="33"/>
  <c r="Z92" i="33"/>
  <c r="AA92" i="33"/>
  <c r="AB92" i="33"/>
  <c r="AC92" i="33"/>
  <c r="T92" i="33"/>
  <c r="U92" i="33"/>
  <c r="O92" i="33"/>
  <c r="S92" i="33"/>
  <c r="J75" i="33"/>
  <c r="W71" i="33"/>
  <c r="X71" i="33"/>
  <c r="Y71" i="33"/>
  <c r="Z71" i="33"/>
  <c r="AA71" i="33"/>
  <c r="AB71" i="33"/>
  <c r="AC71" i="33"/>
  <c r="O71" i="33"/>
  <c r="P71" i="33"/>
  <c r="Q71" i="33"/>
  <c r="S71" i="33"/>
  <c r="R71" i="33"/>
  <c r="T71" i="33"/>
  <c r="U71" i="33"/>
  <c r="I67" i="33"/>
  <c r="K58" i="33"/>
  <c r="W19" i="33"/>
  <c r="X19" i="33"/>
  <c r="Y19" i="33"/>
  <c r="Z19" i="33"/>
  <c r="AA19" i="33"/>
  <c r="AB19" i="33"/>
  <c r="AC19" i="33"/>
  <c r="O19" i="33"/>
  <c r="P19" i="33"/>
  <c r="Q19" i="33"/>
  <c r="R19" i="33"/>
  <c r="S19" i="33"/>
  <c r="T19" i="33"/>
  <c r="U19" i="33"/>
  <c r="J241" i="33"/>
  <c r="W196" i="33"/>
  <c r="X196" i="33"/>
  <c r="Y196" i="33"/>
  <c r="Z196" i="33"/>
  <c r="AA196" i="33"/>
  <c r="AB196" i="33"/>
  <c r="AC196" i="33"/>
  <c r="S196" i="33"/>
  <c r="T196" i="33"/>
  <c r="U196" i="33"/>
  <c r="O196" i="33"/>
  <c r="P196" i="33"/>
  <c r="Q196" i="33"/>
  <c r="R196" i="33"/>
  <c r="W187" i="33"/>
  <c r="X187" i="33"/>
  <c r="Y187" i="33"/>
  <c r="Z187" i="33"/>
  <c r="AA187" i="33"/>
  <c r="AB187" i="33"/>
  <c r="AC187" i="33"/>
  <c r="O187" i="33"/>
  <c r="P187" i="33"/>
  <c r="Q187" i="33"/>
  <c r="R187" i="33"/>
  <c r="S187" i="33"/>
  <c r="T187" i="33"/>
  <c r="U187" i="33"/>
  <c r="W174" i="33"/>
  <c r="X174" i="33"/>
  <c r="Y174" i="33"/>
  <c r="Z174" i="33"/>
  <c r="AA174" i="33"/>
  <c r="AB174" i="33"/>
  <c r="AC174" i="33"/>
  <c r="T174" i="33"/>
  <c r="U174" i="33"/>
  <c r="O174" i="33"/>
  <c r="P174" i="33"/>
  <c r="Q174" i="33"/>
  <c r="R174" i="33"/>
  <c r="S174" i="33"/>
  <c r="AC166" i="33"/>
  <c r="W166" i="33"/>
  <c r="X166" i="33"/>
  <c r="Y166" i="33"/>
  <c r="Z166" i="33"/>
  <c r="AA166" i="33"/>
  <c r="AB166" i="33"/>
  <c r="O166" i="33"/>
  <c r="P166" i="33"/>
  <c r="R166" i="33"/>
  <c r="T166" i="33"/>
  <c r="Q166" i="33"/>
  <c r="S166" i="33"/>
  <c r="U166" i="33"/>
  <c r="H153" i="33"/>
  <c r="K131" i="33"/>
  <c r="W122" i="33"/>
  <c r="X122" i="33"/>
  <c r="Y122" i="33"/>
  <c r="Z122" i="33"/>
  <c r="AA122" i="33"/>
  <c r="AB122" i="33"/>
  <c r="AC122" i="33"/>
  <c r="O122" i="33"/>
  <c r="P122" i="33"/>
  <c r="Q122" i="33"/>
  <c r="R122" i="33"/>
  <c r="S122" i="33"/>
  <c r="T122" i="33"/>
  <c r="U122" i="33"/>
  <c r="W118" i="33"/>
  <c r="X118" i="33"/>
  <c r="Y118" i="33"/>
  <c r="Z118" i="33"/>
  <c r="AA118" i="33"/>
  <c r="AB118" i="33"/>
  <c r="AC118" i="33"/>
  <c r="O118" i="33"/>
  <c r="P118" i="33"/>
  <c r="Q118" i="33"/>
  <c r="S118" i="33"/>
  <c r="T118" i="33"/>
  <c r="R118" i="33"/>
  <c r="U118" i="33"/>
  <c r="I101" i="33"/>
  <c r="W96" i="33"/>
  <c r="X96" i="33"/>
  <c r="Y96" i="33"/>
  <c r="Z96" i="33"/>
  <c r="AA96" i="33"/>
  <c r="AB96" i="33"/>
  <c r="AC96" i="33"/>
  <c r="O96" i="33"/>
  <c r="P96" i="33"/>
  <c r="Q96" i="33"/>
  <c r="R96" i="33"/>
  <c r="S96" i="33"/>
  <c r="T96" i="33"/>
  <c r="U96" i="33"/>
  <c r="J92" i="33"/>
  <c r="AA84" i="33"/>
  <c r="AB84" i="33"/>
  <c r="AC84" i="33"/>
  <c r="W84" i="33"/>
  <c r="X84" i="33"/>
  <c r="Y84" i="33"/>
  <c r="Z84" i="33"/>
  <c r="O84" i="33"/>
  <c r="P84" i="33"/>
  <c r="Q84" i="33"/>
  <c r="R84" i="33"/>
  <c r="U84" i="33"/>
  <c r="S84" i="33"/>
  <c r="T84" i="33"/>
  <c r="H79" i="33"/>
  <c r="I71" i="33"/>
  <c r="Y66" i="33"/>
  <c r="Z66" i="33"/>
  <c r="AA66" i="33"/>
  <c r="AB66" i="33"/>
  <c r="AC66" i="33"/>
  <c r="W66" i="33"/>
  <c r="X66" i="33"/>
  <c r="O66" i="33"/>
  <c r="P66" i="33"/>
  <c r="Q66" i="33"/>
  <c r="R66" i="33"/>
  <c r="S66" i="33"/>
  <c r="T66" i="33"/>
  <c r="U66" i="33"/>
  <c r="H62" i="33"/>
  <c r="J58" i="33"/>
  <c r="W49" i="33"/>
  <c r="X49" i="33"/>
  <c r="Y49" i="33"/>
  <c r="Z49" i="33"/>
  <c r="AA49" i="33"/>
  <c r="AB49" i="33"/>
  <c r="AC49" i="33"/>
  <c r="R49" i="33"/>
  <c r="S49" i="33"/>
  <c r="T49" i="33"/>
  <c r="U49" i="33"/>
  <c r="O49" i="33"/>
  <c r="P49" i="33"/>
  <c r="Q49" i="33"/>
  <c r="W41" i="33"/>
  <c r="X41" i="33"/>
  <c r="Y41" i="33"/>
  <c r="Z41" i="33"/>
  <c r="AA41" i="33"/>
  <c r="AB41" i="33"/>
  <c r="AC41" i="33"/>
  <c r="O41" i="33"/>
  <c r="P41" i="33"/>
  <c r="Q41" i="33"/>
  <c r="R41" i="33"/>
  <c r="S41" i="33"/>
  <c r="T41" i="33"/>
  <c r="U41" i="33"/>
  <c r="I32" i="33"/>
  <c r="K19" i="33"/>
  <c r="R185" i="33"/>
  <c r="W236" i="33"/>
  <c r="Y236" i="33"/>
  <c r="Z236" i="33"/>
  <c r="AA236" i="33"/>
  <c r="X236" i="33"/>
  <c r="AB236" i="33"/>
  <c r="AC236" i="33"/>
  <c r="O236" i="33"/>
  <c r="P236" i="33"/>
  <c r="Q236" i="33"/>
  <c r="R236" i="33"/>
  <c r="S236" i="33"/>
  <c r="T236" i="33"/>
  <c r="U236" i="33"/>
  <c r="X214" i="33"/>
  <c r="Y214" i="33"/>
  <c r="Z214" i="33"/>
  <c r="W214" i="33"/>
  <c r="AA214" i="33"/>
  <c r="AB214" i="33"/>
  <c r="AC214" i="33"/>
  <c r="O214" i="33"/>
  <c r="P214" i="33"/>
  <c r="Q214" i="33"/>
  <c r="R214" i="33"/>
  <c r="S214" i="33"/>
  <c r="T214" i="33"/>
  <c r="U214" i="33"/>
  <c r="X201" i="33"/>
  <c r="Y201" i="33"/>
  <c r="Z201" i="33"/>
  <c r="AA201" i="33"/>
  <c r="AB201" i="33"/>
  <c r="AC201" i="33"/>
  <c r="W201" i="33"/>
  <c r="U201" i="33"/>
  <c r="O201" i="33"/>
  <c r="P201" i="33"/>
  <c r="Q201" i="33"/>
  <c r="R201" i="33"/>
  <c r="S201" i="33"/>
  <c r="T201" i="33"/>
  <c r="K187" i="33"/>
  <c r="K174" i="33"/>
  <c r="AB170" i="33"/>
  <c r="AC170" i="33"/>
  <c r="W170" i="33"/>
  <c r="X170" i="33"/>
  <c r="Y170" i="33"/>
  <c r="Z170" i="33"/>
  <c r="AA170" i="33"/>
  <c r="R170" i="33"/>
  <c r="S170" i="33"/>
  <c r="T170" i="33"/>
  <c r="O170" i="33"/>
  <c r="P170" i="33"/>
  <c r="Q170" i="33"/>
  <c r="U170" i="33"/>
  <c r="I143" i="33"/>
  <c r="H126" i="33"/>
  <c r="W105" i="33"/>
  <c r="X105" i="33"/>
  <c r="Y105" i="33"/>
  <c r="Z105" i="33"/>
  <c r="AA105" i="33"/>
  <c r="AC105" i="33"/>
  <c r="AB105" i="33"/>
  <c r="O105" i="33"/>
  <c r="P105" i="33"/>
  <c r="Q105" i="33"/>
  <c r="R105" i="33"/>
  <c r="S105" i="33"/>
  <c r="T105" i="33"/>
  <c r="U105" i="33"/>
  <c r="K96" i="33"/>
  <c r="AB88" i="33"/>
  <c r="AC88" i="33"/>
  <c r="W88" i="33"/>
  <c r="X88" i="33"/>
  <c r="Y88" i="33"/>
  <c r="Z88" i="33"/>
  <c r="AA88" i="33"/>
  <c r="P88" i="33"/>
  <c r="Q88" i="33"/>
  <c r="R88" i="33"/>
  <c r="T88" i="33"/>
  <c r="O88" i="33"/>
  <c r="S88" i="33"/>
  <c r="U88" i="33"/>
  <c r="Q185" i="33"/>
  <c r="AC178" i="33"/>
  <c r="W178" i="33"/>
  <c r="X178" i="33"/>
  <c r="Y178" i="33"/>
  <c r="Z178" i="33"/>
  <c r="AA178" i="33"/>
  <c r="AB178" i="33"/>
  <c r="O178" i="33"/>
  <c r="P178" i="33"/>
  <c r="Q178" i="33"/>
  <c r="R178" i="33"/>
  <c r="S178" i="33"/>
  <c r="T178" i="33"/>
  <c r="U178" i="33"/>
  <c r="W113" i="33"/>
  <c r="X113" i="33"/>
  <c r="Y113" i="33"/>
  <c r="Z113" i="33"/>
  <c r="AA113" i="33"/>
  <c r="AB113" i="33"/>
  <c r="AC113" i="33"/>
  <c r="O113" i="33"/>
  <c r="Q113" i="33"/>
  <c r="R113" i="33"/>
  <c r="P113" i="33"/>
  <c r="S113" i="33"/>
  <c r="T113" i="33"/>
  <c r="U113" i="33"/>
  <c r="W27" i="33"/>
  <c r="X27" i="33"/>
  <c r="Y27" i="33"/>
  <c r="Z27" i="33"/>
  <c r="AA27" i="33"/>
  <c r="AB27" i="33"/>
  <c r="AC27" i="33"/>
  <c r="O27" i="33"/>
  <c r="P27" i="33"/>
  <c r="Q27" i="33"/>
  <c r="R27" i="33"/>
  <c r="S27" i="33"/>
  <c r="T27" i="33"/>
  <c r="U27" i="33"/>
  <c r="I24" i="33"/>
  <c r="J24" i="33"/>
  <c r="S259" i="33"/>
  <c r="K214" i="33"/>
  <c r="W209" i="33"/>
  <c r="X209" i="33"/>
  <c r="AA209" i="33"/>
  <c r="AB209" i="33"/>
  <c r="AC209" i="33"/>
  <c r="Y209" i="33"/>
  <c r="Z209" i="33"/>
  <c r="O209" i="33"/>
  <c r="P209" i="33"/>
  <c r="Q209" i="33"/>
  <c r="R209" i="33"/>
  <c r="S209" i="33"/>
  <c r="T209" i="33"/>
  <c r="U209" i="33"/>
  <c r="K196" i="33"/>
  <c r="I187" i="33"/>
  <c r="W183" i="33"/>
  <c r="X183" i="33"/>
  <c r="Y183" i="33"/>
  <c r="Z183" i="33"/>
  <c r="AA183" i="33"/>
  <c r="AB183" i="33"/>
  <c r="AC183" i="33"/>
  <c r="O183" i="33"/>
  <c r="P183" i="33"/>
  <c r="Q183" i="33"/>
  <c r="R183" i="33"/>
  <c r="S183" i="33"/>
  <c r="T183" i="33"/>
  <c r="U183" i="33"/>
  <c r="K178" i="33"/>
  <c r="W156" i="33"/>
  <c r="X156" i="33"/>
  <c r="Y156" i="33"/>
  <c r="Z156" i="33"/>
  <c r="AA156" i="33"/>
  <c r="AB156" i="33"/>
  <c r="AC156" i="33"/>
  <c r="T156" i="33"/>
  <c r="U156" i="33"/>
  <c r="O156" i="33"/>
  <c r="Q156" i="33"/>
  <c r="R156" i="33"/>
  <c r="P156" i="33"/>
  <c r="S156" i="33"/>
  <c r="AA148" i="33"/>
  <c r="AB148" i="33"/>
  <c r="AC148" i="33"/>
  <c r="W148" i="33"/>
  <c r="X148" i="33"/>
  <c r="Y148" i="33"/>
  <c r="Z148" i="33"/>
  <c r="P148" i="33"/>
  <c r="R148" i="33"/>
  <c r="O148" i="33"/>
  <c r="Q148" i="33"/>
  <c r="S148" i="33"/>
  <c r="T148" i="33"/>
  <c r="U148" i="33"/>
  <c r="W135" i="33"/>
  <c r="X135" i="33"/>
  <c r="Y135" i="33"/>
  <c r="Z135" i="33"/>
  <c r="AA135" i="33"/>
  <c r="AB135" i="33"/>
  <c r="AC135" i="33"/>
  <c r="P135" i="33"/>
  <c r="Q135" i="33"/>
  <c r="O135" i="33"/>
  <c r="R135" i="33"/>
  <c r="S135" i="33"/>
  <c r="T135" i="33"/>
  <c r="U135" i="33"/>
  <c r="K84" i="33"/>
  <c r="W53" i="33"/>
  <c r="X53" i="33"/>
  <c r="Y53" i="33"/>
  <c r="Z53" i="33"/>
  <c r="AA53" i="33"/>
  <c r="AB53" i="33"/>
  <c r="AC53" i="33"/>
  <c r="P53" i="33"/>
  <c r="Q53" i="33"/>
  <c r="O53" i="33"/>
  <c r="R53" i="33"/>
  <c r="S53" i="33"/>
  <c r="T53" i="33"/>
  <c r="U53" i="33"/>
  <c r="W44" i="33"/>
  <c r="X44" i="33"/>
  <c r="Y44" i="33"/>
  <c r="Z44" i="33"/>
  <c r="AA44" i="33"/>
  <c r="AB44" i="33"/>
  <c r="AC44" i="33"/>
  <c r="O44" i="33"/>
  <c r="P44" i="33"/>
  <c r="Q44" i="33"/>
  <c r="R44" i="33"/>
  <c r="S44" i="33"/>
  <c r="T44" i="33"/>
  <c r="U44" i="33"/>
  <c r="W36" i="33"/>
  <c r="X36" i="33"/>
  <c r="Y36" i="33"/>
  <c r="Z36" i="33"/>
  <c r="AA36" i="33"/>
  <c r="AB36" i="33"/>
  <c r="AC36" i="33"/>
  <c r="O36" i="33"/>
  <c r="P36" i="33"/>
  <c r="Q36" i="33"/>
  <c r="R36" i="33"/>
  <c r="S36" i="33"/>
  <c r="T36" i="33"/>
  <c r="U36" i="33"/>
  <c r="W31" i="33"/>
  <c r="X31" i="33"/>
  <c r="Y31" i="33"/>
  <c r="Z31" i="33"/>
  <c r="AA31" i="33"/>
  <c r="AB31" i="33"/>
  <c r="AC31" i="33"/>
  <c r="O31" i="33"/>
  <c r="P31" i="33"/>
  <c r="Q31" i="33"/>
  <c r="R31" i="33"/>
  <c r="S31" i="33"/>
  <c r="T31" i="33"/>
  <c r="U31" i="33"/>
  <c r="W23" i="33"/>
  <c r="X23" i="33"/>
  <c r="Y23" i="33"/>
  <c r="Z23" i="33"/>
  <c r="AA23" i="33"/>
  <c r="AB23" i="33"/>
  <c r="AC23" i="33"/>
  <c r="P23" i="33"/>
  <c r="Q23" i="33"/>
  <c r="R23" i="33"/>
  <c r="S23" i="33"/>
  <c r="T23" i="33"/>
  <c r="U23" i="33"/>
  <c r="O23" i="33"/>
  <c r="I19" i="33"/>
  <c r="R319" i="33"/>
  <c r="R259" i="33"/>
  <c r="S177" i="33"/>
  <c r="AB152" i="33"/>
  <c r="AC152" i="33"/>
  <c r="W152" i="33"/>
  <c r="X152" i="33"/>
  <c r="Y152" i="33"/>
  <c r="Z152" i="33"/>
  <c r="AA152" i="33"/>
  <c r="P152" i="33"/>
  <c r="Q152" i="33"/>
  <c r="R152" i="33"/>
  <c r="T152" i="33"/>
  <c r="Y130" i="33"/>
  <c r="Z130" i="33"/>
  <c r="AA130" i="33"/>
  <c r="AB130" i="33"/>
  <c r="AC130" i="33"/>
  <c r="W130" i="33"/>
  <c r="X130" i="33"/>
  <c r="P130" i="33"/>
  <c r="O130" i="33"/>
  <c r="Q130" i="33"/>
  <c r="R130" i="33"/>
  <c r="S130" i="33"/>
  <c r="T130" i="33"/>
  <c r="U130" i="33"/>
  <c r="K92" i="33"/>
  <c r="H84" i="33"/>
  <c r="I41" i="33"/>
  <c r="W18" i="33"/>
  <c r="X18" i="33"/>
  <c r="Y18" i="33"/>
  <c r="Z18" i="33"/>
  <c r="AA18" i="33"/>
  <c r="AB18" i="33"/>
  <c r="AC18" i="33"/>
  <c r="O18" i="33"/>
  <c r="P18" i="33"/>
  <c r="Q18" i="33"/>
  <c r="R18" i="33"/>
  <c r="S18" i="33"/>
  <c r="T18" i="33"/>
  <c r="U18" i="33"/>
  <c r="Q319" i="33"/>
  <c r="R177" i="33"/>
  <c r="K240" i="33"/>
  <c r="H236" i="33"/>
  <c r="G227" i="33"/>
  <c r="W204" i="33"/>
  <c r="X204" i="33"/>
  <c r="Y204" i="33"/>
  <c r="Z204" i="33"/>
  <c r="AA204" i="33"/>
  <c r="AB204" i="33"/>
  <c r="AC204" i="33"/>
  <c r="P204" i="33"/>
  <c r="S204" i="33"/>
  <c r="T204" i="33"/>
  <c r="U204" i="33"/>
  <c r="K201" i="33"/>
  <c r="W165" i="33"/>
  <c r="X165" i="33"/>
  <c r="Y165" i="33"/>
  <c r="Z165" i="33"/>
  <c r="AA165" i="33"/>
  <c r="AB165" i="33"/>
  <c r="AC165" i="33"/>
  <c r="U165" i="33"/>
  <c r="O165" i="33"/>
  <c r="P165" i="33"/>
  <c r="Q165" i="33"/>
  <c r="R165" i="33"/>
  <c r="S165" i="33"/>
  <c r="T165" i="33"/>
  <c r="X160" i="33"/>
  <c r="Y160" i="33"/>
  <c r="W160" i="33"/>
  <c r="Z160" i="33"/>
  <c r="AA160" i="33"/>
  <c r="AB160" i="33"/>
  <c r="AC160" i="33"/>
  <c r="O160" i="33"/>
  <c r="P160" i="33"/>
  <c r="Q160" i="33"/>
  <c r="R160" i="33"/>
  <c r="S160" i="33"/>
  <c r="T160" i="33"/>
  <c r="U160" i="33"/>
  <c r="H156" i="33"/>
  <c r="G135" i="33"/>
  <c r="I126" i="33"/>
  <c r="W117" i="33"/>
  <c r="X117" i="33"/>
  <c r="Y117" i="33"/>
  <c r="Z117" i="33"/>
  <c r="AA117" i="33"/>
  <c r="AB117" i="33"/>
  <c r="AC117" i="33"/>
  <c r="O117" i="33"/>
  <c r="P117" i="33"/>
  <c r="Q117" i="33"/>
  <c r="R117" i="33"/>
  <c r="S117" i="33"/>
  <c r="T117" i="33"/>
  <c r="U117" i="33"/>
  <c r="G113" i="33"/>
  <c r="I84" i="33"/>
  <c r="AB61" i="33"/>
  <c r="AC61" i="33"/>
  <c r="W61" i="33"/>
  <c r="X61" i="33"/>
  <c r="Y61" i="33"/>
  <c r="Z61" i="33"/>
  <c r="AA61" i="33"/>
  <c r="O61" i="33"/>
  <c r="P61" i="33"/>
  <c r="Q61" i="33"/>
  <c r="R61" i="33"/>
  <c r="S61" i="33"/>
  <c r="T61" i="33"/>
  <c r="U61" i="33"/>
  <c r="W40" i="33"/>
  <c r="X40" i="33"/>
  <c r="Y40" i="33"/>
  <c r="Z40" i="33"/>
  <c r="AA40" i="33"/>
  <c r="AB40" i="33"/>
  <c r="AC40" i="33"/>
  <c r="O40" i="33"/>
  <c r="Q40" i="33"/>
  <c r="R40" i="33"/>
  <c r="S40" i="33"/>
  <c r="T40" i="33"/>
  <c r="U40" i="33"/>
  <c r="P40" i="33"/>
  <c r="S252" i="33"/>
  <c r="K148" i="33"/>
  <c r="AB125" i="33"/>
  <c r="AC125" i="33"/>
  <c r="W125" i="33"/>
  <c r="X125" i="33"/>
  <c r="Y125" i="33"/>
  <c r="Z125" i="33"/>
  <c r="AA125" i="33"/>
  <c r="O125" i="33"/>
  <c r="Q125" i="33"/>
  <c r="S125" i="33"/>
  <c r="P125" i="33"/>
  <c r="R125" i="33"/>
  <c r="T125" i="33"/>
  <c r="U125" i="33"/>
  <c r="I113" i="33"/>
  <c r="W108" i="33"/>
  <c r="X108" i="33"/>
  <c r="Y108" i="33"/>
  <c r="Z108" i="33"/>
  <c r="AA108" i="33"/>
  <c r="AB108" i="33"/>
  <c r="AC108" i="33"/>
  <c r="O108" i="33"/>
  <c r="P108" i="33"/>
  <c r="R108" i="33"/>
  <c r="Q108" i="33"/>
  <c r="S108" i="33"/>
  <c r="T108" i="33"/>
  <c r="U108" i="33"/>
  <c r="W95" i="33"/>
  <c r="X95" i="33"/>
  <c r="Y95" i="33"/>
  <c r="Z95" i="33"/>
  <c r="AA95" i="33"/>
  <c r="AB95" i="33"/>
  <c r="AC95" i="33"/>
  <c r="O95" i="33"/>
  <c r="P95" i="33"/>
  <c r="Q95" i="33"/>
  <c r="R95" i="33"/>
  <c r="S95" i="33"/>
  <c r="T95" i="33"/>
  <c r="U95" i="33"/>
  <c r="W83" i="33"/>
  <c r="X83" i="33"/>
  <c r="Y83" i="33"/>
  <c r="Z83" i="33"/>
  <c r="AA83" i="33"/>
  <c r="AB83" i="33"/>
  <c r="AC83" i="33"/>
  <c r="S83" i="33"/>
  <c r="T83" i="33"/>
  <c r="U83" i="33"/>
  <c r="O83" i="33"/>
  <c r="P83" i="33"/>
  <c r="Q83" i="33"/>
  <c r="R83" i="33"/>
  <c r="W78" i="33"/>
  <c r="X78" i="33"/>
  <c r="Y78" i="33"/>
  <c r="Z78" i="33"/>
  <c r="AA78" i="33"/>
  <c r="AB78" i="33"/>
  <c r="AC78" i="33"/>
  <c r="O78" i="33"/>
  <c r="P78" i="33"/>
  <c r="Q78" i="33"/>
  <c r="R78" i="33"/>
  <c r="S78" i="33"/>
  <c r="T78" i="33"/>
  <c r="U78" i="33"/>
  <c r="AC70" i="33"/>
  <c r="Z70" i="33"/>
  <c r="AA70" i="33"/>
  <c r="AB70" i="33"/>
  <c r="W70" i="33"/>
  <c r="X70" i="33"/>
  <c r="Y70" i="33"/>
  <c r="O70" i="33"/>
  <c r="P70" i="33"/>
  <c r="Q70" i="33"/>
  <c r="R70" i="33"/>
  <c r="S70" i="33"/>
  <c r="T70" i="33"/>
  <c r="U70" i="33"/>
  <c r="W48" i="33"/>
  <c r="X48" i="33"/>
  <c r="Y48" i="33"/>
  <c r="Z48" i="33"/>
  <c r="AA48" i="33"/>
  <c r="AB48" i="33"/>
  <c r="AC48" i="33"/>
  <c r="O48" i="33"/>
  <c r="P48" i="33"/>
  <c r="Q48" i="33"/>
  <c r="S48" i="33"/>
  <c r="T48" i="33"/>
  <c r="R48" i="33"/>
  <c r="U48" i="33"/>
  <c r="K36" i="33"/>
  <c r="R252" i="33"/>
  <c r="T167" i="33"/>
  <c r="K183" i="33"/>
  <c r="W142" i="33"/>
  <c r="X142" i="33"/>
  <c r="Y142" i="33"/>
  <c r="Z142" i="33"/>
  <c r="AA142" i="33"/>
  <c r="AB142" i="33"/>
  <c r="AC142" i="33"/>
  <c r="Q142" i="33"/>
  <c r="R142" i="33"/>
  <c r="S142" i="33"/>
  <c r="T142" i="33"/>
  <c r="U142" i="33"/>
  <c r="O142" i="33"/>
  <c r="P142" i="33"/>
  <c r="W112" i="33"/>
  <c r="X112" i="33"/>
  <c r="Y112" i="33"/>
  <c r="Z112" i="33"/>
  <c r="AA112" i="33"/>
  <c r="AB112" i="33"/>
  <c r="AC112" i="33"/>
  <c r="O112" i="33"/>
  <c r="P112" i="33"/>
  <c r="Q112" i="33"/>
  <c r="R112" i="33"/>
  <c r="S112" i="33"/>
  <c r="T112" i="33"/>
  <c r="U112" i="33"/>
  <c r="W104" i="33"/>
  <c r="X104" i="33"/>
  <c r="Y104" i="33"/>
  <c r="Z104" i="33"/>
  <c r="AA104" i="33"/>
  <c r="AB104" i="33"/>
  <c r="AC104" i="33"/>
  <c r="S104" i="33"/>
  <c r="T104" i="33"/>
  <c r="U104" i="33"/>
  <c r="O104" i="33"/>
  <c r="P104" i="33"/>
  <c r="Q104" i="33"/>
  <c r="R104" i="33"/>
  <c r="W100" i="33"/>
  <c r="X100" i="33"/>
  <c r="Y100" i="33"/>
  <c r="Z100" i="33"/>
  <c r="AA100" i="33"/>
  <c r="AB100" i="33"/>
  <c r="AC100" i="33"/>
  <c r="O100" i="33"/>
  <c r="P100" i="33"/>
  <c r="Q100" i="33"/>
  <c r="R100" i="33"/>
  <c r="S100" i="33"/>
  <c r="T100" i="33"/>
  <c r="U100" i="33"/>
  <c r="W91" i="33"/>
  <c r="X91" i="33"/>
  <c r="Y91" i="33"/>
  <c r="Z91" i="33"/>
  <c r="AA91" i="33"/>
  <c r="AB91" i="33"/>
  <c r="AC91" i="33"/>
  <c r="O91" i="33"/>
  <c r="P91" i="33"/>
  <c r="Q91" i="33"/>
  <c r="R91" i="33"/>
  <c r="S91" i="33"/>
  <c r="U91" i="33"/>
  <c r="T91" i="33"/>
  <c r="W74" i="33"/>
  <c r="X74" i="33"/>
  <c r="Y74" i="33"/>
  <c r="Z74" i="33"/>
  <c r="AA74" i="33"/>
  <c r="AB74" i="33"/>
  <c r="AC74" i="33"/>
  <c r="R74" i="33"/>
  <c r="S74" i="33"/>
  <c r="T74" i="33"/>
  <c r="U74" i="33"/>
  <c r="P74" i="33"/>
  <c r="Q74" i="33"/>
  <c r="O74" i="33"/>
  <c r="X57" i="33"/>
  <c r="Y57" i="33"/>
  <c r="Z57" i="33"/>
  <c r="AA57" i="33"/>
  <c r="AB57" i="33"/>
  <c r="AC57" i="33"/>
  <c r="W57" i="33"/>
  <c r="O57" i="33"/>
  <c r="P57" i="33"/>
  <c r="Q57" i="33"/>
  <c r="R57" i="33"/>
  <c r="T57" i="33"/>
  <c r="U57" i="33"/>
  <c r="S57" i="33"/>
  <c r="H36" i="33"/>
  <c r="S167" i="33"/>
  <c r="W324" i="33"/>
  <c r="X324" i="33"/>
  <c r="Y324" i="33"/>
  <c r="Z324" i="33"/>
  <c r="AA324" i="33"/>
  <c r="AB324" i="33"/>
  <c r="AC324" i="33"/>
  <c r="P324" i="33"/>
  <c r="Q324" i="33"/>
  <c r="R324" i="33"/>
  <c r="T324" i="33"/>
  <c r="U324" i="33"/>
  <c r="O324" i="33"/>
  <c r="S324" i="33"/>
  <c r="G320" i="33"/>
  <c r="AB315" i="33"/>
  <c r="AC315" i="33"/>
  <c r="W315" i="33"/>
  <c r="X315" i="33"/>
  <c r="Y315" i="33"/>
  <c r="Z315" i="33"/>
  <c r="AA315" i="33"/>
  <c r="O315" i="33"/>
  <c r="P315" i="33"/>
  <c r="Q315" i="33"/>
  <c r="S315" i="33"/>
  <c r="T315" i="33"/>
  <c r="U315" i="33"/>
  <c r="R315" i="33"/>
  <c r="G307" i="33"/>
  <c r="G291" i="33"/>
  <c r="I287" i="33"/>
  <c r="J283" i="33"/>
  <c r="J274" i="33"/>
  <c r="I262" i="33"/>
  <c r="K249" i="33"/>
  <c r="AB221" i="33"/>
  <c r="AC221" i="33"/>
  <c r="W221" i="33"/>
  <c r="X221" i="33"/>
  <c r="Y221" i="33"/>
  <c r="Z221" i="33"/>
  <c r="AA221" i="33"/>
  <c r="O221" i="33"/>
  <c r="Q221" i="33"/>
  <c r="S221" i="33"/>
  <c r="P221" i="33"/>
  <c r="R221" i="33"/>
  <c r="T221" i="33"/>
  <c r="U221" i="33"/>
  <c r="J213" i="33"/>
  <c r="W200" i="33"/>
  <c r="Z200" i="33"/>
  <c r="AA200" i="33"/>
  <c r="AB200" i="33"/>
  <c r="X200" i="33"/>
  <c r="Y200" i="33"/>
  <c r="AC200" i="33"/>
  <c r="O200" i="33"/>
  <c r="P200" i="33"/>
  <c r="Q200" i="33"/>
  <c r="R200" i="33"/>
  <c r="S200" i="33"/>
  <c r="T200" i="33"/>
  <c r="U200" i="33"/>
  <c r="W173" i="33"/>
  <c r="X173" i="33"/>
  <c r="Y173" i="33"/>
  <c r="Z173" i="33"/>
  <c r="AA173" i="33"/>
  <c r="AB173" i="33"/>
  <c r="AC173" i="33"/>
  <c r="O173" i="33"/>
  <c r="P173" i="33"/>
  <c r="Q173" i="33"/>
  <c r="R173" i="33"/>
  <c r="S173" i="33"/>
  <c r="T173" i="33"/>
  <c r="U173" i="33"/>
  <c r="G160" i="33"/>
  <c r="H152" i="33"/>
  <c r="I148" i="33"/>
  <c r="H130" i="33"/>
  <c r="J125" i="33"/>
  <c r="G100" i="33"/>
  <c r="J95" i="33"/>
  <c r="K53" i="33"/>
  <c r="I48" i="33"/>
  <c r="I36" i="33"/>
  <c r="U313" i="33"/>
  <c r="W311" i="33"/>
  <c r="X311" i="33"/>
  <c r="Y311" i="33"/>
  <c r="AA311" i="33"/>
  <c r="AC311" i="33"/>
  <c r="Z311" i="33"/>
  <c r="AB311" i="33"/>
  <c r="O311" i="33"/>
  <c r="P311" i="33"/>
  <c r="Q311" i="33"/>
  <c r="R311" i="33"/>
  <c r="S311" i="33"/>
  <c r="T311" i="33"/>
  <c r="U311" i="33"/>
  <c r="I307" i="33"/>
  <c r="I291" i="33"/>
  <c r="X286" i="33"/>
  <c r="Y286" i="33"/>
  <c r="AA286" i="33"/>
  <c r="AB286" i="33"/>
  <c r="AC286" i="33"/>
  <c r="W286" i="33"/>
  <c r="Z286" i="33"/>
  <c r="Q286" i="33"/>
  <c r="R286" i="33"/>
  <c r="S286" i="33"/>
  <c r="T286" i="33"/>
  <c r="U286" i="33"/>
  <c r="W282" i="33"/>
  <c r="X282" i="33"/>
  <c r="Y282" i="33"/>
  <c r="Z282" i="33"/>
  <c r="AA282" i="33"/>
  <c r="AB282" i="33"/>
  <c r="AC282" i="33"/>
  <c r="U282" i="33"/>
  <c r="O282" i="33"/>
  <c r="P282" i="33"/>
  <c r="Q282" i="33"/>
  <c r="R282" i="33"/>
  <c r="S282" i="33"/>
  <c r="T282" i="33"/>
  <c r="J278" i="33"/>
  <c r="W261" i="33"/>
  <c r="X261" i="33"/>
  <c r="Y261" i="33"/>
  <c r="Z261" i="33"/>
  <c r="AA261" i="33"/>
  <c r="AB261" i="33"/>
  <c r="AC261" i="33"/>
  <c r="U261" i="33"/>
  <c r="R261" i="33"/>
  <c r="S261" i="33"/>
  <c r="T261" i="33"/>
  <c r="O261" i="33"/>
  <c r="P261" i="33"/>
  <c r="Q261" i="33"/>
  <c r="W239" i="33"/>
  <c r="X239" i="33"/>
  <c r="Y239" i="33"/>
  <c r="Z239" i="33"/>
  <c r="AA239" i="33"/>
  <c r="AB239" i="33"/>
  <c r="AC239" i="33"/>
  <c r="O239" i="33"/>
  <c r="P239" i="33"/>
  <c r="Q239" i="33"/>
  <c r="S239" i="33"/>
  <c r="U239" i="33"/>
  <c r="R239" i="33"/>
  <c r="T239" i="33"/>
  <c r="J235" i="33"/>
  <c r="W208" i="33"/>
  <c r="X208" i="33"/>
  <c r="Y208" i="33"/>
  <c r="Z208" i="33"/>
  <c r="AA208" i="33"/>
  <c r="AB208" i="33"/>
  <c r="AC208" i="33"/>
  <c r="O208" i="33"/>
  <c r="P208" i="33"/>
  <c r="R208" i="33"/>
  <c r="S208" i="33"/>
  <c r="T208" i="33"/>
  <c r="U208" i="33"/>
  <c r="Q208" i="33"/>
  <c r="J204" i="33"/>
  <c r="J190" i="33"/>
  <c r="W147" i="33"/>
  <c r="X147" i="33"/>
  <c r="Y147" i="33"/>
  <c r="Z147" i="33"/>
  <c r="AA147" i="33"/>
  <c r="AB147" i="33"/>
  <c r="AC147" i="33"/>
  <c r="S147" i="33"/>
  <c r="T147" i="33"/>
  <c r="U147" i="33"/>
  <c r="O147" i="33"/>
  <c r="P147" i="33"/>
  <c r="Q147" i="33"/>
  <c r="R147" i="33"/>
  <c r="H142" i="33"/>
  <c r="W138" i="33"/>
  <c r="X138" i="33"/>
  <c r="Y138" i="33"/>
  <c r="Z138" i="33"/>
  <c r="AA138" i="33"/>
  <c r="AB138" i="33"/>
  <c r="AC138" i="33"/>
  <c r="R138" i="33"/>
  <c r="S138" i="33"/>
  <c r="T138" i="33"/>
  <c r="O138" i="33"/>
  <c r="P138" i="33"/>
  <c r="Q138" i="33"/>
  <c r="U138" i="33"/>
  <c r="H117" i="33"/>
  <c r="H112" i="33"/>
  <c r="H108" i="33"/>
  <c r="J104" i="33"/>
  <c r="J91" i="33"/>
  <c r="J74" i="33"/>
  <c r="W65" i="33"/>
  <c r="X65" i="33"/>
  <c r="Y65" i="33"/>
  <c r="Z65" i="33"/>
  <c r="AA65" i="33"/>
  <c r="AB65" i="33"/>
  <c r="AC65" i="33"/>
  <c r="Q65" i="33"/>
  <c r="R65" i="33"/>
  <c r="S65" i="33"/>
  <c r="T65" i="33"/>
  <c r="U65" i="33"/>
  <c r="O65" i="33"/>
  <c r="P65" i="33"/>
  <c r="H40" i="33"/>
  <c r="W35" i="33"/>
  <c r="X35" i="33"/>
  <c r="Y35" i="33"/>
  <c r="Z35" i="33"/>
  <c r="AA35" i="33"/>
  <c r="AB35" i="33"/>
  <c r="AC35" i="33"/>
  <c r="O35" i="33"/>
  <c r="P35" i="33"/>
  <c r="Q35" i="33"/>
  <c r="R35" i="33"/>
  <c r="S35" i="33"/>
  <c r="T35" i="33"/>
  <c r="U35" i="33"/>
  <c r="U152" i="33"/>
  <c r="K324" i="33"/>
  <c r="W319" i="33"/>
  <c r="X319" i="33"/>
  <c r="Y319" i="33"/>
  <c r="Z319" i="33"/>
  <c r="AA319" i="33"/>
  <c r="AB319" i="33"/>
  <c r="AC319" i="33"/>
  <c r="S319" i="33"/>
  <c r="T319" i="33"/>
  <c r="U319" i="33"/>
  <c r="O319" i="33"/>
  <c r="K315" i="33"/>
  <c r="W306" i="33"/>
  <c r="Y306" i="33"/>
  <c r="Z306" i="33"/>
  <c r="AA306" i="33"/>
  <c r="AB306" i="33"/>
  <c r="AC306" i="33"/>
  <c r="X306" i="33"/>
  <c r="O306" i="33"/>
  <c r="P306" i="33"/>
  <c r="R306" i="33"/>
  <c r="S306" i="33"/>
  <c r="T306" i="33"/>
  <c r="Q306" i="33"/>
  <c r="U306" i="33"/>
  <c r="Z290" i="33"/>
  <c r="AB290" i="33"/>
  <c r="AC290" i="33"/>
  <c r="W290" i="33"/>
  <c r="X290" i="33"/>
  <c r="Y290" i="33"/>
  <c r="AA290" i="33"/>
  <c r="O290" i="33"/>
  <c r="P290" i="33"/>
  <c r="Q290" i="33"/>
  <c r="R290" i="33"/>
  <c r="S290" i="33"/>
  <c r="T290" i="33"/>
  <c r="U290" i="33"/>
  <c r="K278" i="33"/>
  <c r="W269" i="33"/>
  <c r="X269" i="33"/>
  <c r="Y269" i="33"/>
  <c r="Z269" i="33"/>
  <c r="AA269" i="33"/>
  <c r="AC269" i="33"/>
  <c r="AB269" i="33"/>
  <c r="O269" i="33"/>
  <c r="P269" i="33"/>
  <c r="Q269" i="33"/>
  <c r="R269" i="33"/>
  <c r="S269" i="33"/>
  <c r="T269" i="33"/>
  <c r="U269" i="33"/>
  <c r="H257" i="33"/>
  <c r="W231" i="33"/>
  <c r="X231" i="33"/>
  <c r="Y231" i="33"/>
  <c r="Z231" i="33"/>
  <c r="AB231" i="33"/>
  <c r="AC231" i="33"/>
  <c r="AA231" i="33"/>
  <c r="O231" i="33"/>
  <c r="P231" i="33"/>
  <c r="Q231" i="33"/>
  <c r="R231" i="33"/>
  <c r="S231" i="33"/>
  <c r="J221" i="33"/>
  <c r="J200" i="33"/>
  <c r="H190" i="33"/>
  <c r="W186" i="33"/>
  <c r="X186" i="33"/>
  <c r="Y186" i="33"/>
  <c r="AB186" i="33"/>
  <c r="AC186" i="33"/>
  <c r="Z186" i="33"/>
  <c r="AA186" i="33"/>
  <c r="O186" i="33"/>
  <c r="P186" i="33"/>
  <c r="Q186" i="33"/>
  <c r="R186" i="33"/>
  <c r="S186" i="33"/>
  <c r="T186" i="33"/>
  <c r="U186" i="33"/>
  <c r="X182" i="33"/>
  <c r="Y182" i="33"/>
  <c r="Z182" i="33"/>
  <c r="W182" i="33"/>
  <c r="AA182" i="33"/>
  <c r="AB182" i="33"/>
  <c r="AC182" i="33"/>
  <c r="O182" i="33"/>
  <c r="P182" i="33"/>
  <c r="Q182" i="33"/>
  <c r="R182" i="33"/>
  <c r="S182" i="33"/>
  <c r="T182" i="33"/>
  <c r="U182" i="33"/>
  <c r="J173" i="33"/>
  <c r="Y159" i="33"/>
  <c r="Z159" i="33"/>
  <c r="AA159" i="33"/>
  <c r="AB159" i="33"/>
  <c r="AC159" i="33"/>
  <c r="W159" i="33"/>
  <c r="X159" i="33"/>
  <c r="O159" i="33"/>
  <c r="P159" i="33"/>
  <c r="Q159" i="33"/>
  <c r="R159" i="33"/>
  <c r="S159" i="33"/>
  <c r="T159" i="33"/>
  <c r="U159" i="33"/>
  <c r="K147" i="33"/>
  <c r="AC134" i="33"/>
  <c r="W134" i="33"/>
  <c r="X134" i="33"/>
  <c r="Y134" i="33"/>
  <c r="Z134" i="33"/>
  <c r="AA134" i="33"/>
  <c r="AB134" i="33"/>
  <c r="O134" i="33"/>
  <c r="P134" i="33"/>
  <c r="R134" i="33"/>
  <c r="T134" i="33"/>
  <c r="Q134" i="33"/>
  <c r="S134" i="33"/>
  <c r="U134" i="33"/>
  <c r="X121" i="33"/>
  <c r="Y121" i="33"/>
  <c r="Z121" i="33"/>
  <c r="AA121" i="33"/>
  <c r="AB121" i="33"/>
  <c r="AC121" i="33"/>
  <c r="W121" i="33"/>
  <c r="O121" i="33"/>
  <c r="P121" i="33"/>
  <c r="Q121" i="33"/>
  <c r="R121" i="33"/>
  <c r="S121" i="33"/>
  <c r="T121" i="33"/>
  <c r="U121" i="33"/>
  <c r="I112" i="33"/>
  <c r="G74" i="33"/>
  <c r="J65" i="33"/>
  <c r="I61" i="33"/>
  <c r="J61" i="33"/>
  <c r="K57" i="33"/>
  <c r="J53" i="33"/>
  <c r="W22" i="33"/>
  <c r="X22" i="33"/>
  <c r="Y22" i="33"/>
  <c r="Z22" i="33"/>
  <c r="AA22" i="33"/>
  <c r="AB22" i="33"/>
  <c r="AC22" i="33"/>
  <c r="O22" i="33"/>
  <c r="P22" i="33"/>
  <c r="Q22" i="33"/>
  <c r="R22" i="33"/>
  <c r="S22" i="33"/>
  <c r="T22" i="33"/>
  <c r="U22" i="33"/>
  <c r="S152" i="33"/>
  <c r="W294" i="33"/>
  <c r="X294" i="33"/>
  <c r="Y294" i="33"/>
  <c r="Z294" i="33"/>
  <c r="AA294" i="33"/>
  <c r="AB294" i="33"/>
  <c r="AC294" i="33"/>
  <c r="O294" i="33"/>
  <c r="P294" i="33"/>
  <c r="Q294" i="33"/>
  <c r="R294" i="33"/>
  <c r="S294" i="33"/>
  <c r="T294" i="33"/>
  <c r="U294" i="33"/>
  <c r="W248" i="33"/>
  <c r="X248" i="33"/>
  <c r="Y248" i="33"/>
  <c r="Z248" i="33"/>
  <c r="AA248" i="33"/>
  <c r="AB248" i="33"/>
  <c r="AC248" i="33"/>
  <c r="P248" i="33"/>
  <c r="Q248" i="33"/>
  <c r="R248" i="33"/>
  <c r="T248" i="33"/>
  <c r="O248" i="33"/>
  <c r="S248" i="33"/>
  <c r="U248" i="33"/>
  <c r="H235" i="33"/>
  <c r="H226" i="33"/>
  <c r="Y194" i="33"/>
  <c r="Z194" i="33"/>
  <c r="AA194" i="33"/>
  <c r="AB194" i="33"/>
  <c r="AC194" i="33"/>
  <c r="W194" i="33"/>
  <c r="X194" i="33"/>
  <c r="P194" i="33"/>
  <c r="O194" i="33"/>
  <c r="Q194" i="33"/>
  <c r="R194" i="33"/>
  <c r="S194" i="33"/>
  <c r="T194" i="33"/>
  <c r="K186" i="33"/>
  <c r="W177" i="33"/>
  <c r="X177" i="33"/>
  <c r="AA177" i="33"/>
  <c r="AB177" i="33"/>
  <c r="AC177" i="33"/>
  <c r="Y177" i="33"/>
  <c r="Z177" i="33"/>
  <c r="O177" i="33"/>
  <c r="P177" i="33"/>
  <c r="T177" i="33"/>
  <c r="U177" i="33"/>
  <c r="W169" i="33"/>
  <c r="Y169" i="33"/>
  <c r="X169" i="33"/>
  <c r="Z169" i="33"/>
  <c r="AA169" i="33"/>
  <c r="AB169" i="33"/>
  <c r="AC169" i="33"/>
  <c r="R169" i="33"/>
  <c r="S169" i="33"/>
  <c r="T169" i="33"/>
  <c r="U169" i="33"/>
  <c r="O169" i="33"/>
  <c r="P169" i="33"/>
  <c r="Q169" i="33"/>
  <c r="K159" i="33"/>
  <c r="W155" i="33"/>
  <c r="X155" i="33"/>
  <c r="Y155" i="33"/>
  <c r="AA155" i="33"/>
  <c r="AB155" i="33"/>
  <c r="Z155" i="33"/>
  <c r="AC155" i="33"/>
  <c r="O155" i="33"/>
  <c r="P155" i="33"/>
  <c r="Q155" i="33"/>
  <c r="R155" i="33"/>
  <c r="S155" i="33"/>
  <c r="T155" i="33"/>
  <c r="U155" i="33"/>
  <c r="J138" i="33"/>
  <c r="H104" i="33"/>
  <c r="H91" i="33"/>
  <c r="W87" i="33"/>
  <c r="X87" i="33"/>
  <c r="Y87" i="33"/>
  <c r="Z87" i="33"/>
  <c r="AA87" i="33"/>
  <c r="AB87" i="33"/>
  <c r="AC87" i="33"/>
  <c r="O87" i="33"/>
  <c r="P87" i="33"/>
  <c r="Q87" i="33"/>
  <c r="R87" i="33"/>
  <c r="S87" i="33"/>
  <c r="T87" i="33"/>
  <c r="U87" i="33"/>
  <c r="W82" i="33"/>
  <c r="X82" i="33"/>
  <c r="Y82" i="33"/>
  <c r="Z82" i="33"/>
  <c r="AA82" i="33"/>
  <c r="AB82" i="33"/>
  <c r="AC82" i="33"/>
  <c r="Q82" i="33"/>
  <c r="R82" i="33"/>
  <c r="S82" i="33"/>
  <c r="T82" i="33"/>
  <c r="U82" i="33"/>
  <c r="O82" i="33"/>
  <c r="P82" i="33"/>
  <c r="W69" i="33"/>
  <c r="X69" i="33"/>
  <c r="Y69" i="33"/>
  <c r="Z69" i="33"/>
  <c r="AA69" i="33"/>
  <c r="AB69" i="33"/>
  <c r="AC69" i="33"/>
  <c r="U69" i="33"/>
  <c r="O69" i="33"/>
  <c r="P69" i="33"/>
  <c r="Q69" i="33"/>
  <c r="R69" i="33"/>
  <c r="S69" i="33"/>
  <c r="T69" i="33"/>
  <c r="W60" i="33"/>
  <c r="X60" i="33"/>
  <c r="Y60" i="33"/>
  <c r="Z60" i="33"/>
  <c r="AA60" i="33"/>
  <c r="AB60" i="33"/>
  <c r="AC60" i="33"/>
  <c r="Q60" i="33"/>
  <c r="R60" i="33"/>
  <c r="S60" i="33"/>
  <c r="T60" i="33"/>
  <c r="U60" i="33"/>
  <c r="O60" i="33"/>
  <c r="P60" i="33"/>
  <c r="G57" i="33"/>
  <c r="AA52" i="33"/>
  <c r="AB52" i="33"/>
  <c r="AC52" i="33"/>
  <c r="W52" i="33"/>
  <c r="X52" i="33"/>
  <c r="Y52" i="33"/>
  <c r="Z52" i="33"/>
  <c r="R52" i="33"/>
  <c r="S52" i="33"/>
  <c r="T52" i="33"/>
  <c r="U52" i="33"/>
  <c r="O52" i="33"/>
  <c r="P52" i="33"/>
  <c r="Q52" i="33"/>
  <c r="W47" i="33"/>
  <c r="AB47" i="33"/>
  <c r="AC47" i="33"/>
  <c r="X47" i="33"/>
  <c r="Y47" i="33"/>
  <c r="Z47" i="33"/>
  <c r="U47" i="33"/>
  <c r="AA47" i="33"/>
  <c r="O47" i="33"/>
  <c r="P47" i="33"/>
  <c r="Q47" i="33"/>
  <c r="R47" i="33"/>
  <c r="S47" i="33"/>
  <c r="T47" i="33"/>
  <c r="Q238" i="33"/>
  <c r="O152" i="33"/>
  <c r="J269" i="33"/>
  <c r="AA244" i="33"/>
  <c r="AB244" i="33"/>
  <c r="AC244" i="33"/>
  <c r="W244" i="33"/>
  <c r="X244" i="33"/>
  <c r="Y244" i="33"/>
  <c r="Z244" i="33"/>
  <c r="P244" i="33"/>
  <c r="R244" i="33"/>
  <c r="O244" i="33"/>
  <c r="Q244" i="33"/>
  <c r="S244" i="33"/>
  <c r="T244" i="33"/>
  <c r="U244" i="33"/>
  <c r="H231" i="33"/>
  <c r="X217" i="33"/>
  <c r="Y217" i="33"/>
  <c r="Z217" i="33"/>
  <c r="AA217" i="33"/>
  <c r="AB217" i="33"/>
  <c r="AC217" i="33"/>
  <c r="W217" i="33"/>
  <c r="O217" i="33"/>
  <c r="U217" i="33"/>
  <c r="P217" i="33"/>
  <c r="Q217" i="33"/>
  <c r="G213" i="33"/>
  <c r="I208" i="33"/>
  <c r="K155" i="33"/>
  <c r="AC129" i="33"/>
  <c r="W129" i="33"/>
  <c r="X129" i="33"/>
  <c r="Y129" i="33"/>
  <c r="Z129" i="33"/>
  <c r="AA129" i="33"/>
  <c r="AB129" i="33"/>
  <c r="Q129" i="33"/>
  <c r="R129" i="33"/>
  <c r="S129" i="33"/>
  <c r="U129" i="33"/>
  <c r="P129" i="33"/>
  <c r="T129" i="33"/>
  <c r="O129" i="33"/>
  <c r="G125" i="33"/>
  <c r="I87" i="33"/>
  <c r="I82" i="33"/>
  <c r="K69" i="33"/>
  <c r="I57" i="33"/>
  <c r="K47" i="33"/>
  <c r="Z43" i="33"/>
  <c r="AA43" i="33"/>
  <c r="AB43" i="33"/>
  <c r="AC43" i="33"/>
  <c r="W43" i="33"/>
  <c r="X43" i="33"/>
  <c r="Y43" i="33"/>
  <c r="Q43" i="33"/>
  <c r="R43" i="33"/>
  <c r="S43" i="33"/>
  <c r="T43" i="33"/>
  <c r="P43" i="33"/>
  <c r="U43" i="33"/>
  <c r="O43" i="33"/>
  <c r="W26" i="33"/>
  <c r="X26" i="33"/>
  <c r="Y26" i="33"/>
  <c r="Z26" i="33"/>
  <c r="AA26" i="33"/>
  <c r="AB26" i="33"/>
  <c r="AC26" i="33"/>
  <c r="U26" i="33"/>
  <c r="O26" i="33"/>
  <c r="P26" i="33"/>
  <c r="Q26" i="33"/>
  <c r="R26" i="33"/>
  <c r="S26" i="33"/>
  <c r="T26" i="33"/>
  <c r="P238" i="33"/>
  <c r="Z203" i="33"/>
  <c r="AA203" i="33"/>
  <c r="AB203" i="33"/>
  <c r="AC203" i="33"/>
  <c r="W203" i="33"/>
  <c r="X203" i="33"/>
  <c r="Y203" i="33"/>
  <c r="O203" i="33"/>
  <c r="Q203" i="33"/>
  <c r="P203" i="33"/>
  <c r="R203" i="33"/>
  <c r="S203" i="33"/>
  <c r="T203" i="33"/>
  <c r="U203" i="33"/>
  <c r="W164" i="33"/>
  <c r="X164" i="33"/>
  <c r="Y164" i="33"/>
  <c r="Z164" i="33"/>
  <c r="AB164" i="33"/>
  <c r="AA164" i="33"/>
  <c r="AC164" i="33"/>
  <c r="P164" i="33"/>
  <c r="Q164" i="33"/>
  <c r="R164" i="33"/>
  <c r="S164" i="33"/>
  <c r="T164" i="33"/>
  <c r="U164" i="33"/>
  <c r="O164" i="33"/>
  <c r="W151" i="33"/>
  <c r="X151" i="33"/>
  <c r="Y151" i="33"/>
  <c r="Z151" i="33"/>
  <c r="AA151" i="33"/>
  <c r="AB151" i="33"/>
  <c r="AC151" i="33"/>
  <c r="O151" i="33"/>
  <c r="P151" i="33"/>
  <c r="Q151" i="33"/>
  <c r="R151" i="33"/>
  <c r="S151" i="33"/>
  <c r="T151" i="33"/>
  <c r="U151" i="33"/>
  <c r="H138" i="33"/>
  <c r="W111" i="33"/>
  <c r="X111" i="33"/>
  <c r="Y111" i="33"/>
  <c r="Z111" i="33"/>
  <c r="AA111" i="33"/>
  <c r="AB111" i="33"/>
  <c r="AC111" i="33"/>
  <c r="O111" i="33"/>
  <c r="P111" i="33"/>
  <c r="Q111" i="33"/>
  <c r="S111" i="33"/>
  <c r="U111" i="33"/>
  <c r="R111" i="33"/>
  <c r="T111" i="33"/>
  <c r="Z107" i="33"/>
  <c r="AA107" i="33"/>
  <c r="AB107" i="33"/>
  <c r="AC107" i="33"/>
  <c r="W107" i="33"/>
  <c r="X107" i="33"/>
  <c r="Y107" i="33"/>
  <c r="O107" i="33"/>
  <c r="Q107" i="33"/>
  <c r="P107" i="33"/>
  <c r="R107" i="33"/>
  <c r="S107" i="33"/>
  <c r="T107" i="33"/>
  <c r="U107" i="33"/>
  <c r="W77" i="33"/>
  <c r="X77" i="33"/>
  <c r="Y77" i="33"/>
  <c r="Z77" i="33"/>
  <c r="AA77" i="33"/>
  <c r="AB77" i="33"/>
  <c r="AC77" i="33"/>
  <c r="O77" i="33"/>
  <c r="P77" i="33"/>
  <c r="Q77" i="33"/>
  <c r="R77" i="33"/>
  <c r="S77" i="33"/>
  <c r="T77" i="33"/>
  <c r="U77" i="33"/>
  <c r="J69" i="33"/>
  <c r="I60" i="33"/>
  <c r="W56" i="33"/>
  <c r="X56" i="33"/>
  <c r="Y56" i="33"/>
  <c r="Z56" i="33"/>
  <c r="AA56" i="33"/>
  <c r="AB56" i="33"/>
  <c r="AC56" i="33"/>
  <c r="O56" i="33"/>
  <c r="P56" i="33"/>
  <c r="Q56" i="33"/>
  <c r="S56" i="33"/>
  <c r="T56" i="33"/>
  <c r="U56" i="33"/>
  <c r="R56" i="33"/>
  <c r="K43" i="33"/>
  <c r="W30" i="33"/>
  <c r="X30" i="33"/>
  <c r="Y30" i="33"/>
  <c r="Z30" i="33"/>
  <c r="AA30" i="33"/>
  <c r="AB30" i="33"/>
  <c r="AC30" i="33"/>
  <c r="O30" i="33"/>
  <c r="Q30" i="33"/>
  <c r="R30" i="33"/>
  <c r="P30" i="33"/>
  <c r="S30" i="33"/>
  <c r="T30" i="33"/>
  <c r="U30" i="33"/>
  <c r="K26" i="33"/>
  <c r="U136" i="33"/>
  <c r="W256" i="33"/>
  <c r="X256" i="33"/>
  <c r="Y256" i="33"/>
  <c r="Z256" i="33"/>
  <c r="AA256" i="33"/>
  <c r="AB256" i="33"/>
  <c r="AC256" i="33"/>
  <c r="P256" i="33"/>
  <c r="Q256" i="33"/>
  <c r="R256" i="33"/>
  <c r="T256" i="33"/>
  <c r="U256" i="33"/>
  <c r="O256" i="33"/>
  <c r="S256" i="33"/>
  <c r="W252" i="33"/>
  <c r="X252" i="33"/>
  <c r="Y252" i="33"/>
  <c r="Z252" i="33"/>
  <c r="AA252" i="33"/>
  <c r="AB252" i="33"/>
  <c r="AC252" i="33"/>
  <c r="T252" i="33"/>
  <c r="U252" i="33"/>
  <c r="O252" i="33"/>
  <c r="P252" i="33"/>
  <c r="G217" i="33"/>
  <c r="H186" i="33"/>
  <c r="K177" i="33"/>
  <c r="G173" i="33"/>
  <c r="K169" i="33"/>
  <c r="H159" i="33"/>
  <c r="I151" i="33"/>
  <c r="W146" i="33"/>
  <c r="X146" i="33"/>
  <c r="Z146" i="33"/>
  <c r="AA146" i="33"/>
  <c r="AB146" i="33"/>
  <c r="Y146" i="33"/>
  <c r="AC146" i="33"/>
  <c r="O146" i="33"/>
  <c r="P146" i="33"/>
  <c r="Q146" i="33"/>
  <c r="R146" i="33"/>
  <c r="S146" i="33"/>
  <c r="T146" i="33"/>
  <c r="U146" i="33"/>
  <c r="W141" i="33"/>
  <c r="X141" i="33"/>
  <c r="Y141" i="33"/>
  <c r="Z141" i="33"/>
  <c r="AA141" i="33"/>
  <c r="AB141" i="33"/>
  <c r="AC141" i="33"/>
  <c r="O141" i="33"/>
  <c r="P141" i="33"/>
  <c r="Q141" i="33"/>
  <c r="R141" i="33"/>
  <c r="S141" i="33"/>
  <c r="T141" i="33"/>
  <c r="U141" i="33"/>
  <c r="K129" i="33"/>
  <c r="W124" i="33"/>
  <c r="X124" i="33"/>
  <c r="Y124" i="33"/>
  <c r="Z124" i="33"/>
  <c r="AA124" i="33"/>
  <c r="AB124" i="33"/>
  <c r="AC124" i="33"/>
  <c r="T124" i="33"/>
  <c r="U124" i="33"/>
  <c r="O124" i="33"/>
  <c r="P124" i="33"/>
  <c r="K77" i="33"/>
  <c r="I69" i="33"/>
  <c r="H60" i="33"/>
  <c r="I47" i="33"/>
  <c r="J43" i="33"/>
  <c r="Y34" i="33"/>
  <c r="Z34" i="33"/>
  <c r="AA34" i="33"/>
  <c r="AB34" i="33"/>
  <c r="AC34" i="33"/>
  <c r="W34" i="33"/>
  <c r="X34" i="33"/>
  <c r="P34" i="33"/>
  <c r="Q34" i="33"/>
  <c r="R34" i="33"/>
  <c r="S34" i="33"/>
  <c r="U34" i="33"/>
  <c r="O34" i="33"/>
  <c r="T34" i="33"/>
  <c r="W17" i="33"/>
  <c r="X17" i="33"/>
  <c r="Y17" i="33"/>
  <c r="Z17" i="33"/>
  <c r="AA17" i="33"/>
  <c r="AB17" i="33"/>
  <c r="AC17" i="33"/>
  <c r="O17" i="33"/>
  <c r="P17" i="33"/>
  <c r="Q17" i="33"/>
  <c r="R17" i="33"/>
  <c r="T17" i="33"/>
  <c r="U17" i="33"/>
  <c r="S17" i="33"/>
  <c r="W225" i="33"/>
  <c r="X225" i="33"/>
  <c r="Y225" i="33"/>
  <c r="Z225" i="33"/>
  <c r="AA225" i="33"/>
  <c r="AB225" i="33"/>
  <c r="AC225" i="33"/>
  <c r="Q225" i="33"/>
  <c r="R225" i="33"/>
  <c r="S225" i="33"/>
  <c r="U225" i="33"/>
  <c r="P225" i="33"/>
  <c r="T225" i="33"/>
  <c r="AA212" i="33"/>
  <c r="AB212" i="33"/>
  <c r="AC212" i="33"/>
  <c r="W212" i="33"/>
  <c r="X212" i="33"/>
  <c r="Y212" i="33"/>
  <c r="Z212" i="33"/>
  <c r="P212" i="33"/>
  <c r="R212" i="33"/>
  <c r="O212" i="33"/>
  <c r="Q212" i="33"/>
  <c r="S212" i="33"/>
  <c r="T212" i="33"/>
  <c r="U212" i="33"/>
  <c r="Z207" i="33"/>
  <c r="AA207" i="33"/>
  <c r="AB207" i="33"/>
  <c r="AC207" i="33"/>
  <c r="Y207" i="33"/>
  <c r="O207" i="33"/>
  <c r="W207" i="33"/>
  <c r="P207" i="33"/>
  <c r="X207" i="33"/>
  <c r="Q207" i="33"/>
  <c r="S207" i="33"/>
  <c r="U207" i="33"/>
  <c r="T207" i="33"/>
  <c r="R207" i="33"/>
  <c r="H200" i="33"/>
  <c r="H194" i="33"/>
  <c r="AB189" i="33"/>
  <c r="AC189" i="33"/>
  <c r="W189" i="33"/>
  <c r="X189" i="33"/>
  <c r="Y189" i="33"/>
  <c r="Z189" i="33"/>
  <c r="AA189" i="33"/>
  <c r="O189" i="33"/>
  <c r="Q189" i="33"/>
  <c r="S189" i="33"/>
  <c r="P189" i="33"/>
  <c r="R189" i="33"/>
  <c r="T189" i="33"/>
  <c r="U189" i="33"/>
  <c r="W181" i="33"/>
  <c r="X181" i="33"/>
  <c r="Y181" i="33"/>
  <c r="Z181" i="33"/>
  <c r="AA181" i="33"/>
  <c r="AB181" i="33"/>
  <c r="AC181" i="33"/>
  <c r="O181" i="33"/>
  <c r="P181" i="33"/>
  <c r="Q181" i="33"/>
  <c r="R181" i="33"/>
  <c r="S181" i="33"/>
  <c r="T181" i="33"/>
  <c r="U181" i="33"/>
  <c r="J146" i="33"/>
  <c r="W133" i="33"/>
  <c r="X133" i="33"/>
  <c r="Y133" i="33"/>
  <c r="Z133" i="33"/>
  <c r="AA133" i="33"/>
  <c r="AB133" i="33"/>
  <c r="AC133" i="33"/>
  <c r="U133" i="33"/>
  <c r="O133" i="33"/>
  <c r="P133" i="33"/>
  <c r="Q133" i="33"/>
  <c r="R133" i="33"/>
  <c r="S133" i="33"/>
  <c r="T133" i="33"/>
  <c r="J124" i="33"/>
  <c r="W120" i="33"/>
  <c r="X120" i="33"/>
  <c r="Y120" i="33"/>
  <c r="Z120" i="33"/>
  <c r="AA120" i="33"/>
  <c r="AB120" i="33"/>
  <c r="AC120" i="33"/>
  <c r="P120" i="33"/>
  <c r="Q120" i="33"/>
  <c r="R120" i="33"/>
  <c r="T120" i="33"/>
  <c r="O120" i="33"/>
  <c r="S120" i="33"/>
  <c r="U120" i="33"/>
  <c r="AA116" i="33"/>
  <c r="AB116" i="33"/>
  <c r="AC116" i="33"/>
  <c r="W116" i="33"/>
  <c r="X116" i="33"/>
  <c r="Y116" i="33"/>
  <c r="Z116" i="33"/>
  <c r="P116" i="33"/>
  <c r="R116" i="33"/>
  <c r="O116" i="33"/>
  <c r="Q116" i="33"/>
  <c r="S116" i="33"/>
  <c r="T116" i="33"/>
  <c r="U116" i="33"/>
  <c r="W73" i="33"/>
  <c r="X73" i="33"/>
  <c r="Y73" i="33"/>
  <c r="Z73" i="33"/>
  <c r="AA73" i="33"/>
  <c r="AB73" i="33"/>
  <c r="AC73" i="33"/>
  <c r="O73" i="33"/>
  <c r="P73" i="33"/>
  <c r="Q73" i="33"/>
  <c r="R73" i="33"/>
  <c r="S73" i="33"/>
  <c r="T73" i="33"/>
  <c r="U73" i="33"/>
  <c r="W64" i="33"/>
  <c r="X64" i="33"/>
  <c r="Y64" i="33"/>
  <c r="Z64" i="33"/>
  <c r="AA64" i="33"/>
  <c r="AB64" i="33"/>
  <c r="AC64" i="33"/>
  <c r="O64" i="33"/>
  <c r="P64" i="33"/>
  <c r="Q64" i="33"/>
  <c r="R64" i="33"/>
  <c r="S64" i="33"/>
  <c r="T64" i="33"/>
  <c r="U64" i="33"/>
  <c r="H52" i="33"/>
  <c r="W39" i="33"/>
  <c r="X39" i="33"/>
  <c r="Y39" i="33"/>
  <c r="Z39" i="33"/>
  <c r="AA39" i="33"/>
  <c r="AB39" i="33"/>
  <c r="AC39" i="33"/>
  <c r="O39" i="33"/>
  <c r="P39" i="33"/>
  <c r="R39" i="33"/>
  <c r="S39" i="33"/>
  <c r="Q39" i="33"/>
  <c r="T39" i="33"/>
  <c r="U39" i="33"/>
  <c r="H30" i="33"/>
  <c r="W21" i="33"/>
  <c r="X21" i="33"/>
  <c r="Y21" i="33"/>
  <c r="Z21" i="33"/>
  <c r="AA21" i="33"/>
  <c r="AB21" i="33"/>
  <c r="AC21" i="33"/>
  <c r="P21" i="33"/>
  <c r="Q21" i="33"/>
  <c r="R21" i="33"/>
  <c r="S21" i="33"/>
  <c r="T21" i="33"/>
  <c r="U21" i="33"/>
  <c r="O21" i="33"/>
  <c r="U231" i="33"/>
  <c r="S124" i="33"/>
  <c r="W268" i="33"/>
  <c r="Y268" i="33"/>
  <c r="Z268" i="33"/>
  <c r="AA268" i="33"/>
  <c r="X268" i="33"/>
  <c r="AB268" i="33"/>
  <c r="AC268" i="33"/>
  <c r="O268" i="33"/>
  <c r="P268" i="33"/>
  <c r="Q268" i="33"/>
  <c r="R268" i="33"/>
  <c r="S268" i="33"/>
  <c r="T268" i="33"/>
  <c r="U268" i="33"/>
  <c r="AC230" i="33"/>
  <c r="W230" i="33"/>
  <c r="X230" i="33"/>
  <c r="Y230" i="33"/>
  <c r="Z230" i="33"/>
  <c r="AA230" i="33"/>
  <c r="AB230" i="33"/>
  <c r="O230" i="33"/>
  <c r="P230" i="33"/>
  <c r="R230" i="33"/>
  <c r="T230" i="33"/>
  <c r="Q230" i="33"/>
  <c r="S230" i="33"/>
  <c r="U230" i="33"/>
  <c r="W220" i="33"/>
  <c r="X220" i="33"/>
  <c r="Y220" i="33"/>
  <c r="Z220" i="33"/>
  <c r="AA220" i="33"/>
  <c r="AB220" i="33"/>
  <c r="AC220" i="33"/>
  <c r="T220" i="33"/>
  <c r="U220" i="33"/>
  <c r="O220" i="33"/>
  <c r="P220" i="33"/>
  <c r="Q220" i="33"/>
  <c r="R220" i="33"/>
  <c r="S220" i="33"/>
  <c r="I194" i="33"/>
  <c r="W172" i="33"/>
  <c r="X172" i="33"/>
  <c r="Y172" i="33"/>
  <c r="Z172" i="33"/>
  <c r="AA172" i="33"/>
  <c r="AB172" i="33"/>
  <c r="AC172" i="33"/>
  <c r="S172" i="33"/>
  <c r="O172" i="33"/>
  <c r="P172" i="33"/>
  <c r="Q172" i="33"/>
  <c r="R172" i="33"/>
  <c r="T172" i="33"/>
  <c r="U172" i="33"/>
  <c r="G164" i="33"/>
  <c r="H155" i="33"/>
  <c r="H151" i="33"/>
  <c r="I146" i="33"/>
  <c r="I129" i="33"/>
  <c r="W94" i="33"/>
  <c r="X94" i="33"/>
  <c r="Y94" i="33"/>
  <c r="Z94" i="33"/>
  <c r="AA94" i="33"/>
  <c r="AB94" i="33"/>
  <c r="AC94" i="33"/>
  <c r="O94" i="33"/>
  <c r="P94" i="33"/>
  <c r="Q94" i="33"/>
  <c r="R94" i="33"/>
  <c r="S94" i="33"/>
  <c r="T94" i="33"/>
  <c r="U94" i="33"/>
  <c r="H64" i="33"/>
  <c r="I52" i="33"/>
  <c r="U297" i="33"/>
  <c r="T231" i="33"/>
  <c r="R124" i="33"/>
  <c r="W216" i="33"/>
  <c r="X216" i="33"/>
  <c r="Y216" i="33"/>
  <c r="Z216" i="33"/>
  <c r="AA216" i="33"/>
  <c r="AB216" i="33"/>
  <c r="AC216" i="33"/>
  <c r="P216" i="33"/>
  <c r="Q216" i="33"/>
  <c r="R216" i="33"/>
  <c r="T216" i="33"/>
  <c r="O216" i="33"/>
  <c r="S216" i="33"/>
  <c r="U216" i="33"/>
  <c r="W199" i="33"/>
  <c r="X199" i="33"/>
  <c r="Y199" i="33"/>
  <c r="Z199" i="33"/>
  <c r="AA199" i="33"/>
  <c r="AB199" i="33"/>
  <c r="AC199" i="33"/>
  <c r="O199" i="33"/>
  <c r="P199" i="33"/>
  <c r="Q199" i="33"/>
  <c r="R199" i="33"/>
  <c r="S199" i="33"/>
  <c r="T199" i="33"/>
  <c r="U199" i="33"/>
  <c r="W176" i="33"/>
  <c r="X176" i="33"/>
  <c r="Y176" i="33"/>
  <c r="Z176" i="33"/>
  <c r="AA176" i="33"/>
  <c r="AB176" i="33"/>
  <c r="AC176" i="33"/>
  <c r="O176" i="33"/>
  <c r="P176" i="33"/>
  <c r="Q176" i="33"/>
  <c r="R176" i="33"/>
  <c r="S176" i="33"/>
  <c r="T176" i="33"/>
  <c r="U176" i="33"/>
  <c r="W168" i="33"/>
  <c r="Z168" i="33"/>
  <c r="AA168" i="33"/>
  <c r="AB168" i="33"/>
  <c r="AC168" i="33"/>
  <c r="X168" i="33"/>
  <c r="Y168" i="33"/>
  <c r="O168" i="33"/>
  <c r="P168" i="33"/>
  <c r="Q168" i="33"/>
  <c r="R168" i="33"/>
  <c r="S168" i="33"/>
  <c r="T168" i="33"/>
  <c r="U168" i="33"/>
  <c r="W128" i="33"/>
  <c r="X128" i="33"/>
  <c r="Y128" i="33"/>
  <c r="Z128" i="33"/>
  <c r="AA128" i="33"/>
  <c r="AB128" i="33"/>
  <c r="AC128" i="33"/>
  <c r="O128" i="33"/>
  <c r="P128" i="33"/>
  <c r="Q128" i="33"/>
  <c r="R128" i="33"/>
  <c r="S128" i="33"/>
  <c r="T128" i="33"/>
  <c r="U128" i="33"/>
  <c r="W103" i="33"/>
  <c r="X103" i="33"/>
  <c r="Y103" i="33"/>
  <c r="Z103" i="33"/>
  <c r="AA103" i="33"/>
  <c r="AB103" i="33"/>
  <c r="AC103" i="33"/>
  <c r="P103" i="33"/>
  <c r="O103" i="33"/>
  <c r="Q103" i="33"/>
  <c r="R103" i="33"/>
  <c r="S103" i="33"/>
  <c r="T103" i="33"/>
  <c r="U103" i="33"/>
  <c r="W90" i="33"/>
  <c r="X90" i="33"/>
  <c r="Y90" i="33"/>
  <c r="Z90" i="33"/>
  <c r="AA90" i="33"/>
  <c r="AB90" i="33"/>
  <c r="AC90" i="33"/>
  <c r="O90" i="33"/>
  <c r="P90" i="33"/>
  <c r="Q90" i="33"/>
  <c r="R90" i="33"/>
  <c r="S90" i="33"/>
  <c r="T90" i="33"/>
  <c r="U90" i="33"/>
  <c r="W86" i="33"/>
  <c r="X86" i="33"/>
  <c r="Y86" i="33"/>
  <c r="Z86" i="33"/>
  <c r="AA86" i="33"/>
  <c r="AB86" i="33"/>
  <c r="AC86" i="33"/>
  <c r="O86" i="33"/>
  <c r="P86" i="33"/>
  <c r="Q86" i="33"/>
  <c r="R86" i="33"/>
  <c r="S86" i="33"/>
  <c r="T86" i="33"/>
  <c r="U86" i="33"/>
  <c r="W51" i="33"/>
  <c r="X51" i="33"/>
  <c r="Y51" i="33"/>
  <c r="Z51" i="33"/>
  <c r="AA51" i="33"/>
  <c r="AB51" i="33"/>
  <c r="AC51" i="33"/>
  <c r="P51" i="33"/>
  <c r="Q51" i="33"/>
  <c r="R51" i="33"/>
  <c r="S51" i="33"/>
  <c r="T51" i="33"/>
  <c r="U51" i="33"/>
  <c r="O51" i="33"/>
  <c r="T297" i="33"/>
  <c r="O225" i="33"/>
  <c r="Q124" i="33"/>
  <c r="W163" i="33"/>
  <c r="X163" i="33"/>
  <c r="Y163" i="33"/>
  <c r="Z163" i="33"/>
  <c r="AC163" i="33"/>
  <c r="AA163" i="33"/>
  <c r="AB163" i="33"/>
  <c r="O163" i="33"/>
  <c r="P163" i="33"/>
  <c r="Q163" i="33"/>
  <c r="R163" i="33"/>
  <c r="S163" i="33"/>
  <c r="T163" i="33"/>
  <c r="U163" i="33"/>
  <c r="K116" i="33"/>
  <c r="Y98" i="33"/>
  <c r="Z98" i="33"/>
  <c r="AA98" i="33"/>
  <c r="AB98" i="33"/>
  <c r="AC98" i="33"/>
  <c r="W98" i="33"/>
  <c r="X98" i="33"/>
  <c r="P98" i="33"/>
  <c r="O98" i="33"/>
  <c r="Q98" i="33"/>
  <c r="R98" i="33"/>
  <c r="S98" i="33"/>
  <c r="T98" i="33"/>
  <c r="U98" i="33"/>
  <c r="W81" i="33"/>
  <c r="X81" i="33"/>
  <c r="Y81" i="33"/>
  <c r="Z81" i="33"/>
  <c r="AA81" i="33"/>
  <c r="AB81" i="33"/>
  <c r="AC81" i="33"/>
  <c r="O81" i="33"/>
  <c r="P81" i="33"/>
  <c r="Q81" i="33"/>
  <c r="R81" i="33"/>
  <c r="S81" i="33"/>
  <c r="T81" i="33"/>
  <c r="U81" i="33"/>
  <c r="K73" i="33"/>
  <c r="G64" i="33"/>
  <c r="I17" i="33"/>
  <c r="U224" i="33"/>
  <c r="Q109" i="33"/>
  <c r="W301" i="33"/>
  <c r="X301" i="33"/>
  <c r="Y301" i="33"/>
  <c r="Z301" i="33"/>
  <c r="AA301" i="33"/>
  <c r="AB301" i="33"/>
  <c r="AC301" i="33"/>
  <c r="Q301" i="33"/>
  <c r="R301" i="33"/>
  <c r="S301" i="33"/>
  <c r="U301" i="33"/>
  <c r="O301" i="33"/>
  <c r="P301" i="33"/>
  <c r="T301" i="33"/>
  <c r="Z260" i="33"/>
  <c r="AA260" i="33"/>
  <c r="AB260" i="33"/>
  <c r="AC260" i="33"/>
  <c r="W260" i="33"/>
  <c r="X260" i="33"/>
  <c r="Y260" i="33"/>
  <c r="O260" i="33"/>
  <c r="P260" i="33"/>
  <c r="Q260" i="33"/>
  <c r="R260" i="33"/>
  <c r="S260" i="33"/>
  <c r="T260" i="33"/>
  <c r="U260" i="33"/>
  <c r="G252" i="33"/>
  <c r="W238" i="33"/>
  <c r="X238" i="33"/>
  <c r="Y238" i="33"/>
  <c r="Z238" i="33"/>
  <c r="AA238" i="33"/>
  <c r="AB238" i="33"/>
  <c r="AC238" i="33"/>
  <c r="R238" i="33"/>
  <c r="S238" i="33"/>
  <c r="T238" i="33"/>
  <c r="U238" i="33"/>
  <c r="K230" i="33"/>
  <c r="K199" i="33"/>
  <c r="X193" i="33"/>
  <c r="Y193" i="33"/>
  <c r="Z193" i="33"/>
  <c r="AA193" i="33"/>
  <c r="AB193" i="33"/>
  <c r="AC193" i="33"/>
  <c r="W193" i="33"/>
  <c r="Q193" i="33"/>
  <c r="R193" i="33"/>
  <c r="S193" i="33"/>
  <c r="U193" i="33"/>
  <c r="O193" i="33"/>
  <c r="P193" i="33"/>
  <c r="T193" i="33"/>
  <c r="W145" i="33"/>
  <c r="X145" i="33"/>
  <c r="Z145" i="33"/>
  <c r="AA145" i="33"/>
  <c r="AB145" i="33"/>
  <c r="AC145" i="33"/>
  <c r="Y145" i="33"/>
  <c r="O145" i="33"/>
  <c r="P145" i="33"/>
  <c r="Q145" i="33"/>
  <c r="R145" i="33"/>
  <c r="T145" i="33"/>
  <c r="U145" i="33"/>
  <c r="S145" i="33"/>
  <c r="W137" i="33"/>
  <c r="X137" i="33"/>
  <c r="Y137" i="33"/>
  <c r="Z137" i="33"/>
  <c r="AA137" i="33"/>
  <c r="AB137" i="33"/>
  <c r="AC137" i="33"/>
  <c r="O137" i="33"/>
  <c r="P137" i="33"/>
  <c r="Q137" i="33"/>
  <c r="R137" i="33"/>
  <c r="S137" i="33"/>
  <c r="T137" i="33"/>
  <c r="U137" i="33"/>
  <c r="H128" i="33"/>
  <c r="H116" i="33"/>
  <c r="G103" i="33"/>
  <c r="K86" i="33"/>
  <c r="G77" i="33"/>
  <c r="G73" i="33"/>
  <c r="K39" i="33"/>
  <c r="I30" i="33"/>
  <c r="G26" i="33"/>
  <c r="W16" i="33"/>
  <c r="X16" i="33"/>
  <c r="Y16" i="33"/>
  <c r="Z16" i="33"/>
  <c r="AA16" i="33"/>
  <c r="AB16" i="33"/>
  <c r="AC16" i="33"/>
  <c r="O16" i="33"/>
  <c r="P16" i="33"/>
  <c r="Q16" i="33"/>
  <c r="S16" i="33"/>
  <c r="T16" i="33"/>
  <c r="R16" i="33"/>
  <c r="U16" i="33"/>
  <c r="P109" i="33"/>
  <c r="Y318" i="33"/>
  <c r="AA318" i="33"/>
  <c r="AB318" i="33"/>
  <c r="AC318" i="33"/>
  <c r="W318" i="33"/>
  <c r="X318" i="33"/>
  <c r="Z318" i="33"/>
  <c r="O318" i="33"/>
  <c r="P318" i="33"/>
  <c r="Q318" i="33"/>
  <c r="R318" i="33"/>
  <c r="S318" i="33"/>
  <c r="T318" i="33"/>
  <c r="U318" i="33"/>
  <c r="H310" i="33"/>
  <c r="W305" i="33"/>
  <c r="X305" i="33"/>
  <c r="Y305" i="33"/>
  <c r="Z305" i="33"/>
  <c r="AA305" i="33"/>
  <c r="AB305" i="33"/>
  <c r="AC305" i="33"/>
  <c r="U305" i="33"/>
  <c r="O305" i="33"/>
  <c r="P305" i="33"/>
  <c r="Q305" i="33"/>
  <c r="R305" i="33"/>
  <c r="S305" i="33"/>
  <c r="T305" i="33"/>
  <c r="G273" i="33"/>
  <c r="W264" i="33"/>
  <c r="X264" i="33"/>
  <c r="Y264" i="33"/>
  <c r="Z264" i="33"/>
  <c r="AA264" i="33"/>
  <c r="AB264" i="33"/>
  <c r="AC264" i="33"/>
  <c r="O264" i="33"/>
  <c r="P264" i="33"/>
  <c r="Q264" i="33"/>
  <c r="R264" i="33"/>
  <c r="S264" i="33"/>
  <c r="T264" i="33"/>
  <c r="U264" i="33"/>
  <c r="W255" i="33"/>
  <c r="X255" i="33"/>
  <c r="Y255" i="33"/>
  <c r="Z255" i="33"/>
  <c r="AA255" i="33"/>
  <c r="AB255" i="33"/>
  <c r="AC255" i="33"/>
  <c r="O255" i="33"/>
  <c r="P255" i="33"/>
  <c r="Q255" i="33"/>
  <c r="R255" i="33"/>
  <c r="S255" i="33"/>
  <c r="T255" i="33"/>
  <c r="U255" i="33"/>
  <c r="W224" i="33"/>
  <c r="X224" i="33"/>
  <c r="Y224" i="33"/>
  <c r="Z224" i="33"/>
  <c r="AA224" i="33"/>
  <c r="AB224" i="33"/>
  <c r="AC224" i="33"/>
  <c r="O224" i="33"/>
  <c r="Q224" i="33"/>
  <c r="R224" i="33"/>
  <c r="S224" i="33"/>
  <c r="T224" i="33"/>
  <c r="X185" i="33"/>
  <c r="Y185" i="33"/>
  <c r="Z185" i="33"/>
  <c r="AA185" i="33"/>
  <c r="AB185" i="33"/>
  <c r="AC185" i="33"/>
  <c r="W185" i="33"/>
  <c r="O185" i="33"/>
  <c r="S185" i="33"/>
  <c r="T185" i="33"/>
  <c r="U185" i="33"/>
  <c r="G176" i="33"/>
  <c r="W158" i="33"/>
  <c r="X158" i="33"/>
  <c r="Y158" i="33"/>
  <c r="Z158" i="33"/>
  <c r="AA158" i="33"/>
  <c r="AB158" i="33"/>
  <c r="AC158" i="33"/>
  <c r="U158" i="33"/>
  <c r="O158" i="33"/>
  <c r="P158" i="33"/>
  <c r="Q158" i="33"/>
  <c r="R158" i="33"/>
  <c r="S158" i="33"/>
  <c r="T158" i="33"/>
  <c r="W154" i="33"/>
  <c r="X154" i="33"/>
  <c r="Y154" i="33"/>
  <c r="AB154" i="33"/>
  <c r="AC154" i="33"/>
  <c r="Z154" i="33"/>
  <c r="AA154" i="33"/>
  <c r="O154" i="33"/>
  <c r="P154" i="33"/>
  <c r="Q154" i="33"/>
  <c r="R154" i="33"/>
  <c r="S154" i="33"/>
  <c r="T154" i="33"/>
  <c r="U154" i="33"/>
  <c r="W150" i="33"/>
  <c r="X150" i="33"/>
  <c r="Y150" i="33"/>
  <c r="Z150" i="33"/>
  <c r="AA150" i="33"/>
  <c r="AB150" i="33"/>
  <c r="AC150" i="33"/>
  <c r="O150" i="33"/>
  <c r="P150" i="33"/>
  <c r="Q150" i="33"/>
  <c r="R150" i="33"/>
  <c r="S150" i="33"/>
  <c r="T150" i="33"/>
  <c r="U150" i="33"/>
  <c r="G141" i="33"/>
  <c r="I116" i="33"/>
  <c r="G86" i="33"/>
  <c r="K81" i="33"/>
  <c r="I73" i="33"/>
  <c r="W63" i="33"/>
  <c r="X63" i="33"/>
  <c r="Y63" i="33"/>
  <c r="Z63" i="33"/>
  <c r="AA63" i="33"/>
  <c r="AB63" i="33"/>
  <c r="AC63" i="33"/>
  <c r="O63" i="33"/>
  <c r="Q63" i="33"/>
  <c r="R63" i="33"/>
  <c r="P63" i="33"/>
  <c r="S63" i="33"/>
  <c r="T63" i="33"/>
  <c r="U63" i="33"/>
  <c r="W59" i="33"/>
  <c r="X59" i="33"/>
  <c r="Y59" i="33"/>
  <c r="Z59" i="33"/>
  <c r="AA59" i="33"/>
  <c r="AB59" i="33"/>
  <c r="AC59" i="33"/>
  <c r="O59" i="33"/>
  <c r="P59" i="33"/>
  <c r="Q59" i="33"/>
  <c r="R59" i="33"/>
  <c r="S59" i="33"/>
  <c r="T59" i="33"/>
  <c r="U59" i="33"/>
  <c r="AB29" i="33"/>
  <c r="AC29" i="33"/>
  <c r="W29" i="33"/>
  <c r="X29" i="33"/>
  <c r="Y29" i="33"/>
  <c r="Z29" i="33"/>
  <c r="AA29" i="33"/>
  <c r="S29" i="33"/>
  <c r="T29" i="33"/>
  <c r="U29" i="33"/>
  <c r="O29" i="33"/>
  <c r="P29" i="33"/>
  <c r="Q29" i="33"/>
  <c r="R29" i="33"/>
  <c r="H16" i="33"/>
  <c r="T217" i="33"/>
  <c r="O109" i="33"/>
  <c r="I310" i="33"/>
  <c r="I273" i="33"/>
  <c r="W251" i="33"/>
  <c r="X251" i="33"/>
  <c r="Y251" i="33"/>
  <c r="Z251" i="33"/>
  <c r="AA251" i="33"/>
  <c r="AB251" i="33"/>
  <c r="AC251" i="33"/>
  <c r="O251" i="33"/>
  <c r="P251" i="33"/>
  <c r="R251" i="33"/>
  <c r="S251" i="33"/>
  <c r="T251" i="33"/>
  <c r="U251" i="33"/>
  <c r="Q251" i="33"/>
  <c r="AC247" i="33"/>
  <c r="W247" i="33"/>
  <c r="X247" i="33"/>
  <c r="Y247" i="33"/>
  <c r="Z247" i="33"/>
  <c r="AA247" i="33"/>
  <c r="AB247" i="33"/>
  <c r="O247" i="33"/>
  <c r="P247" i="33"/>
  <c r="Q247" i="33"/>
  <c r="R247" i="33"/>
  <c r="S247" i="33"/>
  <c r="T247" i="33"/>
  <c r="U247" i="33"/>
  <c r="G216" i="33"/>
  <c r="W115" i="33"/>
  <c r="X115" i="33"/>
  <c r="Y115" i="33"/>
  <c r="Z115" i="33"/>
  <c r="AA115" i="33"/>
  <c r="AB115" i="33"/>
  <c r="AC115" i="33"/>
  <c r="S115" i="33"/>
  <c r="T115" i="33"/>
  <c r="U115" i="33"/>
  <c r="P115" i="33"/>
  <c r="Q115" i="33"/>
  <c r="R115" i="33"/>
  <c r="O115" i="33"/>
  <c r="W76" i="33"/>
  <c r="X76" i="33"/>
  <c r="Y76" i="33"/>
  <c r="Z76" i="33"/>
  <c r="AA76" i="33"/>
  <c r="AB76" i="33"/>
  <c r="AC76" i="33"/>
  <c r="P76" i="33"/>
  <c r="S76" i="33"/>
  <c r="O76" i="33"/>
  <c r="Q76" i="33"/>
  <c r="R76" i="33"/>
  <c r="T76" i="33"/>
  <c r="U76" i="33"/>
  <c r="W72" i="33"/>
  <c r="X72" i="33"/>
  <c r="Y72" i="33"/>
  <c r="Z72" i="33"/>
  <c r="AA72" i="33"/>
  <c r="AB72" i="33"/>
  <c r="AC72" i="33"/>
  <c r="O72" i="33"/>
  <c r="P72" i="33"/>
  <c r="Q72" i="33"/>
  <c r="R72" i="33"/>
  <c r="S72" i="33"/>
  <c r="T72" i="33"/>
  <c r="U72" i="33"/>
  <c r="W68" i="33"/>
  <c r="X68" i="33"/>
  <c r="Y68" i="33"/>
  <c r="Z68" i="33"/>
  <c r="AA68" i="33"/>
  <c r="AB68" i="33"/>
  <c r="AC68" i="33"/>
  <c r="O68" i="33"/>
  <c r="P68" i="33"/>
  <c r="Q68" i="33"/>
  <c r="R68" i="33"/>
  <c r="S68" i="33"/>
  <c r="T68" i="33"/>
  <c r="U68" i="33"/>
  <c r="W46" i="33"/>
  <c r="X46" i="33"/>
  <c r="Y46" i="33"/>
  <c r="Z46" i="33"/>
  <c r="AA46" i="33"/>
  <c r="AB46" i="33"/>
  <c r="AC46" i="33"/>
  <c r="O46" i="33"/>
  <c r="P46" i="33"/>
  <c r="Q46" i="33"/>
  <c r="R46" i="33"/>
  <c r="S46" i="33"/>
  <c r="T46" i="33"/>
  <c r="U46" i="33"/>
  <c r="X25" i="33"/>
  <c r="Y25" i="33"/>
  <c r="Z25" i="33"/>
  <c r="AA25" i="33"/>
  <c r="AB25" i="33"/>
  <c r="AC25" i="33"/>
  <c r="W25" i="33"/>
  <c r="O25" i="33"/>
  <c r="P25" i="33"/>
  <c r="Q25" i="33"/>
  <c r="R25" i="33"/>
  <c r="T25" i="33"/>
  <c r="U25" i="33"/>
  <c r="S25" i="33"/>
  <c r="S217" i="33"/>
  <c r="R92" i="33"/>
  <c r="K322" i="33"/>
  <c r="X309" i="33"/>
  <c r="Z309" i="33"/>
  <c r="AA309" i="33"/>
  <c r="AB309" i="33"/>
  <c r="W309" i="33"/>
  <c r="Y309" i="33"/>
  <c r="AC309" i="33"/>
  <c r="O309" i="33"/>
  <c r="P309" i="33"/>
  <c r="Q309" i="33"/>
  <c r="R309" i="33"/>
  <c r="S309" i="33"/>
  <c r="T309" i="33"/>
  <c r="U309" i="33"/>
  <c r="W297" i="33"/>
  <c r="X297" i="33"/>
  <c r="Y297" i="33"/>
  <c r="Z297" i="33"/>
  <c r="AA297" i="33"/>
  <c r="AB297" i="33"/>
  <c r="AC297" i="33"/>
  <c r="O297" i="33"/>
  <c r="Q297" i="33"/>
  <c r="R297" i="33"/>
  <c r="S297" i="33"/>
  <c r="G285" i="33"/>
  <c r="I281" i="33"/>
  <c r="X272" i="33"/>
  <c r="Z272" i="33"/>
  <c r="AA272" i="33"/>
  <c r="AC272" i="33"/>
  <c r="W272" i="33"/>
  <c r="Y272" i="33"/>
  <c r="AB272" i="33"/>
  <c r="S272" i="33"/>
  <c r="T272" i="33"/>
  <c r="U272" i="33"/>
  <c r="O272" i="33"/>
  <c r="P272" i="33"/>
  <c r="Q272" i="33"/>
  <c r="K268" i="33"/>
  <c r="K260" i="33"/>
  <c r="I243" i="33"/>
  <c r="W229" i="33"/>
  <c r="X229" i="33"/>
  <c r="Y229" i="33"/>
  <c r="Z229" i="33"/>
  <c r="AA229" i="33"/>
  <c r="AB229" i="33"/>
  <c r="AC229" i="33"/>
  <c r="U229" i="33"/>
  <c r="O229" i="33"/>
  <c r="P229" i="33"/>
  <c r="Q229" i="33"/>
  <c r="S229" i="33"/>
  <c r="T229" i="33"/>
  <c r="R229" i="33"/>
  <c r="AC198" i="33"/>
  <c r="W198" i="33"/>
  <c r="X198" i="33"/>
  <c r="Y198" i="33"/>
  <c r="Z198" i="33"/>
  <c r="AA198" i="33"/>
  <c r="AB198" i="33"/>
  <c r="O198" i="33"/>
  <c r="P198" i="33"/>
  <c r="R198" i="33"/>
  <c r="T198" i="33"/>
  <c r="Q198" i="33"/>
  <c r="S198" i="33"/>
  <c r="U198" i="33"/>
  <c r="W175" i="33"/>
  <c r="X175" i="33"/>
  <c r="Y175" i="33"/>
  <c r="Z175" i="33"/>
  <c r="AA175" i="33"/>
  <c r="AB175" i="33"/>
  <c r="AC175" i="33"/>
  <c r="O175" i="33"/>
  <c r="P175" i="33"/>
  <c r="Q175" i="33"/>
  <c r="S175" i="33"/>
  <c r="U175" i="33"/>
  <c r="R175" i="33"/>
  <c r="T175" i="33"/>
  <c r="G172" i="33"/>
  <c r="J154" i="33"/>
  <c r="K145" i="33"/>
  <c r="W140" i="33"/>
  <c r="X140" i="33"/>
  <c r="Y140" i="33"/>
  <c r="Z140" i="33"/>
  <c r="AA140" i="33"/>
  <c r="AB140" i="33"/>
  <c r="AC140" i="33"/>
  <c r="O140" i="33"/>
  <c r="P140" i="33"/>
  <c r="R140" i="33"/>
  <c r="S140" i="33"/>
  <c r="T140" i="33"/>
  <c r="U140" i="33"/>
  <c r="W123" i="33"/>
  <c r="X123" i="33"/>
  <c r="Y123" i="33"/>
  <c r="Z123" i="33"/>
  <c r="AA123" i="33"/>
  <c r="AB123" i="33"/>
  <c r="AC123" i="33"/>
  <c r="O123" i="33"/>
  <c r="P123" i="33"/>
  <c r="Q123" i="33"/>
  <c r="R123" i="33"/>
  <c r="S123" i="33"/>
  <c r="U123" i="33"/>
  <c r="T123" i="33"/>
  <c r="W85" i="33"/>
  <c r="X85" i="33"/>
  <c r="Y85" i="33"/>
  <c r="Z85" i="33"/>
  <c r="AA85" i="33"/>
  <c r="AB85" i="33"/>
  <c r="AC85" i="33"/>
  <c r="O85" i="33"/>
  <c r="P85" i="33"/>
  <c r="Q85" i="33"/>
  <c r="R85" i="33"/>
  <c r="S85" i="33"/>
  <c r="T85" i="33"/>
  <c r="U85" i="33"/>
  <c r="J63" i="33"/>
  <c r="J59" i="33"/>
  <c r="W50" i="33"/>
  <c r="X50" i="33"/>
  <c r="Y50" i="33"/>
  <c r="Z50" i="33"/>
  <c r="AA50" i="33"/>
  <c r="AB50" i="33"/>
  <c r="AC50" i="33"/>
  <c r="O50" i="33"/>
  <c r="P50" i="33"/>
  <c r="Q50" i="33"/>
  <c r="R50" i="33"/>
  <c r="S50" i="33"/>
  <c r="T50" i="33"/>
  <c r="U50" i="33"/>
  <c r="K46" i="33"/>
  <c r="W42" i="33"/>
  <c r="X42" i="33"/>
  <c r="Y42" i="33"/>
  <c r="Z42" i="33"/>
  <c r="AA42" i="33"/>
  <c r="AB42" i="33"/>
  <c r="AC42" i="33"/>
  <c r="Q42" i="33"/>
  <c r="R42" i="33"/>
  <c r="S42" i="33"/>
  <c r="T42" i="33"/>
  <c r="U42" i="33"/>
  <c r="O42" i="33"/>
  <c r="P42" i="33"/>
  <c r="AC38" i="33"/>
  <c r="W38" i="33"/>
  <c r="X38" i="33"/>
  <c r="Y38" i="33"/>
  <c r="Z38" i="33"/>
  <c r="AA38" i="33"/>
  <c r="AB38" i="33"/>
  <c r="T38" i="33"/>
  <c r="U38" i="33"/>
  <c r="O38" i="33"/>
  <c r="P38" i="33"/>
  <c r="Q38" i="33"/>
  <c r="R38" i="33"/>
  <c r="S38" i="33"/>
  <c r="P286" i="33"/>
  <c r="R217" i="33"/>
  <c r="Q92" i="33"/>
  <c r="G340" i="33"/>
  <c r="H322" i="33"/>
  <c r="W280" i="33"/>
  <c r="X280" i="33"/>
  <c r="Y280" i="33"/>
  <c r="Z280" i="33"/>
  <c r="AB280" i="33"/>
  <c r="AC280" i="33"/>
  <c r="AA280" i="33"/>
  <c r="P280" i="33"/>
  <c r="Q280" i="33"/>
  <c r="R280" i="33"/>
  <c r="T280" i="33"/>
  <c r="O280" i="33"/>
  <c r="S280" i="33"/>
  <c r="U280" i="33"/>
  <c r="AB276" i="33"/>
  <c r="AC276" i="33"/>
  <c r="W276" i="33"/>
  <c r="X276" i="33"/>
  <c r="Y276" i="33"/>
  <c r="Z276" i="33"/>
  <c r="AA276" i="33"/>
  <c r="P276" i="33"/>
  <c r="O276" i="33"/>
  <c r="Q276" i="33"/>
  <c r="R276" i="33"/>
  <c r="S276" i="33"/>
  <c r="T276" i="33"/>
  <c r="U276" i="33"/>
  <c r="W242" i="33"/>
  <c r="X242" i="33"/>
  <c r="Y242" i="33"/>
  <c r="Z242" i="33"/>
  <c r="AA242" i="33"/>
  <c r="AB242" i="33"/>
  <c r="AC242" i="33"/>
  <c r="O242" i="33"/>
  <c r="P242" i="33"/>
  <c r="Q242" i="33"/>
  <c r="R242" i="33"/>
  <c r="S242" i="33"/>
  <c r="T242" i="33"/>
  <c r="U242" i="33"/>
  <c r="Z215" i="33"/>
  <c r="AA215" i="33"/>
  <c r="AB215" i="33"/>
  <c r="AC215" i="33"/>
  <c r="W215" i="33"/>
  <c r="X215" i="33"/>
  <c r="Y215" i="33"/>
  <c r="O215" i="33"/>
  <c r="P215" i="33"/>
  <c r="Q215" i="33"/>
  <c r="R215" i="33"/>
  <c r="S215" i="33"/>
  <c r="T215" i="33"/>
  <c r="U215" i="33"/>
  <c r="W211" i="33"/>
  <c r="X211" i="33"/>
  <c r="Y211" i="33"/>
  <c r="Z211" i="33"/>
  <c r="AA211" i="33"/>
  <c r="AB211" i="33"/>
  <c r="AC211" i="33"/>
  <c r="S211" i="33"/>
  <c r="T211" i="33"/>
  <c r="U211" i="33"/>
  <c r="O211" i="33"/>
  <c r="P211" i="33"/>
  <c r="Q211" i="33"/>
  <c r="R211" i="33"/>
  <c r="W206" i="33"/>
  <c r="X206" i="33"/>
  <c r="Y206" i="33"/>
  <c r="Z206" i="33"/>
  <c r="AA206" i="33"/>
  <c r="AB206" i="33"/>
  <c r="AC206" i="33"/>
  <c r="O206" i="33"/>
  <c r="P206" i="33"/>
  <c r="Q206" i="33"/>
  <c r="R206" i="33"/>
  <c r="S206" i="33"/>
  <c r="T206" i="33"/>
  <c r="U206" i="33"/>
  <c r="W202" i="33"/>
  <c r="X202" i="33"/>
  <c r="Y202" i="33"/>
  <c r="Z202" i="33"/>
  <c r="AA202" i="33"/>
  <c r="AB202" i="33"/>
  <c r="AC202" i="33"/>
  <c r="R202" i="33"/>
  <c r="S202" i="33"/>
  <c r="T202" i="33"/>
  <c r="O202" i="33"/>
  <c r="P202" i="33"/>
  <c r="Q202" i="33"/>
  <c r="U202" i="33"/>
  <c r="I193" i="33"/>
  <c r="W188" i="33"/>
  <c r="X188" i="33"/>
  <c r="Y188" i="33"/>
  <c r="Z188" i="33"/>
  <c r="AA188" i="33"/>
  <c r="AB188" i="33"/>
  <c r="AC188" i="33"/>
  <c r="T188" i="33"/>
  <c r="U188" i="33"/>
  <c r="O188" i="33"/>
  <c r="P188" i="33"/>
  <c r="Q188" i="33"/>
  <c r="R188" i="33"/>
  <c r="S188" i="33"/>
  <c r="G185" i="33"/>
  <c r="AA180" i="33"/>
  <c r="AB180" i="33"/>
  <c r="AC180" i="33"/>
  <c r="W180" i="33"/>
  <c r="X180" i="33"/>
  <c r="Y180" i="33"/>
  <c r="Z180" i="33"/>
  <c r="P180" i="33"/>
  <c r="R180" i="33"/>
  <c r="T180" i="33"/>
  <c r="U180" i="33"/>
  <c r="O180" i="33"/>
  <c r="Q180" i="33"/>
  <c r="S180" i="33"/>
  <c r="Y162" i="33"/>
  <c r="Z162" i="33"/>
  <c r="AA162" i="33"/>
  <c r="AB162" i="33"/>
  <c r="AC162" i="33"/>
  <c r="W162" i="33"/>
  <c r="X162" i="33"/>
  <c r="P162" i="33"/>
  <c r="O162" i="33"/>
  <c r="Q162" i="33"/>
  <c r="R162" i="33"/>
  <c r="S162" i="33"/>
  <c r="T162" i="33"/>
  <c r="U162" i="33"/>
  <c r="J140" i="33"/>
  <c r="W127" i="33"/>
  <c r="X127" i="33"/>
  <c r="Y127" i="33"/>
  <c r="Z127" i="33"/>
  <c r="AA127" i="33"/>
  <c r="AB127" i="33"/>
  <c r="AC127" i="33"/>
  <c r="O127" i="33"/>
  <c r="P127" i="33"/>
  <c r="Q127" i="33"/>
  <c r="R127" i="33"/>
  <c r="S127" i="33"/>
  <c r="T127" i="33"/>
  <c r="U127" i="33"/>
  <c r="W110" i="33"/>
  <c r="X110" i="33"/>
  <c r="Z110" i="33"/>
  <c r="Y110" i="33"/>
  <c r="AA110" i="33"/>
  <c r="AB110" i="33"/>
  <c r="AC110" i="33"/>
  <c r="O110" i="33"/>
  <c r="P110" i="33"/>
  <c r="Q110" i="33"/>
  <c r="R110" i="33"/>
  <c r="S110" i="33"/>
  <c r="T110" i="33"/>
  <c r="U110" i="33"/>
  <c r="W106" i="33"/>
  <c r="X106" i="33"/>
  <c r="Y106" i="33"/>
  <c r="Z106" i="33"/>
  <c r="AA106" i="33"/>
  <c r="AB106" i="33"/>
  <c r="AC106" i="33"/>
  <c r="R106" i="33"/>
  <c r="S106" i="33"/>
  <c r="T106" i="33"/>
  <c r="O106" i="33"/>
  <c r="P106" i="33"/>
  <c r="Q106" i="33"/>
  <c r="U106" i="33"/>
  <c r="AB93" i="33"/>
  <c r="AC93" i="33"/>
  <c r="W93" i="33"/>
  <c r="X93" i="33"/>
  <c r="Y93" i="33"/>
  <c r="Z93" i="33"/>
  <c r="AA93" i="33"/>
  <c r="O93" i="33"/>
  <c r="Q93" i="33"/>
  <c r="S93" i="33"/>
  <c r="P93" i="33"/>
  <c r="R93" i="33"/>
  <c r="T93" i="33"/>
  <c r="U93" i="33"/>
  <c r="W80" i="33"/>
  <c r="X80" i="33"/>
  <c r="Y80" i="33"/>
  <c r="Z80" i="33"/>
  <c r="AA80" i="33"/>
  <c r="AB80" i="33"/>
  <c r="AC80" i="33"/>
  <c r="O80" i="33"/>
  <c r="P80" i="33"/>
  <c r="Q80" i="33"/>
  <c r="R80" i="33"/>
  <c r="T80" i="33"/>
  <c r="S80" i="33"/>
  <c r="U80" i="33"/>
  <c r="J72" i="33"/>
  <c r="W55" i="33"/>
  <c r="X55" i="33"/>
  <c r="Y55" i="33"/>
  <c r="Z55" i="33"/>
  <c r="AA55" i="33"/>
  <c r="AB55" i="33"/>
  <c r="AC55" i="33"/>
  <c r="O55" i="33"/>
  <c r="P55" i="33"/>
  <c r="Q55" i="33"/>
  <c r="R55" i="33"/>
  <c r="S55" i="33"/>
  <c r="T55" i="33"/>
  <c r="U55" i="33"/>
  <c r="K50" i="33"/>
  <c r="O286" i="33"/>
  <c r="P92" i="33"/>
  <c r="I340" i="33"/>
  <c r="H331" i="33"/>
  <c r="I322" i="33"/>
  <c r="H318" i="33"/>
  <c r="Y313" i="33"/>
  <c r="AB313" i="33"/>
  <c r="W313" i="33"/>
  <c r="X313" i="33"/>
  <c r="Z313" i="33"/>
  <c r="AA313" i="33"/>
  <c r="AC313" i="33"/>
  <c r="O313" i="33"/>
  <c r="P313" i="33"/>
  <c r="Q313" i="33"/>
  <c r="R313" i="33"/>
  <c r="S313" i="33"/>
  <c r="W284" i="33"/>
  <c r="X284" i="33"/>
  <c r="Y284" i="33"/>
  <c r="Z284" i="33"/>
  <c r="AA284" i="33"/>
  <c r="AB284" i="33"/>
  <c r="AC284" i="33"/>
  <c r="O284" i="33"/>
  <c r="P284" i="33"/>
  <c r="Q284" i="33"/>
  <c r="R284" i="33"/>
  <c r="S284" i="33"/>
  <c r="T284" i="33"/>
  <c r="U284" i="33"/>
  <c r="J272" i="33"/>
  <c r="K229" i="33"/>
  <c r="W219" i="33"/>
  <c r="X219" i="33"/>
  <c r="Y219" i="33"/>
  <c r="Z219" i="33"/>
  <c r="AA219" i="33"/>
  <c r="AB219" i="33"/>
  <c r="AC219" i="33"/>
  <c r="O219" i="33"/>
  <c r="P219" i="33"/>
  <c r="Q219" i="33"/>
  <c r="R219" i="33"/>
  <c r="S219" i="33"/>
  <c r="T219" i="33"/>
  <c r="U219" i="33"/>
  <c r="W192" i="33"/>
  <c r="X192" i="33"/>
  <c r="Y192" i="33"/>
  <c r="Z192" i="33"/>
  <c r="AA192" i="33"/>
  <c r="AB192" i="33"/>
  <c r="AC192" i="33"/>
  <c r="O192" i="33"/>
  <c r="P192" i="33"/>
  <c r="Q192" i="33"/>
  <c r="R192" i="33"/>
  <c r="S192" i="33"/>
  <c r="T192" i="33"/>
  <c r="U192" i="33"/>
  <c r="J188" i="33"/>
  <c r="J175" i="33"/>
  <c r="Z171" i="33"/>
  <c r="AA171" i="33"/>
  <c r="AB171" i="33"/>
  <c r="AC171" i="33"/>
  <c r="W171" i="33"/>
  <c r="X171" i="33"/>
  <c r="Y171" i="33"/>
  <c r="O171" i="33"/>
  <c r="Q171" i="33"/>
  <c r="P171" i="33"/>
  <c r="R171" i="33"/>
  <c r="S171" i="33"/>
  <c r="T171" i="33"/>
  <c r="U171" i="33"/>
  <c r="J162" i="33"/>
  <c r="J123" i="33"/>
  <c r="AC102" i="33"/>
  <c r="W102" i="33"/>
  <c r="X102" i="33"/>
  <c r="Y102" i="33"/>
  <c r="Z102" i="33"/>
  <c r="AA102" i="33"/>
  <c r="AB102" i="33"/>
  <c r="O102" i="33"/>
  <c r="P102" i="33"/>
  <c r="R102" i="33"/>
  <c r="T102" i="33"/>
  <c r="Q102" i="33"/>
  <c r="S102" i="33"/>
  <c r="U102" i="33"/>
  <c r="J85" i="33"/>
  <c r="J42" i="33"/>
  <c r="W33" i="33"/>
  <c r="X33" i="33"/>
  <c r="Y33" i="33"/>
  <c r="Z33" i="33"/>
  <c r="AA33" i="33"/>
  <c r="AB33" i="33"/>
  <c r="AC33" i="33"/>
  <c r="O33" i="33"/>
  <c r="P33" i="33"/>
  <c r="Q33" i="33"/>
  <c r="R33" i="33"/>
  <c r="S33" i="33"/>
  <c r="T33" i="33"/>
  <c r="U33" i="33"/>
  <c r="S54" i="33"/>
  <c r="W339" i="33"/>
  <c r="X339" i="33"/>
  <c r="Y339" i="33"/>
  <c r="Z339" i="33"/>
  <c r="AA339" i="33"/>
  <c r="AB339" i="33"/>
  <c r="AC339" i="33"/>
  <c r="O339" i="33"/>
  <c r="P339" i="33"/>
  <c r="Q339" i="33"/>
  <c r="R339" i="33"/>
  <c r="S339" i="33"/>
  <c r="T339" i="33"/>
  <c r="U339" i="33"/>
  <c r="I327" i="33"/>
  <c r="W321" i="33"/>
  <c r="X321" i="33"/>
  <c r="Y321" i="33"/>
  <c r="Z321" i="33"/>
  <c r="AA321" i="33"/>
  <c r="AB321" i="33"/>
  <c r="AC321" i="33"/>
  <c r="O321" i="33"/>
  <c r="P321" i="33"/>
  <c r="Q321" i="33"/>
  <c r="R321" i="33"/>
  <c r="S321" i="33"/>
  <c r="T321" i="33"/>
  <c r="U321" i="33"/>
  <c r="H309" i="33"/>
  <c r="I272" i="33"/>
  <c r="AA267" i="33"/>
  <c r="AC267" i="33"/>
  <c r="W267" i="33"/>
  <c r="X267" i="33"/>
  <c r="Y267" i="33"/>
  <c r="Z267" i="33"/>
  <c r="AB267" i="33"/>
  <c r="O267" i="33"/>
  <c r="Q267" i="33"/>
  <c r="R267" i="33"/>
  <c r="S267" i="33"/>
  <c r="T267" i="33"/>
  <c r="P267" i="33"/>
  <c r="U267" i="33"/>
  <c r="X259" i="33"/>
  <c r="Y259" i="33"/>
  <c r="Z259" i="33"/>
  <c r="AB259" i="33"/>
  <c r="AC259" i="33"/>
  <c r="W259" i="33"/>
  <c r="AA259" i="33"/>
  <c r="T259" i="33"/>
  <c r="U259" i="33"/>
  <c r="O259" i="33"/>
  <c r="P259" i="33"/>
  <c r="W237" i="33"/>
  <c r="X237" i="33"/>
  <c r="Y237" i="33"/>
  <c r="Z237" i="33"/>
  <c r="AA237" i="33"/>
  <c r="AB237" i="33"/>
  <c r="AC237" i="33"/>
  <c r="O237" i="33"/>
  <c r="P237" i="33"/>
  <c r="Q237" i="33"/>
  <c r="R237" i="33"/>
  <c r="S237" i="33"/>
  <c r="T237" i="33"/>
  <c r="U237" i="33"/>
  <c r="Y223" i="33"/>
  <c r="W223" i="33"/>
  <c r="X223" i="33"/>
  <c r="Z223" i="33"/>
  <c r="AA223" i="33"/>
  <c r="AB223" i="33"/>
  <c r="AC223" i="33"/>
  <c r="T223" i="33"/>
  <c r="U223" i="33"/>
  <c r="O223" i="33"/>
  <c r="P223" i="33"/>
  <c r="Q223" i="33"/>
  <c r="R223" i="33"/>
  <c r="S223" i="33"/>
  <c r="J215" i="33"/>
  <c r="J202" i="33"/>
  <c r="W184" i="33"/>
  <c r="X184" i="33"/>
  <c r="Y184" i="33"/>
  <c r="Z184" i="33"/>
  <c r="AA184" i="33"/>
  <c r="AB184" i="33"/>
  <c r="AC184" i="33"/>
  <c r="P184" i="33"/>
  <c r="Q184" i="33"/>
  <c r="R184" i="33"/>
  <c r="T184" i="33"/>
  <c r="O184" i="33"/>
  <c r="S184" i="33"/>
  <c r="U184" i="33"/>
  <c r="W167" i="33"/>
  <c r="X167" i="33"/>
  <c r="Y167" i="33"/>
  <c r="Z167" i="33"/>
  <c r="AA167" i="33"/>
  <c r="AB167" i="33"/>
  <c r="AC167" i="33"/>
  <c r="O167" i="33"/>
  <c r="P167" i="33"/>
  <c r="Q167" i="33"/>
  <c r="U167" i="33"/>
  <c r="W149" i="33"/>
  <c r="X149" i="33"/>
  <c r="Y149" i="33"/>
  <c r="Z149" i="33"/>
  <c r="AA149" i="33"/>
  <c r="AB149" i="33"/>
  <c r="AC149" i="33"/>
  <c r="O149" i="33"/>
  <c r="P149" i="33"/>
  <c r="Q149" i="33"/>
  <c r="R149" i="33"/>
  <c r="S149" i="33"/>
  <c r="T149" i="33"/>
  <c r="U149" i="33"/>
  <c r="W144" i="33"/>
  <c r="X144" i="33"/>
  <c r="Y144" i="33"/>
  <c r="Z144" i="33"/>
  <c r="AA144" i="33"/>
  <c r="AB144" i="33"/>
  <c r="AC144" i="33"/>
  <c r="O144" i="33"/>
  <c r="P144" i="33"/>
  <c r="Q144" i="33"/>
  <c r="R144" i="33"/>
  <c r="S144" i="33"/>
  <c r="T144" i="33"/>
  <c r="U144" i="33"/>
  <c r="H140" i="33"/>
  <c r="W132" i="33"/>
  <c r="X132" i="33"/>
  <c r="Y132" i="33"/>
  <c r="Z132" i="33"/>
  <c r="AA132" i="33"/>
  <c r="AB132" i="33"/>
  <c r="AC132" i="33"/>
  <c r="O132" i="33"/>
  <c r="P132" i="33"/>
  <c r="Q132" i="33"/>
  <c r="R132" i="33"/>
  <c r="S132" i="33"/>
  <c r="T132" i="33"/>
  <c r="U132" i="33"/>
  <c r="J127" i="33"/>
  <c r="W119" i="33"/>
  <c r="X119" i="33"/>
  <c r="Y119" i="33"/>
  <c r="AA119" i="33"/>
  <c r="Z119" i="33"/>
  <c r="AB119" i="33"/>
  <c r="AC119" i="33"/>
  <c r="O119" i="33"/>
  <c r="P119" i="33"/>
  <c r="Q119" i="33"/>
  <c r="R119" i="33"/>
  <c r="S119" i="33"/>
  <c r="T119" i="33"/>
  <c r="U119" i="33"/>
  <c r="I115" i="33"/>
  <c r="J106" i="33"/>
  <c r="J93" i="33"/>
  <c r="I80" i="33"/>
  <c r="H72" i="33"/>
  <c r="H68" i="33"/>
  <c r="G38" i="33"/>
  <c r="J33" i="33"/>
  <c r="AA20" i="33"/>
  <c r="AB20" i="33"/>
  <c r="AC20" i="33"/>
  <c r="W20" i="33"/>
  <c r="X20" i="33"/>
  <c r="Y20" i="33"/>
  <c r="Z20" i="33"/>
  <c r="R20" i="33"/>
  <c r="S20" i="33"/>
  <c r="T20" i="33"/>
  <c r="U20" i="33"/>
  <c r="O20" i="33"/>
  <c r="P20" i="33"/>
  <c r="Q20" i="33"/>
  <c r="R54" i="33"/>
  <c r="W330" i="33"/>
  <c r="X330" i="33"/>
  <c r="Y330" i="33"/>
  <c r="Z330" i="33"/>
  <c r="AA330" i="33"/>
  <c r="AB330" i="33"/>
  <c r="AC330" i="33"/>
  <c r="O330" i="33"/>
  <c r="P330" i="33"/>
  <c r="Q330" i="33"/>
  <c r="R330" i="33"/>
  <c r="S330" i="33"/>
  <c r="T330" i="33"/>
  <c r="G327" i="33"/>
  <c r="AC317" i="33"/>
  <c r="X317" i="33"/>
  <c r="Y317" i="33"/>
  <c r="Z317" i="33"/>
  <c r="AA317" i="33"/>
  <c r="AB317" i="33"/>
  <c r="W317" i="33"/>
  <c r="O317" i="33"/>
  <c r="P317" i="33"/>
  <c r="Q317" i="33"/>
  <c r="R317" i="33"/>
  <c r="S317" i="33"/>
  <c r="T317" i="33"/>
  <c r="U317" i="33"/>
  <c r="W300" i="33"/>
  <c r="Y300" i="33"/>
  <c r="Z300" i="33"/>
  <c r="AA300" i="33"/>
  <c r="X300" i="33"/>
  <c r="AB300" i="33"/>
  <c r="AC300" i="33"/>
  <c r="O300" i="33"/>
  <c r="P300" i="33"/>
  <c r="Q300" i="33"/>
  <c r="R300" i="33"/>
  <c r="S300" i="33"/>
  <c r="T300" i="33"/>
  <c r="U300" i="33"/>
  <c r="W292" i="33"/>
  <c r="X292" i="33"/>
  <c r="Z292" i="33"/>
  <c r="AA292" i="33"/>
  <c r="Y292" i="33"/>
  <c r="AB292" i="33"/>
  <c r="AC292" i="33"/>
  <c r="P292" i="33"/>
  <c r="Q292" i="33"/>
  <c r="R292" i="33"/>
  <c r="T292" i="33"/>
  <c r="U292" i="33"/>
  <c r="O292" i="33"/>
  <c r="S292" i="33"/>
  <c r="I289" i="33"/>
  <c r="I280" i="33"/>
  <c r="J259" i="33"/>
  <c r="K242" i="33"/>
  <c r="I192" i="33"/>
  <c r="K180" i="33"/>
  <c r="H144" i="33"/>
  <c r="W136" i="33"/>
  <c r="X136" i="33"/>
  <c r="Y136" i="33"/>
  <c r="Z136" i="33"/>
  <c r="AA136" i="33"/>
  <c r="AB136" i="33"/>
  <c r="AC136" i="33"/>
  <c r="O136" i="33"/>
  <c r="P136" i="33"/>
  <c r="Q136" i="33"/>
  <c r="R136" i="33"/>
  <c r="S136" i="33"/>
  <c r="G132" i="33"/>
  <c r="W114" i="33"/>
  <c r="X114" i="33"/>
  <c r="Y114" i="33"/>
  <c r="Z114" i="33"/>
  <c r="AA114" i="33"/>
  <c r="AB114" i="33"/>
  <c r="AC114" i="33"/>
  <c r="O114" i="33"/>
  <c r="P114" i="33"/>
  <c r="Q114" i="33"/>
  <c r="R114" i="33"/>
  <c r="S114" i="33"/>
  <c r="T114" i="33"/>
  <c r="U114" i="33"/>
  <c r="K76" i="33"/>
  <c r="I68" i="33"/>
  <c r="H55" i="33"/>
  <c r="G46" i="33"/>
  <c r="I38" i="33"/>
  <c r="G29" i="33"/>
  <c r="G20" i="33"/>
  <c r="R204" i="33"/>
  <c r="Q54" i="33"/>
  <c r="P99" i="33"/>
  <c r="I62" i="33"/>
  <c r="G54" i="33"/>
  <c r="K33" i="33"/>
  <c r="I25" i="33"/>
  <c r="W99" i="33"/>
  <c r="X99" i="33"/>
  <c r="Y99" i="33"/>
  <c r="Z99" i="33"/>
  <c r="AA99" i="33"/>
  <c r="AB99" i="33"/>
  <c r="AC99" i="33"/>
  <c r="Q99" i="33"/>
  <c r="R99" i="33"/>
  <c r="S99" i="33"/>
  <c r="T99" i="33"/>
  <c r="U99" i="33"/>
  <c r="G45" i="33"/>
  <c r="W32" i="33"/>
  <c r="X32" i="33"/>
  <c r="Y32" i="33"/>
  <c r="Z32" i="33"/>
  <c r="AA32" i="33"/>
  <c r="AB32" i="33"/>
  <c r="AC32" i="33"/>
  <c r="Q32" i="33"/>
  <c r="R32" i="33"/>
  <c r="S32" i="33"/>
  <c r="T32" i="33"/>
  <c r="U32" i="33"/>
  <c r="O32" i="33"/>
  <c r="P32" i="33"/>
  <c r="J20" i="33"/>
  <c r="K99" i="33"/>
  <c r="H87" i="33"/>
  <c r="G78" i="33"/>
  <c r="G70" i="33"/>
  <c r="K49" i="33"/>
  <c r="H32" i="33"/>
  <c r="I20" i="33"/>
  <c r="G416" i="33"/>
  <c r="K361" i="33"/>
  <c r="G294" i="33"/>
  <c r="G269" i="33"/>
  <c r="H269" i="33"/>
  <c r="K232" i="33"/>
  <c r="G214" i="33"/>
  <c r="H214" i="33"/>
  <c r="K167" i="33"/>
  <c r="K150" i="33"/>
  <c r="K121" i="33"/>
  <c r="K501" i="33"/>
  <c r="K485" i="33"/>
  <c r="K469" i="33"/>
  <c r="J456" i="33"/>
  <c r="H436" i="33"/>
  <c r="J429" i="33"/>
  <c r="H402" i="33"/>
  <c r="J395" i="33"/>
  <c r="K388" i="33"/>
  <c r="H378" i="33"/>
  <c r="H364" i="33"/>
  <c r="H350" i="33"/>
  <c r="K308" i="33"/>
  <c r="I294" i="33"/>
  <c r="H225" i="33"/>
  <c r="I214" i="33"/>
  <c r="G150" i="33"/>
  <c r="H150" i="33"/>
  <c r="J677" i="33"/>
  <c r="H674" i="33"/>
  <c r="J661" i="33"/>
  <c r="H658" i="33"/>
  <c r="J645" i="33"/>
  <c r="H642" i="33"/>
  <c r="J629" i="33"/>
  <c r="H626" i="33"/>
  <c r="J613" i="33"/>
  <c r="H610" i="33"/>
  <c r="J597" i="33"/>
  <c r="H594" i="33"/>
  <c r="J581" i="33"/>
  <c r="H578" i="33"/>
  <c r="J565" i="33"/>
  <c r="H562" i="33"/>
  <c r="J549" i="33"/>
  <c r="H546" i="33"/>
  <c r="J533" i="33"/>
  <c r="H530" i="33"/>
  <c r="H514" i="33"/>
  <c r="H498" i="33"/>
  <c r="H482" i="33"/>
  <c r="H466" i="33"/>
  <c r="H446" i="33"/>
  <c r="K439" i="33"/>
  <c r="H412" i="33"/>
  <c r="K405" i="33"/>
  <c r="K381" i="33"/>
  <c r="K367" i="33"/>
  <c r="I361" i="33"/>
  <c r="H357" i="33"/>
  <c r="H343" i="33"/>
  <c r="K329" i="33"/>
  <c r="H272" i="33"/>
  <c r="H254" i="33"/>
  <c r="G247" i="33"/>
  <c r="H243" i="33"/>
  <c r="I225" i="33"/>
  <c r="G221" i="33"/>
  <c r="H221" i="33"/>
  <c r="G162" i="33"/>
  <c r="I158" i="33"/>
  <c r="J158" i="33"/>
  <c r="I150" i="33"/>
  <c r="J150" i="33"/>
  <c r="I121" i="33"/>
  <c r="J121" i="33"/>
  <c r="K70" i="33"/>
  <c r="K680" i="33"/>
  <c r="K664" i="33"/>
  <c r="K648" i="33"/>
  <c r="K632" i="33"/>
  <c r="K616" i="33"/>
  <c r="K600" i="33"/>
  <c r="K584" i="33"/>
  <c r="K504" i="33"/>
  <c r="K488" i="33"/>
  <c r="K472" i="33"/>
  <c r="K459" i="33"/>
  <c r="H456" i="33"/>
  <c r="K449" i="33"/>
  <c r="H429" i="33"/>
  <c r="K415" i="33"/>
  <c r="K353" i="33"/>
  <c r="K346" i="33"/>
  <c r="J339" i="33"/>
  <c r="I325" i="33"/>
  <c r="H677" i="33"/>
  <c r="H661" i="33"/>
  <c r="H645" i="33"/>
  <c r="H629" i="33"/>
  <c r="H613" i="33"/>
  <c r="H597" i="33"/>
  <c r="H581" i="33"/>
  <c r="J568" i="33"/>
  <c r="H565" i="33"/>
  <c r="J552" i="33"/>
  <c r="H549" i="33"/>
  <c r="J536" i="33"/>
  <c r="H533" i="33"/>
  <c r="J520" i="33"/>
  <c r="H517" i="33"/>
  <c r="J504" i="33"/>
  <c r="H501" i="33"/>
  <c r="J488" i="33"/>
  <c r="H485" i="33"/>
  <c r="J472" i="33"/>
  <c r="H469" i="33"/>
  <c r="J459" i="33"/>
  <c r="J449" i="33"/>
  <c r="I439" i="33"/>
  <c r="K432" i="33"/>
  <c r="I422" i="33"/>
  <c r="J415" i="33"/>
  <c r="I405" i="33"/>
  <c r="H388" i="33"/>
  <c r="I367" i="33"/>
  <c r="J346" i="33"/>
  <c r="K651" i="33"/>
  <c r="K635" i="33"/>
  <c r="K619" i="33"/>
  <c r="K603" i="33"/>
  <c r="K587" i="33"/>
  <c r="K571" i="33"/>
  <c r="H422" i="33"/>
  <c r="H381" i="33"/>
  <c r="H374" i="33"/>
  <c r="I265" i="33"/>
  <c r="J265" i="33"/>
  <c r="H224" i="33"/>
  <c r="J224" i="33"/>
  <c r="K217" i="33"/>
  <c r="K198" i="33"/>
  <c r="K166" i="33"/>
  <c r="G99" i="33"/>
  <c r="H99" i="33"/>
  <c r="J683" i="33"/>
  <c r="H680" i="33"/>
  <c r="J667" i="33"/>
  <c r="H664" i="33"/>
  <c r="H648" i="33"/>
  <c r="H632" i="33"/>
  <c r="H616" i="33"/>
  <c r="H600" i="33"/>
  <c r="H584" i="33"/>
  <c r="K332" i="33"/>
  <c r="G318" i="33"/>
  <c r="I297" i="33"/>
  <c r="G209" i="33"/>
  <c r="G198" i="33"/>
  <c r="H198" i="33"/>
  <c r="K182" i="33"/>
  <c r="G166" i="33"/>
  <c r="H166" i="33"/>
  <c r="G145" i="33"/>
  <c r="K124" i="33"/>
  <c r="I124" i="33"/>
  <c r="I217" i="33"/>
  <c r="J217" i="33"/>
  <c r="I198" i="33"/>
  <c r="G182" i="33"/>
  <c r="H182" i="33"/>
  <c r="I166" i="33"/>
  <c r="J166" i="33"/>
  <c r="I145" i="33"/>
  <c r="K137" i="33"/>
  <c r="K300" i="33"/>
  <c r="G286" i="33"/>
  <c r="I182" i="33"/>
  <c r="J182" i="33"/>
  <c r="K673" i="33"/>
  <c r="K657" i="33"/>
  <c r="G432" i="33"/>
  <c r="J428" i="33"/>
  <c r="J401" i="33"/>
  <c r="I374" i="33"/>
  <c r="J363" i="33"/>
  <c r="J356" i="33"/>
  <c r="J342" i="33"/>
  <c r="J271" i="33"/>
  <c r="K216" i="33"/>
  <c r="G205" i="33"/>
  <c r="H205" i="33"/>
  <c r="K197" i="33"/>
  <c r="I137" i="33"/>
  <c r="J137" i="33"/>
  <c r="G19" i="33"/>
  <c r="H19" i="33"/>
  <c r="J673" i="33"/>
  <c r="H670" i="33"/>
  <c r="J657" i="33"/>
  <c r="H654" i="33"/>
  <c r="J641" i="33"/>
  <c r="H638" i="33"/>
  <c r="J625" i="33"/>
  <c r="H622" i="33"/>
  <c r="H606" i="33"/>
  <c r="H590" i="33"/>
  <c r="H574" i="33"/>
  <c r="H558" i="33"/>
  <c r="J545" i="33"/>
  <c r="H542" i="33"/>
  <c r="J529" i="33"/>
  <c r="H526" i="33"/>
  <c r="J513" i="33"/>
  <c r="H510" i="33"/>
  <c r="J497" i="33"/>
  <c r="H494" i="33"/>
  <c r="J481" i="33"/>
  <c r="H478" i="33"/>
  <c r="J465" i="33"/>
  <c r="K455" i="33"/>
  <c r="J445" i="33"/>
  <c r="H418" i="33"/>
  <c r="J411" i="33"/>
  <c r="K394" i="33"/>
  <c r="I353" i="33"/>
  <c r="K338" i="33"/>
  <c r="K331" i="33"/>
  <c r="H303" i="33"/>
  <c r="H282" i="33"/>
  <c r="H264" i="33"/>
  <c r="K246" i="33"/>
  <c r="K231" i="33"/>
  <c r="J228" i="33"/>
  <c r="K223" i="33"/>
  <c r="K220" i="33"/>
  <c r="I209" i="33"/>
  <c r="J193" i="33"/>
  <c r="K612" i="33"/>
  <c r="K596" i="33"/>
  <c r="K580" i="33"/>
  <c r="K564" i="33"/>
  <c r="K548" i="33"/>
  <c r="K532" i="33"/>
  <c r="K516" i="33"/>
  <c r="K500" i="33"/>
  <c r="K484" i="33"/>
  <c r="K468" i="33"/>
  <c r="H428" i="33"/>
  <c r="K421" i="33"/>
  <c r="H401" i="33"/>
  <c r="J387" i="33"/>
  <c r="K373" i="33"/>
  <c r="H363" i="33"/>
  <c r="H356" i="33"/>
  <c r="J324" i="33"/>
  <c r="J310" i="33"/>
  <c r="H296" i="33"/>
  <c r="K285" i="33"/>
  <c r="H271" i="33"/>
  <c r="J260" i="33"/>
  <c r="G246" i="33"/>
  <c r="H246" i="33"/>
  <c r="H242" i="33"/>
  <c r="K238" i="33"/>
  <c r="J231" i="33"/>
  <c r="J223" i="33"/>
  <c r="G161" i="33"/>
  <c r="H161" i="33"/>
  <c r="K153" i="33"/>
  <c r="I86" i="33"/>
  <c r="J86" i="33"/>
  <c r="H609" i="33"/>
  <c r="H593" i="33"/>
  <c r="H577" i="33"/>
  <c r="H561" i="33"/>
  <c r="H545" i="33"/>
  <c r="H529" i="33"/>
  <c r="H513" i="33"/>
  <c r="H497" i="33"/>
  <c r="H481" i="33"/>
  <c r="H465" i="33"/>
  <c r="H445" i="33"/>
  <c r="J438" i="33"/>
  <c r="K431" i="33"/>
  <c r="H411" i="33"/>
  <c r="K404" i="33"/>
  <c r="H387" i="33"/>
  <c r="I380" i="33"/>
  <c r="J373" i="33"/>
  <c r="K366" i="33"/>
  <c r="K352" i="33"/>
  <c r="I338" i="33"/>
  <c r="I324" i="33"/>
  <c r="I321" i="33"/>
  <c r="H317" i="33"/>
  <c r="I260" i="33"/>
  <c r="I257" i="33"/>
  <c r="I246" i="33"/>
  <c r="H227" i="33"/>
  <c r="H216" i="33"/>
  <c r="H197" i="33"/>
  <c r="K193" i="33"/>
  <c r="G189" i="33"/>
  <c r="H189" i="33"/>
  <c r="H185" i="33"/>
  <c r="G177" i="33"/>
  <c r="H177" i="33"/>
  <c r="G169" i="33"/>
  <c r="H165" i="33"/>
  <c r="I161" i="33"/>
  <c r="G115" i="33"/>
  <c r="H115" i="33"/>
  <c r="H455" i="33"/>
  <c r="K448" i="33"/>
  <c r="J345" i="33"/>
  <c r="G253" i="33"/>
  <c r="H253" i="33"/>
  <c r="H208" i="33"/>
  <c r="J208" i="33"/>
  <c r="G193" i="33"/>
  <c r="H193" i="33"/>
  <c r="I177" i="33"/>
  <c r="I153" i="33"/>
  <c r="J153" i="33"/>
  <c r="G380" i="33"/>
  <c r="G324" i="33"/>
  <c r="I201" i="33"/>
  <c r="J201" i="33"/>
  <c r="G310" i="33"/>
  <c r="H256" i="33"/>
  <c r="K185" i="33"/>
  <c r="K102" i="33"/>
  <c r="K438" i="33"/>
  <c r="I227" i="33"/>
  <c r="J227" i="33"/>
  <c r="H192" i="33"/>
  <c r="J192" i="33"/>
  <c r="K192" i="33"/>
  <c r="I169" i="33"/>
  <c r="J169" i="33"/>
  <c r="G35" i="33"/>
  <c r="H35" i="33"/>
  <c r="G438" i="33"/>
  <c r="K345" i="33"/>
  <c r="G278" i="33"/>
  <c r="G238" i="33"/>
  <c r="K212" i="33"/>
  <c r="K204" i="33"/>
  <c r="I185" i="33"/>
  <c r="J185" i="33"/>
  <c r="K156" i="33"/>
  <c r="I102" i="33"/>
  <c r="J102" i="33"/>
  <c r="H682" i="33"/>
  <c r="J669" i="33"/>
  <c r="H666" i="33"/>
  <c r="J653" i="33"/>
  <c r="H650" i="33"/>
  <c r="J637" i="33"/>
  <c r="H634" i="33"/>
  <c r="J621" i="33"/>
  <c r="H618" i="33"/>
  <c r="J605" i="33"/>
  <c r="H602" i="33"/>
  <c r="J589" i="33"/>
  <c r="H586" i="33"/>
  <c r="J573" i="33"/>
  <c r="H570" i="33"/>
  <c r="J557" i="33"/>
  <c r="H554" i="33"/>
  <c r="J541" i="33"/>
  <c r="H538" i="33"/>
  <c r="J525" i="33"/>
  <c r="H522" i="33"/>
  <c r="J509" i="33"/>
  <c r="H506" i="33"/>
  <c r="J493" i="33"/>
  <c r="H490" i="33"/>
  <c r="J477" i="33"/>
  <c r="H474" i="33"/>
  <c r="H451" i="33"/>
  <c r="G448" i="33"/>
  <c r="J444" i="33"/>
  <c r="K427" i="33"/>
  <c r="H424" i="33"/>
  <c r="J417" i="33"/>
  <c r="K400" i="33"/>
  <c r="K386" i="33"/>
  <c r="K362" i="33"/>
  <c r="J355" i="33"/>
  <c r="H334" i="33"/>
  <c r="J316" i="33"/>
  <c r="K309" i="33"/>
  <c r="K295" i="33"/>
  <c r="K292" i="33"/>
  <c r="I278" i="33"/>
  <c r="I249" i="33"/>
  <c r="J249" i="33"/>
  <c r="G131" i="33"/>
  <c r="H131" i="33"/>
  <c r="I669" i="33"/>
  <c r="I653" i="33"/>
  <c r="I637" i="33"/>
  <c r="I621" i="33"/>
  <c r="I605" i="33"/>
  <c r="I589" i="33"/>
  <c r="I573" i="33"/>
  <c r="I557" i="33"/>
  <c r="I541" i="33"/>
  <c r="I525" i="33"/>
  <c r="I509" i="33"/>
  <c r="I493" i="33"/>
  <c r="I477" i="33"/>
  <c r="K464" i="33"/>
  <c r="H461" i="33"/>
  <c r="I444" i="33"/>
  <c r="H434" i="33"/>
  <c r="J427" i="33"/>
  <c r="I417" i="33"/>
  <c r="H407" i="33"/>
  <c r="J386" i="33"/>
  <c r="H376" i="33"/>
  <c r="H369" i="33"/>
  <c r="J362" i="33"/>
  <c r="G348" i="33"/>
  <c r="I345" i="33"/>
  <c r="H341" i="33"/>
  <c r="H327" i="33"/>
  <c r="I316" i="33"/>
  <c r="J309" i="33"/>
  <c r="J295" i="33"/>
  <c r="I263" i="33"/>
  <c r="J226" i="33"/>
  <c r="J212" i="33"/>
  <c r="J207" i="33"/>
  <c r="K172" i="33"/>
  <c r="J168" i="33"/>
  <c r="I131" i="33"/>
  <c r="J131" i="33"/>
  <c r="K22" i="33"/>
  <c r="J464" i="33"/>
  <c r="J454" i="33"/>
  <c r="H400" i="33"/>
  <c r="J393" i="33"/>
  <c r="G390" i="33"/>
  <c r="J323" i="33"/>
  <c r="H302" i="33"/>
  <c r="G51" i="33"/>
  <c r="H51" i="33"/>
  <c r="G444" i="33"/>
  <c r="K281" i="33"/>
  <c r="K252" i="33"/>
  <c r="K164" i="33"/>
  <c r="I89" i="33"/>
  <c r="H164" i="33"/>
  <c r="G147" i="33"/>
  <c r="H147" i="33"/>
  <c r="K118" i="33"/>
  <c r="G230" i="33"/>
  <c r="H230" i="33"/>
  <c r="I147" i="33"/>
  <c r="J147" i="33"/>
  <c r="G118" i="33"/>
  <c r="H118" i="33"/>
  <c r="J678" i="33"/>
  <c r="J662" i="33"/>
  <c r="J646" i="33"/>
  <c r="J630" i="33"/>
  <c r="J614" i="33"/>
  <c r="J598" i="33"/>
  <c r="J582" i="33"/>
  <c r="J566" i="33"/>
  <c r="J550" i="33"/>
  <c r="J534" i="33"/>
  <c r="J518" i="33"/>
  <c r="J502" i="33"/>
  <c r="J486" i="33"/>
  <c r="J470" i="33"/>
  <c r="K454" i="33"/>
  <c r="K393" i="33"/>
  <c r="J389" i="33"/>
  <c r="G270" i="33"/>
  <c r="J244" i="33"/>
  <c r="I230" i="33"/>
  <c r="I196" i="33"/>
  <c r="J196" i="33"/>
  <c r="I180" i="33"/>
  <c r="I118" i="33"/>
  <c r="J118" i="33"/>
  <c r="G67" i="33"/>
  <c r="H67" i="33"/>
  <c r="G83" i="33"/>
  <c r="H83" i="33"/>
  <c r="G464" i="33"/>
  <c r="G454" i="33"/>
  <c r="J440" i="33"/>
  <c r="K423" i="33"/>
  <c r="J382" i="33"/>
  <c r="J287" i="33"/>
  <c r="K284" i="33"/>
  <c r="K280" i="33"/>
  <c r="J273" i="33"/>
  <c r="I241" i="33"/>
  <c r="G237" i="33"/>
  <c r="H237" i="33"/>
  <c r="I211" i="33"/>
  <c r="J211" i="33"/>
  <c r="K146" i="33"/>
  <c r="K105" i="33"/>
  <c r="J681" i="33"/>
  <c r="H678" i="33"/>
  <c r="J665" i="33"/>
  <c r="H662" i="33"/>
  <c r="J649" i="33"/>
  <c r="H646" i="33"/>
  <c r="J633" i="33"/>
  <c r="H630" i="33"/>
  <c r="J617" i="33"/>
  <c r="H614" i="33"/>
  <c r="J601" i="33"/>
  <c r="H598" i="33"/>
  <c r="J585" i="33"/>
  <c r="H582" i="33"/>
  <c r="J569" i="33"/>
  <c r="H566" i="33"/>
  <c r="J553" i="33"/>
  <c r="H550" i="33"/>
  <c r="J537" i="33"/>
  <c r="H534" i="33"/>
  <c r="J521" i="33"/>
  <c r="H518" i="33"/>
  <c r="J505" i="33"/>
  <c r="H502" i="33"/>
  <c r="J489" i="33"/>
  <c r="H486" i="33"/>
  <c r="J473" i="33"/>
  <c r="H470" i="33"/>
  <c r="J460" i="33"/>
  <c r="J450" i="33"/>
  <c r="H413" i="33"/>
  <c r="J406" i="33"/>
  <c r="I393" i="33"/>
  <c r="K375" i="33"/>
  <c r="J354" i="33"/>
  <c r="J347" i="33"/>
  <c r="J340" i="33"/>
  <c r="J326" i="33"/>
  <c r="J251" i="33"/>
  <c r="H244" i="33"/>
  <c r="G222" i="33"/>
  <c r="J199" i="33"/>
  <c r="H195" i="33"/>
  <c r="G105" i="33"/>
  <c r="K38" i="33"/>
  <c r="H440" i="33"/>
  <c r="J433" i="33"/>
  <c r="K416" i="33"/>
  <c r="J399" i="33"/>
  <c r="H382" i="33"/>
  <c r="K358" i="33"/>
  <c r="I337" i="33"/>
  <c r="H333" i="33"/>
  <c r="H287" i="33"/>
  <c r="K269" i="33"/>
  <c r="J262" i="33"/>
  <c r="J229" i="33"/>
  <c r="I199" i="33"/>
  <c r="G163" i="33"/>
  <c r="H163" i="33"/>
  <c r="I105" i="33"/>
  <c r="J684" i="33"/>
  <c r="H681" i="33"/>
  <c r="J668" i="33"/>
  <c r="H665" i="33"/>
  <c r="J652" i="33"/>
  <c r="H649" i="33"/>
  <c r="J636" i="33"/>
  <c r="H633" i="33"/>
  <c r="J620" i="33"/>
  <c r="H617" i="33"/>
  <c r="J604" i="33"/>
  <c r="H601" i="33"/>
  <c r="J588" i="33"/>
  <c r="H585" i="33"/>
  <c r="J572" i="33"/>
  <c r="H569" i="33"/>
  <c r="J556" i="33"/>
  <c r="H553" i="33"/>
  <c r="J540" i="33"/>
  <c r="H537" i="33"/>
  <c r="J524" i="33"/>
  <c r="H521" i="33"/>
  <c r="J508" i="33"/>
  <c r="H505" i="33"/>
  <c r="J492" i="33"/>
  <c r="H489" i="33"/>
  <c r="J476" i="33"/>
  <c r="H473" i="33"/>
  <c r="H460" i="33"/>
  <c r="H450" i="33"/>
  <c r="J443" i="33"/>
  <c r="K426" i="33"/>
  <c r="H423" i="33"/>
  <c r="H406" i="33"/>
  <c r="K396" i="33"/>
  <c r="H368" i="33"/>
  <c r="J361" i="33"/>
  <c r="H354" i="33"/>
  <c r="H347" i="33"/>
  <c r="H340" i="33"/>
  <c r="J322" i="33"/>
  <c r="J315" i="33"/>
  <c r="J308" i="33"/>
  <c r="J294" i="33"/>
  <c r="H280" i="33"/>
  <c r="J258" i="33"/>
  <c r="H251" i="33"/>
  <c r="H240" i="33"/>
  <c r="J240" i="33"/>
  <c r="J236" i="33"/>
  <c r="J210" i="33"/>
  <c r="G179" i="33"/>
  <c r="H179" i="33"/>
  <c r="I163" i="33"/>
  <c r="J163" i="33"/>
  <c r="H146" i="33"/>
  <c r="K134" i="33"/>
  <c r="J463" i="33"/>
  <c r="J453" i="33"/>
  <c r="H433" i="33"/>
  <c r="H416" i="33"/>
  <c r="H399" i="33"/>
  <c r="J392" i="33"/>
  <c r="J385" i="33"/>
  <c r="H375" i="33"/>
  <c r="H361" i="33"/>
  <c r="K336" i="33"/>
  <c r="H301" i="33"/>
  <c r="H294" i="33"/>
  <c r="K244" i="33"/>
  <c r="H229" i="33"/>
  <c r="J225" i="33"/>
  <c r="J214" i="33"/>
  <c r="J206" i="33"/>
  <c r="G199" i="33"/>
  <c r="I179" i="33"/>
  <c r="J179" i="33"/>
  <c r="H167" i="33"/>
  <c r="G134" i="33"/>
  <c r="H134" i="33"/>
  <c r="J409" i="33"/>
  <c r="K406" i="33"/>
  <c r="J329" i="33"/>
  <c r="G326" i="33"/>
  <c r="G262" i="33"/>
  <c r="H262" i="33"/>
  <c r="I233" i="33"/>
  <c r="J233" i="33"/>
  <c r="G225" i="33"/>
  <c r="H206" i="33"/>
  <c r="I195" i="33"/>
  <c r="J195" i="33"/>
  <c r="H183" i="33"/>
  <c r="I134" i="33"/>
  <c r="J134" i="33"/>
  <c r="H121" i="33"/>
  <c r="K54" i="33"/>
  <c r="I108" i="33"/>
  <c r="I92" i="33"/>
  <c r="I76" i="33"/>
  <c r="G41" i="33"/>
  <c r="I28" i="33"/>
  <c r="G28" i="33"/>
  <c r="J142" i="33"/>
  <c r="J126" i="33"/>
  <c r="J110" i="33"/>
  <c r="J94" i="33"/>
  <c r="J78" i="33"/>
  <c r="J62" i="33"/>
  <c r="J46" i="33"/>
  <c r="J30" i="33"/>
  <c r="J129" i="33"/>
  <c r="J113" i="33"/>
  <c r="J97" i="33"/>
  <c r="J81" i="33"/>
  <c r="J17" i="33"/>
  <c r="K20" i="33"/>
  <c r="J180" i="33"/>
  <c r="J164" i="33"/>
  <c r="J148" i="33"/>
  <c r="H145" i="33"/>
  <c r="J132" i="33"/>
  <c r="H129" i="33"/>
  <c r="J116" i="33"/>
  <c r="H113" i="33"/>
  <c r="J100" i="33"/>
  <c r="H97" i="33"/>
  <c r="J84" i="33"/>
  <c r="H81" i="33"/>
  <c r="J68" i="33"/>
  <c r="H65" i="33"/>
  <c r="J52" i="33"/>
  <c r="H49" i="33"/>
  <c r="J36" i="33"/>
  <c r="H33" i="33"/>
  <c r="H17" i="33"/>
  <c r="K23" i="33"/>
  <c r="J151" i="33"/>
  <c r="J135" i="33"/>
  <c r="J119" i="33"/>
  <c r="J103" i="33"/>
  <c r="J87" i="33"/>
  <c r="J71" i="33"/>
  <c r="J55" i="33"/>
  <c r="J39" i="33"/>
  <c r="J23" i="33"/>
  <c r="K176" i="33"/>
  <c r="K160" i="33"/>
  <c r="K144" i="33"/>
  <c r="K80" i="33"/>
  <c r="K64" i="33"/>
  <c r="K48" i="33"/>
  <c r="K32" i="33"/>
  <c r="K16" i="33"/>
  <c r="J176" i="33"/>
  <c r="H173" i="33"/>
  <c r="J160" i="33"/>
  <c r="H157" i="33"/>
  <c r="J144" i="33"/>
  <c r="H141" i="33"/>
  <c r="J128" i="33"/>
  <c r="H125" i="33"/>
  <c r="J112" i="33"/>
  <c r="H109" i="33"/>
  <c r="J96" i="33"/>
  <c r="H93" i="33"/>
  <c r="J80" i="33"/>
  <c r="H77" i="33"/>
  <c r="J64" i="33"/>
  <c r="H61" i="33"/>
  <c r="J48" i="33"/>
  <c r="H45" i="33"/>
  <c r="J32" i="33"/>
  <c r="H29" i="33"/>
  <c r="J16" i="33"/>
  <c r="J115" i="33"/>
  <c r="J99" i="33"/>
  <c r="J83" i="33"/>
  <c r="J67" i="33"/>
  <c r="J51" i="33"/>
  <c r="J35" i="33"/>
  <c r="J19" i="33"/>
  <c r="J70" i="33"/>
  <c r="J54" i="33"/>
  <c r="J38" i="33"/>
  <c r="J22" i="33"/>
  <c r="J105" i="33"/>
  <c r="H102" i="33"/>
  <c r="J89" i="33"/>
  <c r="H86" i="33"/>
  <c r="J73" i="33"/>
  <c r="H70" i="33"/>
  <c r="J57" i="33"/>
  <c r="H54" i="33"/>
  <c r="J41" i="33"/>
  <c r="H38" i="33"/>
  <c r="J25" i="33"/>
  <c r="H22" i="33"/>
  <c r="P6" i="36"/>
  <c r="Q6" i="36"/>
  <c r="R6" i="36"/>
  <c r="S6" i="36"/>
  <c r="U6" i="36"/>
  <c r="Z6" i="36"/>
  <c r="AA6" i="36"/>
  <c r="P7" i="36"/>
  <c r="Q7" i="36"/>
  <c r="R7" i="36"/>
  <c r="S7" i="36"/>
  <c r="U7" i="36"/>
  <c r="Z7" i="36"/>
  <c r="AA7" i="36"/>
  <c r="P8" i="36"/>
  <c r="Q8" i="36"/>
  <c r="R8" i="36"/>
  <c r="S8" i="36"/>
  <c r="U8" i="36"/>
  <c r="Z8" i="36"/>
  <c r="AA8" i="36"/>
  <c r="P9" i="36"/>
  <c r="Q9" i="36"/>
  <c r="R9" i="36"/>
  <c r="S9" i="36"/>
  <c r="U9" i="36"/>
  <c r="Z9" i="36"/>
  <c r="AA9" i="36"/>
  <c r="P10" i="36"/>
  <c r="Q10" i="36"/>
  <c r="R10" i="36"/>
  <c r="S10" i="36"/>
  <c r="U10" i="36"/>
  <c r="Z10" i="36"/>
  <c r="AA10" i="36"/>
  <c r="P11" i="36"/>
  <c r="Q11" i="36"/>
  <c r="R11" i="36"/>
  <c r="S11" i="36"/>
  <c r="U11" i="36"/>
  <c r="Z11" i="36"/>
  <c r="AA11" i="36"/>
  <c r="P12" i="36"/>
  <c r="Q12" i="36"/>
  <c r="R12" i="36"/>
  <c r="S12" i="36"/>
  <c r="U12" i="36"/>
  <c r="Z12" i="36"/>
  <c r="AA12" i="36"/>
  <c r="P13" i="36"/>
  <c r="Q13" i="36"/>
  <c r="R13" i="36"/>
  <c r="S13" i="36"/>
  <c r="U13" i="36"/>
  <c r="Z13" i="36"/>
  <c r="AA13" i="36"/>
  <c r="P14" i="36"/>
  <c r="Q14" i="36"/>
  <c r="R14" i="36"/>
  <c r="S14" i="36"/>
  <c r="U14" i="36"/>
  <c r="V14" i="36"/>
  <c r="W14" i="36"/>
  <c r="X14" i="36"/>
  <c r="Z14" i="36"/>
  <c r="AA14" i="36"/>
  <c r="P15" i="36"/>
  <c r="Q15" i="36"/>
  <c r="R15" i="36"/>
  <c r="S15" i="36"/>
  <c r="U15" i="36"/>
  <c r="Z15" i="36"/>
  <c r="AA15" i="36"/>
  <c r="P16" i="36"/>
  <c r="Q16" i="36"/>
  <c r="R16" i="36"/>
  <c r="S16" i="36"/>
  <c r="U16" i="36"/>
  <c r="Z16" i="36"/>
  <c r="AA16" i="36"/>
  <c r="P17" i="36"/>
  <c r="Q17" i="36"/>
  <c r="R17" i="36"/>
  <c r="S17" i="36"/>
  <c r="U17" i="36"/>
  <c r="Z17" i="36"/>
  <c r="AA17" i="36"/>
  <c r="P18" i="36"/>
  <c r="Q18" i="36"/>
  <c r="R18" i="36"/>
  <c r="S18" i="36"/>
  <c r="U18" i="36"/>
  <c r="Z18" i="36"/>
  <c r="AA18" i="36"/>
  <c r="P19" i="36"/>
  <c r="Q19" i="36"/>
  <c r="R19" i="36"/>
  <c r="S19" i="36"/>
  <c r="U19" i="36"/>
  <c r="Z19" i="36"/>
  <c r="AA19" i="36"/>
  <c r="P20" i="36"/>
  <c r="Q20" i="36"/>
  <c r="R20" i="36"/>
  <c r="S20" i="36"/>
  <c r="U20" i="36"/>
  <c r="Z20" i="36"/>
  <c r="AA20" i="36"/>
  <c r="P21" i="36"/>
  <c r="Q21" i="36"/>
  <c r="R21" i="36"/>
  <c r="S21" i="36"/>
  <c r="U21" i="36"/>
  <c r="Z21" i="36"/>
  <c r="AA21" i="36"/>
  <c r="P22" i="36"/>
  <c r="Q22" i="36"/>
  <c r="R22" i="36"/>
  <c r="S22" i="36"/>
  <c r="U22" i="36"/>
  <c r="Z22" i="36"/>
  <c r="AA22" i="36"/>
  <c r="P23" i="36"/>
  <c r="Q23" i="36"/>
  <c r="R23" i="36"/>
  <c r="S23" i="36"/>
  <c r="U23" i="36"/>
  <c r="Z23" i="36"/>
  <c r="AA23" i="36"/>
  <c r="P24" i="36"/>
  <c r="Q24" i="36"/>
  <c r="R24" i="36"/>
  <c r="S24" i="36"/>
  <c r="U24" i="36"/>
  <c r="Z24" i="36"/>
  <c r="AA24" i="36"/>
  <c r="P25" i="36"/>
  <c r="Q25" i="36"/>
  <c r="R25" i="36"/>
  <c r="S25" i="36"/>
  <c r="U25" i="36"/>
  <c r="Z25" i="36"/>
  <c r="AA25" i="36"/>
  <c r="P26" i="36"/>
  <c r="Q26" i="36"/>
  <c r="R26" i="36"/>
  <c r="S26" i="36"/>
  <c r="U26" i="36"/>
  <c r="Z26" i="36"/>
  <c r="AA26" i="36"/>
  <c r="P27" i="36"/>
  <c r="Q27" i="36"/>
  <c r="R27" i="36"/>
  <c r="S27" i="36"/>
  <c r="U27" i="36"/>
  <c r="Z27" i="36"/>
  <c r="AA27" i="36"/>
  <c r="P28" i="36"/>
  <c r="Q28" i="36"/>
  <c r="R28" i="36"/>
  <c r="S28" i="36"/>
  <c r="U28" i="36"/>
  <c r="V28" i="36"/>
  <c r="W28" i="36"/>
  <c r="X28" i="36"/>
  <c r="Z28" i="36"/>
  <c r="AA28" i="36"/>
  <c r="P29" i="36"/>
  <c r="Q29" i="36"/>
  <c r="R29" i="36"/>
  <c r="S29" i="36"/>
  <c r="U29" i="36"/>
  <c r="Z29" i="36"/>
  <c r="AA29" i="36"/>
  <c r="P30" i="36"/>
  <c r="Q30" i="36"/>
  <c r="R30" i="36"/>
  <c r="S30" i="36"/>
  <c r="U30" i="36"/>
  <c r="Z30" i="36"/>
  <c r="AA30" i="36"/>
  <c r="P31" i="36"/>
  <c r="Q31" i="36"/>
  <c r="R31" i="36"/>
  <c r="S31" i="36"/>
  <c r="U31" i="36"/>
  <c r="Z31" i="36"/>
  <c r="AA31" i="36"/>
  <c r="P32" i="36"/>
  <c r="Q32" i="36"/>
  <c r="R32" i="36"/>
  <c r="S32" i="36"/>
  <c r="U32" i="36"/>
  <c r="Z32" i="36"/>
  <c r="AA32" i="36"/>
  <c r="P33" i="36"/>
  <c r="Q33" i="36"/>
  <c r="R33" i="36"/>
  <c r="S33" i="36"/>
  <c r="U33" i="36"/>
  <c r="Z33" i="36"/>
  <c r="AA33" i="36"/>
  <c r="P34" i="36"/>
  <c r="Q34" i="36"/>
  <c r="R34" i="36"/>
  <c r="S34" i="36"/>
  <c r="U34" i="36"/>
  <c r="Z34" i="36"/>
  <c r="AA34" i="36"/>
  <c r="P35" i="36"/>
  <c r="Q35" i="36"/>
  <c r="R35" i="36"/>
  <c r="S35" i="36"/>
  <c r="U35" i="36"/>
  <c r="Z35" i="36"/>
  <c r="AA35" i="36"/>
  <c r="P36" i="36"/>
  <c r="Q36" i="36"/>
  <c r="R36" i="36"/>
  <c r="S36" i="36"/>
  <c r="U36" i="36"/>
  <c r="Z36" i="36"/>
  <c r="AA36" i="36"/>
  <c r="P37" i="36"/>
  <c r="Q37" i="36"/>
  <c r="R37" i="36"/>
  <c r="S37" i="36"/>
  <c r="U37" i="36"/>
  <c r="Z37" i="36"/>
  <c r="AA37" i="36"/>
  <c r="P38" i="36"/>
  <c r="Q38" i="36"/>
  <c r="R38" i="36"/>
  <c r="S38" i="36"/>
  <c r="U38" i="36"/>
  <c r="Z38" i="36"/>
  <c r="AA38" i="36"/>
  <c r="P39" i="36"/>
  <c r="Q39" i="36"/>
  <c r="R39" i="36"/>
  <c r="U39" i="36"/>
  <c r="Z39" i="36"/>
  <c r="AA39" i="36"/>
  <c r="P40" i="36"/>
  <c r="Q40" i="36"/>
  <c r="R40" i="36"/>
  <c r="U40" i="36"/>
  <c r="Z40" i="36"/>
  <c r="AA40" i="36"/>
  <c r="P41" i="36"/>
  <c r="Q41" i="36"/>
  <c r="R41" i="36"/>
  <c r="U41" i="36"/>
  <c r="Z41" i="36"/>
  <c r="AA41" i="36"/>
  <c r="P42" i="36"/>
  <c r="Q42" i="36"/>
  <c r="R42" i="36"/>
  <c r="U42" i="36"/>
  <c r="Z42" i="36"/>
  <c r="AA42" i="36"/>
  <c r="P43" i="36"/>
  <c r="Q43" i="36"/>
  <c r="R43" i="36"/>
  <c r="U43" i="36"/>
  <c r="Z43" i="36"/>
  <c r="AA43" i="36"/>
  <c r="P44" i="36"/>
  <c r="Q44" i="36"/>
  <c r="R44" i="36"/>
  <c r="U44" i="36"/>
  <c r="Z44" i="36"/>
  <c r="AA44" i="36"/>
  <c r="P45" i="36"/>
  <c r="Q45" i="36"/>
  <c r="R45" i="36"/>
  <c r="U45" i="36"/>
  <c r="Z45" i="36"/>
  <c r="AA45" i="36"/>
  <c r="P46" i="36"/>
  <c r="Q46" i="36"/>
  <c r="R46" i="36"/>
  <c r="U46" i="36"/>
  <c r="Z46" i="36"/>
  <c r="AA46" i="36"/>
  <c r="P47" i="36"/>
  <c r="Q47" i="36"/>
  <c r="R47" i="36"/>
  <c r="U47" i="36"/>
  <c r="Z47" i="36"/>
  <c r="AA47" i="36"/>
  <c r="P48" i="36"/>
  <c r="Q48" i="36"/>
  <c r="R48" i="36"/>
  <c r="U48" i="36"/>
  <c r="Z48" i="36"/>
  <c r="AA48" i="36"/>
  <c r="P49" i="36"/>
  <c r="Q49" i="36"/>
  <c r="R49" i="36"/>
  <c r="U49" i="36"/>
  <c r="Z49" i="36"/>
  <c r="AA49" i="36"/>
  <c r="P50" i="36"/>
  <c r="Q50" i="36"/>
  <c r="R50" i="36"/>
  <c r="U50" i="36"/>
  <c r="Z50" i="36"/>
  <c r="AA50" i="36"/>
  <c r="P51" i="36"/>
  <c r="Q51" i="36"/>
  <c r="R51" i="36"/>
  <c r="U51" i="36"/>
  <c r="Z51" i="36"/>
  <c r="AA51" i="36"/>
  <c r="P52" i="36"/>
  <c r="Q52" i="36"/>
  <c r="R52" i="36"/>
  <c r="U52" i="36"/>
  <c r="Z52" i="36"/>
  <c r="AA52" i="36"/>
  <c r="P53" i="36"/>
  <c r="Q53" i="36"/>
  <c r="R53" i="36"/>
  <c r="U53" i="36"/>
  <c r="Z53" i="36"/>
  <c r="AA53" i="36"/>
  <c r="P54" i="36"/>
  <c r="Q54" i="36"/>
  <c r="R54" i="36"/>
  <c r="U54" i="36"/>
  <c r="Z54" i="36"/>
  <c r="AA54" i="36"/>
  <c r="P55" i="36"/>
  <c r="Q55" i="36"/>
  <c r="R55" i="36"/>
  <c r="U55" i="36"/>
  <c r="Z55" i="36"/>
  <c r="AA55" i="36"/>
  <c r="P56" i="36"/>
  <c r="Q56" i="36"/>
  <c r="R56" i="36"/>
  <c r="U56" i="36"/>
  <c r="Z56" i="36"/>
  <c r="AA56" i="36"/>
  <c r="P57" i="36"/>
  <c r="Q57" i="36"/>
  <c r="R57" i="36"/>
  <c r="U57" i="36"/>
  <c r="Z57" i="36"/>
  <c r="AA57" i="36"/>
  <c r="P58" i="36"/>
  <c r="Q58" i="36"/>
  <c r="R58" i="36"/>
  <c r="U58" i="36"/>
  <c r="Z58" i="36"/>
  <c r="AA58" i="36"/>
  <c r="P59" i="36"/>
  <c r="Q59" i="36"/>
  <c r="R59" i="36"/>
  <c r="U59" i="36"/>
  <c r="Z59" i="36"/>
  <c r="AA59" i="36"/>
  <c r="P60" i="36"/>
  <c r="Q60" i="36"/>
  <c r="R60" i="36"/>
  <c r="U60" i="36"/>
  <c r="Z60" i="36"/>
  <c r="AA60" i="36"/>
  <c r="P61" i="36"/>
  <c r="Q61" i="36"/>
  <c r="R61" i="36"/>
  <c r="U61" i="36"/>
  <c r="Z61" i="36"/>
  <c r="AA61" i="36"/>
  <c r="P62" i="36"/>
  <c r="Q62" i="36"/>
  <c r="R62" i="36"/>
  <c r="U62" i="36"/>
  <c r="Z62" i="36"/>
  <c r="AA62" i="36"/>
  <c r="P63" i="36"/>
  <c r="Q63" i="36"/>
  <c r="R63" i="36"/>
  <c r="U63" i="36"/>
  <c r="Z63" i="36"/>
  <c r="AA63" i="36"/>
  <c r="U64" i="36"/>
  <c r="V64" i="36"/>
  <c r="W64" i="36"/>
  <c r="Z64" i="36"/>
  <c r="AA64" i="36"/>
  <c r="U65" i="36"/>
  <c r="V65" i="36"/>
  <c r="W65" i="36"/>
  <c r="Z65" i="36"/>
  <c r="AA65" i="36"/>
  <c r="U66" i="36"/>
  <c r="V66" i="36"/>
  <c r="W66" i="36"/>
  <c r="Z66" i="36"/>
  <c r="AA66" i="36"/>
  <c r="S67" i="36"/>
  <c r="U67" i="36"/>
  <c r="Z67" i="36"/>
  <c r="AA67" i="36"/>
  <c r="S68" i="36"/>
  <c r="U68" i="36"/>
  <c r="Z68" i="36"/>
  <c r="AA68" i="36"/>
  <c r="S69" i="36"/>
  <c r="U69" i="36"/>
  <c r="Z69" i="36"/>
  <c r="AA69" i="36"/>
  <c r="S70" i="36"/>
  <c r="U70" i="36"/>
  <c r="Z70" i="36"/>
  <c r="AA70" i="36"/>
  <c r="S71" i="36"/>
  <c r="U71" i="36"/>
  <c r="Z71" i="36"/>
  <c r="AA71" i="36"/>
  <c r="S72" i="36"/>
  <c r="U72" i="36"/>
  <c r="Z72" i="36"/>
  <c r="AA72" i="36"/>
  <c r="S73" i="36"/>
  <c r="U73" i="36"/>
  <c r="Z73" i="36"/>
  <c r="AA73" i="36"/>
  <c r="S74" i="36"/>
  <c r="U74" i="36"/>
  <c r="Z74" i="36"/>
  <c r="AA74" i="36"/>
  <c r="S75" i="36"/>
  <c r="U75" i="36"/>
  <c r="Z75" i="36"/>
  <c r="AA75" i="36"/>
  <c r="S76" i="36"/>
  <c r="U76" i="36"/>
  <c r="Z76" i="36"/>
  <c r="AA76" i="36"/>
  <c r="S77" i="36"/>
  <c r="U77" i="36"/>
  <c r="Z77" i="36"/>
  <c r="AA77" i="36"/>
  <c r="S78" i="36"/>
  <c r="U78" i="36"/>
  <c r="Z78" i="36"/>
  <c r="AA78" i="36"/>
  <c r="S79" i="36"/>
  <c r="U79" i="36"/>
  <c r="Z79" i="36"/>
  <c r="AA79" i="36"/>
  <c r="S80" i="36"/>
  <c r="U80" i="36"/>
  <c r="Z80" i="36"/>
  <c r="AA80" i="36"/>
  <c r="P81" i="36"/>
  <c r="Q81" i="36"/>
  <c r="R81" i="36"/>
  <c r="U81" i="36"/>
  <c r="Z81" i="36"/>
  <c r="AA81" i="36"/>
  <c r="P82" i="36"/>
  <c r="Q82" i="36"/>
  <c r="R82" i="36"/>
  <c r="U82" i="36"/>
  <c r="Z82" i="36"/>
  <c r="AA82" i="36"/>
  <c r="P83" i="36"/>
  <c r="Q83" i="36"/>
  <c r="R83" i="36"/>
  <c r="U83" i="36"/>
  <c r="Z83" i="36"/>
  <c r="AA83" i="36"/>
  <c r="P84" i="36"/>
  <c r="Q84" i="36"/>
  <c r="R84" i="36"/>
  <c r="U84" i="36"/>
  <c r="Z84" i="36"/>
  <c r="AA84" i="36"/>
  <c r="P85" i="36"/>
  <c r="Q85" i="36"/>
  <c r="R85" i="36"/>
  <c r="U85" i="36"/>
  <c r="Z85" i="36"/>
  <c r="AA85" i="36"/>
  <c r="P86" i="36"/>
  <c r="Q86" i="36"/>
  <c r="R86" i="36"/>
  <c r="U86" i="36"/>
  <c r="Z86" i="36"/>
  <c r="AA86" i="36"/>
  <c r="P87" i="36"/>
  <c r="Q87" i="36"/>
  <c r="R87" i="36"/>
  <c r="U87" i="36"/>
  <c r="Z87" i="36"/>
  <c r="AA87" i="36"/>
  <c r="P88" i="36"/>
  <c r="Q88" i="36"/>
  <c r="R88" i="36"/>
  <c r="U88" i="36"/>
  <c r="Z88" i="36"/>
  <c r="AA88" i="36"/>
  <c r="P89" i="36"/>
  <c r="Q89" i="36"/>
  <c r="R89" i="36"/>
  <c r="U89" i="36"/>
  <c r="Z89" i="36"/>
  <c r="AA89" i="36"/>
  <c r="P90" i="36"/>
  <c r="Q90" i="36"/>
  <c r="R90" i="36"/>
  <c r="U90" i="36"/>
  <c r="Z90" i="36"/>
  <c r="AA90" i="36"/>
  <c r="P91" i="36"/>
  <c r="Q91" i="36"/>
  <c r="R91" i="36"/>
  <c r="U91" i="36"/>
  <c r="Z91" i="36"/>
  <c r="AA91" i="36"/>
  <c r="P92" i="36"/>
  <c r="Q92" i="36"/>
  <c r="R92" i="36"/>
  <c r="U92" i="36"/>
  <c r="Z92" i="36"/>
  <c r="AA92" i="36"/>
  <c r="P93" i="36"/>
  <c r="Q93" i="36"/>
  <c r="R93" i="36"/>
  <c r="U93" i="36"/>
  <c r="Z93" i="36"/>
  <c r="AA93" i="36"/>
  <c r="P94" i="36"/>
  <c r="Q94" i="36"/>
  <c r="R94" i="36"/>
  <c r="U94" i="36"/>
  <c r="Z94" i="36"/>
  <c r="AA94" i="36"/>
  <c r="P95" i="36"/>
  <c r="Q95" i="36"/>
  <c r="R95" i="36"/>
  <c r="U95" i="36"/>
  <c r="Z95" i="36"/>
  <c r="AA95" i="36"/>
  <c r="P96" i="36"/>
  <c r="Q96" i="36"/>
  <c r="R96" i="36"/>
  <c r="U96" i="36"/>
  <c r="Z96" i="36"/>
  <c r="AA96" i="36"/>
  <c r="P97" i="36"/>
  <c r="Q97" i="36"/>
  <c r="R97" i="36"/>
  <c r="U97" i="36"/>
  <c r="Z97" i="36"/>
  <c r="AA97" i="36"/>
  <c r="P98" i="36"/>
  <c r="Q98" i="36"/>
  <c r="R98" i="36"/>
  <c r="U98" i="36"/>
  <c r="Z98" i="36"/>
  <c r="AA98" i="36"/>
  <c r="P99" i="36"/>
  <c r="Q99" i="36"/>
  <c r="R99" i="36"/>
  <c r="U99" i="36"/>
  <c r="Z99" i="36"/>
  <c r="AA99" i="36"/>
  <c r="P100" i="36"/>
  <c r="Q100" i="36"/>
  <c r="R100" i="36"/>
  <c r="U100" i="36"/>
  <c r="Z100" i="36"/>
  <c r="AA100" i="36"/>
  <c r="P101" i="36"/>
  <c r="Q101" i="36"/>
  <c r="R101" i="36"/>
  <c r="U101" i="36"/>
  <c r="Z101" i="36"/>
  <c r="AA101" i="36"/>
  <c r="P102" i="36"/>
  <c r="Q102" i="36"/>
  <c r="R102" i="36"/>
  <c r="U102" i="36"/>
  <c r="Z102" i="36"/>
  <c r="AA102" i="36"/>
  <c r="P103" i="36"/>
  <c r="Q103" i="36"/>
  <c r="R103" i="36"/>
  <c r="U103" i="36"/>
  <c r="Z103" i="36"/>
  <c r="AA103" i="36"/>
  <c r="P104" i="36"/>
  <c r="Q104" i="36"/>
  <c r="R104" i="36"/>
  <c r="U104" i="36"/>
  <c r="Z104" i="36"/>
  <c r="AA104" i="36"/>
  <c r="P105" i="36"/>
  <c r="Q105" i="36"/>
  <c r="R105" i="36"/>
  <c r="U105" i="36"/>
  <c r="Z105" i="36"/>
  <c r="AA105" i="36"/>
  <c r="P106" i="36"/>
  <c r="Q106" i="36"/>
  <c r="R106" i="36"/>
  <c r="U106" i="36"/>
  <c r="Z106" i="36"/>
  <c r="AA106" i="36"/>
  <c r="P107" i="36"/>
  <c r="Q107" i="36"/>
  <c r="R107" i="36"/>
  <c r="U107" i="36"/>
  <c r="Z107" i="36"/>
  <c r="AA107" i="36"/>
  <c r="P108" i="36"/>
  <c r="Q108" i="36"/>
  <c r="R108" i="36"/>
  <c r="U108" i="36"/>
  <c r="Z108" i="36"/>
  <c r="AA108" i="36"/>
  <c r="P109" i="36"/>
  <c r="Q109" i="36"/>
  <c r="R109" i="36"/>
  <c r="U109" i="36"/>
  <c r="Z109" i="36"/>
  <c r="AA109" i="36"/>
  <c r="P110" i="36"/>
  <c r="Q110" i="36"/>
  <c r="R110" i="36"/>
  <c r="U110" i="36"/>
  <c r="Z110" i="36"/>
  <c r="AA110" i="36"/>
  <c r="P111" i="36"/>
  <c r="Q111" i="36"/>
  <c r="R111" i="36"/>
  <c r="U111" i="36"/>
  <c r="Z111" i="36"/>
  <c r="AA111" i="36"/>
  <c r="P112" i="36"/>
  <c r="Q112" i="36"/>
  <c r="R112" i="36"/>
  <c r="U112" i="36"/>
  <c r="Z112" i="36"/>
  <c r="AA112" i="36"/>
  <c r="P113" i="36"/>
  <c r="Q113" i="36"/>
  <c r="R113" i="36"/>
  <c r="U113" i="36"/>
  <c r="Z113" i="36"/>
  <c r="AA113" i="36"/>
  <c r="P114" i="36"/>
  <c r="Q114" i="36"/>
  <c r="R114" i="36"/>
  <c r="U114" i="36"/>
  <c r="Z114" i="36"/>
  <c r="AA114" i="36"/>
  <c r="P115" i="36"/>
  <c r="Q115" i="36"/>
  <c r="R115" i="36"/>
  <c r="U115" i="36"/>
  <c r="Z115" i="36"/>
  <c r="AA115" i="36"/>
  <c r="P116" i="36"/>
  <c r="Q116" i="36"/>
  <c r="R116" i="36"/>
  <c r="U116" i="36"/>
  <c r="Z116" i="36"/>
  <c r="AA116" i="36"/>
  <c r="P117" i="36"/>
  <c r="Q117" i="36"/>
  <c r="R117" i="36"/>
  <c r="U117" i="36"/>
  <c r="Z117" i="36"/>
  <c r="AA117" i="36"/>
  <c r="P118" i="36"/>
  <c r="Q118" i="36"/>
  <c r="R118" i="36"/>
  <c r="U118" i="36"/>
  <c r="Z118" i="36"/>
  <c r="AA118" i="36"/>
  <c r="P119" i="36"/>
  <c r="Q119" i="36"/>
  <c r="R119" i="36"/>
  <c r="U119" i="36"/>
  <c r="Z119" i="36"/>
  <c r="AA119" i="36"/>
  <c r="P120" i="36"/>
  <c r="Q120" i="36"/>
  <c r="R120" i="36"/>
  <c r="U120" i="36"/>
  <c r="Z120" i="36"/>
  <c r="AA120" i="36"/>
  <c r="P121" i="36"/>
  <c r="Q121" i="36"/>
  <c r="R121" i="36"/>
  <c r="U121" i="36"/>
  <c r="Z121" i="36"/>
  <c r="AA121" i="36"/>
  <c r="P122" i="36"/>
  <c r="Q122" i="36"/>
  <c r="R122" i="36"/>
  <c r="U122" i="36"/>
  <c r="Z122" i="36"/>
  <c r="AA122" i="36"/>
  <c r="P123" i="36"/>
  <c r="Q123" i="36"/>
  <c r="R123" i="36"/>
  <c r="U123" i="36"/>
  <c r="Z123" i="36"/>
  <c r="AA123" i="36"/>
  <c r="P124" i="36"/>
  <c r="Q124" i="36"/>
  <c r="R124" i="36"/>
  <c r="U124" i="36"/>
  <c r="Z124" i="36"/>
  <c r="AA124" i="36"/>
  <c r="P125" i="36"/>
  <c r="Q125" i="36"/>
  <c r="R125" i="36"/>
  <c r="U125" i="36"/>
  <c r="Z125" i="36"/>
  <c r="AA125" i="36"/>
  <c r="P126" i="36"/>
  <c r="Q126" i="36"/>
  <c r="R126" i="36"/>
  <c r="U126" i="36"/>
  <c r="Z126" i="36"/>
  <c r="AA126" i="36"/>
  <c r="P127" i="36"/>
  <c r="Q127" i="36"/>
  <c r="R127" i="36"/>
  <c r="U127" i="36"/>
  <c r="Z127" i="36"/>
  <c r="AA127" i="36"/>
  <c r="P128" i="36"/>
  <c r="Q128" i="36"/>
  <c r="R128" i="36"/>
  <c r="U128" i="36"/>
  <c r="Z128" i="36"/>
  <c r="AA128" i="36"/>
  <c r="U129" i="36"/>
  <c r="V129" i="36"/>
  <c r="W129" i="36"/>
  <c r="Z129" i="36"/>
  <c r="AA129" i="36"/>
  <c r="U130" i="36"/>
  <c r="V130" i="36"/>
  <c r="W130" i="36"/>
  <c r="Z130" i="36"/>
  <c r="AA130" i="36"/>
  <c r="U131" i="36"/>
  <c r="V131" i="36"/>
  <c r="W131" i="36"/>
  <c r="Z131" i="36"/>
  <c r="AA131" i="36"/>
  <c r="U132" i="36"/>
  <c r="V132" i="36"/>
  <c r="W132" i="36"/>
  <c r="Z132" i="36"/>
  <c r="AA132" i="36"/>
  <c r="U133" i="36"/>
  <c r="V133" i="36"/>
  <c r="W133" i="36"/>
  <c r="Z133" i="36"/>
  <c r="AA133" i="36"/>
  <c r="U134" i="36"/>
  <c r="V134" i="36"/>
  <c r="W134" i="36"/>
  <c r="Z134" i="36"/>
  <c r="AA134" i="36"/>
  <c r="U135" i="36"/>
  <c r="V135" i="36"/>
  <c r="W135" i="36"/>
  <c r="Z135" i="36"/>
  <c r="AA135" i="36"/>
  <c r="U136" i="36"/>
  <c r="V136" i="36"/>
  <c r="W136" i="36"/>
  <c r="Z136" i="36"/>
  <c r="AA136" i="36"/>
  <c r="U137" i="36"/>
  <c r="V137" i="36"/>
  <c r="W137" i="36"/>
  <c r="Z137" i="36"/>
  <c r="AA137" i="36"/>
  <c r="U138" i="36"/>
  <c r="V138" i="36"/>
  <c r="W138" i="36"/>
  <c r="Z138" i="36"/>
  <c r="AA138" i="36"/>
  <c r="U139" i="36"/>
  <c r="V139" i="36"/>
  <c r="W139" i="36"/>
  <c r="Z139" i="36"/>
  <c r="AA139" i="36"/>
  <c r="U140" i="36"/>
  <c r="V140" i="36"/>
  <c r="W140" i="36"/>
  <c r="Z140" i="36"/>
  <c r="AA140" i="36"/>
  <c r="U141" i="36"/>
  <c r="V141" i="36"/>
  <c r="W141" i="36"/>
  <c r="Z141" i="36"/>
  <c r="AA141" i="36"/>
  <c r="U142" i="36"/>
  <c r="V142" i="36"/>
  <c r="W142" i="36"/>
  <c r="Z142" i="36"/>
  <c r="AA142" i="36"/>
  <c r="U143" i="36"/>
  <c r="V143" i="36"/>
  <c r="W143" i="36"/>
  <c r="Z143" i="36"/>
  <c r="AA143" i="36"/>
  <c r="U144" i="36"/>
  <c r="V144" i="36"/>
  <c r="W144" i="36"/>
  <c r="Z144" i="36"/>
  <c r="AA144" i="36"/>
  <c r="U145" i="36"/>
  <c r="V145" i="36"/>
  <c r="W145" i="36"/>
  <c r="Z145" i="36"/>
  <c r="AA145" i="36"/>
  <c r="U146" i="36"/>
  <c r="V146" i="36"/>
  <c r="W146" i="36"/>
  <c r="Z146" i="36"/>
  <c r="AA146" i="36"/>
  <c r="U147" i="36"/>
  <c r="V147" i="36"/>
  <c r="W147" i="36"/>
  <c r="Z147" i="36"/>
  <c r="AA147" i="36"/>
  <c r="U148" i="36"/>
  <c r="V148" i="36"/>
  <c r="W148" i="36"/>
  <c r="Z148" i="36"/>
  <c r="AA148" i="36"/>
  <c r="U149" i="36"/>
  <c r="V149" i="36"/>
  <c r="W149" i="36"/>
  <c r="Z149" i="36"/>
  <c r="AA149" i="36"/>
  <c r="U150" i="36"/>
  <c r="V150" i="36"/>
  <c r="W150" i="36"/>
  <c r="Z150" i="36"/>
  <c r="AA150" i="36"/>
  <c r="U151" i="36"/>
  <c r="V151" i="36"/>
  <c r="W151" i="36"/>
  <c r="Z151" i="36"/>
  <c r="AA151" i="36"/>
  <c r="U152" i="36"/>
  <c r="V152" i="36"/>
  <c r="W152" i="36"/>
  <c r="Z152" i="36"/>
  <c r="AA152" i="36"/>
  <c r="U153" i="36"/>
  <c r="V153" i="36"/>
  <c r="W153" i="36"/>
  <c r="Z153" i="36"/>
  <c r="AA153" i="36"/>
  <c r="U154" i="36"/>
  <c r="V154" i="36"/>
  <c r="W154" i="36"/>
  <c r="Z154" i="36"/>
  <c r="AA154" i="36"/>
  <c r="U155" i="36"/>
  <c r="V155" i="36"/>
  <c r="W155" i="36"/>
  <c r="Z155" i="36"/>
  <c r="AA155" i="36"/>
  <c r="U156" i="36"/>
  <c r="V156" i="36"/>
  <c r="W156" i="36"/>
  <c r="Z156" i="36"/>
  <c r="AA156" i="36"/>
  <c r="U157" i="36"/>
  <c r="V157" i="36"/>
  <c r="W157" i="36"/>
  <c r="Z157" i="36"/>
  <c r="AA157" i="36"/>
  <c r="U158" i="36"/>
  <c r="V158" i="36"/>
  <c r="W158" i="36"/>
  <c r="Z158" i="36"/>
  <c r="AA158" i="36"/>
  <c r="U159" i="36"/>
  <c r="V159" i="36"/>
  <c r="W159" i="36"/>
  <c r="Z159" i="36"/>
  <c r="AA159" i="36"/>
  <c r="U160" i="36"/>
  <c r="V160" i="36"/>
  <c r="W160" i="36"/>
  <c r="Z160" i="36"/>
  <c r="AA160" i="36"/>
  <c r="U161" i="36"/>
  <c r="V161" i="36"/>
  <c r="W161" i="36"/>
  <c r="Z161" i="36"/>
  <c r="AA161" i="36"/>
  <c r="U162" i="36"/>
  <c r="V162" i="36"/>
  <c r="W162" i="36"/>
  <c r="Z162" i="36"/>
  <c r="AA162" i="36"/>
  <c r="U163" i="36"/>
  <c r="V163" i="36"/>
  <c r="W163" i="36"/>
  <c r="Z163" i="36"/>
  <c r="AA163" i="36"/>
  <c r="U164" i="36"/>
  <c r="V164" i="36"/>
  <c r="W164" i="36"/>
  <c r="Z164" i="36"/>
  <c r="AA164" i="36"/>
  <c r="U165" i="36"/>
  <c r="V165" i="36"/>
  <c r="W165" i="36"/>
  <c r="Z165" i="36"/>
  <c r="AA165" i="36"/>
  <c r="U166" i="36"/>
  <c r="V166" i="36"/>
  <c r="W166" i="36"/>
  <c r="Z166" i="36"/>
  <c r="AA166" i="36"/>
  <c r="U167" i="36"/>
  <c r="V167" i="36"/>
  <c r="W167" i="36"/>
  <c r="Z167" i="36"/>
  <c r="AA167" i="36"/>
  <c r="U168" i="36"/>
  <c r="V168" i="36"/>
  <c r="W168" i="36"/>
  <c r="Z168" i="36"/>
  <c r="AA168" i="36"/>
  <c r="U169" i="36"/>
  <c r="V169" i="36"/>
  <c r="W169" i="36"/>
  <c r="Z169" i="36"/>
  <c r="AA169" i="36"/>
  <c r="U170" i="36"/>
  <c r="V170" i="36"/>
  <c r="W170" i="36"/>
  <c r="Z170" i="36"/>
  <c r="AA170" i="36"/>
  <c r="U171" i="36"/>
  <c r="V171" i="36"/>
  <c r="W171" i="36"/>
  <c r="Z171" i="36"/>
  <c r="AA171" i="36"/>
  <c r="U172" i="36"/>
  <c r="V172" i="36"/>
  <c r="W172" i="36"/>
  <c r="Z172" i="36"/>
  <c r="AA172" i="36"/>
  <c r="U173" i="36"/>
  <c r="V173" i="36"/>
  <c r="W173" i="36"/>
  <c r="Z173" i="36"/>
  <c r="AA173" i="36"/>
  <c r="U174" i="36"/>
  <c r="V174" i="36"/>
  <c r="W174" i="36"/>
  <c r="Z174" i="36"/>
  <c r="AA174" i="36"/>
  <c r="U175" i="36"/>
  <c r="V175" i="36"/>
  <c r="W175" i="36"/>
  <c r="Z175" i="36"/>
  <c r="AA175" i="36"/>
  <c r="U176" i="36"/>
  <c r="V176" i="36"/>
  <c r="W176" i="36"/>
  <c r="Z176" i="36"/>
  <c r="AA176" i="36"/>
  <c r="U177" i="36"/>
  <c r="V177" i="36"/>
  <c r="W177" i="36"/>
  <c r="Z177" i="36"/>
  <c r="AA177" i="36"/>
  <c r="U178" i="36"/>
  <c r="V178" i="36"/>
  <c r="W178" i="36"/>
  <c r="Z178" i="36"/>
  <c r="AA178" i="36"/>
  <c r="U179" i="36"/>
  <c r="V179" i="36"/>
  <c r="W179" i="36"/>
  <c r="Z179" i="36"/>
  <c r="AA179" i="36"/>
  <c r="U180" i="36"/>
  <c r="V180" i="36"/>
  <c r="W180" i="36"/>
  <c r="Z180" i="36"/>
  <c r="AA180" i="36"/>
  <c r="U181" i="36"/>
  <c r="V181" i="36"/>
  <c r="W181" i="36"/>
  <c r="Z181" i="36"/>
  <c r="AA181" i="36"/>
  <c r="U182" i="36"/>
  <c r="V182" i="36"/>
  <c r="W182" i="36"/>
  <c r="Z182" i="36"/>
  <c r="AA182" i="36"/>
  <c r="U183" i="36"/>
  <c r="V183" i="36"/>
  <c r="W183" i="36"/>
  <c r="Z183" i="36"/>
  <c r="AA183" i="36"/>
  <c r="U184" i="36"/>
  <c r="V184" i="36"/>
  <c r="W184" i="36"/>
  <c r="Z184" i="36"/>
  <c r="AA184" i="36"/>
  <c r="U185" i="36"/>
  <c r="V185" i="36"/>
  <c r="W185" i="36"/>
  <c r="Z185" i="36"/>
  <c r="AA185" i="36"/>
  <c r="U186" i="36"/>
  <c r="V186" i="36"/>
  <c r="W186" i="36"/>
  <c r="Z186" i="36"/>
  <c r="AA186" i="36"/>
  <c r="U187" i="36"/>
  <c r="V187" i="36"/>
  <c r="W187" i="36"/>
  <c r="Z187" i="36"/>
  <c r="AA187" i="36"/>
  <c r="U188" i="36"/>
  <c r="V188" i="36"/>
  <c r="W188" i="36"/>
  <c r="Z188" i="36"/>
  <c r="AA188" i="36"/>
  <c r="U189" i="36"/>
  <c r="V189" i="36"/>
  <c r="W189" i="36"/>
  <c r="Z189" i="36"/>
  <c r="AA189" i="36"/>
  <c r="U190" i="36"/>
  <c r="V190" i="36"/>
  <c r="W190" i="36"/>
  <c r="Z190" i="36"/>
  <c r="AA190" i="36"/>
  <c r="U191" i="36"/>
  <c r="V191" i="36"/>
  <c r="W191" i="36"/>
  <c r="Z191" i="36"/>
  <c r="AA191" i="36"/>
  <c r="U192" i="36"/>
  <c r="V192" i="36"/>
  <c r="W192" i="36"/>
  <c r="Z192" i="36"/>
  <c r="AA192" i="36"/>
  <c r="U193" i="36"/>
  <c r="V193" i="36"/>
  <c r="W193" i="36"/>
  <c r="Z193" i="36"/>
  <c r="AA193" i="36"/>
  <c r="U194" i="36"/>
  <c r="V194" i="36"/>
  <c r="W194" i="36"/>
  <c r="Z194" i="36"/>
  <c r="AA194" i="36"/>
  <c r="U195" i="36"/>
  <c r="V195" i="36"/>
  <c r="W195" i="36"/>
  <c r="Z195" i="36"/>
  <c r="AA195" i="36"/>
  <c r="U196" i="36"/>
  <c r="V196" i="36"/>
  <c r="W196" i="36"/>
  <c r="Z196" i="36"/>
  <c r="AA196" i="36"/>
  <c r="U197" i="36"/>
  <c r="V197" i="36"/>
  <c r="W197" i="36"/>
  <c r="Z197" i="36"/>
  <c r="AA197" i="36"/>
  <c r="U198" i="36"/>
  <c r="V198" i="36"/>
  <c r="W198" i="36"/>
  <c r="Z198" i="36"/>
  <c r="AA198" i="36"/>
  <c r="U199" i="36"/>
  <c r="V199" i="36"/>
  <c r="W199" i="36"/>
  <c r="Z199" i="36"/>
  <c r="AA199" i="36"/>
  <c r="U200" i="36"/>
  <c r="V200" i="36"/>
  <c r="W200" i="36"/>
  <c r="Z200" i="36"/>
  <c r="AA200" i="36"/>
  <c r="U201" i="36"/>
  <c r="V201" i="36"/>
  <c r="W201" i="36"/>
  <c r="Z201" i="36"/>
  <c r="AA201" i="36"/>
  <c r="U202" i="36"/>
  <c r="V202" i="36"/>
  <c r="W202" i="36"/>
  <c r="Z202" i="36"/>
  <c r="AA202" i="36"/>
  <c r="U203" i="36"/>
  <c r="V203" i="36"/>
  <c r="W203" i="36"/>
  <c r="Z203" i="36"/>
  <c r="AA203" i="36"/>
  <c r="U204" i="36"/>
  <c r="V204" i="36"/>
  <c r="W204" i="36"/>
  <c r="Z204" i="36"/>
  <c r="AA204" i="36"/>
  <c r="U205" i="36"/>
  <c r="V205" i="36"/>
  <c r="W205" i="36"/>
  <c r="Z205" i="36"/>
  <c r="AA205" i="36"/>
  <c r="U206" i="36"/>
  <c r="V206" i="36"/>
  <c r="W206" i="36"/>
  <c r="Z206" i="36"/>
  <c r="AA206" i="36"/>
  <c r="U207" i="36"/>
  <c r="V207" i="36"/>
  <c r="W207" i="36"/>
  <c r="Z207" i="36"/>
  <c r="AA207" i="36"/>
  <c r="U208" i="36"/>
  <c r="V208" i="36"/>
  <c r="W208" i="36"/>
  <c r="Z208" i="36"/>
  <c r="AA208" i="36"/>
  <c r="U209" i="36"/>
  <c r="V209" i="36"/>
  <c r="W209" i="36"/>
  <c r="Z209" i="36"/>
  <c r="AA209" i="36"/>
  <c r="U210" i="36"/>
  <c r="V210" i="36"/>
  <c r="W210" i="36"/>
  <c r="Z210" i="36"/>
  <c r="AA210" i="36"/>
  <c r="U211" i="36"/>
  <c r="V211" i="36"/>
  <c r="W211" i="36"/>
  <c r="Z211" i="36"/>
  <c r="AA211" i="36"/>
  <c r="U212" i="36"/>
  <c r="V212" i="36"/>
  <c r="W212" i="36"/>
  <c r="Z212" i="36"/>
  <c r="AA212" i="36"/>
  <c r="U213" i="36"/>
  <c r="Z213" i="36"/>
  <c r="AA213" i="36"/>
  <c r="U214" i="36"/>
  <c r="Z214" i="36"/>
  <c r="AA214" i="36"/>
  <c r="U215" i="36"/>
  <c r="Z215" i="36"/>
  <c r="AA215" i="36"/>
  <c r="U216" i="36"/>
  <c r="Z216" i="36"/>
  <c r="AA216" i="36"/>
  <c r="U217" i="36"/>
  <c r="Z217" i="36"/>
  <c r="AA217" i="36"/>
  <c r="U218" i="36"/>
  <c r="Z218" i="36"/>
  <c r="AA218" i="36"/>
  <c r="U219" i="36"/>
  <c r="Z219" i="36"/>
  <c r="AA219" i="36"/>
  <c r="U220" i="36"/>
  <c r="Z220" i="36"/>
  <c r="AA220" i="36"/>
  <c r="U221" i="36"/>
  <c r="Z221" i="36"/>
  <c r="AA221" i="36"/>
  <c r="U222" i="36"/>
  <c r="Z222" i="36"/>
  <c r="AA222" i="36"/>
  <c r="U223" i="36"/>
  <c r="Z223" i="36"/>
  <c r="AA223" i="36"/>
  <c r="U224" i="36"/>
  <c r="Z224" i="36"/>
  <c r="AA224" i="36"/>
  <c r="U225" i="36"/>
  <c r="Z225" i="36"/>
  <c r="AA225" i="36"/>
  <c r="U226" i="36"/>
  <c r="Z226" i="36"/>
  <c r="AA226" i="36"/>
  <c r="U227" i="36"/>
  <c r="Z227" i="36"/>
  <c r="AA227" i="36"/>
  <c r="U228" i="36"/>
  <c r="Z228" i="36"/>
  <c r="AA228" i="36"/>
  <c r="U229" i="36"/>
  <c r="Z229" i="36"/>
  <c r="AA229" i="36"/>
  <c r="U230" i="36"/>
  <c r="Z230" i="36"/>
  <c r="AA230" i="36"/>
  <c r="U231" i="36"/>
  <c r="Z231" i="36"/>
  <c r="AA231" i="36"/>
  <c r="U232" i="36"/>
  <c r="Z232" i="36"/>
  <c r="AA232" i="36"/>
  <c r="U233" i="36"/>
  <c r="Z233" i="36"/>
  <c r="AA233" i="36"/>
  <c r="U234" i="36"/>
  <c r="Z234" i="36"/>
  <c r="AA234" i="36"/>
  <c r="U235" i="36"/>
  <c r="Z235" i="36"/>
  <c r="AA235" i="36"/>
  <c r="U236" i="36"/>
  <c r="Z236" i="36"/>
  <c r="AA236" i="36"/>
  <c r="U237" i="36"/>
  <c r="Z237" i="36"/>
  <c r="AA237" i="36"/>
  <c r="U238" i="36"/>
  <c r="Z238" i="36"/>
  <c r="AA238" i="36"/>
  <c r="U239" i="36"/>
  <c r="Z239" i="36"/>
  <c r="AA239" i="36"/>
  <c r="U240" i="36"/>
  <c r="Z240" i="36"/>
  <c r="AA240" i="36"/>
  <c r="U241" i="36"/>
  <c r="Z241" i="36"/>
  <c r="AA241" i="36"/>
  <c r="U242" i="36"/>
  <c r="Z242" i="36"/>
  <c r="AA242" i="36"/>
  <c r="U243" i="36"/>
  <c r="Z243" i="36"/>
  <c r="AA243" i="36"/>
  <c r="U244" i="36"/>
  <c r="Z244" i="36"/>
  <c r="AA244" i="36"/>
  <c r="U245" i="36"/>
  <c r="Z245" i="36"/>
  <c r="AA245" i="36"/>
  <c r="U246" i="36"/>
  <c r="Z246" i="36"/>
  <c r="AA246" i="36"/>
  <c r="U247" i="36"/>
  <c r="Z247" i="36"/>
  <c r="AA247" i="36"/>
  <c r="U248" i="36"/>
  <c r="Z248" i="36"/>
  <c r="AA248" i="36"/>
  <c r="U249" i="36"/>
  <c r="Z249" i="36"/>
  <c r="AA249" i="36"/>
  <c r="U250" i="36"/>
  <c r="Z250" i="36"/>
  <c r="AA250" i="36"/>
  <c r="U251" i="36"/>
  <c r="Z251" i="36"/>
  <c r="AA251" i="36"/>
  <c r="U252" i="36"/>
  <c r="Z252" i="36"/>
  <c r="AA252" i="36"/>
  <c r="U253" i="36"/>
  <c r="Z253" i="36"/>
  <c r="AA253" i="36"/>
  <c r="U254" i="36"/>
  <c r="Z254" i="36"/>
  <c r="AA254" i="36"/>
  <c r="U255" i="36"/>
  <c r="Z255" i="36"/>
  <c r="AA255" i="36"/>
  <c r="U256" i="36"/>
  <c r="Z256" i="36"/>
  <c r="AA256" i="36"/>
  <c r="U257" i="36"/>
  <c r="Z257" i="36"/>
  <c r="AA257" i="36"/>
  <c r="U258" i="36"/>
  <c r="Z258" i="36"/>
  <c r="AA258" i="36"/>
  <c r="U259" i="36"/>
  <c r="Z259" i="36"/>
  <c r="AA259" i="36"/>
  <c r="U260" i="36"/>
  <c r="Z260" i="36"/>
  <c r="AA260" i="36"/>
  <c r="U261" i="36"/>
  <c r="Z261" i="36"/>
  <c r="AA261" i="36"/>
  <c r="U262" i="36"/>
  <c r="Z262" i="36"/>
  <c r="AA262" i="36"/>
  <c r="U263" i="36"/>
  <c r="Z263" i="36"/>
  <c r="AA263" i="36"/>
  <c r="U264" i="36"/>
  <c r="Z264" i="36"/>
  <c r="AA264" i="36"/>
  <c r="U265" i="36"/>
  <c r="Z265" i="36"/>
  <c r="AA265" i="36"/>
  <c r="U266" i="36"/>
  <c r="Z266" i="36"/>
  <c r="AA266" i="36"/>
  <c r="P267" i="36"/>
  <c r="Q267" i="36"/>
  <c r="S267" i="36"/>
  <c r="U267" i="36"/>
  <c r="Z267" i="36"/>
  <c r="AA267" i="36"/>
  <c r="P268" i="36"/>
  <c r="Q268" i="36"/>
  <c r="S268" i="36"/>
  <c r="U268" i="36"/>
  <c r="Z268" i="36"/>
  <c r="AA268" i="36"/>
  <c r="P269" i="36"/>
  <c r="Q269" i="36"/>
  <c r="S269" i="36"/>
  <c r="U269" i="36"/>
  <c r="Z269" i="36"/>
  <c r="AA269" i="36"/>
  <c r="P270" i="36"/>
  <c r="Q270" i="36"/>
  <c r="S270" i="36"/>
  <c r="U270" i="36"/>
  <c r="Z270" i="36"/>
  <c r="AA270" i="36"/>
  <c r="U271" i="36"/>
  <c r="Z271" i="36"/>
  <c r="AA271" i="36"/>
  <c r="U272" i="36"/>
  <c r="Z272" i="36"/>
  <c r="AA272" i="36"/>
  <c r="U273" i="36"/>
  <c r="Z273" i="36"/>
  <c r="AA273" i="36"/>
  <c r="U274" i="36"/>
  <c r="Z274" i="36"/>
  <c r="AA274" i="36"/>
  <c r="U275" i="36"/>
  <c r="Z275" i="36"/>
  <c r="AA275" i="36"/>
  <c r="U276" i="36"/>
  <c r="Z276" i="36"/>
  <c r="AA276" i="36"/>
  <c r="U277" i="36"/>
  <c r="Z277" i="36"/>
  <c r="AA277" i="36"/>
  <c r="U278" i="36"/>
  <c r="Z278" i="36"/>
  <c r="AA278" i="36"/>
  <c r="U279" i="36"/>
  <c r="Z279" i="36"/>
  <c r="AA279" i="36"/>
  <c r="Q280" i="36"/>
  <c r="R280" i="36"/>
  <c r="U280" i="36"/>
  <c r="Z280" i="36"/>
  <c r="AA280" i="36"/>
  <c r="Q281" i="36"/>
  <c r="R281" i="36"/>
  <c r="U281" i="36"/>
  <c r="Z281" i="36"/>
  <c r="AA281" i="36"/>
  <c r="Q282" i="36"/>
  <c r="R282" i="36"/>
  <c r="U282" i="36"/>
  <c r="Z282" i="36"/>
  <c r="AA282" i="36"/>
  <c r="Q283" i="36"/>
  <c r="R283" i="36"/>
  <c r="U283" i="36"/>
  <c r="Z283" i="36"/>
  <c r="AA283" i="36"/>
  <c r="Q284" i="36"/>
  <c r="R284" i="36"/>
  <c r="U284" i="36"/>
  <c r="Z284" i="36"/>
  <c r="AA284" i="36"/>
  <c r="P285" i="36"/>
  <c r="Q285" i="36"/>
  <c r="R285" i="36"/>
  <c r="S285" i="36"/>
  <c r="U285" i="36"/>
  <c r="Z285" i="36"/>
  <c r="AA285" i="36"/>
  <c r="P286" i="36"/>
  <c r="Q286" i="36"/>
  <c r="R286" i="36"/>
  <c r="S286" i="36"/>
  <c r="U286" i="36"/>
  <c r="Z286" i="36"/>
  <c r="AA286" i="36"/>
  <c r="P287" i="36"/>
  <c r="Q287" i="36"/>
  <c r="R287" i="36"/>
  <c r="S287" i="36"/>
  <c r="U287" i="36"/>
  <c r="Z287" i="36"/>
  <c r="AA287" i="36"/>
  <c r="P288" i="36"/>
  <c r="Q288" i="36"/>
  <c r="R288" i="36"/>
  <c r="S288" i="36"/>
  <c r="U288" i="36"/>
  <c r="Z288" i="36"/>
  <c r="AA288" i="36"/>
  <c r="P289" i="36"/>
  <c r="Q289" i="36"/>
  <c r="R289" i="36"/>
  <c r="S289" i="36"/>
  <c r="U289" i="36"/>
  <c r="Z289" i="36"/>
  <c r="AA289" i="36"/>
  <c r="P290" i="36"/>
  <c r="Q290" i="36"/>
  <c r="R290" i="36"/>
  <c r="S290" i="36"/>
  <c r="U290" i="36"/>
  <c r="Z290" i="36"/>
  <c r="AA290" i="36"/>
  <c r="Q291" i="36"/>
  <c r="R291" i="36"/>
  <c r="U291" i="36"/>
  <c r="Z291" i="36"/>
  <c r="AA291" i="36"/>
  <c r="Q292" i="36"/>
  <c r="R292" i="36"/>
  <c r="U292" i="36"/>
  <c r="V292" i="36"/>
  <c r="W292" i="36"/>
  <c r="X292" i="36"/>
  <c r="Z292" i="36"/>
  <c r="AA292" i="36"/>
  <c r="Q293" i="36"/>
  <c r="R293" i="36"/>
  <c r="U293" i="36"/>
  <c r="V293" i="36"/>
  <c r="W293" i="36"/>
  <c r="X293" i="36"/>
  <c r="Z293" i="36"/>
  <c r="AA293" i="36"/>
  <c r="P294" i="36"/>
  <c r="Q294" i="36"/>
  <c r="R294" i="36"/>
  <c r="U294" i="36"/>
  <c r="Z294" i="36"/>
  <c r="AA294" i="36"/>
  <c r="P295" i="36"/>
  <c r="Q295" i="36"/>
  <c r="R295" i="36"/>
  <c r="U295" i="36"/>
  <c r="V295" i="36"/>
  <c r="W295" i="36"/>
  <c r="X295" i="36"/>
  <c r="Z295" i="36"/>
  <c r="AA295" i="36"/>
  <c r="P296" i="36"/>
  <c r="Q296" i="36"/>
  <c r="R296" i="36"/>
  <c r="U296" i="36"/>
  <c r="V296" i="36"/>
  <c r="W296" i="36"/>
  <c r="X296" i="36"/>
  <c r="Z296" i="36"/>
  <c r="AA296" i="36"/>
  <c r="P297" i="36"/>
  <c r="Q297" i="36"/>
  <c r="R297" i="36"/>
  <c r="U297" i="36"/>
  <c r="V297" i="36"/>
  <c r="W297" i="36"/>
  <c r="X297" i="36"/>
  <c r="Z297" i="36"/>
  <c r="AA297" i="36"/>
  <c r="P298" i="36"/>
  <c r="Q298" i="36"/>
  <c r="R298" i="36"/>
  <c r="U298" i="36"/>
  <c r="V298" i="36"/>
  <c r="W298" i="36"/>
  <c r="X298" i="36"/>
  <c r="Z298" i="36"/>
  <c r="AA298" i="36"/>
  <c r="P299" i="36"/>
  <c r="Q299" i="36"/>
  <c r="R299" i="36"/>
  <c r="U299" i="36"/>
  <c r="V299" i="36"/>
  <c r="W299" i="36"/>
  <c r="X299" i="36"/>
  <c r="Z299" i="36"/>
  <c r="AA299" i="36"/>
  <c r="P300" i="36"/>
  <c r="Q300" i="36"/>
  <c r="R300" i="36"/>
  <c r="U300" i="36"/>
  <c r="V300" i="36"/>
  <c r="W300" i="36"/>
  <c r="X300" i="36"/>
  <c r="Z300" i="36"/>
  <c r="AA300" i="36"/>
  <c r="P301" i="36"/>
  <c r="Q301" i="36"/>
  <c r="R301" i="36"/>
  <c r="U301" i="36"/>
  <c r="V301" i="36"/>
  <c r="W301" i="36"/>
  <c r="X301" i="36"/>
  <c r="Z301" i="36"/>
  <c r="AA301" i="36"/>
  <c r="P302" i="36"/>
  <c r="Q302" i="36"/>
  <c r="R302" i="36"/>
  <c r="U302" i="36"/>
  <c r="V302" i="36"/>
  <c r="W302" i="36"/>
  <c r="X302" i="36"/>
  <c r="Z302" i="36"/>
  <c r="AA302" i="36"/>
  <c r="P303" i="36"/>
  <c r="Q303" i="36"/>
  <c r="R303" i="36"/>
  <c r="U303" i="36"/>
  <c r="Z303" i="36"/>
  <c r="AD303" i="36" s="1"/>
  <c r="AA303" i="36"/>
  <c r="P304" i="36"/>
  <c r="Q304" i="36"/>
  <c r="R304" i="36"/>
  <c r="U304" i="36"/>
  <c r="V304" i="36"/>
  <c r="W304" i="36"/>
  <c r="X304" i="36"/>
  <c r="Z304" i="36"/>
  <c r="AA304" i="36"/>
  <c r="P305" i="36"/>
  <c r="Q305" i="36"/>
  <c r="R305" i="36"/>
  <c r="U305" i="36"/>
  <c r="Z305" i="36"/>
  <c r="AA305" i="36"/>
  <c r="P306" i="36"/>
  <c r="Q306" i="36"/>
  <c r="R306" i="36"/>
  <c r="U306" i="36"/>
  <c r="V306" i="36"/>
  <c r="W306" i="36"/>
  <c r="X306" i="36"/>
  <c r="Z306" i="36"/>
  <c r="AA306" i="36"/>
  <c r="P307" i="36"/>
  <c r="Q307" i="36"/>
  <c r="R307" i="36"/>
  <c r="S307" i="36"/>
  <c r="U307" i="36"/>
  <c r="Z307" i="36"/>
  <c r="AA307" i="36"/>
  <c r="P308" i="36"/>
  <c r="Q308" i="36"/>
  <c r="R308" i="36"/>
  <c r="S308" i="36"/>
  <c r="U308" i="36"/>
  <c r="Z308" i="36"/>
  <c r="AA308" i="36"/>
  <c r="P309" i="36"/>
  <c r="Q309" i="36"/>
  <c r="R309" i="36"/>
  <c r="S309" i="36"/>
  <c r="U309" i="36"/>
  <c r="Z309" i="36"/>
  <c r="AA309" i="36"/>
  <c r="P310" i="36"/>
  <c r="Q310" i="36"/>
  <c r="R310" i="36"/>
  <c r="S310" i="36"/>
  <c r="U310" i="36"/>
  <c r="Z310" i="36"/>
  <c r="AA310" i="36"/>
  <c r="Q311" i="36"/>
  <c r="R311" i="36"/>
  <c r="U311" i="36"/>
  <c r="V311" i="36"/>
  <c r="W311" i="36"/>
  <c r="Z311" i="36"/>
  <c r="AA311" i="36"/>
  <c r="Q312" i="36"/>
  <c r="R312" i="36"/>
  <c r="U312" i="36"/>
  <c r="V312" i="36"/>
  <c r="W312" i="36"/>
  <c r="Z312" i="36"/>
  <c r="AG312" i="36" s="1"/>
  <c r="AA312" i="36"/>
  <c r="Q313" i="36"/>
  <c r="R313" i="36"/>
  <c r="U313" i="36"/>
  <c r="V313" i="36"/>
  <c r="W313" i="36"/>
  <c r="Z313" i="36"/>
  <c r="AC313" i="36" s="1"/>
  <c r="AA313" i="36"/>
  <c r="Q314" i="36"/>
  <c r="R314" i="36"/>
  <c r="U314" i="36"/>
  <c r="V314" i="36"/>
  <c r="W314" i="36"/>
  <c r="Z314" i="36"/>
  <c r="AA314" i="36"/>
  <c r="Q315" i="36"/>
  <c r="R315" i="36"/>
  <c r="U315" i="36"/>
  <c r="V315" i="36"/>
  <c r="W315" i="36"/>
  <c r="Z315" i="36"/>
  <c r="AA315" i="36"/>
  <c r="Q316" i="36"/>
  <c r="R316" i="36"/>
  <c r="U316" i="36"/>
  <c r="V316" i="36"/>
  <c r="W316" i="36"/>
  <c r="Z316" i="36"/>
  <c r="AA316" i="36"/>
  <c r="Q317" i="36"/>
  <c r="R317" i="36"/>
  <c r="U317" i="36"/>
  <c r="V317" i="36"/>
  <c r="W317" i="36"/>
  <c r="Z317" i="36"/>
  <c r="AA317" i="36"/>
  <c r="Q318" i="36"/>
  <c r="R318" i="36"/>
  <c r="U318" i="36"/>
  <c r="V318" i="36"/>
  <c r="W318" i="36"/>
  <c r="Z318" i="36"/>
  <c r="AA318" i="36"/>
  <c r="P319" i="36"/>
  <c r="Q319" i="36"/>
  <c r="R319" i="36"/>
  <c r="S319" i="36"/>
  <c r="U319" i="36"/>
  <c r="Z319" i="36"/>
  <c r="AA319" i="36"/>
  <c r="P320" i="36"/>
  <c r="Q320" i="36"/>
  <c r="R320" i="36"/>
  <c r="S320" i="36"/>
  <c r="U320" i="36"/>
  <c r="Z320" i="36"/>
  <c r="AA320" i="36"/>
  <c r="P321" i="36"/>
  <c r="Q321" i="36"/>
  <c r="R321" i="36"/>
  <c r="S321" i="36"/>
  <c r="U321" i="36"/>
  <c r="Z321" i="36"/>
  <c r="AA321" i="36"/>
  <c r="P322" i="36"/>
  <c r="Q322" i="36"/>
  <c r="R322" i="36"/>
  <c r="S322" i="36"/>
  <c r="U322" i="36"/>
  <c r="Z322" i="36"/>
  <c r="AA322" i="36"/>
  <c r="P323" i="36"/>
  <c r="Q323" i="36"/>
  <c r="R323" i="36"/>
  <c r="S323" i="36"/>
  <c r="U323" i="36"/>
  <c r="Z323" i="36"/>
  <c r="AC323" i="36" s="1"/>
  <c r="AA323" i="36"/>
  <c r="P324" i="36"/>
  <c r="Q324" i="36"/>
  <c r="R324" i="36"/>
  <c r="S324" i="36"/>
  <c r="U324" i="36"/>
  <c r="Z324" i="36"/>
  <c r="AA324" i="36"/>
  <c r="P325" i="36"/>
  <c r="Q325" i="36"/>
  <c r="R325" i="36"/>
  <c r="S325" i="36"/>
  <c r="U325" i="36"/>
  <c r="Z325" i="36"/>
  <c r="AA325" i="36"/>
  <c r="P326" i="36"/>
  <c r="Q326" i="36"/>
  <c r="R326" i="36"/>
  <c r="S326" i="36"/>
  <c r="U326" i="36"/>
  <c r="Z326" i="36"/>
  <c r="AA326" i="36"/>
  <c r="P327" i="36"/>
  <c r="Q327" i="36"/>
  <c r="R327" i="36"/>
  <c r="S327" i="36"/>
  <c r="U327" i="36"/>
  <c r="Z327" i="36"/>
  <c r="AF327" i="36" s="1"/>
  <c r="AA327" i="36"/>
  <c r="P328" i="36"/>
  <c r="Q328" i="36"/>
  <c r="R328" i="36"/>
  <c r="S328" i="36"/>
  <c r="U328" i="36"/>
  <c r="Z328" i="36"/>
  <c r="AA328" i="36"/>
  <c r="P329" i="36"/>
  <c r="Q329" i="36"/>
  <c r="R329" i="36"/>
  <c r="S329" i="36"/>
  <c r="U329" i="36"/>
  <c r="Z329" i="36"/>
  <c r="AA329" i="36"/>
  <c r="P330" i="36"/>
  <c r="Q330" i="36"/>
  <c r="R330" i="36"/>
  <c r="S330" i="36"/>
  <c r="U330" i="36"/>
  <c r="Z330" i="36"/>
  <c r="AA330" i="36"/>
  <c r="P331" i="36"/>
  <c r="Q331" i="36"/>
  <c r="R331" i="36"/>
  <c r="S331" i="36"/>
  <c r="U331" i="36"/>
  <c r="Z331" i="36"/>
  <c r="AA331" i="36"/>
  <c r="P332" i="36"/>
  <c r="Q332" i="36"/>
  <c r="R332" i="36"/>
  <c r="S332" i="36"/>
  <c r="U332" i="36"/>
  <c r="Z332" i="36"/>
  <c r="AC332" i="36" s="1"/>
  <c r="AA332" i="36"/>
  <c r="P333" i="36"/>
  <c r="Q333" i="36"/>
  <c r="R333" i="36"/>
  <c r="S333" i="36"/>
  <c r="U333" i="36"/>
  <c r="Z333" i="36"/>
  <c r="AA333" i="36"/>
  <c r="P334" i="36"/>
  <c r="Q334" i="36"/>
  <c r="R334" i="36"/>
  <c r="S334" i="36"/>
  <c r="U334" i="36"/>
  <c r="Z334" i="36"/>
  <c r="AA334" i="36"/>
  <c r="U335" i="36"/>
  <c r="Z335" i="36"/>
  <c r="AA335" i="36"/>
  <c r="U336" i="36"/>
  <c r="Z336" i="36"/>
  <c r="AC336" i="36" s="1"/>
  <c r="AA336" i="36"/>
  <c r="U337" i="36"/>
  <c r="Z337" i="36"/>
  <c r="AA337" i="36"/>
  <c r="U338" i="36"/>
  <c r="Z338" i="36"/>
  <c r="AA338" i="36"/>
  <c r="U339" i="36"/>
  <c r="Z339" i="36"/>
  <c r="AA339" i="36"/>
  <c r="U340" i="36"/>
  <c r="Z340" i="36"/>
  <c r="AG340" i="36" s="1"/>
  <c r="AA340" i="36"/>
  <c r="U341" i="36"/>
  <c r="Z341" i="36"/>
  <c r="AA341" i="36"/>
  <c r="U342" i="36"/>
  <c r="Z342" i="36"/>
  <c r="AA342" i="36"/>
  <c r="U343" i="36"/>
  <c r="Z343" i="36"/>
  <c r="AA343" i="36"/>
  <c r="U344" i="36"/>
  <c r="Z344" i="36"/>
  <c r="AA344" i="36"/>
  <c r="U345" i="36"/>
  <c r="Z345" i="36"/>
  <c r="AA345" i="36"/>
  <c r="U346" i="36"/>
  <c r="Z346" i="36"/>
  <c r="AC346" i="36" s="1"/>
  <c r="AA346" i="36"/>
  <c r="U347" i="36"/>
  <c r="Z347" i="36"/>
  <c r="AA347" i="36"/>
  <c r="U348" i="36"/>
  <c r="Z348" i="36"/>
  <c r="AA348" i="36"/>
  <c r="U349" i="36"/>
  <c r="Z349" i="36"/>
  <c r="AH349" i="36" s="1"/>
  <c r="AA349" i="36"/>
  <c r="U350" i="36"/>
  <c r="Z350" i="36"/>
  <c r="AC350" i="36" s="1"/>
  <c r="AA350" i="36"/>
  <c r="U351" i="36"/>
  <c r="Z351" i="36"/>
  <c r="AA351" i="36"/>
  <c r="U352" i="36"/>
  <c r="Z352" i="36"/>
  <c r="AA352" i="36"/>
  <c r="U353" i="36"/>
  <c r="Z353" i="36"/>
  <c r="AA353" i="36"/>
  <c r="U354" i="36"/>
  <c r="Z354" i="36"/>
  <c r="AI354" i="36" s="1"/>
  <c r="AA354" i="36"/>
  <c r="U355" i="36"/>
  <c r="Z355" i="36"/>
  <c r="AA355" i="36"/>
  <c r="U356" i="36"/>
  <c r="Z356" i="36"/>
  <c r="AA356" i="36"/>
  <c r="U357" i="36"/>
  <c r="Z357" i="36"/>
  <c r="AA357" i="36"/>
  <c r="U358" i="36"/>
  <c r="Z358" i="36"/>
  <c r="AA358" i="36"/>
  <c r="U359" i="36"/>
  <c r="Z359" i="36"/>
  <c r="AA359" i="36"/>
  <c r="U360" i="36"/>
  <c r="Z360" i="36"/>
  <c r="AA360" i="36"/>
  <c r="U361" i="36"/>
  <c r="Z361" i="36"/>
  <c r="AA361" i="36"/>
  <c r="U362" i="36"/>
  <c r="Z362" i="36"/>
  <c r="AA362" i="36"/>
  <c r="U363" i="36"/>
  <c r="Z363" i="36"/>
  <c r="AF363" i="36" s="1"/>
  <c r="AA363" i="36"/>
  <c r="U364" i="36"/>
  <c r="Z364" i="36"/>
  <c r="AE364" i="36" s="1"/>
  <c r="AA364" i="36"/>
  <c r="U365" i="36"/>
  <c r="Z365" i="36"/>
  <c r="AA365" i="36"/>
  <c r="U366" i="36"/>
  <c r="Z366" i="36"/>
  <c r="AA366" i="36"/>
  <c r="U367" i="36"/>
  <c r="Z367" i="36"/>
  <c r="AA367" i="36"/>
  <c r="U368" i="36"/>
  <c r="Z368" i="36"/>
  <c r="AA368" i="36"/>
  <c r="U369" i="36"/>
  <c r="Z369" i="36"/>
  <c r="AC369" i="36" s="1"/>
  <c r="AA369" i="36"/>
  <c r="U370" i="36"/>
  <c r="Z370" i="36"/>
  <c r="AA370" i="36"/>
  <c r="U371" i="36"/>
  <c r="Z371" i="36"/>
  <c r="AA371" i="36"/>
  <c r="U372" i="36"/>
  <c r="Z372" i="36"/>
  <c r="AG372" i="36" s="1"/>
  <c r="AA372" i="36"/>
  <c r="U373" i="36"/>
  <c r="Z373" i="36"/>
  <c r="AC373" i="36" s="1"/>
  <c r="AA373" i="36"/>
  <c r="U374" i="36"/>
  <c r="Z374" i="36"/>
  <c r="AA374" i="36"/>
  <c r="U375" i="36"/>
  <c r="Z375" i="36"/>
  <c r="AA375" i="36"/>
  <c r="U376" i="36"/>
  <c r="Z376" i="36"/>
  <c r="AA376" i="36"/>
  <c r="U377" i="36"/>
  <c r="Z377" i="36"/>
  <c r="AG377" i="36" s="1"/>
  <c r="AA377" i="36"/>
  <c r="U378" i="36"/>
  <c r="Z378" i="36"/>
  <c r="AA378" i="36"/>
  <c r="U379" i="36"/>
  <c r="Z379" i="36"/>
  <c r="AA379" i="36"/>
  <c r="R380" i="36"/>
  <c r="U380" i="36"/>
  <c r="Z380" i="36"/>
  <c r="AA380" i="36"/>
  <c r="R381" i="36"/>
  <c r="U381" i="36"/>
  <c r="Z381" i="36"/>
  <c r="AA381" i="36"/>
  <c r="R382" i="36"/>
  <c r="U382" i="36"/>
  <c r="Z382" i="36"/>
  <c r="AA382" i="36"/>
  <c r="R383" i="36"/>
  <c r="U383" i="36"/>
  <c r="Z383" i="36"/>
  <c r="AA383" i="36"/>
  <c r="R384" i="36"/>
  <c r="U384" i="36"/>
  <c r="Z384" i="36"/>
  <c r="AA384" i="36"/>
  <c r="R385" i="36"/>
  <c r="U385" i="36"/>
  <c r="Z385" i="36"/>
  <c r="AA385" i="36"/>
  <c r="R386" i="36"/>
  <c r="U386" i="36"/>
  <c r="Z386" i="36"/>
  <c r="AD386" i="36" s="1"/>
  <c r="AA386" i="36"/>
  <c r="R387" i="36"/>
  <c r="U387" i="36"/>
  <c r="Z387" i="36"/>
  <c r="AC387" i="36" s="1"/>
  <c r="AA387" i="36"/>
  <c r="R388" i="36"/>
  <c r="U388" i="36"/>
  <c r="Z388" i="36"/>
  <c r="AA388" i="36"/>
  <c r="R389" i="36"/>
  <c r="U389" i="36"/>
  <c r="Z389" i="36"/>
  <c r="AA389" i="36"/>
  <c r="P390" i="36"/>
  <c r="Q390" i="36"/>
  <c r="R390" i="36"/>
  <c r="S390" i="36"/>
  <c r="U390" i="36"/>
  <c r="Z390" i="36"/>
  <c r="AH390" i="36" s="1"/>
  <c r="AA390" i="36"/>
  <c r="P391" i="36"/>
  <c r="Q391" i="36"/>
  <c r="R391" i="36"/>
  <c r="S391" i="36"/>
  <c r="U391" i="36"/>
  <c r="Z391" i="36"/>
  <c r="AG391" i="36" s="1"/>
  <c r="AA391" i="36"/>
  <c r="P392" i="36"/>
  <c r="Q392" i="36"/>
  <c r="R392" i="36"/>
  <c r="S392" i="36"/>
  <c r="U392" i="36"/>
  <c r="Z392" i="36"/>
  <c r="AA392" i="36"/>
  <c r="P393" i="36"/>
  <c r="Q393" i="36"/>
  <c r="R393" i="36"/>
  <c r="S393" i="36"/>
  <c r="U393" i="36"/>
  <c r="Z393" i="36"/>
  <c r="AA393" i="36"/>
  <c r="P394" i="36"/>
  <c r="Q394" i="36"/>
  <c r="R394" i="36"/>
  <c r="S394" i="36"/>
  <c r="U394" i="36"/>
  <c r="Z394" i="36"/>
  <c r="AA394" i="36"/>
  <c r="P395" i="36"/>
  <c r="Q395" i="36"/>
  <c r="R395" i="36"/>
  <c r="S395" i="36"/>
  <c r="U395" i="36"/>
  <c r="Z395" i="36"/>
  <c r="AA395" i="36"/>
  <c r="P396" i="36"/>
  <c r="Q396" i="36"/>
  <c r="R396" i="36"/>
  <c r="S396" i="36"/>
  <c r="U396" i="36"/>
  <c r="Z396" i="36"/>
  <c r="AA396" i="36"/>
  <c r="P397" i="36"/>
  <c r="Q397" i="36"/>
  <c r="R397" i="36"/>
  <c r="S397" i="36"/>
  <c r="U397" i="36"/>
  <c r="Z397" i="36"/>
  <c r="AA397" i="36"/>
  <c r="Q398" i="36"/>
  <c r="R398" i="36"/>
  <c r="U398" i="36"/>
  <c r="Z398" i="36"/>
  <c r="AA398" i="36"/>
  <c r="Q399" i="36"/>
  <c r="R399" i="36"/>
  <c r="U399" i="36"/>
  <c r="Z399" i="36"/>
  <c r="AA399" i="36"/>
  <c r="Q400" i="36"/>
  <c r="R400" i="36"/>
  <c r="U400" i="36"/>
  <c r="Z400" i="36"/>
  <c r="AA400" i="36"/>
  <c r="Q401" i="36"/>
  <c r="R401" i="36"/>
  <c r="U401" i="36"/>
  <c r="Z401" i="36"/>
  <c r="AA401" i="36"/>
  <c r="Q402" i="36"/>
  <c r="R402" i="36"/>
  <c r="U402" i="36"/>
  <c r="Z402" i="36"/>
  <c r="AA402" i="36"/>
  <c r="Q403" i="36"/>
  <c r="R403" i="36"/>
  <c r="U403" i="36"/>
  <c r="Z403" i="36"/>
  <c r="AA403" i="36"/>
  <c r="U404" i="36"/>
  <c r="Z404" i="36"/>
  <c r="AD404" i="36" s="1"/>
  <c r="AA404" i="36"/>
  <c r="U405" i="36"/>
  <c r="Z405" i="36"/>
  <c r="AG405" i="36" s="1"/>
  <c r="AA405" i="36"/>
  <c r="U406" i="36"/>
  <c r="Z406" i="36"/>
  <c r="AA406" i="36"/>
  <c r="Q407" i="36"/>
  <c r="R407" i="36"/>
  <c r="U407" i="36"/>
  <c r="Z407" i="36"/>
  <c r="AA407" i="36"/>
  <c r="Q408" i="36"/>
  <c r="R408" i="36"/>
  <c r="U408" i="36"/>
  <c r="Z408" i="36"/>
  <c r="AD408" i="36" s="1"/>
  <c r="AA408" i="36"/>
  <c r="Q409" i="36"/>
  <c r="R409" i="36"/>
  <c r="U409" i="36"/>
  <c r="Z409" i="36"/>
  <c r="AA409" i="36"/>
  <c r="Q410" i="36"/>
  <c r="R410" i="36"/>
  <c r="U410" i="36"/>
  <c r="Z410" i="36"/>
  <c r="AA410" i="36"/>
  <c r="Q411" i="36"/>
  <c r="R411" i="36"/>
  <c r="U411" i="36"/>
  <c r="Z411" i="36"/>
  <c r="AF411" i="36" s="1"/>
  <c r="AA411" i="36"/>
  <c r="Q412" i="36"/>
  <c r="R412" i="36"/>
  <c r="U412" i="36"/>
  <c r="Z412" i="36"/>
  <c r="AG412" i="36" s="1"/>
  <c r="AA412" i="36"/>
  <c r="Q413" i="36"/>
  <c r="R413" i="36"/>
  <c r="U413" i="36"/>
  <c r="Z413" i="36"/>
  <c r="AA413" i="36"/>
  <c r="P414" i="36"/>
  <c r="Q414" i="36"/>
  <c r="R414" i="36"/>
  <c r="S414" i="36"/>
  <c r="U414" i="36"/>
  <c r="V414" i="36"/>
  <c r="W414" i="36"/>
  <c r="Z414" i="36"/>
  <c r="AA414" i="36"/>
  <c r="P415" i="36"/>
  <c r="Q415" i="36"/>
  <c r="R415" i="36"/>
  <c r="S415" i="36"/>
  <c r="U415" i="36"/>
  <c r="V415" i="36"/>
  <c r="W415" i="36"/>
  <c r="Z415" i="36"/>
  <c r="AA415" i="36"/>
  <c r="P416" i="36"/>
  <c r="Q416" i="36"/>
  <c r="R416" i="36"/>
  <c r="S416" i="36"/>
  <c r="U416" i="36"/>
  <c r="V416" i="36"/>
  <c r="W416" i="36"/>
  <c r="Z416" i="36"/>
  <c r="AA416" i="36"/>
  <c r="P417" i="36"/>
  <c r="Q417" i="36"/>
  <c r="R417" i="36"/>
  <c r="S417" i="36"/>
  <c r="U417" i="36"/>
  <c r="V417" i="36"/>
  <c r="W417" i="36"/>
  <c r="Z417" i="36"/>
  <c r="AA417" i="36"/>
  <c r="P418" i="36"/>
  <c r="Q418" i="36"/>
  <c r="R418" i="36"/>
  <c r="S418" i="36"/>
  <c r="U418" i="36"/>
  <c r="V418" i="36"/>
  <c r="W418" i="36"/>
  <c r="Z418" i="36"/>
  <c r="AA418" i="36"/>
  <c r="P419" i="36"/>
  <c r="Q419" i="36"/>
  <c r="R419" i="36"/>
  <c r="S419" i="36"/>
  <c r="U419" i="36"/>
  <c r="V419" i="36"/>
  <c r="W419" i="36"/>
  <c r="Z419" i="36"/>
  <c r="AA419" i="36"/>
  <c r="P420" i="36"/>
  <c r="Q420" i="36"/>
  <c r="R420" i="36"/>
  <c r="S420" i="36"/>
  <c r="U420" i="36"/>
  <c r="Z420" i="36"/>
  <c r="AG420" i="36" s="1"/>
  <c r="AA420" i="36"/>
  <c r="P421" i="36"/>
  <c r="Q421" i="36"/>
  <c r="R421" i="36"/>
  <c r="S421" i="36"/>
  <c r="U421" i="36"/>
  <c r="Z421" i="36"/>
  <c r="AA421" i="36"/>
  <c r="P422" i="36"/>
  <c r="Q422" i="36"/>
  <c r="R422" i="36"/>
  <c r="S422" i="36"/>
  <c r="U422" i="36"/>
  <c r="Z422" i="36"/>
  <c r="AA422" i="36"/>
  <c r="P423" i="36"/>
  <c r="Q423" i="36"/>
  <c r="R423" i="36"/>
  <c r="S423" i="36"/>
  <c r="U423" i="36"/>
  <c r="Z423" i="36"/>
  <c r="AA423" i="36"/>
  <c r="P424" i="36"/>
  <c r="Q424" i="36"/>
  <c r="R424" i="36"/>
  <c r="S424" i="36"/>
  <c r="U424" i="36"/>
  <c r="Z424" i="36"/>
  <c r="AA424" i="36"/>
  <c r="P425" i="36"/>
  <c r="Q425" i="36"/>
  <c r="R425" i="36"/>
  <c r="S425" i="36"/>
  <c r="U425" i="36"/>
  <c r="Z425" i="36"/>
  <c r="AA425" i="36"/>
  <c r="P426" i="36"/>
  <c r="Q426" i="36"/>
  <c r="R426" i="36"/>
  <c r="S426" i="36"/>
  <c r="U426" i="36"/>
  <c r="Z426" i="36"/>
  <c r="AA426" i="36"/>
  <c r="P427" i="36"/>
  <c r="Q427" i="36"/>
  <c r="R427" i="36"/>
  <c r="S427" i="36"/>
  <c r="U427" i="36"/>
  <c r="Z427" i="36"/>
  <c r="AA427" i="36"/>
  <c r="P428" i="36"/>
  <c r="Q428" i="36"/>
  <c r="R428" i="36"/>
  <c r="S428" i="36"/>
  <c r="U428" i="36"/>
  <c r="Z428" i="36"/>
  <c r="AA428" i="36"/>
  <c r="U429" i="36"/>
  <c r="Z429" i="36"/>
  <c r="AH429" i="36" s="1"/>
  <c r="AA429" i="36"/>
  <c r="U430" i="36"/>
  <c r="Z430" i="36"/>
  <c r="AA430" i="36"/>
  <c r="U431" i="36"/>
  <c r="Z431" i="36"/>
  <c r="AC431" i="36" s="1"/>
  <c r="AA431" i="36"/>
  <c r="U432" i="36"/>
  <c r="Z432" i="36"/>
  <c r="AC432" i="36" s="1"/>
  <c r="AA432" i="36"/>
  <c r="U433" i="36"/>
  <c r="Z433" i="36"/>
  <c r="AA433" i="36"/>
  <c r="U434" i="36"/>
  <c r="Z434" i="36"/>
  <c r="AA434" i="36"/>
  <c r="U435" i="36"/>
  <c r="Z435" i="36"/>
  <c r="AA435" i="36"/>
  <c r="U436" i="36"/>
  <c r="Z436" i="36"/>
  <c r="AC436" i="36" s="1"/>
  <c r="AA436" i="36"/>
  <c r="U437" i="36"/>
  <c r="Z437" i="36"/>
  <c r="AC437" i="36" s="1"/>
  <c r="AA437" i="36"/>
  <c r="U438" i="36"/>
  <c r="Z438" i="36"/>
  <c r="AA438" i="36"/>
  <c r="U439" i="36"/>
  <c r="Z439" i="36"/>
  <c r="AC439" i="36" s="1"/>
  <c r="AA439" i="36"/>
  <c r="U440" i="36"/>
  <c r="Z440" i="36"/>
  <c r="AC440" i="36" s="1"/>
  <c r="AA440" i="36"/>
  <c r="U441" i="36"/>
  <c r="Z441" i="36"/>
  <c r="AA441" i="36"/>
  <c r="U442" i="36"/>
  <c r="Z442" i="36"/>
  <c r="AC442" i="36" s="1"/>
  <c r="AA442" i="36"/>
  <c r="U443" i="36"/>
  <c r="Z443" i="36"/>
  <c r="AA443" i="36"/>
  <c r="U444" i="36"/>
  <c r="Z444" i="36"/>
  <c r="AA444" i="36"/>
  <c r="P445" i="36"/>
  <c r="Q445" i="36"/>
  <c r="R445" i="36"/>
  <c r="S445" i="36"/>
  <c r="U445" i="36"/>
  <c r="Z445" i="36"/>
  <c r="AC445" i="36" s="1"/>
  <c r="AA445" i="36"/>
  <c r="P446" i="36"/>
  <c r="Q446" i="36"/>
  <c r="R446" i="36"/>
  <c r="S446" i="36"/>
  <c r="U446" i="36"/>
  <c r="Z446" i="36"/>
  <c r="AC446" i="36" s="1"/>
  <c r="AA446" i="36"/>
  <c r="P447" i="36"/>
  <c r="Q447" i="36"/>
  <c r="R447" i="36"/>
  <c r="S447" i="36"/>
  <c r="U447" i="36"/>
  <c r="Z447" i="36"/>
  <c r="AA447" i="36"/>
  <c r="P448" i="36"/>
  <c r="Q448" i="36"/>
  <c r="R448" i="36"/>
  <c r="S448" i="36"/>
  <c r="U448" i="36"/>
  <c r="Z448" i="36"/>
  <c r="AC448" i="36" s="1"/>
  <c r="AA448" i="36"/>
  <c r="P449" i="36"/>
  <c r="Q449" i="36"/>
  <c r="R449" i="36"/>
  <c r="S449" i="36"/>
  <c r="U449" i="36"/>
  <c r="Z449" i="36"/>
  <c r="AA449" i="36"/>
  <c r="P450" i="36"/>
  <c r="Q450" i="36"/>
  <c r="R450" i="36"/>
  <c r="S450" i="36"/>
  <c r="U450" i="36"/>
  <c r="Z450" i="36"/>
  <c r="AC450" i="36" s="1"/>
  <c r="AA450" i="36"/>
  <c r="P451" i="36"/>
  <c r="Q451" i="36"/>
  <c r="R451" i="36"/>
  <c r="S451" i="36"/>
  <c r="U451" i="36"/>
  <c r="Z451" i="36"/>
  <c r="AC451" i="36" s="1"/>
  <c r="AA451" i="36"/>
  <c r="P452" i="36"/>
  <c r="Q452" i="36"/>
  <c r="R452" i="36"/>
  <c r="S452" i="36"/>
  <c r="U452" i="36"/>
  <c r="Z452" i="36"/>
  <c r="AA452" i="36"/>
  <c r="P453" i="36"/>
  <c r="Q453" i="36"/>
  <c r="R453" i="36"/>
  <c r="S453" i="36"/>
  <c r="U453" i="36"/>
  <c r="Z453" i="36"/>
  <c r="AH453" i="36" s="1"/>
  <c r="AA453" i="36"/>
  <c r="P454" i="36"/>
  <c r="Q454" i="36"/>
  <c r="R454" i="36"/>
  <c r="S454" i="36"/>
  <c r="U454" i="36"/>
  <c r="Z454" i="36"/>
  <c r="AC454" i="36" s="1"/>
  <c r="AA454" i="36"/>
  <c r="P455" i="36"/>
  <c r="Q455" i="36"/>
  <c r="R455" i="36"/>
  <c r="S455" i="36"/>
  <c r="U455" i="36"/>
  <c r="Z455" i="36"/>
  <c r="AC455" i="36" s="1"/>
  <c r="AA455" i="36"/>
  <c r="P456" i="36"/>
  <c r="Q456" i="36"/>
  <c r="R456" i="36"/>
  <c r="S456" i="36"/>
  <c r="U456" i="36"/>
  <c r="Z456" i="36"/>
  <c r="AA456" i="36"/>
  <c r="P457" i="36"/>
  <c r="Q457" i="36"/>
  <c r="R457" i="36"/>
  <c r="S457" i="36"/>
  <c r="U457" i="36"/>
  <c r="Z457" i="36"/>
  <c r="AA457" i="36"/>
  <c r="P458" i="36"/>
  <c r="Q458" i="36"/>
  <c r="R458" i="36"/>
  <c r="S458" i="36"/>
  <c r="U458" i="36"/>
  <c r="Z458" i="36"/>
  <c r="AA458" i="36"/>
  <c r="P459" i="36"/>
  <c r="Q459" i="36"/>
  <c r="R459" i="36"/>
  <c r="S459" i="36"/>
  <c r="U459" i="36"/>
  <c r="Z459" i="36"/>
  <c r="AC459" i="36" s="1"/>
  <c r="AA459" i="36"/>
  <c r="P460" i="36"/>
  <c r="Q460" i="36"/>
  <c r="R460" i="36"/>
  <c r="S460" i="36"/>
  <c r="U460" i="36"/>
  <c r="Z460" i="36"/>
  <c r="AC460" i="36" s="1"/>
  <c r="AA460" i="36"/>
  <c r="P461" i="36"/>
  <c r="Q461" i="36"/>
  <c r="R461" i="36"/>
  <c r="S461" i="36"/>
  <c r="U461" i="36"/>
  <c r="Z461" i="36"/>
  <c r="AA461" i="36"/>
  <c r="P462" i="36"/>
  <c r="Q462" i="36"/>
  <c r="R462" i="36"/>
  <c r="S462" i="36"/>
  <c r="U462" i="36"/>
  <c r="Z462" i="36"/>
  <c r="AC462" i="36" s="1"/>
  <c r="AA462" i="36"/>
  <c r="P463" i="36"/>
  <c r="Q463" i="36"/>
  <c r="R463" i="36"/>
  <c r="S463" i="36"/>
  <c r="U463" i="36"/>
  <c r="Z463" i="36"/>
  <c r="AC463" i="36" s="1"/>
  <c r="AA463" i="36"/>
  <c r="P464" i="36"/>
  <c r="Q464" i="36"/>
  <c r="R464" i="36"/>
  <c r="S464" i="36"/>
  <c r="U464" i="36"/>
  <c r="Z464" i="36"/>
  <c r="AA464" i="36"/>
  <c r="P465" i="36"/>
  <c r="Q465" i="36"/>
  <c r="R465" i="36"/>
  <c r="S465" i="36"/>
  <c r="U465" i="36"/>
  <c r="Z465" i="36"/>
  <c r="AC465" i="36" s="1"/>
  <c r="AA465" i="36"/>
  <c r="P466" i="36"/>
  <c r="Q466" i="36"/>
  <c r="R466" i="36"/>
  <c r="S466" i="36"/>
  <c r="U466" i="36"/>
  <c r="Z466" i="36"/>
  <c r="AA466" i="36"/>
  <c r="P467" i="36"/>
  <c r="Q467" i="36"/>
  <c r="R467" i="36"/>
  <c r="S467" i="36"/>
  <c r="U467" i="36"/>
  <c r="Z467" i="36"/>
  <c r="AC467" i="36" s="1"/>
  <c r="AA467" i="36"/>
  <c r="P468" i="36"/>
  <c r="Q468" i="36"/>
  <c r="R468" i="36"/>
  <c r="U468" i="36"/>
  <c r="Z468" i="36"/>
  <c r="AC468" i="36" s="1"/>
  <c r="AA468" i="36"/>
  <c r="P469" i="36"/>
  <c r="Q469" i="36"/>
  <c r="R469" i="36"/>
  <c r="U469" i="36"/>
  <c r="Z469" i="36"/>
  <c r="AC469" i="36" s="1"/>
  <c r="AA469" i="36"/>
  <c r="P470" i="36"/>
  <c r="Q470" i="36"/>
  <c r="R470" i="36"/>
  <c r="U470" i="36"/>
  <c r="Z470" i="36"/>
  <c r="AA470" i="36"/>
  <c r="P471" i="36"/>
  <c r="Q471" i="36"/>
  <c r="R471" i="36"/>
  <c r="U471" i="36"/>
  <c r="Z471" i="36"/>
  <c r="AA471" i="36"/>
  <c r="P472" i="36"/>
  <c r="Q472" i="36"/>
  <c r="R472" i="36"/>
  <c r="U472" i="36"/>
  <c r="Z472" i="36"/>
  <c r="AA472" i="36"/>
  <c r="P473" i="36"/>
  <c r="Q473" i="36"/>
  <c r="R473" i="36"/>
  <c r="U473" i="36"/>
  <c r="Z473" i="36"/>
  <c r="AC473" i="36" s="1"/>
  <c r="AA473" i="36"/>
  <c r="P474" i="36"/>
  <c r="Q474" i="36"/>
  <c r="R474" i="36"/>
  <c r="U474" i="36"/>
  <c r="Z474" i="36"/>
  <c r="AC474" i="36" s="1"/>
  <c r="AA474" i="36"/>
  <c r="P475" i="36"/>
  <c r="Q475" i="36"/>
  <c r="R475" i="36"/>
  <c r="U475" i="36"/>
  <c r="Z475" i="36"/>
  <c r="AH475" i="36" s="1"/>
  <c r="AA475" i="36"/>
  <c r="P476" i="36"/>
  <c r="Q476" i="36"/>
  <c r="R476" i="36"/>
  <c r="U476" i="36"/>
  <c r="Z476" i="36"/>
  <c r="AC476" i="36" s="1"/>
  <c r="AA476" i="36"/>
  <c r="P477" i="36"/>
  <c r="Q477" i="36"/>
  <c r="R477" i="36"/>
  <c r="U477" i="36"/>
  <c r="V477" i="36"/>
  <c r="W477" i="36"/>
  <c r="Z477" i="36"/>
  <c r="AA477" i="36"/>
  <c r="P478" i="36"/>
  <c r="Q478" i="36"/>
  <c r="R478" i="36"/>
  <c r="U478" i="36"/>
  <c r="V478" i="36"/>
  <c r="W478" i="36"/>
  <c r="Z478" i="36"/>
  <c r="AA478" i="36"/>
  <c r="P479" i="36"/>
  <c r="Q479" i="36"/>
  <c r="R479" i="36"/>
  <c r="U479" i="36"/>
  <c r="V479" i="36"/>
  <c r="W479" i="36"/>
  <c r="Z479" i="36"/>
  <c r="AA479" i="36"/>
  <c r="P480" i="36"/>
  <c r="Q480" i="36"/>
  <c r="R480" i="36"/>
  <c r="U480" i="36"/>
  <c r="V480" i="36"/>
  <c r="W480" i="36"/>
  <c r="Z480" i="36"/>
  <c r="AD480" i="36" s="1"/>
  <c r="AA480" i="36"/>
  <c r="P481" i="36"/>
  <c r="Q481" i="36"/>
  <c r="R481" i="36"/>
  <c r="U481" i="36"/>
  <c r="V481" i="36"/>
  <c r="W481" i="36"/>
  <c r="Z481" i="36"/>
  <c r="AH481" i="36" s="1"/>
  <c r="AA481" i="36"/>
  <c r="P482" i="36"/>
  <c r="R482" i="36"/>
  <c r="S482" i="36"/>
  <c r="U482" i="36"/>
  <c r="V482" i="36"/>
  <c r="W482" i="36"/>
  <c r="X482" i="36"/>
  <c r="Z482" i="36"/>
  <c r="AA482" i="36"/>
  <c r="P483" i="36"/>
  <c r="R483" i="36"/>
  <c r="S483" i="36"/>
  <c r="U483" i="36"/>
  <c r="V483" i="36"/>
  <c r="W483" i="36"/>
  <c r="X483" i="36"/>
  <c r="Z483" i="36"/>
  <c r="AA483" i="36"/>
  <c r="P484" i="36"/>
  <c r="R484" i="36"/>
  <c r="S484" i="36"/>
  <c r="U484" i="36"/>
  <c r="V484" i="36"/>
  <c r="W484" i="36"/>
  <c r="X484" i="36"/>
  <c r="Z484" i="36"/>
  <c r="AA484" i="36"/>
  <c r="P485" i="36"/>
  <c r="R485" i="36"/>
  <c r="S485" i="36"/>
  <c r="U485" i="36"/>
  <c r="V485" i="36"/>
  <c r="W485" i="36"/>
  <c r="X485" i="36"/>
  <c r="Z485" i="36"/>
  <c r="AC485" i="36" s="1"/>
  <c r="AA485" i="36"/>
  <c r="P486" i="36"/>
  <c r="R486" i="36"/>
  <c r="S486" i="36"/>
  <c r="U486" i="36"/>
  <c r="V486" i="36"/>
  <c r="W486" i="36"/>
  <c r="X486" i="36"/>
  <c r="Z486" i="36"/>
  <c r="AD486" i="36" s="1"/>
  <c r="AA486" i="36"/>
  <c r="P487" i="36"/>
  <c r="R487" i="36"/>
  <c r="S487" i="36"/>
  <c r="U487" i="36"/>
  <c r="V487" i="36"/>
  <c r="W487" i="36"/>
  <c r="X487" i="36"/>
  <c r="Z487" i="36"/>
  <c r="AA487" i="36"/>
  <c r="P488" i="36"/>
  <c r="R488" i="36"/>
  <c r="S488" i="36"/>
  <c r="U488" i="36"/>
  <c r="V488" i="36"/>
  <c r="W488" i="36"/>
  <c r="X488" i="36"/>
  <c r="Z488" i="36"/>
  <c r="AA488" i="36"/>
  <c r="P489" i="36"/>
  <c r="R489" i="36"/>
  <c r="S489" i="36"/>
  <c r="U489" i="36"/>
  <c r="V489" i="36"/>
  <c r="W489" i="36"/>
  <c r="X489" i="36"/>
  <c r="Z489" i="36"/>
  <c r="AA489" i="36"/>
  <c r="P490" i="36"/>
  <c r="R490" i="36"/>
  <c r="S490" i="36"/>
  <c r="U490" i="36"/>
  <c r="V490" i="36"/>
  <c r="W490" i="36"/>
  <c r="X490" i="36"/>
  <c r="Z490" i="36"/>
  <c r="AC490" i="36" s="1"/>
  <c r="AA490" i="36"/>
  <c r="P491" i="36"/>
  <c r="R491" i="36"/>
  <c r="S491" i="36"/>
  <c r="U491" i="36"/>
  <c r="V491" i="36"/>
  <c r="W491" i="36"/>
  <c r="X491" i="36"/>
  <c r="Z491" i="36"/>
  <c r="AC491" i="36" s="1"/>
  <c r="AA491" i="36"/>
  <c r="P492" i="36"/>
  <c r="R492" i="36"/>
  <c r="S492" i="36"/>
  <c r="U492" i="36"/>
  <c r="V492" i="36"/>
  <c r="W492" i="36"/>
  <c r="Y492" i="36" s="1"/>
  <c r="X492" i="36"/>
  <c r="Z492" i="36"/>
  <c r="AC492" i="36" s="1"/>
  <c r="AA492" i="36"/>
  <c r="P493" i="36"/>
  <c r="R493" i="36"/>
  <c r="S493" i="36"/>
  <c r="U493" i="36"/>
  <c r="V493" i="36"/>
  <c r="W493" i="36"/>
  <c r="X493" i="36"/>
  <c r="Z493" i="36"/>
  <c r="AG493" i="36" s="1"/>
  <c r="AA493" i="36"/>
  <c r="P494" i="36"/>
  <c r="R494" i="36"/>
  <c r="S494" i="36"/>
  <c r="U494" i="36"/>
  <c r="V494" i="36"/>
  <c r="W494" i="36"/>
  <c r="X494" i="36"/>
  <c r="Z494" i="36"/>
  <c r="AA494" i="36"/>
  <c r="P495" i="36"/>
  <c r="R495" i="36"/>
  <c r="S495" i="36"/>
  <c r="U495" i="36"/>
  <c r="V495" i="36"/>
  <c r="W495" i="36"/>
  <c r="X495" i="36"/>
  <c r="Z495" i="36"/>
  <c r="AA495" i="36"/>
  <c r="P496" i="36"/>
  <c r="R496" i="36"/>
  <c r="S496" i="36"/>
  <c r="U496" i="36"/>
  <c r="V496" i="36"/>
  <c r="W496" i="36"/>
  <c r="X496" i="36"/>
  <c r="Z496" i="36"/>
  <c r="AC496" i="36" s="1"/>
  <c r="AA496" i="36"/>
  <c r="P497" i="36"/>
  <c r="R497" i="36"/>
  <c r="S497" i="36"/>
  <c r="U497" i="36"/>
  <c r="Z497" i="36"/>
  <c r="AA497" i="36"/>
  <c r="P498" i="36"/>
  <c r="R498" i="36"/>
  <c r="S498" i="36"/>
  <c r="U498" i="36"/>
  <c r="Z498" i="36"/>
  <c r="AA498" i="36"/>
  <c r="P499" i="36"/>
  <c r="R499" i="36"/>
  <c r="S499" i="36"/>
  <c r="U499" i="36"/>
  <c r="Z499" i="36"/>
  <c r="AA499" i="36"/>
  <c r="P500" i="36"/>
  <c r="R500" i="36"/>
  <c r="S500" i="36"/>
  <c r="U500" i="36"/>
  <c r="Z500" i="36"/>
  <c r="AG500" i="36" s="1"/>
  <c r="AA500" i="36"/>
  <c r="P501" i="36"/>
  <c r="R501" i="36"/>
  <c r="S501" i="36"/>
  <c r="U501" i="36"/>
  <c r="Z501" i="36"/>
  <c r="AA501" i="36"/>
  <c r="P502" i="36"/>
  <c r="R502" i="36"/>
  <c r="S502" i="36"/>
  <c r="U502" i="36"/>
  <c r="Z502" i="36"/>
  <c r="AA502" i="36"/>
  <c r="P503" i="36"/>
  <c r="R503" i="36"/>
  <c r="S503" i="36"/>
  <c r="U503" i="36"/>
  <c r="Z503" i="36"/>
  <c r="AA503" i="36"/>
  <c r="P504" i="36"/>
  <c r="R504" i="36"/>
  <c r="S504" i="36"/>
  <c r="U504" i="36"/>
  <c r="Z504" i="36"/>
  <c r="AA504" i="36"/>
  <c r="P505" i="36"/>
  <c r="R505" i="36"/>
  <c r="S505" i="36"/>
  <c r="U505" i="36"/>
  <c r="Z505" i="36"/>
  <c r="AC505" i="36" s="1"/>
  <c r="AA505" i="36"/>
  <c r="P506" i="36"/>
  <c r="R506" i="36"/>
  <c r="S506" i="36"/>
  <c r="U506" i="36"/>
  <c r="Z506" i="36"/>
  <c r="AC506" i="36" s="1"/>
  <c r="AA506" i="36"/>
  <c r="P507" i="36"/>
  <c r="R507" i="36"/>
  <c r="S507" i="36"/>
  <c r="U507" i="36"/>
  <c r="Z507" i="36"/>
  <c r="AA507" i="36"/>
  <c r="U508" i="36"/>
  <c r="Z508" i="36"/>
  <c r="AI508" i="36" s="1"/>
  <c r="AA508" i="36"/>
  <c r="U509" i="36"/>
  <c r="Z509" i="36"/>
  <c r="AA509" i="36"/>
  <c r="U510" i="36"/>
  <c r="Z510" i="36"/>
  <c r="AC510" i="36" s="1"/>
  <c r="AA510" i="36"/>
  <c r="U511" i="36"/>
  <c r="Z511" i="36"/>
  <c r="AC511" i="36" s="1"/>
  <c r="AA511" i="36"/>
  <c r="U512" i="36"/>
  <c r="Z512" i="36"/>
  <c r="AA512" i="36"/>
  <c r="U513" i="36"/>
  <c r="Z513" i="36"/>
  <c r="AC513" i="36" s="1"/>
  <c r="AA513" i="36"/>
  <c r="U514" i="36"/>
  <c r="Z514" i="36"/>
  <c r="AA514" i="36"/>
  <c r="U515" i="36"/>
  <c r="Z515" i="36"/>
  <c r="AH515" i="36" s="1"/>
  <c r="AA515" i="36"/>
  <c r="U516" i="36"/>
  <c r="Z516" i="36"/>
  <c r="AC516" i="36" s="1"/>
  <c r="AA516" i="36"/>
  <c r="U517" i="36"/>
  <c r="Z517" i="36"/>
  <c r="AA517" i="36"/>
  <c r="U518" i="36"/>
  <c r="Z518" i="36"/>
  <c r="AA518" i="36"/>
  <c r="U519" i="36"/>
  <c r="Z519" i="36"/>
  <c r="AC519" i="36" s="1"/>
  <c r="AA519" i="36"/>
  <c r="U520" i="36"/>
  <c r="Z520" i="36"/>
  <c r="AD520" i="36" s="1"/>
  <c r="AA520" i="36"/>
  <c r="U521" i="36"/>
  <c r="Z521" i="36"/>
  <c r="AC521" i="36" s="1"/>
  <c r="AA521" i="36"/>
  <c r="P522" i="36"/>
  <c r="Q522" i="36"/>
  <c r="R522" i="36"/>
  <c r="S522" i="36"/>
  <c r="T522" i="36"/>
  <c r="U522" i="36"/>
  <c r="Z522" i="36"/>
  <c r="AA522" i="36"/>
  <c r="P523" i="36"/>
  <c r="Q523" i="36"/>
  <c r="R523" i="36"/>
  <c r="S523" i="36"/>
  <c r="T523" i="36"/>
  <c r="U523" i="36"/>
  <c r="Z523" i="36"/>
  <c r="AA523" i="36"/>
  <c r="P524" i="36"/>
  <c r="Q524" i="36"/>
  <c r="R524" i="36"/>
  <c r="S524" i="36"/>
  <c r="T524" i="36"/>
  <c r="U524" i="36"/>
  <c r="Z524" i="36"/>
  <c r="AA524" i="36"/>
  <c r="P525" i="36"/>
  <c r="Q525" i="36"/>
  <c r="R525" i="36"/>
  <c r="S525" i="36"/>
  <c r="T525" i="36"/>
  <c r="U525" i="36"/>
  <c r="Z525" i="36"/>
  <c r="AC525" i="36" s="1"/>
  <c r="AA525" i="36"/>
  <c r="P526" i="36"/>
  <c r="Q526" i="36"/>
  <c r="R526" i="36"/>
  <c r="S526" i="36"/>
  <c r="T526" i="36"/>
  <c r="U526" i="36"/>
  <c r="Z526" i="36"/>
  <c r="AC526" i="36" s="1"/>
  <c r="AA526" i="36"/>
  <c r="P527" i="36"/>
  <c r="Q527" i="36"/>
  <c r="R527" i="36"/>
  <c r="S527" i="36"/>
  <c r="T527" i="36"/>
  <c r="U527" i="36"/>
  <c r="Z527" i="36"/>
  <c r="AC527" i="36" s="1"/>
  <c r="AA527" i="36"/>
  <c r="P528" i="36"/>
  <c r="Q528" i="36"/>
  <c r="R528" i="36"/>
  <c r="S528" i="36"/>
  <c r="T528" i="36"/>
  <c r="U528" i="36"/>
  <c r="Z528" i="36"/>
  <c r="AC528" i="36" s="1"/>
  <c r="AA528" i="36"/>
  <c r="P529" i="36"/>
  <c r="Q529" i="36"/>
  <c r="R529" i="36"/>
  <c r="S529" i="36"/>
  <c r="T529" i="36"/>
  <c r="U529" i="36"/>
  <c r="Z529" i="36"/>
  <c r="AA529" i="36"/>
  <c r="P530" i="36"/>
  <c r="Q530" i="36"/>
  <c r="R530" i="36"/>
  <c r="S530" i="36"/>
  <c r="T530" i="36"/>
  <c r="U530" i="36"/>
  <c r="Z530" i="36"/>
  <c r="AC530" i="36" s="1"/>
  <c r="AA530" i="36"/>
  <c r="P531" i="36"/>
  <c r="Q531" i="36"/>
  <c r="R531" i="36"/>
  <c r="S531" i="36"/>
  <c r="T531" i="36"/>
  <c r="U531" i="36"/>
  <c r="Z531" i="36"/>
  <c r="AA531" i="36"/>
  <c r="P532" i="36"/>
  <c r="Q532" i="36"/>
  <c r="R532" i="36"/>
  <c r="S532" i="36"/>
  <c r="T532" i="36"/>
  <c r="U532" i="36"/>
  <c r="Z532" i="36"/>
  <c r="AA532" i="36"/>
  <c r="P533" i="36"/>
  <c r="Q533" i="36"/>
  <c r="R533" i="36"/>
  <c r="S533" i="36"/>
  <c r="T533" i="36"/>
  <c r="U533" i="36"/>
  <c r="Z533" i="36"/>
  <c r="AC533" i="36" s="1"/>
  <c r="AA533" i="36"/>
  <c r="P534" i="36"/>
  <c r="Q534" i="36"/>
  <c r="R534" i="36"/>
  <c r="S534" i="36"/>
  <c r="T534" i="36"/>
  <c r="U534" i="36"/>
  <c r="Z534" i="36"/>
  <c r="AC534" i="36" s="1"/>
  <c r="AA534" i="36"/>
  <c r="P535" i="36"/>
  <c r="Q535" i="36"/>
  <c r="R535" i="36"/>
  <c r="S535" i="36"/>
  <c r="T535" i="36"/>
  <c r="U535" i="36"/>
  <c r="Z535" i="36"/>
  <c r="AC535" i="36" s="1"/>
  <c r="AA535" i="36"/>
  <c r="P536" i="36"/>
  <c r="Q536" i="36"/>
  <c r="R536" i="36"/>
  <c r="S536" i="36"/>
  <c r="T536" i="36"/>
  <c r="U536" i="36"/>
  <c r="Z536" i="36"/>
  <c r="AF536" i="36" s="1"/>
  <c r="AA536" i="36"/>
  <c r="P537" i="36"/>
  <c r="Q537" i="36"/>
  <c r="R537" i="36"/>
  <c r="S537" i="36"/>
  <c r="T537" i="36"/>
  <c r="U537" i="36"/>
  <c r="Z537" i="36"/>
  <c r="AA537" i="36"/>
  <c r="P538" i="36"/>
  <c r="Q538" i="36"/>
  <c r="R538" i="36"/>
  <c r="S538" i="36"/>
  <c r="T538" i="36"/>
  <c r="U538" i="36"/>
  <c r="Z538" i="36"/>
  <c r="AA538" i="36"/>
  <c r="P539" i="36"/>
  <c r="Q539" i="36"/>
  <c r="R539" i="36"/>
  <c r="S539" i="36"/>
  <c r="T539" i="36"/>
  <c r="U539" i="36"/>
  <c r="Z539" i="36"/>
  <c r="AC539" i="36" s="1"/>
  <c r="AA539" i="36"/>
  <c r="P540" i="36"/>
  <c r="Q540" i="36"/>
  <c r="R540" i="36"/>
  <c r="S540" i="36"/>
  <c r="T540" i="36"/>
  <c r="U540" i="36"/>
  <c r="Z540" i="36"/>
  <c r="AC540" i="36" s="1"/>
  <c r="AA540" i="36"/>
  <c r="P541" i="36"/>
  <c r="Q541" i="36"/>
  <c r="R541" i="36"/>
  <c r="S541" i="36"/>
  <c r="T541" i="36"/>
  <c r="U541" i="36"/>
  <c r="Z541" i="36"/>
  <c r="AA541" i="36"/>
  <c r="P542" i="36"/>
  <c r="Q542" i="36"/>
  <c r="R542" i="36"/>
  <c r="S542" i="36"/>
  <c r="T542" i="36"/>
  <c r="U542" i="36"/>
  <c r="Z542" i="36"/>
  <c r="AC542" i="36" s="1"/>
  <c r="AA542" i="36"/>
  <c r="P543" i="36"/>
  <c r="Q543" i="36"/>
  <c r="R543" i="36"/>
  <c r="S543" i="36"/>
  <c r="T543" i="36"/>
  <c r="U543" i="36"/>
  <c r="Z543" i="36"/>
  <c r="AD543" i="36" s="1"/>
  <c r="AA543" i="36"/>
  <c r="P544" i="36"/>
  <c r="Q544" i="36"/>
  <c r="R544" i="36"/>
  <c r="S544" i="36"/>
  <c r="T544" i="36"/>
  <c r="U544" i="36"/>
  <c r="Z544" i="36"/>
  <c r="AH544" i="36" s="1"/>
  <c r="AA544" i="36"/>
  <c r="P545" i="36"/>
  <c r="Q545" i="36"/>
  <c r="R545" i="36"/>
  <c r="S545" i="36"/>
  <c r="T545" i="36"/>
  <c r="U545" i="36"/>
  <c r="Z545" i="36"/>
  <c r="AA545" i="36"/>
  <c r="P546" i="36"/>
  <c r="Q546" i="36"/>
  <c r="R546" i="36"/>
  <c r="S546" i="36"/>
  <c r="T546" i="36"/>
  <c r="U546" i="36"/>
  <c r="Z546" i="36"/>
  <c r="AA546" i="36"/>
  <c r="P547" i="36"/>
  <c r="Q547" i="36"/>
  <c r="R547" i="36"/>
  <c r="S547" i="36"/>
  <c r="T547" i="36"/>
  <c r="U547" i="36"/>
  <c r="Z547" i="36"/>
  <c r="AA547" i="36"/>
  <c r="P548" i="36"/>
  <c r="Q548" i="36"/>
  <c r="R548" i="36"/>
  <c r="S548" i="36"/>
  <c r="T548" i="36"/>
  <c r="U548" i="36"/>
  <c r="Z548" i="36"/>
  <c r="AC548" i="36" s="1"/>
  <c r="AA548" i="36"/>
  <c r="P549" i="36"/>
  <c r="Q549" i="36"/>
  <c r="R549" i="36"/>
  <c r="S549" i="36"/>
  <c r="T549" i="36"/>
  <c r="U549" i="36"/>
  <c r="Z549" i="36"/>
  <c r="AC549" i="36" s="1"/>
  <c r="AA549" i="36"/>
  <c r="P550" i="36"/>
  <c r="Q550" i="36"/>
  <c r="R550" i="36"/>
  <c r="S550" i="36"/>
  <c r="T550" i="36"/>
  <c r="U550" i="36"/>
  <c r="Z550" i="36"/>
  <c r="AA550" i="36"/>
  <c r="P551" i="36"/>
  <c r="Q551" i="36"/>
  <c r="R551" i="36"/>
  <c r="S551" i="36"/>
  <c r="T551" i="36"/>
  <c r="U551" i="36"/>
  <c r="Z551" i="36"/>
  <c r="AE551" i="36" s="1"/>
  <c r="AA551" i="36"/>
  <c r="P552" i="36"/>
  <c r="Q552" i="36"/>
  <c r="R552" i="36"/>
  <c r="S552" i="36"/>
  <c r="T552" i="36"/>
  <c r="U552" i="36"/>
  <c r="Z552" i="36"/>
  <c r="AA552" i="36"/>
  <c r="P553" i="36"/>
  <c r="Q553" i="36"/>
  <c r="R553" i="36"/>
  <c r="S553" i="36"/>
  <c r="T553" i="36"/>
  <c r="U553" i="36"/>
  <c r="Z553" i="36"/>
  <c r="AC553" i="36" s="1"/>
  <c r="AA553" i="36"/>
  <c r="P554" i="36"/>
  <c r="Q554" i="36"/>
  <c r="R554" i="36"/>
  <c r="S554" i="36"/>
  <c r="T554" i="36"/>
  <c r="U554" i="36"/>
  <c r="Z554" i="36"/>
  <c r="AC554" i="36" s="1"/>
  <c r="AA554" i="36"/>
  <c r="P555" i="36"/>
  <c r="Q555" i="36"/>
  <c r="R555" i="36"/>
  <c r="S555" i="36"/>
  <c r="T555" i="36"/>
  <c r="U555" i="36"/>
  <c r="Z555" i="36"/>
  <c r="AA555" i="36"/>
  <c r="P556" i="36"/>
  <c r="Q556" i="36"/>
  <c r="R556" i="36"/>
  <c r="S556" i="36"/>
  <c r="T556" i="36"/>
  <c r="U556" i="36"/>
  <c r="Z556" i="36"/>
  <c r="AC556" i="36" s="1"/>
  <c r="AA556" i="36"/>
  <c r="P557" i="36"/>
  <c r="Q557" i="36"/>
  <c r="R557" i="36"/>
  <c r="S557" i="36"/>
  <c r="T557" i="36"/>
  <c r="U557" i="36"/>
  <c r="Z557" i="36"/>
  <c r="AC557" i="36" s="1"/>
  <c r="AA557" i="36"/>
  <c r="P558" i="36"/>
  <c r="Q558" i="36"/>
  <c r="R558" i="36"/>
  <c r="S558" i="36"/>
  <c r="T558" i="36"/>
  <c r="U558" i="36"/>
  <c r="Z558" i="36"/>
  <c r="AA558" i="36"/>
  <c r="P559" i="36"/>
  <c r="Q559" i="36"/>
  <c r="R559" i="36"/>
  <c r="S559" i="36"/>
  <c r="T559" i="36"/>
  <c r="U559" i="36"/>
  <c r="Z559" i="36"/>
  <c r="AC559" i="36" s="1"/>
  <c r="AA559" i="36"/>
  <c r="P560" i="36"/>
  <c r="Q560" i="36"/>
  <c r="R560" i="36"/>
  <c r="S560" i="36"/>
  <c r="T560" i="36"/>
  <c r="U560" i="36"/>
  <c r="Z560" i="36"/>
  <c r="AA560" i="36"/>
  <c r="P561" i="36"/>
  <c r="Q561" i="36"/>
  <c r="R561" i="36"/>
  <c r="S561" i="36"/>
  <c r="T561" i="36"/>
  <c r="U561" i="36"/>
  <c r="Z561" i="36"/>
  <c r="AA561" i="36"/>
  <c r="P562" i="36"/>
  <c r="Q562" i="36"/>
  <c r="R562" i="36"/>
  <c r="S562" i="36"/>
  <c r="T562" i="36"/>
  <c r="U562" i="36"/>
  <c r="Z562" i="36"/>
  <c r="AC562" i="36" s="1"/>
  <c r="AA562" i="36"/>
  <c r="P563" i="36"/>
  <c r="Q563" i="36"/>
  <c r="R563" i="36"/>
  <c r="S563" i="36"/>
  <c r="T563" i="36"/>
  <c r="U563" i="36"/>
  <c r="Z563" i="36"/>
  <c r="AC563" i="36" s="1"/>
  <c r="AA563" i="36"/>
  <c r="P564" i="36"/>
  <c r="Q564" i="36"/>
  <c r="R564" i="36"/>
  <c r="S564" i="36"/>
  <c r="T564" i="36"/>
  <c r="U564" i="36"/>
  <c r="Z564" i="36"/>
  <c r="AA564" i="36"/>
  <c r="P565" i="36"/>
  <c r="Q565" i="36"/>
  <c r="R565" i="36"/>
  <c r="S565" i="36"/>
  <c r="T565" i="36"/>
  <c r="U565" i="36"/>
  <c r="Z565" i="36"/>
  <c r="AF565" i="36" s="1"/>
  <c r="AA565" i="36"/>
  <c r="P566" i="36"/>
  <c r="Q566" i="36"/>
  <c r="R566" i="36"/>
  <c r="S566" i="36"/>
  <c r="T566" i="36"/>
  <c r="U566" i="36"/>
  <c r="Z566" i="36"/>
  <c r="AA566" i="36"/>
  <c r="P567" i="36"/>
  <c r="Q567" i="36"/>
  <c r="R567" i="36"/>
  <c r="S567" i="36"/>
  <c r="T567" i="36"/>
  <c r="U567" i="36"/>
  <c r="Z567" i="36"/>
  <c r="AC567" i="36" s="1"/>
  <c r="AA567" i="36"/>
  <c r="P568" i="36"/>
  <c r="Q568" i="36"/>
  <c r="R568" i="36"/>
  <c r="S568" i="36"/>
  <c r="T568" i="36"/>
  <c r="U568" i="36"/>
  <c r="Z568" i="36"/>
  <c r="AC568" i="36" s="1"/>
  <c r="AA568" i="36"/>
  <c r="P569" i="36"/>
  <c r="Q569" i="36"/>
  <c r="R569" i="36"/>
  <c r="S569" i="36"/>
  <c r="T569" i="36"/>
  <c r="U569" i="36"/>
  <c r="Z569" i="36"/>
  <c r="AA569" i="36"/>
  <c r="P570" i="36"/>
  <c r="Q570" i="36"/>
  <c r="R570" i="36"/>
  <c r="S570" i="36"/>
  <c r="T570" i="36"/>
  <c r="U570" i="36"/>
  <c r="Z570" i="36"/>
  <c r="AC570" i="36" s="1"/>
  <c r="AA570" i="36"/>
  <c r="P571" i="36"/>
  <c r="Q571" i="36"/>
  <c r="R571" i="36"/>
  <c r="S571" i="36"/>
  <c r="T571" i="36"/>
  <c r="U571" i="36"/>
  <c r="Z571" i="36"/>
  <c r="AC571" i="36" s="1"/>
  <c r="AA571" i="36"/>
  <c r="P572" i="36"/>
  <c r="Q572" i="36"/>
  <c r="R572" i="36"/>
  <c r="S572" i="36"/>
  <c r="U572" i="36"/>
  <c r="V572" i="36"/>
  <c r="W572" i="36"/>
  <c r="X572" i="36"/>
  <c r="Z572" i="36"/>
  <c r="AF572" i="36" s="1"/>
  <c r="AA572" i="36"/>
  <c r="P573" i="36"/>
  <c r="Q573" i="36"/>
  <c r="R573" i="36"/>
  <c r="S573" i="36"/>
  <c r="U573" i="36"/>
  <c r="V573" i="36"/>
  <c r="W573" i="36"/>
  <c r="X573" i="36"/>
  <c r="Z573" i="36"/>
  <c r="AA573" i="36"/>
  <c r="P574" i="36"/>
  <c r="Q574" i="36"/>
  <c r="R574" i="36"/>
  <c r="S574" i="36"/>
  <c r="U574" i="36"/>
  <c r="Z574" i="36"/>
  <c r="AA574" i="36"/>
  <c r="P575" i="36"/>
  <c r="Q575" i="36"/>
  <c r="R575" i="36"/>
  <c r="S575" i="36"/>
  <c r="U575" i="36"/>
  <c r="Z575" i="36"/>
  <c r="AA575" i="36"/>
  <c r="P576" i="36"/>
  <c r="Q576" i="36"/>
  <c r="R576" i="36"/>
  <c r="S576" i="36"/>
  <c r="U576" i="36"/>
  <c r="Z576" i="36"/>
  <c r="AA576" i="36"/>
  <c r="P577" i="36"/>
  <c r="Q577" i="36"/>
  <c r="R577" i="36"/>
  <c r="S577" i="36"/>
  <c r="U577" i="36"/>
  <c r="Z577" i="36"/>
  <c r="AA577" i="36"/>
  <c r="P578" i="36"/>
  <c r="Q578" i="36"/>
  <c r="R578" i="36"/>
  <c r="S578" i="36"/>
  <c r="U578" i="36"/>
  <c r="Z578" i="36"/>
  <c r="AA578" i="36"/>
  <c r="U579" i="36"/>
  <c r="V579" i="36"/>
  <c r="W579" i="36"/>
  <c r="Z579" i="36"/>
  <c r="AC579" i="36" s="1"/>
  <c r="AA579" i="36"/>
  <c r="U580" i="36"/>
  <c r="V580" i="36"/>
  <c r="W580" i="36"/>
  <c r="Z580" i="36"/>
  <c r="AH580" i="36" s="1"/>
  <c r="AA580" i="36"/>
  <c r="U581" i="36"/>
  <c r="V581" i="36"/>
  <c r="W581" i="36"/>
  <c r="Z581" i="36"/>
  <c r="AA581" i="36"/>
  <c r="S582" i="36"/>
  <c r="U582" i="36"/>
  <c r="V582" i="36"/>
  <c r="W582" i="36"/>
  <c r="X582" i="36"/>
  <c r="Z582" i="36"/>
  <c r="AC582" i="36" s="1"/>
  <c r="AA582" i="36"/>
  <c r="S583" i="36"/>
  <c r="U583" i="36"/>
  <c r="V583" i="36"/>
  <c r="W583" i="36"/>
  <c r="X583" i="36"/>
  <c r="Z583" i="36"/>
  <c r="AA583" i="36"/>
  <c r="S584" i="36"/>
  <c r="U584" i="36"/>
  <c r="V584" i="36"/>
  <c r="W584" i="36"/>
  <c r="X584" i="36"/>
  <c r="Z584" i="36"/>
  <c r="AA584" i="36"/>
  <c r="S585" i="36"/>
  <c r="U585" i="36"/>
  <c r="V585" i="36"/>
  <c r="W585" i="36"/>
  <c r="X585" i="36"/>
  <c r="Z585" i="36"/>
  <c r="AC585" i="36" s="1"/>
  <c r="AA585" i="36"/>
  <c r="S586" i="36"/>
  <c r="U586" i="36"/>
  <c r="V586" i="36"/>
  <c r="W586" i="36"/>
  <c r="X586" i="36"/>
  <c r="Z586" i="36"/>
  <c r="AC586" i="36" s="1"/>
  <c r="AA586" i="36"/>
  <c r="S587" i="36"/>
  <c r="U587" i="36"/>
  <c r="V587" i="36"/>
  <c r="W587" i="36"/>
  <c r="X587" i="36"/>
  <c r="Z587" i="36"/>
  <c r="AA587" i="36"/>
  <c r="S588" i="36"/>
  <c r="U588" i="36"/>
  <c r="V588" i="36"/>
  <c r="W588" i="36"/>
  <c r="X588" i="36"/>
  <c r="Z588" i="36"/>
  <c r="AA588" i="36"/>
  <c r="S589" i="36"/>
  <c r="U589" i="36"/>
  <c r="V589" i="36"/>
  <c r="W589" i="36"/>
  <c r="X589" i="36"/>
  <c r="Z589" i="36"/>
  <c r="AA589" i="36"/>
  <c r="P590" i="36"/>
  <c r="Q590" i="36"/>
  <c r="R590" i="36"/>
  <c r="T590" i="36"/>
  <c r="U590" i="36"/>
  <c r="Z590" i="36"/>
  <c r="AC590" i="36" s="1"/>
  <c r="AA590" i="36"/>
  <c r="P591" i="36"/>
  <c r="Q591" i="36"/>
  <c r="R591" i="36"/>
  <c r="T591" i="36"/>
  <c r="U591" i="36"/>
  <c r="Z591" i="36"/>
  <c r="AC591" i="36" s="1"/>
  <c r="AA591" i="36"/>
  <c r="P592" i="36"/>
  <c r="Q592" i="36"/>
  <c r="R592" i="36"/>
  <c r="T592" i="36"/>
  <c r="U592" i="36"/>
  <c r="Z592" i="36"/>
  <c r="AC592" i="36" s="1"/>
  <c r="AA592" i="36"/>
  <c r="P593" i="36"/>
  <c r="Q593" i="36"/>
  <c r="R593" i="36"/>
  <c r="T593" i="36"/>
  <c r="U593" i="36"/>
  <c r="Z593" i="36"/>
  <c r="AC593" i="36" s="1"/>
  <c r="AA593" i="36"/>
  <c r="P594" i="36"/>
  <c r="Q594" i="36"/>
  <c r="R594" i="36"/>
  <c r="T594" i="36"/>
  <c r="U594" i="36"/>
  <c r="Z594" i="36"/>
  <c r="AG594" i="36" s="1"/>
  <c r="AA594" i="36"/>
  <c r="P595" i="36"/>
  <c r="Q595" i="36"/>
  <c r="R595" i="36"/>
  <c r="T595" i="36"/>
  <c r="U595" i="36"/>
  <c r="Z595" i="36"/>
  <c r="AA595" i="36"/>
  <c r="P596" i="36"/>
  <c r="Q596" i="36"/>
  <c r="R596" i="36"/>
  <c r="T596" i="36"/>
  <c r="U596" i="36"/>
  <c r="Z596" i="36"/>
  <c r="AC596" i="36" s="1"/>
  <c r="AA596" i="36"/>
  <c r="P597" i="36"/>
  <c r="Q597" i="36"/>
  <c r="R597" i="36"/>
  <c r="T597" i="36"/>
  <c r="U597" i="36"/>
  <c r="Z597" i="36"/>
  <c r="AA597" i="36"/>
  <c r="P598" i="36"/>
  <c r="Q598" i="36"/>
  <c r="R598" i="36"/>
  <c r="T598" i="36"/>
  <c r="U598" i="36"/>
  <c r="Z598" i="36"/>
  <c r="AA598" i="36"/>
  <c r="P599" i="36"/>
  <c r="Q599" i="36"/>
  <c r="R599" i="36"/>
  <c r="T599" i="36"/>
  <c r="U599" i="36"/>
  <c r="Z599" i="36"/>
  <c r="AC599" i="36" s="1"/>
  <c r="AA599" i="36"/>
  <c r="P600" i="36"/>
  <c r="Q600" i="36"/>
  <c r="R600" i="36"/>
  <c r="T600" i="36"/>
  <c r="U600" i="36"/>
  <c r="Z600" i="36"/>
  <c r="AC600" i="36" s="1"/>
  <c r="AA600" i="36"/>
  <c r="P601" i="36"/>
  <c r="Q601" i="36"/>
  <c r="R601" i="36"/>
  <c r="T601" i="36"/>
  <c r="U601" i="36"/>
  <c r="Z601" i="36"/>
  <c r="AE601" i="36" s="1"/>
  <c r="AA601" i="36"/>
  <c r="P602" i="36"/>
  <c r="Q602" i="36"/>
  <c r="R602" i="36"/>
  <c r="T602" i="36"/>
  <c r="U602" i="36"/>
  <c r="Z602" i="36"/>
  <c r="AA602" i="36"/>
  <c r="P603" i="36"/>
  <c r="Q603" i="36"/>
  <c r="R603" i="36"/>
  <c r="T603" i="36"/>
  <c r="U603" i="36"/>
  <c r="Z603" i="36"/>
  <c r="AA603" i="36"/>
  <c r="P604" i="36"/>
  <c r="Q604" i="36"/>
  <c r="R604" i="36"/>
  <c r="T604" i="36"/>
  <c r="U604" i="36"/>
  <c r="Z604" i="36"/>
  <c r="AA604" i="36"/>
  <c r="P605" i="36"/>
  <c r="Q605" i="36"/>
  <c r="R605" i="36"/>
  <c r="T605" i="36"/>
  <c r="U605" i="36"/>
  <c r="Z605" i="36"/>
  <c r="AC605" i="36" s="1"/>
  <c r="AA605" i="36"/>
  <c r="P606" i="36"/>
  <c r="Q606" i="36"/>
  <c r="R606" i="36"/>
  <c r="U606" i="36"/>
  <c r="V606" i="36"/>
  <c r="W606" i="36"/>
  <c r="Z606" i="36"/>
  <c r="AC606" i="36" s="1"/>
  <c r="AA606" i="36"/>
  <c r="P607" i="36"/>
  <c r="Q607" i="36"/>
  <c r="R607" i="36"/>
  <c r="U607" i="36"/>
  <c r="V607" i="36"/>
  <c r="W607" i="36"/>
  <c r="Z607" i="36"/>
  <c r="AC607" i="36" s="1"/>
  <c r="AA607" i="36"/>
  <c r="P608" i="36"/>
  <c r="Q608" i="36"/>
  <c r="R608" i="36"/>
  <c r="U608" i="36"/>
  <c r="V608" i="36"/>
  <c r="W608" i="36"/>
  <c r="Z608" i="36"/>
  <c r="AD608" i="36" s="1"/>
  <c r="AA608" i="36"/>
  <c r="S609" i="36"/>
  <c r="U609" i="36"/>
  <c r="V609" i="36"/>
  <c r="W609" i="36"/>
  <c r="X609" i="36"/>
  <c r="Z609" i="36"/>
  <c r="AH609" i="36" s="1"/>
  <c r="AA609" i="36"/>
  <c r="S610" i="36"/>
  <c r="U610" i="36"/>
  <c r="V610" i="36"/>
  <c r="W610" i="36"/>
  <c r="X610" i="36"/>
  <c r="Z610" i="36"/>
  <c r="AC610" i="36" s="1"/>
  <c r="AA610" i="36"/>
  <c r="S611" i="36"/>
  <c r="U611" i="36"/>
  <c r="V611" i="36"/>
  <c r="W611" i="36"/>
  <c r="X611" i="36"/>
  <c r="Z611" i="36"/>
  <c r="AA611" i="36"/>
  <c r="S612" i="36"/>
  <c r="U612" i="36"/>
  <c r="V612" i="36"/>
  <c r="W612" i="36"/>
  <c r="X612" i="36"/>
  <c r="Z612" i="36"/>
  <c r="AA612" i="36"/>
  <c r="S613" i="36"/>
  <c r="U613" i="36"/>
  <c r="V613" i="36"/>
  <c r="W613" i="36"/>
  <c r="Z613" i="36"/>
  <c r="AC613" i="36" s="1"/>
  <c r="AA613" i="36"/>
  <c r="S614" i="36"/>
  <c r="U614" i="36"/>
  <c r="V614" i="36"/>
  <c r="W614" i="36"/>
  <c r="X614" i="36"/>
  <c r="Z614" i="36"/>
  <c r="AC614" i="36" s="1"/>
  <c r="AA614" i="36"/>
  <c r="S615" i="36"/>
  <c r="U615" i="36"/>
  <c r="V615" i="36"/>
  <c r="W615" i="36"/>
  <c r="Z615" i="36"/>
  <c r="AC615" i="36" s="1"/>
  <c r="AA615" i="36"/>
  <c r="S616" i="36"/>
  <c r="U616" i="36"/>
  <c r="V616" i="36"/>
  <c r="W616" i="36"/>
  <c r="Z616" i="36"/>
  <c r="AA616" i="36"/>
  <c r="S617" i="36"/>
  <c r="U617" i="36"/>
  <c r="V617" i="36"/>
  <c r="W617" i="36"/>
  <c r="X617" i="36"/>
  <c r="Z617" i="36"/>
  <c r="AI617" i="36" s="1"/>
  <c r="AA617" i="36"/>
  <c r="U618" i="36"/>
  <c r="V618" i="36"/>
  <c r="W618" i="36"/>
  <c r="Z618" i="36"/>
  <c r="AA618" i="36"/>
  <c r="U619" i="36"/>
  <c r="V619" i="36"/>
  <c r="W619" i="36"/>
  <c r="Z619" i="36"/>
  <c r="AC619" i="36" s="1"/>
  <c r="AA619" i="36"/>
  <c r="U620" i="36"/>
  <c r="V620" i="36"/>
  <c r="W620" i="36"/>
  <c r="Z620" i="36"/>
  <c r="AC620" i="36" s="1"/>
  <c r="AA620" i="36"/>
  <c r="U621" i="36"/>
  <c r="V621" i="36"/>
  <c r="W621" i="36"/>
  <c r="Z621" i="36"/>
  <c r="AA621" i="36"/>
  <c r="U622" i="36"/>
  <c r="V622" i="36"/>
  <c r="W622" i="36"/>
  <c r="Z622" i="36"/>
  <c r="AC622" i="36" s="1"/>
  <c r="AA622" i="36"/>
  <c r="U623" i="36"/>
  <c r="V623" i="36"/>
  <c r="W623" i="36"/>
  <c r="Z623" i="36"/>
  <c r="AA623" i="36"/>
  <c r="U624" i="36"/>
  <c r="V624" i="36"/>
  <c r="W624" i="36"/>
  <c r="Z624" i="36"/>
  <c r="AH624" i="36" s="1"/>
  <c r="AA624" i="36"/>
  <c r="U625" i="36"/>
  <c r="V625" i="36"/>
  <c r="W625" i="36"/>
  <c r="Z625" i="36"/>
  <c r="AA625" i="36"/>
  <c r="U626" i="36"/>
  <c r="V626" i="36"/>
  <c r="W626" i="36"/>
  <c r="Z626" i="36"/>
  <c r="AA626" i="36"/>
  <c r="U627" i="36"/>
  <c r="V627" i="36"/>
  <c r="W627" i="36"/>
  <c r="Z627" i="36"/>
  <c r="AA627" i="36"/>
  <c r="U628" i="36"/>
  <c r="V628" i="36"/>
  <c r="W628" i="36"/>
  <c r="Z628" i="36"/>
  <c r="AC628" i="36" s="1"/>
  <c r="AA628" i="36"/>
  <c r="U629" i="36"/>
  <c r="V629" i="36"/>
  <c r="W629" i="36"/>
  <c r="Z629" i="36"/>
  <c r="AC629" i="36" s="1"/>
  <c r="AA629" i="36"/>
  <c r="U630" i="36"/>
  <c r="V630" i="36"/>
  <c r="W630" i="36"/>
  <c r="Z630" i="36"/>
  <c r="AC630" i="36" s="1"/>
  <c r="AA630" i="36"/>
  <c r="U631" i="36"/>
  <c r="V631" i="36"/>
  <c r="W631" i="36"/>
  <c r="Z631" i="36"/>
  <c r="AC631" i="36" s="1"/>
  <c r="AA631" i="36"/>
  <c r="U632" i="36"/>
  <c r="V632" i="36"/>
  <c r="W632" i="36"/>
  <c r="Z632" i="36"/>
  <c r="AA632" i="36"/>
  <c r="U633" i="36"/>
  <c r="Z633" i="36"/>
  <c r="AC633" i="36" s="1"/>
  <c r="AA633" i="36"/>
  <c r="U634" i="36"/>
  <c r="Z634" i="36"/>
  <c r="AA634" i="36"/>
  <c r="U635" i="36"/>
  <c r="Z635" i="36"/>
  <c r="AA635" i="36"/>
  <c r="U636" i="36"/>
  <c r="Z636" i="36"/>
  <c r="AA636" i="36"/>
  <c r="U637" i="36"/>
  <c r="Z637" i="36"/>
  <c r="AC637" i="36" s="1"/>
  <c r="AA637" i="36"/>
  <c r="U638" i="36"/>
  <c r="Z638" i="36"/>
  <c r="AD638" i="36" s="1"/>
  <c r="AA638" i="36"/>
  <c r="U639" i="36"/>
  <c r="Z639" i="36"/>
  <c r="AH639" i="36" s="1"/>
  <c r="AA639" i="36"/>
  <c r="U640" i="36"/>
  <c r="Z640" i="36"/>
  <c r="AA640" i="36"/>
  <c r="U641" i="36"/>
  <c r="Z641" i="36"/>
  <c r="AA641" i="36"/>
  <c r="U642" i="36"/>
  <c r="Z642" i="36"/>
  <c r="AC642" i="36" s="1"/>
  <c r="AA642" i="36"/>
  <c r="U643" i="36"/>
  <c r="Z643" i="36"/>
  <c r="AC643" i="36" s="1"/>
  <c r="AA643" i="36"/>
  <c r="U644" i="36"/>
  <c r="Z644" i="36"/>
  <c r="AA644" i="36"/>
  <c r="U645" i="36"/>
  <c r="Z645" i="36"/>
  <c r="AC645" i="36" s="1"/>
  <c r="AA645" i="36"/>
  <c r="U646" i="36"/>
  <c r="Z646" i="36"/>
  <c r="AD646" i="36" s="1"/>
  <c r="AA646" i="36"/>
  <c r="U647" i="36"/>
  <c r="Z647" i="36"/>
  <c r="AA647" i="36"/>
  <c r="U648" i="36"/>
  <c r="Z648" i="36"/>
  <c r="AA648" i="36"/>
  <c r="U649" i="36"/>
  <c r="Z649" i="36"/>
  <c r="AA649" i="36"/>
  <c r="U650" i="36"/>
  <c r="Z650" i="36"/>
  <c r="AC650" i="36" s="1"/>
  <c r="AA650" i="36"/>
  <c r="U651" i="36"/>
  <c r="Z651" i="36"/>
  <c r="AA651" i="36"/>
  <c r="U652" i="36"/>
  <c r="Z652" i="36"/>
  <c r="AC652" i="36" s="1"/>
  <c r="AA652" i="36"/>
  <c r="U653" i="36"/>
  <c r="Z653" i="36"/>
  <c r="AC653" i="36" s="1"/>
  <c r="AA653" i="36"/>
  <c r="U654" i="36"/>
  <c r="Z654" i="36"/>
  <c r="AH654" i="36" s="1"/>
  <c r="AA654" i="36"/>
  <c r="U655" i="36"/>
  <c r="Z655" i="36"/>
  <c r="AA655" i="36"/>
  <c r="U656" i="36"/>
  <c r="Z656" i="36"/>
  <c r="AC656" i="36" s="1"/>
  <c r="AA656" i="36"/>
  <c r="U657" i="36"/>
  <c r="Z657" i="36"/>
  <c r="AA657" i="36"/>
  <c r="P658" i="36"/>
  <c r="Q658" i="36"/>
  <c r="R658" i="36"/>
  <c r="U658" i="36"/>
  <c r="Z658" i="36"/>
  <c r="AA658" i="36"/>
  <c r="P659" i="36"/>
  <c r="Q659" i="36"/>
  <c r="R659" i="36"/>
  <c r="U659" i="36"/>
  <c r="Z659" i="36"/>
  <c r="AC659" i="36" s="1"/>
  <c r="AA659" i="36"/>
  <c r="P660" i="36"/>
  <c r="Q660" i="36"/>
  <c r="R660" i="36"/>
  <c r="U660" i="36"/>
  <c r="Z660" i="36"/>
  <c r="AC660" i="36" s="1"/>
  <c r="AA660" i="36"/>
  <c r="P661" i="36"/>
  <c r="Q661" i="36"/>
  <c r="R661" i="36"/>
  <c r="U661" i="36"/>
  <c r="Z661" i="36"/>
  <c r="AG661" i="36" s="1"/>
  <c r="AA661" i="36"/>
  <c r="P662" i="36"/>
  <c r="Q662" i="36"/>
  <c r="R662" i="36"/>
  <c r="U662" i="36"/>
  <c r="Z662" i="36"/>
  <c r="AA662" i="36"/>
  <c r="P663" i="36"/>
  <c r="Q663" i="36"/>
  <c r="R663" i="36"/>
  <c r="U663" i="36"/>
  <c r="Z663" i="36"/>
  <c r="AA663" i="36"/>
  <c r="U664" i="36"/>
  <c r="V664" i="36"/>
  <c r="W664" i="36"/>
  <c r="Z664" i="36"/>
  <c r="AA664" i="36"/>
  <c r="U665" i="36"/>
  <c r="V665" i="36"/>
  <c r="W665" i="36"/>
  <c r="Z665" i="36"/>
  <c r="AA665" i="36"/>
  <c r="U666" i="36"/>
  <c r="V666" i="36"/>
  <c r="W666" i="36"/>
  <c r="Z666" i="36"/>
  <c r="AA666" i="36"/>
  <c r="U667" i="36"/>
  <c r="V667" i="36"/>
  <c r="W667" i="36"/>
  <c r="Z667" i="36"/>
  <c r="AA667" i="36"/>
  <c r="U668" i="36"/>
  <c r="V668" i="36"/>
  <c r="W668" i="36"/>
  <c r="Z668" i="36"/>
  <c r="AE668" i="36" s="1"/>
  <c r="AA668" i="36"/>
  <c r="U669" i="36"/>
  <c r="V669" i="36"/>
  <c r="W669" i="36"/>
  <c r="Z669" i="36"/>
  <c r="AI669" i="36" s="1"/>
  <c r="AA669" i="36"/>
  <c r="U670" i="36"/>
  <c r="V670" i="36"/>
  <c r="W670" i="36"/>
  <c r="Z670" i="36"/>
  <c r="AA670" i="36"/>
  <c r="U671" i="36"/>
  <c r="V671" i="36"/>
  <c r="W671" i="36"/>
  <c r="Z671" i="36"/>
  <c r="AA671" i="36"/>
  <c r="Q672" i="36"/>
  <c r="U672" i="36"/>
  <c r="V672" i="36"/>
  <c r="W672" i="36"/>
  <c r="Z672" i="36"/>
  <c r="AA672" i="36"/>
  <c r="Q673" i="36"/>
  <c r="U673" i="36"/>
  <c r="V673" i="36"/>
  <c r="W673" i="36"/>
  <c r="Z673" i="36"/>
  <c r="AA673" i="36"/>
  <c r="Q674" i="36"/>
  <c r="U674" i="36"/>
  <c r="V674" i="36"/>
  <c r="W674" i="36"/>
  <c r="Z674" i="36"/>
  <c r="AA674" i="36"/>
  <c r="T12" i="35"/>
  <c r="U12" i="35"/>
  <c r="T26" i="35"/>
  <c r="U26" i="35"/>
  <c r="T62" i="35"/>
  <c r="U62" i="35"/>
  <c r="T63" i="35"/>
  <c r="U63" i="35"/>
  <c r="T64" i="35"/>
  <c r="U64" i="35"/>
  <c r="T127" i="35"/>
  <c r="U127" i="35"/>
  <c r="T128" i="35"/>
  <c r="U128" i="35"/>
  <c r="T129" i="35"/>
  <c r="U129" i="35"/>
  <c r="T130" i="35"/>
  <c r="U130" i="35"/>
  <c r="T131" i="35"/>
  <c r="U131" i="35"/>
  <c r="T132" i="35"/>
  <c r="U132" i="35"/>
  <c r="T133" i="35"/>
  <c r="U133" i="35"/>
  <c r="T134" i="35"/>
  <c r="U134" i="35"/>
  <c r="T135" i="35"/>
  <c r="U135" i="35"/>
  <c r="T136" i="35"/>
  <c r="U136" i="35"/>
  <c r="T137" i="35"/>
  <c r="U137" i="35"/>
  <c r="T138" i="35"/>
  <c r="U138" i="35"/>
  <c r="T139" i="35"/>
  <c r="U139" i="35"/>
  <c r="T140" i="35"/>
  <c r="U140" i="35"/>
  <c r="T141" i="35"/>
  <c r="U141" i="35"/>
  <c r="T142" i="35"/>
  <c r="U142" i="35"/>
  <c r="T143" i="35"/>
  <c r="U143" i="35"/>
  <c r="T144" i="35"/>
  <c r="U144" i="35"/>
  <c r="T145" i="35"/>
  <c r="U145" i="35"/>
  <c r="T146" i="35"/>
  <c r="U146" i="35"/>
  <c r="T147" i="35"/>
  <c r="U147" i="35"/>
  <c r="T148" i="35"/>
  <c r="U148" i="35"/>
  <c r="T149" i="35"/>
  <c r="U149" i="35"/>
  <c r="T150" i="35"/>
  <c r="U150" i="35"/>
  <c r="T151" i="35"/>
  <c r="U151" i="35"/>
  <c r="T152" i="35"/>
  <c r="U152" i="35"/>
  <c r="T153" i="35"/>
  <c r="U153" i="35"/>
  <c r="T154" i="35"/>
  <c r="U154" i="35"/>
  <c r="T155" i="35"/>
  <c r="U155" i="35"/>
  <c r="T156" i="35"/>
  <c r="U156" i="35"/>
  <c r="T157" i="35"/>
  <c r="U157" i="35"/>
  <c r="T158" i="35"/>
  <c r="U158" i="35"/>
  <c r="T159" i="35"/>
  <c r="U159" i="35"/>
  <c r="T160" i="35"/>
  <c r="U160" i="35"/>
  <c r="T161" i="35"/>
  <c r="U161" i="35"/>
  <c r="T162" i="35"/>
  <c r="U162" i="35"/>
  <c r="T163" i="35"/>
  <c r="U163" i="35"/>
  <c r="T164" i="35"/>
  <c r="U164" i="35"/>
  <c r="T165" i="35"/>
  <c r="U165" i="35"/>
  <c r="T166" i="35"/>
  <c r="U166" i="35"/>
  <c r="T167" i="35"/>
  <c r="U167" i="35"/>
  <c r="T168" i="35"/>
  <c r="U168" i="35"/>
  <c r="T169" i="35"/>
  <c r="U169" i="35"/>
  <c r="T170" i="35"/>
  <c r="U170" i="35"/>
  <c r="T171" i="35"/>
  <c r="U171" i="35"/>
  <c r="T172" i="35"/>
  <c r="U172" i="35"/>
  <c r="T173" i="35"/>
  <c r="U173" i="35"/>
  <c r="T174" i="35"/>
  <c r="U174" i="35"/>
  <c r="T175" i="35"/>
  <c r="U175" i="35"/>
  <c r="T176" i="35"/>
  <c r="U176" i="35"/>
  <c r="T177" i="35"/>
  <c r="U177" i="35"/>
  <c r="T178" i="35"/>
  <c r="U178" i="35"/>
  <c r="T179" i="35"/>
  <c r="U179" i="35"/>
  <c r="T180" i="35"/>
  <c r="U180" i="35"/>
  <c r="T181" i="35"/>
  <c r="U181" i="35"/>
  <c r="T182" i="35"/>
  <c r="U182" i="35"/>
  <c r="T183" i="35"/>
  <c r="U183" i="35"/>
  <c r="T184" i="35"/>
  <c r="U184" i="35"/>
  <c r="T185" i="35"/>
  <c r="U185" i="35"/>
  <c r="T186" i="35"/>
  <c r="U186" i="35"/>
  <c r="T187" i="35"/>
  <c r="U187" i="35"/>
  <c r="T188" i="35"/>
  <c r="U188" i="35"/>
  <c r="T189" i="35"/>
  <c r="U189" i="35"/>
  <c r="T190" i="35"/>
  <c r="U190" i="35"/>
  <c r="T191" i="35"/>
  <c r="U191" i="35"/>
  <c r="T192" i="35"/>
  <c r="U192" i="35"/>
  <c r="T193" i="35"/>
  <c r="U193" i="35"/>
  <c r="T194" i="35"/>
  <c r="U194" i="35"/>
  <c r="T195" i="35"/>
  <c r="U195" i="35"/>
  <c r="T196" i="35"/>
  <c r="U196" i="35"/>
  <c r="T197" i="35"/>
  <c r="U197" i="35"/>
  <c r="T198" i="35"/>
  <c r="U198" i="35"/>
  <c r="T199" i="35"/>
  <c r="U199" i="35"/>
  <c r="T200" i="35"/>
  <c r="U200" i="35"/>
  <c r="T201" i="35"/>
  <c r="U201" i="35"/>
  <c r="T202" i="35"/>
  <c r="U202" i="35"/>
  <c r="T203" i="35"/>
  <c r="U203" i="35"/>
  <c r="T204" i="35"/>
  <c r="U204" i="35"/>
  <c r="T205" i="35"/>
  <c r="U205" i="35"/>
  <c r="T206" i="35"/>
  <c r="U206" i="35"/>
  <c r="T207" i="35"/>
  <c r="U207" i="35"/>
  <c r="T208" i="35"/>
  <c r="U208" i="35"/>
  <c r="T209" i="35"/>
  <c r="U209" i="35"/>
  <c r="T210" i="35"/>
  <c r="U210" i="35"/>
  <c r="T290" i="35"/>
  <c r="U290" i="35"/>
  <c r="T291" i="35"/>
  <c r="U291" i="35"/>
  <c r="T293" i="35"/>
  <c r="U293" i="35"/>
  <c r="T294" i="35"/>
  <c r="U294" i="35"/>
  <c r="T295" i="35"/>
  <c r="U295" i="35"/>
  <c r="T296" i="35"/>
  <c r="U296" i="35"/>
  <c r="T297" i="35"/>
  <c r="U297" i="35"/>
  <c r="T298" i="35"/>
  <c r="U298" i="35"/>
  <c r="T299" i="35"/>
  <c r="U299" i="35"/>
  <c r="T300" i="35"/>
  <c r="U300" i="35"/>
  <c r="T302" i="35"/>
  <c r="U302" i="35"/>
  <c r="T304" i="35"/>
  <c r="U304" i="35"/>
  <c r="T309" i="35"/>
  <c r="U309" i="35"/>
  <c r="T310" i="35"/>
  <c r="U310" i="35"/>
  <c r="T311" i="35"/>
  <c r="U311" i="35"/>
  <c r="T312" i="35"/>
  <c r="U312" i="35"/>
  <c r="T313" i="35"/>
  <c r="U313" i="35"/>
  <c r="T314" i="35"/>
  <c r="U314" i="35"/>
  <c r="T315" i="35"/>
  <c r="U315" i="35"/>
  <c r="T316" i="35"/>
  <c r="U316" i="35"/>
  <c r="T412" i="35"/>
  <c r="U412" i="35"/>
  <c r="T413" i="35"/>
  <c r="U413" i="35"/>
  <c r="T414" i="35"/>
  <c r="U414" i="35"/>
  <c r="T415" i="35"/>
  <c r="U415" i="35"/>
  <c r="T416" i="35"/>
  <c r="U416" i="35"/>
  <c r="T417" i="35"/>
  <c r="U417" i="35"/>
  <c r="T475" i="35"/>
  <c r="U475" i="35"/>
  <c r="T476" i="35"/>
  <c r="U476" i="35"/>
  <c r="T477" i="35"/>
  <c r="U477" i="35"/>
  <c r="T478" i="35"/>
  <c r="U478" i="35"/>
  <c r="T479" i="35"/>
  <c r="U479" i="35"/>
  <c r="T480" i="35"/>
  <c r="U480" i="35"/>
  <c r="T481" i="35"/>
  <c r="U481" i="35"/>
  <c r="T482" i="35"/>
  <c r="U482" i="35"/>
  <c r="T483" i="35"/>
  <c r="U483" i="35"/>
  <c r="T484" i="35"/>
  <c r="U484" i="35"/>
  <c r="T485" i="35"/>
  <c r="U485" i="35"/>
  <c r="T486" i="35"/>
  <c r="U486" i="35"/>
  <c r="T487" i="35"/>
  <c r="U487" i="35"/>
  <c r="T488" i="35"/>
  <c r="U488" i="35"/>
  <c r="T489" i="35"/>
  <c r="U489" i="35"/>
  <c r="T490" i="35"/>
  <c r="U490" i="35"/>
  <c r="T491" i="35"/>
  <c r="U491" i="35"/>
  <c r="T492" i="35"/>
  <c r="U492" i="35"/>
  <c r="T493" i="35"/>
  <c r="U493" i="35"/>
  <c r="T494" i="35"/>
  <c r="U494" i="35"/>
  <c r="T570" i="35"/>
  <c r="U570" i="35"/>
  <c r="T571" i="35"/>
  <c r="U571" i="35"/>
  <c r="T577" i="35"/>
  <c r="U577" i="35"/>
  <c r="T578" i="35"/>
  <c r="U578" i="35"/>
  <c r="T579" i="35"/>
  <c r="U579" i="35"/>
  <c r="T580" i="35"/>
  <c r="U580" i="35"/>
  <c r="T581" i="35"/>
  <c r="U581" i="35"/>
  <c r="T582" i="35"/>
  <c r="U582" i="35"/>
  <c r="T583" i="35"/>
  <c r="U583" i="35"/>
  <c r="T584" i="35"/>
  <c r="U584" i="35"/>
  <c r="T585" i="35"/>
  <c r="U585" i="35"/>
  <c r="T586" i="35"/>
  <c r="U586" i="35"/>
  <c r="T587" i="35"/>
  <c r="U587" i="35"/>
  <c r="T604" i="35"/>
  <c r="U604" i="35"/>
  <c r="T605" i="35"/>
  <c r="U605" i="35"/>
  <c r="T606" i="35"/>
  <c r="U606" i="35"/>
  <c r="T607" i="35"/>
  <c r="U607" i="35"/>
  <c r="T608" i="35"/>
  <c r="U608" i="35"/>
  <c r="T609" i="35"/>
  <c r="U609" i="35"/>
  <c r="T610" i="35"/>
  <c r="U610" i="35"/>
  <c r="T611" i="35"/>
  <c r="U611" i="35"/>
  <c r="T612" i="35"/>
  <c r="U612" i="35"/>
  <c r="T613" i="35"/>
  <c r="U613" i="35"/>
  <c r="T614" i="35"/>
  <c r="U614" i="35"/>
  <c r="T615" i="35"/>
  <c r="U615" i="35"/>
  <c r="T616" i="35"/>
  <c r="U616" i="35"/>
  <c r="T617" i="35"/>
  <c r="U617" i="35"/>
  <c r="T618" i="35"/>
  <c r="U618" i="35"/>
  <c r="T619" i="35"/>
  <c r="U619" i="35"/>
  <c r="T620" i="35"/>
  <c r="U620" i="35"/>
  <c r="T621" i="35"/>
  <c r="U621" i="35"/>
  <c r="T622" i="35"/>
  <c r="U622" i="35"/>
  <c r="T623" i="35"/>
  <c r="U623" i="35"/>
  <c r="T624" i="35"/>
  <c r="U624" i="35"/>
  <c r="T625" i="35"/>
  <c r="U625" i="35"/>
  <c r="T626" i="35"/>
  <c r="U626" i="35"/>
  <c r="T627" i="35"/>
  <c r="U627" i="35"/>
  <c r="T628" i="35"/>
  <c r="U628" i="35"/>
  <c r="T629" i="35"/>
  <c r="U629" i="35"/>
  <c r="T630" i="35"/>
  <c r="U630" i="35"/>
  <c r="T662" i="35"/>
  <c r="U662" i="35"/>
  <c r="T663" i="35"/>
  <c r="U663" i="35"/>
  <c r="T664" i="35"/>
  <c r="U664" i="35"/>
  <c r="T665" i="35"/>
  <c r="U665" i="35"/>
  <c r="T666" i="35"/>
  <c r="U666" i="35"/>
  <c r="T667" i="35"/>
  <c r="U667" i="35"/>
  <c r="T668" i="35"/>
  <c r="U668" i="35"/>
  <c r="T669" i="35"/>
  <c r="U669" i="35"/>
  <c r="T670" i="35"/>
  <c r="U670" i="35"/>
  <c r="T671" i="35"/>
  <c r="U671" i="35"/>
  <c r="T672" i="35"/>
  <c r="U672" i="35"/>
  <c r="CL572" i="40" l="1"/>
  <c r="CY572" i="40"/>
  <c r="BG572" i="40"/>
  <c r="AX572" i="40"/>
  <c r="BP572" i="40"/>
  <c r="BY572" i="40"/>
  <c r="BY549" i="40"/>
  <c r="CL549" i="40"/>
  <c r="CY549" i="40"/>
  <c r="CL540" i="40"/>
  <c r="CY540" i="40"/>
  <c r="BG540" i="40"/>
  <c r="AX540" i="40"/>
  <c r="BP540" i="40"/>
  <c r="BY540" i="40"/>
  <c r="AX553" i="40"/>
  <c r="BY553" i="40"/>
  <c r="CL553" i="40"/>
  <c r="CY553" i="40"/>
  <c r="BP553" i="40"/>
  <c r="BG553" i="40"/>
  <c r="BG531" i="40"/>
  <c r="AX531" i="40"/>
  <c r="BY531" i="40"/>
  <c r="CL531" i="40"/>
  <c r="CY531" i="40"/>
  <c r="BP531" i="40"/>
  <c r="CL574" i="40"/>
  <c r="CY574" i="40"/>
  <c r="BY574" i="40"/>
  <c r="BY546" i="40"/>
  <c r="CL546" i="40"/>
  <c r="CY546" i="40"/>
  <c r="CL541" i="40"/>
  <c r="BP541" i="40"/>
  <c r="CY541" i="40"/>
  <c r="BG541" i="40"/>
  <c r="AX541" i="40"/>
  <c r="BY541" i="40"/>
  <c r="AX562" i="40"/>
  <c r="BY562" i="40"/>
  <c r="BP562" i="40"/>
  <c r="CL562" i="40"/>
  <c r="CY562" i="40"/>
  <c r="BG562" i="40"/>
  <c r="AX570" i="40"/>
  <c r="CY570" i="40"/>
  <c r="BP570" i="40"/>
  <c r="BG570" i="40"/>
  <c r="BY570" i="40"/>
  <c r="CL570" i="40"/>
  <c r="BP550" i="40"/>
  <c r="BY550" i="40"/>
  <c r="CL550" i="40"/>
  <c r="BG550" i="40"/>
  <c r="CY550" i="40"/>
  <c r="AX550" i="40"/>
  <c r="AX530" i="40"/>
  <c r="BY530" i="40"/>
  <c r="BP530" i="40"/>
  <c r="CL530" i="40"/>
  <c r="CY530" i="40"/>
  <c r="BG530" i="40"/>
  <c r="AX538" i="40"/>
  <c r="CY538" i="40"/>
  <c r="BP538" i="40"/>
  <c r="BG538" i="40"/>
  <c r="BY538" i="40"/>
  <c r="CL538" i="40"/>
  <c r="BG559" i="40"/>
  <c r="BY559" i="40"/>
  <c r="CL559" i="40"/>
  <c r="AX559" i="40"/>
  <c r="CY559" i="40"/>
  <c r="BP559" i="40"/>
  <c r="BP533" i="40"/>
  <c r="BG533" i="40"/>
  <c r="BY533" i="40"/>
  <c r="CL533" i="40"/>
  <c r="CY533" i="40"/>
  <c r="AX533" i="40"/>
  <c r="CL542" i="40"/>
  <c r="CY542" i="40"/>
  <c r="BP542" i="40"/>
  <c r="BG542" i="40"/>
  <c r="AX542" i="40"/>
  <c r="BY542" i="40"/>
  <c r="BG558" i="40"/>
  <c r="AX558" i="40"/>
  <c r="BY558" i="40"/>
  <c r="CL558" i="40"/>
  <c r="CY558" i="40"/>
  <c r="BP558" i="40"/>
  <c r="BG554" i="40"/>
  <c r="BY554" i="40"/>
  <c r="CL554" i="40"/>
  <c r="AX554" i="40"/>
  <c r="CY554" i="40"/>
  <c r="BP554" i="40"/>
  <c r="BP528" i="40"/>
  <c r="BY528" i="40"/>
  <c r="CL528" i="40"/>
  <c r="CY528" i="40"/>
  <c r="BG528" i="40"/>
  <c r="AX528" i="40"/>
  <c r="Y296" i="36"/>
  <c r="Y586" i="36"/>
  <c r="Y611" i="36"/>
  <c r="AC673" i="36"/>
  <c r="AC664" i="36"/>
  <c r="Y495" i="36"/>
  <c r="Y487" i="36"/>
  <c r="AD623" i="36"/>
  <c r="AC419" i="36"/>
  <c r="AE616" i="36"/>
  <c r="Y482" i="36"/>
  <c r="AC670" i="36"/>
  <c r="AC414" i="36"/>
  <c r="Y295" i="36"/>
  <c r="Y588" i="36"/>
  <c r="AC573" i="36"/>
  <c r="Y612" i="36"/>
  <c r="Y582" i="36"/>
  <c r="Y486" i="36"/>
  <c r="Y297" i="36"/>
  <c r="AC674" i="36"/>
  <c r="Y494" i="36"/>
  <c r="AC665" i="36"/>
  <c r="Y589" i="36"/>
  <c r="Y28" i="36"/>
  <c r="AI317" i="36"/>
  <c r="Y614" i="36"/>
  <c r="Y585" i="36"/>
  <c r="Y573" i="36"/>
  <c r="Y299" i="36"/>
  <c r="Y489" i="36"/>
  <c r="Y293" i="36"/>
  <c r="Y304" i="36"/>
  <c r="Y292" i="36"/>
  <c r="AC667" i="36"/>
  <c r="Y609" i="36"/>
  <c r="Y583" i="36"/>
  <c r="AK647" i="36"/>
  <c r="AL647" i="36"/>
  <c r="AM647" i="36"/>
  <c r="AO647" i="36"/>
  <c r="AP647" i="36"/>
  <c r="AQ647" i="36"/>
  <c r="AQ627" i="36"/>
  <c r="AK627" i="36"/>
  <c r="AM627" i="36"/>
  <c r="AN627" i="36"/>
  <c r="AO627" i="36"/>
  <c r="AP627" i="36"/>
  <c r="AK587" i="36"/>
  <c r="AL587" i="36"/>
  <c r="AM587" i="36"/>
  <c r="AN587" i="36"/>
  <c r="AO587" i="36"/>
  <c r="AP587" i="36"/>
  <c r="AQ587" i="36"/>
  <c r="AL564" i="36"/>
  <c r="AM564" i="36"/>
  <c r="AN564" i="36"/>
  <c r="AK564" i="36"/>
  <c r="AP564" i="36"/>
  <c r="AQ564" i="36"/>
  <c r="AL550" i="36"/>
  <c r="AN550" i="36"/>
  <c r="AP550" i="36"/>
  <c r="AK550" i="36"/>
  <c r="AM550" i="36"/>
  <c r="AQ550" i="36"/>
  <c r="AK507" i="36"/>
  <c r="AL507" i="36"/>
  <c r="AM507" i="36"/>
  <c r="AO507" i="36"/>
  <c r="AP507" i="36"/>
  <c r="AQ507" i="36"/>
  <c r="AQ487" i="36"/>
  <c r="AM487" i="36"/>
  <c r="AN487" i="36"/>
  <c r="AO487" i="36"/>
  <c r="AP487" i="36"/>
  <c r="AK487" i="36"/>
  <c r="AL487" i="36"/>
  <c r="AK464" i="36"/>
  <c r="AL464" i="36"/>
  <c r="AM464" i="36"/>
  <c r="AN464" i="36"/>
  <c r="AO464" i="36"/>
  <c r="AP464" i="36"/>
  <c r="AK447" i="36"/>
  <c r="AM447" i="36"/>
  <c r="AN447" i="36"/>
  <c r="AO447" i="36"/>
  <c r="AP447" i="36"/>
  <c r="AQ447" i="36"/>
  <c r="AC447" i="36"/>
  <c r="AE447" i="36"/>
  <c r="AF447" i="36"/>
  <c r="AG447" i="36"/>
  <c r="AH447" i="36"/>
  <c r="AI447" i="36"/>
  <c r="AK433" i="36"/>
  <c r="AM433" i="36"/>
  <c r="AN433" i="36"/>
  <c r="AO433" i="36"/>
  <c r="AP433" i="36"/>
  <c r="AQ433" i="36"/>
  <c r="AE433" i="36"/>
  <c r="AF433" i="36"/>
  <c r="AG433" i="36"/>
  <c r="AH433" i="36"/>
  <c r="AI433" i="36"/>
  <c r="AQ385" i="36"/>
  <c r="AO385" i="36"/>
  <c r="AK385" i="36"/>
  <c r="AL385" i="36"/>
  <c r="AM385" i="36"/>
  <c r="AN385" i="36"/>
  <c r="AC385" i="36"/>
  <c r="AD385" i="36"/>
  <c r="AE385" i="36"/>
  <c r="AF385" i="36"/>
  <c r="AG385" i="36"/>
  <c r="AI385" i="36"/>
  <c r="AK320" i="36"/>
  <c r="AL320" i="36"/>
  <c r="AM320" i="36"/>
  <c r="AN320" i="36"/>
  <c r="AO320" i="36"/>
  <c r="AQ320" i="36"/>
  <c r="AC320" i="36"/>
  <c r="AD320" i="36"/>
  <c r="AE320" i="36"/>
  <c r="AF320" i="36"/>
  <c r="AG320" i="36"/>
  <c r="AI320" i="36"/>
  <c r="AM277" i="36"/>
  <c r="AN277" i="36"/>
  <c r="AL277" i="36"/>
  <c r="AO277" i="36"/>
  <c r="AP277" i="36"/>
  <c r="AQ277" i="36"/>
  <c r="AI277" i="36"/>
  <c r="AD277" i="36"/>
  <c r="AE277" i="36"/>
  <c r="AF277" i="36"/>
  <c r="AG277" i="36"/>
  <c r="AH277" i="36"/>
  <c r="AL254" i="36"/>
  <c r="AM254" i="36"/>
  <c r="AP254" i="36"/>
  <c r="AQ254" i="36"/>
  <c r="AN254" i="36"/>
  <c r="AO254" i="36"/>
  <c r="AH254" i="36"/>
  <c r="AI254" i="36"/>
  <c r="AD254" i="36"/>
  <c r="AE254" i="36"/>
  <c r="AF254" i="36"/>
  <c r="AG254" i="36"/>
  <c r="AK231" i="36"/>
  <c r="AM231" i="36"/>
  <c r="AO231" i="36"/>
  <c r="AP231" i="36"/>
  <c r="AL231" i="36"/>
  <c r="AQ231" i="36"/>
  <c r="AC231" i="36"/>
  <c r="AD231" i="36"/>
  <c r="AE231" i="36"/>
  <c r="AG231" i="36"/>
  <c r="AH231" i="36"/>
  <c r="AI231" i="36"/>
  <c r="AP208" i="36"/>
  <c r="AQ208" i="36"/>
  <c r="AK208" i="36"/>
  <c r="AM208" i="36"/>
  <c r="AN208" i="36"/>
  <c r="AO208" i="36"/>
  <c r="AC208" i="36"/>
  <c r="AD208" i="36"/>
  <c r="AE208" i="36"/>
  <c r="AF208" i="36"/>
  <c r="AG208" i="36"/>
  <c r="AH208" i="36"/>
  <c r="AI208" i="36"/>
  <c r="AM185" i="36"/>
  <c r="AK185" i="36"/>
  <c r="AN185" i="36"/>
  <c r="AO185" i="36"/>
  <c r="AP185" i="36"/>
  <c r="AQ185" i="36"/>
  <c r="AC185" i="36"/>
  <c r="AD185" i="36"/>
  <c r="AE185" i="36"/>
  <c r="AF185" i="36"/>
  <c r="AG185" i="36"/>
  <c r="AH185" i="36"/>
  <c r="AI185" i="36"/>
  <c r="AK162" i="36"/>
  <c r="AN162" i="36"/>
  <c r="AM162" i="36"/>
  <c r="AO162" i="36"/>
  <c r="AP162" i="36"/>
  <c r="AQ162" i="36"/>
  <c r="AC162" i="36"/>
  <c r="AD162" i="36"/>
  <c r="AE162" i="36"/>
  <c r="AF162" i="36"/>
  <c r="AG162" i="36"/>
  <c r="AH162" i="36"/>
  <c r="AI162" i="36"/>
  <c r="AK70" i="36"/>
  <c r="AM70" i="36"/>
  <c r="AN70" i="36"/>
  <c r="AO70" i="36"/>
  <c r="AP70" i="36"/>
  <c r="AQ70" i="36"/>
  <c r="AC70" i="36"/>
  <c r="AE70" i="36"/>
  <c r="AF70" i="36"/>
  <c r="AG70" i="36"/>
  <c r="AH70" i="36"/>
  <c r="AI70" i="36"/>
  <c r="AK53" i="36"/>
  <c r="AM53" i="36"/>
  <c r="AN53" i="36"/>
  <c r="AO53" i="36"/>
  <c r="AP53" i="36"/>
  <c r="AQ53" i="36"/>
  <c r="AG53" i="36"/>
  <c r="AH53" i="36"/>
  <c r="AI53" i="36"/>
  <c r="AC53" i="36"/>
  <c r="AE53" i="36"/>
  <c r="AF53" i="36"/>
  <c r="AK8" i="36"/>
  <c r="AL8" i="36"/>
  <c r="AM8" i="36"/>
  <c r="AO8" i="36"/>
  <c r="AP8" i="36"/>
  <c r="AQ8" i="36"/>
  <c r="AD8" i="36"/>
  <c r="AE8" i="36"/>
  <c r="AI8" i="36"/>
  <c r="AC8" i="36"/>
  <c r="AG8" i="36"/>
  <c r="AH8" i="36"/>
  <c r="AF670" i="36"/>
  <c r="AI665" i="36"/>
  <c r="AE661" i="36"/>
  <c r="AH656" i="36"/>
  <c r="AD652" i="36"/>
  <c r="AG647" i="36"/>
  <c r="AI633" i="36"/>
  <c r="AE629" i="36"/>
  <c r="AD620" i="36"/>
  <c r="AG615" i="36"/>
  <c r="AI610" i="36"/>
  <c r="AD606" i="36"/>
  <c r="AF601" i="36"/>
  <c r="AH596" i="36"/>
  <c r="AE587" i="36"/>
  <c r="AG582" i="36"/>
  <c r="AI577" i="36"/>
  <c r="AD573" i="36"/>
  <c r="AF568" i="36"/>
  <c r="AH563" i="36"/>
  <c r="AE554" i="36"/>
  <c r="AI544" i="36"/>
  <c r="AD540" i="36"/>
  <c r="AF535" i="36"/>
  <c r="AH530" i="36"/>
  <c r="AE521" i="36"/>
  <c r="AI511" i="36"/>
  <c r="AD507" i="36"/>
  <c r="AF502" i="36"/>
  <c r="AH497" i="36"/>
  <c r="AC493" i="36"/>
  <c r="AG487" i="36"/>
  <c r="AI481" i="36"/>
  <c r="AD476" i="36"/>
  <c r="AD469" i="36"/>
  <c r="AD463" i="36"/>
  <c r="AE455" i="36"/>
  <c r="AG440" i="36"/>
  <c r="AE423" i="36"/>
  <c r="AF414" i="36"/>
  <c r="AG336" i="36"/>
  <c r="AM658" i="36"/>
  <c r="AO658" i="36"/>
  <c r="AP658" i="36"/>
  <c r="AK658" i="36"/>
  <c r="AL658" i="36"/>
  <c r="AQ658" i="36"/>
  <c r="AK644" i="36"/>
  <c r="AL644" i="36"/>
  <c r="AM644" i="36"/>
  <c r="AP644" i="36"/>
  <c r="AQ644" i="36"/>
  <c r="AO644" i="36"/>
  <c r="AM624" i="36"/>
  <c r="AN624" i="36"/>
  <c r="AO624" i="36"/>
  <c r="AQ624" i="36"/>
  <c r="AK624" i="36"/>
  <c r="AP624" i="36"/>
  <c r="AK604" i="36"/>
  <c r="AN604" i="36"/>
  <c r="AO604" i="36"/>
  <c r="AP604" i="36"/>
  <c r="AM604" i="36"/>
  <c r="AQ604" i="36"/>
  <c r="AL547" i="36"/>
  <c r="AM547" i="36"/>
  <c r="AN547" i="36"/>
  <c r="AP547" i="36"/>
  <c r="AQ547" i="36"/>
  <c r="AK547" i="36"/>
  <c r="AF547" i="36"/>
  <c r="AK524" i="36"/>
  <c r="AL524" i="36"/>
  <c r="AM524" i="36"/>
  <c r="AN524" i="36"/>
  <c r="AP524" i="36"/>
  <c r="AQ524" i="36"/>
  <c r="AQ504" i="36"/>
  <c r="AM504" i="36"/>
  <c r="AO504" i="36"/>
  <c r="AP504" i="36"/>
  <c r="AK504" i="36"/>
  <c r="AL504" i="36"/>
  <c r="Y490" i="36"/>
  <c r="AK484" i="36"/>
  <c r="AL484" i="36"/>
  <c r="AM484" i="36"/>
  <c r="AN484" i="36"/>
  <c r="AO484" i="36"/>
  <c r="AP484" i="36"/>
  <c r="AQ484" i="36"/>
  <c r="AC484" i="36"/>
  <c r="AD484" i="36"/>
  <c r="AE484" i="36"/>
  <c r="AF484" i="36"/>
  <c r="AK461" i="36"/>
  <c r="AM461" i="36"/>
  <c r="AN461" i="36"/>
  <c r="AO461" i="36"/>
  <c r="AP461" i="36"/>
  <c r="AQ461" i="36"/>
  <c r="AC461" i="36"/>
  <c r="AE461" i="36"/>
  <c r="AF461" i="36"/>
  <c r="AG461" i="36"/>
  <c r="AM430" i="36"/>
  <c r="AN430" i="36"/>
  <c r="AO430" i="36"/>
  <c r="AQ430" i="36"/>
  <c r="AK430" i="36"/>
  <c r="AP430" i="36"/>
  <c r="AC430" i="36"/>
  <c r="AE430" i="36"/>
  <c r="AF430" i="36"/>
  <c r="AG430" i="36"/>
  <c r="AH430" i="36"/>
  <c r="AL416" i="36"/>
  <c r="AM416" i="36"/>
  <c r="AN416" i="36"/>
  <c r="AO416" i="36"/>
  <c r="AP416" i="36"/>
  <c r="AQ416" i="36"/>
  <c r="AD416" i="36"/>
  <c r="AE416" i="36"/>
  <c r="AF416" i="36"/>
  <c r="AG416" i="36"/>
  <c r="AH416" i="36"/>
  <c r="AI416" i="36"/>
  <c r="AP399" i="36"/>
  <c r="AL399" i="36"/>
  <c r="AN399" i="36"/>
  <c r="AO399" i="36"/>
  <c r="AQ399" i="36"/>
  <c r="AM399" i="36"/>
  <c r="AD399" i="36"/>
  <c r="AE399" i="36"/>
  <c r="AF399" i="36"/>
  <c r="AG399" i="36"/>
  <c r="AK382" i="36"/>
  <c r="AL382" i="36"/>
  <c r="AM382" i="36"/>
  <c r="AN382" i="36"/>
  <c r="AO382" i="36"/>
  <c r="AQ382" i="36"/>
  <c r="AI382" i="36"/>
  <c r="AK354" i="36"/>
  <c r="AM354" i="36"/>
  <c r="AN354" i="36"/>
  <c r="AO354" i="36"/>
  <c r="AP354" i="36"/>
  <c r="AQ354" i="36"/>
  <c r="AC354" i="36"/>
  <c r="AL317" i="36"/>
  <c r="AM317" i="36"/>
  <c r="AN317" i="36"/>
  <c r="AK317" i="36"/>
  <c r="AO317" i="36"/>
  <c r="AP317" i="36"/>
  <c r="AC317" i="36"/>
  <c r="AD317" i="36"/>
  <c r="Y300" i="36"/>
  <c r="AQ297" i="36"/>
  <c r="AL297" i="36"/>
  <c r="AM297" i="36"/>
  <c r="AN297" i="36"/>
  <c r="AO297" i="36"/>
  <c r="AP297" i="36"/>
  <c r="AK297" i="36"/>
  <c r="AC297" i="36"/>
  <c r="AD297" i="36"/>
  <c r="AE297" i="36"/>
  <c r="AF297" i="36"/>
  <c r="AG297" i="36"/>
  <c r="AH297" i="36"/>
  <c r="AI297" i="36"/>
  <c r="AL251" i="36"/>
  <c r="AM251" i="36"/>
  <c r="AN251" i="36"/>
  <c r="AO251" i="36"/>
  <c r="AQ251" i="36"/>
  <c r="AK251" i="36"/>
  <c r="AC251" i="36"/>
  <c r="AD251" i="36"/>
  <c r="AE251" i="36"/>
  <c r="AF251" i="36"/>
  <c r="AG251" i="36"/>
  <c r="AI251" i="36"/>
  <c r="AK228" i="36"/>
  <c r="AL228" i="36"/>
  <c r="AM228" i="36"/>
  <c r="AO228" i="36"/>
  <c r="AP228" i="36"/>
  <c r="AQ228" i="36"/>
  <c r="AC228" i="36"/>
  <c r="AD228" i="36"/>
  <c r="AE228" i="36"/>
  <c r="AG228" i="36"/>
  <c r="AH228" i="36"/>
  <c r="AI228" i="36"/>
  <c r="AK205" i="36"/>
  <c r="AN205" i="36"/>
  <c r="AO205" i="36"/>
  <c r="AP205" i="36"/>
  <c r="AQ205" i="36"/>
  <c r="AM205" i="36"/>
  <c r="AG205" i="36"/>
  <c r="AH205" i="36"/>
  <c r="AI205" i="36"/>
  <c r="AC205" i="36"/>
  <c r="AD205" i="36"/>
  <c r="AE205" i="36"/>
  <c r="AF205" i="36"/>
  <c r="AK182" i="36"/>
  <c r="AN182" i="36"/>
  <c r="AO182" i="36"/>
  <c r="AP182" i="36"/>
  <c r="AQ182" i="36"/>
  <c r="AM182" i="36"/>
  <c r="AC182" i="36"/>
  <c r="AD182" i="36"/>
  <c r="AE182" i="36"/>
  <c r="AF182" i="36"/>
  <c r="AG182" i="36"/>
  <c r="AH182" i="36"/>
  <c r="AI182" i="36"/>
  <c r="AK159" i="36"/>
  <c r="AM159" i="36"/>
  <c r="AN159" i="36"/>
  <c r="AO159" i="36"/>
  <c r="AP159" i="36"/>
  <c r="AQ159" i="36"/>
  <c r="AC159" i="36"/>
  <c r="AD159" i="36"/>
  <c r="AE159" i="36"/>
  <c r="AF159" i="36"/>
  <c r="AG159" i="36"/>
  <c r="AH159" i="36"/>
  <c r="AI159" i="36"/>
  <c r="AK136" i="36"/>
  <c r="AM136" i="36"/>
  <c r="AN136" i="36"/>
  <c r="AO136" i="36"/>
  <c r="AP136" i="36"/>
  <c r="AQ136" i="36"/>
  <c r="AC136" i="36"/>
  <c r="AD136" i="36"/>
  <c r="AE136" i="36"/>
  <c r="AF136" i="36"/>
  <c r="AG136" i="36"/>
  <c r="AH136" i="36"/>
  <c r="AI136" i="36"/>
  <c r="AK113" i="36"/>
  <c r="AM113" i="36"/>
  <c r="AN113" i="36"/>
  <c r="AO113" i="36"/>
  <c r="AP113" i="36"/>
  <c r="AQ113" i="36"/>
  <c r="AC113" i="36"/>
  <c r="AE113" i="36"/>
  <c r="AF113" i="36"/>
  <c r="AG113" i="36"/>
  <c r="AH113" i="36"/>
  <c r="AI113" i="36"/>
  <c r="AK90" i="36"/>
  <c r="AM90" i="36"/>
  <c r="AN90" i="36"/>
  <c r="AO90" i="36"/>
  <c r="AP90" i="36"/>
  <c r="AQ90" i="36"/>
  <c r="AC90" i="36"/>
  <c r="AE90" i="36"/>
  <c r="AF90" i="36"/>
  <c r="AG90" i="36"/>
  <c r="AH90" i="36"/>
  <c r="AI90" i="36"/>
  <c r="AM67" i="36"/>
  <c r="AN67" i="36"/>
  <c r="AO67" i="36"/>
  <c r="AP67" i="36"/>
  <c r="AQ67" i="36"/>
  <c r="AK67" i="36"/>
  <c r="AC67" i="36"/>
  <c r="AE67" i="36"/>
  <c r="AF67" i="36"/>
  <c r="AG67" i="36"/>
  <c r="AH67" i="36"/>
  <c r="AI67" i="36"/>
  <c r="AK36" i="36"/>
  <c r="AL36" i="36"/>
  <c r="AM36" i="36"/>
  <c r="AN36" i="36"/>
  <c r="AP36" i="36"/>
  <c r="AQ36" i="36"/>
  <c r="AC36" i="36"/>
  <c r="AD36" i="36"/>
  <c r="AE36" i="36"/>
  <c r="AF36" i="36"/>
  <c r="AH36" i="36"/>
  <c r="AI36" i="36"/>
  <c r="AK22" i="36"/>
  <c r="AL22" i="36"/>
  <c r="AM22" i="36"/>
  <c r="AO22" i="36"/>
  <c r="AP22" i="36"/>
  <c r="AQ22" i="36"/>
  <c r="AC22" i="36"/>
  <c r="AD22" i="36"/>
  <c r="AE22" i="36"/>
  <c r="AI22" i="36"/>
  <c r="AG22" i="36"/>
  <c r="AH22" i="36"/>
  <c r="AI674" i="36"/>
  <c r="AE670" i="36"/>
  <c r="AH665" i="36"/>
  <c r="AD661" i="36"/>
  <c r="AG656" i="36"/>
  <c r="AI642" i="36"/>
  <c r="AE638" i="36"/>
  <c r="AH633" i="36"/>
  <c r="AD629" i="36"/>
  <c r="AG624" i="36"/>
  <c r="AF615" i="36"/>
  <c r="AH610" i="36"/>
  <c r="AG596" i="36"/>
  <c r="AI591" i="36"/>
  <c r="AD587" i="36"/>
  <c r="AF582" i="36"/>
  <c r="AH577" i="36"/>
  <c r="AE568" i="36"/>
  <c r="AI558" i="36"/>
  <c r="AD554" i="36"/>
  <c r="AF549" i="36"/>
  <c r="AE535" i="36"/>
  <c r="AI525" i="36"/>
  <c r="AD521" i="36"/>
  <c r="AF516" i="36"/>
  <c r="AH511" i="36"/>
  <c r="AC507" i="36"/>
  <c r="AE502" i="36"/>
  <c r="AG497" i="36"/>
  <c r="AI492" i="36"/>
  <c r="AF487" i="36"/>
  <c r="AF440" i="36"/>
  <c r="AD423" i="36"/>
  <c r="AE414" i="36"/>
  <c r="AI404" i="36"/>
  <c r="AI390" i="36"/>
  <c r="AH354" i="36"/>
  <c r="AF336" i="36"/>
  <c r="AH317" i="36"/>
  <c r="AM651" i="36"/>
  <c r="AO651" i="36"/>
  <c r="AP651" i="36"/>
  <c r="AQ651" i="36"/>
  <c r="AK651" i="36"/>
  <c r="AL651" i="36"/>
  <c r="AK636" i="36"/>
  <c r="AL636" i="36"/>
  <c r="AM636" i="36"/>
  <c r="AO636" i="36"/>
  <c r="AP636" i="36"/>
  <c r="AQ636" i="36"/>
  <c r="AO641" i="36"/>
  <c r="AK641" i="36"/>
  <c r="AL641" i="36"/>
  <c r="AM641" i="36"/>
  <c r="AP641" i="36"/>
  <c r="AQ641" i="36"/>
  <c r="AK621" i="36"/>
  <c r="AM621" i="36"/>
  <c r="AN621" i="36"/>
  <c r="AO621" i="36"/>
  <c r="AP621" i="36"/>
  <c r="AQ621" i="36"/>
  <c r="AK601" i="36"/>
  <c r="AM601" i="36"/>
  <c r="AN601" i="36"/>
  <c r="AO601" i="36"/>
  <c r="AP601" i="36"/>
  <c r="AQ601" i="36"/>
  <c r="Y587" i="36"/>
  <c r="AK584" i="36"/>
  <c r="AL584" i="36"/>
  <c r="AN584" i="36"/>
  <c r="AO584" i="36"/>
  <c r="AP584" i="36"/>
  <c r="AQ584" i="36"/>
  <c r="AM584" i="36"/>
  <c r="AC584" i="36"/>
  <c r="AK561" i="36"/>
  <c r="AL561" i="36"/>
  <c r="AM561" i="36"/>
  <c r="AN561" i="36"/>
  <c r="AP561" i="36"/>
  <c r="AQ561" i="36"/>
  <c r="AD561" i="36"/>
  <c r="AK544" i="36"/>
  <c r="AL544" i="36"/>
  <c r="AM544" i="36"/>
  <c r="AP544" i="36"/>
  <c r="AN544" i="36"/>
  <c r="AQ544" i="36"/>
  <c r="AL501" i="36"/>
  <c r="AM501" i="36"/>
  <c r="AN501" i="36"/>
  <c r="AO501" i="36"/>
  <c r="AP501" i="36"/>
  <c r="AQ501" i="36"/>
  <c r="AH501" i="36"/>
  <c r="Y484" i="36"/>
  <c r="AK481" i="36"/>
  <c r="AP481" i="36"/>
  <c r="AQ481" i="36"/>
  <c r="AL481" i="36"/>
  <c r="AN481" i="36"/>
  <c r="AO481" i="36"/>
  <c r="AQ444" i="36"/>
  <c r="AK444" i="36"/>
  <c r="AM444" i="36"/>
  <c r="AN444" i="36"/>
  <c r="AO444" i="36"/>
  <c r="AP444" i="36"/>
  <c r="AC444" i="36"/>
  <c r="AE444" i="36"/>
  <c r="AF444" i="36"/>
  <c r="AN413" i="36"/>
  <c r="AP413" i="36"/>
  <c r="AQ413" i="36"/>
  <c r="AL413" i="36"/>
  <c r="AM413" i="36"/>
  <c r="AO413" i="36"/>
  <c r="AK368" i="36"/>
  <c r="AN368" i="36"/>
  <c r="AO368" i="36"/>
  <c r="AP368" i="36"/>
  <c r="AQ368" i="36"/>
  <c r="AM368" i="36"/>
  <c r="AK337" i="36"/>
  <c r="AM337" i="36"/>
  <c r="AN337" i="36"/>
  <c r="AP337" i="36"/>
  <c r="AQ337" i="36"/>
  <c r="AO337" i="36"/>
  <c r="AE337" i="36"/>
  <c r="AF337" i="36"/>
  <c r="AG337" i="36"/>
  <c r="AH337" i="36"/>
  <c r="AI337" i="36"/>
  <c r="AK294" i="36"/>
  <c r="AM294" i="36"/>
  <c r="AN294" i="36"/>
  <c r="AO294" i="36"/>
  <c r="AP294" i="36"/>
  <c r="AQ294" i="36"/>
  <c r="AE294" i="36"/>
  <c r="AG294" i="36"/>
  <c r="AI294" i="36"/>
  <c r="AF294" i="36"/>
  <c r="AH294" i="36"/>
  <c r="AC294" i="36"/>
  <c r="AL274" i="36"/>
  <c r="AM274" i="36"/>
  <c r="AN274" i="36"/>
  <c r="AO274" i="36"/>
  <c r="AP274" i="36"/>
  <c r="AQ274" i="36"/>
  <c r="AD274" i="36"/>
  <c r="AE274" i="36"/>
  <c r="AF274" i="36"/>
  <c r="AG274" i="36"/>
  <c r="AH274" i="36"/>
  <c r="AI274" i="36"/>
  <c r="AP179" i="36"/>
  <c r="AQ179" i="36"/>
  <c r="AK179" i="36"/>
  <c r="AM179" i="36"/>
  <c r="AN179" i="36"/>
  <c r="AO179" i="36"/>
  <c r="AI179" i="36"/>
  <c r="AC179" i="36"/>
  <c r="AD179" i="36"/>
  <c r="AE179" i="36"/>
  <c r="AF179" i="36"/>
  <c r="AG179" i="36"/>
  <c r="AH179" i="36"/>
  <c r="AQ156" i="36"/>
  <c r="AK156" i="36"/>
  <c r="AM156" i="36"/>
  <c r="AN156" i="36"/>
  <c r="AO156" i="36"/>
  <c r="AP156" i="36"/>
  <c r="AF156" i="36"/>
  <c r="AG156" i="36"/>
  <c r="AH156" i="36"/>
  <c r="AI156" i="36"/>
  <c r="AC156" i="36"/>
  <c r="AD156" i="36"/>
  <c r="AE156" i="36"/>
  <c r="AK133" i="36"/>
  <c r="AM133" i="36"/>
  <c r="AN133" i="36"/>
  <c r="AO133" i="36"/>
  <c r="AP133" i="36"/>
  <c r="AQ133" i="36"/>
  <c r="AC133" i="36"/>
  <c r="AD133" i="36"/>
  <c r="AE133" i="36"/>
  <c r="AF133" i="36"/>
  <c r="AG133" i="36"/>
  <c r="AH133" i="36"/>
  <c r="AI133" i="36"/>
  <c r="AK110" i="36"/>
  <c r="AM110" i="36"/>
  <c r="AN110" i="36"/>
  <c r="AO110" i="36"/>
  <c r="AP110" i="36"/>
  <c r="AQ110" i="36"/>
  <c r="AC110" i="36"/>
  <c r="AE110" i="36"/>
  <c r="AF110" i="36"/>
  <c r="AG110" i="36"/>
  <c r="AH110" i="36"/>
  <c r="AI110" i="36"/>
  <c r="AK87" i="36"/>
  <c r="AM87" i="36"/>
  <c r="AN87" i="36"/>
  <c r="AO87" i="36"/>
  <c r="AP87" i="36"/>
  <c r="AQ87" i="36"/>
  <c r="AI87" i="36"/>
  <c r="AF87" i="36"/>
  <c r="AG87" i="36"/>
  <c r="AH87" i="36"/>
  <c r="AC87" i="36"/>
  <c r="AE87" i="36"/>
  <c r="AH674" i="36"/>
  <c r="AD670" i="36"/>
  <c r="AG665" i="36"/>
  <c r="AC661" i="36"/>
  <c r="AI651" i="36"/>
  <c r="AE647" i="36"/>
  <c r="AH642" i="36"/>
  <c r="AG633" i="36"/>
  <c r="AF624" i="36"/>
  <c r="AI619" i="36"/>
  <c r="AE615" i="36"/>
  <c r="AG610" i="36"/>
  <c r="AI605" i="36"/>
  <c r="AF596" i="36"/>
  <c r="AH591" i="36"/>
  <c r="AC587" i="36"/>
  <c r="AE582" i="36"/>
  <c r="AG577" i="36"/>
  <c r="AI572" i="36"/>
  <c r="AD568" i="36"/>
  <c r="AF563" i="36"/>
  <c r="AH558" i="36"/>
  <c r="AE549" i="36"/>
  <c r="AI539" i="36"/>
  <c r="AD535" i="36"/>
  <c r="AF530" i="36"/>
  <c r="AH525" i="36"/>
  <c r="AE516" i="36"/>
  <c r="AI506" i="36"/>
  <c r="AD502" i="36"/>
  <c r="AF497" i="36"/>
  <c r="AH492" i="36"/>
  <c r="AE487" i="36"/>
  <c r="AG481" i="36"/>
  <c r="AI475" i="36"/>
  <c r="AI468" i="36"/>
  <c r="AI462" i="36"/>
  <c r="AH446" i="36"/>
  <c r="AE440" i="36"/>
  <c r="AI431" i="36"/>
  <c r="AD414" i="36"/>
  <c r="AH404" i="36"/>
  <c r="AI372" i="36"/>
  <c r="AG354" i="36"/>
  <c r="AE336" i="36"/>
  <c r="AG317" i="36"/>
  <c r="AM655" i="36"/>
  <c r="AK655" i="36"/>
  <c r="AL655" i="36"/>
  <c r="AO655" i="36"/>
  <c r="AP655" i="36"/>
  <c r="AQ655" i="36"/>
  <c r="AO638" i="36"/>
  <c r="AP638" i="36"/>
  <c r="AQ638" i="36"/>
  <c r="AK638" i="36"/>
  <c r="AL638" i="36"/>
  <c r="AM638" i="36"/>
  <c r="AP598" i="36"/>
  <c r="AQ598" i="36"/>
  <c r="AK598" i="36"/>
  <c r="AM598" i="36"/>
  <c r="AN598" i="36"/>
  <c r="AO598" i="36"/>
  <c r="AK581" i="36"/>
  <c r="AL581" i="36"/>
  <c r="AN581" i="36"/>
  <c r="AO581" i="36"/>
  <c r="AP581" i="36"/>
  <c r="AQ581" i="36"/>
  <c r="AK541" i="36"/>
  <c r="AM541" i="36"/>
  <c r="AN541" i="36"/>
  <c r="AL541" i="36"/>
  <c r="AP541" i="36"/>
  <c r="AQ541" i="36"/>
  <c r="AK478" i="36"/>
  <c r="AL478" i="36"/>
  <c r="AN478" i="36"/>
  <c r="AO478" i="36"/>
  <c r="AP478" i="36"/>
  <c r="AQ478" i="36"/>
  <c r="AI478" i="36"/>
  <c r="AL427" i="36"/>
  <c r="AN427" i="36"/>
  <c r="AO427" i="36"/>
  <c r="AM427" i="36"/>
  <c r="AP427" i="36"/>
  <c r="AQ427" i="36"/>
  <c r="AK379" i="36"/>
  <c r="AM379" i="36"/>
  <c r="AN379" i="36"/>
  <c r="AO379" i="36"/>
  <c r="AP379" i="36"/>
  <c r="AQ379" i="36"/>
  <c r="AC379" i="36"/>
  <c r="AE379" i="36"/>
  <c r="AF379" i="36"/>
  <c r="AG379" i="36"/>
  <c r="AH379" i="36"/>
  <c r="AI379" i="36"/>
  <c r="AM351" i="36"/>
  <c r="AN351" i="36"/>
  <c r="AK351" i="36"/>
  <c r="AO351" i="36"/>
  <c r="AP351" i="36"/>
  <c r="AQ351" i="36"/>
  <c r="AC351" i="36"/>
  <c r="AE351" i="36"/>
  <c r="AF351" i="36"/>
  <c r="AG351" i="36"/>
  <c r="AH351" i="36"/>
  <c r="AI351" i="36"/>
  <c r="AN334" i="36"/>
  <c r="AQ334" i="36"/>
  <c r="AL334" i="36"/>
  <c r="AM334" i="36"/>
  <c r="AO334" i="36"/>
  <c r="AK334" i="36"/>
  <c r="AC334" i="36"/>
  <c r="AD334" i="36"/>
  <c r="AE334" i="36"/>
  <c r="AF334" i="36"/>
  <c r="AG334" i="36"/>
  <c r="AI334" i="36"/>
  <c r="AM291" i="36"/>
  <c r="AN291" i="36"/>
  <c r="AO291" i="36"/>
  <c r="AP291" i="36"/>
  <c r="AQ291" i="36"/>
  <c r="AK291" i="36"/>
  <c r="AC291" i="36"/>
  <c r="AE291" i="36"/>
  <c r="AF291" i="36"/>
  <c r="AG291" i="36"/>
  <c r="AH291" i="36"/>
  <c r="AI291" i="36"/>
  <c r="AL271" i="36"/>
  <c r="AM271" i="36"/>
  <c r="AN271" i="36"/>
  <c r="AO271" i="36"/>
  <c r="AP271" i="36"/>
  <c r="AQ271" i="36"/>
  <c r="AE271" i="36"/>
  <c r="AF271" i="36"/>
  <c r="AG271" i="36"/>
  <c r="AH271" i="36"/>
  <c r="AD271" i="36"/>
  <c r="AI271" i="36"/>
  <c r="AM248" i="36"/>
  <c r="AN248" i="36"/>
  <c r="AO248" i="36"/>
  <c r="AQ248" i="36"/>
  <c r="AK248" i="36"/>
  <c r="AL248" i="36"/>
  <c r="AF248" i="36"/>
  <c r="AG248" i="36"/>
  <c r="AI248" i="36"/>
  <c r="AC248" i="36"/>
  <c r="AD248" i="36"/>
  <c r="AE248" i="36"/>
  <c r="AO225" i="36"/>
  <c r="AP225" i="36"/>
  <c r="AQ225" i="36"/>
  <c r="AK225" i="36"/>
  <c r="AL225" i="36"/>
  <c r="AM225" i="36"/>
  <c r="AG225" i="36"/>
  <c r="AH225" i="36"/>
  <c r="AI225" i="36"/>
  <c r="AC225" i="36"/>
  <c r="AD225" i="36"/>
  <c r="AE225" i="36"/>
  <c r="AO202" i="36"/>
  <c r="AP202" i="36"/>
  <c r="AQ202" i="36"/>
  <c r="AN202" i="36"/>
  <c r="AK202" i="36"/>
  <c r="AM202" i="36"/>
  <c r="AH202" i="36"/>
  <c r="AI202" i="36"/>
  <c r="AC202" i="36"/>
  <c r="AD202" i="36"/>
  <c r="AE202" i="36"/>
  <c r="AF202" i="36"/>
  <c r="AG202" i="36"/>
  <c r="AK107" i="36"/>
  <c r="AM107" i="36"/>
  <c r="AN107" i="36"/>
  <c r="AO107" i="36"/>
  <c r="AP107" i="36"/>
  <c r="AQ107" i="36"/>
  <c r="AC107" i="36"/>
  <c r="AE107" i="36"/>
  <c r="AF107" i="36"/>
  <c r="AG107" i="36"/>
  <c r="AH107" i="36"/>
  <c r="AI107" i="36"/>
  <c r="AK84" i="36"/>
  <c r="AM84" i="36"/>
  <c r="AN84" i="36"/>
  <c r="AO84" i="36"/>
  <c r="AP84" i="36"/>
  <c r="AQ84" i="36"/>
  <c r="AC84" i="36"/>
  <c r="AE84" i="36"/>
  <c r="AF84" i="36"/>
  <c r="AH84" i="36"/>
  <c r="AI84" i="36"/>
  <c r="AG84" i="36"/>
  <c r="AK64" i="36"/>
  <c r="AL64" i="36"/>
  <c r="AN64" i="36"/>
  <c r="AO64" i="36"/>
  <c r="AP64" i="36"/>
  <c r="AQ64" i="36"/>
  <c r="AC64" i="36"/>
  <c r="AD64" i="36"/>
  <c r="AE64" i="36"/>
  <c r="AF64" i="36"/>
  <c r="AG64" i="36"/>
  <c r="AH64" i="36"/>
  <c r="AI64" i="36"/>
  <c r="AL50" i="36"/>
  <c r="AM50" i="36"/>
  <c r="AN50" i="36"/>
  <c r="AO50" i="36"/>
  <c r="AP50" i="36"/>
  <c r="AQ50" i="36"/>
  <c r="AE50" i="36"/>
  <c r="AD50" i="36"/>
  <c r="AF50" i="36"/>
  <c r="AG50" i="36"/>
  <c r="AH50" i="36"/>
  <c r="AI50" i="36"/>
  <c r="AP19" i="36"/>
  <c r="AQ19" i="36"/>
  <c r="AK19" i="36"/>
  <c r="AL19" i="36"/>
  <c r="AM19" i="36"/>
  <c r="AO19" i="36"/>
  <c r="AC19" i="36"/>
  <c r="AD19" i="36"/>
  <c r="AE19" i="36"/>
  <c r="AG19" i="36"/>
  <c r="AH19" i="36"/>
  <c r="AI19" i="36"/>
  <c r="AG674" i="36"/>
  <c r="AF665" i="36"/>
  <c r="AI660" i="36"/>
  <c r="AE656" i="36"/>
  <c r="AH651" i="36"/>
  <c r="AD647" i="36"/>
  <c r="AG642" i="36"/>
  <c r="AC638" i="36"/>
  <c r="AI628" i="36"/>
  <c r="AE624" i="36"/>
  <c r="AH619" i="36"/>
  <c r="AD615" i="36"/>
  <c r="AF610" i="36"/>
  <c r="AH605" i="36"/>
  <c r="AC601" i="36"/>
  <c r="AE596" i="36"/>
  <c r="AG591" i="36"/>
  <c r="AI586" i="36"/>
  <c r="AD582" i="36"/>
  <c r="AF577" i="36"/>
  <c r="AH572" i="36"/>
  <c r="AE563" i="36"/>
  <c r="AI553" i="36"/>
  <c r="AD549" i="36"/>
  <c r="AF544" i="36"/>
  <c r="AH539" i="36"/>
  <c r="AE530" i="36"/>
  <c r="AI520" i="36"/>
  <c r="AD516" i="36"/>
  <c r="AF511" i="36"/>
  <c r="AH506" i="36"/>
  <c r="AE497" i="36"/>
  <c r="AF492" i="36"/>
  <c r="AD487" i="36"/>
  <c r="AF481" i="36"/>
  <c r="AH468" i="36"/>
  <c r="AF462" i="36"/>
  <c r="AI454" i="36"/>
  <c r="AG446" i="36"/>
  <c r="AH431" i="36"/>
  <c r="AI422" i="36"/>
  <c r="AG404" i="36"/>
  <c r="AE387" i="36"/>
  <c r="AH372" i="36"/>
  <c r="AF354" i="36"/>
  <c r="AF317" i="36"/>
  <c r="AN672" i="36"/>
  <c r="AO672" i="36"/>
  <c r="AP672" i="36"/>
  <c r="AL672" i="36"/>
  <c r="AM672" i="36"/>
  <c r="AQ672" i="36"/>
  <c r="AL578" i="36"/>
  <c r="AO578" i="36"/>
  <c r="AP578" i="36"/>
  <c r="AQ578" i="36"/>
  <c r="AM578" i="36"/>
  <c r="AN578" i="36"/>
  <c r="AK558" i="36"/>
  <c r="AL558" i="36"/>
  <c r="AM558" i="36"/>
  <c r="AN558" i="36"/>
  <c r="AP558" i="36"/>
  <c r="AQ558" i="36"/>
  <c r="AK538" i="36"/>
  <c r="AL538" i="36"/>
  <c r="AM538" i="36"/>
  <c r="AN538" i="36"/>
  <c r="AP538" i="36"/>
  <c r="AQ538" i="36"/>
  <c r="AE538" i="36"/>
  <c r="AK521" i="36"/>
  <c r="AL521" i="36"/>
  <c r="AM521" i="36"/>
  <c r="AN521" i="36"/>
  <c r="AP521" i="36"/>
  <c r="AQ521" i="36"/>
  <c r="AL498" i="36"/>
  <c r="AM498" i="36"/>
  <c r="AN498" i="36"/>
  <c r="AO498" i="36"/>
  <c r="AP498" i="36"/>
  <c r="AQ498" i="36"/>
  <c r="AO475" i="36"/>
  <c r="AP475" i="36"/>
  <c r="AQ475" i="36"/>
  <c r="AK475" i="36"/>
  <c r="AL475" i="36"/>
  <c r="AN475" i="36"/>
  <c r="AC475" i="36"/>
  <c r="AD475" i="36"/>
  <c r="AM441" i="36"/>
  <c r="AK441" i="36"/>
  <c r="AN441" i="36"/>
  <c r="AO441" i="36"/>
  <c r="AP441" i="36"/>
  <c r="AQ441" i="36"/>
  <c r="AO365" i="36"/>
  <c r="AQ365" i="36"/>
  <c r="AK365" i="36"/>
  <c r="AM365" i="36"/>
  <c r="AN365" i="36"/>
  <c r="AP365" i="36"/>
  <c r="AC365" i="36"/>
  <c r="AE365" i="36"/>
  <c r="AF365" i="36"/>
  <c r="AG365" i="36"/>
  <c r="AH365" i="36"/>
  <c r="AI365" i="36"/>
  <c r="AK331" i="36"/>
  <c r="AL331" i="36"/>
  <c r="AM331" i="36"/>
  <c r="AN331" i="36"/>
  <c r="AO331" i="36"/>
  <c r="AQ331" i="36"/>
  <c r="AC331" i="36"/>
  <c r="AD331" i="36"/>
  <c r="AE331" i="36"/>
  <c r="AL314" i="36"/>
  <c r="AM314" i="36"/>
  <c r="AP314" i="36"/>
  <c r="AN314" i="36"/>
  <c r="AO314" i="36"/>
  <c r="AK314" i="36"/>
  <c r="AC314" i="36"/>
  <c r="AD314" i="36"/>
  <c r="AE314" i="36"/>
  <c r="AF314" i="36"/>
  <c r="AG314" i="36"/>
  <c r="AH314" i="36"/>
  <c r="AI314" i="36"/>
  <c r="AL268" i="36"/>
  <c r="AM268" i="36"/>
  <c r="AN268" i="36"/>
  <c r="AO268" i="36"/>
  <c r="AP268" i="36"/>
  <c r="AQ268" i="36"/>
  <c r="AD268" i="36"/>
  <c r="AE268" i="36"/>
  <c r="AF268" i="36"/>
  <c r="AG268" i="36"/>
  <c r="AH268" i="36"/>
  <c r="AI268" i="36"/>
  <c r="AK245" i="36"/>
  <c r="AL245" i="36"/>
  <c r="AM245" i="36"/>
  <c r="AO245" i="36"/>
  <c r="AP245" i="36"/>
  <c r="AQ245" i="36"/>
  <c r="AC245" i="36"/>
  <c r="AD245" i="36"/>
  <c r="AE245" i="36"/>
  <c r="AG245" i="36"/>
  <c r="AH245" i="36"/>
  <c r="AI245" i="36"/>
  <c r="AL222" i="36"/>
  <c r="AM222" i="36"/>
  <c r="AO222" i="36"/>
  <c r="AP222" i="36"/>
  <c r="AK222" i="36"/>
  <c r="AQ222" i="36"/>
  <c r="AC222" i="36"/>
  <c r="AD222" i="36"/>
  <c r="AE222" i="36"/>
  <c r="AG222" i="36"/>
  <c r="AH222" i="36"/>
  <c r="AI222" i="36"/>
  <c r="AK199" i="36"/>
  <c r="AM199" i="36"/>
  <c r="AO199" i="36"/>
  <c r="AP199" i="36"/>
  <c r="AN199" i="36"/>
  <c r="AQ199" i="36"/>
  <c r="AC199" i="36"/>
  <c r="AD199" i="36"/>
  <c r="AI199" i="36"/>
  <c r="AE199" i="36"/>
  <c r="AF199" i="36"/>
  <c r="AG199" i="36"/>
  <c r="AH199" i="36"/>
  <c r="AK176" i="36"/>
  <c r="AM176" i="36"/>
  <c r="AN176" i="36"/>
  <c r="AO176" i="36"/>
  <c r="AP176" i="36"/>
  <c r="AQ176" i="36"/>
  <c r="AC176" i="36"/>
  <c r="AD176" i="36"/>
  <c r="AE176" i="36"/>
  <c r="AF176" i="36"/>
  <c r="AG176" i="36"/>
  <c r="AH176" i="36"/>
  <c r="AI176" i="36"/>
  <c r="AM153" i="36"/>
  <c r="AK153" i="36"/>
  <c r="AN153" i="36"/>
  <c r="AO153" i="36"/>
  <c r="AP153" i="36"/>
  <c r="AQ153" i="36"/>
  <c r="AC153" i="36"/>
  <c r="AD153" i="36"/>
  <c r="AE153" i="36"/>
  <c r="AF153" i="36"/>
  <c r="AG153" i="36"/>
  <c r="AH153" i="36"/>
  <c r="AI153" i="36"/>
  <c r="AK130" i="36"/>
  <c r="AM130" i="36"/>
  <c r="AN130" i="36"/>
  <c r="AO130" i="36"/>
  <c r="AP130" i="36"/>
  <c r="AQ130" i="36"/>
  <c r="AC130" i="36"/>
  <c r="AD130" i="36"/>
  <c r="AE130" i="36"/>
  <c r="AF130" i="36"/>
  <c r="AG130" i="36"/>
  <c r="AH130" i="36"/>
  <c r="AI130" i="36"/>
  <c r="AL47" i="36"/>
  <c r="AM47" i="36"/>
  <c r="AN47" i="36"/>
  <c r="AO47" i="36"/>
  <c r="AP47" i="36"/>
  <c r="AQ47" i="36"/>
  <c r="AH47" i="36"/>
  <c r="AI47" i="36"/>
  <c r="AD47" i="36"/>
  <c r="AE47" i="36"/>
  <c r="AF47" i="36"/>
  <c r="AG47" i="36"/>
  <c r="AO33" i="36"/>
  <c r="AP33" i="36"/>
  <c r="AQ33" i="36"/>
  <c r="AK33" i="36"/>
  <c r="AL33" i="36"/>
  <c r="AM33" i="36"/>
  <c r="AC33" i="36"/>
  <c r="AD33" i="36"/>
  <c r="AE33" i="36"/>
  <c r="AG33" i="36"/>
  <c r="AH33" i="36"/>
  <c r="AI33" i="36"/>
  <c r="AF674" i="36"/>
  <c r="AE665" i="36"/>
  <c r="AH660" i="36"/>
  <c r="AD656" i="36"/>
  <c r="AG651" i="36"/>
  <c r="AC647" i="36"/>
  <c r="AI637" i="36"/>
  <c r="AE633" i="36"/>
  <c r="AH628" i="36"/>
  <c r="AD624" i="36"/>
  <c r="AG619" i="36"/>
  <c r="AE610" i="36"/>
  <c r="AG605" i="36"/>
  <c r="AI600" i="36"/>
  <c r="AF591" i="36"/>
  <c r="AH586" i="36"/>
  <c r="AE577" i="36"/>
  <c r="AG572" i="36"/>
  <c r="AI567" i="36"/>
  <c r="AD563" i="36"/>
  <c r="AF558" i="36"/>
  <c r="AH553" i="36"/>
  <c r="AE544" i="36"/>
  <c r="AI534" i="36"/>
  <c r="AD530" i="36"/>
  <c r="AF525" i="36"/>
  <c r="AH520" i="36"/>
  <c r="AE511" i="36"/>
  <c r="AG506" i="36"/>
  <c r="AI501" i="36"/>
  <c r="AE492" i="36"/>
  <c r="AC487" i="36"/>
  <c r="AE481" i="36"/>
  <c r="AG475" i="36"/>
  <c r="AG468" i="36"/>
  <c r="AE462" i="36"/>
  <c r="AH454" i="36"/>
  <c r="AF446" i="36"/>
  <c r="AG431" i="36"/>
  <c r="AH422" i="36"/>
  <c r="AI413" i="36"/>
  <c r="AF404" i="36"/>
  <c r="AD387" i="36"/>
  <c r="AE354" i="36"/>
  <c r="AE317" i="36"/>
  <c r="AO669" i="36"/>
  <c r="AP669" i="36"/>
  <c r="AQ669" i="36"/>
  <c r="AL669" i="36"/>
  <c r="AM669" i="36"/>
  <c r="AN669" i="36"/>
  <c r="AK635" i="36"/>
  <c r="AL635" i="36"/>
  <c r="AM635" i="36"/>
  <c r="AO635" i="36"/>
  <c r="AP635" i="36"/>
  <c r="AQ635" i="36"/>
  <c r="AP618" i="36"/>
  <c r="AQ618" i="36"/>
  <c r="AO618" i="36"/>
  <c r="AK618" i="36"/>
  <c r="AM618" i="36"/>
  <c r="AN618" i="36"/>
  <c r="AQ595" i="36"/>
  <c r="AK595" i="36"/>
  <c r="AM595" i="36"/>
  <c r="AN595" i="36"/>
  <c r="AO595" i="36"/>
  <c r="AP595" i="36"/>
  <c r="AL575" i="36"/>
  <c r="AM575" i="36"/>
  <c r="AN575" i="36"/>
  <c r="AO575" i="36"/>
  <c r="AP575" i="36"/>
  <c r="AQ575" i="36"/>
  <c r="AK535" i="36"/>
  <c r="AL535" i="36"/>
  <c r="AM535" i="36"/>
  <c r="AN535" i="36"/>
  <c r="AP535" i="36"/>
  <c r="AQ535" i="36"/>
  <c r="AP495" i="36"/>
  <c r="AL495" i="36"/>
  <c r="AM495" i="36"/>
  <c r="AN495" i="36"/>
  <c r="AO495" i="36"/>
  <c r="AK495" i="36"/>
  <c r="AQ495" i="36"/>
  <c r="AK458" i="36"/>
  <c r="AM458" i="36"/>
  <c r="AN458" i="36"/>
  <c r="AO458" i="36"/>
  <c r="AP458" i="36"/>
  <c r="AQ458" i="36"/>
  <c r="AC458" i="36"/>
  <c r="AM438" i="36"/>
  <c r="AN438" i="36"/>
  <c r="AO438" i="36"/>
  <c r="AP438" i="36"/>
  <c r="AQ438" i="36"/>
  <c r="AK438" i="36"/>
  <c r="AC438" i="36"/>
  <c r="AE438" i="36"/>
  <c r="AF438" i="36"/>
  <c r="AG438" i="36"/>
  <c r="AH438" i="36"/>
  <c r="AL410" i="36"/>
  <c r="AM410" i="36"/>
  <c r="AN410" i="36"/>
  <c r="AO410" i="36"/>
  <c r="AQ410" i="36"/>
  <c r="AP410" i="36"/>
  <c r="AE410" i="36"/>
  <c r="AF410" i="36"/>
  <c r="AG410" i="36"/>
  <c r="AH410" i="36"/>
  <c r="AI410" i="36"/>
  <c r="AL396" i="36"/>
  <c r="AM396" i="36"/>
  <c r="AN396" i="36"/>
  <c r="AO396" i="36"/>
  <c r="AP396" i="36"/>
  <c r="AQ396" i="36"/>
  <c r="AG396" i="36"/>
  <c r="AH396" i="36"/>
  <c r="AI396" i="36"/>
  <c r="AQ348" i="36"/>
  <c r="AK348" i="36"/>
  <c r="AM348" i="36"/>
  <c r="AN348" i="36"/>
  <c r="AO348" i="36"/>
  <c r="AP348" i="36"/>
  <c r="AC348" i="36"/>
  <c r="AE348" i="36"/>
  <c r="AF348" i="36"/>
  <c r="AG348" i="36"/>
  <c r="AH348" i="36"/>
  <c r="AI348" i="36"/>
  <c r="AK311" i="36"/>
  <c r="AL311" i="36"/>
  <c r="AM311" i="36"/>
  <c r="AN311" i="36"/>
  <c r="AO311" i="36"/>
  <c r="AP311" i="36"/>
  <c r="AC311" i="36"/>
  <c r="AD311" i="36"/>
  <c r="AE311" i="36"/>
  <c r="AF311" i="36"/>
  <c r="AG311" i="36"/>
  <c r="AH311" i="36"/>
  <c r="AI311" i="36"/>
  <c r="AL288" i="36"/>
  <c r="AM288" i="36"/>
  <c r="AK288" i="36"/>
  <c r="AN288" i="36"/>
  <c r="AP288" i="36"/>
  <c r="AQ288" i="36"/>
  <c r="AH288" i="36"/>
  <c r="AI288" i="36"/>
  <c r="AC288" i="36"/>
  <c r="AD288" i="36"/>
  <c r="AE288" i="36"/>
  <c r="AF288" i="36"/>
  <c r="AO219" i="36"/>
  <c r="AP219" i="36"/>
  <c r="AQ219" i="36"/>
  <c r="AK219" i="36"/>
  <c r="AL219" i="36"/>
  <c r="AM219" i="36"/>
  <c r="AC219" i="36"/>
  <c r="AD219" i="36"/>
  <c r="AE219" i="36"/>
  <c r="AG219" i="36"/>
  <c r="AH219" i="36"/>
  <c r="AI219" i="36"/>
  <c r="AK196" i="36"/>
  <c r="AM196" i="36"/>
  <c r="AN196" i="36"/>
  <c r="AO196" i="36"/>
  <c r="AP196" i="36"/>
  <c r="AQ196" i="36"/>
  <c r="AC196" i="36"/>
  <c r="AD196" i="36"/>
  <c r="AE196" i="36"/>
  <c r="AF196" i="36"/>
  <c r="AG196" i="36"/>
  <c r="AH196" i="36"/>
  <c r="AI196" i="36"/>
  <c r="AK173" i="36"/>
  <c r="AN173" i="36"/>
  <c r="AO173" i="36"/>
  <c r="AP173" i="36"/>
  <c r="AQ173" i="36"/>
  <c r="AM173" i="36"/>
  <c r="AC173" i="36"/>
  <c r="AD173" i="36"/>
  <c r="AE173" i="36"/>
  <c r="AF173" i="36"/>
  <c r="AG173" i="36"/>
  <c r="AH173" i="36"/>
  <c r="AI173" i="36"/>
  <c r="AK150" i="36"/>
  <c r="AM150" i="36"/>
  <c r="AN150" i="36"/>
  <c r="AO150" i="36"/>
  <c r="AP150" i="36"/>
  <c r="AQ150" i="36"/>
  <c r="AH150" i="36"/>
  <c r="AI150" i="36"/>
  <c r="AC150" i="36"/>
  <c r="AD150" i="36"/>
  <c r="AE150" i="36"/>
  <c r="AF150" i="36"/>
  <c r="AG150" i="36"/>
  <c r="AK127" i="36"/>
  <c r="AL127" i="36"/>
  <c r="AM127" i="36"/>
  <c r="AN127" i="36"/>
  <c r="AO127" i="36"/>
  <c r="AP127" i="36"/>
  <c r="AC127" i="36"/>
  <c r="AD127" i="36"/>
  <c r="AE127" i="36"/>
  <c r="AF127" i="36"/>
  <c r="AG127" i="36"/>
  <c r="AH127" i="36"/>
  <c r="AK104" i="36"/>
  <c r="AM104" i="36"/>
  <c r="AN104" i="36"/>
  <c r="AO104" i="36"/>
  <c r="AP104" i="36"/>
  <c r="AQ104" i="36"/>
  <c r="AC104" i="36"/>
  <c r="AE104" i="36"/>
  <c r="AF104" i="36"/>
  <c r="AG104" i="36"/>
  <c r="AH104" i="36"/>
  <c r="AI104" i="36"/>
  <c r="AK81" i="36"/>
  <c r="AM81" i="36"/>
  <c r="AN81" i="36"/>
  <c r="AO81" i="36"/>
  <c r="AP81" i="36"/>
  <c r="AQ81" i="36"/>
  <c r="AC81" i="36"/>
  <c r="AE81" i="36"/>
  <c r="AF81" i="36"/>
  <c r="AG81" i="36"/>
  <c r="AH81" i="36"/>
  <c r="AI81" i="36"/>
  <c r="AK61" i="36"/>
  <c r="AM61" i="36"/>
  <c r="AN61" i="36"/>
  <c r="AO61" i="36"/>
  <c r="AP61" i="36"/>
  <c r="AQ61" i="36"/>
  <c r="AC61" i="36"/>
  <c r="AE61" i="36"/>
  <c r="AF61" i="36"/>
  <c r="AG61" i="36"/>
  <c r="AH61" i="36"/>
  <c r="AI61" i="36"/>
  <c r="AK16" i="36"/>
  <c r="AL16" i="36"/>
  <c r="AM16" i="36"/>
  <c r="AO16" i="36"/>
  <c r="AP16" i="36"/>
  <c r="AQ16" i="36"/>
  <c r="AC16" i="36"/>
  <c r="AD16" i="36"/>
  <c r="AE16" i="36"/>
  <c r="AG16" i="36"/>
  <c r="AH16" i="36"/>
  <c r="AI16" i="36"/>
  <c r="AE674" i="36"/>
  <c r="AH669" i="36"/>
  <c r="AD665" i="36"/>
  <c r="AG660" i="36"/>
  <c r="AI646" i="36"/>
  <c r="AE642" i="36"/>
  <c r="AH637" i="36"/>
  <c r="AD633" i="36"/>
  <c r="AG628" i="36"/>
  <c r="AC624" i="36"/>
  <c r="AF619" i="36"/>
  <c r="AI614" i="36"/>
  <c r="AD610" i="36"/>
  <c r="AF605" i="36"/>
  <c r="AH600" i="36"/>
  <c r="AE591" i="36"/>
  <c r="AG586" i="36"/>
  <c r="AI581" i="36"/>
  <c r="AD577" i="36"/>
  <c r="AH567" i="36"/>
  <c r="AE558" i="36"/>
  <c r="AI548" i="36"/>
  <c r="AD544" i="36"/>
  <c r="AF539" i="36"/>
  <c r="AH534" i="36"/>
  <c r="AE525" i="36"/>
  <c r="AI515" i="36"/>
  <c r="AD511" i="36"/>
  <c r="AG501" i="36"/>
  <c r="AI496" i="36"/>
  <c r="AD492" i="36"/>
  <c r="AI486" i="36"/>
  <c r="AD481" i="36"/>
  <c r="AF475" i="36"/>
  <c r="AF468" i="36"/>
  <c r="AG454" i="36"/>
  <c r="AE446" i="36"/>
  <c r="AF431" i="36"/>
  <c r="AG422" i="36"/>
  <c r="AH413" i="36"/>
  <c r="AE404" i="36"/>
  <c r="AH350" i="36"/>
  <c r="AF332" i="36"/>
  <c r="AH313" i="36"/>
  <c r="AQ572" i="36"/>
  <c r="AK572" i="36"/>
  <c r="AL572" i="36"/>
  <c r="AM572" i="36"/>
  <c r="AN572" i="36"/>
  <c r="AO572" i="36"/>
  <c r="AP572" i="36"/>
  <c r="AL518" i="36"/>
  <c r="AN518" i="36"/>
  <c r="AP518" i="36"/>
  <c r="AK518" i="36"/>
  <c r="AM518" i="36"/>
  <c r="AQ518" i="36"/>
  <c r="AQ472" i="36"/>
  <c r="AK472" i="36"/>
  <c r="AL472" i="36"/>
  <c r="AN472" i="36"/>
  <c r="AO472" i="36"/>
  <c r="AP472" i="36"/>
  <c r="AL407" i="36"/>
  <c r="AM407" i="36"/>
  <c r="AN407" i="36"/>
  <c r="AO407" i="36"/>
  <c r="AP407" i="36"/>
  <c r="AQ407" i="36"/>
  <c r="AD407" i="36"/>
  <c r="AE407" i="36"/>
  <c r="AF407" i="36"/>
  <c r="AG407" i="36"/>
  <c r="AH407" i="36"/>
  <c r="AI407" i="36"/>
  <c r="AM376" i="36"/>
  <c r="AO376" i="36"/>
  <c r="AP376" i="36"/>
  <c r="AK376" i="36"/>
  <c r="AQ376" i="36"/>
  <c r="AN376" i="36"/>
  <c r="AC376" i="36"/>
  <c r="AE376" i="36"/>
  <c r="AF376" i="36"/>
  <c r="AG376" i="36"/>
  <c r="AH376" i="36"/>
  <c r="AI376" i="36"/>
  <c r="AO362" i="36"/>
  <c r="AQ362" i="36"/>
  <c r="AK362" i="36"/>
  <c r="AM362" i="36"/>
  <c r="AN362" i="36"/>
  <c r="AP362" i="36"/>
  <c r="AC362" i="36"/>
  <c r="AE362" i="36"/>
  <c r="AF362" i="36"/>
  <c r="AG362" i="36"/>
  <c r="AH362" i="36"/>
  <c r="AI362" i="36"/>
  <c r="AM328" i="36"/>
  <c r="AN328" i="36"/>
  <c r="AO328" i="36"/>
  <c r="AQ328" i="36"/>
  <c r="AK328" i="36"/>
  <c r="AL328" i="36"/>
  <c r="AC328" i="36"/>
  <c r="AD328" i="36"/>
  <c r="AE328" i="36"/>
  <c r="AF328" i="36"/>
  <c r="AG328" i="36"/>
  <c r="AI328" i="36"/>
  <c r="AK308" i="36"/>
  <c r="AL308" i="36"/>
  <c r="AM308" i="36"/>
  <c r="AP308" i="36"/>
  <c r="AN308" i="36"/>
  <c r="AQ308" i="36"/>
  <c r="AI308" i="36"/>
  <c r="AK285" i="36"/>
  <c r="AL285" i="36"/>
  <c r="AM285" i="36"/>
  <c r="AN285" i="36"/>
  <c r="AQ285" i="36"/>
  <c r="AP285" i="36"/>
  <c r="AC285" i="36"/>
  <c r="AD285" i="36"/>
  <c r="AF285" i="36"/>
  <c r="AH285" i="36"/>
  <c r="AI285" i="36"/>
  <c r="AE285" i="36"/>
  <c r="AK265" i="36"/>
  <c r="AL265" i="36"/>
  <c r="AO265" i="36"/>
  <c r="AP265" i="36"/>
  <c r="AM265" i="36"/>
  <c r="AN265" i="36"/>
  <c r="AC265" i="36"/>
  <c r="AD265" i="36"/>
  <c r="AE265" i="36"/>
  <c r="AF265" i="36"/>
  <c r="AG265" i="36"/>
  <c r="AH265" i="36"/>
  <c r="AL242" i="36"/>
  <c r="AO242" i="36"/>
  <c r="AK242" i="36"/>
  <c r="AM242" i="36"/>
  <c r="AP242" i="36"/>
  <c r="AQ242" i="36"/>
  <c r="AD242" i="36"/>
  <c r="AE242" i="36"/>
  <c r="AG242" i="36"/>
  <c r="AH242" i="36"/>
  <c r="AI242" i="36"/>
  <c r="AC242" i="36"/>
  <c r="AP147" i="36"/>
  <c r="AQ147" i="36"/>
  <c r="AK147" i="36"/>
  <c r="AM147" i="36"/>
  <c r="AN147" i="36"/>
  <c r="AO147" i="36"/>
  <c r="AI147" i="36"/>
  <c r="AC147" i="36"/>
  <c r="AD147" i="36"/>
  <c r="AE147" i="36"/>
  <c r="AF147" i="36"/>
  <c r="AG147" i="36"/>
  <c r="AH147" i="36"/>
  <c r="AK124" i="36"/>
  <c r="AL124" i="36"/>
  <c r="AM124" i="36"/>
  <c r="AN124" i="36"/>
  <c r="AO124" i="36"/>
  <c r="AP124" i="36"/>
  <c r="AC124" i="36"/>
  <c r="AD124" i="36"/>
  <c r="AE124" i="36"/>
  <c r="AF124" i="36"/>
  <c r="AG124" i="36"/>
  <c r="AH124" i="36"/>
  <c r="AK101" i="36"/>
  <c r="AM101" i="36"/>
  <c r="AN101" i="36"/>
  <c r="AO101" i="36"/>
  <c r="AP101" i="36"/>
  <c r="AQ101" i="36"/>
  <c r="AF101" i="36"/>
  <c r="AG101" i="36"/>
  <c r="AH101" i="36"/>
  <c r="AI101" i="36"/>
  <c r="AC101" i="36"/>
  <c r="AE101" i="36"/>
  <c r="AK78" i="36"/>
  <c r="AM78" i="36"/>
  <c r="AN78" i="36"/>
  <c r="AO78" i="36"/>
  <c r="AP78" i="36"/>
  <c r="AQ78" i="36"/>
  <c r="AF78" i="36"/>
  <c r="AG78" i="36"/>
  <c r="AH78" i="36"/>
  <c r="AI78" i="36"/>
  <c r="AE78" i="36"/>
  <c r="AC78" i="36"/>
  <c r="AL44" i="36"/>
  <c r="AM44" i="36"/>
  <c r="AN44" i="36"/>
  <c r="AO44" i="36"/>
  <c r="AP44" i="36"/>
  <c r="AQ44" i="36"/>
  <c r="AI44" i="36"/>
  <c r="AD44" i="36"/>
  <c r="AE44" i="36"/>
  <c r="AF44" i="36"/>
  <c r="AG44" i="36"/>
  <c r="AH44" i="36"/>
  <c r="AK30" i="36"/>
  <c r="AL30" i="36"/>
  <c r="AM30" i="36"/>
  <c r="AO30" i="36"/>
  <c r="AP30" i="36"/>
  <c r="AQ30" i="36"/>
  <c r="AC30" i="36"/>
  <c r="AD30" i="36"/>
  <c r="AE30" i="36"/>
  <c r="AG30" i="36"/>
  <c r="AH30" i="36"/>
  <c r="AI30" i="36"/>
  <c r="AD674" i="36"/>
  <c r="AG669" i="36"/>
  <c r="AI655" i="36"/>
  <c r="AE651" i="36"/>
  <c r="AH646" i="36"/>
  <c r="AD642" i="36"/>
  <c r="AG637" i="36"/>
  <c r="AF628" i="36"/>
  <c r="AI623" i="36"/>
  <c r="AE619" i="36"/>
  <c r="AH614" i="36"/>
  <c r="AE605" i="36"/>
  <c r="AG600" i="36"/>
  <c r="AI595" i="36"/>
  <c r="AF586" i="36"/>
  <c r="AH581" i="36"/>
  <c r="AE572" i="36"/>
  <c r="AI562" i="36"/>
  <c r="AD558" i="36"/>
  <c r="AF553" i="36"/>
  <c r="AH548" i="36"/>
  <c r="AC544" i="36"/>
  <c r="AE539" i="36"/>
  <c r="AI529" i="36"/>
  <c r="AD525" i="36"/>
  <c r="AF520" i="36"/>
  <c r="AD506" i="36"/>
  <c r="AF501" i="36"/>
  <c r="AH496" i="36"/>
  <c r="AH486" i="36"/>
  <c r="AC481" i="36"/>
  <c r="AD474" i="36"/>
  <c r="AF454" i="36"/>
  <c r="AE431" i="36"/>
  <c r="AF422" i="36"/>
  <c r="AG413" i="36"/>
  <c r="AI386" i="36"/>
  <c r="AI368" i="36"/>
  <c r="AG350" i="36"/>
  <c r="AE332" i="36"/>
  <c r="AG313" i="36"/>
  <c r="AK652" i="36"/>
  <c r="AL652" i="36"/>
  <c r="AM652" i="36"/>
  <c r="AO652" i="36"/>
  <c r="AP652" i="36"/>
  <c r="AQ652" i="36"/>
  <c r="AN632" i="36"/>
  <c r="AP632" i="36"/>
  <c r="AQ632" i="36"/>
  <c r="AK632" i="36"/>
  <c r="AM632" i="36"/>
  <c r="AO632" i="36"/>
  <c r="AK615" i="36"/>
  <c r="AL615" i="36"/>
  <c r="AN615" i="36"/>
  <c r="AO615" i="36"/>
  <c r="AP615" i="36"/>
  <c r="AQ615" i="36"/>
  <c r="AK592" i="36"/>
  <c r="AM592" i="36"/>
  <c r="AN592" i="36"/>
  <c r="AO592" i="36"/>
  <c r="AP592" i="36"/>
  <c r="AQ592" i="36"/>
  <c r="AL532" i="36"/>
  <c r="AM532" i="36"/>
  <c r="AN532" i="36"/>
  <c r="AK532" i="36"/>
  <c r="AP532" i="36"/>
  <c r="AQ532" i="36"/>
  <c r="AP515" i="36"/>
  <c r="AQ515" i="36"/>
  <c r="AK515" i="36"/>
  <c r="AL515" i="36"/>
  <c r="AM515" i="36"/>
  <c r="AN515" i="36"/>
  <c r="AF515" i="36"/>
  <c r="AL469" i="36"/>
  <c r="AN469" i="36"/>
  <c r="AO469" i="36"/>
  <c r="AP469" i="36"/>
  <c r="AQ469" i="36"/>
  <c r="AK469" i="36"/>
  <c r="AH469" i="36"/>
  <c r="AI469" i="36"/>
  <c r="AK455" i="36"/>
  <c r="AM455" i="36"/>
  <c r="AO455" i="36"/>
  <c r="AP455" i="36"/>
  <c r="AQ455" i="36"/>
  <c r="AN455" i="36"/>
  <c r="AQ424" i="36"/>
  <c r="AL424" i="36"/>
  <c r="AM424" i="36"/>
  <c r="AN424" i="36"/>
  <c r="AO424" i="36"/>
  <c r="AP424" i="36"/>
  <c r="AD424" i="36"/>
  <c r="AE424" i="36"/>
  <c r="AF424" i="36"/>
  <c r="AG424" i="36"/>
  <c r="AH424" i="36"/>
  <c r="AI424" i="36"/>
  <c r="AP393" i="36"/>
  <c r="AQ393" i="36"/>
  <c r="AL393" i="36"/>
  <c r="AM393" i="36"/>
  <c r="AN393" i="36"/>
  <c r="AO393" i="36"/>
  <c r="AD393" i="36"/>
  <c r="AE393" i="36"/>
  <c r="AF393" i="36"/>
  <c r="AG393" i="36"/>
  <c r="AH393" i="36"/>
  <c r="AI393" i="36"/>
  <c r="AM345" i="36"/>
  <c r="AO345" i="36"/>
  <c r="AP345" i="36"/>
  <c r="AK345" i="36"/>
  <c r="AN345" i="36"/>
  <c r="AQ345" i="36"/>
  <c r="AC345" i="36"/>
  <c r="AK325" i="36"/>
  <c r="AL325" i="36"/>
  <c r="AN325" i="36"/>
  <c r="AO325" i="36"/>
  <c r="AQ325" i="36"/>
  <c r="AM325" i="36"/>
  <c r="AC325" i="36"/>
  <c r="AD325" i="36"/>
  <c r="AE325" i="36"/>
  <c r="AF325" i="36"/>
  <c r="AG325" i="36"/>
  <c r="AI325" i="36"/>
  <c r="AK262" i="36"/>
  <c r="AL262" i="36"/>
  <c r="AM262" i="36"/>
  <c r="AN262" i="36"/>
  <c r="AO262" i="36"/>
  <c r="AP262" i="36"/>
  <c r="AD262" i="36"/>
  <c r="AE262" i="36"/>
  <c r="AF262" i="36"/>
  <c r="AG262" i="36"/>
  <c r="AC262" i="36"/>
  <c r="AH262" i="36"/>
  <c r="AL239" i="36"/>
  <c r="AM239" i="36"/>
  <c r="AO239" i="36"/>
  <c r="AP239" i="36"/>
  <c r="AK239" i="36"/>
  <c r="AQ239" i="36"/>
  <c r="AE239" i="36"/>
  <c r="AG239" i="36"/>
  <c r="AH239" i="36"/>
  <c r="AI239" i="36"/>
  <c r="AC239" i="36"/>
  <c r="AD239" i="36"/>
  <c r="AM216" i="36"/>
  <c r="AO216" i="36"/>
  <c r="AP216" i="36"/>
  <c r="AQ216" i="36"/>
  <c r="AK216" i="36"/>
  <c r="AL216" i="36"/>
  <c r="AG216" i="36"/>
  <c r="AH216" i="36"/>
  <c r="AI216" i="36"/>
  <c r="AC216" i="36"/>
  <c r="AD216" i="36"/>
  <c r="AE216" i="36"/>
  <c r="AN193" i="36"/>
  <c r="AO193" i="36"/>
  <c r="AP193" i="36"/>
  <c r="AQ193" i="36"/>
  <c r="AK193" i="36"/>
  <c r="AM193" i="36"/>
  <c r="AG193" i="36"/>
  <c r="AH193" i="36"/>
  <c r="AI193" i="36"/>
  <c r="AC193" i="36"/>
  <c r="AD193" i="36"/>
  <c r="AE193" i="36"/>
  <c r="AF193" i="36"/>
  <c r="AO170" i="36"/>
  <c r="AP170" i="36"/>
  <c r="AQ170" i="36"/>
  <c r="AK170" i="36"/>
  <c r="AM170" i="36"/>
  <c r="AN170" i="36"/>
  <c r="AH170" i="36"/>
  <c r="AI170" i="36"/>
  <c r="AC170" i="36"/>
  <c r="AD170" i="36"/>
  <c r="AE170" i="36"/>
  <c r="AF170" i="36"/>
  <c r="AG170" i="36"/>
  <c r="AK75" i="36"/>
  <c r="AM75" i="36"/>
  <c r="AN75" i="36"/>
  <c r="AO75" i="36"/>
  <c r="AP75" i="36"/>
  <c r="AQ75" i="36"/>
  <c r="AC75" i="36"/>
  <c r="AE75" i="36"/>
  <c r="AF75" i="36"/>
  <c r="AG75" i="36"/>
  <c r="AH75" i="36"/>
  <c r="AI75" i="36"/>
  <c r="AK13" i="36"/>
  <c r="AL13" i="36"/>
  <c r="AM13" i="36"/>
  <c r="AO13" i="36"/>
  <c r="AP13" i="36"/>
  <c r="AQ13" i="36"/>
  <c r="AC13" i="36"/>
  <c r="AD13" i="36"/>
  <c r="AH13" i="36"/>
  <c r="AI13" i="36"/>
  <c r="AE13" i="36"/>
  <c r="AG13" i="36"/>
  <c r="AF669" i="36"/>
  <c r="AI664" i="36"/>
  <c r="AE660" i="36"/>
  <c r="AH655" i="36"/>
  <c r="AD651" i="36"/>
  <c r="AG646" i="36"/>
  <c r="AI632" i="36"/>
  <c r="AE628" i="36"/>
  <c r="AH623" i="36"/>
  <c r="AD619" i="36"/>
  <c r="AG614" i="36"/>
  <c r="AI609" i="36"/>
  <c r="AF600" i="36"/>
  <c r="AH595" i="36"/>
  <c r="AE586" i="36"/>
  <c r="AG581" i="36"/>
  <c r="AI576" i="36"/>
  <c r="AD572" i="36"/>
  <c r="AF567" i="36"/>
  <c r="AH562" i="36"/>
  <c r="AC558" i="36"/>
  <c r="AE553" i="36"/>
  <c r="AI543" i="36"/>
  <c r="AD539" i="36"/>
  <c r="AF534" i="36"/>
  <c r="AH529" i="36"/>
  <c r="AE520" i="36"/>
  <c r="AH510" i="36"/>
  <c r="AE501" i="36"/>
  <c r="AG496" i="36"/>
  <c r="AI491" i="36"/>
  <c r="AG486" i="36"/>
  <c r="AI480" i="36"/>
  <c r="AD468" i="36"/>
  <c r="AI461" i="36"/>
  <c r="AE454" i="36"/>
  <c r="AI438" i="36"/>
  <c r="AE422" i="36"/>
  <c r="AF413" i="36"/>
  <c r="AH368" i="36"/>
  <c r="AF350" i="36"/>
  <c r="AD332" i="36"/>
  <c r="AE313" i="36"/>
  <c r="AK663" i="36"/>
  <c r="AL663" i="36"/>
  <c r="AM663" i="36"/>
  <c r="AP663" i="36"/>
  <c r="AQ663" i="36"/>
  <c r="AO663" i="36"/>
  <c r="AO612" i="36"/>
  <c r="AP612" i="36"/>
  <c r="AQ612" i="36"/>
  <c r="AK612" i="36"/>
  <c r="AL612" i="36"/>
  <c r="AM612" i="36"/>
  <c r="AN612" i="36"/>
  <c r="Y572" i="36"/>
  <c r="AK569" i="36"/>
  <c r="AL569" i="36"/>
  <c r="AM569" i="36"/>
  <c r="AN569" i="36"/>
  <c r="AP569" i="36"/>
  <c r="AQ569" i="36"/>
  <c r="AK555" i="36"/>
  <c r="AL555" i="36"/>
  <c r="AM555" i="36"/>
  <c r="AN555" i="36"/>
  <c r="AP555" i="36"/>
  <c r="AQ555" i="36"/>
  <c r="AK512" i="36"/>
  <c r="AL512" i="36"/>
  <c r="AM512" i="36"/>
  <c r="AN512" i="36"/>
  <c r="AP512" i="36"/>
  <c r="AQ512" i="36"/>
  <c r="AK492" i="36"/>
  <c r="AL492" i="36"/>
  <c r="AM492" i="36"/>
  <c r="AN492" i="36"/>
  <c r="AO492" i="36"/>
  <c r="AP492" i="36"/>
  <c r="AQ492" i="36"/>
  <c r="AG492" i="36"/>
  <c r="AK452" i="36"/>
  <c r="AM452" i="36"/>
  <c r="AN452" i="36"/>
  <c r="AO452" i="36"/>
  <c r="AP452" i="36"/>
  <c r="AQ452" i="36"/>
  <c r="AC452" i="36"/>
  <c r="AE452" i="36"/>
  <c r="AF452" i="36"/>
  <c r="AM435" i="36"/>
  <c r="AN435" i="36"/>
  <c r="AO435" i="36"/>
  <c r="AQ435" i="36"/>
  <c r="AK435" i="36"/>
  <c r="AP435" i="36"/>
  <c r="AC435" i="36"/>
  <c r="AE435" i="36"/>
  <c r="AM404" i="36"/>
  <c r="AO404" i="36"/>
  <c r="AP404" i="36"/>
  <c r="AN404" i="36"/>
  <c r="AL404" i="36"/>
  <c r="AQ404" i="36"/>
  <c r="AN390" i="36"/>
  <c r="AO390" i="36"/>
  <c r="AQ390" i="36"/>
  <c r="AL390" i="36"/>
  <c r="AM390" i="36"/>
  <c r="AP390" i="36"/>
  <c r="AD390" i="36"/>
  <c r="AE390" i="36"/>
  <c r="AF390" i="36"/>
  <c r="AG390" i="36"/>
  <c r="AM359" i="36"/>
  <c r="AN359" i="36"/>
  <c r="AO359" i="36"/>
  <c r="AP359" i="36"/>
  <c r="AQ359" i="36"/>
  <c r="AK359" i="36"/>
  <c r="AK342" i="36"/>
  <c r="AM342" i="36"/>
  <c r="AN342" i="36"/>
  <c r="AO342" i="36"/>
  <c r="AP342" i="36"/>
  <c r="AQ342" i="36"/>
  <c r="AC342" i="36"/>
  <c r="AE342" i="36"/>
  <c r="AF342" i="36"/>
  <c r="AG342" i="36"/>
  <c r="AH342" i="36"/>
  <c r="AI342" i="36"/>
  <c r="AK305" i="36"/>
  <c r="AL305" i="36"/>
  <c r="AM305" i="36"/>
  <c r="AN305" i="36"/>
  <c r="AO305" i="36"/>
  <c r="AQ305" i="36"/>
  <c r="AC305" i="36"/>
  <c r="AD305" i="36"/>
  <c r="AE305" i="36"/>
  <c r="AF305" i="36"/>
  <c r="AG305" i="36"/>
  <c r="AI305" i="36"/>
  <c r="AM259" i="36"/>
  <c r="AO259" i="36"/>
  <c r="AP259" i="36"/>
  <c r="AL259" i="36"/>
  <c r="AN259" i="36"/>
  <c r="AQ259" i="36"/>
  <c r="AD259" i="36"/>
  <c r="AE259" i="36"/>
  <c r="AF259" i="36"/>
  <c r="AG259" i="36"/>
  <c r="AH259" i="36"/>
  <c r="AI259" i="36"/>
  <c r="AP236" i="36"/>
  <c r="AQ236" i="36"/>
  <c r="AM236" i="36"/>
  <c r="AO236" i="36"/>
  <c r="AK236" i="36"/>
  <c r="AL236" i="36"/>
  <c r="AG236" i="36"/>
  <c r="AH236" i="36"/>
  <c r="AI236" i="36"/>
  <c r="AC236" i="36"/>
  <c r="AD236" i="36"/>
  <c r="AE236" i="36"/>
  <c r="AK213" i="36"/>
  <c r="AL213" i="36"/>
  <c r="AM213" i="36"/>
  <c r="AO213" i="36"/>
  <c r="AP213" i="36"/>
  <c r="AQ213" i="36"/>
  <c r="AC213" i="36"/>
  <c r="AD213" i="36"/>
  <c r="AE213" i="36"/>
  <c r="AG213" i="36"/>
  <c r="AH213" i="36"/>
  <c r="AI213" i="36"/>
  <c r="AK190" i="36"/>
  <c r="AQ190" i="36"/>
  <c r="AM190" i="36"/>
  <c r="AN190" i="36"/>
  <c r="AO190" i="36"/>
  <c r="AP190" i="36"/>
  <c r="AC190" i="36"/>
  <c r="AD190" i="36"/>
  <c r="AE190" i="36"/>
  <c r="AF190" i="36"/>
  <c r="AG190" i="36"/>
  <c r="AH190" i="36"/>
  <c r="AI190" i="36"/>
  <c r="AK167" i="36"/>
  <c r="AM167" i="36"/>
  <c r="AN167" i="36"/>
  <c r="AO167" i="36"/>
  <c r="AP167" i="36"/>
  <c r="AQ167" i="36"/>
  <c r="AC167" i="36"/>
  <c r="AD167" i="36"/>
  <c r="AE167" i="36"/>
  <c r="AF167" i="36"/>
  <c r="AG167" i="36"/>
  <c r="AH167" i="36"/>
  <c r="AI167" i="36"/>
  <c r="AK144" i="36"/>
  <c r="AM144" i="36"/>
  <c r="AN144" i="36"/>
  <c r="AO144" i="36"/>
  <c r="AP144" i="36"/>
  <c r="AQ144" i="36"/>
  <c r="AC144" i="36"/>
  <c r="AD144" i="36"/>
  <c r="AE144" i="36"/>
  <c r="AF144" i="36"/>
  <c r="AG144" i="36"/>
  <c r="AH144" i="36"/>
  <c r="AI144" i="36"/>
  <c r="AK121" i="36"/>
  <c r="AL121" i="36"/>
  <c r="AM121" i="36"/>
  <c r="AN121" i="36"/>
  <c r="AO121" i="36"/>
  <c r="AP121" i="36"/>
  <c r="AC121" i="36"/>
  <c r="AD121" i="36"/>
  <c r="AE121" i="36"/>
  <c r="AF121" i="36"/>
  <c r="AG121" i="36"/>
  <c r="AH121" i="36"/>
  <c r="AK98" i="36"/>
  <c r="AM98" i="36"/>
  <c r="AN98" i="36"/>
  <c r="AO98" i="36"/>
  <c r="AP98" i="36"/>
  <c r="AQ98" i="36"/>
  <c r="AC98" i="36"/>
  <c r="AE98" i="36"/>
  <c r="AF98" i="36"/>
  <c r="AG98" i="36"/>
  <c r="AH98" i="36"/>
  <c r="AI98" i="36"/>
  <c r="AK58" i="36"/>
  <c r="AM58" i="36"/>
  <c r="AN58" i="36"/>
  <c r="AO58" i="36"/>
  <c r="AP58" i="36"/>
  <c r="AQ58" i="36"/>
  <c r="AG58" i="36"/>
  <c r="AH58" i="36"/>
  <c r="AI58" i="36"/>
  <c r="AF58" i="36"/>
  <c r="AC58" i="36"/>
  <c r="AE58" i="36"/>
  <c r="AK27" i="36"/>
  <c r="AL27" i="36"/>
  <c r="AM27" i="36"/>
  <c r="AQ27" i="36"/>
  <c r="AO27" i="36"/>
  <c r="AP27" i="36"/>
  <c r="AI27" i="36"/>
  <c r="AC27" i="36"/>
  <c r="AD27" i="36"/>
  <c r="AE27" i="36"/>
  <c r="AG27" i="36"/>
  <c r="AH27" i="36"/>
  <c r="AI673" i="36"/>
  <c r="AE669" i="36"/>
  <c r="AH664" i="36"/>
  <c r="AD660" i="36"/>
  <c r="AG655" i="36"/>
  <c r="AC651" i="36"/>
  <c r="AI641" i="36"/>
  <c r="AE637" i="36"/>
  <c r="AH632" i="36"/>
  <c r="AD628" i="36"/>
  <c r="AG623" i="36"/>
  <c r="AF614" i="36"/>
  <c r="AE600" i="36"/>
  <c r="AG595" i="36"/>
  <c r="AI590" i="36"/>
  <c r="AD586" i="36"/>
  <c r="AF581" i="36"/>
  <c r="AH576" i="36"/>
  <c r="AC572" i="36"/>
  <c r="AE567" i="36"/>
  <c r="AI557" i="36"/>
  <c r="AD553" i="36"/>
  <c r="AF548" i="36"/>
  <c r="AH543" i="36"/>
  <c r="AE534" i="36"/>
  <c r="AI524" i="36"/>
  <c r="AE515" i="36"/>
  <c r="AI505" i="36"/>
  <c r="AD501" i="36"/>
  <c r="AF496" i="36"/>
  <c r="AH491" i="36"/>
  <c r="AF486" i="36"/>
  <c r="AH480" i="36"/>
  <c r="AI473" i="36"/>
  <c r="AH461" i="36"/>
  <c r="AI445" i="36"/>
  <c r="AG437" i="36"/>
  <c r="AD422" i="36"/>
  <c r="AE413" i="36"/>
  <c r="AI400" i="36"/>
  <c r="AG386" i="36"/>
  <c r="AG368" i="36"/>
  <c r="AE350" i="36"/>
  <c r="AD313" i="36"/>
  <c r="AQ531" i="36"/>
  <c r="AL531" i="36"/>
  <c r="AM531" i="36"/>
  <c r="AN531" i="36"/>
  <c r="AP531" i="36"/>
  <c r="AK531" i="36"/>
  <c r="AM629" i="36"/>
  <c r="AN629" i="36"/>
  <c r="AO629" i="36"/>
  <c r="AQ629" i="36"/>
  <c r="AK629" i="36"/>
  <c r="AP629" i="36"/>
  <c r="AO609" i="36"/>
  <c r="AQ609" i="36"/>
  <c r="AK609" i="36"/>
  <c r="AL609" i="36"/>
  <c r="AN609" i="36"/>
  <c r="AP609" i="36"/>
  <c r="AM609" i="36"/>
  <c r="AK589" i="36"/>
  <c r="AL589" i="36"/>
  <c r="AN589" i="36"/>
  <c r="AO589" i="36"/>
  <c r="AP589" i="36"/>
  <c r="AM589" i="36"/>
  <c r="AQ589" i="36"/>
  <c r="AN566" i="36"/>
  <c r="AP566" i="36"/>
  <c r="AQ566" i="36"/>
  <c r="AK566" i="36"/>
  <c r="AL566" i="36"/>
  <c r="AM566" i="36"/>
  <c r="AK529" i="36"/>
  <c r="AL529" i="36"/>
  <c r="AM529" i="36"/>
  <c r="AN529" i="36"/>
  <c r="AP529" i="36"/>
  <c r="AQ529" i="36"/>
  <c r="AD529" i="36"/>
  <c r="AK509" i="36"/>
  <c r="AM509" i="36"/>
  <c r="AN509" i="36"/>
  <c r="AL509" i="36"/>
  <c r="AP509" i="36"/>
  <c r="AQ509" i="36"/>
  <c r="AK466" i="36"/>
  <c r="AM466" i="36"/>
  <c r="AL466" i="36"/>
  <c r="AN466" i="36"/>
  <c r="AO466" i="36"/>
  <c r="AP466" i="36"/>
  <c r="AC466" i="36"/>
  <c r="AD466" i="36"/>
  <c r="AQ449" i="36"/>
  <c r="AK449" i="36"/>
  <c r="AM449" i="36"/>
  <c r="AN449" i="36"/>
  <c r="AO449" i="36"/>
  <c r="AP449" i="36"/>
  <c r="AC449" i="36"/>
  <c r="AL421" i="36"/>
  <c r="AM421" i="36"/>
  <c r="AN421" i="36"/>
  <c r="AO421" i="36"/>
  <c r="AP421" i="36"/>
  <c r="AQ421" i="36"/>
  <c r="AD421" i="36"/>
  <c r="AE421" i="36"/>
  <c r="AF421" i="36"/>
  <c r="AG421" i="36"/>
  <c r="AO387" i="36"/>
  <c r="AQ387" i="36"/>
  <c r="AK387" i="36"/>
  <c r="AL387" i="36"/>
  <c r="AM387" i="36"/>
  <c r="AN387" i="36"/>
  <c r="AF387" i="36"/>
  <c r="AG387" i="36"/>
  <c r="AI387" i="36"/>
  <c r="AK373" i="36"/>
  <c r="AM373" i="36"/>
  <c r="AN373" i="36"/>
  <c r="AO373" i="36"/>
  <c r="AP373" i="36"/>
  <c r="AQ373" i="36"/>
  <c r="AH373" i="36"/>
  <c r="AI373" i="36"/>
  <c r="AK302" i="36"/>
  <c r="AL302" i="36"/>
  <c r="AM302" i="36"/>
  <c r="AN302" i="36"/>
  <c r="AO302" i="36"/>
  <c r="AP302" i="36"/>
  <c r="AQ302" i="36"/>
  <c r="AC302" i="36"/>
  <c r="AD302" i="36"/>
  <c r="AE302" i="36"/>
  <c r="AF302" i="36"/>
  <c r="AG302" i="36"/>
  <c r="AH302" i="36"/>
  <c r="AI302" i="36"/>
  <c r="AL282" i="36"/>
  <c r="AM282" i="36"/>
  <c r="AP282" i="36"/>
  <c r="AQ282" i="36"/>
  <c r="AN282" i="36"/>
  <c r="AO282" i="36"/>
  <c r="AD282" i="36"/>
  <c r="AE282" i="36"/>
  <c r="AF282" i="36"/>
  <c r="AG282" i="36"/>
  <c r="AH282" i="36"/>
  <c r="AI282" i="36"/>
  <c r="AK187" i="36"/>
  <c r="AM187" i="36"/>
  <c r="AN187" i="36"/>
  <c r="AO187" i="36"/>
  <c r="AQ187" i="36"/>
  <c r="AP187" i="36"/>
  <c r="AE187" i="36"/>
  <c r="AF187" i="36"/>
  <c r="AG187" i="36"/>
  <c r="AH187" i="36"/>
  <c r="AI187" i="36"/>
  <c r="AC187" i="36"/>
  <c r="AD187" i="36"/>
  <c r="AK164" i="36"/>
  <c r="AM164" i="36"/>
  <c r="AN164" i="36"/>
  <c r="AO164" i="36"/>
  <c r="AP164" i="36"/>
  <c r="AQ164" i="36"/>
  <c r="AC164" i="36"/>
  <c r="AD164" i="36"/>
  <c r="AE164" i="36"/>
  <c r="AF164" i="36"/>
  <c r="AG164" i="36"/>
  <c r="AH164" i="36"/>
  <c r="AI164" i="36"/>
  <c r="AK141" i="36"/>
  <c r="AM141" i="36"/>
  <c r="AN141" i="36"/>
  <c r="AO141" i="36"/>
  <c r="AP141" i="36"/>
  <c r="AQ141" i="36"/>
  <c r="AC141" i="36"/>
  <c r="AD141" i="36"/>
  <c r="AE141" i="36"/>
  <c r="AF141" i="36"/>
  <c r="AG141" i="36"/>
  <c r="AH141" i="36"/>
  <c r="AI141" i="36"/>
  <c r="AK118" i="36"/>
  <c r="AM118" i="36"/>
  <c r="AN118" i="36"/>
  <c r="AO118" i="36"/>
  <c r="AP118" i="36"/>
  <c r="AQ118" i="36"/>
  <c r="AC118" i="36"/>
  <c r="AE118" i="36"/>
  <c r="AF118" i="36"/>
  <c r="AG118" i="36"/>
  <c r="AH118" i="36"/>
  <c r="AI118" i="36"/>
  <c r="AK95" i="36"/>
  <c r="AM95" i="36"/>
  <c r="AN95" i="36"/>
  <c r="AO95" i="36"/>
  <c r="AP95" i="36"/>
  <c r="AQ95" i="36"/>
  <c r="AF95" i="36"/>
  <c r="AG95" i="36"/>
  <c r="AH95" i="36"/>
  <c r="AI95" i="36"/>
  <c r="AC95" i="36"/>
  <c r="AE95" i="36"/>
  <c r="AK72" i="36"/>
  <c r="AM72" i="36"/>
  <c r="AN72" i="36"/>
  <c r="AO72" i="36"/>
  <c r="AP72" i="36"/>
  <c r="AQ72" i="36"/>
  <c r="AC72" i="36"/>
  <c r="AE72" i="36"/>
  <c r="AF72" i="36"/>
  <c r="AG72" i="36"/>
  <c r="AH72" i="36"/>
  <c r="AI72" i="36"/>
  <c r="AK55" i="36"/>
  <c r="AM55" i="36"/>
  <c r="AN55" i="36"/>
  <c r="AO55" i="36"/>
  <c r="AQ55" i="36"/>
  <c r="AP55" i="36"/>
  <c r="AC55" i="36"/>
  <c r="AE55" i="36"/>
  <c r="AF55" i="36"/>
  <c r="AG55" i="36"/>
  <c r="AH55" i="36"/>
  <c r="AI55" i="36"/>
  <c r="AL41" i="36"/>
  <c r="AM41" i="36"/>
  <c r="AN41" i="36"/>
  <c r="AO41" i="36"/>
  <c r="AP41" i="36"/>
  <c r="AQ41" i="36"/>
  <c r="AD41" i="36"/>
  <c r="AE41" i="36"/>
  <c r="AF41" i="36"/>
  <c r="AG41" i="36"/>
  <c r="AH41" i="36"/>
  <c r="AI41" i="36"/>
  <c r="AH673" i="36"/>
  <c r="AD669" i="36"/>
  <c r="AG664" i="36"/>
  <c r="AI650" i="36"/>
  <c r="AE646" i="36"/>
  <c r="AH641" i="36"/>
  <c r="AD637" i="36"/>
  <c r="AG632" i="36"/>
  <c r="AF623" i="36"/>
  <c r="AI618" i="36"/>
  <c r="AE614" i="36"/>
  <c r="AG609" i="36"/>
  <c r="AI604" i="36"/>
  <c r="AF595" i="36"/>
  <c r="AH590" i="36"/>
  <c r="AE581" i="36"/>
  <c r="AG576" i="36"/>
  <c r="AI571" i="36"/>
  <c r="AD567" i="36"/>
  <c r="AF562" i="36"/>
  <c r="AH557" i="36"/>
  <c r="AE548" i="36"/>
  <c r="AI538" i="36"/>
  <c r="AD534" i="36"/>
  <c r="AF529" i="36"/>
  <c r="AH524" i="36"/>
  <c r="AI519" i="36"/>
  <c r="AD515" i="36"/>
  <c r="AF510" i="36"/>
  <c r="AH505" i="36"/>
  <c r="AE496" i="36"/>
  <c r="AG491" i="36"/>
  <c r="AE486" i="36"/>
  <c r="AG480" i="36"/>
  <c r="AH473" i="36"/>
  <c r="AF460" i="36"/>
  <c r="AH445" i="36"/>
  <c r="AF437" i="36"/>
  <c r="AI430" i="36"/>
  <c r="AD413" i="36"/>
  <c r="AH400" i="36"/>
  <c r="AF386" i="36"/>
  <c r="AF368" i="36"/>
  <c r="AI331" i="36"/>
  <c r="AL665" i="36"/>
  <c r="AM665" i="36"/>
  <c r="AN665" i="36"/>
  <c r="AO665" i="36"/>
  <c r="AP665" i="36"/>
  <c r="AQ665" i="36"/>
  <c r="AK649" i="36"/>
  <c r="AL649" i="36"/>
  <c r="AM649" i="36"/>
  <c r="AO649" i="36"/>
  <c r="AP649" i="36"/>
  <c r="AQ649" i="36"/>
  <c r="AO606" i="36"/>
  <c r="AP606" i="36"/>
  <c r="AK606" i="36"/>
  <c r="AL606" i="36"/>
  <c r="AI606" i="36"/>
  <c r="AM606" i="36"/>
  <c r="AN606" i="36"/>
  <c r="AM552" i="36"/>
  <c r="AN552" i="36"/>
  <c r="AP552" i="36"/>
  <c r="AQ552" i="36"/>
  <c r="AK552" i="36"/>
  <c r="AL552" i="36"/>
  <c r="AC552" i="36"/>
  <c r="AK489" i="36"/>
  <c r="AL489" i="36"/>
  <c r="AM489" i="36"/>
  <c r="AN489" i="36"/>
  <c r="AO489" i="36"/>
  <c r="AP489" i="36"/>
  <c r="AQ489" i="36"/>
  <c r="AC489" i="36"/>
  <c r="AK356" i="36"/>
  <c r="AN356" i="36"/>
  <c r="AO356" i="36"/>
  <c r="AM356" i="36"/>
  <c r="AP356" i="36"/>
  <c r="AQ356" i="36"/>
  <c r="AC356" i="36"/>
  <c r="AE356" i="36"/>
  <c r="AF356" i="36"/>
  <c r="AG356" i="36"/>
  <c r="AH356" i="36"/>
  <c r="AI356" i="36"/>
  <c r="AP339" i="36"/>
  <c r="AO339" i="36"/>
  <c r="AK339" i="36"/>
  <c r="AM339" i="36"/>
  <c r="AN339" i="36"/>
  <c r="AQ339" i="36"/>
  <c r="AC339" i="36"/>
  <c r="AE339" i="36"/>
  <c r="AF339" i="36"/>
  <c r="AG339" i="36"/>
  <c r="AH339" i="36"/>
  <c r="AI339" i="36"/>
  <c r="AK322" i="36"/>
  <c r="AN322" i="36"/>
  <c r="AO322" i="36"/>
  <c r="AQ322" i="36"/>
  <c r="AL322" i="36"/>
  <c r="AM322" i="36"/>
  <c r="AG322" i="36"/>
  <c r="Y302" i="36"/>
  <c r="AK299" i="36"/>
  <c r="AL299" i="36"/>
  <c r="AM299" i="36"/>
  <c r="AN299" i="36"/>
  <c r="AO299" i="36"/>
  <c r="AP299" i="36"/>
  <c r="AQ299" i="36"/>
  <c r="AH299" i="36"/>
  <c r="AG299" i="36"/>
  <c r="AI299" i="36"/>
  <c r="AD299" i="36"/>
  <c r="AE299" i="36"/>
  <c r="AF299" i="36"/>
  <c r="AL279" i="36"/>
  <c r="AM279" i="36"/>
  <c r="AN279" i="36"/>
  <c r="AO279" i="36"/>
  <c r="AP279" i="36"/>
  <c r="AQ279" i="36"/>
  <c r="AD279" i="36"/>
  <c r="AE279" i="36"/>
  <c r="AF279" i="36"/>
  <c r="AG279" i="36"/>
  <c r="AH279" i="36"/>
  <c r="AI279" i="36"/>
  <c r="AL256" i="36"/>
  <c r="AM256" i="36"/>
  <c r="AN256" i="36"/>
  <c r="AO256" i="36"/>
  <c r="AP256" i="36"/>
  <c r="AQ256" i="36"/>
  <c r="AD256" i="36"/>
  <c r="AE256" i="36"/>
  <c r="AF256" i="36"/>
  <c r="AG256" i="36"/>
  <c r="AH256" i="36"/>
  <c r="AI256" i="36"/>
  <c r="AK233" i="36"/>
  <c r="AL233" i="36"/>
  <c r="AM233" i="36"/>
  <c r="AO233" i="36"/>
  <c r="AP233" i="36"/>
  <c r="AQ233" i="36"/>
  <c r="AC233" i="36"/>
  <c r="AD233" i="36"/>
  <c r="AE233" i="36"/>
  <c r="AG233" i="36"/>
  <c r="AH233" i="36"/>
  <c r="AI233" i="36"/>
  <c r="AK210" i="36"/>
  <c r="AN210" i="36"/>
  <c r="AO210" i="36"/>
  <c r="AQ210" i="36"/>
  <c r="AM210" i="36"/>
  <c r="AP210" i="36"/>
  <c r="AC210" i="36"/>
  <c r="AD210" i="36"/>
  <c r="AE210" i="36"/>
  <c r="AF210" i="36"/>
  <c r="AG210" i="36"/>
  <c r="AH210" i="36"/>
  <c r="AI210" i="36"/>
  <c r="AP115" i="36"/>
  <c r="AQ115" i="36"/>
  <c r="AK115" i="36"/>
  <c r="AM115" i="36"/>
  <c r="AN115" i="36"/>
  <c r="AO115" i="36"/>
  <c r="AI115" i="36"/>
  <c r="AC115" i="36"/>
  <c r="AE115" i="36"/>
  <c r="AF115" i="36"/>
  <c r="AG115" i="36"/>
  <c r="AH115" i="36"/>
  <c r="AQ92" i="36"/>
  <c r="AK92" i="36"/>
  <c r="AM92" i="36"/>
  <c r="AN92" i="36"/>
  <c r="AO92" i="36"/>
  <c r="AP92" i="36"/>
  <c r="AG92" i="36"/>
  <c r="AH92" i="36"/>
  <c r="AI92" i="36"/>
  <c r="AC92" i="36"/>
  <c r="AE92" i="36"/>
  <c r="AF92" i="36"/>
  <c r="AM24" i="36"/>
  <c r="AO24" i="36"/>
  <c r="AP24" i="36"/>
  <c r="AQ24" i="36"/>
  <c r="AK24" i="36"/>
  <c r="AL24" i="36"/>
  <c r="AC24" i="36"/>
  <c r="AD24" i="36"/>
  <c r="AE24" i="36"/>
  <c r="AG24" i="36"/>
  <c r="AH24" i="36"/>
  <c r="AI24" i="36"/>
  <c r="AO10" i="36"/>
  <c r="AP10" i="36"/>
  <c r="AQ10" i="36"/>
  <c r="AK10" i="36"/>
  <c r="AL10" i="36"/>
  <c r="AM10" i="36"/>
  <c r="AC10" i="36"/>
  <c r="AD10" i="36"/>
  <c r="AE10" i="36"/>
  <c r="AG10" i="36"/>
  <c r="AH10" i="36"/>
  <c r="AI10" i="36"/>
  <c r="AG673" i="36"/>
  <c r="AC669" i="36"/>
  <c r="AF664" i="36"/>
  <c r="AI659" i="36"/>
  <c r="AE655" i="36"/>
  <c r="AH650" i="36"/>
  <c r="AG641" i="36"/>
  <c r="AF632" i="36"/>
  <c r="AI627" i="36"/>
  <c r="AE623" i="36"/>
  <c r="AH618" i="36"/>
  <c r="AD614" i="36"/>
  <c r="AF609" i="36"/>
  <c r="AH604" i="36"/>
  <c r="AE595" i="36"/>
  <c r="AG590" i="36"/>
  <c r="AI585" i="36"/>
  <c r="AD581" i="36"/>
  <c r="AF576" i="36"/>
  <c r="AH571" i="36"/>
  <c r="AE562" i="36"/>
  <c r="AI552" i="36"/>
  <c r="AD548" i="36"/>
  <c r="AF543" i="36"/>
  <c r="AH538" i="36"/>
  <c r="AE529" i="36"/>
  <c r="AF524" i="36"/>
  <c r="AH519" i="36"/>
  <c r="AC515" i="36"/>
  <c r="AE510" i="36"/>
  <c r="AG505" i="36"/>
  <c r="AI500" i="36"/>
  <c r="AD496" i="36"/>
  <c r="AF491" i="36"/>
  <c r="AF480" i="36"/>
  <c r="AG473" i="36"/>
  <c r="AH467" i="36"/>
  <c r="AE460" i="36"/>
  <c r="AI453" i="36"/>
  <c r="AG445" i="36"/>
  <c r="AE437" i="36"/>
  <c r="AI421" i="36"/>
  <c r="AI412" i="36"/>
  <c r="AG400" i="36"/>
  <c r="AE386" i="36"/>
  <c r="AE368" i="36"/>
  <c r="AI312" i="36"/>
  <c r="AL666" i="36"/>
  <c r="AM666" i="36"/>
  <c r="AN666" i="36"/>
  <c r="AO666" i="36"/>
  <c r="AP666" i="36"/>
  <c r="AQ666" i="36"/>
  <c r="AK660" i="36"/>
  <c r="AL660" i="36"/>
  <c r="AM660" i="36"/>
  <c r="AO660" i="36"/>
  <c r="AP660" i="36"/>
  <c r="AQ660" i="36"/>
  <c r="AL646" i="36"/>
  <c r="AO646" i="36"/>
  <c r="AK646" i="36"/>
  <c r="AM646" i="36"/>
  <c r="AP646" i="36"/>
  <c r="AQ646" i="36"/>
  <c r="AK626" i="36"/>
  <c r="AM626" i="36"/>
  <c r="AN626" i="36"/>
  <c r="AO626" i="36"/>
  <c r="AP626" i="36"/>
  <c r="AQ626" i="36"/>
  <c r="AP586" i="36"/>
  <c r="AQ586" i="36"/>
  <c r="AK586" i="36"/>
  <c r="AL586" i="36"/>
  <c r="AM586" i="36"/>
  <c r="AN586" i="36"/>
  <c r="AO586" i="36"/>
  <c r="AQ563" i="36"/>
  <c r="AK563" i="36"/>
  <c r="AL563" i="36"/>
  <c r="AM563" i="36"/>
  <c r="AN563" i="36"/>
  <c r="AP563" i="36"/>
  <c r="AK549" i="36"/>
  <c r="AL549" i="36"/>
  <c r="AM549" i="36"/>
  <c r="AN549" i="36"/>
  <c r="AQ549" i="36"/>
  <c r="AP549" i="36"/>
  <c r="AK526" i="36"/>
  <c r="AL526" i="36"/>
  <c r="AM526" i="36"/>
  <c r="AN526" i="36"/>
  <c r="AP526" i="36"/>
  <c r="AQ526" i="36"/>
  <c r="AK506" i="36"/>
  <c r="AL506" i="36"/>
  <c r="AM506" i="36"/>
  <c r="AO506" i="36"/>
  <c r="AP506" i="36"/>
  <c r="AQ506" i="36"/>
  <c r="AE506" i="36"/>
  <c r="AO486" i="36"/>
  <c r="AQ486" i="36"/>
  <c r="AK486" i="36"/>
  <c r="AM486" i="36"/>
  <c r="AL486" i="36"/>
  <c r="AN486" i="36"/>
  <c r="AP486" i="36"/>
  <c r="AP463" i="36"/>
  <c r="AK463" i="36"/>
  <c r="AL463" i="36"/>
  <c r="AM463" i="36"/>
  <c r="AN463" i="36"/>
  <c r="AO463" i="36"/>
  <c r="AK432" i="36"/>
  <c r="AM432" i="36"/>
  <c r="AN432" i="36"/>
  <c r="AO432" i="36"/>
  <c r="AP432" i="36"/>
  <c r="AQ432" i="36"/>
  <c r="AM418" i="36"/>
  <c r="AN418" i="36"/>
  <c r="AL418" i="36"/>
  <c r="AO418" i="36"/>
  <c r="AP418" i="36"/>
  <c r="AQ418" i="36"/>
  <c r="AL401" i="36"/>
  <c r="AM401" i="36"/>
  <c r="AN401" i="36"/>
  <c r="AO401" i="36"/>
  <c r="AP401" i="36"/>
  <c r="AQ401" i="36"/>
  <c r="AD401" i="36"/>
  <c r="AE401" i="36"/>
  <c r="AF401" i="36"/>
  <c r="AG401" i="36"/>
  <c r="AH401" i="36"/>
  <c r="AI401" i="36"/>
  <c r="AK384" i="36"/>
  <c r="AM384" i="36"/>
  <c r="AQ384" i="36"/>
  <c r="AL384" i="36"/>
  <c r="AN384" i="36"/>
  <c r="AO384" i="36"/>
  <c r="AC384" i="36"/>
  <c r="AD384" i="36"/>
  <c r="AE384" i="36"/>
  <c r="AF384" i="36"/>
  <c r="AG384" i="36"/>
  <c r="AI384" i="36"/>
  <c r="AO370" i="36"/>
  <c r="AQ370" i="36"/>
  <c r="AK370" i="36"/>
  <c r="AM370" i="36"/>
  <c r="AN370" i="36"/>
  <c r="AP370" i="36"/>
  <c r="AC370" i="36"/>
  <c r="AE370" i="36"/>
  <c r="AF370" i="36"/>
  <c r="AG370" i="36"/>
  <c r="AH370" i="36"/>
  <c r="AI370" i="36"/>
  <c r="AK319" i="36"/>
  <c r="AM319" i="36"/>
  <c r="AN319" i="36"/>
  <c r="AQ319" i="36"/>
  <c r="AL319" i="36"/>
  <c r="AO319" i="36"/>
  <c r="AC319" i="36"/>
  <c r="AD319" i="36"/>
  <c r="AE319" i="36"/>
  <c r="AF319" i="36"/>
  <c r="AG319" i="36"/>
  <c r="AI319" i="36"/>
  <c r="AL276" i="36"/>
  <c r="AM276" i="36"/>
  <c r="AP276" i="36"/>
  <c r="AO276" i="36"/>
  <c r="AQ276" i="36"/>
  <c r="AN276" i="36"/>
  <c r="AE276" i="36"/>
  <c r="AG276" i="36"/>
  <c r="AH276" i="36"/>
  <c r="AI276" i="36"/>
  <c r="AD276" i="36"/>
  <c r="AF276" i="36"/>
  <c r="AK253" i="36"/>
  <c r="AL253" i="36"/>
  <c r="AM253" i="36"/>
  <c r="AN253" i="36"/>
  <c r="AQ253" i="36"/>
  <c r="AO253" i="36"/>
  <c r="AC253" i="36"/>
  <c r="AD253" i="36"/>
  <c r="AE253" i="36"/>
  <c r="AF253" i="36"/>
  <c r="AG253" i="36"/>
  <c r="AI253" i="36"/>
  <c r="AK230" i="36"/>
  <c r="AL230" i="36"/>
  <c r="AM230" i="36"/>
  <c r="AO230" i="36"/>
  <c r="AP230" i="36"/>
  <c r="AQ230" i="36"/>
  <c r="AD230" i="36"/>
  <c r="AE230" i="36"/>
  <c r="AG230" i="36"/>
  <c r="AH230" i="36"/>
  <c r="AI230" i="36"/>
  <c r="AC230" i="36"/>
  <c r="AM207" i="36"/>
  <c r="AN207" i="36"/>
  <c r="AO207" i="36"/>
  <c r="AP207" i="36"/>
  <c r="AK207" i="36"/>
  <c r="AQ207" i="36"/>
  <c r="AE207" i="36"/>
  <c r="AF207" i="36"/>
  <c r="AG207" i="36"/>
  <c r="AH207" i="36"/>
  <c r="AI207" i="36"/>
  <c r="AC207" i="36"/>
  <c r="AD207" i="36"/>
  <c r="AM184" i="36"/>
  <c r="AN184" i="36"/>
  <c r="AO184" i="36"/>
  <c r="AP184" i="36"/>
  <c r="AQ184" i="36"/>
  <c r="AK184" i="36"/>
  <c r="AF184" i="36"/>
  <c r="AG184" i="36"/>
  <c r="AH184" i="36"/>
  <c r="AI184" i="36"/>
  <c r="AC184" i="36"/>
  <c r="AD184" i="36"/>
  <c r="AE184" i="36"/>
  <c r="AN161" i="36"/>
  <c r="AO161" i="36"/>
  <c r="AP161" i="36"/>
  <c r="AQ161" i="36"/>
  <c r="AK161" i="36"/>
  <c r="AM161" i="36"/>
  <c r="AG161" i="36"/>
  <c r="AH161" i="36"/>
  <c r="AI161" i="36"/>
  <c r="AC161" i="36"/>
  <c r="AD161" i="36"/>
  <c r="AE161" i="36"/>
  <c r="AF161" i="36"/>
  <c r="AO138" i="36"/>
  <c r="AP138" i="36"/>
  <c r="AQ138" i="36"/>
  <c r="AK138" i="36"/>
  <c r="AM138" i="36"/>
  <c r="AN138" i="36"/>
  <c r="AH138" i="36"/>
  <c r="AI138" i="36"/>
  <c r="AD138" i="36"/>
  <c r="AE138" i="36"/>
  <c r="AF138" i="36"/>
  <c r="AG138" i="36"/>
  <c r="AC138" i="36"/>
  <c r="AN69" i="36"/>
  <c r="AO69" i="36"/>
  <c r="AP69" i="36"/>
  <c r="AQ69" i="36"/>
  <c r="AK69" i="36"/>
  <c r="AM69" i="36"/>
  <c r="AC69" i="36"/>
  <c r="AE69" i="36"/>
  <c r="AF69" i="36"/>
  <c r="AG69" i="36"/>
  <c r="AH69" i="36"/>
  <c r="AI69" i="36"/>
  <c r="AK52" i="36"/>
  <c r="AM52" i="36"/>
  <c r="AN52" i="36"/>
  <c r="AO52" i="36"/>
  <c r="AP52" i="36"/>
  <c r="AQ52" i="36"/>
  <c r="AC52" i="36"/>
  <c r="AE52" i="36"/>
  <c r="AF52" i="36"/>
  <c r="AG52" i="36"/>
  <c r="AH52" i="36"/>
  <c r="AI52" i="36"/>
  <c r="AK38" i="36"/>
  <c r="AL38" i="36"/>
  <c r="AM38" i="36"/>
  <c r="AN38" i="36"/>
  <c r="AP38" i="36"/>
  <c r="AQ38" i="36"/>
  <c r="AD38" i="36"/>
  <c r="AE38" i="36"/>
  <c r="AF38" i="36"/>
  <c r="AH38" i="36"/>
  <c r="AI38" i="36"/>
  <c r="AC38" i="36"/>
  <c r="AK7" i="36"/>
  <c r="AL7" i="36"/>
  <c r="AM7" i="36"/>
  <c r="AO7" i="36"/>
  <c r="AP7" i="36"/>
  <c r="AQ7" i="36"/>
  <c r="AC7" i="36"/>
  <c r="AD7" i="36"/>
  <c r="AE7" i="36"/>
  <c r="AG7" i="36"/>
  <c r="AH7" i="36"/>
  <c r="AI7" i="36"/>
  <c r="AF673" i="36"/>
  <c r="AI668" i="36"/>
  <c r="AE664" i="36"/>
  <c r="AH659" i="36"/>
  <c r="AD655" i="36"/>
  <c r="AG650" i="36"/>
  <c r="AC646" i="36"/>
  <c r="AI636" i="36"/>
  <c r="AE632" i="36"/>
  <c r="AH627" i="36"/>
  <c r="AG618" i="36"/>
  <c r="AE609" i="36"/>
  <c r="AG604" i="36"/>
  <c r="AI599" i="36"/>
  <c r="AF590" i="36"/>
  <c r="AH585" i="36"/>
  <c r="AC581" i="36"/>
  <c r="AE576" i="36"/>
  <c r="AI566" i="36"/>
  <c r="AD562" i="36"/>
  <c r="AF557" i="36"/>
  <c r="AH552" i="36"/>
  <c r="AE543" i="36"/>
  <c r="AI533" i="36"/>
  <c r="AC529" i="36"/>
  <c r="AE524" i="36"/>
  <c r="AI514" i="36"/>
  <c r="AD510" i="36"/>
  <c r="AH500" i="36"/>
  <c r="AE491" i="36"/>
  <c r="AC486" i="36"/>
  <c r="AE480" i="36"/>
  <c r="AF473" i="36"/>
  <c r="AG467" i="36"/>
  <c r="AF445" i="36"/>
  <c r="AF428" i="36"/>
  <c r="AH421" i="36"/>
  <c r="AH412" i="36"/>
  <c r="AF400" i="36"/>
  <c r="AI349" i="36"/>
  <c r="AG331" i="36"/>
  <c r="AH312" i="36"/>
  <c r="AK643" i="36"/>
  <c r="AL643" i="36"/>
  <c r="AM643" i="36"/>
  <c r="AO643" i="36"/>
  <c r="AP643" i="36"/>
  <c r="AQ643" i="36"/>
  <c r="AM623" i="36"/>
  <c r="AO623" i="36"/>
  <c r="AP623" i="36"/>
  <c r="AK623" i="36"/>
  <c r="AN623" i="36"/>
  <c r="AQ623" i="36"/>
  <c r="AP603" i="36"/>
  <c r="AQ603" i="36"/>
  <c r="AK603" i="36"/>
  <c r="AM603" i="36"/>
  <c r="AN603" i="36"/>
  <c r="AO603" i="36"/>
  <c r="AK546" i="36"/>
  <c r="AL546" i="36"/>
  <c r="AM546" i="36"/>
  <c r="AN546" i="36"/>
  <c r="AP546" i="36"/>
  <c r="AQ546" i="36"/>
  <c r="AK523" i="36"/>
  <c r="AL523" i="36"/>
  <c r="AM523" i="36"/>
  <c r="AN523" i="36"/>
  <c r="AP523" i="36"/>
  <c r="AQ523" i="36"/>
  <c r="AK503" i="36"/>
  <c r="AL503" i="36"/>
  <c r="AM503" i="36"/>
  <c r="AO503" i="36"/>
  <c r="AP503" i="36"/>
  <c r="AQ503" i="36"/>
  <c r="AK483" i="36"/>
  <c r="AL483" i="36"/>
  <c r="AM483" i="36"/>
  <c r="AN483" i="36"/>
  <c r="AO483" i="36"/>
  <c r="AP483" i="36"/>
  <c r="AQ483" i="36"/>
  <c r="AF483" i="36"/>
  <c r="AG483" i="36"/>
  <c r="AH483" i="36"/>
  <c r="AI483" i="36"/>
  <c r="AK446" i="36"/>
  <c r="AM446" i="36"/>
  <c r="AN446" i="36"/>
  <c r="AO446" i="36"/>
  <c r="AP446" i="36"/>
  <c r="AQ446" i="36"/>
  <c r="AI446" i="36"/>
  <c r="AL415" i="36"/>
  <c r="AM415" i="36"/>
  <c r="AN415" i="36"/>
  <c r="AO415" i="36"/>
  <c r="AQ415" i="36"/>
  <c r="AP415" i="36"/>
  <c r="AC415" i="36"/>
  <c r="AD415" i="36"/>
  <c r="AE415" i="36"/>
  <c r="AF415" i="36"/>
  <c r="AG415" i="36"/>
  <c r="AH415" i="36"/>
  <c r="AI415" i="36"/>
  <c r="AL381" i="36"/>
  <c r="AM381" i="36"/>
  <c r="AK381" i="36"/>
  <c r="AN381" i="36"/>
  <c r="AQ381" i="36"/>
  <c r="AO381" i="36"/>
  <c r="AC381" i="36"/>
  <c r="AD381" i="36"/>
  <c r="AE381" i="36"/>
  <c r="AF381" i="36"/>
  <c r="AN353" i="36"/>
  <c r="AP353" i="36"/>
  <c r="AQ353" i="36"/>
  <c r="AK353" i="36"/>
  <c r="AM353" i="36"/>
  <c r="AO353" i="36"/>
  <c r="AC353" i="36"/>
  <c r="AE353" i="36"/>
  <c r="AF353" i="36"/>
  <c r="AG353" i="36"/>
  <c r="AH353" i="36"/>
  <c r="AI353" i="36"/>
  <c r="AK296" i="36"/>
  <c r="AL296" i="36"/>
  <c r="AM296" i="36"/>
  <c r="AN296" i="36"/>
  <c r="AO296" i="36"/>
  <c r="AP296" i="36"/>
  <c r="AQ296" i="36"/>
  <c r="AC296" i="36"/>
  <c r="AD296" i="36"/>
  <c r="AE296" i="36"/>
  <c r="AF296" i="36"/>
  <c r="AG296" i="36"/>
  <c r="AH296" i="36"/>
  <c r="AI296" i="36"/>
  <c r="AK227" i="36"/>
  <c r="AL227" i="36"/>
  <c r="AM227" i="36"/>
  <c r="AO227" i="36"/>
  <c r="AP227" i="36"/>
  <c r="AQ227" i="36"/>
  <c r="AC227" i="36"/>
  <c r="AD227" i="36"/>
  <c r="AE227" i="36"/>
  <c r="AG227" i="36"/>
  <c r="AH227" i="36"/>
  <c r="AI227" i="36"/>
  <c r="AK204" i="36"/>
  <c r="AM204" i="36"/>
  <c r="AN204" i="36"/>
  <c r="AO204" i="36"/>
  <c r="AP204" i="36"/>
  <c r="AQ204" i="36"/>
  <c r="AC204" i="36"/>
  <c r="AD204" i="36"/>
  <c r="AE204" i="36"/>
  <c r="AF204" i="36"/>
  <c r="AG204" i="36"/>
  <c r="AH204" i="36"/>
  <c r="AI204" i="36"/>
  <c r="AK181" i="36"/>
  <c r="AM181" i="36"/>
  <c r="AN181" i="36"/>
  <c r="AO181" i="36"/>
  <c r="AP181" i="36"/>
  <c r="AQ181" i="36"/>
  <c r="AG181" i="36"/>
  <c r="AH181" i="36"/>
  <c r="AI181" i="36"/>
  <c r="AC181" i="36"/>
  <c r="AD181" i="36"/>
  <c r="AE181" i="36"/>
  <c r="AF181" i="36"/>
  <c r="AM158" i="36"/>
  <c r="AN158" i="36"/>
  <c r="AO158" i="36"/>
  <c r="AP158" i="36"/>
  <c r="AQ158" i="36"/>
  <c r="AK158" i="36"/>
  <c r="AC158" i="36"/>
  <c r="AD158" i="36"/>
  <c r="AE158" i="36"/>
  <c r="AF158" i="36"/>
  <c r="AG158" i="36"/>
  <c r="AH158" i="36"/>
  <c r="AI158" i="36"/>
  <c r="AK135" i="36"/>
  <c r="AO135" i="36"/>
  <c r="AP135" i="36"/>
  <c r="AQ135" i="36"/>
  <c r="AM135" i="36"/>
  <c r="AN135" i="36"/>
  <c r="AC135" i="36"/>
  <c r="AD135" i="36"/>
  <c r="AE135" i="36"/>
  <c r="AF135" i="36"/>
  <c r="AG135" i="36"/>
  <c r="AH135" i="36"/>
  <c r="AI135" i="36"/>
  <c r="AK112" i="36"/>
  <c r="AM112" i="36"/>
  <c r="AN112" i="36"/>
  <c r="AQ112" i="36"/>
  <c r="AO112" i="36"/>
  <c r="AP112" i="36"/>
  <c r="AC112" i="36"/>
  <c r="AE112" i="36"/>
  <c r="AF112" i="36"/>
  <c r="AG112" i="36"/>
  <c r="AH112" i="36"/>
  <c r="AI112" i="36"/>
  <c r="AK89" i="36"/>
  <c r="AM89" i="36"/>
  <c r="AN89" i="36"/>
  <c r="AO89" i="36"/>
  <c r="AP89" i="36"/>
  <c r="AQ89" i="36"/>
  <c r="AC89" i="36"/>
  <c r="AF89" i="36"/>
  <c r="AG89" i="36"/>
  <c r="AH89" i="36"/>
  <c r="AI89" i="36"/>
  <c r="AE89" i="36"/>
  <c r="AK21" i="36"/>
  <c r="AL21" i="36"/>
  <c r="AM21" i="36"/>
  <c r="AO21" i="36"/>
  <c r="AP21" i="36"/>
  <c r="AQ21" i="36"/>
  <c r="AC21" i="36"/>
  <c r="AD21" i="36"/>
  <c r="AE21" i="36"/>
  <c r="AG21" i="36"/>
  <c r="AH21" i="36"/>
  <c r="AI21" i="36"/>
  <c r="AE673" i="36"/>
  <c r="AH668" i="36"/>
  <c r="AD664" i="36"/>
  <c r="AG659" i="36"/>
  <c r="AC655" i="36"/>
  <c r="AI645" i="36"/>
  <c r="AE641" i="36"/>
  <c r="AH636" i="36"/>
  <c r="AD632" i="36"/>
  <c r="AG627" i="36"/>
  <c r="AC623" i="36"/>
  <c r="AF618" i="36"/>
  <c r="AI613" i="36"/>
  <c r="AD609" i="36"/>
  <c r="AF604" i="36"/>
  <c r="AH599" i="36"/>
  <c r="AC595" i="36"/>
  <c r="AE590" i="36"/>
  <c r="AG585" i="36"/>
  <c r="AI580" i="36"/>
  <c r="AD576" i="36"/>
  <c r="AF571" i="36"/>
  <c r="AH566" i="36"/>
  <c r="AE557" i="36"/>
  <c r="AI547" i="36"/>
  <c r="AF538" i="36"/>
  <c r="AI528" i="36"/>
  <c r="AD524" i="36"/>
  <c r="AF519" i="36"/>
  <c r="AH514" i="36"/>
  <c r="AE505" i="36"/>
  <c r="AI495" i="36"/>
  <c r="AD491" i="36"/>
  <c r="AI485" i="36"/>
  <c r="AF467" i="36"/>
  <c r="AI452" i="36"/>
  <c r="AE445" i="36"/>
  <c r="AE428" i="36"/>
  <c r="AE400" i="36"/>
  <c r="AC368" i="36"/>
  <c r="AF331" i="36"/>
  <c r="AK640" i="36"/>
  <c r="AL640" i="36"/>
  <c r="AM640" i="36"/>
  <c r="AO640" i="36"/>
  <c r="AP640" i="36"/>
  <c r="AQ640" i="36"/>
  <c r="AK620" i="36"/>
  <c r="AM620" i="36"/>
  <c r="AN620" i="36"/>
  <c r="AO620" i="36"/>
  <c r="AP620" i="36"/>
  <c r="AQ620" i="36"/>
  <c r="AN600" i="36"/>
  <c r="AP600" i="36"/>
  <c r="AQ600" i="36"/>
  <c r="AM600" i="36"/>
  <c r="AO600" i="36"/>
  <c r="AK600" i="36"/>
  <c r="AO583" i="36"/>
  <c r="AP583" i="36"/>
  <c r="AQ583" i="36"/>
  <c r="AK583" i="36"/>
  <c r="AL583" i="36"/>
  <c r="AM583" i="36"/>
  <c r="AN583" i="36"/>
  <c r="AK543" i="36"/>
  <c r="AL543" i="36"/>
  <c r="AM543" i="36"/>
  <c r="AN543" i="36"/>
  <c r="AP543" i="36"/>
  <c r="AQ543" i="36"/>
  <c r="AM500" i="36"/>
  <c r="AL500" i="36"/>
  <c r="AN500" i="36"/>
  <c r="AP500" i="36"/>
  <c r="AO500" i="36"/>
  <c r="AQ500" i="36"/>
  <c r="AO480" i="36"/>
  <c r="AP480" i="36"/>
  <c r="AQ480" i="36"/>
  <c r="AK480" i="36"/>
  <c r="AL480" i="36"/>
  <c r="AN480" i="36"/>
  <c r="AM460" i="36"/>
  <c r="AO460" i="36"/>
  <c r="AP460" i="36"/>
  <c r="AQ460" i="36"/>
  <c r="AK460" i="36"/>
  <c r="AN460" i="36"/>
  <c r="AG460" i="36"/>
  <c r="AH460" i="36"/>
  <c r="AI460" i="36"/>
  <c r="AK443" i="36"/>
  <c r="AM443" i="36"/>
  <c r="AN443" i="36"/>
  <c r="AO443" i="36"/>
  <c r="AP443" i="36"/>
  <c r="AQ443" i="36"/>
  <c r="AC443" i="36"/>
  <c r="AE443" i="36"/>
  <c r="AI443" i="36"/>
  <c r="AQ429" i="36"/>
  <c r="AK429" i="36"/>
  <c r="AM429" i="36"/>
  <c r="AN429" i="36"/>
  <c r="AO429" i="36"/>
  <c r="AP429" i="36"/>
  <c r="AC429" i="36"/>
  <c r="AE429" i="36"/>
  <c r="AF429" i="36"/>
  <c r="AG429" i="36"/>
  <c r="AI429" i="36"/>
  <c r="AL412" i="36"/>
  <c r="AM412" i="36"/>
  <c r="AN412" i="36"/>
  <c r="AO412" i="36"/>
  <c r="AP412" i="36"/>
  <c r="AQ412" i="36"/>
  <c r="AD412" i="36"/>
  <c r="AE412" i="36"/>
  <c r="AF412" i="36"/>
  <c r="AL398" i="36"/>
  <c r="AM398" i="36"/>
  <c r="AN398" i="36"/>
  <c r="AO398" i="36"/>
  <c r="AP398" i="36"/>
  <c r="AQ398" i="36"/>
  <c r="AD398" i="36"/>
  <c r="AE398" i="36"/>
  <c r="AF398" i="36"/>
  <c r="AG398" i="36"/>
  <c r="AH398" i="36"/>
  <c r="AI398" i="36"/>
  <c r="AN367" i="36"/>
  <c r="AO367" i="36"/>
  <c r="AM367" i="36"/>
  <c r="AP367" i="36"/>
  <c r="AQ367" i="36"/>
  <c r="AK367" i="36"/>
  <c r="AC367" i="36"/>
  <c r="AE367" i="36"/>
  <c r="AF367" i="36"/>
  <c r="AG367" i="36"/>
  <c r="AH367" i="36"/>
  <c r="AI367" i="36"/>
  <c r="AK336" i="36"/>
  <c r="AM336" i="36"/>
  <c r="AN336" i="36"/>
  <c r="AO336" i="36"/>
  <c r="AP336" i="36"/>
  <c r="AQ336" i="36"/>
  <c r="AK316" i="36"/>
  <c r="AL316" i="36"/>
  <c r="AM316" i="36"/>
  <c r="AN316" i="36"/>
  <c r="AO316" i="36"/>
  <c r="AP316" i="36"/>
  <c r="AC316" i="36"/>
  <c r="AD316" i="36"/>
  <c r="AE316" i="36"/>
  <c r="AF316" i="36"/>
  <c r="AG316" i="36"/>
  <c r="AH316" i="36"/>
  <c r="AI316" i="36"/>
  <c r="AK293" i="36"/>
  <c r="AL293" i="36"/>
  <c r="AO293" i="36"/>
  <c r="AP293" i="36"/>
  <c r="AM293" i="36"/>
  <c r="AN293" i="36"/>
  <c r="AQ293" i="36"/>
  <c r="AC293" i="36"/>
  <c r="AD293" i="36"/>
  <c r="AE293" i="36"/>
  <c r="AF293" i="36"/>
  <c r="AH293" i="36"/>
  <c r="AI293" i="36"/>
  <c r="AL273" i="36"/>
  <c r="AM273" i="36"/>
  <c r="AN273" i="36"/>
  <c r="AO273" i="36"/>
  <c r="AP273" i="36"/>
  <c r="AQ273" i="36"/>
  <c r="AD273" i="36"/>
  <c r="AE273" i="36"/>
  <c r="AF273" i="36"/>
  <c r="AG273" i="36"/>
  <c r="AH273" i="36"/>
  <c r="AI273" i="36"/>
  <c r="AK250" i="36"/>
  <c r="AL250" i="36"/>
  <c r="AM250" i="36"/>
  <c r="AN250" i="36"/>
  <c r="AO250" i="36"/>
  <c r="AQ250" i="36"/>
  <c r="AC250" i="36"/>
  <c r="AD250" i="36"/>
  <c r="AE250" i="36"/>
  <c r="AF250" i="36"/>
  <c r="AG250" i="36"/>
  <c r="AI250" i="36"/>
  <c r="AK155" i="36"/>
  <c r="AM155" i="36"/>
  <c r="AN155" i="36"/>
  <c r="AO155" i="36"/>
  <c r="AP155" i="36"/>
  <c r="AQ155" i="36"/>
  <c r="AC155" i="36"/>
  <c r="AD155" i="36"/>
  <c r="AE155" i="36"/>
  <c r="AF155" i="36"/>
  <c r="AG155" i="36"/>
  <c r="AH155" i="36"/>
  <c r="AI155" i="36"/>
  <c r="AK132" i="36"/>
  <c r="AM132" i="36"/>
  <c r="AN132" i="36"/>
  <c r="AO132" i="36"/>
  <c r="AP132" i="36"/>
  <c r="AQ132" i="36"/>
  <c r="AF132" i="36"/>
  <c r="AG132" i="36"/>
  <c r="AH132" i="36"/>
  <c r="AI132" i="36"/>
  <c r="AC132" i="36"/>
  <c r="AD132" i="36"/>
  <c r="AE132" i="36"/>
  <c r="AK109" i="36"/>
  <c r="AM109" i="36"/>
  <c r="AN109" i="36"/>
  <c r="AO109" i="36"/>
  <c r="AP109" i="36"/>
  <c r="AQ109" i="36"/>
  <c r="AC109" i="36"/>
  <c r="AE109" i="36"/>
  <c r="AF109" i="36"/>
  <c r="AG109" i="36"/>
  <c r="AH109" i="36"/>
  <c r="AI109" i="36"/>
  <c r="AK86" i="36"/>
  <c r="AM86" i="36"/>
  <c r="AN86" i="36"/>
  <c r="AO86" i="36"/>
  <c r="AP86" i="36"/>
  <c r="AQ86" i="36"/>
  <c r="AI86" i="36"/>
  <c r="AC86" i="36"/>
  <c r="AE86" i="36"/>
  <c r="AF86" i="36"/>
  <c r="AG86" i="36"/>
  <c r="AH86" i="36"/>
  <c r="AK66" i="36"/>
  <c r="AL66" i="36"/>
  <c r="AN66" i="36"/>
  <c r="AO66" i="36"/>
  <c r="AP66" i="36"/>
  <c r="AQ66" i="36"/>
  <c r="AC66" i="36"/>
  <c r="AD66" i="36"/>
  <c r="AE66" i="36"/>
  <c r="AF66" i="36"/>
  <c r="AG66" i="36"/>
  <c r="AH66" i="36"/>
  <c r="AI66" i="36"/>
  <c r="AK35" i="36"/>
  <c r="AL35" i="36"/>
  <c r="AM35" i="36"/>
  <c r="AN35" i="36"/>
  <c r="AP35" i="36"/>
  <c r="AQ35" i="36"/>
  <c r="AH35" i="36"/>
  <c r="AI35" i="36"/>
  <c r="AC35" i="36"/>
  <c r="AD35" i="36"/>
  <c r="AE35" i="36"/>
  <c r="AF35" i="36"/>
  <c r="AD673" i="36"/>
  <c r="AG668" i="36"/>
  <c r="AI654" i="36"/>
  <c r="AE650" i="36"/>
  <c r="AH645" i="36"/>
  <c r="AD641" i="36"/>
  <c r="AG636" i="36"/>
  <c r="AC632" i="36"/>
  <c r="AF627" i="36"/>
  <c r="AI622" i="36"/>
  <c r="AE618" i="36"/>
  <c r="AH613" i="36"/>
  <c r="AC609" i="36"/>
  <c r="AE604" i="36"/>
  <c r="AG599" i="36"/>
  <c r="AI594" i="36"/>
  <c r="AF585" i="36"/>
  <c r="AE571" i="36"/>
  <c r="AI561" i="36"/>
  <c r="AD557" i="36"/>
  <c r="AF552" i="36"/>
  <c r="AH547" i="36"/>
  <c r="AC543" i="36"/>
  <c r="AD538" i="36"/>
  <c r="AF533" i="36"/>
  <c r="AH528" i="36"/>
  <c r="AC524" i="36"/>
  <c r="AE519" i="36"/>
  <c r="AI509" i="36"/>
  <c r="AD505" i="36"/>
  <c r="AF500" i="36"/>
  <c r="AH495" i="36"/>
  <c r="AH485" i="36"/>
  <c r="AC480" i="36"/>
  <c r="AD473" i="36"/>
  <c r="AI459" i="36"/>
  <c r="AH452" i="36"/>
  <c r="AI436" i="36"/>
  <c r="AD428" i="36"/>
  <c r="AE419" i="36"/>
  <c r="AD400" i="36"/>
  <c r="AG382" i="36"/>
  <c r="AF364" i="36"/>
  <c r="AI327" i="36"/>
  <c r="AH308" i="36"/>
  <c r="AK514" i="36"/>
  <c r="AL514" i="36"/>
  <c r="AM514" i="36"/>
  <c r="AN514" i="36"/>
  <c r="AP514" i="36"/>
  <c r="AQ514" i="36"/>
  <c r="AL674" i="36"/>
  <c r="AM674" i="36"/>
  <c r="AN674" i="36"/>
  <c r="AO674" i="36"/>
  <c r="AP674" i="36"/>
  <c r="AQ674" i="36"/>
  <c r="AK637" i="36"/>
  <c r="AM637" i="36"/>
  <c r="AO637" i="36"/>
  <c r="AP637" i="36"/>
  <c r="AQ637" i="36"/>
  <c r="AL637" i="36"/>
  <c r="AK597" i="36"/>
  <c r="AM597" i="36"/>
  <c r="AN597" i="36"/>
  <c r="AO597" i="36"/>
  <c r="AP597" i="36"/>
  <c r="AQ597" i="36"/>
  <c r="AH597" i="36"/>
  <c r="AK580" i="36"/>
  <c r="AL580" i="36"/>
  <c r="AN580" i="36"/>
  <c r="AO580" i="36"/>
  <c r="AP580" i="36"/>
  <c r="AQ580" i="36"/>
  <c r="AK560" i="36"/>
  <c r="AL560" i="36"/>
  <c r="AM560" i="36"/>
  <c r="AN560" i="36"/>
  <c r="AP560" i="36"/>
  <c r="AQ560" i="36"/>
  <c r="AK540" i="36"/>
  <c r="AL540" i="36"/>
  <c r="AM540" i="36"/>
  <c r="AN540" i="36"/>
  <c r="AP540" i="36"/>
  <c r="AQ540" i="36"/>
  <c r="Y483" i="36"/>
  <c r="AN477" i="36"/>
  <c r="AP477" i="36"/>
  <c r="AQ477" i="36"/>
  <c r="AK477" i="36"/>
  <c r="AL477" i="36"/>
  <c r="AO477" i="36"/>
  <c r="AN350" i="36"/>
  <c r="AP350" i="36"/>
  <c r="AQ350" i="36"/>
  <c r="AO350" i="36"/>
  <c r="AK350" i="36"/>
  <c r="AM350" i="36"/>
  <c r="AI350" i="36"/>
  <c r="AK333" i="36"/>
  <c r="AL333" i="36"/>
  <c r="AM333" i="36"/>
  <c r="AN333" i="36"/>
  <c r="AO333" i="36"/>
  <c r="AQ333" i="36"/>
  <c r="AC333" i="36"/>
  <c r="AD333" i="36"/>
  <c r="AE333" i="36"/>
  <c r="AF333" i="36"/>
  <c r="AG333" i="36"/>
  <c r="AI333" i="36"/>
  <c r="AL270" i="36"/>
  <c r="AN270" i="36"/>
  <c r="AO270" i="36"/>
  <c r="AQ270" i="36"/>
  <c r="AM270" i="36"/>
  <c r="AP270" i="36"/>
  <c r="AD270" i="36"/>
  <c r="AE270" i="36"/>
  <c r="AF270" i="36"/>
  <c r="AG270" i="36"/>
  <c r="AH270" i="36"/>
  <c r="AI270" i="36"/>
  <c r="AO247" i="36"/>
  <c r="AQ247" i="36"/>
  <c r="AK247" i="36"/>
  <c r="AL247" i="36"/>
  <c r="AM247" i="36"/>
  <c r="AN247" i="36"/>
  <c r="AI247" i="36"/>
  <c r="AC247" i="36"/>
  <c r="AD247" i="36"/>
  <c r="AE247" i="36"/>
  <c r="AF247" i="36"/>
  <c r="AG247" i="36"/>
  <c r="AK224" i="36"/>
  <c r="AL224" i="36"/>
  <c r="AM224" i="36"/>
  <c r="AO224" i="36"/>
  <c r="AP224" i="36"/>
  <c r="AQ224" i="36"/>
  <c r="AC224" i="36"/>
  <c r="AD224" i="36"/>
  <c r="AE224" i="36"/>
  <c r="AG224" i="36"/>
  <c r="AH224" i="36"/>
  <c r="AI224" i="36"/>
  <c r="AK201" i="36"/>
  <c r="AM201" i="36"/>
  <c r="AN201" i="36"/>
  <c r="AO201" i="36"/>
  <c r="AP201" i="36"/>
  <c r="AQ201" i="36"/>
  <c r="AC201" i="36"/>
  <c r="AD201" i="36"/>
  <c r="AE201" i="36"/>
  <c r="AF201" i="36"/>
  <c r="AG201" i="36"/>
  <c r="AH201" i="36"/>
  <c r="AI201" i="36"/>
  <c r="AK178" i="36"/>
  <c r="AM178" i="36"/>
  <c r="AN178" i="36"/>
  <c r="AO178" i="36"/>
  <c r="AP178" i="36"/>
  <c r="AQ178" i="36"/>
  <c r="AC178" i="36"/>
  <c r="AD178" i="36"/>
  <c r="AE178" i="36"/>
  <c r="AF178" i="36"/>
  <c r="AG178" i="36"/>
  <c r="AH178" i="36"/>
  <c r="AI178" i="36"/>
  <c r="AP83" i="36"/>
  <c r="AQ83" i="36"/>
  <c r="AK83" i="36"/>
  <c r="AM83" i="36"/>
  <c r="AN83" i="36"/>
  <c r="AO83" i="36"/>
  <c r="AE83" i="36"/>
  <c r="AF83" i="36"/>
  <c r="AG83" i="36"/>
  <c r="AH83" i="36"/>
  <c r="AI83" i="36"/>
  <c r="AC83" i="36"/>
  <c r="AK63" i="36"/>
  <c r="AM63" i="36"/>
  <c r="AN63" i="36"/>
  <c r="AO63" i="36"/>
  <c r="AP63" i="36"/>
  <c r="AQ63" i="36"/>
  <c r="AF63" i="36"/>
  <c r="AC63" i="36"/>
  <c r="AE63" i="36"/>
  <c r="AG63" i="36"/>
  <c r="AH63" i="36"/>
  <c r="AI63" i="36"/>
  <c r="AL49" i="36"/>
  <c r="AM49" i="36"/>
  <c r="AN49" i="36"/>
  <c r="AO49" i="36"/>
  <c r="AP49" i="36"/>
  <c r="AQ49" i="36"/>
  <c r="AF49" i="36"/>
  <c r="AG49" i="36"/>
  <c r="AH49" i="36"/>
  <c r="AD49" i="36"/>
  <c r="AE49" i="36"/>
  <c r="AI49" i="36"/>
  <c r="AF668" i="36"/>
  <c r="AI663" i="36"/>
  <c r="AE659" i="36"/>
  <c r="AD650" i="36"/>
  <c r="AG645" i="36"/>
  <c r="AC641" i="36"/>
  <c r="AI631" i="36"/>
  <c r="AE627" i="36"/>
  <c r="AH622" i="36"/>
  <c r="AD618" i="36"/>
  <c r="AG613" i="36"/>
  <c r="AI608" i="36"/>
  <c r="AF599" i="36"/>
  <c r="AH594" i="36"/>
  <c r="AE585" i="36"/>
  <c r="AG580" i="36"/>
  <c r="AI575" i="36"/>
  <c r="AD571" i="36"/>
  <c r="AF566" i="36"/>
  <c r="AH561" i="36"/>
  <c r="AE552" i="36"/>
  <c r="AH542" i="36"/>
  <c r="AC538" i="36"/>
  <c r="AE533" i="36"/>
  <c r="AI523" i="36"/>
  <c r="AD519" i="36"/>
  <c r="AF514" i="36"/>
  <c r="AH509" i="36"/>
  <c r="AE500" i="36"/>
  <c r="AG495" i="36"/>
  <c r="AI490" i="36"/>
  <c r="AG485" i="36"/>
  <c r="AH478" i="36"/>
  <c r="AH459" i="36"/>
  <c r="AG452" i="36"/>
  <c r="AH436" i="36"/>
  <c r="AD419" i="36"/>
  <c r="AD410" i="36"/>
  <c r="AF382" i="36"/>
  <c r="AL671" i="36"/>
  <c r="AM671" i="36"/>
  <c r="AN671" i="36"/>
  <c r="AO671" i="36"/>
  <c r="AP671" i="36"/>
  <c r="AQ671" i="36"/>
  <c r="AK654" i="36"/>
  <c r="AM654" i="36"/>
  <c r="AO654" i="36"/>
  <c r="AL654" i="36"/>
  <c r="AP654" i="36"/>
  <c r="AQ654" i="36"/>
  <c r="AO577" i="36"/>
  <c r="AQ577" i="36"/>
  <c r="AL577" i="36"/>
  <c r="AM577" i="36"/>
  <c r="AN577" i="36"/>
  <c r="AP577" i="36"/>
  <c r="AK537" i="36"/>
  <c r="AL537" i="36"/>
  <c r="AM537" i="36"/>
  <c r="AN537" i="36"/>
  <c r="AP537" i="36"/>
  <c r="AQ537" i="36"/>
  <c r="AL497" i="36"/>
  <c r="AM497" i="36"/>
  <c r="AN497" i="36"/>
  <c r="AO497" i="36"/>
  <c r="AP497" i="36"/>
  <c r="AQ497" i="36"/>
  <c r="AD497" i="36"/>
  <c r="AK474" i="36"/>
  <c r="AL474" i="36"/>
  <c r="AN474" i="36"/>
  <c r="AO474" i="36"/>
  <c r="AP474" i="36"/>
  <c r="AQ474" i="36"/>
  <c r="AF474" i="36"/>
  <c r="AG474" i="36"/>
  <c r="AH474" i="36"/>
  <c r="AI474" i="36"/>
  <c r="AQ440" i="36"/>
  <c r="AM440" i="36"/>
  <c r="AN440" i="36"/>
  <c r="AO440" i="36"/>
  <c r="AK440" i="36"/>
  <c r="AP440" i="36"/>
  <c r="AL426" i="36"/>
  <c r="AM426" i="36"/>
  <c r="AN426" i="36"/>
  <c r="AO426" i="36"/>
  <c r="AP426" i="36"/>
  <c r="AQ426" i="36"/>
  <c r="AD426" i="36"/>
  <c r="AK378" i="36"/>
  <c r="AM378" i="36"/>
  <c r="AN378" i="36"/>
  <c r="AO378" i="36"/>
  <c r="AP378" i="36"/>
  <c r="AQ378" i="36"/>
  <c r="AE378" i="36"/>
  <c r="AF378" i="36"/>
  <c r="AG378" i="36"/>
  <c r="AH378" i="36"/>
  <c r="AI378" i="36"/>
  <c r="AK364" i="36"/>
  <c r="AM364" i="36"/>
  <c r="AN364" i="36"/>
  <c r="AO364" i="36"/>
  <c r="AP364" i="36"/>
  <c r="AQ364" i="36"/>
  <c r="AG364" i="36"/>
  <c r="AH364" i="36"/>
  <c r="AI364" i="36"/>
  <c r="AK313" i="36"/>
  <c r="AL313" i="36"/>
  <c r="AM313" i="36"/>
  <c r="AN313" i="36"/>
  <c r="AO313" i="36"/>
  <c r="AP313" i="36"/>
  <c r="AF313" i="36"/>
  <c r="AI313" i="36"/>
  <c r="AK290" i="36"/>
  <c r="AN290" i="36"/>
  <c r="AL290" i="36"/>
  <c r="AM290" i="36"/>
  <c r="AP290" i="36"/>
  <c r="AQ290" i="36"/>
  <c r="AC290" i="36"/>
  <c r="AE290" i="36"/>
  <c r="AF290" i="36"/>
  <c r="AD290" i="36"/>
  <c r="AH290" i="36"/>
  <c r="AI290" i="36"/>
  <c r="AL267" i="36"/>
  <c r="AO267" i="36"/>
  <c r="AM267" i="36"/>
  <c r="AN267" i="36"/>
  <c r="AP267" i="36"/>
  <c r="AQ267" i="36"/>
  <c r="AD267" i="36"/>
  <c r="AF267" i="36"/>
  <c r="AG267" i="36"/>
  <c r="AH267" i="36"/>
  <c r="AE267" i="36"/>
  <c r="AI267" i="36"/>
  <c r="AK244" i="36"/>
  <c r="AL244" i="36"/>
  <c r="AM244" i="36"/>
  <c r="AP244" i="36"/>
  <c r="AO244" i="36"/>
  <c r="AQ244" i="36"/>
  <c r="AC244" i="36"/>
  <c r="AD244" i="36"/>
  <c r="AE244" i="36"/>
  <c r="AG244" i="36"/>
  <c r="AH244" i="36"/>
  <c r="AI244" i="36"/>
  <c r="AK221" i="36"/>
  <c r="AL221" i="36"/>
  <c r="AM221" i="36"/>
  <c r="AQ221" i="36"/>
  <c r="AO221" i="36"/>
  <c r="AP221" i="36"/>
  <c r="AC221" i="36"/>
  <c r="AD221" i="36"/>
  <c r="AE221" i="36"/>
  <c r="AG221" i="36"/>
  <c r="AH221" i="36"/>
  <c r="AI221" i="36"/>
  <c r="AK198" i="36"/>
  <c r="AM198" i="36"/>
  <c r="AN198" i="36"/>
  <c r="AO198" i="36"/>
  <c r="AP198" i="36"/>
  <c r="AQ198" i="36"/>
  <c r="AD198" i="36"/>
  <c r="AE198" i="36"/>
  <c r="AF198" i="36"/>
  <c r="AG198" i="36"/>
  <c r="AH198" i="36"/>
  <c r="AI198" i="36"/>
  <c r="AC198" i="36"/>
  <c r="AM175" i="36"/>
  <c r="AN175" i="36"/>
  <c r="AO175" i="36"/>
  <c r="AP175" i="36"/>
  <c r="AK175" i="36"/>
  <c r="AQ175" i="36"/>
  <c r="AE175" i="36"/>
  <c r="AF175" i="36"/>
  <c r="AG175" i="36"/>
  <c r="AH175" i="36"/>
  <c r="AI175" i="36"/>
  <c r="AC175" i="36"/>
  <c r="AD175" i="36"/>
  <c r="AM152" i="36"/>
  <c r="AN152" i="36"/>
  <c r="AO152" i="36"/>
  <c r="AP152" i="36"/>
  <c r="AQ152" i="36"/>
  <c r="AK152" i="36"/>
  <c r="AF152" i="36"/>
  <c r="AG152" i="36"/>
  <c r="AH152" i="36"/>
  <c r="AI152" i="36"/>
  <c r="AC152" i="36"/>
  <c r="AD152" i="36"/>
  <c r="AE152" i="36"/>
  <c r="AN129" i="36"/>
  <c r="AO129" i="36"/>
  <c r="AP129" i="36"/>
  <c r="AQ129" i="36"/>
  <c r="AK129" i="36"/>
  <c r="AM129" i="36"/>
  <c r="AG129" i="36"/>
  <c r="AH129" i="36"/>
  <c r="AI129" i="36"/>
  <c r="AC129" i="36"/>
  <c r="AD129" i="36"/>
  <c r="AE129" i="36"/>
  <c r="AF129" i="36"/>
  <c r="AO106" i="36"/>
  <c r="AP106" i="36"/>
  <c r="AQ106" i="36"/>
  <c r="AK106" i="36"/>
  <c r="AM106" i="36"/>
  <c r="AN106" i="36"/>
  <c r="AH106" i="36"/>
  <c r="AI106" i="36"/>
  <c r="AC106" i="36"/>
  <c r="AE106" i="36"/>
  <c r="AF106" i="36"/>
  <c r="AG106" i="36"/>
  <c r="AK32" i="36"/>
  <c r="AL32" i="36"/>
  <c r="AM32" i="36"/>
  <c r="AO32" i="36"/>
  <c r="AP32" i="36"/>
  <c r="AQ32" i="36"/>
  <c r="AC32" i="36"/>
  <c r="AD32" i="36"/>
  <c r="AE32" i="36"/>
  <c r="AG32" i="36"/>
  <c r="AH32" i="36"/>
  <c r="AI32" i="36"/>
  <c r="AK18" i="36"/>
  <c r="AL18" i="36"/>
  <c r="AM18" i="36"/>
  <c r="AO18" i="36"/>
  <c r="AP18" i="36"/>
  <c r="AQ18" i="36"/>
  <c r="AE18" i="36"/>
  <c r="AC18" i="36"/>
  <c r="AD18" i="36"/>
  <c r="AG18" i="36"/>
  <c r="AH18" i="36"/>
  <c r="AI18" i="36"/>
  <c r="AI672" i="36"/>
  <c r="AH663" i="36"/>
  <c r="AD659" i="36"/>
  <c r="AG654" i="36"/>
  <c r="AI640" i="36"/>
  <c r="AE636" i="36"/>
  <c r="AH631" i="36"/>
  <c r="AD627" i="36"/>
  <c r="AG622" i="36"/>
  <c r="AC618" i="36"/>
  <c r="AF613" i="36"/>
  <c r="AH608" i="36"/>
  <c r="AC604" i="36"/>
  <c r="AE599" i="36"/>
  <c r="AI589" i="36"/>
  <c r="AD585" i="36"/>
  <c r="AF580" i="36"/>
  <c r="AH575" i="36"/>
  <c r="AE566" i="36"/>
  <c r="AI556" i="36"/>
  <c r="AD552" i="36"/>
  <c r="AE547" i="36"/>
  <c r="AI537" i="36"/>
  <c r="AD533" i="36"/>
  <c r="AF528" i="36"/>
  <c r="AH523" i="36"/>
  <c r="AE514" i="36"/>
  <c r="AI504" i="36"/>
  <c r="AD500" i="36"/>
  <c r="AF495" i="36"/>
  <c r="AH490" i="36"/>
  <c r="AF485" i="36"/>
  <c r="AG478" i="36"/>
  <c r="AI472" i="36"/>
  <c r="AH466" i="36"/>
  <c r="AG459" i="36"/>
  <c r="AE451" i="36"/>
  <c r="AI444" i="36"/>
  <c r="AG436" i="36"/>
  <c r="AI427" i="36"/>
  <c r="AI399" i="36"/>
  <c r="AE382" i="36"/>
  <c r="AI345" i="36"/>
  <c r="AG327" i="36"/>
  <c r="AF308" i="36"/>
  <c r="AK657" i="36"/>
  <c r="AL657" i="36"/>
  <c r="AM657" i="36"/>
  <c r="AO657" i="36"/>
  <c r="AP657" i="36"/>
  <c r="AQ657" i="36"/>
  <c r="AL668" i="36"/>
  <c r="AN668" i="36"/>
  <c r="AO668" i="36"/>
  <c r="AP668" i="36"/>
  <c r="AM668" i="36"/>
  <c r="AQ668" i="36"/>
  <c r="AL634" i="36"/>
  <c r="AM634" i="36"/>
  <c r="AO634" i="36"/>
  <c r="AQ634" i="36"/>
  <c r="AK634" i="36"/>
  <c r="AP634" i="36"/>
  <c r="AK594" i="36"/>
  <c r="AN594" i="36"/>
  <c r="AO594" i="36"/>
  <c r="AP594" i="36"/>
  <c r="AM594" i="36"/>
  <c r="AQ594" i="36"/>
  <c r="AL574" i="36"/>
  <c r="AM574" i="36"/>
  <c r="AN574" i="36"/>
  <c r="AO574" i="36"/>
  <c r="AP574" i="36"/>
  <c r="AQ574" i="36"/>
  <c r="AI574" i="36"/>
  <c r="AN557" i="36"/>
  <c r="AP557" i="36"/>
  <c r="AQ557" i="36"/>
  <c r="AK557" i="36"/>
  <c r="AL557" i="36"/>
  <c r="AM557" i="36"/>
  <c r="AK534" i="36"/>
  <c r="AM534" i="36"/>
  <c r="AN534" i="36"/>
  <c r="AL534" i="36"/>
  <c r="AP534" i="36"/>
  <c r="AQ534" i="36"/>
  <c r="AQ520" i="36"/>
  <c r="AK520" i="36"/>
  <c r="AL520" i="36"/>
  <c r="AM520" i="36"/>
  <c r="AN520" i="36"/>
  <c r="AP520" i="36"/>
  <c r="AC520" i="36"/>
  <c r="AK457" i="36"/>
  <c r="AM457" i="36"/>
  <c r="AN457" i="36"/>
  <c r="AO457" i="36"/>
  <c r="AP457" i="36"/>
  <c r="AQ457" i="36"/>
  <c r="AC457" i="36"/>
  <c r="AG457" i="36"/>
  <c r="AH457" i="36"/>
  <c r="AI457" i="36"/>
  <c r="AL409" i="36"/>
  <c r="AM409" i="36"/>
  <c r="AQ409" i="36"/>
  <c r="AN409" i="36"/>
  <c r="AO409" i="36"/>
  <c r="AP409" i="36"/>
  <c r="AL395" i="36"/>
  <c r="AN395" i="36"/>
  <c r="AO395" i="36"/>
  <c r="AM395" i="36"/>
  <c r="AP395" i="36"/>
  <c r="AQ395" i="36"/>
  <c r="AD395" i="36"/>
  <c r="AM347" i="36"/>
  <c r="AN347" i="36"/>
  <c r="AO347" i="36"/>
  <c r="AP347" i="36"/>
  <c r="AQ347" i="36"/>
  <c r="AK347" i="36"/>
  <c r="AC347" i="36"/>
  <c r="AE347" i="36"/>
  <c r="AF347" i="36"/>
  <c r="AG347" i="36"/>
  <c r="AH347" i="36"/>
  <c r="AI347" i="36"/>
  <c r="AO330" i="36"/>
  <c r="AQ330" i="36"/>
  <c r="AL330" i="36"/>
  <c r="AM330" i="36"/>
  <c r="AK330" i="36"/>
  <c r="AN330" i="36"/>
  <c r="AC330" i="36"/>
  <c r="AD330" i="36"/>
  <c r="AE330" i="36"/>
  <c r="AF330" i="36"/>
  <c r="AG330" i="36"/>
  <c r="AI330" i="36"/>
  <c r="AL310" i="36"/>
  <c r="AM310" i="36"/>
  <c r="AN310" i="36"/>
  <c r="AP310" i="36"/>
  <c r="AQ310" i="36"/>
  <c r="AK310" i="36"/>
  <c r="AC310" i="36"/>
  <c r="AD310" i="36"/>
  <c r="AE310" i="36"/>
  <c r="AF310" i="36"/>
  <c r="AH310" i="36"/>
  <c r="AI310" i="36"/>
  <c r="AM287" i="36"/>
  <c r="AP287" i="36"/>
  <c r="AK287" i="36"/>
  <c r="AL287" i="36"/>
  <c r="AN287" i="36"/>
  <c r="AQ287" i="36"/>
  <c r="AC287" i="36"/>
  <c r="AD287" i="36"/>
  <c r="AE287" i="36"/>
  <c r="AF287" i="36"/>
  <c r="AH287" i="36"/>
  <c r="AI287" i="36"/>
  <c r="AK195" i="36"/>
  <c r="AM195" i="36"/>
  <c r="AN195" i="36"/>
  <c r="AO195" i="36"/>
  <c r="AP195" i="36"/>
  <c r="AQ195" i="36"/>
  <c r="AC195" i="36"/>
  <c r="AD195" i="36"/>
  <c r="AE195" i="36"/>
  <c r="AF195" i="36"/>
  <c r="AG195" i="36"/>
  <c r="AH195" i="36"/>
  <c r="AI195" i="36"/>
  <c r="AK172" i="36"/>
  <c r="AM172" i="36"/>
  <c r="AN172" i="36"/>
  <c r="AO172" i="36"/>
  <c r="AP172" i="36"/>
  <c r="AQ172" i="36"/>
  <c r="AC172" i="36"/>
  <c r="AD172" i="36"/>
  <c r="AE172" i="36"/>
  <c r="AF172" i="36"/>
  <c r="AG172" i="36"/>
  <c r="AH172" i="36"/>
  <c r="AI172" i="36"/>
  <c r="AK149" i="36"/>
  <c r="AM149" i="36"/>
  <c r="AN149" i="36"/>
  <c r="AO149" i="36"/>
  <c r="AP149" i="36"/>
  <c r="AQ149" i="36"/>
  <c r="AC149" i="36"/>
  <c r="AD149" i="36"/>
  <c r="AE149" i="36"/>
  <c r="AF149" i="36"/>
  <c r="AG149" i="36"/>
  <c r="AH149" i="36"/>
  <c r="AI149" i="36"/>
  <c r="AK126" i="36"/>
  <c r="AL126" i="36"/>
  <c r="AM126" i="36"/>
  <c r="AN126" i="36"/>
  <c r="AO126" i="36"/>
  <c r="AP126" i="36"/>
  <c r="AC126" i="36"/>
  <c r="AH126" i="36"/>
  <c r="AD126" i="36"/>
  <c r="AE126" i="36"/>
  <c r="AF126" i="36"/>
  <c r="AG126" i="36"/>
  <c r="AK103" i="36"/>
  <c r="AM103" i="36"/>
  <c r="AP103" i="36"/>
  <c r="AQ103" i="36"/>
  <c r="AN103" i="36"/>
  <c r="AO103" i="36"/>
  <c r="AC103" i="36"/>
  <c r="AE103" i="36"/>
  <c r="AF103" i="36"/>
  <c r="AG103" i="36"/>
  <c r="AH103" i="36"/>
  <c r="AI103" i="36"/>
  <c r="AK80" i="36"/>
  <c r="AM80" i="36"/>
  <c r="AN80" i="36"/>
  <c r="AQ80" i="36"/>
  <c r="AO80" i="36"/>
  <c r="AP80" i="36"/>
  <c r="AC80" i="36"/>
  <c r="AE80" i="36"/>
  <c r="AF80" i="36"/>
  <c r="AG80" i="36"/>
  <c r="AH80" i="36"/>
  <c r="AI80" i="36"/>
  <c r="AQ60" i="36"/>
  <c r="AK60" i="36"/>
  <c r="AM60" i="36"/>
  <c r="AN60" i="36"/>
  <c r="AO60" i="36"/>
  <c r="AP60" i="36"/>
  <c r="AC60" i="36"/>
  <c r="AE60" i="36"/>
  <c r="AF60" i="36"/>
  <c r="AG60" i="36"/>
  <c r="AH60" i="36"/>
  <c r="AI60" i="36"/>
  <c r="AL46" i="36"/>
  <c r="AM46" i="36"/>
  <c r="AN46" i="36"/>
  <c r="AO46" i="36"/>
  <c r="AP46" i="36"/>
  <c r="AQ46" i="36"/>
  <c r="AD46" i="36"/>
  <c r="AE46" i="36"/>
  <c r="AF46" i="36"/>
  <c r="AG46" i="36"/>
  <c r="AH46" i="36"/>
  <c r="AI46" i="36"/>
  <c r="AL15" i="36"/>
  <c r="AM15" i="36"/>
  <c r="AO15" i="36"/>
  <c r="AP15" i="36"/>
  <c r="AQ15" i="36"/>
  <c r="AK15" i="36"/>
  <c r="AC15" i="36"/>
  <c r="AD15" i="36"/>
  <c r="AE15" i="36"/>
  <c r="AI15" i="36"/>
  <c r="AG15" i="36"/>
  <c r="AH15" i="36"/>
  <c r="AH672" i="36"/>
  <c r="AD668" i="36"/>
  <c r="AG663" i="36"/>
  <c r="AI649" i="36"/>
  <c r="AE645" i="36"/>
  <c r="AH640" i="36"/>
  <c r="AD636" i="36"/>
  <c r="AG631" i="36"/>
  <c r="AC627" i="36"/>
  <c r="AF622" i="36"/>
  <c r="AE613" i="36"/>
  <c r="AG608" i="36"/>
  <c r="AI603" i="36"/>
  <c r="AF594" i="36"/>
  <c r="AH589" i="36"/>
  <c r="AE580" i="36"/>
  <c r="AG575" i="36"/>
  <c r="AI570" i="36"/>
  <c r="AD566" i="36"/>
  <c r="AF561" i="36"/>
  <c r="AH556" i="36"/>
  <c r="AI551" i="36"/>
  <c r="AD547" i="36"/>
  <c r="AF542" i="36"/>
  <c r="AH537" i="36"/>
  <c r="AE528" i="36"/>
  <c r="AI518" i="36"/>
  <c r="AD514" i="36"/>
  <c r="AF509" i="36"/>
  <c r="AH504" i="36"/>
  <c r="AE495" i="36"/>
  <c r="AG490" i="36"/>
  <c r="AE485" i="36"/>
  <c r="AF478" i="36"/>
  <c r="AH472" i="36"/>
  <c r="AG466" i="36"/>
  <c r="AF459" i="36"/>
  <c r="AH444" i="36"/>
  <c r="AF436" i="36"/>
  <c r="AH427" i="36"/>
  <c r="AI418" i="36"/>
  <c r="AI409" i="36"/>
  <c r="AH399" i="36"/>
  <c r="AD382" i="36"/>
  <c r="AC364" i="36"/>
  <c r="AH345" i="36"/>
  <c r="AE308" i="36"/>
  <c r="AK617" i="36"/>
  <c r="AL617" i="36"/>
  <c r="AM617" i="36"/>
  <c r="AN617" i="36"/>
  <c r="AO617" i="36"/>
  <c r="AP617" i="36"/>
  <c r="AQ617" i="36"/>
  <c r="AK571" i="36"/>
  <c r="AL571" i="36"/>
  <c r="AM571" i="36"/>
  <c r="AN571" i="36"/>
  <c r="AP571" i="36"/>
  <c r="AQ571" i="36"/>
  <c r="AK517" i="36"/>
  <c r="AL517" i="36"/>
  <c r="AM517" i="36"/>
  <c r="AN517" i="36"/>
  <c r="AP517" i="36"/>
  <c r="AQ517" i="36"/>
  <c r="AQ494" i="36"/>
  <c r="AK494" i="36"/>
  <c r="AL494" i="36"/>
  <c r="AM494" i="36"/>
  <c r="AN494" i="36"/>
  <c r="AO494" i="36"/>
  <c r="AP494" i="36"/>
  <c r="AK471" i="36"/>
  <c r="AL471" i="36"/>
  <c r="AN471" i="36"/>
  <c r="AO471" i="36"/>
  <c r="AP471" i="36"/>
  <c r="AQ471" i="36"/>
  <c r="AI471" i="36"/>
  <c r="AK437" i="36"/>
  <c r="AM437" i="36"/>
  <c r="AN437" i="36"/>
  <c r="AO437" i="36"/>
  <c r="AP437" i="36"/>
  <c r="AQ437" i="36"/>
  <c r="AH437" i="36"/>
  <c r="AI437" i="36"/>
  <c r="AO375" i="36"/>
  <c r="AQ375" i="36"/>
  <c r="AK375" i="36"/>
  <c r="AM375" i="36"/>
  <c r="AN375" i="36"/>
  <c r="AP375" i="36"/>
  <c r="AC375" i="36"/>
  <c r="AE375" i="36"/>
  <c r="AF375" i="36"/>
  <c r="AG375" i="36"/>
  <c r="AH375" i="36"/>
  <c r="AI375" i="36"/>
  <c r="AK327" i="36"/>
  <c r="AL327" i="36"/>
  <c r="AM327" i="36"/>
  <c r="AN327" i="36"/>
  <c r="AO327" i="36"/>
  <c r="AQ327" i="36"/>
  <c r="AD327" i="36"/>
  <c r="AP307" i="36"/>
  <c r="AK307" i="36"/>
  <c r="AL307" i="36"/>
  <c r="AM307" i="36"/>
  <c r="AN307" i="36"/>
  <c r="AQ307" i="36"/>
  <c r="AC307" i="36"/>
  <c r="AD307" i="36"/>
  <c r="AE307" i="36"/>
  <c r="AF307" i="36"/>
  <c r="AH307" i="36"/>
  <c r="AP264" i="36"/>
  <c r="AM264" i="36"/>
  <c r="AN264" i="36"/>
  <c r="AO264" i="36"/>
  <c r="AK264" i="36"/>
  <c r="AL264" i="36"/>
  <c r="AC264" i="36"/>
  <c r="AD264" i="36"/>
  <c r="AE264" i="36"/>
  <c r="AF264" i="36"/>
  <c r="AG264" i="36"/>
  <c r="AH264" i="36"/>
  <c r="AK241" i="36"/>
  <c r="AL241" i="36"/>
  <c r="AM241" i="36"/>
  <c r="AO241" i="36"/>
  <c r="AP241" i="36"/>
  <c r="AQ241" i="36"/>
  <c r="AC241" i="36"/>
  <c r="AD241" i="36"/>
  <c r="AE241" i="36"/>
  <c r="AG241" i="36"/>
  <c r="AH241" i="36"/>
  <c r="AI241" i="36"/>
  <c r="AK218" i="36"/>
  <c r="AL218" i="36"/>
  <c r="AM218" i="36"/>
  <c r="AO218" i="36"/>
  <c r="AP218" i="36"/>
  <c r="AQ218" i="36"/>
  <c r="AD218" i="36"/>
  <c r="AE218" i="36"/>
  <c r="AG218" i="36"/>
  <c r="AH218" i="36"/>
  <c r="AI218" i="36"/>
  <c r="AC218" i="36"/>
  <c r="AK123" i="36"/>
  <c r="AL123" i="36"/>
  <c r="AM123" i="36"/>
  <c r="AN123" i="36"/>
  <c r="AO123" i="36"/>
  <c r="AP123" i="36"/>
  <c r="AC123" i="36"/>
  <c r="AD123" i="36"/>
  <c r="AE123" i="36"/>
  <c r="AF123" i="36"/>
  <c r="AG123" i="36"/>
  <c r="AH123" i="36"/>
  <c r="AN100" i="36"/>
  <c r="AO100" i="36"/>
  <c r="AP100" i="36"/>
  <c r="AQ100" i="36"/>
  <c r="AK100" i="36"/>
  <c r="AM100" i="36"/>
  <c r="AG100" i="36"/>
  <c r="AC100" i="36"/>
  <c r="AE100" i="36"/>
  <c r="AF100" i="36"/>
  <c r="AH100" i="36"/>
  <c r="AI100" i="36"/>
  <c r="AK77" i="36"/>
  <c r="AM77" i="36"/>
  <c r="AN77" i="36"/>
  <c r="AO77" i="36"/>
  <c r="AP77" i="36"/>
  <c r="AQ77" i="36"/>
  <c r="AH77" i="36"/>
  <c r="AC77" i="36"/>
  <c r="AE77" i="36"/>
  <c r="AF77" i="36"/>
  <c r="AG77" i="36"/>
  <c r="AI77" i="36"/>
  <c r="AK29" i="36"/>
  <c r="AL29" i="36"/>
  <c r="AM29" i="36"/>
  <c r="AO29" i="36"/>
  <c r="AP29" i="36"/>
  <c r="AQ29" i="36"/>
  <c r="AC29" i="36"/>
  <c r="AD29" i="36"/>
  <c r="AE29" i="36"/>
  <c r="AG29" i="36"/>
  <c r="AH29" i="36"/>
  <c r="AI29" i="36"/>
  <c r="AG672" i="36"/>
  <c r="AC668" i="36"/>
  <c r="AI658" i="36"/>
  <c r="AE654" i="36"/>
  <c r="AH649" i="36"/>
  <c r="AD645" i="36"/>
  <c r="AG640" i="36"/>
  <c r="AC636" i="36"/>
  <c r="AF631" i="36"/>
  <c r="AI626" i="36"/>
  <c r="AE622" i="36"/>
  <c r="AH617" i="36"/>
  <c r="AD613" i="36"/>
  <c r="AF608" i="36"/>
  <c r="AH603" i="36"/>
  <c r="AE594" i="36"/>
  <c r="AG589" i="36"/>
  <c r="AI584" i="36"/>
  <c r="AD580" i="36"/>
  <c r="AF575" i="36"/>
  <c r="AH570" i="36"/>
  <c r="AC566" i="36"/>
  <c r="AE561" i="36"/>
  <c r="AF556" i="36"/>
  <c r="AH551" i="36"/>
  <c r="AC547" i="36"/>
  <c r="AE542" i="36"/>
  <c r="AI532" i="36"/>
  <c r="AD528" i="36"/>
  <c r="AF523" i="36"/>
  <c r="AH518" i="36"/>
  <c r="AC514" i="36"/>
  <c r="AE509" i="36"/>
  <c r="AG504" i="36"/>
  <c r="AI499" i="36"/>
  <c r="AD495" i="36"/>
  <c r="AF490" i="36"/>
  <c r="AD485" i="36"/>
  <c r="AE478" i="36"/>
  <c r="AG472" i="36"/>
  <c r="AF466" i="36"/>
  <c r="AE459" i="36"/>
  <c r="AG444" i="36"/>
  <c r="AE436" i="36"/>
  <c r="AG427" i="36"/>
  <c r="AH418" i="36"/>
  <c r="AH409" i="36"/>
  <c r="AF396" i="36"/>
  <c r="AC382" i="36"/>
  <c r="AI363" i="36"/>
  <c r="AG345" i="36"/>
  <c r="AE327" i="36"/>
  <c r="AD308" i="36"/>
  <c r="AQ284" i="36"/>
  <c r="AM284" i="36"/>
  <c r="AN284" i="36"/>
  <c r="AO284" i="36"/>
  <c r="AP284" i="36"/>
  <c r="AL284" i="36"/>
  <c r="AD284" i="36"/>
  <c r="AE284" i="36"/>
  <c r="AF284" i="36"/>
  <c r="AG284" i="36"/>
  <c r="AH284" i="36"/>
  <c r="AI284" i="36"/>
  <c r="AK261" i="36"/>
  <c r="AL261" i="36"/>
  <c r="AM261" i="36"/>
  <c r="AN261" i="36"/>
  <c r="AO261" i="36"/>
  <c r="AP261" i="36"/>
  <c r="AC261" i="36"/>
  <c r="AD261" i="36"/>
  <c r="AE261" i="36"/>
  <c r="AF261" i="36"/>
  <c r="AG261" i="36"/>
  <c r="AH261" i="36"/>
  <c r="AK238" i="36"/>
  <c r="AL238" i="36"/>
  <c r="AO238" i="36"/>
  <c r="AM238" i="36"/>
  <c r="AP238" i="36"/>
  <c r="AQ238" i="36"/>
  <c r="AC238" i="36"/>
  <c r="AD238" i="36"/>
  <c r="AE238" i="36"/>
  <c r="AG238" i="36"/>
  <c r="AH238" i="36"/>
  <c r="AI238" i="36"/>
  <c r="AK215" i="36"/>
  <c r="AL215" i="36"/>
  <c r="AM215" i="36"/>
  <c r="AO215" i="36"/>
  <c r="AQ215" i="36"/>
  <c r="AP215" i="36"/>
  <c r="AC215" i="36"/>
  <c r="AD215" i="36"/>
  <c r="AE215" i="36"/>
  <c r="AG215" i="36"/>
  <c r="AH215" i="36"/>
  <c r="AI215" i="36"/>
  <c r="AK192" i="36"/>
  <c r="AM192" i="36"/>
  <c r="AN192" i="36"/>
  <c r="AO192" i="36"/>
  <c r="AP192" i="36"/>
  <c r="AQ192" i="36"/>
  <c r="AC192" i="36"/>
  <c r="AD192" i="36"/>
  <c r="AE192" i="36"/>
  <c r="AF192" i="36"/>
  <c r="AG192" i="36"/>
  <c r="AH192" i="36"/>
  <c r="AI192" i="36"/>
  <c r="AK169" i="36"/>
  <c r="AM169" i="36"/>
  <c r="AN169" i="36"/>
  <c r="AO169" i="36"/>
  <c r="AP169" i="36"/>
  <c r="AQ169" i="36"/>
  <c r="AC169" i="36"/>
  <c r="AD169" i="36"/>
  <c r="AE169" i="36"/>
  <c r="AF169" i="36"/>
  <c r="AG169" i="36"/>
  <c r="AH169" i="36"/>
  <c r="AI169" i="36"/>
  <c r="AN146" i="36"/>
  <c r="AO146" i="36"/>
  <c r="AP146" i="36"/>
  <c r="AQ146" i="36"/>
  <c r="AK146" i="36"/>
  <c r="AM146" i="36"/>
  <c r="AC146" i="36"/>
  <c r="AD146" i="36"/>
  <c r="AE146" i="36"/>
  <c r="AF146" i="36"/>
  <c r="AG146" i="36"/>
  <c r="AH146" i="36"/>
  <c r="AI146" i="36"/>
  <c r="AL43" i="36"/>
  <c r="AM43" i="36"/>
  <c r="AN43" i="36"/>
  <c r="AO43" i="36"/>
  <c r="AP43" i="36"/>
  <c r="AQ43" i="36"/>
  <c r="AE43" i="36"/>
  <c r="AF43" i="36"/>
  <c r="AG43" i="36"/>
  <c r="AH43" i="36"/>
  <c r="AI43" i="36"/>
  <c r="AD43" i="36"/>
  <c r="AK12" i="36"/>
  <c r="AL12" i="36"/>
  <c r="AM12" i="36"/>
  <c r="AO12" i="36"/>
  <c r="AP12" i="36"/>
  <c r="AQ12" i="36"/>
  <c r="AI12" i="36"/>
  <c r="AC12" i="36"/>
  <c r="AD12" i="36"/>
  <c r="AE12" i="36"/>
  <c r="AG12" i="36"/>
  <c r="AH12" i="36"/>
  <c r="AF672" i="36"/>
  <c r="AI667" i="36"/>
  <c r="AE663" i="36"/>
  <c r="AH658" i="36"/>
  <c r="AD654" i="36"/>
  <c r="AG649" i="36"/>
  <c r="AI635" i="36"/>
  <c r="AE631" i="36"/>
  <c r="AH626" i="36"/>
  <c r="AD622" i="36"/>
  <c r="AG617" i="36"/>
  <c r="AE608" i="36"/>
  <c r="AG603" i="36"/>
  <c r="AI598" i="36"/>
  <c r="AF589" i="36"/>
  <c r="AH584" i="36"/>
  <c r="AC580" i="36"/>
  <c r="AE575" i="36"/>
  <c r="AI565" i="36"/>
  <c r="AC561" i="36"/>
  <c r="AE556" i="36"/>
  <c r="AI546" i="36"/>
  <c r="AD542" i="36"/>
  <c r="AF537" i="36"/>
  <c r="AH532" i="36"/>
  <c r="AE523" i="36"/>
  <c r="AI513" i="36"/>
  <c r="AD509" i="36"/>
  <c r="AH499" i="36"/>
  <c r="AC495" i="36"/>
  <c r="AE490" i="36"/>
  <c r="AD478" i="36"/>
  <c r="AF472" i="36"/>
  <c r="AE466" i="36"/>
  <c r="AI450" i="36"/>
  <c r="AH443" i="36"/>
  <c r="AF427" i="36"/>
  <c r="AG418" i="36"/>
  <c r="AG409" i="36"/>
  <c r="AE396" i="36"/>
  <c r="AI381" i="36"/>
  <c r="AH363" i="36"/>
  <c r="AF345" i="36"/>
  <c r="AC327" i="36"/>
  <c r="AC308" i="36"/>
  <c r="AL614" i="36"/>
  <c r="AN614" i="36"/>
  <c r="AO614" i="36"/>
  <c r="AK614" i="36"/>
  <c r="AM614" i="36"/>
  <c r="AQ614" i="36"/>
  <c r="AP614" i="36"/>
  <c r="Y617" i="36"/>
  <c r="AK611" i="36"/>
  <c r="AL611" i="36"/>
  <c r="AM611" i="36"/>
  <c r="AN611" i="36"/>
  <c r="AO611" i="36"/>
  <c r="AP611" i="36"/>
  <c r="AQ611" i="36"/>
  <c r="AF611" i="36"/>
  <c r="AN568" i="36"/>
  <c r="AP568" i="36"/>
  <c r="AQ568" i="36"/>
  <c r="AK568" i="36"/>
  <c r="AL568" i="36"/>
  <c r="AM568" i="36"/>
  <c r="AP554" i="36"/>
  <c r="AK554" i="36"/>
  <c r="AL554" i="36"/>
  <c r="AM554" i="36"/>
  <c r="AN554" i="36"/>
  <c r="AQ554" i="36"/>
  <c r="AK511" i="36"/>
  <c r="AL511" i="36"/>
  <c r="AM511" i="36"/>
  <c r="AN511" i="36"/>
  <c r="AP511" i="36"/>
  <c r="AQ511" i="36"/>
  <c r="AO468" i="36"/>
  <c r="AP468" i="36"/>
  <c r="AK468" i="36"/>
  <c r="AL468" i="36"/>
  <c r="AN468" i="36"/>
  <c r="AQ468" i="36"/>
  <c r="AK451" i="36"/>
  <c r="AM451" i="36"/>
  <c r="AN451" i="36"/>
  <c r="AO451" i="36"/>
  <c r="AP451" i="36"/>
  <c r="AQ451" i="36"/>
  <c r="AF451" i="36"/>
  <c r="AG451" i="36"/>
  <c r="AH451" i="36"/>
  <c r="AI451" i="36"/>
  <c r="AL403" i="36"/>
  <c r="AM403" i="36"/>
  <c r="AN403" i="36"/>
  <c r="AO403" i="36"/>
  <c r="AP403" i="36"/>
  <c r="AQ403" i="36"/>
  <c r="AD403" i="36"/>
  <c r="AE403" i="36"/>
  <c r="AF403" i="36"/>
  <c r="AG403" i="36"/>
  <c r="AH403" i="36"/>
  <c r="AI403" i="36"/>
  <c r="AK389" i="36"/>
  <c r="AL389" i="36"/>
  <c r="AM389" i="36"/>
  <c r="AN389" i="36"/>
  <c r="AO389" i="36"/>
  <c r="AQ389" i="36"/>
  <c r="AC389" i="36"/>
  <c r="AD389" i="36"/>
  <c r="AE389" i="36"/>
  <c r="AF389" i="36"/>
  <c r="AG389" i="36"/>
  <c r="AI389" i="36"/>
  <c r="AK358" i="36"/>
  <c r="AM358" i="36"/>
  <c r="AN358" i="36"/>
  <c r="AO358" i="36"/>
  <c r="AP358" i="36"/>
  <c r="AQ358" i="36"/>
  <c r="AC358" i="36"/>
  <c r="AE358" i="36"/>
  <c r="AF358" i="36"/>
  <c r="AG358" i="36"/>
  <c r="AH358" i="36"/>
  <c r="AL324" i="36"/>
  <c r="AN324" i="36"/>
  <c r="AO324" i="36"/>
  <c r="AK324" i="36"/>
  <c r="AM324" i="36"/>
  <c r="AQ324" i="36"/>
  <c r="AC324" i="36"/>
  <c r="AD324" i="36"/>
  <c r="AE324" i="36"/>
  <c r="AF324" i="36"/>
  <c r="AG324" i="36"/>
  <c r="AI324" i="36"/>
  <c r="AK304" i="36"/>
  <c r="AN304" i="36"/>
  <c r="AO304" i="36"/>
  <c r="AL304" i="36"/>
  <c r="AM304" i="36"/>
  <c r="AP304" i="36"/>
  <c r="AQ304" i="36"/>
  <c r="AE304" i="36"/>
  <c r="AF304" i="36"/>
  <c r="AG304" i="36"/>
  <c r="AH304" i="36"/>
  <c r="AI304" i="36"/>
  <c r="AD304" i="36"/>
  <c r="AK235" i="36"/>
  <c r="AL235" i="36"/>
  <c r="AO235" i="36"/>
  <c r="AM235" i="36"/>
  <c r="AP235" i="36"/>
  <c r="AQ235" i="36"/>
  <c r="AC235" i="36"/>
  <c r="AD235" i="36"/>
  <c r="AE235" i="36"/>
  <c r="AG235" i="36"/>
  <c r="AH235" i="36"/>
  <c r="AI235" i="36"/>
  <c r="AK212" i="36"/>
  <c r="AM212" i="36"/>
  <c r="AP212" i="36"/>
  <c r="AN212" i="36"/>
  <c r="AO212" i="36"/>
  <c r="AQ212" i="36"/>
  <c r="AC212" i="36"/>
  <c r="AD212" i="36"/>
  <c r="AE212" i="36"/>
  <c r="AF212" i="36"/>
  <c r="AG212" i="36"/>
  <c r="AH212" i="36"/>
  <c r="AI212" i="36"/>
  <c r="AK189" i="36"/>
  <c r="AM189" i="36"/>
  <c r="AN189" i="36"/>
  <c r="AQ189" i="36"/>
  <c r="AO189" i="36"/>
  <c r="AP189" i="36"/>
  <c r="AC189" i="36"/>
  <c r="AD189" i="36"/>
  <c r="AE189" i="36"/>
  <c r="AF189" i="36"/>
  <c r="AG189" i="36"/>
  <c r="AH189" i="36"/>
  <c r="AI189" i="36"/>
  <c r="AK166" i="36"/>
  <c r="AM166" i="36"/>
  <c r="AN166" i="36"/>
  <c r="AO166" i="36"/>
  <c r="AP166" i="36"/>
  <c r="AQ166" i="36"/>
  <c r="AD166" i="36"/>
  <c r="AE166" i="36"/>
  <c r="AF166" i="36"/>
  <c r="AG166" i="36"/>
  <c r="AH166" i="36"/>
  <c r="AI166" i="36"/>
  <c r="AC166" i="36"/>
  <c r="AM143" i="36"/>
  <c r="AN143" i="36"/>
  <c r="AO143" i="36"/>
  <c r="AP143" i="36"/>
  <c r="AK143" i="36"/>
  <c r="AQ143" i="36"/>
  <c r="AE143" i="36"/>
  <c r="AF143" i="36"/>
  <c r="AG143" i="36"/>
  <c r="AH143" i="36"/>
  <c r="AI143" i="36"/>
  <c r="AC143" i="36"/>
  <c r="AD143" i="36"/>
  <c r="AM120" i="36"/>
  <c r="AN120" i="36"/>
  <c r="AO120" i="36"/>
  <c r="AP120" i="36"/>
  <c r="AQ120" i="36"/>
  <c r="AK120" i="36"/>
  <c r="AF120" i="36"/>
  <c r="AG120" i="36"/>
  <c r="AH120" i="36"/>
  <c r="AI120" i="36"/>
  <c r="AC120" i="36"/>
  <c r="AE120" i="36"/>
  <c r="AN97" i="36"/>
  <c r="AO97" i="36"/>
  <c r="AP97" i="36"/>
  <c r="AQ97" i="36"/>
  <c r="AK97" i="36"/>
  <c r="AM97" i="36"/>
  <c r="AE97" i="36"/>
  <c r="AF97" i="36"/>
  <c r="AG97" i="36"/>
  <c r="AH97" i="36"/>
  <c r="AI97" i="36"/>
  <c r="AC97" i="36"/>
  <c r="AO74" i="36"/>
  <c r="AP74" i="36"/>
  <c r="AQ74" i="36"/>
  <c r="AK74" i="36"/>
  <c r="AM74" i="36"/>
  <c r="AN74" i="36"/>
  <c r="AC74" i="36"/>
  <c r="AE74" i="36"/>
  <c r="AF74" i="36"/>
  <c r="AG74" i="36"/>
  <c r="AH74" i="36"/>
  <c r="AI74" i="36"/>
  <c r="AK57" i="36"/>
  <c r="AM57" i="36"/>
  <c r="AN57" i="36"/>
  <c r="AO57" i="36"/>
  <c r="AQ57" i="36"/>
  <c r="AP57" i="36"/>
  <c r="AC57" i="36"/>
  <c r="AE57" i="36"/>
  <c r="AF57" i="36"/>
  <c r="AG57" i="36"/>
  <c r="AH57" i="36"/>
  <c r="AI57" i="36"/>
  <c r="AE672" i="36"/>
  <c r="AH667" i="36"/>
  <c r="AD663" i="36"/>
  <c r="AG658" i="36"/>
  <c r="AC654" i="36"/>
  <c r="AI644" i="36"/>
  <c r="AE640" i="36"/>
  <c r="AH635" i="36"/>
  <c r="AD631" i="36"/>
  <c r="AG626" i="36"/>
  <c r="AF617" i="36"/>
  <c r="AI612" i="36"/>
  <c r="AF603" i="36"/>
  <c r="AH598" i="36"/>
  <c r="AC594" i="36"/>
  <c r="AE589" i="36"/>
  <c r="AG584" i="36"/>
  <c r="AI579" i="36"/>
  <c r="AD575" i="36"/>
  <c r="AF570" i="36"/>
  <c r="AI560" i="36"/>
  <c r="AD556" i="36"/>
  <c r="AF551" i="36"/>
  <c r="AH546" i="36"/>
  <c r="AE537" i="36"/>
  <c r="AI527" i="36"/>
  <c r="AD523" i="36"/>
  <c r="AF518" i="36"/>
  <c r="AH513" i="36"/>
  <c r="AC509" i="36"/>
  <c r="AE504" i="36"/>
  <c r="AG499" i="36"/>
  <c r="AI494" i="36"/>
  <c r="AD490" i="36"/>
  <c r="AI484" i="36"/>
  <c r="AC478" i="36"/>
  <c r="AH450" i="36"/>
  <c r="AG443" i="36"/>
  <c r="AE427" i="36"/>
  <c r="AF418" i="36"/>
  <c r="AF409" i="36"/>
  <c r="AD396" i="36"/>
  <c r="AG363" i="36"/>
  <c r="AE345" i="36"/>
  <c r="AI326" i="36"/>
  <c r="AI307" i="36"/>
  <c r="AO454" i="36"/>
  <c r="AQ454" i="36"/>
  <c r="AK454" i="36"/>
  <c r="AM454" i="36"/>
  <c r="AN454" i="36"/>
  <c r="AP454" i="36"/>
  <c r="AK361" i="36"/>
  <c r="AN361" i="36"/>
  <c r="AO361" i="36"/>
  <c r="AM361" i="36"/>
  <c r="AP361" i="36"/>
  <c r="AQ361" i="36"/>
  <c r="AC361" i="36"/>
  <c r="AE361" i="36"/>
  <c r="AF361" i="36"/>
  <c r="AG361" i="36"/>
  <c r="AH361" i="36"/>
  <c r="AI361" i="36"/>
  <c r="AP662" i="36"/>
  <c r="AQ662" i="36"/>
  <c r="AK662" i="36"/>
  <c r="AL662" i="36"/>
  <c r="AM662" i="36"/>
  <c r="AO662" i="36"/>
  <c r="AM628" i="36"/>
  <c r="AK628" i="36"/>
  <c r="AN628" i="36"/>
  <c r="AO628" i="36"/>
  <c r="AP628" i="36"/>
  <c r="AQ628" i="36"/>
  <c r="AP608" i="36"/>
  <c r="AK608" i="36"/>
  <c r="AL608" i="36"/>
  <c r="AM608" i="36"/>
  <c r="AN608" i="36"/>
  <c r="AO608" i="36"/>
  <c r="AK528" i="36"/>
  <c r="AL528" i="36"/>
  <c r="AM528" i="36"/>
  <c r="AN528" i="36"/>
  <c r="AP528" i="36"/>
  <c r="AQ528" i="36"/>
  <c r="AL491" i="36"/>
  <c r="AM491" i="36"/>
  <c r="AK491" i="36"/>
  <c r="AN491" i="36"/>
  <c r="AO491" i="36"/>
  <c r="AP491" i="36"/>
  <c r="AQ491" i="36"/>
  <c r="AM465" i="36"/>
  <c r="AO465" i="36"/>
  <c r="AP465" i="36"/>
  <c r="AK465" i="36"/>
  <c r="AL465" i="36"/>
  <c r="AN465" i="36"/>
  <c r="AD465" i="36"/>
  <c r="AE465" i="36"/>
  <c r="AF465" i="36"/>
  <c r="AG465" i="36"/>
  <c r="AH465" i="36"/>
  <c r="AQ434" i="36"/>
  <c r="AK434" i="36"/>
  <c r="AM434" i="36"/>
  <c r="AN434" i="36"/>
  <c r="AO434" i="36"/>
  <c r="AP434" i="36"/>
  <c r="AC434" i="36"/>
  <c r="AG434" i="36"/>
  <c r="AH434" i="36"/>
  <c r="AI434" i="36"/>
  <c r="AL420" i="36"/>
  <c r="AM420" i="36"/>
  <c r="AN420" i="36"/>
  <c r="AO420" i="36"/>
  <c r="AQ420" i="36"/>
  <c r="AP420" i="36"/>
  <c r="AD420" i="36"/>
  <c r="AE420" i="36"/>
  <c r="AF420" i="36"/>
  <c r="AH420" i="36"/>
  <c r="AI420" i="36"/>
  <c r="AK372" i="36"/>
  <c r="AM372" i="36"/>
  <c r="AN372" i="36"/>
  <c r="AO372" i="36"/>
  <c r="AP372" i="36"/>
  <c r="AQ372" i="36"/>
  <c r="AC372" i="36"/>
  <c r="AE372" i="36"/>
  <c r="AF372" i="36"/>
  <c r="AK341" i="36"/>
  <c r="AM341" i="36"/>
  <c r="AN341" i="36"/>
  <c r="AO341" i="36"/>
  <c r="AP341" i="36"/>
  <c r="AQ341" i="36"/>
  <c r="AH341" i="36"/>
  <c r="AI341" i="36"/>
  <c r="AK301" i="36"/>
  <c r="AL301" i="36"/>
  <c r="AM301" i="36"/>
  <c r="AN301" i="36"/>
  <c r="AO301" i="36"/>
  <c r="AP301" i="36"/>
  <c r="AQ301" i="36"/>
  <c r="AC301" i="36"/>
  <c r="AD301" i="36"/>
  <c r="AE301" i="36"/>
  <c r="AF301" i="36"/>
  <c r="AG301" i="36"/>
  <c r="AH301" i="36"/>
  <c r="AI301" i="36"/>
  <c r="AM281" i="36"/>
  <c r="AQ281" i="36"/>
  <c r="AL281" i="36"/>
  <c r="AN281" i="36"/>
  <c r="AO281" i="36"/>
  <c r="AP281" i="36"/>
  <c r="AD281" i="36"/>
  <c r="AE281" i="36"/>
  <c r="AF281" i="36"/>
  <c r="AG281" i="36"/>
  <c r="AH281" i="36"/>
  <c r="AI281" i="36"/>
  <c r="AN258" i="36"/>
  <c r="AL258" i="36"/>
  <c r="AM258" i="36"/>
  <c r="AO258" i="36"/>
  <c r="AP258" i="36"/>
  <c r="AQ258" i="36"/>
  <c r="AE258" i="36"/>
  <c r="AF258" i="36"/>
  <c r="AG258" i="36"/>
  <c r="AD258" i="36"/>
  <c r="AH258" i="36"/>
  <c r="AI258" i="36"/>
  <c r="AO163" i="36"/>
  <c r="AP163" i="36"/>
  <c r="AQ163" i="36"/>
  <c r="AK163" i="36"/>
  <c r="AM163" i="36"/>
  <c r="AN163" i="36"/>
  <c r="AE163" i="36"/>
  <c r="AF163" i="36"/>
  <c r="AG163" i="36"/>
  <c r="AH163" i="36"/>
  <c r="AI163" i="36"/>
  <c r="AC163" i="36"/>
  <c r="AD163" i="36"/>
  <c r="AK140" i="36"/>
  <c r="AM140" i="36"/>
  <c r="AN140" i="36"/>
  <c r="AO140" i="36"/>
  <c r="AP140" i="36"/>
  <c r="AQ140" i="36"/>
  <c r="AC140" i="36"/>
  <c r="AD140" i="36"/>
  <c r="AE140" i="36"/>
  <c r="AF140" i="36"/>
  <c r="AG140" i="36"/>
  <c r="AH140" i="36"/>
  <c r="AI140" i="36"/>
  <c r="AK117" i="36"/>
  <c r="AN117" i="36"/>
  <c r="AO117" i="36"/>
  <c r="AM117" i="36"/>
  <c r="AP117" i="36"/>
  <c r="AQ117" i="36"/>
  <c r="AC117" i="36"/>
  <c r="AE117" i="36"/>
  <c r="AF117" i="36"/>
  <c r="AG117" i="36"/>
  <c r="AH117" i="36"/>
  <c r="AI117" i="36"/>
  <c r="AK94" i="36"/>
  <c r="AO94" i="36"/>
  <c r="AP94" i="36"/>
  <c r="AQ94" i="36"/>
  <c r="AM94" i="36"/>
  <c r="AN94" i="36"/>
  <c r="AH94" i="36"/>
  <c r="AC94" i="36"/>
  <c r="AE94" i="36"/>
  <c r="AF94" i="36"/>
  <c r="AG94" i="36"/>
  <c r="AI94" i="36"/>
  <c r="AK71" i="36"/>
  <c r="AM71" i="36"/>
  <c r="AP71" i="36"/>
  <c r="AQ71" i="36"/>
  <c r="AN71" i="36"/>
  <c r="AO71" i="36"/>
  <c r="AC71" i="36"/>
  <c r="AE71" i="36"/>
  <c r="AF71" i="36"/>
  <c r="AG71" i="36"/>
  <c r="AH71" i="36"/>
  <c r="AI71" i="36"/>
  <c r="AL40" i="36"/>
  <c r="AM40" i="36"/>
  <c r="AN40" i="36"/>
  <c r="AO40" i="36"/>
  <c r="AP40" i="36"/>
  <c r="AQ40" i="36"/>
  <c r="AE40" i="36"/>
  <c r="AF40" i="36"/>
  <c r="AG40" i="36"/>
  <c r="AD40" i="36"/>
  <c r="AH40" i="36"/>
  <c r="AI40" i="36"/>
  <c r="AK26" i="36"/>
  <c r="AL26" i="36"/>
  <c r="AM26" i="36"/>
  <c r="AO26" i="36"/>
  <c r="AP26" i="36"/>
  <c r="AQ26" i="36"/>
  <c r="AG26" i="36"/>
  <c r="AH26" i="36"/>
  <c r="AI26" i="36"/>
  <c r="AC26" i="36"/>
  <c r="AD26" i="36"/>
  <c r="AE26" i="36"/>
  <c r="AD672" i="36"/>
  <c r="AG667" i="36"/>
  <c r="AC663" i="36"/>
  <c r="AI653" i="36"/>
  <c r="AE649" i="36"/>
  <c r="AH644" i="36"/>
  <c r="AD640" i="36"/>
  <c r="AG635" i="36"/>
  <c r="AF626" i="36"/>
  <c r="AI621" i="36"/>
  <c r="AE617" i="36"/>
  <c r="AH612" i="36"/>
  <c r="AC608" i="36"/>
  <c r="AE603" i="36"/>
  <c r="AG598" i="36"/>
  <c r="AI593" i="36"/>
  <c r="AD589" i="36"/>
  <c r="AF584" i="36"/>
  <c r="AH579" i="36"/>
  <c r="AD570" i="36"/>
  <c r="AH560" i="36"/>
  <c r="AI541" i="36"/>
  <c r="AD537" i="36"/>
  <c r="AF532" i="36"/>
  <c r="AH527" i="36"/>
  <c r="AC523" i="36"/>
  <c r="AE518" i="36"/>
  <c r="AD504" i="36"/>
  <c r="AF499" i="36"/>
  <c r="AH494" i="36"/>
  <c r="AH484" i="36"/>
  <c r="AI477" i="36"/>
  <c r="AD472" i="36"/>
  <c r="AI458" i="36"/>
  <c r="AG450" i="36"/>
  <c r="AF443" i="36"/>
  <c r="AI435" i="36"/>
  <c r="AD427" i="36"/>
  <c r="AE418" i="36"/>
  <c r="AE409" i="36"/>
  <c r="AG381" i="36"/>
  <c r="AC304" i="36"/>
  <c r="AK631" i="36"/>
  <c r="AM631" i="36"/>
  <c r="AN631" i="36"/>
  <c r="AO631" i="36"/>
  <c r="AP631" i="36"/>
  <c r="AQ631" i="36"/>
  <c r="AL423" i="36"/>
  <c r="AM423" i="36"/>
  <c r="AN423" i="36"/>
  <c r="AO423" i="36"/>
  <c r="AP423" i="36"/>
  <c r="AQ423" i="36"/>
  <c r="AL406" i="36"/>
  <c r="AM406" i="36"/>
  <c r="AN406" i="36"/>
  <c r="AO406" i="36"/>
  <c r="AP406" i="36"/>
  <c r="AQ406" i="36"/>
  <c r="AD406" i="36"/>
  <c r="AE406" i="36"/>
  <c r="AF406" i="36"/>
  <c r="AG406" i="36"/>
  <c r="AH406" i="36"/>
  <c r="AI406" i="36"/>
  <c r="AL392" i="36"/>
  <c r="AM392" i="36"/>
  <c r="AN392" i="36"/>
  <c r="AO392" i="36"/>
  <c r="AP392" i="36"/>
  <c r="AQ392" i="36"/>
  <c r="AD392" i="36"/>
  <c r="AE392" i="36"/>
  <c r="AF392" i="36"/>
  <c r="AG392" i="36"/>
  <c r="AH392" i="36"/>
  <c r="AI392" i="36"/>
  <c r="AQ648" i="36"/>
  <c r="AK648" i="36"/>
  <c r="AL648" i="36"/>
  <c r="AM648" i="36"/>
  <c r="AO648" i="36"/>
  <c r="AP648" i="36"/>
  <c r="AP588" i="36"/>
  <c r="AQ588" i="36"/>
  <c r="AK588" i="36"/>
  <c r="AL588" i="36"/>
  <c r="AM588" i="36"/>
  <c r="AN588" i="36"/>
  <c r="AO588" i="36"/>
  <c r="AG588" i="36"/>
  <c r="AK565" i="36"/>
  <c r="AL565" i="36"/>
  <c r="AM565" i="36"/>
  <c r="AN565" i="36"/>
  <c r="AP565" i="36"/>
  <c r="AQ565" i="36"/>
  <c r="AH565" i="36"/>
  <c r="AK551" i="36"/>
  <c r="AL551" i="36"/>
  <c r="AM551" i="36"/>
  <c r="AN551" i="36"/>
  <c r="AP551" i="36"/>
  <c r="AQ551" i="36"/>
  <c r="AK508" i="36"/>
  <c r="AL508" i="36"/>
  <c r="AM508" i="36"/>
  <c r="AN508" i="36"/>
  <c r="AP508" i="36"/>
  <c r="AQ508" i="36"/>
  <c r="Y491" i="36"/>
  <c r="AK488" i="36"/>
  <c r="AL488" i="36"/>
  <c r="AM488" i="36"/>
  <c r="AN488" i="36"/>
  <c r="AO488" i="36"/>
  <c r="AP488" i="36"/>
  <c r="AQ488" i="36"/>
  <c r="AC488" i="36"/>
  <c r="AE488" i="36"/>
  <c r="AF488" i="36"/>
  <c r="AH488" i="36"/>
  <c r="AK448" i="36"/>
  <c r="AM448" i="36"/>
  <c r="AN448" i="36"/>
  <c r="AO448" i="36"/>
  <c r="AP448" i="36"/>
  <c r="AQ448" i="36"/>
  <c r="AF448" i="36"/>
  <c r="AG448" i="36"/>
  <c r="AH448" i="36"/>
  <c r="AI448" i="36"/>
  <c r="AL386" i="36"/>
  <c r="AM386" i="36"/>
  <c r="AQ386" i="36"/>
  <c r="AK386" i="36"/>
  <c r="AN386" i="36"/>
  <c r="AO386" i="36"/>
  <c r="AC386" i="36"/>
  <c r="AO355" i="36"/>
  <c r="AQ355" i="36"/>
  <c r="AK355" i="36"/>
  <c r="AM355" i="36"/>
  <c r="AN355" i="36"/>
  <c r="AP355" i="36"/>
  <c r="AF355" i="36"/>
  <c r="AG355" i="36"/>
  <c r="AH355" i="36"/>
  <c r="AI355" i="36"/>
  <c r="AN321" i="36"/>
  <c r="AQ321" i="36"/>
  <c r="AK321" i="36"/>
  <c r="AL321" i="36"/>
  <c r="AM321" i="36"/>
  <c r="AO321" i="36"/>
  <c r="AC321" i="36"/>
  <c r="AD321" i="36"/>
  <c r="AE321" i="36"/>
  <c r="AF321" i="36"/>
  <c r="AG321" i="36"/>
  <c r="AI321" i="36"/>
  <c r="Y301" i="36"/>
  <c r="AL278" i="36"/>
  <c r="AM278" i="36"/>
  <c r="AN278" i="36"/>
  <c r="AO278" i="36"/>
  <c r="AP278" i="36"/>
  <c r="AQ278" i="36"/>
  <c r="AD278" i="36"/>
  <c r="AE278" i="36"/>
  <c r="AF278" i="36"/>
  <c r="AG278" i="36"/>
  <c r="AH278" i="36"/>
  <c r="AI278" i="36"/>
  <c r="AL255" i="36"/>
  <c r="AM255" i="36"/>
  <c r="AN255" i="36"/>
  <c r="AO255" i="36"/>
  <c r="AP255" i="36"/>
  <c r="AQ255" i="36"/>
  <c r="AD255" i="36"/>
  <c r="AE255" i="36"/>
  <c r="AF255" i="36"/>
  <c r="AG255" i="36"/>
  <c r="AH255" i="36"/>
  <c r="AI255" i="36"/>
  <c r="AK232" i="36"/>
  <c r="AL232" i="36"/>
  <c r="AM232" i="36"/>
  <c r="AO232" i="36"/>
  <c r="AP232" i="36"/>
  <c r="AQ232" i="36"/>
  <c r="AC232" i="36"/>
  <c r="AD232" i="36"/>
  <c r="AE232" i="36"/>
  <c r="AG232" i="36"/>
  <c r="AH232" i="36"/>
  <c r="AI232" i="36"/>
  <c r="AK209" i="36"/>
  <c r="AM209" i="36"/>
  <c r="AN209" i="36"/>
  <c r="AO209" i="36"/>
  <c r="AP209" i="36"/>
  <c r="AQ209" i="36"/>
  <c r="AC209" i="36"/>
  <c r="AD209" i="36"/>
  <c r="AE209" i="36"/>
  <c r="AF209" i="36"/>
  <c r="AG209" i="36"/>
  <c r="AH209" i="36"/>
  <c r="AI209" i="36"/>
  <c r="AM186" i="36"/>
  <c r="AN186" i="36"/>
  <c r="AO186" i="36"/>
  <c r="AP186" i="36"/>
  <c r="AQ186" i="36"/>
  <c r="AK186" i="36"/>
  <c r="AC186" i="36"/>
  <c r="AD186" i="36"/>
  <c r="AE186" i="36"/>
  <c r="AF186" i="36"/>
  <c r="AG186" i="36"/>
  <c r="AH186" i="36"/>
  <c r="AI186" i="36"/>
  <c r="AM91" i="36"/>
  <c r="AN91" i="36"/>
  <c r="AO91" i="36"/>
  <c r="AP91" i="36"/>
  <c r="AQ91" i="36"/>
  <c r="AK91" i="36"/>
  <c r="AF91" i="36"/>
  <c r="AC91" i="36"/>
  <c r="AE91" i="36"/>
  <c r="AG91" i="36"/>
  <c r="AH91" i="36"/>
  <c r="AI91" i="36"/>
  <c r="AK54" i="36"/>
  <c r="AM54" i="36"/>
  <c r="AN54" i="36"/>
  <c r="AO54" i="36"/>
  <c r="AP54" i="36"/>
  <c r="AQ54" i="36"/>
  <c r="AC54" i="36"/>
  <c r="AE54" i="36"/>
  <c r="AI54" i="36"/>
  <c r="AF54" i="36"/>
  <c r="AG54" i="36"/>
  <c r="AH54" i="36"/>
  <c r="AK23" i="36"/>
  <c r="AL23" i="36"/>
  <c r="AM23" i="36"/>
  <c r="AO23" i="36"/>
  <c r="AP23" i="36"/>
  <c r="AQ23" i="36"/>
  <c r="AC23" i="36"/>
  <c r="AD23" i="36"/>
  <c r="AE23" i="36"/>
  <c r="AG23" i="36"/>
  <c r="AH23" i="36"/>
  <c r="AI23" i="36"/>
  <c r="AK9" i="36"/>
  <c r="AL9" i="36"/>
  <c r="AM9" i="36"/>
  <c r="AO9" i="36"/>
  <c r="AP9" i="36"/>
  <c r="AQ9" i="36"/>
  <c r="AD9" i="36"/>
  <c r="AC9" i="36"/>
  <c r="AE9" i="36"/>
  <c r="AG9" i="36"/>
  <c r="AH9" i="36"/>
  <c r="AI9" i="36"/>
  <c r="AC672" i="36"/>
  <c r="AF667" i="36"/>
  <c r="AI662" i="36"/>
  <c r="AE658" i="36"/>
  <c r="AH653" i="36"/>
  <c r="AD649" i="36"/>
  <c r="AG644" i="36"/>
  <c r="AC640" i="36"/>
  <c r="AI630" i="36"/>
  <c r="AE626" i="36"/>
  <c r="AH621" i="36"/>
  <c r="AD617" i="36"/>
  <c r="AG612" i="36"/>
  <c r="AI607" i="36"/>
  <c r="AF598" i="36"/>
  <c r="AH593" i="36"/>
  <c r="AC589" i="36"/>
  <c r="AE584" i="36"/>
  <c r="AG579" i="36"/>
  <c r="AH574" i="36"/>
  <c r="AE565" i="36"/>
  <c r="AI555" i="36"/>
  <c r="AD551" i="36"/>
  <c r="AF546" i="36"/>
  <c r="AH541" i="36"/>
  <c r="AC537" i="36"/>
  <c r="AE532" i="36"/>
  <c r="AI522" i="36"/>
  <c r="AD518" i="36"/>
  <c r="AF513" i="36"/>
  <c r="AH508" i="36"/>
  <c r="AC504" i="36"/>
  <c r="AE499" i="36"/>
  <c r="AG494" i="36"/>
  <c r="AI489" i="36"/>
  <c r="AG484" i="36"/>
  <c r="AH477" i="36"/>
  <c r="AC472" i="36"/>
  <c r="AH464" i="36"/>
  <c r="AH458" i="36"/>
  <c r="AF450" i="36"/>
  <c r="AH435" i="36"/>
  <c r="AD418" i="36"/>
  <c r="AD409" i="36"/>
  <c r="AI395" i="36"/>
  <c r="AI359" i="36"/>
  <c r="AG341" i="36"/>
  <c r="AD323" i="36"/>
  <c r="AQ659" i="36"/>
  <c r="AK659" i="36"/>
  <c r="AL659" i="36"/>
  <c r="AM659" i="36"/>
  <c r="AO659" i="36"/>
  <c r="AP659" i="36"/>
  <c r="AK645" i="36"/>
  <c r="AM645" i="36"/>
  <c r="AO645" i="36"/>
  <c r="AP645" i="36"/>
  <c r="AQ645" i="36"/>
  <c r="AL645" i="36"/>
  <c r="AK625" i="36"/>
  <c r="AM625" i="36"/>
  <c r="AN625" i="36"/>
  <c r="AO625" i="36"/>
  <c r="AP625" i="36"/>
  <c r="AQ625" i="36"/>
  <c r="AK605" i="36"/>
  <c r="AM605" i="36"/>
  <c r="AN605" i="36"/>
  <c r="AO605" i="36"/>
  <c r="AP605" i="36"/>
  <c r="AQ605" i="36"/>
  <c r="AK585" i="36"/>
  <c r="AL585" i="36"/>
  <c r="AM585" i="36"/>
  <c r="AN585" i="36"/>
  <c r="AO585" i="36"/>
  <c r="AP585" i="36"/>
  <c r="AQ585" i="36"/>
  <c r="AP562" i="36"/>
  <c r="AQ562" i="36"/>
  <c r="AK562" i="36"/>
  <c r="AL562" i="36"/>
  <c r="AM562" i="36"/>
  <c r="AN562" i="36"/>
  <c r="AK548" i="36"/>
  <c r="AL548" i="36"/>
  <c r="AM548" i="36"/>
  <c r="AN548" i="36"/>
  <c r="AP548" i="36"/>
  <c r="AQ548" i="36"/>
  <c r="AK525" i="36"/>
  <c r="AL525" i="36"/>
  <c r="AM525" i="36"/>
  <c r="AN525" i="36"/>
  <c r="AP525" i="36"/>
  <c r="AQ525" i="36"/>
  <c r="AK505" i="36"/>
  <c r="AM505" i="36"/>
  <c r="AO505" i="36"/>
  <c r="AP505" i="36"/>
  <c r="AQ505" i="36"/>
  <c r="AL505" i="36"/>
  <c r="AM485" i="36"/>
  <c r="AO485" i="36"/>
  <c r="AP485" i="36"/>
  <c r="AQ485" i="36"/>
  <c r="AK485" i="36"/>
  <c r="AL485" i="36"/>
  <c r="AN485" i="36"/>
  <c r="AQ462" i="36"/>
  <c r="AM462" i="36"/>
  <c r="AN462" i="36"/>
  <c r="AO462" i="36"/>
  <c r="AP462" i="36"/>
  <c r="AK462" i="36"/>
  <c r="AG462" i="36"/>
  <c r="AH462" i="36"/>
  <c r="AP431" i="36"/>
  <c r="AK431" i="36"/>
  <c r="AM431" i="36"/>
  <c r="AN431" i="36"/>
  <c r="AO431" i="36"/>
  <c r="AQ431" i="36"/>
  <c r="AL417" i="36"/>
  <c r="AM417" i="36"/>
  <c r="AN417" i="36"/>
  <c r="AO417" i="36"/>
  <c r="AP417" i="36"/>
  <c r="AQ417" i="36"/>
  <c r="AC417" i="36"/>
  <c r="AL400" i="36"/>
  <c r="AP400" i="36"/>
  <c r="AM400" i="36"/>
  <c r="AO400" i="36"/>
  <c r="AN400" i="36"/>
  <c r="AQ400" i="36"/>
  <c r="AM383" i="36"/>
  <c r="AN383" i="36"/>
  <c r="AO383" i="36"/>
  <c r="AQ383" i="36"/>
  <c r="AK383" i="36"/>
  <c r="AL383" i="36"/>
  <c r="AC383" i="36"/>
  <c r="AD383" i="36"/>
  <c r="AE383" i="36"/>
  <c r="AF383" i="36"/>
  <c r="AG383" i="36"/>
  <c r="AI383" i="36"/>
  <c r="AK338" i="36"/>
  <c r="AM338" i="36"/>
  <c r="AN338" i="36"/>
  <c r="AO338" i="36"/>
  <c r="AP338" i="36"/>
  <c r="AQ338" i="36"/>
  <c r="AC338" i="36"/>
  <c r="AE338" i="36"/>
  <c r="AF338" i="36"/>
  <c r="AG338" i="36"/>
  <c r="AH338" i="36"/>
  <c r="AI338" i="36"/>
  <c r="AK318" i="36"/>
  <c r="AL318" i="36"/>
  <c r="AM318" i="36"/>
  <c r="AN318" i="36"/>
  <c r="AO318" i="36"/>
  <c r="AP318" i="36"/>
  <c r="AC318" i="36"/>
  <c r="AG318" i="36"/>
  <c r="AH318" i="36"/>
  <c r="AI318" i="36"/>
  <c r="AO298" i="36"/>
  <c r="AQ298" i="36"/>
  <c r="AL298" i="36"/>
  <c r="AM298" i="36"/>
  <c r="AK298" i="36"/>
  <c r="AN298" i="36"/>
  <c r="AP298" i="36"/>
  <c r="AC298" i="36"/>
  <c r="AD298" i="36"/>
  <c r="AE298" i="36"/>
  <c r="AP275" i="36"/>
  <c r="AQ275" i="36"/>
  <c r="AO275" i="36"/>
  <c r="AL275" i="36"/>
  <c r="AM275" i="36"/>
  <c r="AN275" i="36"/>
  <c r="AI275" i="36"/>
  <c r="AD275" i="36"/>
  <c r="AE275" i="36"/>
  <c r="AF275" i="36"/>
  <c r="AG275" i="36"/>
  <c r="AH275" i="36"/>
  <c r="AQ252" i="36"/>
  <c r="AK252" i="36"/>
  <c r="AL252" i="36"/>
  <c r="AM252" i="36"/>
  <c r="AN252" i="36"/>
  <c r="AO252" i="36"/>
  <c r="AC252" i="36"/>
  <c r="AD252" i="36"/>
  <c r="AE252" i="36"/>
  <c r="AF252" i="36"/>
  <c r="AG252" i="36"/>
  <c r="AI252" i="36"/>
  <c r="AK229" i="36"/>
  <c r="AL229" i="36"/>
  <c r="AM229" i="36"/>
  <c r="AO229" i="36"/>
  <c r="AP229" i="36"/>
  <c r="AQ229" i="36"/>
  <c r="AG229" i="36"/>
  <c r="AH229" i="36"/>
  <c r="AI229" i="36"/>
  <c r="AC229" i="36"/>
  <c r="AD229" i="36"/>
  <c r="AE229" i="36"/>
  <c r="AK206" i="36"/>
  <c r="AM206" i="36"/>
  <c r="AN206" i="36"/>
  <c r="AO206" i="36"/>
  <c r="AP206" i="36"/>
  <c r="AQ206" i="36"/>
  <c r="AC206" i="36"/>
  <c r="AD206" i="36"/>
  <c r="AE206" i="36"/>
  <c r="AF206" i="36"/>
  <c r="AG206" i="36"/>
  <c r="AH206" i="36"/>
  <c r="AI206" i="36"/>
  <c r="AK183" i="36"/>
  <c r="AM183" i="36"/>
  <c r="AN183" i="36"/>
  <c r="AO183" i="36"/>
  <c r="AP183" i="36"/>
  <c r="AQ183" i="36"/>
  <c r="AC183" i="36"/>
  <c r="AD183" i="36"/>
  <c r="AE183" i="36"/>
  <c r="AF183" i="36"/>
  <c r="AG183" i="36"/>
  <c r="AH183" i="36"/>
  <c r="AI183" i="36"/>
  <c r="AK160" i="36"/>
  <c r="AM160" i="36"/>
  <c r="AN160" i="36"/>
  <c r="AO160" i="36"/>
  <c r="AP160" i="36"/>
  <c r="AQ160" i="36"/>
  <c r="AC160" i="36"/>
  <c r="AD160" i="36"/>
  <c r="AE160" i="36"/>
  <c r="AF160" i="36"/>
  <c r="AG160" i="36"/>
  <c r="AH160" i="36"/>
  <c r="AI160" i="36"/>
  <c r="AK137" i="36"/>
  <c r="AM137" i="36"/>
  <c r="AN137" i="36"/>
  <c r="AO137" i="36"/>
  <c r="AP137" i="36"/>
  <c r="AQ137" i="36"/>
  <c r="AC137" i="36"/>
  <c r="AD137" i="36"/>
  <c r="AE137" i="36"/>
  <c r="AF137" i="36"/>
  <c r="AG137" i="36"/>
  <c r="AH137" i="36"/>
  <c r="AI137" i="36"/>
  <c r="AP114" i="36"/>
  <c r="AQ114" i="36"/>
  <c r="AK114" i="36"/>
  <c r="AM114" i="36"/>
  <c r="AN114" i="36"/>
  <c r="AO114" i="36"/>
  <c r="AE114" i="36"/>
  <c r="AF114" i="36"/>
  <c r="AG114" i="36"/>
  <c r="AH114" i="36"/>
  <c r="AI114" i="36"/>
  <c r="AC114" i="36"/>
  <c r="AK68" i="36"/>
  <c r="AM68" i="36"/>
  <c r="AN68" i="36"/>
  <c r="AO68" i="36"/>
  <c r="AP68" i="36"/>
  <c r="AQ68" i="36"/>
  <c r="AC68" i="36"/>
  <c r="AG68" i="36"/>
  <c r="AH68" i="36"/>
  <c r="AI68" i="36"/>
  <c r="AE68" i="36"/>
  <c r="AF68" i="36"/>
  <c r="AK37" i="36"/>
  <c r="AL37" i="36"/>
  <c r="AM37" i="36"/>
  <c r="AN37" i="36"/>
  <c r="AP37" i="36"/>
  <c r="AQ37" i="36"/>
  <c r="AC37" i="36"/>
  <c r="AD37" i="36"/>
  <c r="AE37" i="36"/>
  <c r="AF37" i="36"/>
  <c r="AH37" i="36"/>
  <c r="AI37" i="36"/>
  <c r="AI671" i="36"/>
  <c r="AE667" i="36"/>
  <c r="AH662" i="36"/>
  <c r="AD658" i="36"/>
  <c r="AG653" i="36"/>
  <c r="AC649" i="36"/>
  <c r="AI639" i="36"/>
  <c r="AE635" i="36"/>
  <c r="AH630" i="36"/>
  <c r="AD626" i="36"/>
  <c r="AG621" i="36"/>
  <c r="AC617" i="36"/>
  <c r="AF612" i="36"/>
  <c r="AH607" i="36"/>
  <c r="AC603" i="36"/>
  <c r="AE598" i="36"/>
  <c r="AG593" i="36"/>
  <c r="AI588" i="36"/>
  <c r="AD584" i="36"/>
  <c r="AE579" i="36"/>
  <c r="AG574" i="36"/>
  <c r="AI569" i="36"/>
  <c r="AD565" i="36"/>
  <c r="AF560" i="36"/>
  <c r="AH555" i="36"/>
  <c r="AC551" i="36"/>
  <c r="AE546" i="36"/>
  <c r="AI536" i="36"/>
  <c r="AD532" i="36"/>
  <c r="AF527" i="36"/>
  <c r="AH522" i="36"/>
  <c r="AC518" i="36"/>
  <c r="AE513" i="36"/>
  <c r="AI503" i="36"/>
  <c r="AD499" i="36"/>
  <c r="AF494" i="36"/>
  <c r="AH489" i="36"/>
  <c r="AE483" i="36"/>
  <c r="AG477" i="36"/>
  <c r="AH471" i="36"/>
  <c r="AG464" i="36"/>
  <c r="AG458" i="36"/>
  <c r="AE450" i="36"/>
  <c r="AG435" i="36"/>
  <c r="AI426" i="36"/>
  <c r="AC418" i="36"/>
  <c r="AH395" i="36"/>
  <c r="AC378" i="36"/>
  <c r="AH359" i="36"/>
  <c r="AF341" i="36"/>
  <c r="AG303" i="36"/>
  <c r="AK642" i="36"/>
  <c r="AL642" i="36"/>
  <c r="AM642" i="36"/>
  <c r="AO642" i="36"/>
  <c r="AP642" i="36"/>
  <c r="AQ642" i="36"/>
  <c r="AK622" i="36"/>
  <c r="AM622" i="36"/>
  <c r="AN622" i="36"/>
  <c r="AO622" i="36"/>
  <c r="AP622" i="36"/>
  <c r="AQ622" i="36"/>
  <c r="AK602" i="36"/>
  <c r="AM602" i="36"/>
  <c r="AN602" i="36"/>
  <c r="AO602" i="36"/>
  <c r="AP602" i="36"/>
  <c r="AQ602" i="36"/>
  <c r="AE602" i="36"/>
  <c r="AQ545" i="36"/>
  <c r="AK545" i="36"/>
  <c r="AL545" i="36"/>
  <c r="AM545" i="36"/>
  <c r="AN545" i="36"/>
  <c r="AP545" i="36"/>
  <c r="AL502" i="36"/>
  <c r="AM502" i="36"/>
  <c r="AN502" i="36"/>
  <c r="AO502" i="36"/>
  <c r="AP502" i="36"/>
  <c r="AQ502" i="36"/>
  <c r="AK482" i="36"/>
  <c r="AM482" i="36"/>
  <c r="AN482" i="36"/>
  <c r="AL482" i="36"/>
  <c r="AO482" i="36"/>
  <c r="AP482" i="36"/>
  <c r="AQ482" i="36"/>
  <c r="AN445" i="36"/>
  <c r="AP445" i="36"/>
  <c r="AQ445" i="36"/>
  <c r="AM445" i="36"/>
  <c r="AO445" i="36"/>
  <c r="AK445" i="36"/>
  <c r="AQ414" i="36"/>
  <c r="AL414" i="36"/>
  <c r="AM414" i="36"/>
  <c r="AN414" i="36"/>
  <c r="AO414" i="36"/>
  <c r="AP414" i="36"/>
  <c r="AI414" i="36"/>
  <c r="AK369" i="36"/>
  <c r="AM369" i="36"/>
  <c r="AN369" i="36"/>
  <c r="AO369" i="36"/>
  <c r="AP369" i="36"/>
  <c r="AQ369" i="36"/>
  <c r="AE369" i="36"/>
  <c r="AF369" i="36"/>
  <c r="AG369" i="36"/>
  <c r="AH369" i="36"/>
  <c r="AI369" i="36"/>
  <c r="AK295" i="36"/>
  <c r="AL295" i="36"/>
  <c r="AM295" i="36"/>
  <c r="AN295" i="36"/>
  <c r="AO295" i="36"/>
  <c r="AP295" i="36"/>
  <c r="AQ295" i="36"/>
  <c r="AC295" i="36"/>
  <c r="AD295" i="36"/>
  <c r="AE295" i="36"/>
  <c r="AF295" i="36"/>
  <c r="AG295" i="36"/>
  <c r="AH295" i="36"/>
  <c r="AI295" i="36"/>
  <c r="AK203" i="36"/>
  <c r="AO203" i="36"/>
  <c r="AM203" i="36"/>
  <c r="AN203" i="36"/>
  <c r="AP203" i="36"/>
  <c r="AQ203" i="36"/>
  <c r="AC203" i="36"/>
  <c r="AD203" i="36"/>
  <c r="AE203" i="36"/>
  <c r="AF203" i="36"/>
  <c r="AG203" i="36"/>
  <c r="AH203" i="36"/>
  <c r="AI203" i="36"/>
  <c r="AK180" i="36"/>
  <c r="AM180" i="36"/>
  <c r="AP180" i="36"/>
  <c r="AO180" i="36"/>
  <c r="AQ180" i="36"/>
  <c r="AN180" i="36"/>
  <c r="AC180" i="36"/>
  <c r="AD180" i="36"/>
  <c r="AE180" i="36"/>
  <c r="AF180" i="36"/>
  <c r="AG180" i="36"/>
  <c r="AH180" i="36"/>
  <c r="AI180" i="36"/>
  <c r="AK157" i="36"/>
  <c r="AM157" i="36"/>
  <c r="AN157" i="36"/>
  <c r="AQ157" i="36"/>
  <c r="AO157" i="36"/>
  <c r="AP157" i="36"/>
  <c r="AC157" i="36"/>
  <c r="AD157" i="36"/>
  <c r="AE157" i="36"/>
  <c r="AF157" i="36"/>
  <c r="AG157" i="36"/>
  <c r="AH157" i="36"/>
  <c r="AI157" i="36"/>
  <c r="AK134" i="36"/>
  <c r="AM134" i="36"/>
  <c r="AN134" i="36"/>
  <c r="AO134" i="36"/>
  <c r="AP134" i="36"/>
  <c r="AQ134" i="36"/>
  <c r="AD134" i="36"/>
  <c r="AE134" i="36"/>
  <c r="AF134" i="36"/>
  <c r="AG134" i="36"/>
  <c r="AH134" i="36"/>
  <c r="AI134" i="36"/>
  <c r="AC134" i="36"/>
  <c r="AM111" i="36"/>
  <c r="AN111" i="36"/>
  <c r="AO111" i="36"/>
  <c r="AP111" i="36"/>
  <c r="AQ111" i="36"/>
  <c r="AK111" i="36"/>
  <c r="AE111" i="36"/>
  <c r="AF111" i="36"/>
  <c r="AG111" i="36"/>
  <c r="AH111" i="36"/>
  <c r="AI111" i="36"/>
  <c r="AC111" i="36"/>
  <c r="AM88" i="36"/>
  <c r="AN88" i="36"/>
  <c r="AO88" i="36"/>
  <c r="AP88" i="36"/>
  <c r="AQ88" i="36"/>
  <c r="AK88" i="36"/>
  <c r="AC88" i="36"/>
  <c r="AE88" i="36"/>
  <c r="AF88" i="36"/>
  <c r="AG88" i="36"/>
  <c r="AH88" i="36"/>
  <c r="AI88" i="36"/>
  <c r="AP51" i="36"/>
  <c r="AQ51" i="36"/>
  <c r="AL51" i="36"/>
  <c r="AM51" i="36"/>
  <c r="AN51" i="36"/>
  <c r="AO51" i="36"/>
  <c r="AD51" i="36"/>
  <c r="AE51" i="36"/>
  <c r="AG51" i="36"/>
  <c r="AH51" i="36"/>
  <c r="AF51" i="36"/>
  <c r="AI51" i="36"/>
  <c r="AK20" i="36"/>
  <c r="AL20" i="36"/>
  <c r="AM20" i="36"/>
  <c r="AO20" i="36"/>
  <c r="AP20" i="36"/>
  <c r="AQ20" i="36"/>
  <c r="AC20" i="36"/>
  <c r="AD20" i="36"/>
  <c r="AE20" i="36"/>
  <c r="AG20" i="36"/>
  <c r="AH20" i="36"/>
  <c r="AI20" i="36"/>
  <c r="AK6" i="36"/>
  <c r="AL6" i="36"/>
  <c r="AM6" i="36"/>
  <c r="AO6" i="36"/>
  <c r="AP6" i="36"/>
  <c r="AQ6" i="36"/>
  <c r="AD6" i="36"/>
  <c r="AE6" i="36"/>
  <c r="AG6" i="36"/>
  <c r="AH6" i="36"/>
  <c r="AI6" i="36"/>
  <c r="AC6" i="36"/>
  <c r="AH671" i="36"/>
  <c r="AD667" i="36"/>
  <c r="AG662" i="36"/>
  <c r="AC658" i="36"/>
  <c r="AI648" i="36"/>
  <c r="AE644" i="36"/>
  <c r="AD635" i="36"/>
  <c r="AG630" i="36"/>
  <c r="AC626" i="36"/>
  <c r="AF621" i="36"/>
  <c r="AI616" i="36"/>
  <c r="AE612" i="36"/>
  <c r="AG607" i="36"/>
  <c r="AI602" i="36"/>
  <c r="AF593" i="36"/>
  <c r="AH588" i="36"/>
  <c r="AI583" i="36"/>
  <c r="AD579" i="36"/>
  <c r="AF574" i="36"/>
  <c r="AH569" i="36"/>
  <c r="AC565" i="36"/>
  <c r="AE560" i="36"/>
  <c r="AI550" i="36"/>
  <c r="AD546" i="36"/>
  <c r="AF541" i="36"/>
  <c r="AH536" i="36"/>
  <c r="AC532" i="36"/>
  <c r="AE527" i="36"/>
  <c r="AI517" i="36"/>
  <c r="AD513" i="36"/>
  <c r="AF508" i="36"/>
  <c r="AH503" i="36"/>
  <c r="AE494" i="36"/>
  <c r="AG489" i="36"/>
  <c r="AD483" i="36"/>
  <c r="AF477" i="36"/>
  <c r="AG471" i="36"/>
  <c r="AF464" i="36"/>
  <c r="AF458" i="36"/>
  <c r="AI441" i="36"/>
  <c r="AF435" i="36"/>
  <c r="AH426" i="36"/>
  <c r="AI417" i="36"/>
  <c r="AI408" i="36"/>
  <c r="AG395" i="36"/>
  <c r="AI377" i="36"/>
  <c r="AG359" i="36"/>
  <c r="AE341" i="36"/>
  <c r="AI322" i="36"/>
  <c r="AF303" i="36"/>
  <c r="AM591" i="36"/>
  <c r="AO591" i="36"/>
  <c r="AP591" i="36"/>
  <c r="AK591" i="36"/>
  <c r="AN591" i="36"/>
  <c r="AQ591" i="36"/>
  <c r="AK656" i="36"/>
  <c r="AL656" i="36"/>
  <c r="AM656" i="36"/>
  <c r="AO656" i="36"/>
  <c r="AP656" i="36"/>
  <c r="AQ656" i="36"/>
  <c r="AL639" i="36"/>
  <c r="AM639" i="36"/>
  <c r="AO639" i="36"/>
  <c r="AQ639" i="36"/>
  <c r="AK639" i="36"/>
  <c r="AP639" i="36"/>
  <c r="AK599" i="36"/>
  <c r="AN599" i="36"/>
  <c r="AO599" i="36"/>
  <c r="AP599" i="36"/>
  <c r="AM599" i="36"/>
  <c r="AQ599" i="36"/>
  <c r="AL582" i="36"/>
  <c r="AN582" i="36"/>
  <c r="AO582" i="36"/>
  <c r="AK582" i="36"/>
  <c r="AM582" i="36"/>
  <c r="AP582" i="36"/>
  <c r="AQ582" i="36"/>
  <c r="AK542" i="36"/>
  <c r="AL542" i="36"/>
  <c r="AM542" i="36"/>
  <c r="AN542" i="36"/>
  <c r="AP542" i="36"/>
  <c r="AQ542" i="36"/>
  <c r="AI542" i="36"/>
  <c r="AP522" i="36"/>
  <c r="AK522" i="36"/>
  <c r="AL522" i="36"/>
  <c r="AM522" i="36"/>
  <c r="AN522" i="36"/>
  <c r="AQ522" i="36"/>
  <c r="AO499" i="36"/>
  <c r="AQ499" i="36"/>
  <c r="AL499" i="36"/>
  <c r="AM499" i="36"/>
  <c r="AN499" i="36"/>
  <c r="AP499" i="36"/>
  <c r="Y485" i="36"/>
  <c r="AK479" i="36"/>
  <c r="AL479" i="36"/>
  <c r="AN479" i="36"/>
  <c r="AO479" i="36"/>
  <c r="AP479" i="36"/>
  <c r="AQ479" i="36"/>
  <c r="AC479" i="36"/>
  <c r="AD479" i="36"/>
  <c r="AE479" i="36"/>
  <c r="AF479" i="36"/>
  <c r="AG479" i="36"/>
  <c r="AH479" i="36"/>
  <c r="AI479" i="36"/>
  <c r="AL428" i="36"/>
  <c r="AM428" i="36"/>
  <c r="AN428" i="36"/>
  <c r="AO428" i="36"/>
  <c r="AP428" i="36"/>
  <c r="AQ428" i="36"/>
  <c r="AG428" i="36"/>
  <c r="AH428" i="36"/>
  <c r="AI428" i="36"/>
  <c r="AQ380" i="36"/>
  <c r="AO380" i="36"/>
  <c r="AK380" i="36"/>
  <c r="AL380" i="36"/>
  <c r="AM380" i="36"/>
  <c r="AN380" i="36"/>
  <c r="AC380" i="36"/>
  <c r="AD380" i="36"/>
  <c r="AE380" i="36"/>
  <c r="AF380" i="36"/>
  <c r="AG380" i="36"/>
  <c r="AI380" i="36"/>
  <c r="AK366" i="36"/>
  <c r="AN366" i="36"/>
  <c r="AO366" i="36"/>
  <c r="AM366" i="36"/>
  <c r="AP366" i="36"/>
  <c r="AQ366" i="36"/>
  <c r="AC366" i="36"/>
  <c r="AE366" i="36"/>
  <c r="AF366" i="36"/>
  <c r="AG366" i="36"/>
  <c r="AH366" i="36"/>
  <c r="AI366" i="36"/>
  <c r="AK352" i="36"/>
  <c r="AM352" i="36"/>
  <c r="AN352" i="36"/>
  <c r="AO352" i="36"/>
  <c r="AP352" i="36"/>
  <c r="AQ352" i="36"/>
  <c r="AC352" i="36"/>
  <c r="AE352" i="36"/>
  <c r="AF352" i="36"/>
  <c r="AG352" i="36"/>
  <c r="AH352" i="36"/>
  <c r="AI352" i="36"/>
  <c r="AN335" i="36"/>
  <c r="AO335" i="36"/>
  <c r="AP335" i="36"/>
  <c r="AQ335" i="36"/>
  <c r="AK335" i="36"/>
  <c r="AM335" i="36"/>
  <c r="AC335" i="36"/>
  <c r="AE335" i="36"/>
  <c r="AF335" i="36"/>
  <c r="AG335" i="36"/>
  <c r="AH335" i="36"/>
  <c r="AI335" i="36"/>
  <c r="AK315" i="36"/>
  <c r="AL315" i="36"/>
  <c r="AM315" i="36"/>
  <c r="AN315" i="36"/>
  <c r="AO315" i="36"/>
  <c r="AP315" i="36"/>
  <c r="AC315" i="36"/>
  <c r="AD315" i="36"/>
  <c r="AE315" i="36"/>
  <c r="AF315" i="36"/>
  <c r="AG315" i="36"/>
  <c r="AH315" i="36"/>
  <c r="AI315" i="36"/>
  <c r="AP292" i="36"/>
  <c r="AK292" i="36"/>
  <c r="AL292" i="36"/>
  <c r="AM292" i="36"/>
  <c r="AN292" i="36"/>
  <c r="AO292" i="36"/>
  <c r="AQ292" i="36"/>
  <c r="AC292" i="36"/>
  <c r="AD292" i="36"/>
  <c r="AE292" i="36"/>
  <c r="AF292" i="36"/>
  <c r="AG292" i="36"/>
  <c r="AH292" i="36"/>
  <c r="AI292" i="36"/>
  <c r="AL272" i="36"/>
  <c r="AM272" i="36"/>
  <c r="AN272" i="36"/>
  <c r="AO272" i="36"/>
  <c r="AP272" i="36"/>
  <c r="AQ272" i="36"/>
  <c r="AD272" i="36"/>
  <c r="AE272" i="36"/>
  <c r="AF272" i="36"/>
  <c r="AG272" i="36"/>
  <c r="AH272" i="36"/>
  <c r="AI272" i="36"/>
  <c r="AM249" i="36"/>
  <c r="AL249" i="36"/>
  <c r="AN249" i="36"/>
  <c r="AK249" i="36"/>
  <c r="AO249" i="36"/>
  <c r="AQ249" i="36"/>
  <c r="AC249" i="36"/>
  <c r="AD249" i="36"/>
  <c r="AE249" i="36"/>
  <c r="AF249" i="36"/>
  <c r="AG249" i="36"/>
  <c r="AI249" i="36"/>
  <c r="AK226" i="36"/>
  <c r="AL226" i="36"/>
  <c r="AO226" i="36"/>
  <c r="AP226" i="36"/>
  <c r="AQ226" i="36"/>
  <c r="AM226" i="36"/>
  <c r="AC226" i="36"/>
  <c r="AD226" i="36"/>
  <c r="AE226" i="36"/>
  <c r="AG226" i="36"/>
  <c r="AH226" i="36"/>
  <c r="AI226" i="36"/>
  <c r="AK131" i="36"/>
  <c r="AM131" i="36"/>
  <c r="AN131" i="36"/>
  <c r="AO131" i="36"/>
  <c r="AP131" i="36"/>
  <c r="AQ131" i="36"/>
  <c r="AC131" i="36"/>
  <c r="AD131" i="36"/>
  <c r="AE131" i="36"/>
  <c r="AF131" i="36"/>
  <c r="AG131" i="36"/>
  <c r="AH131" i="36"/>
  <c r="AI131" i="36"/>
  <c r="AM108" i="36"/>
  <c r="AN108" i="36"/>
  <c r="AO108" i="36"/>
  <c r="AP108" i="36"/>
  <c r="AQ108" i="36"/>
  <c r="AK108" i="36"/>
  <c r="AF108" i="36"/>
  <c r="AG108" i="36"/>
  <c r="AH108" i="36"/>
  <c r="AI108" i="36"/>
  <c r="AC108" i="36"/>
  <c r="AE108" i="36"/>
  <c r="AK85" i="36"/>
  <c r="AN85" i="36"/>
  <c r="AO85" i="36"/>
  <c r="AP85" i="36"/>
  <c r="AQ85" i="36"/>
  <c r="AM85" i="36"/>
  <c r="AC85" i="36"/>
  <c r="AE85" i="36"/>
  <c r="AF85" i="36"/>
  <c r="AG85" i="36"/>
  <c r="AH85" i="36"/>
  <c r="AI85" i="36"/>
  <c r="AN65" i="36"/>
  <c r="AO65" i="36"/>
  <c r="AP65" i="36"/>
  <c r="AQ65" i="36"/>
  <c r="AK65" i="36"/>
  <c r="AL65" i="36"/>
  <c r="AC65" i="36"/>
  <c r="AD65" i="36"/>
  <c r="AE65" i="36"/>
  <c r="AF65" i="36"/>
  <c r="AG65" i="36"/>
  <c r="AH65" i="36"/>
  <c r="AI65" i="36"/>
  <c r="AG671" i="36"/>
  <c r="AI657" i="36"/>
  <c r="AE653" i="36"/>
  <c r="AH648" i="36"/>
  <c r="AD644" i="36"/>
  <c r="AG639" i="36"/>
  <c r="AC635" i="36"/>
  <c r="AF630" i="36"/>
  <c r="AI625" i="36"/>
  <c r="AE621" i="36"/>
  <c r="AH616" i="36"/>
  <c r="AD612" i="36"/>
  <c r="AF607" i="36"/>
  <c r="AH602" i="36"/>
  <c r="AC598" i="36"/>
  <c r="AE593" i="36"/>
  <c r="AF588" i="36"/>
  <c r="AH583" i="36"/>
  <c r="AE574" i="36"/>
  <c r="AI564" i="36"/>
  <c r="AD560" i="36"/>
  <c r="AF555" i="36"/>
  <c r="AH550" i="36"/>
  <c r="AC546" i="36"/>
  <c r="AE541" i="36"/>
  <c r="AI531" i="36"/>
  <c r="AD527" i="36"/>
  <c r="AF522" i="36"/>
  <c r="AH517" i="36"/>
  <c r="AE508" i="36"/>
  <c r="AG503" i="36"/>
  <c r="AI498" i="36"/>
  <c r="AD494" i="36"/>
  <c r="AF489" i="36"/>
  <c r="AC483" i="36"/>
  <c r="AE477" i="36"/>
  <c r="AF471" i="36"/>
  <c r="AE464" i="36"/>
  <c r="AE458" i="36"/>
  <c r="AH441" i="36"/>
  <c r="AF434" i="36"/>
  <c r="AG426" i="36"/>
  <c r="AH417" i="36"/>
  <c r="AH408" i="36"/>
  <c r="AF395" i="36"/>
  <c r="AH377" i="36"/>
  <c r="AF359" i="36"/>
  <c r="AE303" i="36"/>
  <c r="AM344" i="36"/>
  <c r="AO344" i="36"/>
  <c r="AP344" i="36"/>
  <c r="AQ344" i="36"/>
  <c r="AK344" i="36"/>
  <c r="AN344" i="36"/>
  <c r="AC344" i="36"/>
  <c r="AE344" i="36"/>
  <c r="AF344" i="36"/>
  <c r="AG344" i="36"/>
  <c r="AH344" i="36"/>
  <c r="AI344" i="36"/>
  <c r="AO673" i="36"/>
  <c r="AL673" i="36"/>
  <c r="AM673" i="36"/>
  <c r="AN673" i="36"/>
  <c r="AP673" i="36"/>
  <c r="AQ673" i="36"/>
  <c r="AK619" i="36"/>
  <c r="AM619" i="36"/>
  <c r="AN619" i="36"/>
  <c r="AO619" i="36"/>
  <c r="AQ619" i="36"/>
  <c r="AP619" i="36"/>
  <c r="AM596" i="36"/>
  <c r="AK596" i="36"/>
  <c r="AN596" i="36"/>
  <c r="AO596" i="36"/>
  <c r="AP596" i="36"/>
  <c r="AQ596" i="36"/>
  <c r="AK579" i="36"/>
  <c r="AL579" i="36"/>
  <c r="AN579" i="36"/>
  <c r="AO579" i="36"/>
  <c r="AP579" i="36"/>
  <c r="AQ579" i="36"/>
  <c r="AF579" i="36"/>
  <c r="AM559" i="36"/>
  <c r="AP559" i="36"/>
  <c r="AQ559" i="36"/>
  <c r="AK559" i="36"/>
  <c r="AL559" i="36"/>
  <c r="AN559" i="36"/>
  <c r="AK539" i="36"/>
  <c r="AL539" i="36"/>
  <c r="AN539" i="36"/>
  <c r="AM539" i="36"/>
  <c r="AP539" i="36"/>
  <c r="AQ539" i="36"/>
  <c r="AK476" i="36"/>
  <c r="AL476" i="36"/>
  <c r="AN476" i="36"/>
  <c r="AO476" i="36"/>
  <c r="AP476" i="36"/>
  <c r="AQ476" i="36"/>
  <c r="AN459" i="36"/>
  <c r="AO459" i="36"/>
  <c r="AK459" i="36"/>
  <c r="AM459" i="36"/>
  <c r="AP459" i="36"/>
  <c r="AQ459" i="36"/>
  <c r="AK442" i="36"/>
  <c r="AM442" i="36"/>
  <c r="AN442" i="36"/>
  <c r="AO442" i="36"/>
  <c r="AP442" i="36"/>
  <c r="AQ442" i="36"/>
  <c r="AE442" i="36"/>
  <c r="AF442" i="36"/>
  <c r="AG442" i="36"/>
  <c r="AH442" i="36"/>
  <c r="AI442" i="36"/>
  <c r="AL411" i="36"/>
  <c r="AM411" i="36"/>
  <c r="AN411" i="36"/>
  <c r="AO411" i="36"/>
  <c r="AP411" i="36"/>
  <c r="AQ411" i="36"/>
  <c r="AD411" i="36"/>
  <c r="AE411" i="36"/>
  <c r="AG411" i="36"/>
  <c r="AH411" i="36"/>
  <c r="AI411" i="36"/>
  <c r="AL397" i="36"/>
  <c r="AM397" i="36"/>
  <c r="AN397" i="36"/>
  <c r="AO397" i="36"/>
  <c r="AP397" i="36"/>
  <c r="AQ397" i="36"/>
  <c r="AD397" i="36"/>
  <c r="AE397" i="36"/>
  <c r="AF397" i="36"/>
  <c r="AG397" i="36"/>
  <c r="AH397" i="36"/>
  <c r="AI397" i="36"/>
  <c r="AM349" i="36"/>
  <c r="AN349" i="36"/>
  <c r="AK349" i="36"/>
  <c r="AO349" i="36"/>
  <c r="AP349" i="36"/>
  <c r="AQ349" i="36"/>
  <c r="AC349" i="36"/>
  <c r="AE349" i="36"/>
  <c r="AF349" i="36"/>
  <c r="AG349" i="36"/>
  <c r="AK332" i="36"/>
  <c r="AL332" i="36"/>
  <c r="AM332" i="36"/>
  <c r="AN332" i="36"/>
  <c r="AO332" i="36"/>
  <c r="AQ332" i="36"/>
  <c r="AG332" i="36"/>
  <c r="AI332" i="36"/>
  <c r="AL269" i="36"/>
  <c r="AM269" i="36"/>
  <c r="AN269" i="36"/>
  <c r="AO269" i="36"/>
  <c r="AP269" i="36"/>
  <c r="AQ269" i="36"/>
  <c r="AD269" i="36"/>
  <c r="AE269" i="36"/>
  <c r="AF269" i="36"/>
  <c r="AG269" i="36"/>
  <c r="AH269" i="36"/>
  <c r="AI269" i="36"/>
  <c r="AK246" i="36"/>
  <c r="AL246" i="36"/>
  <c r="AM246" i="36"/>
  <c r="AN246" i="36"/>
  <c r="AO246" i="36"/>
  <c r="AQ246" i="36"/>
  <c r="AC246" i="36"/>
  <c r="AD246" i="36"/>
  <c r="AE246" i="36"/>
  <c r="AF246" i="36"/>
  <c r="AG246" i="36"/>
  <c r="AI246" i="36"/>
  <c r="AK223" i="36"/>
  <c r="AL223" i="36"/>
  <c r="AM223" i="36"/>
  <c r="AO223" i="36"/>
  <c r="AP223" i="36"/>
  <c r="AQ223" i="36"/>
  <c r="AI223" i="36"/>
  <c r="AC223" i="36"/>
  <c r="AD223" i="36"/>
  <c r="AE223" i="36"/>
  <c r="AG223" i="36"/>
  <c r="AH223" i="36"/>
  <c r="AK200" i="36"/>
  <c r="AM200" i="36"/>
  <c r="AN200" i="36"/>
  <c r="AO200" i="36"/>
  <c r="AP200" i="36"/>
  <c r="AQ200" i="36"/>
  <c r="AC200" i="36"/>
  <c r="AD200" i="36"/>
  <c r="AE200" i="36"/>
  <c r="AF200" i="36"/>
  <c r="AG200" i="36"/>
  <c r="AH200" i="36"/>
  <c r="AI200" i="36"/>
  <c r="AK177" i="36"/>
  <c r="AM177" i="36"/>
  <c r="AN177" i="36"/>
  <c r="AO177" i="36"/>
  <c r="AP177" i="36"/>
  <c r="AQ177" i="36"/>
  <c r="AC177" i="36"/>
  <c r="AD177" i="36"/>
  <c r="AE177" i="36"/>
  <c r="AF177" i="36"/>
  <c r="AG177" i="36"/>
  <c r="AH177" i="36"/>
  <c r="AI177" i="36"/>
  <c r="AK154" i="36"/>
  <c r="AM154" i="36"/>
  <c r="AN154" i="36"/>
  <c r="AO154" i="36"/>
  <c r="AP154" i="36"/>
  <c r="AQ154" i="36"/>
  <c r="AC154" i="36"/>
  <c r="AD154" i="36"/>
  <c r="AE154" i="36"/>
  <c r="AF154" i="36"/>
  <c r="AG154" i="36"/>
  <c r="AH154" i="36"/>
  <c r="AI154" i="36"/>
  <c r="AL48" i="36"/>
  <c r="AM48" i="36"/>
  <c r="AN48" i="36"/>
  <c r="AP48" i="36"/>
  <c r="AQ48" i="36"/>
  <c r="AO48" i="36"/>
  <c r="AF48" i="36"/>
  <c r="AG48" i="36"/>
  <c r="AH48" i="36"/>
  <c r="AI48" i="36"/>
  <c r="AD48" i="36"/>
  <c r="AE48" i="36"/>
  <c r="AK34" i="36"/>
  <c r="AL34" i="36"/>
  <c r="AM34" i="36"/>
  <c r="AO34" i="36"/>
  <c r="AP34" i="36"/>
  <c r="AQ34" i="36"/>
  <c r="AC34" i="36"/>
  <c r="AD34" i="36"/>
  <c r="AE34" i="36"/>
  <c r="AG34" i="36"/>
  <c r="AH34" i="36"/>
  <c r="AI34" i="36"/>
  <c r="AF671" i="36"/>
  <c r="AI666" i="36"/>
  <c r="AE662" i="36"/>
  <c r="AH657" i="36"/>
  <c r="AD653" i="36"/>
  <c r="AG648" i="36"/>
  <c r="AC644" i="36"/>
  <c r="AI634" i="36"/>
  <c r="AE630" i="36"/>
  <c r="AH625" i="36"/>
  <c r="AD621" i="36"/>
  <c r="AG616" i="36"/>
  <c r="AC612" i="36"/>
  <c r="AE607" i="36"/>
  <c r="AG602" i="36"/>
  <c r="AI597" i="36"/>
  <c r="AE588" i="36"/>
  <c r="AG583" i="36"/>
  <c r="AI578" i="36"/>
  <c r="AD574" i="36"/>
  <c r="AF569" i="36"/>
  <c r="AH564" i="36"/>
  <c r="AC560" i="36"/>
  <c r="AE555" i="36"/>
  <c r="AI545" i="36"/>
  <c r="AD541" i="36"/>
  <c r="AH531" i="36"/>
  <c r="AE522" i="36"/>
  <c r="AI512" i="36"/>
  <c r="AD508" i="36"/>
  <c r="AH498" i="36"/>
  <c r="AC494" i="36"/>
  <c r="AE489" i="36"/>
  <c r="AI482" i="36"/>
  <c r="AD477" i="36"/>
  <c r="AD464" i="36"/>
  <c r="AF457" i="36"/>
  <c r="AI449" i="36"/>
  <c r="AG441" i="36"/>
  <c r="AE434" i="36"/>
  <c r="AF426" i="36"/>
  <c r="AG417" i="36"/>
  <c r="AG408" i="36"/>
  <c r="AE395" i="36"/>
  <c r="AE359" i="36"/>
  <c r="AC341" i="36"/>
  <c r="AF322" i="36"/>
  <c r="AP576" i="36"/>
  <c r="AQ576" i="36"/>
  <c r="AL576" i="36"/>
  <c r="AM576" i="36"/>
  <c r="AN576" i="36"/>
  <c r="AO576" i="36"/>
  <c r="AN536" i="36"/>
  <c r="AP536" i="36"/>
  <c r="AQ536" i="36"/>
  <c r="AM536" i="36"/>
  <c r="AK536" i="36"/>
  <c r="AL536" i="36"/>
  <c r="AK496" i="36"/>
  <c r="AL496" i="36"/>
  <c r="AM496" i="36"/>
  <c r="AN496" i="36"/>
  <c r="AO496" i="36"/>
  <c r="AP496" i="36"/>
  <c r="AQ496" i="36"/>
  <c r="AQ439" i="36"/>
  <c r="AK439" i="36"/>
  <c r="AM439" i="36"/>
  <c r="AN439" i="36"/>
  <c r="AO439" i="36"/>
  <c r="AP439" i="36"/>
  <c r="AE439" i="36"/>
  <c r="AF439" i="36"/>
  <c r="AG439" i="36"/>
  <c r="AH439" i="36"/>
  <c r="AI439" i="36"/>
  <c r="AK377" i="36"/>
  <c r="AO377" i="36"/>
  <c r="AP377" i="36"/>
  <c r="AQ377" i="36"/>
  <c r="AM377" i="36"/>
  <c r="AN377" i="36"/>
  <c r="AC377" i="36"/>
  <c r="AK363" i="36"/>
  <c r="AM363" i="36"/>
  <c r="AN363" i="36"/>
  <c r="AO363" i="36"/>
  <c r="AP363" i="36"/>
  <c r="AQ363" i="36"/>
  <c r="AC363" i="36"/>
  <c r="AE363" i="36"/>
  <c r="AM312" i="36"/>
  <c r="AO312" i="36"/>
  <c r="AP312" i="36"/>
  <c r="AK312" i="36"/>
  <c r="AL312" i="36"/>
  <c r="AN312" i="36"/>
  <c r="AC312" i="36"/>
  <c r="AD312" i="36"/>
  <c r="AE312" i="36"/>
  <c r="AF312" i="36"/>
  <c r="AN289" i="36"/>
  <c r="AP289" i="36"/>
  <c r="AQ289" i="36"/>
  <c r="AK289" i="36"/>
  <c r="AL289" i="36"/>
  <c r="AM289" i="36"/>
  <c r="AH289" i="36"/>
  <c r="AC289" i="36"/>
  <c r="AD289" i="36"/>
  <c r="AE289" i="36"/>
  <c r="AF289" i="36"/>
  <c r="AI289" i="36"/>
  <c r="AP243" i="36"/>
  <c r="AQ243" i="36"/>
  <c r="AK243" i="36"/>
  <c r="AL243" i="36"/>
  <c r="AM243" i="36"/>
  <c r="AO243" i="36"/>
  <c r="AI243" i="36"/>
  <c r="AC243" i="36"/>
  <c r="AD243" i="36"/>
  <c r="AE243" i="36"/>
  <c r="AG243" i="36"/>
  <c r="AH243" i="36"/>
  <c r="AQ220" i="36"/>
  <c r="AK220" i="36"/>
  <c r="AM220" i="36"/>
  <c r="AO220" i="36"/>
  <c r="AP220" i="36"/>
  <c r="AL220" i="36"/>
  <c r="AC220" i="36"/>
  <c r="AD220" i="36"/>
  <c r="AE220" i="36"/>
  <c r="AG220" i="36"/>
  <c r="AH220" i="36"/>
  <c r="AI220" i="36"/>
  <c r="AK197" i="36"/>
  <c r="AM197" i="36"/>
  <c r="AN197" i="36"/>
  <c r="AO197" i="36"/>
  <c r="AP197" i="36"/>
  <c r="AQ197" i="36"/>
  <c r="AC197" i="36"/>
  <c r="AD197" i="36"/>
  <c r="AE197" i="36"/>
  <c r="AF197" i="36"/>
  <c r="AG197" i="36"/>
  <c r="AH197" i="36"/>
  <c r="AI197" i="36"/>
  <c r="AN174" i="36"/>
  <c r="AO174" i="36"/>
  <c r="AP174" i="36"/>
  <c r="AQ174" i="36"/>
  <c r="AK174" i="36"/>
  <c r="AM174" i="36"/>
  <c r="AH174" i="36"/>
  <c r="AI174" i="36"/>
  <c r="AC174" i="36"/>
  <c r="AD174" i="36"/>
  <c r="AE174" i="36"/>
  <c r="AF174" i="36"/>
  <c r="AG174" i="36"/>
  <c r="AQ151" i="36"/>
  <c r="AO151" i="36"/>
  <c r="AP151" i="36"/>
  <c r="AK151" i="36"/>
  <c r="AM151" i="36"/>
  <c r="AN151" i="36"/>
  <c r="AC151" i="36"/>
  <c r="AD151" i="36"/>
  <c r="AE151" i="36"/>
  <c r="AF151" i="36"/>
  <c r="AG151" i="36"/>
  <c r="AH151" i="36"/>
  <c r="AI151" i="36"/>
  <c r="AP128" i="36"/>
  <c r="AK128" i="36"/>
  <c r="AL128" i="36"/>
  <c r="AM128" i="36"/>
  <c r="AN128" i="36"/>
  <c r="AO128" i="36"/>
  <c r="AC128" i="36"/>
  <c r="AD128" i="36"/>
  <c r="AE128" i="36"/>
  <c r="AF128" i="36"/>
  <c r="AG128" i="36"/>
  <c r="AH128" i="36"/>
  <c r="AK105" i="36"/>
  <c r="AM105" i="36"/>
  <c r="AN105" i="36"/>
  <c r="AO105" i="36"/>
  <c r="AP105" i="36"/>
  <c r="AQ105" i="36"/>
  <c r="AC105" i="36"/>
  <c r="AE105" i="36"/>
  <c r="AF105" i="36"/>
  <c r="AG105" i="36"/>
  <c r="AH105" i="36"/>
  <c r="AI105" i="36"/>
  <c r="AK82" i="36"/>
  <c r="AM82" i="36"/>
  <c r="AN82" i="36"/>
  <c r="AO82" i="36"/>
  <c r="AP82" i="36"/>
  <c r="AQ82" i="36"/>
  <c r="AE82" i="36"/>
  <c r="AC82" i="36"/>
  <c r="AF82" i="36"/>
  <c r="AG82" i="36"/>
  <c r="AH82" i="36"/>
  <c r="AI82" i="36"/>
  <c r="AK62" i="36"/>
  <c r="AN62" i="36"/>
  <c r="AO62" i="36"/>
  <c r="AP62" i="36"/>
  <c r="AQ62" i="36"/>
  <c r="AM62" i="36"/>
  <c r="AC62" i="36"/>
  <c r="AE62" i="36"/>
  <c r="AF62" i="36"/>
  <c r="AG62" i="36"/>
  <c r="AH62" i="36"/>
  <c r="AI62" i="36"/>
  <c r="AK31" i="36"/>
  <c r="AL31" i="36"/>
  <c r="AM31" i="36"/>
  <c r="AO31" i="36"/>
  <c r="AP31" i="36"/>
  <c r="AQ31" i="36"/>
  <c r="AD31" i="36"/>
  <c r="AE31" i="36"/>
  <c r="AC31" i="36"/>
  <c r="AG31" i="36"/>
  <c r="AH31" i="36"/>
  <c r="AI31" i="36"/>
  <c r="AK17" i="36"/>
  <c r="AL17" i="36"/>
  <c r="AM17" i="36"/>
  <c r="AO17" i="36"/>
  <c r="AP17" i="36"/>
  <c r="AQ17" i="36"/>
  <c r="AG17" i="36"/>
  <c r="AH17" i="36"/>
  <c r="AC17" i="36"/>
  <c r="AD17" i="36"/>
  <c r="AE17" i="36"/>
  <c r="AI17" i="36"/>
  <c r="AE671" i="36"/>
  <c r="AH666" i="36"/>
  <c r="AD662" i="36"/>
  <c r="AG657" i="36"/>
  <c r="AI643" i="36"/>
  <c r="AE639" i="36"/>
  <c r="AH634" i="36"/>
  <c r="AD630" i="36"/>
  <c r="AG625" i="36"/>
  <c r="AC621" i="36"/>
  <c r="AF616" i="36"/>
  <c r="AI611" i="36"/>
  <c r="AD607" i="36"/>
  <c r="AF602" i="36"/>
  <c r="AG597" i="36"/>
  <c r="AI592" i="36"/>
  <c r="AD588" i="36"/>
  <c r="AF583" i="36"/>
  <c r="AH578" i="36"/>
  <c r="AE569" i="36"/>
  <c r="AI559" i="36"/>
  <c r="AD555" i="36"/>
  <c r="AF550" i="36"/>
  <c r="AH545" i="36"/>
  <c r="AC541" i="36"/>
  <c r="AE536" i="36"/>
  <c r="AI526" i="36"/>
  <c r="AD522" i="36"/>
  <c r="AF517" i="36"/>
  <c r="AH512" i="36"/>
  <c r="AC508" i="36"/>
  <c r="AE503" i="36"/>
  <c r="AG498" i="36"/>
  <c r="AI493" i="36"/>
  <c r="AD489" i="36"/>
  <c r="AH482" i="36"/>
  <c r="AC477" i="36"/>
  <c r="AD471" i="36"/>
  <c r="AC464" i="36"/>
  <c r="AE457" i="36"/>
  <c r="AH449" i="36"/>
  <c r="AF441" i="36"/>
  <c r="AC433" i="36"/>
  <c r="AE426" i="36"/>
  <c r="AF417" i="36"/>
  <c r="AI391" i="36"/>
  <c r="AF377" i="36"/>
  <c r="AI340" i="36"/>
  <c r="AE322" i="36"/>
  <c r="AC299" i="36"/>
  <c r="AL670" i="36"/>
  <c r="AM670" i="36"/>
  <c r="AN670" i="36"/>
  <c r="AO670" i="36"/>
  <c r="AP670" i="36"/>
  <c r="AQ670" i="36"/>
  <c r="AP593" i="36"/>
  <c r="AQ593" i="36"/>
  <c r="AM593" i="36"/>
  <c r="AN593" i="36"/>
  <c r="AO593" i="36"/>
  <c r="AK593" i="36"/>
  <c r="AK573" i="36"/>
  <c r="AM573" i="36"/>
  <c r="AN573" i="36"/>
  <c r="AO573" i="36"/>
  <c r="AL573" i="36"/>
  <c r="AP573" i="36"/>
  <c r="AQ573" i="36"/>
  <c r="AK519" i="36"/>
  <c r="AL519" i="36"/>
  <c r="AM519" i="36"/>
  <c r="AN519" i="36"/>
  <c r="AP519" i="36"/>
  <c r="AQ519" i="36"/>
  <c r="AL473" i="36"/>
  <c r="AK473" i="36"/>
  <c r="AN473" i="36"/>
  <c r="AO473" i="36"/>
  <c r="AP473" i="36"/>
  <c r="AQ473" i="36"/>
  <c r="AL425" i="36"/>
  <c r="AM425" i="36"/>
  <c r="AN425" i="36"/>
  <c r="AO425" i="36"/>
  <c r="AQ425" i="36"/>
  <c r="AP425" i="36"/>
  <c r="AE425" i="36"/>
  <c r="AF425" i="36"/>
  <c r="AG425" i="36"/>
  <c r="AH425" i="36"/>
  <c r="AI425" i="36"/>
  <c r="AQ408" i="36"/>
  <c r="AL408" i="36"/>
  <c r="AM408" i="36"/>
  <c r="AN408" i="36"/>
  <c r="AO408" i="36"/>
  <c r="AP408" i="36"/>
  <c r="AE408" i="36"/>
  <c r="AF408" i="36"/>
  <c r="AM329" i="36"/>
  <c r="AO329" i="36"/>
  <c r="AK329" i="36"/>
  <c r="AL329" i="36"/>
  <c r="AN329" i="36"/>
  <c r="AQ329" i="36"/>
  <c r="AC329" i="36"/>
  <c r="AD329" i="36"/>
  <c r="AE329" i="36"/>
  <c r="AF329" i="36"/>
  <c r="AG329" i="36"/>
  <c r="AI329" i="36"/>
  <c r="AK309" i="36"/>
  <c r="AL309" i="36"/>
  <c r="AP309" i="36"/>
  <c r="AM309" i="36"/>
  <c r="AN309" i="36"/>
  <c r="AQ309" i="36"/>
  <c r="AD309" i="36"/>
  <c r="AE309" i="36"/>
  <c r="AF309" i="36"/>
  <c r="AH309" i="36"/>
  <c r="AI309" i="36"/>
  <c r="AC309" i="36"/>
  <c r="AK286" i="36"/>
  <c r="AL286" i="36"/>
  <c r="AM286" i="36"/>
  <c r="AN286" i="36"/>
  <c r="AP286" i="36"/>
  <c r="AQ286" i="36"/>
  <c r="AC286" i="36"/>
  <c r="AD286" i="36"/>
  <c r="AE286" i="36"/>
  <c r="AF286" i="36"/>
  <c r="AH286" i="36"/>
  <c r="AI286" i="36"/>
  <c r="AO266" i="36"/>
  <c r="AP266" i="36"/>
  <c r="AK266" i="36"/>
  <c r="AL266" i="36"/>
  <c r="AM266" i="36"/>
  <c r="AN266" i="36"/>
  <c r="AH266" i="36"/>
  <c r="AC266" i="36"/>
  <c r="AD266" i="36"/>
  <c r="AE266" i="36"/>
  <c r="AF266" i="36"/>
  <c r="AG266" i="36"/>
  <c r="AK171" i="36"/>
  <c r="AO171" i="36"/>
  <c r="AN171" i="36"/>
  <c r="AP171" i="36"/>
  <c r="AQ171" i="36"/>
  <c r="AM171" i="36"/>
  <c r="AC171" i="36"/>
  <c r="AD171" i="36"/>
  <c r="AE171" i="36"/>
  <c r="AF171" i="36"/>
  <c r="AG171" i="36"/>
  <c r="AH171" i="36"/>
  <c r="AI171" i="36"/>
  <c r="AK148" i="36"/>
  <c r="AM148" i="36"/>
  <c r="AP148" i="36"/>
  <c r="AN148" i="36"/>
  <c r="AO148" i="36"/>
  <c r="AQ148" i="36"/>
  <c r="AC148" i="36"/>
  <c r="AD148" i="36"/>
  <c r="AE148" i="36"/>
  <c r="AF148" i="36"/>
  <c r="AG148" i="36"/>
  <c r="AH148" i="36"/>
  <c r="AI148" i="36"/>
  <c r="AK125" i="36"/>
  <c r="AL125" i="36"/>
  <c r="AM125" i="36"/>
  <c r="AN125" i="36"/>
  <c r="AO125" i="36"/>
  <c r="AP125" i="36"/>
  <c r="AC125" i="36"/>
  <c r="AD125" i="36"/>
  <c r="AE125" i="36"/>
  <c r="AF125" i="36"/>
  <c r="AG125" i="36"/>
  <c r="AH125" i="36"/>
  <c r="AK102" i="36"/>
  <c r="AM102" i="36"/>
  <c r="AN102" i="36"/>
  <c r="AO102" i="36"/>
  <c r="AP102" i="36"/>
  <c r="AQ102" i="36"/>
  <c r="AC102" i="36"/>
  <c r="AE102" i="36"/>
  <c r="AF102" i="36"/>
  <c r="AG102" i="36"/>
  <c r="AH102" i="36"/>
  <c r="AI102" i="36"/>
  <c r="AM79" i="36"/>
  <c r="AN79" i="36"/>
  <c r="AO79" i="36"/>
  <c r="AP79" i="36"/>
  <c r="AQ79" i="36"/>
  <c r="AK79" i="36"/>
  <c r="AC79" i="36"/>
  <c r="AE79" i="36"/>
  <c r="AF79" i="36"/>
  <c r="AG79" i="36"/>
  <c r="AH79" i="36"/>
  <c r="AI79" i="36"/>
  <c r="AL45" i="36"/>
  <c r="AM45" i="36"/>
  <c r="AN45" i="36"/>
  <c r="AO45" i="36"/>
  <c r="AP45" i="36"/>
  <c r="AQ45" i="36"/>
  <c r="AD45" i="36"/>
  <c r="AH45" i="36"/>
  <c r="AE45" i="36"/>
  <c r="AF45" i="36"/>
  <c r="AG45" i="36"/>
  <c r="AI45" i="36"/>
  <c r="AD671" i="36"/>
  <c r="AG666" i="36"/>
  <c r="AC662" i="36"/>
  <c r="AI652" i="36"/>
  <c r="AE648" i="36"/>
  <c r="AH643" i="36"/>
  <c r="AD639" i="36"/>
  <c r="AG634" i="36"/>
  <c r="AF625" i="36"/>
  <c r="AI620" i="36"/>
  <c r="AH611" i="36"/>
  <c r="AF597" i="36"/>
  <c r="AH592" i="36"/>
  <c r="AC588" i="36"/>
  <c r="AE583" i="36"/>
  <c r="AG578" i="36"/>
  <c r="AI573" i="36"/>
  <c r="AD569" i="36"/>
  <c r="AF564" i="36"/>
  <c r="AH559" i="36"/>
  <c r="AC555" i="36"/>
  <c r="AE550" i="36"/>
  <c r="AI540" i="36"/>
  <c r="AD536" i="36"/>
  <c r="AF531" i="36"/>
  <c r="AH526" i="36"/>
  <c r="AC522" i="36"/>
  <c r="AE517" i="36"/>
  <c r="AI507" i="36"/>
  <c r="AD503" i="36"/>
  <c r="AF498" i="36"/>
  <c r="AH493" i="36"/>
  <c r="AI488" i="36"/>
  <c r="AG482" i="36"/>
  <c r="AI476" i="36"/>
  <c r="AC471" i="36"/>
  <c r="AG449" i="36"/>
  <c r="AE441" i="36"/>
  <c r="AI432" i="36"/>
  <c r="AD425" i="36"/>
  <c r="AE417" i="36"/>
  <c r="AH391" i="36"/>
  <c r="AE377" i="36"/>
  <c r="AC359" i="36"/>
  <c r="AH340" i="36"/>
  <c r="AD322" i="36"/>
  <c r="AI298" i="36"/>
  <c r="AP667" i="36"/>
  <c r="AQ667" i="36"/>
  <c r="AL667" i="36"/>
  <c r="AM667" i="36"/>
  <c r="AN667" i="36"/>
  <c r="AO667" i="36"/>
  <c r="AK616" i="36"/>
  <c r="AL616" i="36"/>
  <c r="AN616" i="36"/>
  <c r="AO616" i="36"/>
  <c r="AP616" i="36"/>
  <c r="AQ616" i="36"/>
  <c r="AL556" i="36"/>
  <c r="AM556" i="36"/>
  <c r="AN556" i="36"/>
  <c r="AP556" i="36"/>
  <c r="AQ556" i="36"/>
  <c r="AK556" i="36"/>
  <c r="AK533" i="36"/>
  <c r="AL533" i="36"/>
  <c r="AM533" i="36"/>
  <c r="AN533" i="36"/>
  <c r="AP533" i="36"/>
  <c r="AQ533" i="36"/>
  <c r="AH533" i="36"/>
  <c r="AK516" i="36"/>
  <c r="AL516" i="36"/>
  <c r="AM516" i="36"/>
  <c r="AN516" i="36"/>
  <c r="AP516" i="36"/>
  <c r="AQ516" i="36"/>
  <c r="AO470" i="36"/>
  <c r="AP470" i="36"/>
  <c r="AQ470" i="36"/>
  <c r="AK470" i="36"/>
  <c r="AL470" i="36"/>
  <c r="AN470" i="36"/>
  <c r="AC470" i="36"/>
  <c r="AD470" i="36"/>
  <c r="AF470" i="36"/>
  <c r="AG470" i="36"/>
  <c r="AH470" i="36"/>
  <c r="AK456" i="36"/>
  <c r="AM456" i="36"/>
  <c r="AN456" i="36"/>
  <c r="AO456" i="36"/>
  <c r="AP456" i="36"/>
  <c r="AQ456" i="36"/>
  <c r="AC456" i="36"/>
  <c r="AE456" i="36"/>
  <c r="AF456" i="36"/>
  <c r="AG456" i="36"/>
  <c r="AH456" i="36"/>
  <c r="AI456" i="36"/>
  <c r="AM394" i="36"/>
  <c r="AN394" i="36"/>
  <c r="AO394" i="36"/>
  <c r="AP394" i="36"/>
  <c r="AL394" i="36"/>
  <c r="AQ394" i="36"/>
  <c r="AD394" i="36"/>
  <c r="AE394" i="36"/>
  <c r="AF394" i="36"/>
  <c r="AG394" i="36"/>
  <c r="AH394" i="36"/>
  <c r="AI394" i="36"/>
  <c r="AM346" i="36"/>
  <c r="AK346" i="36"/>
  <c r="AN346" i="36"/>
  <c r="AO346" i="36"/>
  <c r="AP346" i="36"/>
  <c r="AQ346" i="36"/>
  <c r="AE346" i="36"/>
  <c r="AF346" i="36"/>
  <c r="AG346" i="36"/>
  <c r="AH346" i="36"/>
  <c r="AI346" i="36"/>
  <c r="AK326" i="36"/>
  <c r="AM326" i="36"/>
  <c r="AN326" i="36"/>
  <c r="AO326" i="36"/>
  <c r="AL326" i="36"/>
  <c r="AQ326" i="36"/>
  <c r="AC326" i="36"/>
  <c r="AD326" i="36"/>
  <c r="AE326" i="36"/>
  <c r="AF326" i="36"/>
  <c r="AG326" i="36"/>
  <c r="AK263" i="36"/>
  <c r="AL263" i="36"/>
  <c r="AM263" i="36"/>
  <c r="AN263" i="36"/>
  <c r="AO263" i="36"/>
  <c r="AP263" i="36"/>
  <c r="AC263" i="36"/>
  <c r="AD263" i="36"/>
  <c r="AE263" i="36"/>
  <c r="AF263" i="36"/>
  <c r="AG263" i="36"/>
  <c r="AH263" i="36"/>
  <c r="AL240" i="36"/>
  <c r="AK240" i="36"/>
  <c r="AM240" i="36"/>
  <c r="AO240" i="36"/>
  <c r="AP240" i="36"/>
  <c r="AQ240" i="36"/>
  <c r="AC240" i="36"/>
  <c r="AD240" i="36"/>
  <c r="AE240" i="36"/>
  <c r="AG240" i="36"/>
  <c r="AH240" i="36"/>
  <c r="AI240" i="36"/>
  <c r="AM217" i="36"/>
  <c r="AK217" i="36"/>
  <c r="AL217" i="36"/>
  <c r="AO217" i="36"/>
  <c r="AP217" i="36"/>
  <c r="AQ217" i="36"/>
  <c r="AC217" i="36"/>
  <c r="AD217" i="36"/>
  <c r="AE217" i="36"/>
  <c r="AG217" i="36"/>
  <c r="AH217" i="36"/>
  <c r="AI217" i="36"/>
  <c r="AK194" i="36"/>
  <c r="AN194" i="36"/>
  <c r="AO194" i="36"/>
  <c r="AP194" i="36"/>
  <c r="AQ194" i="36"/>
  <c r="AM194" i="36"/>
  <c r="AC194" i="36"/>
  <c r="AD194" i="36"/>
  <c r="AE194" i="36"/>
  <c r="AF194" i="36"/>
  <c r="AG194" i="36"/>
  <c r="AH194" i="36"/>
  <c r="AI194" i="36"/>
  <c r="AM99" i="36"/>
  <c r="AN99" i="36"/>
  <c r="AO99" i="36"/>
  <c r="AP99" i="36"/>
  <c r="AQ99" i="36"/>
  <c r="AK99" i="36"/>
  <c r="AC99" i="36"/>
  <c r="AE99" i="36"/>
  <c r="AF99" i="36"/>
  <c r="AG99" i="36"/>
  <c r="AH99" i="36"/>
  <c r="AI99" i="36"/>
  <c r="AM76" i="36"/>
  <c r="AN76" i="36"/>
  <c r="AO76" i="36"/>
  <c r="AP76" i="36"/>
  <c r="AQ76" i="36"/>
  <c r="AK76" i="36"/>
  <c r="AC76" i="36"/>
  <c r="AE76" i="36"/>
  <c r="AF76" i="36"/>
  <c r="AG76" i="36"/>
  <c r="AH76" i="36"/>
  <c r="AI76" i="36"/>
  <c r="AK59" i="36"/>
  <c r="AM59" i="36"/>
  <c r="AN59" i="36"/>
  <c r="AO59" i="36"/>
  <c r="AP59" i="36"/>
  <c r="AQ59" i="36"/>
  <c r="AF59" i="36"/>
  <c r="AE59" i="36"/>
  <c r="AG59" i="36"/>
  <c r="AH59" i="36"/>
  <c r="AI59" i="36"/>
  <c r="AC59" i="36"/>
  <c r="AQ28" i="36"/>
  <c r="AK28" i="36"/>
  <c r="AL28" i="36"/>
  <c r="AM28" i="36"/>
  <c r="AN28" i="36"/>
  <c r="AO28" i="36"/>
  <c r="AP28" i="36"/>
  <c r="AC28" i="36"/>
  <c r="AD28" i="36"/>
  <c r="AE28" i="36"/>
  <c r="AF28" i="36"/>
  <c r="AG28" i="36"/>
  <c r="AH28" i="36"/>
  <c r="AI28" i="36"/>
  <c r="AK14" i="36"/>
  <c r="AL14" i="36"/>
  <c r="AM14" i="36"/>
  <c r="AN14" i="36"/>
  <c r="AO14" i="36"/>
  <c r="AP14" i="36"/>
  <c r="AQ14" i="36"/>
  <c r="AC14" i="36"/>
  <c r="AD14" i="36"/>
  <c r="AE14" i="36"/>
  <c r="AF14" i="36"/>
  <c r="AG14" i="36"/>
  <c r="AH14" i="36"/>
  <c r="AI14" i="36"/>
  <c r="AC671" i="36"/>
  <c r="AF666" i="36"/>
  <c r="AI661" i="36"/>
  <c r="AE657" i="36"/>
  <c r="AH652" i="36"/>
  <c r="AD648" i="36"/>
  <c r="AG643" i="36"/>
  <c r="AC639" i="36"/>
  <c r="AI629" i="36"/>
  <c r="AE625" i="36"/>
  <c r="AH620" i="36"/>
  <c r="AD616" i="36"/>
  <c r="AG611" i="36"/>
  <c r="AH606" i="36"/>
  <c r="AC602" i="36"/>
  <c r="AE597" i="36"/>
  <c r="AG592" i="36"/>
  <c r="AI587" i="36"/>
  <c r="AD583" i="36"/>
  <c r="AF578" i="36"/>
  <c r="AH573" i="36"/>
  <c r="AC569" i="36"/>
  <c r="AE564" i="36"/>
  <c r="AI554" i="36"/>
  <c r="AD550" i="36"/>
  <c r="AF545" i="36"/>
  <c r="AH540" i="36"/>
  <c r="AC536" i="36"/>
  <c r="AE531" i="36"/>
  <c r="AI521" i="36"/>
  <c r="AD517" i="36"/>
  <c r="AF512" i="36"/>
  <c r="AH507" i="36"/>
  <c r="AC503" i="36"/>
  <c r="AE498" i="36"/>
  <c r="AG488" i="36"/>
  <c r="AF482" i="36"/>
  <c r="AH476" i="36"/>
  <c r="AI470" i="36"/>
  <c r="AH463" i="36"/>
  <c r="AI455" i="36"/>
  <c r="AF449" i="36"/>
  <c r="AH432" i="36"/>
  <c r="AI423" i="36"/>
  <c r="AD417" i="36"/>
  <c r="AI358" i="36"/>
  <c r="AC322" i="36"/>
  <c r="AH298" i="36"/>
  <c r="AO653" i="36"/>
  <c r="AP653" i="36"/>
  <c r="AQ653" i="36"/>
  <c r="AK653" i="36"/>
  <c r="AL653" i="36"/>
  <c r="AM653" i="36"/>
  <c r="AN664" i="36"/>
  <c r="AL664" i="36"/>
  <c r="AM664" i="36"/>
  <c r="AO664" i="36"/>
  <c r="AP664" i="36"/>
  <c r="AQ664" i="36"/>
  <c r="AP613" i="36"/>
  <c r="AQ613" i="36"/>
  <c r="AK613" i="36"/>
  <c r="AL613" i="36"/>
  <c r="AN613" i="36"/>
  <c r="AO613" i="36"/>
  <c r="AK570" i="36"/>
  <c r="AL570" i="36"/>
  <c r="AM570" i="36"/>
  <c r="AN570" i="36"/>
  <c r="AP570" i="36"/>
  <c r="AQ570" i="36"/>
  <c r="AE570" i="36"/>
  <c r="AQ513" i="36"/>
  <c r="AK513" i="36"/>
  <c r="AL513" i="36"/>
  <c r="AM513" i="36"/>
  <c r="AN513" i="36"/>
  <c r="AP513" i="36"/>
  <c r="AN493" i="36"/>
  <c r="AO493" i="36"/>
  <c r="AP493" i="36"/>
  <c r="AQ493" i="36"/>
  <c r="AK493" i="36"/>
  <c r="AL493" i="36"/>
  <c r="AM493" i="36"/>
  <c r="AK453" i="36"/>
  <c r="AM453" i="36"/>
  <c r="AN453" i="36"/>
  <c r="AO453" i="36"/>
  <c r="AP453" i="36"/>
  <c r="AQ453" i="36"/>
  <c r="AC453" i="36"/>
  <c r="AE453" i="36"/>
  <c r="AF453" i="36"/>
  <c r="AG453" i="36"/>
  <c r="AM436" i="36"/>
  <c r="AO436" i="36"/>
  <c r="AP436" i="36"/>
  <c r="AK436" i="36"/>
  <c r="AN436" i="36"/>
  <c r="AQ436" i="36"/>
  <c r="AO422" i="36"/>
  <c r="AQ422" i="36"/>
  <c r="AL422" i="36"/>
  <c r="AM422" i="36"/>
  <c r="AN422" i="36"/>
  <c r="AP422" i="36"/>
  <c r="AM405" i="36"/>
  <c r="AL405" i="36"/>
  <c r="AN405" i="36"/>
  <c r="AO405" i="36"/>
  <c r="AQ405" i="36"/>
  <c r="AP405" i="36"/>
  <c r="AH405" i="36"/>
  <c r="AI405" i="36"/>
  <c r="AO391" i="36"/>
  <c r="AL391" i="36"/>
  <c r="AM391" i="36"/>
  <c r="AN391" i="36"/>
  <c r="AP391" i="36"/>
  <c r="AQ391" i="36"/>
  <c r="AK374" i="36"/>
  <c r="AM374" i="36"/>
  <c r="AN374" i="36"/>
  <c r="AO374" i="36"/>
  <c r="AP374" i="36"/>
  <c r="AQ374" i="36"/>
  <c r="AC374" i="36"/>
  <c r="AE374" i="36"/>
  <c r="AF374" i="36"/>
  <c r="AG374" i="36"/>
  <c r="AH374" i="36"/>
  <c r="AI374" i="36"/>
  <c r="AO360" i="36"/>
  <c r="AQ360" i="36"/>
  <c r="AK360" i="36"/>
  <c r="AM360" i="36"/>
  <c r="AN360" i="36"/>
  <c r="AP360" i="36"/>
  <c r="AC360" i="36"/>
  <c r="AE360" i="36"/>
  <c r="AF360" i="36"/>
  <c r="AG360" i="36"/>
  <c r="AH360" i="36"/>
  <c r="AI360" i="36"/>
  <c r="AK343" i="36"/>
  <c r="AM343" i="36"/>
  <c r="AN343" i="36"/>
  <c r="AO343" i="36"/>
  <c r="AP343" i="36"/>
  <c r="AQ343" i="36"/>
  <c r="AC343" i="36"/>
  <c r="AE343" i="36"/>
  <c r="AF343" i="36"/>
  <c r="AG343" i="36"/>
  <c r="AH343" i="36"/>
  <c r="AI343" i="36"/>
  <c r="AK306" i="36"/>
  <c r="AL306" i="36"/>
  <c r="AM306" i="36"/>
  <c r="AN306" i="36"/>
  <c r="AO306" i="36"/>
  <c r="AP306" i="36"/>
  <c r="AQ306" i="36"/>
  <c r="AC306" i="36"/>
  <c r="AD306" i="36"/>
  <c r="AE306" i="36"/>
  <c r="AF306" i="36"/>
  <c r="AG306" i="36"/>
  <c r="AH306" i="36"/>
  <c r="AI306" i="36"/>
  <c r="AL283" i="36"/>
  <c r="AM283" i="36"/>
  <c r="AN283" i="36"/>
  <c r="AO283" i="36"/>
  <c r="AP283" i="36"/>
  <c r="AQ283" i="36"/>
  <c r="AE283" i="36"/>
  <c r="AF283" i="36"/>
  <c r="AG283" i="36"/>
  <c r="AH283" i="36"/>
  <c r="AI283" i="36"/>
  <c r="AD283" i="36"/>
  <c r="AL260" i="36"/>
  <c r="AM260" i="36"/>
  <c r="AN260" i="36"/>
  <c r="AO260" i="36"/>
  <c r="AP260" i="36"/>
  <c r="AQ260" i="36"/>
  <c r="AE260" i="36"/>
  <c r="AF260" i="36"/>
  <c r="AG260" i="36"/>
  <c r="AH260" i="36"/>
  <c r="AI260" i="36"/>
  <c r="AD260" i="36"/>
  <c r="AK237" i="36"/>
  <c r="AL237" i="36"/>
  <c r="AO237" i="36"/>
  <c r="AP237" i="36"/>
  <c r="AQ237" i="36"/>
  <c r="AM237" i="36"/>
  <c r="AC237" i="36"/>
  <c r="AD237" i="36"/>
  <c r="AE237" i="36"/>
  <c r="AG237" i="36"/>
  <c r="AH237" i="36"/>
  <c r="AI237" i="36"/>
  <c r="AL214" i="36"/>
  <c r="AM214" i="36"/>
  <c r="AO214" i="36"/>
  <c r="AQ214" i="36"/>
  <c r="AK214" i="36"/>
  <c r="AP214" i="36"/>
  <c r="AC214" i="36"/>
  <c r="AD214" i="36"/>
  <c r="AE214" i="36"/>
  <c r="AG214" i="36"/>
  <c r="AH214" i="36"/>
  <c r="AI214" i="36"/>
  <c r="AO191" i="36"/>
  <c r="AP191" i="36"/>
  <c r="AQ191" i="36"/>
  <c r="AK191" i="36"/>
  <c r="AM191" i="36"/>
  <c r="AN191" i="36"/>
  <c r="AC191" i="36"/>
  <c r="AD191" i="36"/>
  <c r="AE191" i="36"/>
  <c r="AF191" i="36"/>
  <c r="AG191" i="36"/>
  <c r="AH191" i="36"/>
  <c r="AI191" i="36"/>
  <c r="AK168" i="36"/>
  <c r="AM168" i="36"/>
  <c r="AN168" i="36"/>
  <c r="AO168" i="36"/>
  <c r="AP168" i="36"/>
  <c r="AQ168" i="36"/>
  <c r="AC168" i="36"/>
  <c r="AD168" i="36"/>
  <c r="AE168" i="36"/>
  <c r="AF168" i="36"/>
  <c r="AG168" i="36"/>
  <c r="AH168" i="36"/>
  <c r="AI168" i="36"/>
  <c r="AK145" i="36"/>
  <c r="AM145" i="36"/>
  <c r="AN145" i="36"/>
  <c r="AO145" i="36"/>
  <c r="AP145" i="36"/>
  <c r="AQ145" i="36"/>
  <c r="AC145" i="36"/>
  <c r="AD145" i="36"/>
  <c r="AE145" i="36"/>
  <c r="AF145" i="36"/>
  <c r="AG145" i="36"/>
  <c r="AH145" i="36"/>
  <c r="AI145" i="36"/>
  <c r="AK122" i="36"/>
  <c r="AL122" i="36"/>
  <c r="AP122" i="36"/>
  <c r="AN122" i="36"/>
  <c r="AO122" i="36"/>
  <c r="AM122" i="36"/>
  <c r="AC122" i="36"/>
  <c r="AD122" i="36"/>
  <c r="AE122" i="36"/>
  <c r="AF122" i="36"/>
  <c r="AG122" i="36"/>
  <c r="AH122" i="36"/>
  <c r="Y14" i="36"/>
  <c r="AI670" i="36"/>
  <c r="AE666" i="36"/>
  <c r="AH661" i="36"/>
  <c r="AD657" i="36"/>
  <c r="AG652" i="36"/>
  <c r="AC648" i="36"/>
  <c r="AI638" i="36"/>
  <c r="AE634" i="36"/>
  <c r="AH629" i="36"/>
  <c r="AD625" i="36"/>
  <c r="AG620" i="36"/>
  <c r="AC616" i="36"/>
  <c r="AE611" i="36"/>
  <c r="AG606" i="36"/>
  <c r="AI601" i="36"/>
  <c r="AF592" i="36"/>
  <c r="AH587" i="36"/>
  <c r="AC583" i="36"/>
  <c r="AE578" i="36"/>
  <c r="AG573" i="36"/>
  <c r="AI568" i="36"/>
  <c r="AD564" i="36"/>
  <c r="AF559" i="36"/>
  <c r="AH554" i="36"/>
  <c r="AC550" i="36"/>
  <c r="AE545" i="36"/>
  <c r="AI535" i="36"/>
  <c r="AD531" i="36"/>
  <c r="AF526" i="36"/>
  <c r="AH521" i="36"/>
  <c r="AC517" i="36"/>
  <c r="AE512" i="36"/>
  <c r="AG507" i="36"/>
  <c r="AI502" i="36"/>
  <c r="AD498" i="36"/>
  <c r="AF493" i="36"/>
  <c r="AD488" i="36"/>
  <c r="AE482" i="36"/>
  <c r="AG476" i="36"/>
  <c r="AG469" i="36"/>
  <c r="AG463" i="36"/>
  <c r="AH455" i="36"/>
  <c r="AE449" i="36"/>
  <c r="AC441" i="36"/>
  <c r="AG432" i="36"/>
  <c r="AH423" i="36"/>
  <c r="AC416" i="36"/>
  <c r="AF405" i="36"/>
  <c r="AF391" i="36"/>
  <c r="AG373" i="36"/>
  <c r="AE355" i="36"/>
  <c r="AC337" i="36"/>
  <c r="AF318" i="36"/>
  <c r="AG298" i="36"/>
  <c r="AP650" i="36"/>
  <c r="AK650" i="36"/>
  <c r="AL650" i="36"/>
  <c r="AM650" i="36"/>
  <c r="AO650" i="36"/>
  <c r="AQ650" i="36"/>
  <c r="AK630" i="36"/>
  <c r="AM630" i="36"/>
  <c r="AN630" i="36"/>
  <c r="AO630" i="36"/>
  <c r="AP630" i="36"/>
  <c r="AQ630" i="36"/>
  <c r="AK610" i="36"/>
  <c r="AL610" i="36"/>
  <c r="AM610" i="36"/>
  <c r="AN610" i="36"/>
  <c r="AO610" i="36"/>
  <c r="AP610" i="36"/>
  <c r="AQ610" i="36"/>
  <c r="AK590" i="36"/>
  <c r="AM590" i="36"/>
  <c r="AN590" i="36"/>
  <c r="AO590" i="36"/>
  <c r="AP590" i="36"/>
  <c r="AQ590" i="36"/>
  <c r="AP567" i="36"/>
  <c r="AQ567" i="36"/>
  <c r="AK567" i="36"/>
  <c r="AL567" i="36"/>
  <c r="AM567" i="36"/>
  <c r="AN567" i="36"/>
  <c r="AP530" i="36"/>
  <c r="AQ530" i="36"/>
  <c r="AK530" i="36"/>
  <c r="AL530" i="36"/>
  <c r="AM530" i="36"/>
  <c r="AN530" i="36"/>
  <c r="AP510" i="36"/>
  <c r="AQ510" i="36"/>
  <c r="AK510" i="36"/>
  <c r="AL510" i="36"/>
  <c r="AM510" i="36"/>
  <c r="AN510" i="36"/>
  <c r="AI510" i="36"/>
  <c r="AK467" i="36"/>
  <c r="AL467" i="36"/>
  <c r="AM467" i="36"/>
  <c r="AN467" i="36"/>
  <c r="AO467" i="36"/>
  <c r="AP467" i="36"/>
  <c r="AD467" i="36"/>
  <c r="AE467" i="36"/>
  <c r="AK450" i="36"/>
  <c r="AM450" i="36"/>
  <c r="AN450" i="36"/>
  <c r="AO450" i="36"/>
  <c r="AP450" i="36"/>
  <c r="AQ450" i="36"/>
  <c r="AK388" i="36"/>
  <c r="AL388" i="36"/>
  <c r="AM388" i="36"/>
  <c r="AN388" i="36"/>
  <c r="AO388" i="36"/>
  <c r="AQ388" i="36"/>
  <c r="AC388" i="36"/>
  <c r="AD388" i="36"/>
  <c r="AE388" i="36"/>
  <c r="AF388" i="36"/>
  <c r="AG388" i="36"/>
  <c r="AI388" i="36"/>
  <c r="AK357" i="36"/>
  <c r="AM357" i="36"/>
  <c r="AN357" i="36"/>
  <c r="AO357" i="36"/>
  <c r="AP357" i="36"/>
  <c r="AQ357" i="36"/>
  <c r="AC357" i="36"/>
  <c r="AE357" i="36"/>
  <c r="AF357" i="36"/>
  <c r="AG357" i="36"/>
  <c r="AH357" i="36"/>
  <c r="AI357" i="36"/>
  <c r="AK323" i="36"/>
  <c r="AL323" i="36"/>
  <c r="AM323" i="36"/>
  <c r="AN323" i="36"/>
  <c r="AO323" i="36"/>
  <c r="AQ323" i="36"/>
  <c r="AE323" i="36"/>
  <c r="AF323" i="36"/>
  <c r="AG323" i="36"/>
  <c r="AI323" i="36"/>
  <c r="AL303" i="36"/>
  <c r="AN303" i="36"/>
  <c r="AO303" i="36"/>
  <c r="AK303" i="36"/>
  <c r="AQ303" i="36"/>
  <c r="AM303" i="36"/>
  <c r="AC303" i="36"/>
  <c r="AI303" i="36"/>
  <c r="AP211" i="36"/>
  <c r="AQ211" i="36"/>
  <c r="AK211" i="36"/>
  <c r="AM211" i="36"/>
  <c r="AN211" i="36"/>
  <c r="AO211" i="36"/>
  <c r="AI211" i="36"/>
  <c r="AE211" i="36"/>
  <c r="AF211" i="36"/>
  <c r="AG211" i="36"/>
  <c r="AH211" i="36"/>
  <c r="AC211" i="36"/>
  <c r="AD211" i="36"/>
  <c r="AQ188" i="36"/>
  <c r="AK188" i="36"/>
  <c r="AM188" i="36"/>
  <c r="AN188" i="36"/>
  <c r="AO188" i="36"/>
  <c r="AP188" i="36"/>
  <c r="AC188" i="36"/>
  <c r="AD188" i="36"/>
  <c r="AE188" i="36"/>
  <c r="AF188" i="36"/>
  <c r="AG188" i="36"/>
  <c r="AH188" i="36"/>
  <c r="AI188" i="36"/>
  <c r="AK165" i="36"/>
  <c r="AM165" i="36"/>
  <c r="AN165" i="36"/>
  <c r="AO165" i="36"/>
  <c r="AP165" i="36"/>
  <c r="AQ165" i="36"/>
  <c r="AC165" i="36"/>
  <c r="AD165" i="36"/>
  <c r="AE165" i="36"/>
  <c r="AF165" i="36"/>
  <c r="AG165" i="36"/>
  <c r="AH165" i="36"/>
  <c r="AI165" i="36"/>
  <c r="AK142" i="36"/>
  <c r="AM142" i="36"/>
  <c r="AN142" i="36"/>
  <c r="AO142" i="36"/>
  <c r="AP142" i="36"/>
  <c r="AQ142" i="36"/>
  <c r="AC142" i="36"/>
  <c r="AD142" i="36"/>
  <c r="AE142" i="36"/>
  <c r="AF142" i="36"/>
  <c r="AG142" i="36"/>
  <c r="AH142" i="36"/>
  <c r="AI142" i="36"/>
  <c r="AK119" i="36"/>
  <c r="AM119" i="36"/>
  <c r="AN119" i="36"/>
  <c r="AO119" i="36"/>
  <c r="AP119" i="36"/>
  <c r="AQ119" i="36"/>
  <c r="AI119" i="36"/>
  <c r="AC119" i="36"/>
  <c r="AE119" i="36"/>
  <c r="AF119" i="36"/>
  <c r="AG119" i="36"/>
  <c r="AH119" i="36"/>
  <c r="AK96" i="36"/>
  <c r="AM96" i="36"/>
  <c r="AN96" i="36"/>
  <c r="AO96" i="36"/>
  <c r="AP96" i="36"/>
  <c r="AQ96" i="36"/>
  <c r="AC96" i="36"/>
  <c r="AE96" i="36"/>
  <c r="AF96" i="36"/>
  <c r="AG96" i="36"/>
  <c r="AH96" i="36"/>
  <c r="AI96" i="36"/>
  <c r="AK73" i="36"/>
  <c r="AM73" i="36"/>
  <c r="AN73" i="36"/>
  <c r="AO73" i="36"/>
  <c r="AP73" i="36"/>
  <c r="AQ73" i="36"/>
  <c r="AH73" i="36"/>
  <c r="AI73" i="36"/>
  <c r="AC73" i="36"/>
  <c r="AE73" i="36"/>
  <c r="AF73" i="36"/>
  <c r="AG73" i="36"/>
  <c r="AM56" i="36"/>
  <c r="AN56" i="36"/>
  <c r="AO56" i="36"/>
  <c r="AP56" i="36"/>
  <c r="AQ56" i="36"/>
  <c r="AK56" i="36"/>
  <c r="AC56" i="36"/>
  <c r="AE56" i="36"/>
  <c r="AF56" i="36"/>
  <c r="AG56" i="36"/>
  <c r="AH56" i="36"/>
  <c r="AI56" i="36"/>
  <c r="AO42" i="36"/>
  <c r="AP42" i="36"/>
  <c r="AQ42" i="36"/>
  <c r="AM42" i="36"/>
  <c r="AN42" i="36"/>
  <c r="AL42" i="36"/>
  <c r="AD42" i="36"/>
  <c r="AE42" i="36"/>
  <c r="AF42" i="36"/>
  <c r="AG42" i="36"/>
  <c r="AH42" i="36"/>
  <c r="AI42" i="36"/>
  <c r="AK11" i="36"/>
  <c r="AL11" i="36"/>
  <c r="AM11" i="36"/>
  <c r="AO11" i="36"/>
  <c r="AP11" i="36"/>
  <c r="AQ11" i="36"/>
  <c r="AH11" i="36"/>
  <c r="AI11" i="36"/>
  <c r="AC11" i="36"/>
  <c r="AD11" i="36"/>
  <c r="AE11" i="36"/>
  <c r="AG11" i="36"/>
  <c r="AH670" i="36"/>
  <c r="AD666" i="36"/>
  <c r="AC657" i="36"/>
  <c r="AI647" i="36"/>
  <c r="AE643" i="36"/>
  <c r="AH638" i="36"/>
  <c r="AD634" i="36"/>
  <c r="AG629" i="36"/>
  <c r="AC625" i="36"/>
  <c r="AF620" i="36"/>
  <c r="AI615" i="36"/>
  <c r="AD611" i="36"/>
  <c r="AF606" i="36"/>
  <c r="AH601" i="36"/>
  <c r="AC597" i="36"/>
  <c r="AE592" i="36"/>
  <c r="AG587" i="36"/>
  <c r="AI582" i="36"/>
  <c r="AD578" i="36"/>
  <c r="AF573" i="36"/>
  <c r="AH568" i="36"/>
  <c r="AC564" i="36"/>
  <c r="AE559" i="36"/>
  <c r="AI549" i="36"/>
  <c r="AD545" i="36"/>
  <c r="AF540" i="36"/>
  <c r="AH535" i="36"/>
  <c r="AC531" i="36"/>
  <c r="AE526" i="36"/>
  <c r="AI516" i="36"/>
  <c r="AD512" i="36"/>
  <c r="AH502" i="36"/>
  <c r="AE493" i="36"/>
  <c r="AI487" i="36"/>
  <c r="AD482" i="36"/>
  <c r="AF476" i="36"/>
  <c r="AF469" i="36"/>
  <c r="AF463" i="36"/>
  <c r="AG455" i="36"/>
  <c r="AI440" i="36"/>
  <c r="AF432" i="36"/>
  <c r="AG423" i="36"/>
  <c r="AH414" i="36"/>
  <c r="AE405" i="36"/>
  <c r="AE391" i="36"/>
  <c r="AF373" i="36"/>
  <c r="AI336" i="36"/>
  <c r="AE318" i="36"/>
  <c r="AF298" i="36"/>
  <c r="AK633" i="36"/>
  <c r="AL633" i="36"/>
  <c r="AM633" i="36"/>
  <c r="AO633" i="36"/>
  <c r="AP633" i="36"/>
  <c r="AQ633" i="36"/>
  <c r="AK661" i="36"/>
  <c r="AL661" i="36"/>
  <c r="AM661" i="36"/>
  <c r="AQ661" i="36"/>
  <c r="AO661" i="36"/>
  <c r="AP661" i="36"/>
  <c r="Y610" i="36"/>
  <c r="AK607" i="36"/>
  <c r="AL607" i="36"/>
  <c r="AM607" i="36"/>
  <c r="AN607" i="36"/>
  <c r="AO607" i="36"/>
  <c r="AP607" i="36"/>
  <c r="AK553" i="36"/>
  <c r="AL553" i="36"/>
  <c r="AM553" i="36"/>
  <c r="AN553" i="36"/>
  <c r="AP553" i="36"/>
  <c r="AQ553" i="36"/>
  <c r="AM527" i="36"/>
  <c r="AP527" i="36"/>
  <c r="AQ527" i="36"/>
  <c r="AK527" i="36"/>
  <c r="AL527" i="36"/>
  <c r="AN527" i="36"/>
  <c r="Y493" i="36"/>
  <c r="AL490" i="36"/>
  <c r="AN490" i="36"/>
  <c r="AO490" i="36"/>
  <c r="AP490" i="36"/>
  <c r="AQ490" i="36"/>
  <c r="AK490" i="36"/>
  <c r="AM490" i="36"/>
  <c r="AQ419" i="36"/>
  <c r="AM419" i="36"/>
  <c r="AN419" i="36"/>
  <c r="AO419" i="36"/>
  <c r="AP419" i="36"/>
  <c r="AL419" i="36"/>
  <c r="AF419" i="36"/>
  <c r="AG419" i="36"/>
  <c r="AH419" i="36"/>
  <c r="AI419" i="36"/>
  <c r="AL402" i="36"/>
  <c r="AM402" i="36"/>
  <c r="AN402" i="36"/>
  <c r="AO402" i="36"/>
  <c r="AP402" i="36"/>
  <c r="AQ402" i="36"/>
  <c r="AD402" i="36"/>
  <c r="AE402" i="36"/>
  <c r="AF402" i="36"/>
  <c r="AG402" i="36"/>
  <c r="AH402" i="36"/>
  <c r="AI402" i="36"/>
  <c r="AP371" i="36"/>
  <c r="AK371" i="36"/>
  <c r="AN371" i="36"/>
  <c r="AO371" i="36"/>
  <c r="AM371" i="36"/>
  <c r="AQ371" i="36"/>
  <c r="AC371" i="36"/>
  <c r="AE371" i="36"/>
  <c r="AF371" i="36"/>
  <c r="AG371" i="36"/>
  <c r="AH371" i="36"/>
  <c r="AI371" i="36"/>
  <c r="AK340" i="36"/>
  <c r="AM340" i="36"/>
  <c r="AN340" i="36"/>
  <c r="AO340" i="36"/>
  <c r="AP340" i="36"/>
  <c r="AQ340" i="36"/>
  <c r="AC340" i="36"/>
  <c r="AE340" i="36"/>
  <c r="AF340" i="36"/>
  <c r="Y306" i="36"/>
  <c r="AK300" i="36"/>
  <c r="AL300" i="36"/>
  <c r="AM300" i="36"/>
  <c r="AN300" i="36"/>
  <c r="AO300" i="36"/>
  <c r="AP300" i="36"/>
  <c r="AQ300" i="36"/>
  <c r="AC300" i="36"/>
  <c r="AD300" i="36"/>
  <c r="AE300" i="36"/>
  <c r="AF300" i="36"/>
  <c r="AG300" i="36"/>
  <c r="AH300" i="36"/>
  <c r="AI300" i="36"/>
  <c r="AM280" i="36"/>
  <c r="AN280" i="36"/>
  <c r="AO280" i="36"/>
  <c r="AP280" i="36"/>
  <c r="AQ280" i="36"/>
  <c r="AL280" i="36"/>
  <c r="AF280" i="36"/>
  <c r="AG280" i="36"/>
  <c r="AI280" i="36"/>
  <c r="AD280" i="36"/>
  <c r="AE280" i="36"/>
  <c r="AH280" i="36"/>
  <c r="AN257" i="36"/>
  <c r="AO257" i="36"/>
  <c r="AP257" i="36"/>
  <c r="AQ257" i="36"/>
  <c r="AM257" i="36"/>
  <c r="AL257" i="36"/>
  <c r="AG257" i="36"/>
  <c r="AH257" i="36"/>
  <c r="AI257" i="36"/>
  <c r="AD257" i="36"/>
  <c r="AE257" i="36"/>
  <c r="AF257" i="36"/>
  <c r="AO234" i="36"/>
  <c r="AP234" i="36"/>
  <c r="AQ234" i="36"/>
  <c r="AK234" i="36"/>
  <c r="AL234" i="36"/>
  <c r="AM234" i="36"/>
  <c r="AH234" i="36"/>
  <c r="AI234" i="36"/>
  <c r="AC234" i="36"/>
  <c r="AD234" i="36"/>
  <c r="AE234" i="36"/>
  <c r="AG234" i="36"/>
  <c r="AK139" i="36"/>
  <c r="AO139" i="36"/>
  <c r="AM139" i="36"/>
  <c r="AN139" i="36"/>
  <c r="AP139" i="36"/>
  <c r="AQ139" i="36"/>
  <c r="AC139" i="36"/>
  <c r="AD139" i="36"/>
  <c r="AE139" i="36"/>
  <c r="AF139" i="36"/>
  <c r="AG139" i="36"/>
  <c r="AH139" i="36"/>
  <c r="AI139" i="36"/>
  <c r="AK116" i="36"/>
  <c r="AM116" i="36"/>
  <c r="AN116" i="36"/>
  <c r="AO116" i="36"/>
  <c r="AP116" i="36"/>
  <c r="AQ116" i="36"/>
  <c r="AC116" i="36"/>
  <c r="AE116" i="36"/>
  <c r="AF116" i="36"/>
  <c r="AG116" i="36"/>
  <c r="AH116" i="36"/>
  <c r="AI116" i="36"/>
  <c r="AK93" i="36"/>
  <c r="AM93" i="36"/>
  <c r="AN93" i="36"/>
  <c r="AO93" i="36"/>
  <c r="AP93" i="36"/>
  <c r="AQ93" i="36"/>
  <c r="AC93" i="36"/>
  <c r="AE93" i="36"/>
  <c r="AF93" i="36"/>
  <c r="AG93" i="36"/>
  <c r="AH93" i="36"/>
  <c r="AI93" i="36"/>
  <c r="AL39" i="36"/>
  <c r="AM39" i="36"/>
  <c r="AN39" i="36"/>
  <c r="AO39" i="36"/>
  <c r="AP39" i="36"/>
  <c r="AQ39" i="36"/>
  <c r="AD39" i="36"/>
  <c r="AE39" i="36"/>
  <c r="AF39" i="36"/>
  <c r="AG39" i="36"/>
  <c r="AH39" i="36"/>
  <c r="AI39" i="36"/>
  <c r="AK25" i="36"/>
  <c r="AL25" i="36"/>
  <c r="AM25" i="36"/>
  <c r="AO25" i="36"/>
  <c r="AP25" i="36"/>
  <c r="AQ25" i="36"/>
  <c r="AC25" i="36"/>
  <c r="AD25" i="36"/>
  <c r="AE25" i="36"/>
  <c r="AG25" i="36"/>
  <c r="AH25" i="36"/>
  <c r="AI25" i="36"/>
  <c r="AG670" i="36"/>
  <c r="AC666" i="36"/>
  <c r="AI656" i="36"/>
  <c r="AE652" i="36"/>
  <c r="AH647" i="36"/>
  <c r="AD643" i="36"/>
  <c r="AG638" i="36"/>
  <c r="AC634" i="36"/>
  <c r="AF629" i="36"/>
  <c r="AI624" i="36"/>
  <c r="AE620" i="36"/>
  <c r="AH615" i="36"/>
  <c r="AC611" i="36"/>
  <c r="AE606" i="36"/>
  <c r="AG601" i="36"/>
  <c r="AI596" i="36"/>
  <c r="AF587" i="36"/>
  <c r="AH582" i="36"/>
  <c r="AE573" i="36"/>
  <c r="AI563" i="36"/>
  <c r="AD559" i="36"/>
  <c r="AF554" i="36"/>
  <c r="AH549" i="36"/>
  <c r="AC545" i="36"/>
  <c r="AE540" i="36"/>
  <c r="AI530" i="36"/>
  <c r="AD526" i="36"/>
  <c r="AF521" i="36"/>
  <c r="AH516" i="36"/>
  <c r="AC512" i="36"/>
  <c r="AE507" i="36"/>
  <c r="AG502" i="36"/>
  <c r="AI497" i="36"/>
  <c r="AD493" i="36"/>
  <c r="AH487" i="36"/>
  <c r="AC482" i="36"/>
  <c r="AE463" i="36"/>
  <c r="AF455" i="36"/>
  <c r="AE448" i="36"/>
  <c r="AH440" i="36"/>
  <c r="AE432" i="36"/>
  <c r="AF423" i="36"/>
  <c r="AG414" i="36"/>
  <c r="AD405" i="36"/>
  <c r="AD391" i="36"/>
  <c r="AE373" i="36"/>
  <c r="AC355" i="36"/>
  <c r="AH336" i="36"/>
  <c r="AD318" i="36"/>
  <c r="AG293" i="36"/>
  <c r="Y584" i="36"/>
  <c r="Y298" i="36"/>
  <c r="Y488" i="36"/>
  <c r="Y496" i="36"/>
  <c r="Q4" i="48"/>
  <c r="Q5" i="48"/>
  <c r="Q6" i="48"/>
  <c r="Q7" i="48"/>
  <c r="Q8" i="48"/>
  <c r="Q9" i="48"/>
  <c r="Q10" i="48"/>
  <c r="Q11" i="48"/>
  <c r="Q12" i="48"/>
  <c r="Q13" i="48"/>
  <c r="Q14" i="48"/>
  <c r="Q15" i="48"/>
  <c r="Q16" i="48"/>
  <c r="Q17" i="48"/>
  <c r="Q18" i="48"/>
  <c r="Q19" i="48"/>
  <c r="Q20" i="48"/>
  <c r="Q21" i="48"/>
  <c r="Q22" i="48"/>
  <c r="Q23" i="48"/>
  <c r="Q24" i="48"/>
  <c r="Q25" i="48"/>
  <c r="Q26" i="48"/>
  <c r="Q27" i="48"/>
  <c r="Q28" i="48"/>
  <c r="Q29" i="48"/>
  <c r="Q30" i="48"/>
  <c r="Q31" i="48"/>
  <c r="Q32" i="48"/>
  <c r="Q33" i="48"/>
  <c r="Q34" i="48"/>
  <c r="Q35" i="48"/>
  <c r="Q36" i="48"/>
  <c r="Q37" i="48"/>
  <c r="Q38" i="48"/>
  <c r="Q39" i="48"/>
  <c r="Q40" i="48"/>
  <c r="Q41" i="48"/>
  <c r="Q42" i="48"/>
  <c r="Q43" i="48"/>
  <c r="Q44" i="48"/>
  <c r="Q45" i="48"/>
  <c r="Q46" i="48"/>
  <c r="Q47" i="48"/>
  <c r="Q48" i="48"/>
  <c r="Q49" i="48"/>
  <c r="Q50" i="48"/>
  <c r="Q51" i="48"/>
  <c r="Q52" i="48"/>
  <c r="Q53" i="48"/>
  <c r="Q54" i="48"/>
  <c r="Q55" i="48"/>
  <c r="Q56" i="48"/>
  <c r="Q57" i="48"/>
  <c r="Q58" i="48"/>
  <c r="Q59" i="48"/>
  <c r="Q60" i="48"/>
  <c r="Q61" i="48"/>
  <c r="Q62" i="48"/>
  <c r="Q63" i="48"/>
  <c r="Q64" i="48"/>
  <c r="Q65" i="48"/>
  <c r="Q66" i="48"/>
  <c r="Q67" i="48"/>
  <c r="Q68" i="48"/>
  <c r="Q69" i="48"/>
  <c r="Q70" i="48"/>
  <c r="Q71" i="48"/>
  <c r="Q72" i="48"/>
  <c r="Q73" i="48"/>
  <c r="Q74" i="48"/>
  <c r="Q75" i="48"/>
  <c r="Q76" i="48"/>
  <c r="Q77" i="48"/>
  <c r="Q78" i="48"/>
  <c r="Q79" i="48"/>
  <c r="Q80" i="48"/>
  <c r="Q81" i="48"/>
  <c r="Q82" i="48"/>
  <c r="Q83" i="48"/>
  <c r="Q84" i="48"/>
  <c r="Q85" i="48"/>
  <c r="Q86" i="48"/>
  <c r="Q87" i="48"/>
  <c r="Q88" i="48"/>
  <c r="Q89" i="48"/>
  <c r="Q90" i="48"/>
  <c r="Q91" i="48"/>
  <c r="Q92" i="48"/>
  <c r="Q93" i="48"/>
  <c r="Q94" i="48"/>
  <c r="Q95" i="48"/>
  <c r="Q96" i="48"/>
  <c r="Q97" i="48"/>
  <c r="Q98" i="48"/>
  <c r="Q99" i="48"/>
  <c r="Q100" i="48"/>
  <c r="Q101" i="48"/>
  <c r="Q102" i="48"/>
  <c r="Q103" i="48"/>
  <c r="Q104" i="48"/>
  <c r="Q105" i="48"/>
  <c r="Q106" i="48"/>
  <c r="Q107" i="48"/>
  <c r="Q108" i="48"/>
  <c r="Q109" i="48"/>
  <c r="Q110" i="48"/>
  <c r="Q111" i="48"/>
  <c r="Q112" i="48"/>
  <c r="Q113" i="48"/>
  <c r="Q114" i="48"/>
  <c r="Q115" i="48"/>
  <c r="Q116" i="48"/>
  <c r="Q117" i="48"/>
  <c r="Q118" i="48"/>
  <c r="Q119" i="48"/>
  <c r="Q120" i="48"/>
  <c r="Q121" i="48"/>
  <c r="Q122" i="48"/>
  <c r="Q123" i="48"/>
  <c r="Q124" i="48"/>
  <c r="Q125" i="48"/>
  <c r="Q126" i="48"/>
  <c r="Q127" i="48"/>
  <c r="Q128" i="48"/>
  <c r="Q129" i="48"/>
  <c r="Q130" i="48"/>
  <c r="Q131" i="48"/>
  <c r="Q132" i="48"/>
  <c r="Q133" i="48"/>
  <c r="Q134" i="48"/>
  <c r="Q135" i="48"/>
  <c r="Q136" i="48"/>
  <c r="Q137" i="48"/>
  <c r="Q138" i="48"/>
  <c r="Q139" i="48"/>
  <c r="Q140" i="48"/>
  <c r="Q141" i="48"/>
  <c r="Q142" i="48"/>
  <c r="Q143" i="48"/>
  <c r="Q144" i="48"/>
  <c r="Q145" i="48"/>
  <c r="Q146" i="48"/>
  <c r="Q147" i="48"/>
  <c r="Q148" i="48"/>
  <c r="Q149" i="48"/>
  <c r="Q150" i="48"/>
  <c r="Q151" i="48"/>
  <c r="Q152" i="48"/>
  <c r="Q153" i="48"/>
  <c r="Q154" i="48"/>
  <c r="Q155" i="48"/>
  <c r="Q156" i="48"/>
  <c r="Q157" i="48"/>
  <c r="Q158" i="48"/>
  <c r="Q159" i="48"/>
  <c r="Q160" i="48"/>
  <c r="Q161" i="48"/>
  <c r="Q162" i="48"/>
  <c r="Q163" i="48"/>
  <c r="Q164" i="48"/>
  <c r="Q165" i="48"/>
  <c r="Q166" i="48"/>
  <c r="Q167" i="48"/>
  <c r="Q168" i="48"/>
  <c r="Q169" i="48"/>
  <c r="Q170" i="48"/>
  <c r="Q171" i="48"/>
  <c r="Q172" i="48"/>
  <c r="Q173" i="48"/>
  <c r="Q174" i="48"/>
  <c r="Q175" i="48"/>
  <c r="Q176" i="48"/>
  <c r="Q177" i="48"/>
  <c r="Q178" i="48"/>
  <c r="Q179" i="48"/>
  <c r="Q180" i="48"/>
  <c r="Q181" i="48"/>
  <c r="Q182" i="48"/>
  <c r="Q183" i="48"/>
  <c r="Q184" i="48"/>
  <c r="Q185" i="48"/>
  <c r="Q186" i="48"/>
  <c r="Q187" i="48"/>
  <c r="Q188" i="48"/>
  <c r="Q189" i="48"/>
  <c r="Q190" i="48"/>
  <c r="Q191" i="48"/>
  <c r="Q192" i="48"/>
  <c r="Q193" i="48"/>
  <c r="Q194" i="48"/>
  <c r="Q195" i="48"/>
  <c r="Q196" i="48"/>
  <c r="Q197" i="48"/>
  <c r="Q198" i="48"/>
  <c r="Q199" i="48"/>
  <c r="Q200" i="48"/>
  <c r="Q201" i="48"/>
  <c r="Q202" i="48"/>
  <c r="Q203" i="48"/>
  <c r="Q204" i="48"/>
  <c r="Q205" i="48"/>
  <c r="Q206" i="48"/>
  <c r="Q207" i="48"/>
  <c r="Q208" i="48"/>
  <c r="Q209" i="48"/>
  <c r="Q210" i="48"/>
  <c r="Q211" i="48"/>
  <c r="Q212" i="48"/>
  <c r="Q213" i="48"/>
  <c r="Q214" i="48"/>
  <c r="Q215" i="48"/>
  <c r="Q216" i="48"/>
  <c r="Q217" i="48"/>
  <c r="Q218" i="48"/>
  <c r="Q219" i="48"/>
  <c r="Q220" i="48"/>
  <c r="Q221" i="48"/>
  <c r="Q222" i="48"/>
  <c r="Q223" i="48"/>
  <c r="Q224" i="48"/>
  <c r="Q225" i="48"/>
  <c r="Q226" i="48"/>
  <c r="Q227" i="48"/>
  <c r="Q228" i="48"/>
  <c r="Q229" i="48"/>
  <c r="Q230" i="48"/>
  <c r="Q231" i="48"/>
  <c r="Q232" i="48"/>
  <c r="Q233" i="48"/>
  <c r="Q234" i="48"/>
  <c r="Q235" i="48"/>
  <c r="Q236" i="48"/>
  <c r="Q237" i="48"/>
  <c r="Q238" i="48"/>
  <c r="Q239" i="48"/>
  <c r="Q240" i="48"/>
  <c r="Q241" i="48"/>
  <c r="Q242" i="48"/>
  <c r="Q243" i="48"/>
  <c r="Q244" i="48"/>
  <c r="Q245" i="48"/>
  <c r="Q246" i="48"/>
  <c r="Q247" i="48"/>
  <c r="Q248" i="48"/>
  <c r="Q249" i="48"/>
  <c r="Q250" i="48"/>
  <c r="Q251" i="48"/>
  <c r="Q252" i="48"/>
  <c r="Q253" i="48"/>
  <c r="Q254" i="48"/>
  <c r="Q255" i="48"/>
  <c r="Q256" i="48"/>
  <c r="Q257" i="48"/>
  <c r="Q258" i="48"/>
  <c r="Q259" i="48"/>
  <c r="Q260" i="48"/>
  <c r="Q261" i="48"/>
  <c r="Q262" i="48"/>
  <c r="Q263" i="48"/>
  <c r="Q264" i="48"/>
  <c r="Q265" i="48"/>
  <c r="Q266" i="48"/>
  <c r="Q267" i="48"/>
  <c r="Q268" i="48"/>
  <c r="Q269" i="48"/>
  <c r="Q270" i="48"/>
  <c r="Q271" i="48"/>
  <c r="Q272" i="48"/>
  <c r="Q273" i="48"/>
  <c r="Q274" i="48"/>
  <c r="Q275" i="48"/>
  <c r="Q276" i="48"/>
  <c r="Q277" i="48"/>
  <c r="Q278" i="48"/>
  <c r="Q279" i="48"/>
  <c r="Q280" i="48"/>
  <c r="Q281" i="48"/>
  <c r="Q282" i="48"/>
  <c r="Q283" i="48"/>
  <c r="Q284" i="48"/>
  <c r="Q285" i="48"/>
  <c r="Q286" i="48"/>
  <c r="Q287" i="48"/>
  <c r="Q288" i="48"/>
  <c r="Q289" i="48"/>
  <c r="Q290" i="48"/>
  <c r="Q291" i="48"/>
  <c r="Q292" i="48"/>
  <c r="Q293" i="48"/>
  <c r="Q294" i="48"/>
  <c r="Q295" i="48"/>
  <c r="Q296" i="48"/>
  <c r="Q297" i="48"/>
  <c r="Q298" i="48"/>
  <c r="Q299" i="48"/>
  <c r="Q300" i="48"/>
  <c r="Q301" i="48"/>
  <c r="Q302" i="48"/>
  <c r="Q303" i="48"/>
  <c r="Q304" i="48"/>
  <c r="Q305" i="48"/>
  <c r="Q306" i="48"/>
  <c r="Q307" i="48"/>
  <c r="Q308" i="48"/>
  <c r="Q309" i="48"/>
  <c r="Q310" i="48"/>
  <c r="Q311" i="48"/>
  <c r="Q312" i="48"/>
  <c r="Q313" i="48"/>
  <c r="Q314" i="48"/>
  <c r="Q315" i="48"/>
  <c r="Q316" i="48"/>
  <c r="Q317" i="48"/>
  <c r="Q318" i="48"/>
  <c r="Q319" i="48"/>
  <c r="Q320" i="48"/>
  <c r="Q321" i="48"/>
  <c r="Q322" i="48"/>
  <c r="Q323" i="48"/>
  <c r="Q324" i="48"/>
  <c r="Q325" i="48"/>
  <c r="Q326" i="48"/>
  <c r="Q327" i="48"/>
  <c r="Q328" i="48"/>
  <c r="Q329" i="48"/>
  <c r="Q330" i="48"/>
  <c r="Q331" i="48"/>
  <c r="Q332" i="48"/>
  <c r="Q333" i="48"/>
  <c r="Q334" i="48"/>
  <c r="Q335" i="48"/>
  <c r="Q336" i="48"/>
  <c r="Q337" i="48"/>
  <c r="Q338" i="48"/>
  <c r="Q339" i="48"/>
  <c r="Q340" i="48"/>
  <c r="Q341" i="48"/>
  <c r="Q342" i="48"/>
  <c r="Q343" i="48"/>
  <c r="Q344" i="48"/>
  <c r="Q345" i="48"/>
  <c r="Q346" i="48"/>
  <c r="Q347" i="48"/>
  <c r="Q348" i="48"/>
  <c r="Q349" i="48"/>
  <c r="Q350" i="48"/>
  <c r="Q351" i="48"/>
  <c r="Q352" i="48"/>
  <c r="Q353" i="48"/>
  <c r="Q354" i="48"/>
  <c r="Q355" i="48"/>
  <c r="Q356" i="48"/>
  <c r="Q357" i="48"/>
  <c r="Q358" i="48"/>
  <c r="Q359" i="48"/>
  <c r="Q360" i="48"/>
  <c r="Q361" i="48"/>
  <c r="Q362" i="48"/>
  <c r="Q363" i="48"/>
  <c r="Q364" i="48"/>
  <c r="Q365" i="48"/>
  <c r="Q366" i="48"/>
  <c r="Q367" i="48"/>
  <c r="Q368" i="48"/>
  <c r="Q369" i="48"/>
  <c r="Q370" i="48"/>
  <c r="Q371" i="48"/>
  <c r="Q372" i="48"/>
  <c r="Q373" i="48"/>
  <c r="Q374" i="48"/>
  <c r="Q375" i="48"/>
  <c r="Q376" i="48"/>
  <c r="Q377" i="48"/>
  <c r="Q378" i="48"/>
  <c r="Q379" i="48"/>
  <c r="Q380" i="48"/>
  <c r="Q381" i="48"/>
  <c r="Q382" i="48"/>
  <c r="Q383" i="48"/>
  <c r="Q384" i="48"/>
  <c r="Q385" i="48"/>
  <c r="Q386" i="48"/>
  <c r="Q387" i="48"/>
  <c r="Q388" i="48"/>
  <c r="Q389" i="48"/>
  <c r="Q390" i="48"/>
  <c r="Q391" i="48"/>
  <c r="Q392" i="48"/>
  <c r="Q393" i="48"/>
  <c r="Q394" i="48"/>
  <c r="Q395" i="48"/>
  <c r="Q396" i="48"/>
  <c r="Q397" i="48"/>
  <c r="Q398" i="48"/>
  <c r="Q399" i="48"/>
  <c r="Q400" i="48"/>
  <c r="Q401" i="48"/>
  <c r="Q402" i="48"/>
  <c r="Q403" i="48"/>
  <c r="Q404" i="48"/>
  <c r="Q405" i="48"/>
  <c r="Q406" i="48"/>
  <c r="Q407" i="48"/>
  <c r="Q408" i="48"/>
  <c r="Q409" i="48"/>
  <c r="Q410" i="48"/>
  <c r="Q411" i="48"/>
  <c r="Q412" i="48"/>
  <c r="Q413" i="48"/>
  <c r="Q414" i="48"/>
  <c r="Q415" i="48"/>
  <c r="Q416" i="48"/>
  <c r="Q417" i="48"/>
  <c r="Q418" i="48"/>
  <c r="Q419" i="48"/>
  <c r="Q420" i="48"/>
  <c r="Q421" i="48"/>
  <c r="Q422" i="48"/>
  <c r="Q423" i="48"/>
  <c r="Q424" i="48"/>
  <c r="Q425" i="48"/>
  <c r="Q426" i="48"/>
  <c r="Q427" i="48"/>
  <c r="Q428" i="48"/>
  <c r="Q429" i="48"/>
  <c r="Q430" i="48"/>
  <c r="Q431" i="48"/>
  <c r="Q432" i="48"/>
  <c r="Q433" i="48"/>
  <c r="Q434" i="48"/>
  <c r="Q435" i="48"/>
  <c r="Q436" i="48"/>
  <c r="Q437" i="48"/>
  <c r="Q438" i="48"/>
  <c r="Q439" i="48"/>
  <c r="Q440" i="48"/>
  <c r="Q441" i="48"/>
  <c r="Q442" i="48"/>
  <c r="Q443" i="48"/>
  <c r="Q444" i="48"/>
  <c r="Q445" i="48"/>
  <c r="Q446" i="48"/>
  <c r="Q447" i="48"/>
  <c r="Q448" i="48"/>
  <c r="Q449" i="48"/>
  <c r="Q450" i="48"/>
  <c r="Q451" i="48"/>
  <c r="Q452" i="48"/>
  <c r="Q453" i="48"/>
  <c r="Q454" i="48"/>
  <c r="Q455" i="48"/>
  <c r="Q456" i="48"/>
  <c r="Q457" i="48"/>
  <c r="Q458" i="48"/>
  <c r="Q459" i="48"/>
  <c r="Q460" i="48"/>
  <c r="Q461" i="48"/>
  <c r="Q462" i="48"/>
  <c r="Q463" i="48"/>
  <c r="Q464" i="48"/>
  <c r="Q465" i="48"/>
  <c r="Q466" i="48"/>
  <c r="Q467" i="48"/>
  <c r="Q468" i="48"/>
  <c r="Q469" i="48"/>
  <c r="Q470" i="48"/>
  <c r="Q471" i="48"/>
  <c r="Q472" i="48"/>
  <c r="Q473" i="48"/>
  <c r="Q474" i="48"/>
  <c r="Q475" i="48"/>
  <c r="Q476" i="48"/>
  <c r="Q477" i="48"/>
  <c r="Q478" i="48"/>
  <c r="Q479" i="48"/>
  <c r="Q480" i="48"/>
  <c r="Q481" i="48"/>
  <c r="Q482" i="48"/>
  <c r="Q483" i="48"/>
  <c r="Q484" i="48"/>
  <c r="Q485" i="48"/>
  <c r="Q486" i="48"/>
  <c r="Q487" i="48"/>
  <c r="Q488" i="48"/>
  <c r="Q489" i="48"/>
  <c r="Q490" i="48"/>
  <c r="Q491" i="48"/>
  <c r="Q492" i="48"/>
  <c r="Q493" i="48"/>
  <c r="Q494" i="48"/>
  <c r="Q495" i="48"/>
  <c r="Q496" i="48"/>
  <c r="Q497" i="48"/>
  <c r="Q498" i="48"/>
  <c r="Q499" i="48"/>
  <c r="Q500" i="48"/>
  <c r="Q501" i="48"/>
  <c r="Q502" i="48"/>
  <c r="Q503" i="48"/>
  <c r="Q504" i="48"/>
  <c r="Q505" i="48"/>
  <c r="Q506" i="48"/>
  <c r="Q507" i="48"/>
  <c r="Q508" i="48"/>
  <c r="Q509" i="48"/>
  <c r="Q510" i="48"/>
  <c r="Q511" i="48"/>
  <c r="Q512" i="48"/>
  <c r="Q513" i="48"/>
  <c r="Q514" i="48"/>
  <c r="Q515" i="48"/>
  <c r="Q516" i="48"/>
  <c r="Q517" i="48"/>
  <c r="Q518" i="48"/>
  <c r="Q519" i="48"/>
  <c r="Q520" i="48"/>
  <c r="Q521" i="48"/>
  <c r="Q522" i="48"/>
  <c r="Q523" i="48"/>
  <c r="Q524" i="48"/>
  <c r="Q525" i="48"/>
  <c r="Q526" i="48"/>
  <c r="Q527" i="48"/>
  <c r="Q528" i="48"/>
  <c r="Q529" i="48"/>
  <c r="Q530" i="48"/>
  <c r="Q531" i="48"/>
  <c r="Q532" i="48"/>
  <c r="Q533" i="48"/>
  <c r="Q534" i="48"/>
  <c r="Q535" i="48"/>
  <c r="Q536" i="48"/>
  <c r="Q537" i="48"/>
  <c r="Q538" i="48"/>
  <c r="Q539" i="48"/>
  <c r="Q540" i="48"/>
  <c r="Q541" i="48"/>
  <c r="Q542" i="48"/>
  <c r="Q543" i="48"/>
  <c r="Q544" i="48"/>
  <c r="Q545" i="48"/>
  <c r="Q546" i="48"/>
  <c r="Q547" i="48"/>
  <c r="Q548" i="48"/>
  <c r="Q549" i="48"/>
  <c r="Q550" i="48"/>
  <c r="Q551" i="48"/>
  <c r="Q552" i="48"/>
  <c r="Q553" i="48"/>
  <c r="Q554" i="48"/>
  <c r="Q555" i="48"/>
  <c r="Q556" i="48"/>
  <c r="Q557" i="48"/>
  <c r="Q558" i="48"/>
  <c r="Q559" i="48"/>
  <c r="Q560" i="48"/>
  <c r="Q561" i="48"/>
  <c r="Q562" i="48"/>
  <c r="Q563" i="48"/>
  <c r="Q564" i="48"/>
  <c r="Q565" i="48"/>
  <c r="Q566" i="48"/>
  <c r="Q567" i="48"/>
  <c r="Q568" i="48"/>
  <c r="Q569" i="48"/>
  <c r="Q570" i="48"/>
  <c r="Q571" i="48"/>
  <c r="Q572" i="48"/>
  <c r="Q573" i="48"/>
  <c r="Q574" i="48"/>
  <c r="Q575" i="48"/>
  <c r="Q576" i="48"/>
  <c r="Q577" i="48"/>
  <c r="Q578" i="48"/>
  <c r="Q579" i="48"/>
  <c r="Q580" i="48"/>
  <c r="Q581" i="48"/>
  <c r="Q582" i="48"/>
  <c r="Q583" i="48"/>
  <c r="Q584" i="48"/>
  <c r="Q585" i="48"/>
  <c r="Q586" i="48"/>
  <c r="Q587" i="48"/>
  <c r="Q588" i="48"/>
  <c r="Q589" i="48"/>
  <c r="Q590" i="48"/>
  <c r="Q591" i="48"/>
  <c r="Q592" i="48"/>
  <c r="Q593" i="48"/>
  <c r="Q594" i="48"/>
  <c r="Q595" i="48"/>
  <c r="Q596" i="48"/>
  <c r="Q597" i="48"/>
  <c r="Q598" i="48"/>
  <c r="Q599" i="48"/>
  <c r="Q600" i="48"/>
  <c r="Q601" i="48"/>
  <c r="Q602" i="48"/>
  <c r="Q603" i="48"/>
  <c r="Q604" i="48"/>
  <c r="Q605" i="48"/>
  <c r="Q606" i="48"/>
  <c r="Q607" i="48"/>
  <c r="Q608" i="48"/>
  <c r="Q609" i="48"/>
  <c r="Q610" i="48"/>
  <c r="Q611" i="48"/>
  <c r="Q612" i="48"/>
  <c r="Q613" i="48"/>
  <c r="Q614" i="48"/>
  <c r="Q615" i="48"/>
  <c r="Q616" i="48"/>
  <c r="Q617" i="48"/>
  <c r="Q618" i="48"/>
  <c r="Q619" i="48"/>
  <c r="Q620" i="48"/>
  <c r="Q621" i="48"/>
  <c r="Q622" i="48"/>
  <c r="Q623" i="48"/>
  <c r="Q624" i="48"/>
  <c r="Q625" i="48"/>
  <c r="Q626" i="48"/>
  <c r="Q627" i="48"/>
  <c r="Q628" i="48"/>
  <c r="Q629" i="48"/>
  <c r="Q630" i="48"/>
  <c r="Q631" i="48"/>
  <c r="Q632" i="48"/>
  <c r="Q633" i="48"/>
  <c r="Q634" i="48"/>
  <c r="Q635" i="48"/>
  <c r="Q636" i="48"/>
  <c r="Q637" i="48"/>
  <c r="Q638" i="48"/>
  <c r="Q639" i="48"/>
  <c r="Q640" i="48"/>
  <c r="Q641" i="48"/>
  <c r="Q642" i="48"/>
  <c r="Q643" i="48"/>
  <c r="Q644" i="48"/>
  <c r="Q645" i="48"/>
  <c r="Q646" i="48"/>
  <c r="Q647" i="48"/>
  <c r="Q648" i="48"/>
  <c r="Q649" i="48"/>
  <c r="Q650" i="48"/>
  <c r="Q3" i="48"/>
  <c r="C20" i="38"/>
  <c r="E20" i="38" s="1"/>
  <c r="D20" i="38"/>
  <c r="C34" i="38"/>
  <c r="E34" i="38" s="1"/>
  <c r="D34" i="38"/>
  <c r="C70" i="38"/>
  <c r="E70" i="38" s="1"/>
  <c r="D70" i="38"/>
  <c r="C71" i="38"/>
  <c r="E71" i="38" s="1"/>
  <c r="D71" i="38"/>
  <c r="C72" i="38"/>
  <c r="E72" i="38" s="1"/>
  <c r="D72" i="38"/>
  <c r="C135" i="38"/>
  <c r="E135" i="38" s="1"/>
  <c r="D135" i="38"/>
  <c r="C136" i="38"/>
  <c r="E136" i="38" s="1"/>
  <c r="D136" i="38"/>
  <c r="C137" i="38"/>
  <c r="E137" i="38" s="1"/>
  <c r="D137" i="38"/>
  <c r="C138" i="38"/>
  <c r="E138" i="38" s="1"/>
  <c r="D138" i="38"/>
  <c r="C139" i="38"/>
  <c r="E139" i="38" s="1"/>
  <c r="D139" i="38"/>
  <c r="C140" i="38"/>
  <c r="E140" i="38" s="1"/>
  <c r="D140" i="38"/>
  <c r="C141" i="38"/>
  <c r="E141" i="38" s="1"/>
  <c r="D141" i="38"/>
  <c r="C142" i="38"/>
  <c r="E142" i="38" s="1"/>
  <c r="D142" i="38"/>
  <c r="C143" i="38"/>
  <c r="E143" i="38" s="1"/>
  <c r="D143" i="38"/>
  <c r="C144" i="38"/>
  <c r="E144" i="38" s="1"/>
  <c r="D144" i="38"/>
  <c r="C145" i="38"/>
  <c r="E145" i="38" s="1"/>
  <c r="D145" i="38"/>
  <c r="C146" i="38"/>
  <c r="E146" i="38" s="1"/>
  <c r="D146" i="38"/>
  <c r="C147" i="38"/>
  <c r="E147" i="38" s="1"/>
  <c r="D147" i="38"/>
  <c r="C148" i="38"/>
  <c r="E148" i="38" s="1"/>
  <c r="D148" i="38"/>
  <c r="C149" i="38"/>
  <c r="E149" i="38" s="1"/>
  <c r="D149" i="38"/>
  <c r="C150" i="38"/>
  <c r="E150" i="38" s="1"/>
  <c r="D150" i="38"/>
  <c r="C151" i="38"/>
  <c r="E151" i="38" s="1"/>
  <c r="D151" i="38"/>
  <c r="C152" i="38"/>
  <c r="E152" i="38" s="1"/>
  <c r="D152" i="38"/>
  <c r="C153" i="38"/>
  <c r="E153" i="38" s="1"/>
  <c r="D153" i="38"/>
  <c r="C154" i="38"/>
  <c r="E154" i="38" s="1"/>
  <c r="D154" i="38"/>
  <c r="C155" i="38"/>
  <c r="E155" i="38" s="1"/>
  <c r="D155" i="38"/>
  <c r="C156" i="38"/>
  <c r="E156" i="38" s="1"/>
  <c r="D156" i="38"/>
  <c r="C157" i="38"/>
  <c r="E157" i="38" s="1"/>
  <c r="D157" i="38"/>
  <c r="C158" i="38"/>
  <c r="E158" i="38" s="1"/>
  <c r="D158" i="38"/>
  <c r="C159" i="38"/>
  <c r="E159" i="38" s="1"/>
  <c r="D159" i="38"/>
  <c r="C160" i="38"/>
  <c r="E160" i="38" s="1"/>
  <c r="D160" i="38"/>
  <c r="C161" i="38"/>
  <c r="E161" i="38" s="1"/>
  <c r="D161" i="38"/>
  <c r="C162" i="38"/>
  <c r="E162" i="38" s="1"/>
  <c r="D162" i="38"/>
  <c r="C163" i="38"/>
  <c r="E163" i="38" s="1"/>
  <c r="D163" i="38"/>
  <c r="C164" i="38"/>
  <c r="E164" i="38" s="1"/>
  <c r="D164" i="38"/>
  <c r="C165" i="38"/>
  <c r="E165" i="38" s="1"/>
  <c r="D165" i="38"/>
  <c r="C166" i="38"/>
  <c r="E166" i="38" s="1"/>
  <c r="D166" i="38"/>
  <c r="C167" i="38"/>
  <c r="E167" i="38" s="1"/>
  <c r="D167" i="38"/>
  <c r="C168" i="38"/>
  <c r="E168" i="38" s="1"/>
  <c r="D168" i="38"/>
  <c r="C169" i="38"/>
  <c r="E169" i="38" s="1"/>
  <c r="D169" i="38"/>
  <c r="C170" i="38"/>
  <c r="E170" i="38" s="1"/>
  <c r="D170" i="38"/>
  <c r="C171" i="38"/>
  <c r="E171" i="38" s="1"/>
  <c r="D171" i="38"/>
  <c r="C172" i="38"/>
  <c r="E172" i="38" s="1"/>
  <c r="D172" i="38"/>
  <c r="C173" i="38"/>
  <c r="E173" i="38" s="1"/>
  <c r="D173" i="38"/>
  <c r="C174" i="38"/>
  <c r="E174" i="38" s="1"/>
  <c r="D174" i="38"/>
  <c r="C175" i="38"/>
  <c r="E175" i="38" s="1"/>
  <c r="D175" i="38"/>
  <c r="C176" i="38"/>
  <c r="E176" i="38" s="1"/>
  <c r="D176" i="38"/>
  <c r="C177" i="38"/>
  <c r="E177" i="38" s="1"/>
  <c r="D177" i="38"/>
  <c r="C178" i="38"/>
  <c r="E178" i="38" s="1"/>
  <c r="D178" i="38"/>
  <c r="C179" i="38"/>
  <c r="E179" i="38" s="1"/>
  <c r="D179" i="38"/>
  <c r="C180" i="38"/>
  <c r="E180" i="38" s="1"/>
  <c r="D180" i="38"/>
  <c r="C181" i="38"/>
  <c r="E181" i="38" s="1"/>
  <c r="D181" i="38"/>
  <c r="C182" i="38"/>
  <c r="E182" i="38" s="1"/>
  <c r="D182" i="38"/>
  <c r="C183" i="38"/>
  <c r="E183" i="38" s="1"/>
  <c r="D183" i="38"/>
  <c r="C184" i="38"/>
  <c r="E184" i="38" s="1"/>
  <c r="D184" i="38"/>
  <c r="C185" i="38"/>
  <c r="E185" i="38" s="1"/>
  <c r="D185" i="38"/>
  <c r="C186" i="38"/>
  <c r="E186" i="38" s="1"/>
  <c r="D186" i="38"/>
  <c r="C187" i="38"/>
  <c r="E187" i="38" s="1"/>
  <c r="D187" i="38"/>
  <c r="C188" i="38"/>
  <c r="E188" i="38" s="1"/>
  <c r="D188" i="38"/>
  <c r="C189" i="38"/>
  <c r="E189" i="38" s="1"/>
  <c r="D189" i="38"/>
  <c r="C190" i="38"/>
  <c r="E190" i="38" s="1"/>
  <c r="D190" i="38"/>
  <c r="C191" i="38"/>
  <c r="E191" i="38" s="1"/>
  <c r="D191" i="38"/>
  <c r="C192" i="38"/>
  <c r="E192" i="38" s="1"/>
  <c r="D192" i="38"/>
  <c r="C193" i="38"/>
  <c r="E193" i="38" s="1"/>
  <c r="D193" i="38"/>
  <c r="C194" i="38"/>
  <c r="E194" i="38" s="1"/>
  <c r="D194" i="38"/>
  <c r="C195" i="38"/>
  <c r="E195" i="38" s="1"/>
  <c r="D195" i="38"/>
  <c r="C196" i="38"/>
  <c r="E196" i="38" s="1"/>
  <c r="D196" i="38"/>
  <c r="C197" i="38"/>
  <c r="E197" i="38" s="1"/>
  <c r="D197" i="38"/>
  <c r="C198" i="38"/>
  <c r="E198" i="38" s="1"/>
  <c r="D198" i="38"/>
  <c r="C199" i="38"/>
  <c r="E199" i="38" s="1"/>
  <c r="D199" i="38"/>
  <c r="C200" i="38"/>
  <c r="E200" i="38" s="1"/>
  <c r="D200" i="38"/>
  <c r="C201" i="38"/>
  <c r="E201" i="38" s="1"/>
  <c r="D201" i="38"/>
  <c r="C202" i="38"/>
  <c r="E202" i="38" s="1"/>
  <c r="D202" i="38"/>
  <c r="C203" i="38"/>
  <c r="E203" i="38" s="1"/>
  <c r="D203" i="38"/>
  <c r="C204" i="38"/>
  <c r="E204" i="38" s="1"/>
  <c r="D204" i="38"/>
  <c r="C205" i="38"/>
  <c r="E205" i="38" s="1"/>
  <c r="D205" i="38"/>
  <c r="C206" i="38"/>
  <c r="E206" i="38" s="1"/>
  <c r="D206" i="38"/>
  <c r="C207" i="38"/>
  <c r="E207" i="38" s="1"/>
  <c r="D207" i="38"/>
  <c r="C208" i="38"/>
  <c r="E208" i="38" s="1"/>
  <c r="D208" i="38"/>
  <c r="C209" i="38"/>
  <c r="E209" i="38" s="1"/>
  <c r="D209" i="38"/>
  <c r="C210" i="38"/>
  <c r="E210" i="38" s="1"/>
  <c r="D210" i="38"/>
  <c r="C211" i="38"/>
  <c r="E211" i="38" s="1"/>
  <c r="D211" i="38"/>
  <c r="C212" i="38"/>
  <c r="E212" i="38" s="1"/>
  <c r="D212" i="38"/>
  <c r="C213" i="38"/>
  <c r="E213" i="38" s="1"/>
  <c r="D213" i="38"/>
  <c r="C214" i="38"/>
  <c r="E214" i="38" s="1"/>
  <c r="D214" i="38"/>
  <c r="C215" i="38"/>
  <c r="E215" i="38" s="1"/>
  <c r="D215" i="38"/>
  <c r="C216" i="38"/>
  <c r="E216" i="38" s="1"/>
  <c r="D216" i="38"/>
  <c r="C217" i="38"/>
  <c r="E217" i="38" s="1"/>
  <c r="D217" i="38"/>
  <c r="C218" i="38"/>
  <c r="E218" i="38" s="1"/>
  <c r="D218" i="38"/>
  <c r="C298" i="38"/>
  <c r="E298" i="38" s="1"/>
  <c r="D298" i="38"/>
  <c r="C299" i="38"/>
  <c r="E299" i="38" s="1"/>
  <c r="D299" i="38"/>
  <c r="C301" i="38"/>
  <c r="E301" i="38" s="1"/>
  <c r="D301" i="38"/>
  <c r="C302" i="38"/>
  <c r="E302" i="38" s="1"/>
  <c r="D302" i="38"/>
  <c r="C303" i="38"/>
  <c r="E303" i="38" s="1"/>
  <c r="D303" i="38"/>
  <c r="C304" i="38"/>
  <c r="E304" i="38" s="1"/>
  <c r="D304" i="38"/>
  <c r="C305" i="38"/>
  <c r="E305" i="38" s="1"/>
  <c r="D305" i="38"/>
  <c r="C306" i="38"/>
  <c r="E306" i="38" s="1"/>
  <c r="D306" i="38"/>
  <c r="C307" i="38"/>
  <c r="E307" i="38" s="1"/>
  <c r="D307" i="38"/>
  <c r="C308" i="38"/>
  <c r="E308" i="38" s="1"/>
  <c r="D308" i="38"/>
  <c r="C310" i="38"/>
  <c r="E310" i="38" s="1"/>
  <c r="D310" i="38"/>
  <c r="C312" i="38"/>
  <c r="E312" i="38" s="1"/>
  <c r="D312" i="38"/>
  <c r="C317" i="38"/>
  <c r="E317" i="38" s="1"/>
  <c r="D317" i="38"/>
  <c r="C318" i="38"/>
  <c r="E318" i="38" s="1"/>
  <c r="D318" i="38"/>
  <c r="C319" i="38"/>
  <c r="E319" i="38" s="1"/>
  <c r="D319" i="38"/>
  <c r="C320" i="38"/>
  <c r="E320" i="38" s="1"/>
  <c r="D320" i="38"/>
  <c r="C321" i="38"/>
  <c r="E321" i="38" s="1"/>
  <c r="D321" i="38"/>
  <c r="C322" i="38"/>
  <c r="E322" i="38" s="1"/>
  <c r="D322" i="38"/>
  <c r="C323" i="38"/>
  <c r="E323" i="38" s="1"/>
  <c r="D323" i="38"/>
  <c r="C324" i="38"/>
  <c r="E324" i="38" s="1"/>
  <c r="D324" i="38"/>
  <c r="C420" i="38"/>
  <c r="E420" i="38" s="1"/>
  <c r="D420" i="38"/>
  <c r="C421" i="38"/>
  <c r="E421" i="38" s="1"/>
  <c r="D421" i="38"/>
  <c r="C422" i="38"/>
  <c r="E422" i="38" s="1"/>
  <c r="D422" i="38"/>
  <c r="C423" i="38"/>
  <c r="E423" i="38" s="1"/>
  <c r="D423" i="38"/>
  <c r="C424" i="38"/>
  <c r="E424" i="38" s="1"/>
  <c r="D424" i="38"/>
  <c r="C425" i="38"/>
  <c r="E425" i="38" s="1"/>
  <c r="D425" i="38"/>
  <c r="C483" i="38"/>
  <c r="E483" i="38" s="1"/>
  <c r="D483" i="38"/>
  <c r="C484" i="38"/>
  <c r="E484" i="38" s="1"/>
  <c r="D484" i="38"/>
  <c r="C485" i="38"/>
  <c r="E485" i="38" s="1"/>
  <c r="D485" i="38"/>
  <c r="C486" i="38"/>
  <c r="E486" i="38" s="1"/>
  <c r="D486" i="38"/>
  <c r="C487" i="38"/>
  <c r="E487" i="38" s="1"/>
  <c r="D487" i="38"/>
  <c r="C488" i="38"/>
  <c r="E488" i="38" s="1"/>
  <c r="D488" i="38"/>
  <c r="C489" i="38"/>
  <c r="E489" i="38" s="1"/>
  <c r="D489" i="38"/>
  <c r="C490" i="38"/>
  <c r="E490" i="38" s="1"/>
  <c r="D490" i="38"/>
  <c r="C491" i="38"/>
  <c r="E491" i="38" s="1"/>
  <c r="D491" i="38"/>
  <c r="C492" i="38"/>
  <c r="E492" i="38" s="1"/>
  <c r="D492" i="38"/>
  <c r="C493" i="38"/>
  <c r="E493" i="38" s="1"/>
  <c r="D493" i="38"/>
  <c r="C494" i="38"/>
  <c r="E494" i="38" s="1"/>
  <c r="D494" i="38"/>
  <c r="C495" i="38"/>
  <c r="E495" i="38" s="1"/>
  <c r="D495" i="38"/>
  <c r="C496" i="38"/>
  <c r="D496" i="38"/>
  <c r="E496" i="38"/>
  <c r="C497" i="38"/>
  <c r="E497" i="38" s="1"/>
  <c r="D497" i="38"/>
  <c r="C498" i="38"/>
  <c r="E498" i="38" s="1"/>
  <c r="D498" i="38"/>
  <c r="C499" i="38"/>
  <c r="E499" i="38" s="1"/>
  <c r="D499" i="38"/>
  <c r="C500" i="38"/>
  <c r="E500" i="38" s="1"/>
  <c r="D500" i="38"/>
  <c r="C501" i="38"/>
  <c r="E501" i="38" s="1"/>
  <c r="D501" i="38"/>
  <c r="C502" i="38"/>
  <c r="E502" i="38" s="1"/>
  <c r="D502" i="38"/>
  <c r="C578" i="38"/>
  <c r="E578" i="38" s="1"/>
  <c r="D578" i="38"/>
  <c r="C579" i="38"/>
  <c r="E579" i="38" s="1"/>
  <c r="D579" i="38"/>
  <c r="C585" i="38"/>
  <c r="E585" i="38" s="1"/>
  <c r="D585" i="38"/>
  <c r="C586" i="38"/>
  <c r="E586" i="38" s="1"/>
  <c r="D586" i="38"/>
  <c r="C587" i="38"/>
  <c r="E587" i="38" s="1"/>
  <c r="D587" i="38"/>
  <c r="C588" i="38"/>
  <c r="E588" i="38" s="1"/>
  <c r="D588" i="38"/>
  <c r="C589" i="38"/>
  <c r="E589" i="38" s="1"/>
  <c r="D589" i="38"/>
  <c r="C590" i="38"/>
  <c r="E590" i="38" s="1"/>
  <c r="D590" i="38"/>
  <c r="C591" i="38"/>
  <c r="E591" i="38" s="1"/>
  <c r="D591" i="38"/>
  <c r="C592" i="38"/>
  <c r="E592" i="38" s="1"/>
  <c r="D592" i="38"/>
  <c r="C593" i="38"/>
  <c r="E593" i="38" s="1"/>
  <c r="D593" i="38"/>
  <c r="C594" i="38"/>
  <c r="E594" i="38" s="1"/>
  <c r="D594" i="38"/>
  <c r="C595" i="38"/>
  <c r="E595" i="38" s="1"/>
  <c r="D595" i="38"/>
  <c r="C612" i="38"/>
  <c r="E612" i="38" s="1"/>
  <c r="D612" i="38"/>
  <c r="C613" i="38"/>
  <c r="E613" i="38" s="1"/>
  <c r="D613" i="38"/>
  <c r="C614" i="38"/>
  <c r="E614" i="38" s="1"/>
  <c r="D614" i="38"/>
  <c r="C615" i="38"/>
  <c r="E615" i="38" s="1"/>
  <c r="D615" i="38"/>
  <c r="C616" i="38"/>
  <c r="E616" i="38" s="1"/>
  <c r="D616" i="38"/>
  <c r="C617" i="38"/>
  <c r="E617" i="38" s="1"/>
  <c r="D617" i="38"/>
  <c r="C618" i="38"/>
  <c r="E618" i="38" s="1"/>
  <c r="D618" i="38"/>
  <c r="C619" i="38"/>
  <c r="E619" i="38" s="1"/>
  <c r="D619" i="38"/>
  <c r="C620" i="38"/>
  <c r="E620" i="38" s="1"/>
  <c r="D620" i="38"/>
  <c r="C621" i="38"/>
  <c r="E621" i="38" s="1"/>
  <c r="D621" i="38"/>
  <c r="C622" i="38"/>
  <c r="E622" i="38" s="1"/>
  <c r="D622" i="38"/>
  <c r="C623" i="38"/>
  <c r="E623" i="38" s="1"/>
  <c r="D623" i="38"/>
  <c r="C624" i="38"/>
  <c r="E624" i="38" s="1"/>
  <c r="D624" i="38"/>
  <c r="C625" i="38"/>
  <c r="E625" i="38" s="1"/>
  <c r="D625" i="38"/>
  <c r="C626" i="38"/>
  <c r="E626" i="38" s="1"/>
  <c r="D626" i="38"/>
  <c r="C627" i="38"/>
  <c r="E627" i="38" s="1"/>
  <c r="D627" i="38"/>
  <c r="C628" i="38"/>
  <c r="E628" i="38" s="1"/>
  <c r="D628" i="38"/>
  <c r="C629" i="38"/>
  <c r="E629" i="38" s="1"/>
  <c r="D629" i="38"/>
  <c r="C630" i="38"/>
  <c r="E630" i="38" s="1"/>
  <c r="D630" i="38"/>
  <c r="C631" i="38"/>
  <c r="E631" i="38" s="1"/>
  <c r="D631" i="38"/>
  <c r="C632" i="38"/>
  <c r="E632" i="38" s="1"/>
  <c r="D632" i="38"/>
  <c r="C633" i="38"/>
  <c r="E633" i="38" s="1"/>
  <c r="D633" i="38"/>
  <c r="C634" i="38"/>
  <c r="E634" i="38" s="1"/>
  <c r="D634" i="38"/>
  <c r="C635" i="38"/>
  <c r="E635" i="38" s="1"/>
  <c r="D635" i="38"/>
  <c r="C636" i="38"/>
  <c r="E636" i="38" s="1"/>
  <c r="D636" i="38"/>
  <c r="C637" i="38"/>
  <c r="E637" i="38" s="1"/>
  <c r="D637" i="38"/>
  <c r="C638" i="38"/>
  <c r="E638" i="38" s="1"/>
  <c r="D638" i="38"/>
  <c r="C670" i="38"/>
  <c r="E670" i="38" s="1"/>
  <c r="D670" i="38"/>
  <c r="C671" i="38"/>
  <c r="E671" i="38" s="1"/>
  <c r="D671" i="38"/>
  <c r="C672" i="38"/>
  <c r="E672" i="38" s="1"/>
  <c r="D672" i="38"/>
  <c r="C673" i="38"/>
  <c r="E673" i="38" s="1"/>
  <c r="D673" i="38"/>
  <c r="C674" i="38"/>
  <c r="E674" i="38" s="1"/>
  <c r="D674" i="38"/>
  <c r="C675" i="38"/>
  <c r="E675" i="38" s="1"/>
  <c r="D675" i="38"/>
  <c r="C676" i="38"/>
  <c r="E676" i="38" s="1"/>
  <c r="D676" i="38"/>
  <c r="C677" i="38"/>
  <c r="E677" i="38" s="1"/>
  <c r="D677" i="38"/>
  <c r="C678" i="38"/>
  <c r="E678" i="38" s="1"/>
  <c r="D678" i="38"/>
  <c r="C679" i="38"/>
  <c r="E679" i="38" s="1"/>
  <c r="D679" i="38"/>
  <c r="C680" i="38"/>
  <c r="E680" i="38" s="1"/>
  <c r="D680" i="38"/>
  <c r="I3" i="48"/>
  <c r="H33" i="38"/>
  <c r="H32" i="38"/>
  <c r="BY14" i="42"/>
  <c r="BY15" i="42"/>
  <c r="BY16" i="42"/>
  <c r="BY17" i="42"/>
  <c r="BY18" i="42"/>
  <c r="BY19" i="42"/>
  <c r="BY20" i="42"/>
  <c r="BY21" i="42"/>
  <c r="BY22" i="42"/>
  <c r="BY23" i="42"/>
  <c r="BY24" i="42"/>
  <c r="BY25" i="42"/>
  <c r="BY26" i="42"/>
  <c r="BY27" i="42"/>
  <c r="BY28" i="42"/>
  <c r="BY29" i="42"/>
  <c r="BY30" i="42"/>
  <c r="BY31" i="42"/>
  <c r="BY32" i="42"/>
  <c r="BY33" i="42"/>
  <c r="BY34" i="42"/>
  <c r="BY35" i="42"/>
  <c r="BY36" i="42"/>
  <c r="BY37" i="42"/>
  <c r="BY38" i="42"/>
  <c r="BY39" i="42"/>
  <c r="BY40" i="42"/>
  <c r="BY41" i="42"/>
  <c r="BY42" i="42"/>
  <c r="BY43" i="42"/>
  <c r="BY44" i="42"/>
  <c r="BY45" i="42"/>
  <c r="BY46" i="42"/>
  <c r="BY47" i="42"/>
  <c r="BY48" i="42"/>
  <c r="BY49" i="42"/>
  <c r="BY50" i="42"/>
  <c r="BY51" i="42"/>
  <c r="BY52" i="42"/>
  <c r="BY53" i="42"/>
  <c r="BY54" i="42"/>
  <c r="BY55" i="42"/>
  <c r="BY56" i="42"/>
  <c r="BY57" i="42"/>
  <c r="BY58" i="42"/>
  <c r="BY59" i="42"/>
  <c r="BY60" i="42"/>
  <c r="BY61" i="42"/>
  <c r="BY62" i="42"/>
  <c r="BY63" i="42"/>
  <c r="BY64" i="42"/>
  <c r="BY65" i="42"/>
  <c r="BY66" i="42"/>
  <c r="BY67" i="42"/>
  <c r="BY68" i="42"/>
  <c r="BY69" i="42"/>
  <c r="BY70" i="42"/>
  <c r="BY71" i="42"/>
  <c r="BY72" i="42"/>
  <c r="BY73" i="42"/>
  <c r="BY74" i="42"/>
  <c r="BY75" i="42"/>
  <c r="BY76" i="42"/>
  <c r="BY77" i="42"/>
  <c r="BY78" i="42"/>
  <c r="BY79" i="42"/>
  <c r="BY80" i="42"/>
  <c r="BY81" i="42"/>
  <c r="BY82" i="42"/>
  <c r="BY83" i="42"/>
  <c r="BY84" i="42"/>
  <c r="BY85" i="42"/>
  <c r="BY86" i="42"/>
  <c r="BY87" i="42"/>
  <c r="BY88" i="42"/>
  <c r="BY89" i="42"/>
  <c r="BY90" i="42"/>
  <c r="BY91" i="42"/>
  <c r="BY92" i="42"/>
  <c r="BY93" i="42"/>
  <c r="BY94" i="42"/>
  <c r="BY95" i="42"/>
  <c r="BY96" i="42"/>
  <c r="BY97" i="42"/>
  <c r="BY98" i="42"/>
  <c r="BY99" i="42"/>
  <c r="BY100" i="42"/>
  <c r="BY101" i="42"/>
  <c r="BY102" i="42"/>
  <c r="BY103" i="42"/>
  <c r="BY104" i="42"/>
  <c r="BY105" i="42"/>
  <c r="BY106" i="42"/>
  <c r="BY107" i="42"/>
  <c r="BY108" i="42"/>
  <c r="BY109" i="42"/>
  <c r="BY110" i="42"/>
  <c r="BY111" i="42"/>
  <c r="BY112" i="42"/>
  <c r="BY113" i="42"/>
  <c r="BY114" i="42"/>
  <c r="BY115" i="42"/>
  <c r="BY116" i="42"/>
  <c r="BY117" i="42"/>
  <c r="BY118" i="42"/>
  <c r="BY119" i="42"/>
  <c r="BY120" i="42"/>
  <c r="BY121" i="42"/>
  <c r="BY122" i="42"/>
  <c r="BY123" i="42"/>
  <c r="BY124" i="42"/>
  <c r="BY125" i="42"/>
  <c r="BY126" i="42"/>
  <c r="BY127" i="42"/>
  <c r="BY128" i="42"/>
  <c r="BY129" i="42"/>
  <c r="BY130" i="42"/>
  <c r="BY131" i="42"/>
  <c r="BY132" i="42"/>
  <c r="BY133" i="42"/>
  <c r="BY134" i="42"/>
  <c r="BY135" i="42"/>
  <c r="BY136" i="42"/>
  <c r="BY137" i="42"/>
  <c r="BY138" i="42"/>
  <c r="BY139" i="42"/>
  <c r="BY140" i="42"/>
  <c r="BY141" i="42"/>
  <c r="BY142" i="42"/>
  <c r="BY143" i="42"/>
  <c r="BY144" i="42"/>
  <c r="BY145" i="42"/>
  <c r="BY146" i="42"/>
  <c r="BY147" i="42"/>
  <c r="BY13" i="42"/>
  <c r="CK13" i="42" a="1"/>
  <c r="CK13" i="42" s="1"/>
  <c r="CK12" i="42" s="1"/>
  <c r="BH14" i="42"/>
  <c r="BH15" i="42"/>
  <c r="BH16" i="42"/>
  <c r="BH17" i="42"/>
  <c r="BH18" i="42"/>
  <c r="BH19" i="42"/>
  <c r="BH20" i="42"/>
  <c r="BH21" i="42"/>
  <c r="BH22" i="42"/>
  <c r="BH23" i="42"/>
  <c r="BH24" i="42"/>
  <c r="BH25" i="42"/>
  <c r="BH26" i="42"/>
  <c r="BH27" i="42"/>
  <c r="BH28" i="42"/>
  <c r="BH29" i="42"/>
  <c r="BH30" i="42"/>
  <c r="BH31" i="42"/>
  <c r="BH32" i="42"/>
  <c r="BH33" i="42"/>
  <c r="BH34" i="42"/>
  <c r="BH35" i="42"/>
  <c r="BH36" i="42"/>
  <c r="BH37" i="42"/>
  <c r="BH38" i="42"/>
  <c r="BH39" i="42"/>
  <c r="BH40" i="42"/>
  <c r="BH41" i="42"/>
  <c r="BH42" i="42"/>
  <c r="BH43" i="42"/>
  <c r="BH44" i="42"/>
  <c r="BH45" i="42"/>
  <c r="BH46" i="42"/>
  <c r="BH47" i="42"/>
  <c r="BH48" i="42"/>
  <c r="BH49" i="42"/>
  <c r="BH50" i="42"/>
  <c r="BH51" i="42"/>
  <c r="BH52" i="42"/>
  <c r="BH53" i="42"/>
  <c r="BH54" i="42"/>
  <c r="BH55" i="42"/>
  <c r="BH56" i="42"/>
  <c r="BH57" i="42"/>
  <c r="BH58" i="42"/>
  <c r="BH59" i="42"/>
  <c r="BH60" i="42"/>
  <c r="BH61" i="42"/>
  <c r="BH62" i="42"/>
  <c r="BH63" i="42"/>
  <c r="BH64" i="42"/>
  <c r="BH65" i="42"/>
  <c r="BH66" i="42"/>
  <c r="BH67" i="42"/>
  <c r="BH68" i="42"/>
  <c r="BH69" i="42"/>
  <c r="BH70" i="42"/>
  <c r="BH71" i="42"/>
  <c r="BH72" i="42"/>
  <c r="BH73" i="42"/>
  <c r="BH74" i="42"/>
  <c r="BH75" i="42"/>
  <c r="BH76" i="42"/>
  <c r="BH77" i="42"/>
  <c r="BH78" i="42"/>
  <c r="BH79" i="42"/>
  <c r="BH80" i="42"/>
  <c r="BH81" i="42"/>
  <c r="BH82" i="42"/>
  <c r="BH83" i="42"/>
  <c r="BH84" i="42"/>
  <c r="BH85" i="42"/>
  <c r="BH86" i="42"/>
  <c r="BH87" i="42"/>
  <c r="BH88" i="42"/>
  <c r="BH89" i="42"/>
  <c r="BH90" i="42"/>
  <c r="BH91" i="42"/>
  <c r="BH92" i="42"/>
  <c r="BH93" i="42"/>
  <c r="BH94" i="42"/>
  <c r="BH95" i="42"/>
  <c r="BH96" i="42"/>
  <c r="BH97" i="42"/>
  <c r="BH98" i="42"/>
  <c r="BH99" i="42"/>
  <c r="BH100" i="42"/>
  <c r="BH101" i="42"/>
  <c r="BH102" i="42"/>
  <c r="BH103" i="42"/>
  <c r="BH104" i="42"/>
  <c r="BH105" i="42"/>
  <c r="BH106" i="42"/>
  <c r="BH107" i="42"/>
  <c r="BH108" i="42"/>
  <c r="BH109" i="42"/>
  <c r="BH110" i="42"/>
  <c r="BH111" i="42"/>
  <c r="BH112" i="42"/>
  <c r="BH113" i="42"/>
  <c r="BH114" i="42"/>
  <c r="BH115" i="42"/>
  <c r="BH116" i="42"/>
  <c r="BH117" i="42"/>
  <c r="BH118" i="42"/>
  <c r="BH119" i="42"/>
  <c r="BH120" i="42"/>
  <c r="BH121" i="42"/>
  <c r="BH122" i="42"/>
  <c r="BH123" i="42"/>
  <c r="BH124" i="42"/>
  <c r="BH125" i="42"/>
  <c r="BH126" i="42"/>
  <c r="BH127" i="42"/>
  <c r="BH128" i="42"/>
  <c r="BH129" i="42"/>
  <c r="BH130" i="42"/>
  <c r="BH131" i="42"/>
  <c r="BH132" i="42"/>
  <c r="BH133" i="42"/>
  <c r="BH134" i="42"/>
  <c r="BH135" i="42"/>
  <c r="BH136" i="42"/>
  <c r="BH137" i="42"/>
  <c r="BH138" i="42"/>
  <c r="BH139" i="42"/>
  <c r="BH140" i="42"/>
  <c r="BH141" i="42"/>
  <c r="BH142" i="42"/>
  <c r="BH143" i="42"/>
  <c r="BH144" i="42"/>
  <c r="BH145" i="42"/>
  <c r="BH146" i="42"/>
  <c r="BH147" i="42"/>
  <c r="BH148" i="42"/>
  <c r="BH149" i="42"/>
  <c r="BH150" i="42"/>
  <c r="BH151" i="42"/>
  <c r="BH152" i="42"/>
  <c r="BH153" i="42"/>
  <c r="BH154" i="42"/>
  <c r="BH155" i="42"/>
  <c r="BH156" i="42"/>
  <c r="BH157" i="42"/>
  <c r="BH158" i="42"/>
  <c r="BH159" i="42"/>
  <c r="BH13" i="42"/>
  <c r="AQ13" i="42"/>
  <c r="AQ175" i="42"/>
  <c r="AQ174" i="42"/>
  <c r="AQ173" i="42"/>
  <c r="AQ172" i="42"/>
  <c r="AQ171" i="42"/>
  <c r="AQ170" i="42"/>
  <c r="AQ169" i="42"/>
  <c r="AQ168" i="42"/>
  <c r="AQ167" i="42"/>
  <c r="AQ166" i="42"/>
  <c r="AQ165" i="42"/>
  <c r="AQ164" i="42"/>
  <c r="AQ163" i="42"/>
  <c r="AQ162" i="42"/>
  <c r="AQ161" i="42"/>
  <c r="AQ160" i="42"/>
  <c r="AQ159" i="42"/>
  <c r="AQ158" i="42"/>
  <c r="AQ157" i="42"/>
  <c r="AQ156" i="42"/>
  <c r="AQ155" i="42"/>
  <c r="AQ154" i="42"/>
  <c r="AQ153" i="42"/>
  <c r="AQ152" i="42"/>
  <c r="AQ151" i="42"/>
  <c r="AQ150" i="42"/>
  <c r="AQ149" i="42"/>
  <c r="AQ148" i="42"/>
  <c r="AQ147" i="42"/>
  <c r="AQ146" i="42"/>
  <c r="AQ145" i="42"/>
  <c r="AQ144" i="42"/>
  <c r="AQ143" i="42"/>
  <c r="AQ142" i="42"/>
  <c r="AQ141" i="42"/>
  <c r="AQ140" i="42"/>
  <c r="AQ139" i="42"/>
  <c r="AQ138" i="42"/>
  <c r="AQ137" i="42"/>
  <c r="AQ136" i="42"/>
  <c r="AQ135" i="42"/>
  <c r="AQ134" i="42"/>
  <c r="AQ133" i="42"/>
  <c r="AQ132" i="42"/>
  <c r="AQ131" i="42"/>
  <c r="AQ130" i="42"/>
  <c r="AQ129" i="42"/>
  <c r="AQ128" i="42"/>
  <c r="AQ127" i="42"/>
  <c r="AQ126" i="42"/>
  <c r="AQ125" i="42"/>
  <c r="AQ124" i="42"/>
  <c r="AQ123" i="42"/>
  <c r="AQ122" i="42"/>
  <c r="AQ121" i="42"/>
  <c r="AQ120" i="42"/>
  <c r="AQ119" i="42"/>
  <c r="AQ118" i="42"/>
  <c r="AQ117" i="42"/>
  <c r="AQ116" i="42"/>
  <c r="AQ115" i="42"/>
  <c r="AQ114" i="42"/>
  <c r="AQ113" i="42"/>
  <c r="AQ112" i="42"/>
  <c r="AQ111" i="42"/>
  <c r="AQ110" i="42"/>
  <c r="AQ109" i="42"/>
  <c r="AQ108" i="42"/>
  <c r="AQ107" i="42"/>
  <c r="AQ106" i="42"/>
  <c r="AQ105" i="42"/>
  <c r="AQ104" i="42"/>
  <c r="AQ103" i="42"/>
  <c r="AQ102" i="42"/>
  <c r="AQ101" i="42"/>
  <c r="AQ100" i="42"/>
  <c r="AQ99" i="42"/>
  <c r="AQ98" i="42"/>
  <c r="AQ97" i="42"/>
  <c r="AQ96" i="42"/>
  <c r="AQ95" i="42"/>
  <c r="AQ94" i="42"/>
  <c r="AQ93" i="42"/>
  <c r="AQ92" i="42"/>
  <c r="AQ91" i="42"/>
  <c r="AQ90" i="42"/>
  <c r="AQ89" i="42"/>
  <c r="AQ88" i="42"/>
  <c r="AQ87" i="42"/>
  <c r="AQ86" i="42"/>
  <c r="AQ85" i="42"/>
  <c r="AQ84" i="42"/>
  <c r="AQ83" i="42"/>
  <c r="AQ82" i="42"/>
  <c r="AQ81" i="42"/>
  <c r="AQ80" i="42"/>
  <c r="AQ79" i="42"/>
  <c r="AQ78" i="42"/>
  <c r="AQ77" i="42"/>
  <c r="AQ76" i="42"/>
  <c r="AQ75" i="42"/>
  <c r="AQ74" i="42"/>
  <c r="AQ73" i="42"/>
  <c r="AQ72" i="42"/>
  <c r="AQ71" i="42"/>
  <c r="AQ70" i="42"/>
  <c r="AQ69" i="42"/>
  <c r="AQ68" i="42"/>
  <c r="AQ67" i="42"/>
  <c r="AQ66" i="42"/>
  <c r="AQ65" i="42"/>
  <c r="AQ64" i="42"/>
  <c r="AQ63" i="42"/>
  <c r="AQ62" i="42"/>
  <c r="AQ61" i="42"/>
  <c r="AQ60" i="42"/>
  <c r="AQ59" i="42"/>
  <c r="AQ58" i="42"/>
  <c r="AQ57" i="42"/>
  <c r="AQ56" i="42"/>
  <c r="AQ55" i="42"/>
  <c r="AQ54" i="42"/>
  <c r="AQ53" i="42"/>
  <c r="AQ52" i="42"/>
  <c r="AQ51" i="42"/>
  <c r="AQ50" i="42"/>
  <c r="AQ49" i="42"/>
  <c r="AQ48" i="42"/>
  <c r="AQ47" i="42"/>
  <c r="AQ46" i="42"/>
  <c r="AQ45" i="42"/>
  <c r="AQ44" i="42"/>
  <c r="AQ43" i="42"/>
  <c r="AQ42" i="42"/>
  <c r="AQ41" i="42"/>
  <c r="AQ40" i="42"/>
  <c r="AQ39" i="42"/>
  <c r="AQ38" i="42"/>
  <c r="AQ37" i="42"/>
  <c r="AQ36" i="42"/>
  <c r="AQ35" i="42"/>
  <c r="AQ34" i="42"/>
  <c r="AQ33" i="42"/>
  <c r="AQ32" i="42"/>
  <c r="AQ31" i="42"/>
  <c r="AQ30" i="42"/>
  <c r="AQ29" i="42"/>
  <c r="AQ28" i="42"/>
  <c r="AQ27" i="42"/>
  <c r="AQ26" i="42"/>
  <c r="AQ25" i="42"/>
  <c r="AQ24" i="42"/>
  <c r="AQ23" i="42"/>
  <c r="AQ22" i="42"/>
  <c r="AQ21" i="42"/>
  <c r="AQ20" i="42"/>
  <c r="AQ19" i="42"/>
  <c r="AQ18" i="42"/>
  <c r="AQ17" i="42"/>
  <c r="AQ16" i="42"/>
  <c r="AQ15" i="42"/>
  <c r="AQ14" i="42"/>
  <c r="Y14" i="42"/>
  <c r="Y15" i="42"/>
  <c r="Y16" i="42"/>
  <c r="Y17" i="42"/>
  <c r="Y18" i="42"/>
  <c r="Y19" i="42"/>
  <c r="Y20" i="42"/>
  <c r="Y21" i="42"/>
  <c r="Y22" i="42"/>
  <c r="Y23" i="42"/>
  <c r="Y24" i="42"/>
  <c r="Y25" i="42"/>
  <c r="Y26" i="42"/>
  <c r="Y27" i="42"/>
  <c r="Y28" i="42"/>
  <c r="Y29" i="42"/>
  <c r="Y30" i="42"/>
  <c r="Y31" i="42"/>
  <c r="Y32" i="42"/>
  <c r="Y33" i="42"/>
  <c r="Y34" i="42"/>
  <c r="Y35" i="42"/>
  <c r="Y36" i="42"/>
  <c r="Y37" i="42"/>
  <c r="Y38" i="42"/>
  <c r="Y39" i="42"/>
  <c r="Y40" i="42"/>
  <c r="Y41" i="42"/>
  <c r="Y42" i="42"/>
  <c r="Y43" i="42"/>
  <c r="Y44" i="42"/>
  <c r="Y45" i="42"/>
  <c r="Y46" i="42"/>
  <c r="Y47" i="42"/>
  <c r="Y48" i="42"/>
  <c r="Y49" i="42"/>
  <c r="Y50" i="42"/>
  <c r="Y51" i="42"/>
  <c r="Y52" i="42"/>
  <c r="Y53" i="42"/>
  <c r="Y54" i="42"/>
  <c r="Y55" i="42"/>
  <c r="Y56" i="42"/>
  <c r="Y57" i="42"/>
  <c r="Y58" i="42"/>
  <c r="Y59" i="42"/>
  <c r="Y60" i="42"/>
  <c r="Y61" i="42"/>
  <c r="Y62" i="42"/>
  <c r="Y63" i="42"/>
  <c r="Y64" i="42"/>
  <c r="Y65" i="42"/>
  <c r="Y66" i="42"/>
  <c r="Y67" i="42"/>
  <c r="Y68" i="42"/>
  <c r="Y69" i="42"/>
  <c r="Y70" i="42"/>
  <c r="Y71" i="42"/>
  <c r="Y72" i="42"/>
  <c r="Y73" i="42"/>
  <c r="Y74" i="42"/>
  <c r="Y75" i="42"/>
  <c r="Y76" i="42"/>
  <c r="Y77" i="42"/>
  <c r="Y78" i="42"/>
  <c r="Y79" i="42"/>
  <c r="Y80" i="42"/>
  <c r="Y81" i="42"/>
  <c r="Y82" i="42"/>
  <c r="Y83" i="42"/>
  <c r="Y84" i="42"/>
  <c r="Y85" i="42"/>
  <c r="Y86" i="42"/>
  <c r="Y87" i="42"/>
  <c r="Y88" i="42"/>
  <c r="Y89" i="42"/>
  <c r="Y90" i="42"/>
  <c r="Y91" i="42"/>
  <c r="Y92" i="42"/>
  <c r="Y93" i="42"/>
  <c r="Y94" i="42"/>
  <c r="Y95" i="42"/>
  <c r="Y96" i="42"/>
  <c r="Y97" i="42"/>
  <c r="Y98" i="42"/>
  <c r="Y99" i="42"/>
  <c r="Y100" i="42"/>
  <c r="Y101" i="42"/>
  <c r="Y102" i="42"/>
  <c r="Y103" i="42"/>
  <c r="Y104" i="42"/>
  <c r="Y105" i="42"/>
  <c r="Y106" i="42"/>
  <c r="Y107" i="42"/>
  <c r="Y108" i="42"/>
  <c r="Y109" i="42"/>
  <c r="Y110" i="42"/>
  <c r="Y111" i="42"/>
  <c r="Y112" i="42"/>
  <c r="Y113" i="42"/>
  <c r="Y114" i="42"/>
  <c r="Y115" i="42"/>
  <c r="Y116" i="42"/>
  <c r="Y117" i="42"/>
  <c r="Y118" i="42"/>
  <c r="Y119" i="42"/>
  <c r="Y120" i="42"/>
  <c r="Y121" i="42"/>
  <c r="Y122" i="42"/>
  <c r="Y123" i="42"/>
  <c r="Y124" i="42"/>
  <c r="Y125" i="42"/>
  <c r="Y126" i="42"/>
  <c r="Y127" i="42"/>
  <c r="Y128" i="42"/>
  <c r="Y129" i="42"/>
  <c r="Y130" i="42"/>
  <c r="Y131" i="42"/>
  <c r="Y132" i="42"/>
  <c r="Y133" i="42"/>
  <c r="Y134" i="42"/>
  <c r="Y135" i="42"/>
  <c r="Y136" i="42"/>
  <c r="Y137" i="42"/>
  <c r="Y138" i="42"/>
  <c r="Y139" i="42"/>
  <c r="Y140" i="42"/>
  <c r="Y141" i="42"/>
  <c r="Y142" i="42"/>
  <c r="Y143" i="42"/>
  <c r="Y144" i="42"/>
  <c r="Y145" i="42"/>
  <c r="Y146" i="42"/>
  <c r="Y147" i="42"/>
  <c r="Y148" i="42"/>
  <c r="Y149" i="42"/>
  <c r="Y150" i="42"/>
  <c r="Y151" i="42"/>
  <c r="Y152" i="42"/>
  <c r="Y153" i="42"/>
  <c r="Y154" i="42"/>
  <c r="Y155" i="42"/>
  <c r="Y156" i="42"/>
  <c r="Y157" i="42"/>
  <c r="Y158" i="42"/>
  <c r="Y159" i="42"/>
  <c r="Y160" i="42"/>
  <c r="Y161" i="42"/>
  <c r="Y162" i="42"/>
  <c r="Y163" i="42"/>
  <c r="Y164" i="42"/>
  <c r="Y165" i="42"/>
  <c r="Y166" i="42"/>
  <c r="Y167" i="42"/>
  <c r="Y168" i="42"/>
  <c r="Y169" i="42"/>
  <c r="Y170" i="42"/>
  <c r="Y171" i="42"/>
  <c r="Y172" i="42"/>
  <c r="Y173" i="42"/>
  <c r="Y174" i="42"/>
  <c r="Y175" i="42"/>
  <c r="Y13" i="42"/>
  <c r="AK13" i="42" a="1"/>
  <c r="AK13" i="42" s="1"/>
  <c r="U14" i="42"/>
  <c r="U15" i="42"/>
  <c r="U16" i="42"/>
  <c r="U17" i="42"/>
  <c r="U18" i="42"/>
  <c r="U19" i="42"/>
  <c r="U20" i="42"/>
  <c r="U21" i="42"/>
  <c r="U22" i="42"/>
  <c r="U23" i="42"/>
  <c r="U24" i="42"/>
  <c r="U25" i="42"/>
  <c r="U26" i="42"/>
  <c r="U27" i="42"/>
  <c r="U28" i="42"/>
  <c r="U29" i="42"/>
  <c r="U30" i="42"/>
  <c r="U31" i="42"/>
  <c r="U32" i="42"/>
  <c r="U33" i="42"/>
  <c r="U34" i="42"/>
  <c r="U35" i="42"/>
  <c r="U36" i="42"/>
  <c r="U37" i="42"/>
  <c r="U38" i="42"/>
  <c r="U39" i="42"/>
  <c r="U40" i="42"/>
  <c r="U41" i="42"/>
  <c r="U42" i="42"/>
  <c r="U43" i="42"/>
  <c r="U44" i="42"/>
  <c r="U45" i="42"/>
  <c r="U46" i="42"/>
  <c r="U47" i="42"/>
  <c r="U48" i="42"/>
  <c r="U49" i="42"/>
  <c r="U50" i="42"/>
  <c r="U51" i="42"/>
  <c r="U52" i="42"/>
  <c r="U53" i="42"/>
  <c r="U54" i="42"/>
  <c r="U55" i="42"/>
  <c r="U56" i="42"/>
  <c r="U57" i="42"/>
  <c r="U58" i="42"/>
  <c r="U59" i="42"/>
  <c r="U60" i="42"/>
  <c r="U61" i="42"/>
  <c r="U62" i="42"/>
  <c r="U63" i="42"/>
  <c r="U64" i="42"/>
  <c r="U65" i="42"/>
  <c r="U66" i="42"/>
  <c r="U67" i="42"/>
  <c r="U68" i="42"/>
  <c r="U69" i="42"/>
  <c r="U70" i="42"/>
  <c r="U71" i="42"/>
  <c r="U72" i="42"/>
  <c r="U73" i="42"/>
  <c r="U74" i="42"/>
  <c r="U75" i="42"/>
  <c r="U76" i="42"/>
  <c r="U77" i="42"/>
  <c r="U78" i="42"/>
  <c r="U79" i="42"/>
  <c r="U80" i="42"/>
  <c r="U81" i="42"/>
  <c r="U82" i="42"/>
  <c r="U83" i="42"/>
  <c r="U84" i="42"/>
  <c r="U85" i="42"/>
  <c r="U86" i="42"/>
  <c r="U87" i="42"/>
  <c r="U88" i="42"/>
  <c r="U89" i="42"/>
  <c r="U90" i="42"/>
  <c r="U91" i="42"/>
  <c r="U92" i="42"/>
  <c r="U93" i="42"/>
  <c r="U94" i="42"/>
  <c r="U95" i="42"/>
  <c r="U96" i="42"/>
  <c r="U97" i="42"/>
  <c r="U98" i="42"/>
  <c r="U99" i="42"/>
  <c r="U100" i="42"/>
  <c r="U101" i="42"/>
  <c r="U102" i="42"/>
  <c r="U103" i="42"/>
  <c r="U104" i="42"/>
  <c r="U105" i="42"/>
  <c r="U106" i="42"/>
  <c r="U107" i="42"/>
  <c r="U108" i="42"/>
  <c r="U109" i="42"/>
  <c r="U110" i="42"/>
  <c r="U111" i="42"/>
  <c r="U112" i="42"/>
  <c r="U113" i="42"/>
  <c r="U114" i="42"/>
  <c r="U115" i="42"/>
  <c r="U116" i="42"/>
  <c r="U117" i="42"/>
  <c r="U118" i="42"/>
  <c r="U119" i="42"/>
  <c r="U120" i="42"/>
  <c r="U121" i="42"/>
  <c r="U122" i="42"/>
  <c r="U123" i="42"/>
  <c r="U124" i="42"/>
  <c r="U125" i="42"/>
  <c r="U126" i="42"/>
  <c r="U127" i="42"/>
  <c r="U128" i="42"/>
  <c r="U129" i="42"/>
  <c r="U130" i="42"/>
  <c r="U131" i="42"/>
  <c r="U132" i="42"/>
  <c r="U133" i="42"/>
  <c r="U134" i="42"/>
  <c r="U135" i="42"/>
  <c r="U136" i="42"/>
  <c r="U137" i="42"/>
  <c r="U138" i="42"/>
  <c r="U139" i="42"/>
  <c r="U140" i="42"/>
  <c r="U141" i="42"/>
  <c r="U142" i="42"/>
  <c r="U143" i="42"/>
  <c r="U144" i="42"/>
  <c r="U145" i="42"/>
  <c r="U146" i="42"/>
  <c r="U147" i="42"/>
  <c r="U148" i="42"/>
  <c r="U149" i="42"/>
  <c r="U150" i="42"/>
  <c r="U151" i="42"/>
  <c r="U152" i="42"/>
  <c r="U153" i="42"/>
  <c r="U154" i="42"/>
  <c r="U155" i="42"/>
  <c r="U156" i="42"/>
  <c r="U157" i="42"/>
  <c r="U158" i="42"/>
  <c r="U159" i="42"/>
  <c r="U160" i="42"/>
  <c r="U161" i="42"/>
  <c r="U162" i="42"/>
  <c r="U163" i="42"/>
  <c r="U164" i="42"/>
  <c r="U165" i="42"/>
  <c r="U166" i="42"/>
  <c r="U167" i="42"/>
  <c r="U168" i="42"/>
  <c r="U169" i="42"/>
  <c r="U170" i="42"/>
  <c r="U171" i="42"/>
  <c r="U172" i="42"/>
  <c r="U173" i="42"/>
  <c r="U174" i="42"/>
  <c r="U175" i="42"/>
  <c r="U176" i="42"/>
  <c r="U177" i="42"/>
  <c r="U178" i="42"/>
  <c r="U179" i="42"/>
  <c r="U180" i="42"/>
  <c r="U181" i="42"/>
  <c r="U182" i="42"/>
  <c r="U183" i="42"/>
  <c r="U184" i="42"/>
  <c r="U185" i="42"/>
  <c r="U186" i="42"/>
  <c r="U187" i="42"/>
  <c r="U188" i="42"/>
  <c r="U189" i="42"/>
  <c r="U190" i="42"/>
  <c r="U191" i="42"/>
  <c r="U192" i="42"/>
  <c r="U193" i="42"/>
  <c r="U194" i="42"/>
  <c r="U195" i="42"/>
  <c r="U196" i="42"/>
  <c r="U197" i="42"/>
  <c r="U198" i="42"/>
  <c r="U199" i="42"/>
  <c r="U200" i="42"/>
  <c r="U201" i="42"/>
  <c r="U202" i="42"/>
  <c r="U203" i="42"/>
  <c r="U204" i="42"/>
  <c r="U205" i="42"/>
  <c r="U206" i="42"/>
  <c r="U207" i="42"/>
  <c r="U208" i="42"/>
  <c r="U209" i="42"/>
  <c r="U210" i="42"/>
  <c r="U211" i="42"/>
  <c r="U212" i="42"/>
  <c r="U213" i="42"/>
  <c r="U214" i="42"/>
  <c r="U215" i="42"/>
  <c r="U216" i="42"/>
  <c r="U217" i="42"/>
  <c r="U218" i="42"/>
  <c r="U219" i="42"/>
  <c r="U220" i="42"/>
  <c r="U221" i="42"/>
  <c r="U222" i="42"/>
  <c r="U223" i="42"/>
  <c r="U224" i="42"/>
  <c r="U225" i="42"/>
  <c r="U226" i="42"/>
  <c r="U227" i="42"/>
  <c r="U228" i="42"/>
  <c r="U229" i="42"/>
  <c r="U230" i="42"/>
  <c r="U231" i="42"/>
  <c r="U232" i="42"/>
  <c r="U233" i="42"/>
  <c r="U234" i="42"/>
  <c r="U235" i="42"/>
  <c r="U236" i="42"/>
  <c r="U13" i="42"/>
  <c r="S14" i="42"/>
  <c r="S15" i="42"/>
  <c r="S16" i="42"/>
  <c r="S17" i="42"/>
  <c r="S18" i="42"/>
  <c r="S19" i="42"/>
  <c r="S20" i="42"/>
  <c r="S21" i="42"/>
  <c r="S22" i="42"/>
  <c r="S23" i="42"/>
  <c r="S24" i="42"/>
  <c r="S25" i="42"/>
  <c r="S26" i="42"/>
  <c r="S27" i="42"/>
  <c r="S28" i="42"/>
  <c r="S29" i="42"/>
  <c r="S30" i="42"/>
  <c r="S31" i="42"/>
  <c r="S32" i="42"/>
  <c r="S33" i="42"/>
  <c r="S34" i="42"/>
  <c r="S35" i="42"/>
  <c r="S36" i="42"/>
  <c r="S37" i="42"/>
  <c r="S38" i="42"/>
  <c r="S39" i="42"/>
  <c r="S40" i="42"/>
  <c r="S41" i="42"/>
  <c r="S42" i="42"/>
  <c r="S43" i="42"/>
  <c r="S44" i="42"/>
  <c r="S45" i="42"/>
  <c r="S46" i="42"/>
  <c r="S47" i="42"/>
  <c r="S48" i="42"/>
  <c r="S49" i="42"/>
  <c r="S50" i="42"/>
  <c r="S51" i="42"/>
  <c r="S52" i="42"/>
  <c r="S53" i="42"/>
  <c r="S54" i="42"/>
  <c r="S55" i="42"/>
  <c r="S56" i="42"/>
  <c r="S57" i="42"/>
  <c r="S58" i="42"/>
  <c r="S59" i="42"/>
  <c r="S60" i="42"/>
  <c r="S61" i="42"/>
  <c r="S62" i="42"/>
  <c r="S63" i="42"/>
  <c r="S64" i="42"/>
  <c r="S65" i="42"/>
  <c r="S66" i="42"/>
  <c r="S67" i="42"/>
  <c r="S68" i="42"/>
  <c r="S69" i="42"/>
  <c r="S70" i="42"/>
  <c r="S71" i="42"/>
  <c r="S72" i="42"/>
  <c r="S73" i="42"/>
  <c r="S74" i="42"/>
  <c r="S75" i="42"/>
  <c r="S76" i="42"/>
  <c r="S77" i="42"/>
  <c r="S78" i="42"/>
  <c r="S79" i="42"/>
  <c r="S80" i="42"/>
  <c r="S81" i="42"/>
  <c r="S82" i="42"/>
  <c r="S83" i="42"/>
  <c r="S84" i="42"/>
  <c r="S85" i="42"/>
  <c r="S86" i="42"/>
  <c r="S87" i="42"/>
  <c r="S88" i="42"/>
  <c r="S89" i="42"/>
  <c r="S90" i="42"/>
  <c r="S91" i="42"/>
  <c r="S92" i="42"/>
  <c r="S93" i="42"/>
  <c r="S94" i="42"/>
  <c r="S95" i="42"/>
  <c r="S96" i="42"/>
  <c r="S97" i="42"/>
  <c r="S98" i="42"/>
  <c r="S99" i="42"/>
  <c r="S100" i="42"/>
  <c r="S101" i="42"/>
  <c r="S102" i="42"/>
  <c r="S103" i="42"/>
  <c r="S104" i="42"/>
  <c r="S105" i="42"/>
  <c r="S106" i="42"/>
  <c r="S107" i="42"/>
  <c r="S108" i="42"/>
  <c r="S109" i="42"/>
  <c r="S110" i="42"/>
  <c r="S111" i="42"/>
  <c r="S112" i="42"/>
  <c r="S113" i="42"/>
  <c r="S114" i="42"/>
  <c r="S115" i="42"/>
  <c r="S116" i="42"/>
  <c r="S117" i="42"/>
  <c r="S118" i="42"/>
  <c r="S119" i="42"/>
  <c r="S120" i="42"/>
  <c r="S121" i="42"/>
  <c r="S122" i="42"/>
  <c r="S123" i="42"/>
  <c r="S124" i="42"/>
  <c r="S125" i="42"/>
  <c r="S126" i="42"/>
  <c r="S127" i="42"/>
  <c r="S128" i="42"/>
  <c r="S129" i="42"/>
  <c r="S130" i="42"/>
  <c r="S131" i="42"/>
  <c r="S132" i="42"/>
  <c r="S133" i="42"/>
  <c r="S134" i="42"/>
  <c r="S135" i="42"/>
  <c r="S136" i="42"/>
  <c r="S137" i="42"/>
  <c r="S138" i="42"/>
  <c r="S139" i="42"/>
  <c r="S140" i="42"/>
  <c r="S141" i="42"/>
  <c r="S142" i="42"/>
  <c r="S143" i="42"/>
  <c r="S144" i="42"/>
  <c r="S145" i="42"/>
  <c r="S146" i="42"/>
  <c r="S147" i="42"/>
  <c r="S148" i="42"/>
  <c r="S149" i="42"/>
  <c r="S150" i="42"/>
  <c r="S151" i="42"/>
  <c r="S152" i="42"/>
  <c r="S153" i="42"/>
  <c r="S154" i="42"/>
  <c r="S155" i="42"/>
  <c r="S156" i="42"/>
  <c r="S157" i="42"/>
  <c r="S158" i="42"/>
  <c r="S159" i="42"/>
  <c r="S160" i="42"/>
  <c r="S161" i="42"/>
  <c r="S162" i="42"/>
  <c r="S163" i="42"/>
  <c r="S164" i="42"/>
  <c r="S165" i="42"/>
  <c r="S166" i="42"/>
  <c r="S167" i="42"/>
  <c r="S168" i="42"/>
  <c r="S169" i="42"/>
  <c r="S170" i="42"/>
  <c r="S171" i="42"/>
  <c r="S172" i="42"/>
  <c r="S173" i="42"/>
  <c r="S174" i="42"/>
  <c r="S175" i="42"/>
  <c r="S176" i="42"/>
  <c r="S177" i="42"/>
  <c r="S178" i="42"/>
  <c r="S179" i="42"/>
  <c r="S180" i="42"/>
  <c r="S181" i="42"/>
  <c r="S182" i="42"/>
  <c r="S183" i="42"/>
  <c r="S184" i="42"/>
  <c r="S185" i="42"/>
  <c r="S186" i="42"/>
  <c r="S187" i="42"/>
  <c r="S188" i="42"/>
  <c r="S189" i="42"/>
  <c r="S190" i="42"/>
  <c r="S191" i="42"/>
  <c r="S192" i="42"/>
  <c r="S193" i="42"/>
  <c r="S194" i="42"/>
  <c r="S195" i="42"/>
  <c r="S196" i="42"/>
  <c r="S197" i="42"/>
  <c r="S198" i="42"/>
  <c r="S199" i="42"/>
  <c r="S200" i="42"/>
  <c r="S201" i="42"/>
  <c r="S202" i="42"/>
  <c r="S203" i="42"/>
  <c r="S204" i="42"/>
  <c r="S205" i="42"/>
  <c r="S206" i="42"/>
  <c r="S207" i="42"/>
  <c r="S208" i="42"/>
  <c r="S209" i="42"/>
  <c r="S210" i="42"/>
  <c r="S211" i="42"/>
  <c r="S212" i="42"/>
  <c r="S213" i="42"/>
  <c r="S214" i="42"/>
  <c r="S215" i="42"/>
  <c r="S216" i="42"/>
  <c r="S217" i="42"/>
  <c r="S218" i="42"/>
  <c r="S219" i="42"/>
  <c r="S220" i="42"/>
  <c r="S221" i="42"/>
  <c r="S222" i="42"/>
  <c r="S223" i="42"/>
  <c r="S224" i="42"/>
  <c r="S225" i="42"/>
  <c r="S226" i="42"/>
  <c r="S227" i="42"/>
  <c r="S228" i="42"/>
  <c r="S229" i="42"/>
  <c r="S230" i="42"/>
  <c r="S231" i="42"/>
  <c r="S232" i="42"/>
  <c r="S233" i="42"/>
  <c r="S234" i="42"/>
  <c r="S235" i="42"/>
  <c r="S236" i="42"/>
  <c r="S13" i="42"/>
  <c r="Q14" i="42"/>
  <c r="Q15" i="42"/>
  <c r="Q16" i="42"/>
  <c r="Q17" i="42"/>
  <c r="Q18" i="42"/>
  <c r="Q19" i="42"/>
  <c r="Q20" i="42"/>
  <c r="Q21" i="42"/>
  <c r="Q22" i="42"/>
  <c r="Q23" i="42"/>
  <c r="Q24" i="42"/>
  <c r="Q25" i="42"/>
  <c r="Q26" i="42"/>
  <c r="Q27" i="42"/>
  <c r="Q28" i="42"/>
  <c r="Q29" i="42"/>
  <c r="Q30" i="42"/>
  <c r="Q31" i="42"/>
  <c r="Q32" i="42"/>
  <c r="Q33" i="42"/>
  <c r="Q34" i="42"/>
  <c r="Q35" i="42"/>
  <c r="Q36" i="42"/>
  <c r="Q37" i="42"/>
  <c r="Q38" i="42"/>
  <c r="Q39" i="42"/>
  <c r="Q40" i="42"/>
  <c r="Q41" i="42"/>
  <c r="Q42" i="42"/>
  <c r="Q43" i="42"/>
  <c r="Q44" i="42"/>
  <c r="Q45" i="42"/>
  <c r="Q46" i="42"/>
  <c r="Q47" i="42"/>
  <c r="Q48" i="42"/>
  <c r="Q49" i="42"/>
  <c r="Q50" i="42"/>
  <c r="Q51" i="42"/>
  <c r="Q52" i="42"/>
  <c r="Q53" i="42"/>
  <c r="Q54" i="42"/>
  <c r="Q55" i="42"/>
  <c r="Q56" i="42"/>
  <c r="Q57" i="42"/>
  <c r="Q58" i="42"/>
  <c r="Q59" i="42"/>
  <c r="Q60" i="42"/>
  <c r="Q61" i="42"/>
  <c r="Q62" i="42"/>
  <c r="Q63" i="42"/>
  <c r="Q64" i="42"/>
  <c r="Q65" i="42"/>
  <c r="Q66" i="42"/>
  <c r="Q67" i="42"/>
  <c r="Q68" i="42"/>
  <c r="Q69" i="42"/>
  <c r="Q70" i="42"/>
  <c r="Q71" i="42"/>
  <c r="Q72" i="42"/>
  <c r="Q73" i="42"/>
  <c r="Q74" i="42"/>
  <c r="Q75" i="42"/>
  <c r="Q76" i="42"/>
  <c r="Q77" i="42"/>
  <c r="Q78" i="42"/>
  <c r="Q79" i="42"/>
  <c r="Q80" i="42"/>
  <c r="Q81" i="42"/>
  <c r="Q82" i="42"/>
  <c r="Q83" i="42"/>
  <c r="Q84" i="42"/>
  <c r="Q85" i="42"/>
  <c r="Q86" i="42"/>
  <c r="Q87" i="42"/>
  <c r="Q88" i="42"/>
  <c r="Q89" i="42"/>
  <c r="Q90" i="42"/>
  <c r="Q91" i="42"/>
  <c r="Q92" i="42"/>
  <c r="Q93" i="42"/>
  <c r="Q94" i="42"/>
  <c r="Q95" i="42"/>
  <c r="Q96" i="42"/>
  <c r="Q97" i="42"/>
  <c r="Q98" i="42"/>
  <c r="Q99" i="42"/>
  <c r="Q100" i="42"/>
  <c r="Q101" i="42"/>
  <c r="Q102" i="42"/>
  <c r="Q103" i="42"/>
  <c r="Q104" i="42"/>
  <c r="Q105" i="42"/>
  <c r="Q106" i="42"/>
  <c r="Q107" i="42"/>
  <c r="Q108" i="42"/>
  <c r="Q109" i="42"/>
  <c r="Q110" i="42"/>
  <c r="Q111" i="42"/>
  <c r="Q112" i="42"/>
  <c r="Q113" i="42"/>
  <c r="Q114" i="42"/>
  <c r="Q115" i="42"/>
  <c r="Q116" i="42"/>
  <c r="Q117" i="42"/>
  <c r="Q118" i="42"/>
  <c r="Q119" i="42"/>
  <c r="Q120" i="42"/>
  <c r="Q121" i="42"/>
  <c r="Q122" i="42"/>
  <c r="Q123" i="42"/>
  <c r="Q124" i="42"/>
  <c r="Q125" i="42"/>
  <c r="Q126" i="42"/>
  <c r="Q127" i="42"/>
  <c r="Q128" i="42"/>
  <c r="Q129" i="42"/>
  <c r="Q130" i="42"/>
  <c r="Q131" i="42"/>
  <c r="Q132" i="42"/>
  <c r="Q133" i="42"/>
  <c r="Q134" i="42"/>
  <c r="Q135" i="42"/>
  <c r="Q136" i="42"/>
  <c r="Q137" i="42"/>
  <c r="Q138" i="42"/>
  <c r="Q139" i="42"/>
  <c r="Q140" i="42"/>
  <c r="Q141" i="42"/>
  <c r="Q142" i="42"/>
  <c r="Q143" i="42"/>
  <c r="Q144" i="42"/>
  <c r="Q145" i="42"/>
  <c r="Q146" i="42"/>
  <c r="Q147" i="42"/>
  <c r="Q148" i="42"/>
  <c r="Q149" i="42"/>
  <c r="Q150" i="42"/>
  <c r="Q151" i="42"/>
  <c r="Q152" i="42"/>
  <c r="Q153" i="42"/>
  <c r="Q154" i="42"/>
  <c r="Q155" i="42"/>
  <c r="Q156" i="42"/>
  <c r="Q157" i="42"/>
  <c r="Q158" i="42"/>
  <c r="Q159" i="42"/>
  <c r="Q160" i="42"/>
  <c r="Q161" i="42"/>
  <c r="Q162" i="42"/>
  <c r="Q163" i="42"/>
  <c r="Q164" i="42"/>
  <c r="Q165" i="42"/>
  <c r="Q166" i="42"/>
  <c r="Q167" i="42"/>
  <c r="Q168" i="42"/>
  <c r="Q169" i="42"/>
  <c r="Q170" i="42"/>
  <c r="Q171" i="42"/>
  <c r="Q172" i="42"/>
  <c r="Q173" i="42"/>
  <c r="Q174" i="42"/>
  <c r="Q175" i="42"/>
  <c r="Q176" i="42"/>
  <c r="Q177" i="42"/>
  <c r="Q178" i="42"/>
  <c r="Q179" i="42"/>
  <c r="Q180" i="42"/>
  <c r="Q181" i="42"/>
  <c r="Q182" i="42"/>
  <c r="Q183" i="42"/>
  <c r="Q184" i="42"/>
  <c r="Q185" i="42"/>
  <c r="Q186" i="42"/>
  <c r="Q187" i="42"/>
  <c r="Q188" i="42"/>
  <c r="Q189" i="42"/>
  <c r="Q190" i="42"/>
  <c r="Q191" i="42"/>
  <c r="Q192" i="42"/>
  <c r="Q193" i="42"/>
  <c r="Q194" i="42"/>
  <c r="Q195" i="42"/>
  <c r="Q196" i="42"/>
  <c r="Q197" i="42"/>
  <c r="Q198" i="42"/>
  <c r="Q199" i="42"/>
  <c r="Q200" i="42"/>
  <c r="Q201" i="42"/>
  <c r="Q202" i="42"/>
  <c r="Q203" i="42"/>
  <c r="Q204" i="42"/>
  <c r="Q205" i="42"/>
  <c r="Q206" i="42"/>
  <c r="Q207" i="42"/>
  <c r="Q208" i="42"/>
  <c r="Q209" i="42"/>
  <c r="Q210" i="42"/>
  <c r="Q211" i="42"/>
  <c r="Q212" i="42"/>
  <c r="Q213" i="42"/>
  <c r="Q214" i="42"/>
  <c r="Q215" i="42"/>
  <c r="Q216" i="42"/>
  <c r="Q217" i="42"/>
  <c r="Q218" i="42"/>
  <c r="Q219" i="42"/>
  <c r="Q220" i="42"/>
  <c r="Q221" i="42"/>
  <c r="Q222" i="42"/>
  <c r="Q223" i="42"/>
  <c r="Q224" i="42"/>
  <c r="Q225" i="42"/>
  <c r="Q226" i="42"/>
  <c r="Q227" i="42"/>
  <c r="Q228" i="42"/>
  <c r="Q229" i="42"/>
  <c r="Q230" i="42"/>
  <c r="Q231" i="42"/>
  <c r="Q232" i="42"/>
  <c r="Q233" i="42"/>
  <c r="Q234" i="42"/>
  <c r="Q235" i="42"/>
  <c r="Q236" i="42"/>
  <c r="Q13" i="42"/>
  <c r="H13" i="42"/>
  <c r="G13" i="42"/>
  <c r="L13" i="42"/>
  <c r="AL11" i="40"/>
  <c r="AS11" i="40"/>
  <c r="AR11" i="40"/>
  <c r="AK11" i="40"/>
  <c r="AQ11" i="40"/>
  <c r="AJ11" i="40"/>
  <c r="AI11" i="40"/>
  <c r="AH11" i="40"/>
  <c r="AG11" i="40"/>
  <c r="AQ12" i="38"/>
  <c r="AQ13" i="38"/>
  <c r="AQ14" i="38"/>
  <c r="AQ15" i="38"/>
  <c r="AQ16" i="38"/>
  <c r="AQ17" i="38"/>
  <c r="AQ18" i="38"/>
  <c r="AQ19" i="38"/>
  <c r="AQ20" i="38"/>
  <c r="AQ21" i="38"/>
  <c r="AQ22" i="38"/>
  <c r="AQ23" i="38"/>
  <c r="AQ24" i="38"/>
  <c r="AQ25" i="38"/>
  <c r="AQ26" i="38"/>
  <c r="AQ27" i="38"/>
  <c r="AQ28" i="38"/>
  <c r="AQ29" i="38"/>
  <c r="AQ30" i="38"/>
  <c r="AQ31" i="38"/>
  <c r="AQ32" i="38"/>
  <c r="AQ33" i="38"/>
  <c r="AQ34" i="38"/>
  <c r="AQ35" i="38"/>
  <c r="AQ36" i="38"/>
  <c r="AQ37" i="38"/>
  <c r="AQ38" i="38"/>
  <c r="AQ39" i="38"/>
  <c r="AQ40" i="38"/>
  <c r="AQ41" i="38"/>
  <c r="AQ11" i="38"/>
  <c r="Z12" i="38"/>
  <c r="Z13" i="38"/>
  <c r="Z14" i="38"/>
  <c r="Z15" i="38"/>
  <c r="Z16" i="38"/>
  <c r="Z17" i="38"/>
  <c r="Z18" i="38"/>
  <c r="Z19" i="38"/>
  <c r="Z20" i="38"/>
  <c r="Z21" i="38"/>
  <c r="Z22" i="38"/>
  <c r="Z23" i="38"/>
  <c r="Z24" i="38"/>
  <c r="Z25" i="38"/>
  <c r="Z26" i="38"/>
  <c r="Z27" i="38"/>
  <c r="Z28" i="38"/>
  <c r="Z29" i="38"/>
  <c r="Z30" i="38"/>
  <c r="Z31" i="38"/>
  <c r="Z32" i="38"/>
  <c r="Z33" i="38"/>
  <c r="Z34" i="38"/>
  <c r="Z35" i="38"/>
  <c r="Z36" i="38"/>
  <c r="Z37" i="38"/>
  <c r="Z38" i="38"/>
  <c r="Z39" i="38"/>
  <c r="Z40" i="38"/>
  <c r="Z41" i="38"/>
  <c r="Z42" i="38"/>
  <c r="Z43" i="38"/>
  <c r="Z44" i="38"/>
  <c r="Z45" i="38"/>
  <c r="Z46" i="38"/>
  <c r="Z47" i="38"/>
  <c r="Z48" i="38"/>
  <c r="Z49" i="38"/>
  <c r="Z50" i="38"/>
  <c r="Z51" i="38"/>
  <c r="Z52" i="38"/>
  <c r="Z53" i="38"/>
  <c r="Z54" i="38"/>
  <c r="Z55" i="38"/>
  <c r="Z56" i="38"/>
  <c r="Z57" i="38"/>
  <c r="Z58" i="38"/>
  <c r="Z59" i="38"/>
  <c r="Z60" i="38"/>
  <c r="Z61" i="38"/>
  <c r="Z62" i="38"/>
  <c r="Z63" i="38"/>
  <c r="Z64" i="38"/>
  <c r="Z65" i="38"/>
  <c r="Z66" i="38"/>
  <c r="Z67" i="38"/>
  <c r="Z68" i="38"/>
  <c r="Z69" i="38"/>
  <c r="Z70" i="38"/>
  <c r="Z71" i="38"/>
  <c r="Z72" i="38"/>
  <c r="Z73" i="38"/>
  <c r="Z74" i="38"/>
  <c r="Z75" i="38"/>
  <c r="Z76" i="38"/>
  <c r="Z77" i="38"/>
  <c r="Z78" i="38"/>
  <c r="Z79" i="38"/>
  <c r="Z80" i="38"/>
  <c r="Z81" i="38"/>
  <c r="Z82" i="38"/>
  <c r="Z83" i="38"/>
  <c r="Z84" i="38"/>
  <c r="Z85" i="38"/>
  <c r="Z86" i="38"/>
  <c r="Z87" i="38"/>
  <c r="Z88" i="38"/>
  <c r="Z89" i="38"/>
  <c r="Z90" i="38"/>
  <c r="Z91" i="38"/>
  <c r="Z92" i="38"/>
  <c r="Z93" i="38"/>
  <c r="Z94" i="38"/>
  <c r="Z95" i="38"/>
  <c r="Z96" i="38"/>
  <c r="Z97" i="38"/>
  <c r="Z98" i="38"/>
  <c r="Z99" i="38"/>
  <c r="Z100" i="38"/>
  <c r="Z101" i="38"/>
  <c r="Z102" i="38"/>
  <c r="Z103" i="38"/>
  <c r="Z104" i="38"/>
  <c r="Z105" i="38"/>
  <c r="Z106" i="38"/>
  <c r="Z107" i="38"/>
  <c r="Z108" i="38"/>
  <c r="Z109" i="38"/>
  <c r="Z110" i="38"/>
  <c r="Z111" i="38"/>
  <c r="Z112" i="38"/>
  <c r="Z113" i="38"/>
  <c r="Z114" i="38"/>
  <c r="Z115" i="38"/>
  <c r="Z116" i="38"/>
  <c r="Z117" i="38"/>
  <c r="Z118" i="38"/>
  <c r="Z119" i="38"/>
  <c r="Z120" i="38"/>
  <c r="Z121" i="38"/>
  <c r="Z122" i="38"/>
  <c r="Z123" i="38"/>
  <c r="Z124" i="38"/>
  <c r="Z125" i="38"/>
  <c r="Z126" i="38"/>
  <c r="Z127" i="38"/>
  <c r="Z128" i="38"/>
  <c r="Z129" i="38"/>
  <c r="Z130" i="38"/>
  <c r="Z131" i="38"/>
  <c r="Z132" i="38"/>
  <c r="Z133" i="38"/>
  <c r="Z134" i="38"/>
  <c r="Z135" i="38"/>
  <c r="Z136" i="38"/>
  <c r="Z137" i="38"/>
  <c r="Z138" i="38"/>
  <c r="Z139" i="38"/>
  <c r="Z140" i="38"/>
  <c r="Z141" i="38"/>
  <c r="Z142" i="38"/>
  <c r="Z143" i="38"/>
  <c r="Z144" i="38"/>
  <c r="Z145" i="38"/>
  <c r="Z146" i="38"/>
  <c r="Z147" i="38"/>
  <c r="Z148" i="38"/>
  <c r="Z149" i="38"/>
  <c r="Z150" i="38"/>
  <c r="Z151" i="38"/>
  <c r="Z152" i="38"/>
  <c r="Z153" i="38"/>
  <c r="Z154" i="38"/>
  <c r="Z155" i="38"/>
  <c r="Z156" i="38"/>
  <c r="Z157" i="38"/>
  <c r="Z158" i="38"/>
  <c r="Z159" i="38"/>
  <c r="Z160" i="38"/>
  <c r="Z161" i="38"/>
  <c r="Z162" i="38"/>
  <c r="Z163" i="38"/>
  <c r="Z164" i="38"/>
  <c r="Z165" i="38"/>
  <c r="Z166" i="38"/>
  <c r="Z167" i="38"/>
  <c r="Z168" i="38"/>
  <c r="Z169" i="38"/>
  <c r="Z170" i="38"/>
  <c r="Z171" i="38"/>
  <c r="Z172" i="38"/>
  <c r="Z173" i="38"/>
  <c r="Z174" i="38"/>
  <c r="Z175" i="38"/>
  <c r="Z176" i="38"/>
  <c r="Z177" i="38"/>
  <c r="Z178" i="38"/>
  <c r="Z179" i="38"/>
  <c r="Z180" i="38"/>
  <c r="Z181" i="38"/>
  <c r="Z182" i="38"/>
  <c r="Z183" i="38"/>
  <c r="Z184" i="38"/>
  <c r="Z185" i="38"/>
  <c r="Z186" i="38"/>
  <c r="Z187" i="38"/>
  <c r="Z188" i="38"/>
  <c r="Z189" i="38"/>
  <c r="Z190" i="38"/>
  <c r="Z191" i="38"/>
  <c r="Z192" i="38"/>
  <c r="Z193" i="38"/>
  <c r="Z194" i="38"/>
  <c r="Z195" i="38"/>
  <c r="Z196" i="38"/>
  <c r="Z197" i="38"/>
  <c r="Z198" i="38"/>
  <c r="Z199" i="38"/>
  <c r="Z200" i="38"/>
  <c r="Z201" i="38"/>
  <c r="Z202" i="38"/>
  <c r="Z203" i="38"/>
  <c r="Z204" i="38"/>
  <c r="Z205" i="38"/>
  <c r="Z206" i="38"/>
  <c r="Z207" i="38"/>
  <c r="Z208" i="38"/>
  <c r="Z209" i="38"/>
  <c r="Z210" i="38"/>
  <c r="Z211" i="38"/>
  <c r="Z212" i="38"/>
  <c r="Z213" i="38"/>
  <c r="Z214" i="38"/>
  <c r="Z215" i="38"/>
  <c r="Z216" i="38"/>
  <c r="Z217" i="38"/>
  <c r="Z218" i="38"/>
  <c r="Z219" i="38"/>
  <c r="Z220" i="38"/>
  <c r="Z221" i="38"/>
  <c r="Z222" i="38"/>
  <c r="Z223" i="38"/>
  <c r="Z224" i="38"/>
  <c r="Z225" i="38"/>
  <c r="Z226" i="38"/>
  <c r="Z227" i="38"/>
  <c r="Z228" i="38"/>
  <c r="Z229" i="38"/>
  <c r="Z230" i="38"/>
  <c r="Z231" i="38"/>
  <c r="Z232" i="38"/>
  <c r="Z233" i="38"/>
  <c r="Z234" i="38"/>
  <c r="Z235" i="38"/>
  <c r="Z236" i="38"/>
  <c r="Z237" i="38"/>
  <c r="Z238" i="38"/>
  <c r="Z239" i="38"/>
  <c r="Z240" i="38"/>
  <c r="Z241" i="38"/>
  <c r="Z242" i="38"/>
  <c r="Z243" i="38"/>
  <c r="Z244" i="38"/>
  <c r="Z245" i="38"/>
  <c r="Z246" i="38"/>
  <c r="Z247" i="38"/>
  <c r="Z248" i="38"/>
  <c r="Z249" i="38"/>
  <c r="Z250" i="38"/>
  <c r="Z251" i="38"/>
  <c r="Z252" i="38"/>
  <c r="Z253" i="38"/>
  <c r="Z254" i="38"/>
  <c r="Z255" i="38"/>
  <c r="Z256" i="38"/>
  <c r="Z257" i="38"/>
  <c r="Z258" i="38"/>
  <c r="Z259" i="38"/>
  <c r="Z260" i="38"/>
  <c r="Z261" i="38"/>
  <c r="Z262" i="38"/>
  <c r="Z263" i="38"/>
  <c r="Z264" i="38"/>
  <c r="Z265" i="38"/>
  <c r="Z266" i="38"/>
  <c r="Z267" i="38"/>
  <c r="Z268" i="38"/>
  <c r="Z269" i="38"/>
  <c r="Z270" i="38"/>
  <c r="Z271" i="38"/>
  <c r="Z272" i="38"/>
  <c r="Z273" i="38"/>
  <c r="Z274" i="38"/>
  <c r="Z275" i="38"/>
  <c r="Z276" i="38"/>
  <c r="Z277" i="38"/>
  <c r="Z278" i="38"/>
  <c r="Z279" i="38"/>
  <c r="Z280" i="38"/>
  <c r="Z281" i="38"/>
  <c r="Z282" i="38"/>
  <c r="Z283" i="38"/>
  <c r="Z284" i="38"/>
  <c r="Z285" i="38"/>
  <c r="Z286" i="38"/>
  <c r="Z287" i="38"/>
  <c r="Z288" i="38"/>
  <c r="Z289" i="38"/>
  <c r="Z290" i="38"/>
  <c r="Z291" i="38"/>
  <c r="Z292" i="38"/>
  <c r="Z293" i="38"/>
  <c r="Z294" i="38"/>
  <c r="Z295" i="38"/>
  <c r="Z296" i="38"/>
  <c r="Z297" i="38"/>
  <c r="Z298" i="38"/>
  <c r="Z299" i="38"/>
  <c r="Z300" i="38"/>
  <c r="Z301" i="38"/>
  <c r="Z302" i="38"/>
  <c r="Z303" i="38"/>
  <c r="Z304" i="38"/>
  <c r="Z305" i="38"/>
  <c r="Z306" i="38"/>
  <c r="Z307" i="38"/>
  <c r="Z308" i="38"/>
  <c r="Z309" i="38"/>
  <c r="Z310" i="38"/>
  <c r="Z311" i="38"/>
  <c r="Z312" i="38"/>
  <c r="Z313" i="38"/>
  <c r="Z314" i="38"/>
  <c r="Z315" i="38"/>
  <c r="Z316" i="38"/>
  <c r="Z317" i="38"/>
  <c r="Z318" i="38"/>
  <c r="Z319" i="38"/>
  <c r="Z320" i="38"/>
  <c r="Z321" i="38"/>
  <c r="Z322" i="38"/>
  <c r="Z323" i="38"/>
  <c r="Z324" i="38"/>
  <c r="Z325" i="38"/>
  <c r="Z326" i="38"/>
  <c r="Z327" i="38"/>
  <c r="Z328" i="38"/>
  <c r="Z329" i="38"/>
  <c r="Z330" i="38"/>
  <c r="Z331" i="38"/>
  <c r="Z332" i="38"/>
  <c r="Z333" i="38"/>
  <c r="Z334" i="38"/>
  <c r="Z335" i="38"/>
  <c r="Z336" i="38"/>
  <c r="Z337" i="38"/>
  <c r="Z338" i="38"/>
  <c r="Z339" i="38"/>
  <c r="Z340" i="38"/>
  <c r="Z341" i="38"/>
  <c r="Z342" i="38"/>
  <c r="Z343" i="38"/>
  <c r="Z344" i="38"/>
  <c r="Z345" i="38"/>
  <c r="Z346" i="38"/>
  <c r="Z347" i="38"/>
  <c r="Z348" i="38"/>
  <c r="Z349" i="38"/>
  <c r="Z350" i="38"/>
  <c r="Z351" i="38"/>
  <c r="Z352" i="38"/>
  <c r="Z353" i="38"/>
  <c r="Z354" i="38"/>
  <c r="Z355" i="38"/>
  <c r="Z356" i="38"/>
  <c r="Z357" i="38"/>
  <c r="Z358" i="38"/>
  <c r="Z359" i="38"/>
  <c r="Z360" i="38"/>
  <c r="Z361" i="38"/>
  <c r="Z362" i="38"/>
  <c r="Z363" i="38"/>
  <c r="Z364" i="38"/>
  <c r="Z365" i="38"/>
  <c r="Z366" i="38"/>
  <c r="Z367" i="38"/>
  <c r="Z368" i="38"/>
  <c r="Z369" i="38"/>
  <c r="Z370" i="38"/>
  <c r="Z371" i="38"/>
  <c r="Z372" i="38"/>
  <c r="Z373" i="38"/>
  <c r="Z374" i="38"/>
  <c r="Z375" i="38"/>
  <c r="Z376" i="38"/>
  <c r="Z11" i="38"/>
  <c r="AP41" i="38"/>
  <c r="AP40" i="38"/>
  <c r="AP39" i="38"/>
  <c r="AP38" i="38"/>
  <c r="AP37" i="38"/>
  <c r="AP36" i="38"/>
  <c r="AP35" i="38"/>
  <c r="AP34" i="38"/>
  <c r="AP33" i="38"/>
  <c r="AP32" i="38"/>
  <c r="AP31" i="38"/>
  <c r="AP30" i="38"/>
  <c r="AM30" i="38" a="1"/>
  <c r="AM30" i="38" s="1"/>
  <c r="AL30" i="38" a="1"/>
  <c r="AL30" i="38" s="1"/>
  <c r="AK30" i="38" a="1"/>
  <c r="AK30" i="38" s="1"/>
  <c r="AJ30" i="38" a="1"/>
  <c r="AJ30" i="38" s="1"/>
  <c r="AI30" i="38" a="1"/>
  <c r="AI30" i="38" s="1"/>
  <c r="AH30" i="38" a="1"/>
  <c r="AH30" i="38" s="1"/>
  <c r="AG30" i="38" a="1"/>
  <c r="AG30" i="38" s="1"/>
  <c r="AF30" i="38" a="1"/>
  <c r="AF30" i="38" s="1"/>
  <c r="AE30" i="38" a="1"/>
  <c r="AE30" i="38" s="1"/>
  <c r="AP29" i="38"/>
  <c r="AP28" i="38"/>
  <c r="AP27" i="38"/>
  <c r="AP26" i="38"/>
  <c r="AP25" i="38"/>
  <c r="AP24" i="38"/>
  <c r="AP23" i="38"/>
  <c r="AP22" i="38"/>
  <c r="AM20" i="38" a="1"/>
  <c r="AM20" i="38" s="1"/>
  <c r="AL20" i="38" a="1"/>
  <c r="AL20" i="38" s="1"/>
  <c r="AK20" i="38" a="1"/>
  <c r="AK20" i="38" s="1"/>
  <c r="AJ20" i="38" a="1"/>
  <c r="AJ20" i="38" s="1"/>
  <c r="AI20" i="38" a="1"/>
  <c r="AI20" i="38" s="1"/>
  <c r="AH20" i="38" a="1"/>
  <c r="AH20" i="38" s="1"/>
  <c r="AG20" i="38" a="1"/>
  <c r="AG20" i="38" s="1"/>
  <c r="AF20" i="38" a="1"/>
  <c r="AF20" i="38" s="1"/>
  <c r="AE20" i="38" a="1"/>
  <c r="AE20" i="38" s="1"/>
  <c r="AM19" i="38" a="1"/>
  <c r="AM19" i="38" s="1"/>
  <c r="AL19" i="38" a="1"/>
  <c r="AL19" i="38" s="1"/>
  <c r="AK19" i="38" a="1"/>
  <c r="AK19" i="38" s="1"/>
  <c r="AJ19" i="38" a="1"/>
  <c r="AJ19" i="38" s="1"/>
  <c r="AI19" i="38" a="1"/>
  <c r="AI19" i="38" s="1"/>
  <c r="AH19" i="38" a="1"/>
  <c r="AH19" i="38" s="1"/>
  <c r="AG19" i="38" a="1"/>
  <c r="AG19" i="38" s="1"/>
  <c r="AF19" i="38" a="1"/>
  <c r="AF19" i="38" s="1"/>
  <c r="AE19" i="38" a="1"/>
  <c r="AE19" i="38" s="1"/>
  <c r="AM18" i="38" a="1"/>
  <c r="AM18" i="38" s="1"/>
  <c r="AL18" i="38" a="1"/>
  <c r="AL18" i="38" s="1"/>
  <c r="AK18" i="38" a="1"/>
  <c r="AK18" i="38" s="1"/>
  <c r="AJ18" i="38" a="1"/>
  <c r="AJ18" i="38" s="1"/>
  <c r="AI18" i="38" a="1"/>
  <c r="AI18" i="38" s="1"/>
  <c r="AH18" i="38" a="1"/>
  <c r="AH18" i="38" s="1"/>
  <c r="AG18" i="38" a="1"/>
  <c r="AG18" i="38" s="1"/>
  <c r="AF18" i="38" a="1"/>
  <c r="AF18" i="38" s="1"/>
  <c r="AE18" i="38" a="1"/>
  <c r="AE18" i="38" s="1"/>
  <c r="AM17" i="38" a="1"/>
  <c r="AM17" i="38" s="1"/>
  <c r="AL17" i="38" a="1"/>
  <c r="AL17" i="38" s="1"/>
  <c r="AK17" i="38" a="1"/>
  <c r="AK17" i="38" s="1"/>
  <c r="AJ17" i="38" a="1"/>
  <c r="AJ17" i="38" s="1"/>
  <c r="AI17" i="38" a="1"/>
  <c r="AI17" i="38" s="1"/>
  <c r="AH17" i="38" a="1"/>
  <c r="AH17" i="38" s="1"/>
  <c r="AG17" i="38" a="1"/>
  <c r="AG17" i="38" s="1"/>
  <c r="AF17" i="38" a="1"/>
  <c r="AF17" i="38" s="1"/>
  <c r="AE17" i="38" a="1"/>
  <c r="AE17" i="38" s="1"/>
  <c r="AM16" i="38" a="1"/>
  <c r="AM16" i="38" s="1"/>
  <c r="AM23" i="38" s="1"/>
  <c r="AL16" i="38" a="1"/>
  <c r="AL16" i="38" s="1"/>
  <c r="AL23" i="38" s="1"/>
  <c r="AK16" i="38" a="1"/>
  <c r="AK16" i="38" s="1"/>
  <c r="AK23" i="38" s="1"/>
  <c r="AJ16" i="38" a="1"/>
  <c r="AJ16" i="38" s="1"/>
  <c r="AJ23" i="38" s="1"/>
  <c r="AI16" i="38" a="1"/>
  <c r="AI16" i="38" s="1"/>
  <c r="AI23" i="38" s="1"/>
  <c r="AH16" i="38" a="1"/>
  <c r="AH16" i="38" s="1"/>
  <c r="AH23" i="38" s="1"/>
  <c r="AG16" i="38" a="1"/>
  <c r="AG16" i="38" s="1"/>
  <c r="AG23" i="38" s="1"/>
  <c r="AF16" i="38" a="1"/>
  <c r="AF16" i="38" s="1"/>
  <c r="AF23" i="38" s="1"/>
  <c r="AE16" i="38" a="1"/>
  <c r="AE16" i="38" s="1"/>
  <c r="AE23" i="38" s="1"/>
  <c r="AM15" i="38" a="1"/>
  <c r="AM15" i="38" s="1"/>
  <c r="AL15" i="38" a="1"/>
  <c r="AL15" i="38" s="1"/>
  <c r="AK15" i="38" a="1"/>
  <c r="AK15" i="38" s="1"/>
  <c r="AJ15" i="38" a="1"/>
  <c r="AJ15" i="38" s="1"/>
  <c r="AI15" i="38" a="1"/>
  <c r="AI15" i="38" s="1"/>
  <c r="AH15" i="38" a="1"/>
  <c r="AH15" i="38" s="1"/>
  <c r="AG15" i="38" a="1"/>
  <c r="AG15" i="38" s="1"/>
  <c r="AF15" i="38" a="1"/>
  <c r="AF15" i="38" s="1"/>
  <c r="AE15" i="38" a="1"/>
  <c r="AE15" i="38" s="1"/>
  <c r="AD13" i="38" a="1"/>
  <c r="AD13" i="38" s="1"/>
  <c r="AD30" i="38" s="1" a="1"/>
  <c r="AD30" i="38" s="1"/>
  <c r="AA5" i="36"/>
  <c r="U5" i="36"/>
  <c r="AE25" i="38" l="1"/>
  <c r="AE27" i="38"/>
  <c r="AI27" i="38"/>
  <c r="AJ27" i="38"/>
  <c r="AK27" i="38"/>
  <c r="AF25" i="38"/>
  <c r="AG25" i="38"/>
  <c r="AJ191" i="42"/>
  <c r="AJ106" i="42"/>
  <c r="AJ32" i="42"/>
  <c r="AL170" i="42"/>
  <c r="AL96" i="42"/>
  <c r="AJ185" i="42"/>
  <c r="AJ104" i="42"/>
  <c r="AJ31" i="42"/>
  <c r="AL169" i="42"/>
  <c r="AL95" i="42"/>
  <c r="AJ177" i="42"/>
  <c r="AJ103" i="42"/>
  <c r="AJ25" i="42"/>
  <c r="AL168" i="42"/>
  <c r="AL89" i="42"/>
  <c r="AJ174" i="42"/>
  <c r="AJ102" i="42"/>
  <c r="AJ17" i="42"/>
  <c r="AL167" i="42"/>
  <c r="AL81" i="42"/>
  <c r="AJ172" i="42"/>
  <c r="AJ100" i="42"/>
  <c r="AJ14" i="42"/>
  <c r="AL166" i="42"/>
  <c r="AL78" i="42"/>
  <c r="AJ171" i="42"/>
  <c r="AJ98" i="42"/>
  <c r="AL235" i="42"/>
  <c r="AL164" i="42"/>
  <c r="AL76" i="42"/>
  <c r="AJ170" i="42"/>
  <c r="AJ96" i="42"/>
  <c r="AL234" i="42"/>
  <c r="AL160" i="42"/>
  <c r="AL75" i="42"/>
  <c r="AJ168" i="42"/>
  <c r="AJ95" i="42"/>
  <c r="AL233" i="42"/>
  <c r="AL159" i="42"/>
  <c r="AL74" i="42"/>
  <c r="AJ167" i="42"/>
  <c r="AJ89" i="42"/>
  <c r="AL232" i="42"/>
  <c r="AL153" i="42"/>
  <c r="AL73" i="42"/>
  <c r="AK12" i="42"/>
  <c r="AL12" i="42" s="1"/>
  <c r="AJ166" i="42"/>
  <c r="AJ81" i="42"/>
  <c r="AL231" i="42"/>
  <c r="AL145" i="42"/>
  <c r="AL72" i="42"/>
  <c r="AJ236" i="42"/>
  <c r="AJ164" i="42"/>
  <c r="AJ78" i="42"/>
  <c r="AL230" i="42"/>
  <c r="AL142" i="42"/>
  <c r="AL71" i="42"/>
  <c r="AJ235" i="42"/>
  <c r="AJ162" i="42"/>
  <c r="AJ76" i="42"/>
  <c r="AL228" i="42"/>
  <c r="AL140" i="42"/>
  <c r="AL70" i="42"/>
  <c r="AJ234" i="42"/>
  <c r="AJ160" i="42"/>
  <c r="AJ75" i="42"/>
  <c r="AL224" i="42"/>
  <c r="AL139" i="42"/>
  <c r="AL68" i="42"/>
  <c r="AJ232" i="42"/>
  <c r="AJ159" i="42"/>
  <c r="AJ74" i="42"/>
  <c r="AL223" i="42"/>
  <c r="AL138" i="42"/>
  <c r="AL64" i="42"/>
  <c r="AJ231" i="42"/>
  <c r="AJ153" i="42"/>
  <c r="AJ72" i="42"/>
  <c r="AL217" i="42"/>
  <c r="AL137" i="42"/>
  <c r="AL63" i="42"/>
  <c r="AJ230" i="42"/>
  <c r="AJ145" i="42"/>
  <c r="AJ71" i="42"/>
  <c r="AL209" i="42"/>
  <c r="AL136" i="42"/>
  <c r="AL57" i="42"/>
  <c r="AJ228" i="42"/>
  <c r="AJ142" i="42"/>
  <c r="AJ70" i="42"/>
  <c r="AL206" i="42"/>
  <c r="AL135" i="42"/>
  <c r="AL49" i="42"/>
  <c r="AJ226" i="42"/>
  <c r="AJ140" i="42"/>
  <c r="AJ68" i="42"/>
  <c r="AL204" i="42"/>
  <c r="AL134" i="42"/>
  <c r="AL46" i="42"/>
  <c r="AJ224" i="42"/>
  <c r="AJ139" i="42"/>
  <c r="AJ66" i="42"/>
  <c r="AL203" i="42"/>
  <c r="AL132" i="42"/>
  <c r="AL44" i="42"/>
  <c r="AJ223" i="42"/>
  <c r="AJ138" i="42"/>
  <c r="AJ64" i="42"/>
  <c r="AL202" i="42"/>
  <c r="AL128" i="42"/>
  <c r="AL43" i="42"/>
  <c r="AJ217" i="42"/>
  <c r="AJ136" i="42"/>
  <c r="AJ63" i="42"/>
  <c r="AL201" i="42"/>
  <c r="AL127" i="42"/>
  <c r="AL42" i="42"/>
  <c r="AJ209" i="42"/>
  <c r="AJ135" i="42"/>
  <c r="AJ57" i="42"/>
  <c r="AL200" i="42"/>
  <c r="AL121" i="42"/>
  <c r="AL41" i="42"/>
  <c r="AJ206" i="42"/>
  <c r="AJ134" i="42"/>
  <c r="AJ49" i="42"/>
  <c r="AL199" i="42"/>
  <c r="AL113" i="42"/>
  <c r="AL40" i="42"/>
  <c r="AJ204" i="42"/>
  <c r="AJ132" i="42"/>
  <c r="AJ46" i="42"/>
  <c r="AL198" i="42"/>
  <c r="AL110" i="42"/>
  <c r="AL39" i="42"/>
  <c r="AJ203" i="42"/>
  <c r="AJ130" i="42"/>
  <c r="AJ44" i="42"/>
  <c r="AL196" i="42"/>
  <c r="AL108" i="42"/>
  <c r="AL38" i="42"/>
  <c r="AJ202" i="42"/>
  <c r="AJ128" i="42"/>
  <c r="AJ43" i="42"/>
  <c r="AL192" i="42"/>
  <c r="AL107" i="42"/>
  <c r="AL36" i="42"/>
  <c r="AJ200" i="42"/>
  <c r="AJ127" i="42"/>
  <c r="AJ42" i="42"/>
  <c r="AL191" i="42"/>
  <c r="AL106" i="42"/>
  <c r="AL32" i="42"/>
  <c r="AJ199" i="42"/>
  <c r="AJ121" i="42"/>
  <c r="AJ40" i="42"/>
  <c r="AL185" i="42"/>
  <c r="AL105" i="42"/>
  <c r="AL31" i="42"/>
  <c r="AJ198" i="42"/>
  <c r="AJ113" i="42"/>
  <c r="AJ39" i="42"/>
  <c r="AL177" i="42"/>
  <c r="AL104" i="42"/>
  <c r="AL25" i="42"/>
  <c r="AJ196" i="42"/>
  <c r="AJ110" i="42"/>
  <c r="AJ38" i="42"/>
  <c r="AL174" i="42"/>
  <c r="AL103" i="42"/>
  <c r="AL17" i="42"/>
  <c r="AJ194" i="42"/>
  <c r="AJ108" i="42"/>
  <c r="AJ36" i="42"/>
  <c r="AL172" i="42"/>
  <c r="AL102" i="42"/>
  <c r="AL14" i="42"/>
  <c r="AJ192" i="42"/>
  <c r="AJ107" i="42"/>
  <c r="AJ34" i="42"/>
  <c r="AL171" i="42"/>
  <c r="AL100" i="42"/>
  <c r="AJ13" i="42"/>
  <c r="AM13" i="42" s="1"/>
  <c r="AJ205" i="42"/>
  <c r="AJ173" i="42"/>
  <c r="AJ141" i="42"/>
  <c r="AJ109" i="42"/>
  <c r="AJ77" i="42"/>
  <c r="AJ45" i="42"/>
  <c r="AL205" i="42"/>
  <c r="AL173" i="42"/>
  <c r="AL141" i="42"/>
  <c r="AL109" i="42"/>
  <c r="AL77" i="42"/>
  <c r="AL45" i="42"/>
  <c r="AL13" i="42"/>
  <c r="AJ233" i="42"/>
  <c r="AJ201" i="42"/>
  <c r="AJ169" i="42"/>
  <c r="AJ137" i="42"/>
  <c r="AJ105" i="42"/>
  <c r="AJ73" i="42"/>
  <c r="AJ41" i="42"/>
  <c r="AJ229" i="42"/>
  <c r="AJ197" i="42"/>
  <c r="AJ165" i="42"/>
  <c r="AJ133" i="42"/>
  <c r="AJ101" i="42"/>
  <c r="AJ69" i="42"/>
  <c r="AJ37" i="42"/>
  <c r="AL229" i="42"/>
  <c r="AL197" i="42"/>
  <c r="AL165" i="42"/>
  <c r="AL133" i="42"/>
  <c r="AL101" i="42"/>
  <c r="AL69" i="42"/>
  <c r="AL37" i="42"/>
  <c r="AJ227" i="42"/>
  <c r="AJ195" i="42"/>
  <c r="AJ163" i="42"/>
  <c r="AJ131" i="42"/>
  <c r="AJ99" i="42"/>
  <c r="AJ67" i="42"/>
  <c r="AJ35" i="42"/>
  <c r="AL227" i="42"/>
  <c r="AL195" i="42"/>
  <c r="AL163" i="42"/>
  <c r="AL131" i="42"/>
  <c r="AL99" i="42"/>
  <c r="AL67" i="42"/>
  <c r="AL35" i="42"/>
  <c r="AL226" i="42"/>
  <c r="AL194" i="42"/>
  <c r="AL162" i="42"/>
  <c r="AL130" i="42"/>
  <c r="AL98" i="42"/>
  <c r="AL66" i="42"/>
  <c r="AL34" i="42"/>
  <c r="AJ225" i="42"/>
  <c r="AJ193" i="42"/>
  <c r="AJ161" i="42"/>
  <c r="AJ129" i="42"/>
  <c r="AJ97" i="42"/>
  <c r="AJ65" i="42"/>
  <c r="AJ33" i="42"/>
  <c r="AL225" i="42"/>
  <c r="AL193" i="42"/>
  <c r="AL161" i="42"/>
  <c r="AL129" i="42"/>
  <c r="AL97" i="42"/>
  <c r="AL65" i="42"/>
  <c r="AL33" i="42"/>
  <c r="AJ222" i="42"/>
  <c r="AJ190" i="42"/>
  <c r="AJ158" i="42"/>
  <c r="AJ126" i="42"/>
  <c r="AJ94" i="42"/>
  <c r="AJ62" i="42"/>
  <c r="AJ30" i="42"/>
  <c r="AL222" i="42"/>
  <c r="AL190" i="42"/>
  <c r="AL158" i="42"/>
  <c r="AL126" i="42"/>
  <c r="AL94" i="42"/>
  <c r="AL62" i="42"/>
  <c r="AL30" i="42"/>
  <c r="AJ221" i="42"/>
  <c r="AJ189" i="42"/>
  <c r="AJ157" i="42"/>
  <c r="AJ125" i="42"/>
  <c r="AJ93" i="42"/>
  <c r="AJ61" i="42"/>
  <c r="AJ29" i="42"/>
  <c r="AL221" i="42"/>
  <c r="AL189" i="42"/>
  <c r="AL157" i="42"/>
  <c r="AL125" i="42"/>
  <c r="AL93" i="42"/>
  <c r="AL61" i="42"/>
  <c r="AL29" i="42"/>
  <c r="AJ220" i="42"/>
  <c r="AJ188" i="42"/>
  <c r="AJ156" i="42"/>
  <c r="AJ124" i="42"/>
  <c r="AJ92" i="42"/>
  <c r="AJ60" i="42"/>
  <c r="AJ28" i="42"/>
  <c r="AL220" i="42"/>
  <c r="AL188" i="42"/>
  <c r="AL156" i="42"/>
  <c r="AL124" i="42"/>
  <c r="AL92" i="42"/>
  <c r="AL60" i="42"/>
  <c r="AL28" i="42"/>
  <c r="AJ219" i="42"/>
  <c r="AJ187" i="42"/>
  <c r="AJ155" i="42"/>
  <c r="AJ123" i="42"/>
  <c r="AJ91" i="42"/>
  <c r="AJ59" i="42"/>
  <c r="AJ27" i="42"/>
  <c r="AL219" i="42"/>
  <c r="AL187" i="42"/>
  <c r="AL155" i="42"/>
  <c r="AL123" i="42"/>
  <c r="AL91" i="42"/>
  <c r="AL59" i="42"/>
  <c r="AL27" i="42"/>
  <c r="AJ218" i="42"/>
  <c r="AJ186" i="42"/>
  <c r="AJ154" i="42"/>
  <c r="AJ122" i="42"/>
  <c r="AJ90" i="42"/>
  <c r="AJ58" i="42"/>
  <c r="AJ26" i="42"/>
  <c r="AL218" i="42"/>
  <c r="AL186" i="42"/>
  <c r="AL154" i="42"/>
  <c r="AL122" i="42"/>
  <c r="AL90" i="42"/>
  <c r="AL58" i="42"/>
  <c r="AL26" i="42"/>
  <c r="AJ216" i="42"/>
  <c r="AJ184" i="42"/>
  <c r="AJ152" i="42"/>
  <c r="AJ120" i="42"/>
  <c r="AJ88" i="42"/>
  <c r="AJ56" i="42"/>
  <c r="AJ24" i="42"/>
  <c r="AL216" i="42"/>
  <c r="AL184" i="42"/>
  <c r="AL152" i="42"/>
  <c r="AL120" i="42"/>
  <c r="AL88" i="42"/>
  <c r="AL56" i="42"/>
  <c r="AL24" i="42"/>
  <c r="AJ215" i="42"/>
  <c r="AJ183" i="42"/>
  <c r="AJ151" i="42"/>
  <c r="AJ119" i="42"/>
  <c r="AJ87" i="42"/>
  <c r="AJ55" i="42"/>
  <c r="AJ23" i="42"/>
  <c r="AL215" i="42"/>
  <c r="AL183" i="42"/>
  <c r="AL151" i="42"/>
  <c r="AL119" i="42"/>
  <c r="AL87" i="42"/>
  <c r="AL55" i="42"/>
  <c r="AL23" i="42"/>
  <c r="AJ214" i="42"/>
  <c r="AJ182" i="42"/>
  <c r="AJ150" i="42"/>
  <c r="AJ118" i="42"/>
  <c r="AJ86" i="42"/>
  <c r="AJ54" i="42"/>
  <c r="AJ22" i="42"/>
  <c r="AL214" i="42"/>
  <c r="AL182" i="42"/>
  <c r="AL150" i="42"/>
  <c r="AL118" i="42"/>
  <c r="AL86" i="42"/>
  <c r="AL54" i="42"/>
  <c r="AL22" i="42"/>
  <c r="AJ213" i="42"/>
  <c r="AJ181" i="42"/>
  <c r="AJ149" i="42"/>
  <c r="AJ117" i="42"/>
  <c r="AJ85" i="42"/>
  <c r="AJ53" i="42"/>
  <c r="AJ21" i="42"/>
  <c r="AL213" i="42"/>
  <c r="AL181" i="42"/>
  <c r="AL149" i="42"/>
  <c r="AL117" i="42"/>
  <c r="AL85" i="42"/>
  <c r="AL53" i="42"/>
  <c r="AL21" i="42"/>
  <c r="AJ212" i="42"/>
  <c r="AJ180" i="42"/>
  <c r="AJ148" i="42"/>
  <c r="AJ116" i="42"/>
  <c r="AJ84" i="42"/>
  <c r="AJ52" i="42"/>
  <c r="AJ20" i="42"/>
  <c r="AL212" i="42"/>
  <c r="AL180" i="42"/>
  <c r="AL148" i="42"/>
  <c r="AL116" i="42"/>
  <c r="AL84" i="42"/>
  <c r="AL52" i="42"/>
  <c r="AL20" i="42"/>
  <c r="AJ211" i="42"/>
  <c r="AJ179" i="42"/>
  <c r="AJ147" i="42"/>
  <c r="AJ115" i="42"/>
  <c r="AJ83" i="42"/>
  <c r="AJ51" i="42"/>
  <c r="AJ19" i="42"/>
  <c r="AL211" i="42"/>
  <c r="AL179" i="42"/>
  <c r="AL147" i="42"/>
  <c r="AL115" i="42"/>
  <c r="AL83" i="42"/>
  <c r="AL51" i="42"/>
  <c r="AL19" i="42"/>
  <c r="AJ210" i="42"/>
  <c r="AJ178" i="42"/>
  <c r="AJ146" i="42"/>
  <c r="AJ114" i="42"/>
  <c r="AJ82" i="42"/>
  <c r="AJ50" i="42"/>
  <c r="AJ18" i="42"/>
  <c r="AM18" i="42" s="1"/>
  <c r="AL210" i="42"/>
  <c r="AL178" i="42"/>
  <c r="AL146" i="42"/>
  <c r="AL114" i="42"/>
  <c r="AL82" i="42"/>
  <c r="AL50" i="42"/>
  <c r="AL18" i="42"/>
  <c r="AJ208" i="42"/>
  <c r="AJ176" i="42"/>
  <c r="AJ144" i="42"/>
  <c r="AJ112" i="42"/>
  <c r="AJ80" i="42"/>
  <c r="AJ48" i="42"/>
  <c r="AJ16" i="42"/>
  <c r="AL208" i="42"/>
  <c r="AL176" i="42"/>
  <c r="AL144" i="42"/>
  <c r="AL112" i="42"/>
  <c r="AL80" i="42"/>
  <c r="AL48" i="42"/>
  <c r="AL16" i="42"/>
  <c r="AJ207" i="42"/>
  <c r="AJ175" i="42"/>
  <c r="AJ143" i="42"/>
  <c r="AJ111" i="42"/>
  <c r="AJ79" i="42"/>
  <c r="AJ47" i="42"/>
  <c r="AJ15" i="42"/>
  <c r="AL207" i="42"/>
  <c r="AL175" i="42"/>
  <c r="AL143" i="42"/>
  <c r="AL111" i="42"/>
  <c r="AL79" i="42"/>
  <c r="AL47" i="42"/>
  <c r="AL15" i="42"/>
  <c r="BB24" i="42"/>
  <c r="BB215" i="42"/>
  <c r="BB183" i="42"/>
  <c r="BB151" i="42"/>
  <c r="BB13" i="42"/>
  <c r="BE13" i="42" s="1"/>
  <c r="BB119" i="42"/>
  <c r="BB87" i="42"/>
  <c r="BB55" i="42"/>
  <c r="BB23" i="42"/>
  <c r="BB214" i="42"/>
  <c r="BB182" i="42"/>
  <c r="BB150" i="42"/>
  <c r="BB118" i="42"/>
  <c r="BB86" i="42"/>
  <c r="BB54" i="42"/>
  <c r="BB22" i="42"/>
  <c r="BB213" i="42"/>
  <c r="BB181" i="42"/>
  <c r="BB149" i="42"/>
  <c r="BB117" i="42"/>
  <c r="BB85" i="42"/>
  <c r="BB53" i="42"/>
  <c r="BB21" i="42"/>
  <c r="BB212" i="42"/>
  <c r="BB180" i="42"/>
  <c r="BB148" i="42"/>
  <c r="BB116" i="42"/>
  <c r="BB84" i="42"/>
  <c r="BB52" i="42"/>
  <c r="BB20" i="42"/>
  <c r="BB211" i="42"/>
  <c r="BB179" i="42"/>
  <c r="BB147" i="42"/>
  <c r="BB115" i="42"/>
  <c r="BB83" i="42"/>
  <c r="BB51" i="42"/>
  <c r="BB19" i="42"/>
  <c r="BB210" i="42"/>
  <c r="BB178" i="42"/>
  <c r="BB146" i="42"/>
  <c r="BB114" i="42"/>
  <c r="BB82" i="42"/>
  <c r="BB50" i="42"/>
  <c r="BB18" i="42"/>
  <c r="BB209" i="42"/>
  <c r="BB177" i="42"/>
  <c r="BB145" i="42"/>
  <c r="BB113" i="42"/>
  <c r="BB81" i="42"/>
  <c r="BB49" i="42"/>
  <c r="BB17" i="42"/>
  <c r="BB208" i="42"/>
  <c r="BB176" i="42"/>
  <c r="BB144" i="42"/>
  <c r="BB112" i="42"/>
  <c r="BB80" i="42"/>
  <c r="BB48" i="42"/>
  <c r="BB16" i="42"/>
  <c r="BB207" i="42"/>
  <c r="BB175" i="42"/>
  <c r="BB143" i="42"/>
  <c r="BB111" i="42"/>
  <c r="BB79" i="42"/>
  <c r="BB47" i="42"/>
  <c r="BB15" i="42"/>
  <c r="BB206" i="42"/>
  <c r="BB174" i="42"/>
  <c r="BB142" i="42"/>
  <c r="BB110" i="42"/>
  <c r="BB78" i="42"/>
  <c r="BB46" i="42"/>
  <c r="BB14" i="42"/>
  <c r="BB205" i="42"/>
  <c r="BB173" i="42"/>
  <c r="BB141" i="42"/>
  <c r="BB109" i="42"/>
  <c r="BB77" i="42"/>
  <c r="BB45" i="42"/>
  <c r="BB236" i="42"/>
  <c r="BB204" i="42"/>
  <c r="BB172" i="42"/>
  <c r="BB140" i="42"/>
  <c r="BB108" i="42"/>
  <c r="BB76" i="42"/>
  <c r="BB44" i="42"/>
  <c r="BB235" i="42"/>
  <c r="BB203" i="42"/>
  <c r="BB171" i="42"/>
  <c r="BB139" i="42"/>
  <c r="BB107" i="42"/>
  <c r="BB75" i="42"/>
  <c r="BB43" i="42"/>
  <c r="BB234" i="42"/>
  <c r="BB202" i="42"/>
  <c r="BB170" i="42"/>
  <c r="BB138" i="42"/>
  <c r="BB106" i="42"/>
  <c r="BB74" i="42"/>
  <c r="BB42" i="42"/>
  <c r="BB233" i="42"/>
  <c r="BB201" i="42"/>
  <c r="BB169" i="42"/>
  <c r="BB137" i="42"/>
  <c r="BB105" i="42"/>
  <c r="BB73" i="42"/>
  <c r="BS170" i="42"/>
  <c r="BB41" i="42"/>
  <c r="BB232" i="42"/>
  <c r="BB200" i="42"/>
  <c r="BB168" i="42"/>
  <c r="BB136" i="42"/>
  <c r="BB104" i="42"/>
  <c r="BB72" i="42"/>
  <c r="BS100" i="42"/>
  <c r="BB40" i="42"/>
  <c r="BB231" i="42"/>
  <c r="BB199" i="42"/>
  <c r="BB167" i="42"/>
  <c r="BB135" i="42"/>
  <c r="BB103" i="42"/>
  <c r="BB71" i="42"/>
  <c r="BB39" i="42"/>
  <c r="BB230" i="42"/>
  <c r="BB198" i="42"/>
  <c r="BB166" i="42"/>
  <c r="BB134" i="42"/>
  <c r="BB102" i="42"/>
  <c r="BB70" i="42"/>
  <c r="BB38" i="42"/>
  <c r="BB229" i="42"/>
  <c r="BB197" i="42"/>
  <c r="BB165" i="42"/>
  <c r="BB133" i="42"/>
  <c r="BB101" i="42"/>
  <c r="BB69" i="42"/>
  <c r="BB37" i="42"/>
  <c r="BB228" i="42"/>
  <c r="BB196" i="42"/>
  <c r="BB164" i="42"/>
  <c r="BB132" i="42"/>
  <c r="BB100" i="42"/>
  <c r="BB68" i="42"/>
  <c r="BB36" i="42"/>
  <c r="BB227" i="42"/>
  <c r="BB195" i="42"/>
  <c r="BB163" i="42"/>
  <c r="BB131" i="42"/>
  <c r="BB99" i="42"/>
  <c r="BB67" i="42"/>
  <c r="BB35" i="42"/>
  <c r="BB226" i="42"/>
  <c r="BB194" i="42"/>
  <c r="BB162" i="42"/>
  <c r="BB130" i="42"/>
  <c r="BB98" i="42"/>
  <c r="BB66" i="42"/>
  <c r="BB34" i="42"/>
  <c r="BB225" i="42"/>
  <c r="BB193" i="42"/>
  <c r="BB161" i="42"/>
  <c r="BB129" i="42"/>
  <c r="BB97" i="42"/>
  <c r="BB65" i="42"/>
  <c r="BB33" i="42"/>
  <c r="BB224" i="42"/>
  <c r="BB192" i="42"/>
  <c r="BB160" i="42"/>
  <c r="BB128" i="42"/>
  <c r="BB96" i="42"/>
  <c r="BB64" i="42"/>
  <c r="BB32" i="42"/>
  <c r="BB223" i="42"/>
  <c r="BB191" i="42"/>
  <c r="BB159" i="42"/>
  <c r="BB127" i="42"/>
  <c r="BB95" i="42"/>
  <c r="BB63" i="42"/>
  <c r="BB31" i="42"/>
  <c r="BB222" i="42"/>
  <c r="BB190" i="42"/>
  <c r="BB158" i="42"/>
  <c r="BB126" i="42"/>
  <c r="BB94" i="42"/>
  <c r="BB62" i="42"/>
  <c r="BB30" i="42"/>
  <c r="BB221" i="42"/>
  <c r="BB189" i="42"/>
  <c r="BB157" i="42"/>
  <c r="BB125" i="42"/>
  <c r="BB93" i="42"/>
  <c r="BB61" i="42"/>
  <c r="BB29" i="42"/>
  <c r="BB220" i="42"/>
  <c r="BB188" i="42"/>
  <c r="BB156" i="42"/>
  <c r="BB124" i="42"/>
  <c r="BB92" i="42"/>
  <c r="BB60" i="42"/>
  <c r="BB28" i="42"/>
  <c r="BB219" i="42"/>
  <c r="BB187" i="42"/>
  <c r="BB155" i="42"/>
  <c r="BB123" i="42"/>
  <c r="BB91" i="42"/>
  <c r="BB59" i="42"/>
  <c r="BB27" i="42"/>
  <c r="BB218" i="42"/>
  <c r="BB186" i="42"/>
  <c r="BB154" i="42"/>
  <c r="BB122" i="42"/>
  <c r="BB90" i="42"/>
  <c r="BB58" i="42"/>
  <c r="BB26" i="42"/>
  <c r="BB217" i="42"/>
  <c r="BB185" i="42"/>
  <c r="BB153" i="42"/>
  <c r="BB121" i="42"/>
  <c r="BB89" i="42"/>
  <c r="BB57" i="42"/>
  <c r="BB25" i="42"/>
  <c r="BB216" i="42"/>
  <c r="BB184" i="42"/>
  <c r="BB152" i="42"/>
  <c r="BB120" i="42"/>
  <c r="BB88" i="42"/>
  <c r="BB56" i="42"/>
  <c r="BS169" i="42"/>
  <c r="BS99" i="42"/>
  <c r="BS168" i="42"/>
  <c r="BS98" i="42"/>
  <c r="BS167" i="42"/>
  <c r="BS97" i="42"/>
  <c r="BS166" i="42"/>
  <c r="BS96" i="42"/>
  <c r="BS235" i="42"/>
  <c r="BS165" i="42"/>
  <c r="BS95" i="42"/>
  <c r="BS234" i="42"/>
  <c r="BS164" i="42"/>
  <c r="BS75" i="42"/>
  <c r="BS233" i="42"/>
  <c r="BS163" i="42"/>
  <c r="BS74" i="42"/>
  <c r="BS232" i="42"/>
  <c r="BS162" i="42"/>
  <c r="BS73" i="42"/>
  <c r="BS231" i="42"/>
  <c r="BS161" i="42"/>
  <c r="BS72" i="42"/>
  <c r="BS230" i="42"/>
  <c r="BS160" i="42"/>
  <c r="BS71" i="42"/>
  <c r="BS229" i="42"/>
  <c r="BS159" i="42"/>
  <c r="BS70" i="42"/>
  <c r="BS228" i="42"/>
  <c r="BS139" i="42"/>
  <c r="BS69" i="42"/>
  <c r="BS227" i="42"/>
  <c r="BS138" i="42"/>
  <c r="BS68" i="42"/>
  <c r="BS226" i="42"/>
  <c r="BS137" i="42"/>
  <c r="BS67" i="42"/>
  <c r="BS225" i="42"/>
  <c r="BS136" i="42"/>
  <c r="BS66" i="42"/>
  <c r="BS224" i="42"/>
  <c r="BS135" i="42"/>
  <c r="BS65" i="42"/>
  <c r="BS223" i="42"/>
  <c r="BS134" i="42"/>
  <c r="BS64" i="42"/>
  <c r="BS203" i="42"/>
  <c r="BS133" i="42"/>
  <c r="BS63" i="42"/>
  <c r="BS202" i="42"/>
  <c r="BS132" i="42"/>
  <c r="BS43" i="42"/>
  <c r="BS201" i="42"/>
  <c r="BS131" i="42"/>
  <c r="BS42" i="42"/>
  <c r="BS200" i="42"/>
  <c r="BS130" i="42"/>
  <c r="BS41" i="42"/>
  <c r="BS199" i="42"/>
  <c r="BS129" i="42"/>
  <c r="BS40" i="42"/>
  <c r="BS198" i="42"/>
  <c r="BS128" i="42"/>
  <c r="BS39" i="42"/>
  <c r="BS197" i="42"/>
  <c r="BS127" i="42"/>
  <c r="BS38" i="42"/>
  <c r="BS196" i="42"/>
  <c r="BS107" i="42"/>
  <c r="BS37" i="42"/>
  <c r="BS195" i="42"/>
  <c r="BS106" i="42"/>
  <c r="BS36" i="42"/>
  <c r="BS194" i="42"/>
  <c r="BS105" i="42"/>
  <c r="BS35" i="42"/>
  <c r="BS193" i="42"/>
  <c r="BS104" i="42"/>
  <c r="BS34" i="42"/>
  <c r="BS192" i="42"/>
  <c r="BS103" i="42"/>
  <c r="BS33" i="42"/>
  <c r="BS191" i="42"/>
  <c r="BS102" i="42"/>
  <c r="BS32" i="42"/>
  <c r="BS171" i="42"/>
  <c r="BS101" i="42"/>
  <c r="BS31" i="42"/>
  <c r="BS207" i="42"/>
  <c r="BS175" i="42"/>
  <c r="BS143" i="42"/>
  <c r="BS111" i="42"/>
  <c r="BS79" i="42"/>
  <c r="BS47" i="42"/>
  <c r="BS15" i="42"/>
  <c r="BS206" i="42"/>
  <c r="BS174" i="42"/>
  <c r="BS142" i="42"/>
  <c r="BS110" i="42"/>
  <c r="BS78" i="42"/>
  <c r="BS46" i="42"/>
  <c r="BS14" i="42"/>
  <c r="BS205" i="42"/>
  <c r="BS173" i="42"/>
  <c r="BS141" i="42"/>
  <c r="BS109" i="42"/>
  <c r="BS77" i="42"/>
  <c r="BS45" i="42"/>
  <c r="BS236" i="42"/>
  <c r="BS204" i="42"/>
  <c r="BS172" i="42"/>
  <c r="BS140" i="42"/>
  <c r="BS108" i="42"/>
  <c r="BS76" i="42"/>
  <c r="BS44" i="42"/>
  <c r="BS13" i="42"/>
  <c r="BV13" i="42" s="1"/>
  <c r="BS222" i="42"/>
  <c r="BS190" i="42"/>
  <c r="BS158" i="42"/>
  <c r="BS126" i="42"/>
  <c r="BS94" i="42"/>
  <c r="BS62" i="42"/>
  <c r="BS30" i="42"/>
  <c r="BS221" i="42"/>
  <c r="BS189" i="42"/>
  <c r="BS157" i="42"/>
  <c r="BS125" i="42"/>
  <c r="BS93" i="42"/>
  <c r="BS61" i="42"/>
  <c r="BS29" i="42"/>
  <c r="BS220" i="42"/>
  <c r="BS188" i="42"/>
  <c r="BS156" i="42"/>
  <c r="BS124" i="42"/>
  <c r="BS92" i="42"/>
  <c r="BS60" i="42"/>
  <c r="BS28" i="42"/>
  <c r="BS219" i="42"/>
  <c r="BS187" i="42"/>
  <c r="BS155" i="42"/>
  <c r="BS123" i="42"/>
  <c r="BS91" i="42"/>
  <c r="BS59" i="42"/>
  <c r="BS27" i="42"/>
  <c r="BS218" i="42"/>
  <c r="BS186" i="42"/>
  <c r="BS154" i="42"/>
  <c r="BS122" i="42"/>
  <c r="BS90" i="42"/>
  <c r="BS58" i="42"/>
  <c r="BS26" i="42"/>
  <c r="BS217" i="42"/>
  <c r="BS185" i="42"/>
  <c r="BS153" i="42"/>
  <c r="BS121" i="42"/>
  <c r="BS89" i="42"/>
  <c r="BS57" i="42"/>
  <c r="BS25" i="42"/>
  <c r="BS216" i="42"/>
  <c r="BS184" i="42"/>
  <c r="BS152" i="42"/>
  <c r="BS120" i="42"/>
  <c r="BS88" i="42"/>
  <c r="BS56" i="42"/>
  <c r="BS24" i="42"/>
  <c r="BS215" i="42"/>
  <c r="BS183" i="42"/>
  <c r="BS151" i="42"/>
  <c r="BS119" i="42"/>
  <c r="BS87" i="42"/>
  <c r="BS55" i="42"/>
  <c r="BS23" i="42"/>
  <c r="BS214" i="42"/>
  <c r="BS182" i="42"/>
  <c r="BS150" i="42"/>
  <c r="BS118" i="42"/>
  <c r="BS86" i="42"/>
  <c r="BS54" i="42"/>
  <c r="BS22" i="42"/>
  <c r="BS213" i="42"/>
  <c r="BS181" i="42"/>
  <c r="BS149" i="42"/>
  <c r="BS117" i="42"/>
  <c r="BS85" i="42"/>
  <c r="BS53" i="42"/>
  <c r="BS21" i="42"/>
  <c r="BS212" i="42"/>
  <c r="BS180" i="42"/>
  <c r="BS148" i="42"/>
  <c r="BS116" i="42"/>
  <c r="BS84" i="42"/>
  <c r="BS52" i="42"/>
  <c r="BS20" i="42"/>
  <c r="BS211" i="42"/>
  <c r="BS179" i="42"/>
  <c r="BS147" i="42"/>
  <c r="BS115" i="42"/>
  <c r="BS83" i="42"/>
  <c r="BS51" i="42"/>
  <c r="BS19" i="42"/>
  <c r="BS210" i="42"/>
  <c r="BS178" i="42"/>
  <c r="BS146" i="42"/>
  <c r="BS114" i="42"/>
  <c r="BS82" i="42"/>
  <c r="BS50" i="42"/>
  <c r="BS18" i="42"/>
  <c r="BS209" i="42"/>
  <c r="BS177" i="42"/>
  <c r="BS145" i="42"/>
  <c r="BS113" i="42"/>
  <c r="BS81" i="42"/>
  <c r="BS49" i="42"/>
  <c r="BS17" i="42"/>
  <c r="BS208" i="42"/>
  <c r="BS176" i="42"/>
  <c r="BS144" i="42"/>
  <c r="BS112" i="42"/>
  <c r="BS80" i="42"/>
  <c r="BS48" i="42"/>
  <c r="BS16" i="42"/>
  <c r="CJ220" i="42"/>
  <c r="CJ151" i="42"/>
  <c r="CJ65" i="42"/>
  <c r="CJ219" i="42"/>
  <c r="CJ132" i="42"/>
  <c r="CJ64" i="42"/>
  <c r="CJ218" i="42"/>
  <c r="CJ131" i="42"/>
  <c r="CJ63" i="42"/>
  <c r="CJ217" i="42"/>
  <c r="CJ130" i="42"/>
  <c r="CJ62" i="42"/>
  <c r="CJ216" i="42"/>
  <c r="CJ129" i="42"/>
  <c r="CJ61" i="42"/>
  <c r="CJ215" i="42"/>
  <c r="CJ128" i="42"/>
  <c r="CJ60" i="42"/>
  <c r="CJ196" i="42"/>
  <c r="CJ127" i="42"/>
  <c r="CJ59" i="42"/>
  <c r="CJ194" i="42"/>
  <c r="CJ126" i="42"/>
  <c r="CJ58" i="42"/>
  <c r="CJ193" i="42"/>
  <c r="CJ125" i="42"/>
  <c r="CJ57" i="42"/>
  <c r="CJ192" i="42"/>
  <c r="CJ124" i="42"/>
  <c r="CJ56" i="42"/>
  <c r="CJ191" i="42"/>
  <c r="CJ123" i="42"/>
  <c r="CJ55" i="42"/>
  <c r="CJ190" i="42"/>
  <c r="CJ122" i="42"/>
  <c r="CJ36" i="42"/>
  <c r="CJ189" i="42"/>
  <c r="CJ121" i="42"/>
  <c r="CJ35" i="42"/>
  <c r="CJ188" i="42"/>
  <c r="CJ120" i="42"/>
  <c r="CJ34" i="42"/>
  <c r="CJ187" i="42"/>
  <c r="CJ119" i="42"/>
  <c r="CJ33" i="42"/>
  <c r="CJ186" i="42"/>
  <c r="CJ100" i="42"/>
  <c r="CJ32" i="42"/>
  <c r="CJ185" i="42"/>
  <c r="CJ99" i="42"/>
  <c r="CJ31" i="42"/>
  <c r="CJ184" i="42"/>
  <c r="CJ98" i="42"/>
  <c r="CJ30" i="42"/>
  <c r="CJ183" i="42"/>
  <c r="CJ97" i="42"/>
  <c r="CJ29" i="42"/>
  <c r="CJ164" i="42"/>
  <c r="CJ96" i="42"/>
  <c r="CJ28" i="42"/>
  <c r="CJ163" i="42"/>
  <c r="CJ95" i="42"/>
  <c r="CJ27" i="42"/>
  <c r="CJ162" i="42"/>
  <c r="CJ94" i="42"/>
  <c r="CJ26" i="42"/>
  <c r="CJ161" i="42"/>
  <c r="CJ93" i="42"/>
  <c r="CJ25" i="42"/>
  <c r="CJ160" i="42"/>
  <c r="CJ92" i="42"/>
  <c r="CJ24" i="42"/>
  <c r="CJ159" i="42"/>
  <c r="CJ91" i="42"/>
  <c r="CJ23" i="42"/>
  <c r="CJ228" i="42"/>
  <c r="CJ158" i="42"/>
  <c r="CJ90" i="42"/>
  <c r="CL216" i="42"/>
  <c r="CJ226" i="42"/>
  <c r="CJ157" i="42"/>
  <c r="CJ89" i="42"/>
  <c r="CL184" i="42"/>
  <c r="CJ225" i="42"/>
  <c r="CJ156" i="42"/>
  <c r="CJ88" i="42"/>
  <c r="CL152" i="42"/>
  <c r="CJ224" i="42"/>
  <c r="CJ155" i="42"/>
  <c r="CJ87" i="42"/>
  <c r="CL120" i="42"/>
  <c r="CJ223" i="42"/>
  <c r="CJ154" i="42"/>
  <c r="CJ68" i="42"/>
  <c r="CL88" i="42"/>
  <c r="CJ222" i="42"/>
  <c r="CJ153" i="42"/>
  <c r="CJ67" i="42"/>
  <c r="CL56" i="42"/>
  <c r="CJ221" i="42"/>
  <c r="CJ152" i="42"/>
  <c r="CJ66" i="42"/>
  <c r="CL24" i="42"/>
  <c r="CJ236" i="42"/>
  <c r="CJ204" i="42"/>
  <c r="CJ172" i="42"/>
  <c r="CJ140" i="42"/>
  <c r="CJ108" i="42"/>
  <c r="CJ76" i="42"/>
  <c r="CJ44" i="42"/>
  <c r="CL12" i="42"/>
  <c r="CL205" i="42"/>
  <c r="CL173" i="42"/>
  <c r="CL141" i="42"/>
  <c r="CL109" i="42"/>
  <c r="CL77" i="42"/>
  <c r="CL45" i="42"/>
  <c r="CL13" i="42"/>
  <c r="CJ235" i="42"/>
  <c r="CJ203" i="42"/>
  <c r="CJ171" i="42"/>
  <c r="CJ139" i="42"/>
  <c r="CJ107" i="42"/>
  <c r="CJ75" i="42"/>
  <c r="CJ43" i="42"/>
  <c r="CL204" i="42"/>
  <c r="CL172" i="42"/>
  <c r="CL140" i="42"/>
  <c r="CL108" i="42"/>
  <c r="CL76" i="42"/>
  <c r="CL44" i="42"/>
  <c r="CJ234" i="42"/>
  <c r="CJ202" i="42"/>
  <c r="CJ170" i="42"/>
  <c r="CJ138" i="42"/>
  <c r="CJ106" i="42"/>
  <c r="CJ74" i="42"/>
  <c r="CJ42" i="42"/>
  <c r="CL235" i="42"/>
  <c r="CL203" i="42"/>
  <c r="CL171" i="42"/>
  <c r="CL139" i="42"/>
  <c r="CL107" i="42"/>
  <c r="CL75" i="42"/>
  <c r="CL43" i="42"/>
  <c r="CJ233" i="42"/>
  <c r="CJ201" i="42"/>
  <c r="CJ169" i="42"/>
  <c r="CJ137" i="42"/>
  <c r="CJ105" i="42"/>
  <c r="CJ73" i="42"/>
  <c r="CJ41" i="42"/>
  <c r="CL234" i="42"/>
  <c r="CL202" i="42"/>
  <c r="CL170" i="42"/>
  <c r="CL138" i="42"/>
  <c r="CL106" i="42"/>
  <c r="CL74" i="42"/>
  <c r="CL42" i="42"/>
  <c r="CJ232" i="42"/>
  <c r="CJ200" i="42"/>
  <c r="CJ168" i="42"/>
  <c r="CJ136" i="42"/>
  <c r="CJ104" i="42"/>
  <c r="CJ72" i="42"/>
  <c r="CJ40" i="42"/>
  <c r="CL233" i="42"/>
  <c r="CL201" i="42"/>
  <c r="CL169" i="42"/>
  <c r="CL137" i="42"/>
  <c r="CL105" i="42"/>
  <c r="CL73" i="42"/>
  <c r="CL41" i="42"/>
  <c r="CJ231" i="42"/>
  <c r="CJ199" i="42"/>
  <c r="CJ167" i="42"/>
  <c r="CJ135" i="42"/>
  <c r="CJ103" i="42"/>
  <c r="CJ71" i="42"/>
  <c r="CJ39" i="42"/>
  <c r="CL232" i="42"/>
  <c r="CL200" i="42"/>
  <c r="CL168" i="42"/>
  <c r="CL136" i="42"/>
  <c r="CL104" i="42"/>
  <c r="CL72" i="42"/>
  <c r="CL40" i="42"/>
  <c r="CJ230" i="42"/>
  <c r="CJ198" i="42"/>
  <c r="CJ166" i="42"/>
  <c r="CJ134" i="42"/>
  <c r="CJ102" i="42"/>
  <c r="CJ70" i="42"/>
  <c r="CJ38" i="42"/>
  <c r="CL231" i="42"/>
  <c r="CL199" i="42"/>
  <c r="CL167" i="42"/>
  <c r="CL135" i="42"/>
  <c r="CL103" i="42"/>
  <c r="CL71" i="42"/>
  <c r="CL39" i="42"/>
  <c r="CJ229" i="42"/>
  <c r="CJ197" i="42"/>
  <c r="CJ165" i="42"/>
  <c r="CJ133" i="42"/>
  <c r="CJ101" i="42"/>
  <c r="CJ69" i="42"/>
  <c r="CJ37" i="42"/>
  <c r="CL230" i="42"/>
  <c r="CL198" i="42"/>
  <c r="CL166" i="42"/>
  <c r="CL134" i="42"/>
  <c r="CL102" i="42"/>
  <c r="CL70" i="42"/>
  <c r="CL38" i="42"/>
  <c r="CL229" i="42"/>
  <c r="CL197" i="42"/>
  <c r="CL165" i="42"/>
  <c r="CL133" i="42"/>
  <c r="CL101" i="42"/>
  <c r="CL69" i="42"/>
  <c r="CL37" i="42"/>
  <c r="CJ227" i="42"/>
  <c r="CJ195" i="42"/>
  <c r="CL228" i="42"/>
  <c r="CL196" i="42"/>
  <c r="CL164" i="42"/>
  <c r="CL132" i="42"/>
  <c r="CL100" i="42"/>
  <c r="CL68" i="42"/>
  <c r="CL36" i="42"/>
  <c r="CL227" i="42"/>
  <c r="CL195" i="42"/>
  <c r="CL163" i="42"/>
  <c r="CL131" i="42"/>
  <c r="CL99" i="42"/>
  <c r="CL67" i="42"/>
  <c r="CL35" i="42"/>
  <c r="CL226" i="42"/>
  <c r="CL194" i="42"/>
  <c r="CL162" i="42"/>
  <c r="CL130" i="42"/>
  <c r="CL98" i="42"/>
  <c r="CL66" i="42"/>
  <c r="CL34" i="42"/>
  <c r="CL225" i="42"/>
  <c r="CL193" i="42"/>
  <c r="CL161" i="42"/>
  <c r="CL129" i="42"/>
  <c r="CL97" i="42"/>
  <c r="CL65" i="42"/>
  <c r="CL33" i="42"/>
  <c r="CL224" i="42"/>
  <c r="CL192" i="42"/>
  <c r="CL160" i="42"/>
  <c r="CL128" i="42"/>
  <c r="CL96" i="42"/>
  <c r="CL64" i="42"/>
  <c r="CL32" i="42"/>
  <c r="CL223" i="42"/>
  <c r="CL191" i="42"/>
  <c r="CL159" i="42"/>
  <c r="CL127" i="42"/>
  <c r="CL95" i="42"/>
  <c r="CL63" i="42"/>
  <c r="CL31" i="42"/>
  <c r="CL222" i="42"/>
  <c r="CL190" i="42"/>
  <c r="CL158" i="42"/>
  <c r="CL126" i="42"/>
  <c r="CL94" i="42"/>
  <c r="CL62" i="42"/>
  <c r="CL30" i="42"/>
  <c r="CL221" i="42"/>
  <c r="CL189" i="42"/>
  <c r="CL157" i="42"/>
  <c r="CL125" i="42"/>
  <c r="CL93" i="42"/>
  <c r="CL61" i="42"/>
  <c r="CL29" i="42"/>
  <c r="CL220" i="42"/>
  <c r="CL188" i="42"/>
  <c r="CL156" i="42"/>
  <c r="CL124" i="42"/>
  <c r="CL92" i="42"/>
  <c r="CL60" i="42"/>
  <c r="CL28" i="42"/>
  <c r="CL219" i="42"/>
  <c r="CL187" i="42"/>
  <c r="CL155" i="42"/>
  <c r="CL123" i="42"/>
  <c r="CL91" i="42"/>
  <c r="CL59" i="42"/>
  <c r="CL27" i="42"/>
  <c r="CL218" i="42"/>
  <c r="CL186" i="42"/>
  <c r="CL154" i="42"/>
  <c r="CL122" i="42"/>
  <c r="CL90" i="42"/>
  <c r="CL58" i="42"/>
  <c r="CL26" i="42"/>
  <c r="CL217" i="42"/>
  <c r="CL185" i="42"/>
  <c r="CL153" i="42"/>
  <c r="CL121" i="42"/>
  <c r="CL89" i="42"/>
  <c r="CL57" i="42"/>
  <c r="CL25" i="42"/>
  <c r="CJ214" i="42"/>
  <c r="CJ182" i="42"/>
  <c r="CJ150" i="42"/>
  <c r="CJ118" i="42"/>
  <c r="CJ86" i="42"/>
  <c r="CJ54" i="42"/>
  <c r="CJ22" i="42"/>
  <c r="CL215" i="42"/>
  <c r="CL183" i="42"/>
  <c r="CL151" i="42"/>
  <c r="CL119" i="42"/>
  <c r="CL87" i="42"/>
  <c r="CL55" i="42"/>
  <c r="CL23" i="42"/>
  <c r="CJ213" i="42"/>
  <c r="CJ181" i="42"/>
  <c r="CJ149" i="42"/>
  <c r="CJ117" i="42"/>
  <c r="CJ85" i="42"/>
  <c r="CJ53" i="42"/>
  <c r="CJ21" i="42"/>
  <c r="CL214" i="42"/>
  <c r="CL182" i="42"/>
  <c r="CL150" i="42"/>
  <c r="CL118" i="42"/>
  <c r="CL86" i="42"/>
  <c r="CL54" i="42"/>
  <c r="CL22" i="42"/>
  <c r="CJ212" i="42"/>
  <c r="CJ180" i="42"/>
  <c r="CJ148" i="42"/>
  <c r="CJ116" i="42"/>
  <c r="CJ84" i="42"/>
  <c r="CJ52" i="42"/>
  <c r="CJ20" i="42"/>
  <c r="CL213" i="42"/>
  <c r="CL181" i="42"/>
  <c r="CL149" i="42"/>
  <c r="CL117" i="42"/>
  <c r="CL85" i="42"/>
  <c r="CL53" i="42"/>
  <c r="CL21" i="42"/>
  <c r="CJ211" i="42"/>
  <c r="CJ179" i="42"/>
  <c r="CJ147" i="42"/>
  <c r="CJ115" i="42"/>
  <c r="CJ83" i="42"/>
  <c r="CJ51" i="42"/>
  <c r="CJ19" i="42"/>
  <c r="CL212" i="42"/>
  <c r="CL180" i="42"/>
  <c r="CL148" i="42"/>
  <c r="CL116" i="42"/>
  <c r="CL84" i="42"/>
  <c r="CL52" i="42"/>
  <c r="CL20" i="42"/>
  <c r="CJ210" i="42"/>
  <c r="CJ178" i="42"/>
  <c r="CJ146" i="42"/>
  <c r="CJ114" i="42"/>
  <c r="CJ82" i="42"/>
  <c r="CJ50" i="42"/>
  <c r="CJ18" i="42"/>
  <c r="CL211" i="42"/>
  <c r="CL179" i="42"/>
  <c r="CL147" i="42"/>
  <c r="CL115" i="42"/>
  <c r="CL83" i="42"/>
  <c r="CL51" i="42"/>
  <c r="CL19" i="42"/>
  <c r="CJ209" i="42"/>
  <c r="CJ177" i="42"/>
  <c r="CJ145" i="42"/>
  <c r="CJ113" i="42"/>
  <c r="CJ81" i="42"/>
  <c r="CJ49" i="42"/>
  <c r="CJ17" i="42"/>
  <c r="CL210" i="42"/>
  <c r="CL178" i="42"/>
  <c r="CL146" i="42"/>
  <c r="CL114" i="42"/>
  <c r="CL82" i="42"/>
  <c r="CL50" i="42"/>
  <c r="CL18" i="42"/>
  <c r="CJ208" i="42"/>
  <c r="CJ176" i="42"/>
  <c r="CJ144" i="42"/>
  <c r="CJ112" i="42"/>
  <c r="CJ80" i="42"/>
  <c r="CJ48" i="42"/>
  <c r="CJ16" i="42"/>
  <c r="CL209" i="42"/>
  <c r="CL177" i="42"/>
  <c r="CL145" i="42"/>
  <c r="CL113" i="42"/>
  <c r="CL81" i="42"/>
  <c r="CL49" i="42"/>
  <c r="CL17" i="42"/>
  <c r="CJ207" i="42"/>
  <c r="CJ175" i="42"/>
  <c r="CJ143" i="42"/>
  <c r="CJ111" i="42"/>
  <c r="CJ79" i="42"/>
  <c r="CJ47" i="42"/>
  <c r="CJ15" i="42"/>
  <c r="CL208" i="42"/>
  <c r="CL176" i="42"/>
  <c r="CL144" i="42"/>
  <c r="CL112" i="42"/>
  <c r="CL80" i="42"/>
  <c r="CL48" i="42"/>
  <c r="CL16" i="42"/>
  <c r="CJ206" i="42"/>
  <c r="CJ174" i="42"/>
  <c r="CJ142" i="42"/>
  <c r="CJ110" i="42"/>
  <c r="CJ78" i="42"/>
  <c r="CJ46" i="42"/>
  <c r="CJ14" i="42"/>
  <c r="CL207" i="42"/>
  <c r="CL175" i="42"/>
  <c r="CL143" i="42"/>
  <c r="CL111" i="42"/>
  <c r="CL79" i="42"/>
  <c r="CL47" i="42"/>
  <c r="CL15" i="42"/>
  <c r="CJ13" i="42"/>
  <c r="CM13" i="42" s="1"/>
  <c r="CJ205" i="42"/>
  <c r="CJ173" i="42"/>
  <c r="CJ141" i="42"/>
  <c r="CJ109" i="42"/>
  <c r="CJ77" i="42"/>
  <c r="CJ45" i="42"/>
  <c r="CL206" i="42"/>
  <c r="CL174" i="42"/>
  <c r="CL142" i="42"/>
  <c r="CL110" i="42"/>
  <c r="CL78" i="42"/>
  <c r="CL46" i="42"/>
  <c r="CL14" i="42"/>
  <c r="BC13" i="42" a="1"/>
  <c r="BT13" i="42" a="1"/>
  <c r="AF27" i="38"/>
  <c r="AG27" i="38"/>
  <c r="AH25" i="38"/>
  <c r="AJ25" i="38"/>
  <c r="AK25" i="38"/>
  <c r="AL25" i="38"/>
  <c r="AM24" i="38"/>
  <c r="AM26" i="38"/>
  <c r="AL26" i="38"/>
  <c r="AI26" i="38"/>
  <c r="AL24" i="38"/>
  <c r="AK26" i="38"/>
  <c r="AL27" i="38"/>
  <c r="AM25" i="38"/>
  <c r="AM27" i="38"/>
  <c r="AE24" i="38"/>
  <c r="AF24" i="38"/>
  <c r="AE26" i="38"/>
  <c r="AG24" i="38"/>
  <c r="AF26" i="38"/>
  <c r="AH24" i="38"/>
  <c r="AG26" i="38"/>
  <c r="AI24" i="38"/>
  <c r="AI25" i="38"/>
  <c r="AH26" i="38"/>
  <c r="AH27" i="38"/>
  <c r="AJ24" i="38"/>
  <c r="AK24" i="38"/>
  <c r="AJ26" i="38"/>
  <c r="AD16" i="38" a="1"/>
  <c r="AD16" i="38" s="1"/>
  <c r="AD23" i="38" s="1"/>
  <c r="AD18" i="38" a="1"/>
  <c r="AD18" i="38" s="1"/>
  <c r="AD20" i="38" a="1"/>
  <c r="AD20" i="38" s="1"/>
  <c r="AD15" i="38" a="1"/>
  <c r="AD15" i="38" s="1"/>
  <c r="AD19" i="38" a="1"/>
  <c r="AD19" i="38" s="1"/>
  <c r="AD17" i="38" a="1"/>
  <c r="AD17" i="38" s="1"/>
  <c r="R5" i="36"/>
  <c r="Q5" i="36"/>
  <c r="P5" i="36"/>
  <c r="Z5" i="36"/>
  <c r="S5" i="36"/>
  <c r="AG16" i="33"/>
  <c r="AG17" i="33"/>
  <c r="AG18" i="33"/>
  <c r="AG19" i="33"/>
  <c r="AG20" i="33"/>
  <c r="AG21" i="33"/>
  <c r="AG22" i="33"/>
  <c r="AG23" i="33"/>
  <c r="AG24" i="33"/>
  <c r="AG15" i="33"/>
  <c r="AF27" i="33"/>
  <c r="AF28" i="33"/>
  <c r="AF29" i="33"/>
  <c r="AF30" i="33"/>
  <c r="AF31" i="33"/>
  <c r="AF32" i="33"/>
  <c r="AF33" i="33"/>
  <c r="AF34" i="33"/>
  <c r="AF35" i="33"/>
  <c r="AF36" i="33"/>
  <c r="AF37" i="33"/>
  <c r="AF38" i="33"/>
  <c r="AF39" i="33"/>
  <c r="AF40" i="33"/>
  <c r="AF41" i="33"/>
  <c r="AF42" i="33"/>
  <c r="AF43" i="33"/>
  <c r="AF44" i="33"/>
  <c r="AF45" i="33"/>
  <c r="AF26" i="33"/>
  <c r="L15" i="33"/>
  <c r="U15" i="33" s="1"/>
  <c r="C15" i="33"/>
  <c r="AD26" i="38" l="1"/>
  <c r="AD24" i="38"/>
  <c r="AM233" i="42"/>
  <c r="AM79" i="42"/>
  <c r="AM42" i="42"/>
  <c r="CM192" i="42"/>
  <c r="CM101" i="42"/>
  <c r="AM105" i="42"/>
  <c r="AM101" i="42"/>
  <c r="CM63" i="42"/>
  <c r="BE184" i="42"/>
  <c r="CM77" i="42"/>
  <c r="AM73" i="42"/>
  <c r="AM81" i="42"/>
  <c r="AM113" i="42"/>
  <c r="AM137" i="42"/>
  <c r="AM145" i="42"/>
  <c r="CM152" i="42"/>
  <c r="AM142" i="42"/>
  <c r="AM193" i="42"/>
  <c r="AM165" i="42"/>
  <c r="AM108" i="42"/>
  <c r="AM153" i="42"/>
  <c r="AM95" i="42"/>
  <c r="AM32" i="42"/>
  <c r="AM140" i="42"/>
  <c r="AM170" i="42"/>
  <c r="AM111" i="42"/>
  <c r="AM186" i="42"/>
  <c r="AM143" i="42"/>
  <c r="AM33" i="42"/>
  <c r="AM66" i="42"/>
  <c r="AM107" i="42"/>
  <c r="AM129" i="42"/>
  <c r="AM192" i="42"/>
  <c r="AM161" i="42"/>
  <c r="AM37" i="42"/>
  <c r="AM69" i="42"/>
  <c r="BV16" i="42"/>
  <c r="AM127" i="42"/>
  <c r="AM35" i="42"/>
  <c r="BE61" i="42"/>
  <c r="BE193" i="42"/>
  <c r="BE102" i="42"/>
  <c r="BE170" i="42"/>
  <c r="BE79" i="42"/>
  <c r="BE211" i="42"/>
  <c r="CM96" i="42"/>
  <c r="AM99" i="42"/>
  <c r="CM224" i="42"/>
  <c r="BV44" i="42"/>
  <c r="AM53" i="42"/>
  <c r="AM183" i="42"/>
  <c r="AM197" i="42"/>
  <c r="AM229" i="42"/>
  <c r="AM41" i="42"/>
  <c r="AM136" i="42"/>
  <c r="BE14" i="42"/>
  <c r="AM43" i="42"/>
  <c r="AM89" i="42"/>
  <c r="AM128" i="42"/>
  <c r="AM121" i="42"/>
  <c r="AM201" i="42"/>
  <c r="AM36" i="42"/>
  <c r="AM72" i="42"/>
  <c r="AM38" i="42"/>
  <c r="BE152" i="42"/>
  <c r="AM67" i="42"/>
  <c r="BE93" i="42"/>
  <c r="BE225" i="42"/>
  <c r="BE134" i="42"/>
  <c r="BE202" i="42"/>
  <c r="BE111" i="42"/>
  <c r="BE20" i="42"/>
  <c r="BE216" i="42"/>
  <c r="BE125" i="42"/>
  <c r="BE34" i="42"/>
  <c r="BE166" i="42"/>
  <c r="BE234" i="42"/>
  <c r="BE143" i="42"/>
  <c r="BE52" i="42"/>
  <c r="AM131" i="42"/>
  <c r="BE25" i="42"/>
  <c r="BE157" i="42"/>
  <c r="BE66" i="42"/>
  <c r="BE198" i="42"/>
  <c r="BE43" i="42"/>
  <c r="BE175" i="42"/>
  <c r="BE84" i="42"/>
  <c r="AM50" i="42"/>
  <c r="AM163" i="42"/>
  <c r="AM45" i="42"/>
  <c r="AM224" i="42"/>
  <c r="AM168" i="42"/>
  <c r="BE57" i="42"/>
  <c r="BE189" i="42"/>
  <c r="BE98" i="42"/>
  <c r="BE230" i="42"/>
  <c r="BE75" i="42"/>
  <c r="BE207" i="42"/>
  <c r="BE116" i="42"/>
  <c r="AM82" i="42"/>
  <c r="AM26" i="42"/>
  <c r="AM195" i="42"/>
  <c r="AM77" i="42"/>
  <c r="BE89" i="42"/>
  <c r="BE221" i="42"/>
  <c r="BE130" i="42"/>
  <c r="BE39" i="42"/>
  <c r="BE107" i="42"/>
  <c r="BE16" i="42"/>
  <c r="BE148" i="42"/>
  <c r="AM58" i="42"/>
  <c r="AM39" i="42"/>
  <c r="AM204" i="42"/>
  <c r="AM75" i="42"/>
  <c r="BV171" i="42"/>
  <c r="AM15" i="42"/>
  <c r="AM146" i="42"/>
  <c r="AM90" i="42"/>
  <c r="AM160" i="42"/>
  <c r="AM178" i="42"/>
  <c r="AM173" i="42"/>
  <c r="AM198" i="42"/>
  <c r="AM234" i="42"/>
  <c r="AM96" i="42"/>
  <c r="AM225" i="42"/>
  <c r="AM133" i="42"/>
  <c r="AM226" i="42"/>
  <c r="AM70" i="42"/>
  <c r="AM230" i="42"/>
  <c r="AM40" i="42"/>
  <c r="AM76" i="42"/>
  <c r="AM74" i="42"/>
  <c r="AM199" i="42"/>
  <c r="AM235" i="42"/>
  <c r="AM171" i="42"/>
  <c r="AM169" i="42"/>
  <c r="AM135" i="42"/>
  <c r="AM172" i="42"/>
  <c r="AM200" i="42"/>
  <c r="AM71" i="42"/>
  <c r="AM236" i="42"/>
  <c r="AM84" i="42"/>
  <c r="AM214" i="42"/>
  <c r="AM28" i="42"/>
  <c r="AM158" i="42"/>
  <c r="AM116" i="42"/>
  <c r="AM60" i="42"/>
  <c r="AM190" i="42"/>
  <c r="AM148" i="42"/>
  <c r="AM92" i="42"/>
  <c r="AM222" i="42"/>
  <c r="AM180" i="42"/>
  <c r="AM124" i="42"/>
  <c r="AM212" i="42"/>
  <c r="AM156" i="42"/>
  <c r="BV101" i="42"/>
  <c r="AM114" i="42"/>
  <c r="AM188" i="42"/>
  <c r="AM227" i="42"/>
  <c r="AM109" i="42"/>
  <c r="AM64" i="42"/>
  <c r="AM231" i="42"/>
  <c r="AM103" i="42"/>
  <c r="AM220" i="42"/>
  <c r="AM141" i="42"/>
  <c r="CM109" i="42"/>
  <c r="AM47" i="42"/>
  <c r="AM122" i="42"/>
  <c r="AM44" i="42"/>
  <c r="AM210" i="42"/>
  <c r="AM23" i="42"/>
  <c r="AM154" i="42"/>
  <c r="AM205" i="42"/>
  <c r="AM167" i="42"/>
  <c r="AM55" i="42"/>
  <c r="AM203" i="42"/>
  <c r="BV76" i="42"/>
  <c r="AM87" i="42"/>
  <c r="AM218" i="42"/>
  <c r="CM128" i="42"/>
  <c r="AM175" i="42"/>
  <c r="AM119" i="42"/>
  <c r="AM65" i="42"/>
  <c r="AM232" i="42"/>
  <c r="AM104" i="42"/>
  <c r="AM207" i="42"/>
  <c r="AM21" i="42"/>
  <c r="AM151" i="42"/>
  <c r="AM97" i="42"/>
  <c r="AM139" i="42"/>
  <c r="AM223" i="42"/>
  <c r="AM68" i="42"/>
  <c r="AM228" i="42"/>
  <c r="AM194" i="42"/>
  <c r="AM159" i="42"/>
  <c r="AM110" i="42"/>
  <c r="AM162" i="42"/>
  <c r="AM85" i="42"/>
  <c r="AM215" i="42"/>
  <c r="AM29" i="42"/>
  <c r="AM196" i="42"/>
  <c r="AM78" i="42"/>
  <c r="AM117" i="42"/>
  <c r="AM61" i="42"/>
  <c r="AM164" i="42"/>
  <c r="AM19" i="42"/>
  <c r="AM149" i="42"/>
  <c r="AM93" i="42"/>
  <c r="AM51" i="42"/>
  <c r="AM181" i="42"/>
  <c r="AM125" i="42"/>
  <c r="AM166" i="42"/>
  <c r="AM83" i="42"/>
  <c r="AM213" i="42"/>
  <c r="AM27" i="42"/>
  <c r="AM157" i="42"/>
  <c r="AM115" i="42"/>
  <c r="AM59" i="42"/>
  <c r="AM189" i="42"/>
  <c r="AM16" i="42"/>
  <c r="AM147" i="42"/>
  <c r="AM91" i="42"/>
  <c r="AM221" i="42"/>
  <c r="AM202" i="42"/>
  <c r="AM48" i="42"/>
  <c r="AM179" i="42"/>
  <c r="AM123" i="42"/>
  <c r="AM130" i="42"/>
  <c r="AM98" i="42"/>
  <c r="AM80" i="42"/>
  <c r="AM211" i="42"/>
  <c r="AM24" i="42"/>
  <c r="AM25" i="42"/>
  <c r="AM155" i="42"/>
  <c r="AM46" i="42"/>
  <c r="AM14" i="42"/>
  <c r="AM112" i="42"/>
  <c r="AM56" i="42"/>
  <c r="AM187" i="42"/>
  <c r="AM132" i="42"/>
  <c r="AM100" i="42"/>
  <c r="AM144" i="42"/>
  <c r="AM88" i="42"/>
  <c r="AM219" i="42"/>
  <c r="AM49" i="42"/>
  <c r="AM17" i="42"/>
  <c r="AM176" i="42"/>
  <c r="AM120" i="42"/>
  <c r="AM134" i="42"/>
  <c r="AM102" i="42"/>
  <c r="AM208" i="42"/>
  <c r="AM22" i="42"/>
  <c r="AM152" i="42"/>
  <c r="AM206" i="42"/>
  <c r="AM174" i="42"/>
  <c r="AM54" i="42"/>
  <c r="AM184" i="42"/>
  <c r="AM57" i="42"/>
  <c r="AM177" i="42"/>
  <c r="AM86" i="42"/>
  <c r="AM216" i="42"/>
  <c r="AM30" i="42"/>
  <c r="AM31" i="42"/>
  <c r="AM209" i="42"/>
  <c r="AM185" i="42"/>
  <c r="AM118" i="42"/>
  <c r="AM62" i="42"/>
  <c r="AM63" i="42"/>
  <c r="AM106" i="42"/>
  <c r="AM20" i="42"/>
  <c r="AM150" i="42"/>
  <c r="AM94" i="42"/>
  <c r="AM217" i="42"/>
  <c r="AM191" i="42"/>
  <c r="CM124" i="42"/>
  <c r="BE120" i="42"/>
  <c r="BE29" i="42"/>
  <c r="BE161" i="42"/>
  <c r="BE70" i="42"/>
  <c r="BE138" i="42"/>
  <c r="BE47" i="42"/>
  <c r="BE179" i="42"/>
  <c r="AM52" i="42"/>
  <c r="AM182" i="42"/>
  <c r="AM126" i="42"/>
  <c r="AM138" i="42"/>
  <c r="AM34" i="42"/>
  <c r="BV108" i="42"/>
  <c r="CM156" i="42"/>
  <c r="CM187" i="42"/>
  <c r="CM132" i="42"/>
  <c r="CM36" i="42"/>
  <c r="CM219" i="42"/>
  <c r="BV170" i="42"/>
  <c r="BV112" i="42"/>
  <c r="BC13" i="42"/>
  <c r="BD13" i="42" s="1"/>
  <c r="BD14" i="42"/>
  <c r="BD46" i="42"/>
  <c r="BD78" i="42"/>
  <c r="BD110" i="42"/>
  <c r="BD142" i="42"/>
  <c r="BD174" i="42"/>
  <c r="BD206" i="42"/>
  <c r="BD38" i="42"/>
  <c r="BD15" i="42"/>
  <c r="BD47" i="42"/>
  <c r="BD79" i="42"/>
  <c r="BD111" i="42"/>
  <c r="BD143" i="42"/>
  <c r="BD175" i="42"/>
  <c r="BD207" i="42"/>
  <c r="BD134" i="42"/>
  <c r="BD16" i="42"/>
  <c r="BD48" i="42"/>
  <c r="BD80" i="42"/>
  <c r="BD112" i="42"/>
  <c r="BD144" i="42"/>
  <c r="BD176" i="42"/>
  <c r="BD208" i="42"/>
  <c r="BD166" i="42"/>
  <c r="BD17" i="42"/>
  <c r="BD49" i="42"/>
  <c r="BD81" i="42"/>
  <c r="BD113" i="42"/>
  <c r="BD145" i="42"/>
  <c r="BD177" i="42"/>
  <c r="BD209" i="42"/>
  <c r="BD18" i="42"/>
  <c r="BD50" i="42"/>
  <c r="BD82" i="42"/>
  <c r="BD114" i="42"/>
  <c r="BD146" i="42"/>
  <c r="BD178" i="42"/>
  <c r="BD210" i="42"/>
  <c r="BD198" i="42"/>
  <c r="BD19" i="42"/>
  <c r="BD51" i="42"/>
  <c r="BD83" i="42"/>
  <c r="BD115" i="42"/>
  <c r="BD147" i="42"/>
  <c r="BD179" i="42"/>
  <c r="BD211" i="42"/>
  <c r="BD230" i="42"/>
  <c r="BD20" i="42"/>
  <c r="BD52" i="42"/>
  <c r="BD84" i="42"/>
  <c r="BD116" i="42"/>
  <c r="BD148" i="42"/>
  <c r="BD180" i="42"/>
  <c r="BD212" i="42"/>
  <c r="BD21" i="42"/>
  <c r="BD53" i="42"/>
  <c r="BD85" i="42"/>
  <c r="BD117" i="42"/>
  <c r="BD149" i="42"/>
  <c r="BD181" i="42"/>
  <c r="BD213" i="42"/>
  <c r="BD22" i="42"/>
  <c r="BD54" i="42"/>
  <c r="BD86" i="42"/>
  <c r="BD118" i="42"/>
  <c r="BD150" i="42"/>
  <c r="BD182" i="42"/>
  <c r="BD214" i="42"/>
  <c r="BD23" i="42"/>
  <c r="BD55" i="42"/>
  <c r="BD87" i="42"/>
  <c r="BD119" i="42"/>
  <c r="BD151" i="42"/>
  <c r="BD183" i="42"/>
  <c r="BD215" i="42"/>
  <c r="BD24" i="42"/>
  <c r="BD56" i="42"/>
  <c r="BD88" i="42"/>
  <c r="BD120" i="42"/>
  <c r="BD152" i="42"/>
  <c r="BD184" i="42"/>
  <c r="BD216" i="42"/>
  <c r="BD70" i="42"/>
  <c r="BD25" i="42"/>
  <c r="BD57" i="42"/>
  <c r="BD89" i="42"/>
  <c r="BD121" i="42"/>
  <c r="BD153" i="42"/>
  <c r="BD185" i="42"/>
  <c r="BD217" i="42"/>
  <c r="BD26" i="42"/>
  <c r="BD58" i="42"/>
  <c r="BD90" i="42"/>
  <c r="BD122" i="42"/>
  <c r="BD154" i="42"/>
  <c r="BD186" i="42"/>
  <c r="BD218" i="42"/>
  <c r="BD27" i="42"/>
  <c r="BD59" i="42"/>
  <c r="BD91" i="42"/>
  <c r="BD123" i="42"/>
  <c r="BD155" i="42"/>
  <c r="BD187" i="42"/>
  <c r="BD219" i="42"/>
  <c r="BD28" i="42"/>
  <c r="BD60" i="42"/>
  <c r="BD92" i="42"/>
  <c r="BD124" i="42"/>
  <c r="BD156" i="42"/>
  <c r="BD188" i="42"/>
  <c r="BD220" i="42"/>
  <c r="BD29" i="42"/>
  <c r="BD61" i="42"/>
  <c r="BD93" i="42"/>
  <c r="BD125" i="42"/>
  <c r="BD157" i="42"/>
  <c r="BD189" i="42"/>
  <c r="BD221" i="42"/>
  <c r="BD30" i="42"/>
  <c r="BD62" i="42"/>
  <c r="BD94" i="42"/>
  <c r="BD126" i="42"/>
  <c r="BD158" i="42"/>
  <c r="BD190" i="42"/>
  <c r="BD222" i="42"/>
  <c r="BD31" i="42"/>
  <c r="BD63" i="42"/>
  <c r="BD95" i="42"/>
  <c r="BD127" i="42"/>
  <c r="BD159" i="42"/>
  <c r="BD191" i="42"/>
  <c r="BD223" i="42"/>
  <c r="BD32" i="42"/>
  <c r="BD64" i="42"/>
  <c r="BD96" i="42"/>
  <c r="BD128" i="42"/>
  <c r="BD160" i="42"/>
  <c r="BD192" i="42"/>
  <c r="BD224" i="42"/>
  <c r="BD33" i="42"/>
  <c r="BD65" i="42"/>
  <c r="BD97" i="42"/>
  <c r="BD129" i="42"/>
  <c r="BD161" i="42"/>
  <c r="BD193" i="42"/>
  <c r="BD225" i="42"/>
  <c r="BD34" i="42"/>
  <c r="BD66" i="42"/>
  <c r="BD98" i="42"/>
  <c r="BD130" i="42"/>
  <c r="BD162" i="42"/>
  <c r="BD194" i="42"/>
  <c r="BD226" i="42"/>
  <c r="BD35" i="42"/>
  <c r="BD67" i="42"/>
  <c r="BD99" i="42"/>
  <c r="BD131" i="42"/>
  <c r="BD163" i="42"/>
  <c r="BD195" i="42"/>
  <c r="BD227" i="42"/>
  <c r="BD36" i="42"/>
  <c r="BD68" i="42"/>
  <c r="BD100" i="42"/>
  <c r="BD132" i="42"/>
  <c r="BD164" i="42"/>
  <c r="BD196" i="42"/>
  <c r="BD228" i="42"/>
  <c r="BD37" i="42"/>
  <c r="BD69" i="42"/>
  <c r="BD101" i="42"/>
  <c r="BD133" i="42"/>
  <c r="BD165" i="42"/>
  <c r="BD197" i="42"/>
  <c r="BD229" i="42"/>
  <c r="BD39" i="42"/>
  <c r="BD71" i="42"/>
  <c r="BD103" i="42"/>
  <c r="BD135" i="42"/>
  <c r="BD167" i="42"/>
  <c r="BD199" i="42"/>
  <c r="BD231" i="42"/>
  <c r="BD102" i="42"/>
  <c r="BD40" i="42"/>
  <c r="BD72" i="42"/>
  <c r="BD104" i="42"/>
  <c r="BD136" i="42"/>
  <c r="BD168" i="42"/>
  <c r="BD200" i="42"/>
  <c r="BD232" i="42"/>
  <c r="BD41" i="42"/>
  <c r="BD73" i="42"/>
  <c r="BD105" i="42"/>
  <c r="BD137" i="42"/>
  <c r="BD169" i="42"/>
  <c r="BD201" i="42"/>
  <c r="BD233" i="42"/>
  <c r="BD42" i="42"/>
  <c r="BD74" i="42"/>
  <c r="BD106" i="42"/>
  <c r="BD138" i="42"/>
  <c r="BD170" i="42"/>
  <c r="BD202" i="42"/>
  <c r="BD234" i="42"/>
  <c r="BD43" i="42"/>
  <c r="BD75" i="42"/>
  <c r="BD107" i="42"/>
  <c r="BD139" i="42"/>
  <c r="BD171" i="42"/>
  <c r="BD203" i="42"/>
  <c r="BD235" i="42"/>
  <c r="BD44" i="42"/>
  <c r="BD76" i="42"/>
  <c r="BD108" i="42"/>
  <c r="BD140" i="42"/>
  <c r="BD172" i="42"/>
  <c r="BD204" i="42"/>
  <c r="BD45" i="42"/>
  <c r="BD77" i="42"/>
  <c r="BD109" i="42"/>
  <c r="BD141" i="42"/>
  <c r="BD173" i="42"/>
  <c r="BD205" i="42"/>
  <c r="BV191" i="42"/>
  <c r="BE121" i="42"/>
  <c r="BE30" i="42"/>
  <c r="BE162" i="42"/>
  <c r="BE71" i="42"/>
  <c r="BE139" i="42"/>
  <c r="BE48" i="42"/>
  <c r="BE180" i="42"/>
  <c r="BE153" i="42"/>
  <c r="BE62" i="42"/>
  <c r="BE194" i="42"/>
  <c r="BE103" i="42"/>
  <c r="BE171" i="42"/>
  <c r="BE80" i="42"/>
  <c r="BE212" i="42"/>
  <c r="BE185" i="42"/>
  <c r="BE94" i="42"/>
  <c r="BE226" i="42"/>
  <c r="BE135" i="42"/>
  <c r="BE203" i="42"/>
  <c r="BE112" i="42"/>
  <c r="BE21" i="42"/>
  <c r="BE217" i="42"/>
  <c r="BE126" i="42"/>
  <c r="BE35" i="42"/>
  <c r="BE167" i="42"/>
  <c r="BE235" i="42"/>
  <c r="BE144" i="42"/>
  <c r="BE53" i="42"/>
  <c r="BE26" i="42"/>
  <c r="BE158" i="42"/>
  <c r="BE67" i="42"/>
  <c r="BE199" i="42"/>
  <c r="BE44" i="42"/>
  <c r="BE176" i="42"/>
  <c r="BE85" i="42"/>
  <c r="BE58" i="42"/>
  <c r="BE190" i="42"/>
  <c r="BE99" i="42"/>
  <c r="BE231" i="42"/>
  <c r="BE76" i="42"/>
  <c r="BE208" i="42"/>
  <c r="BE117" i="42"/>
  <c r="BE90" i="42"/>
  <c r="BE222" i="42"/>
  <c r="BE131" i="42"/>
  <c r="BE40" i="42"/>
  <c r="BE108" i="42"/>
  <c r="BE17" i="42"/>
  <c r="BE149" i="42"/>
  <c r="BE122" i="42"/>
  <c r="BE31" i="42"/>
  <c r="BE163" i="42"/>
  <c r="BE140" i="42"/>
  <c r="BE49" i="42"/>
  <c r="BE181" i="42"/>
  <c r="BV204" i="42"/>
  <c r="BE154" i="42"/>
  <c r="BE63" i="42"/>
  <c r="BE195" i="42"/>
  <c r="BE72" i="42"/>
  <c r="BE172" i="42"/>
  <c r="BE81" i="42"/>
  <c r="BE213" i="42"/>
  <c r="BE186" i="42"/>
  <c r="BE95" i="42"/>
  <c r="BE227" i="42"/>
  <c r="BE104" i="42"/>
  <c r="BE204" i="42"/>
  <c r="BE113" i="42"/>
  <c r="BE22" i="42"/>
  <c r="BE218" i="42"/>
  <c r="BE127" i="42"/>
  <c r="BE36" i="42"/>
  <c r="BE136" i="42"/>
  <c r="BE236" i="42"/>
  <c r="BE145" i="42"/>
  <c r="BE54" i="42"/>
  <c r="BE27" i="42"/>
  <c r="BE159" i="42"/>
  <c r="BE68" i="42"/>
  <c r="BE168" i="42"/>
  <c r="BE45" i="42"/>
  <c r="BE177" i="42"/>
  <c r="BE86" i="42"/>
  <c r="BE59" i="42"/>
  <c r="BE191" i="42"/>
  <c r="BE100" i="42"/>
  <c r="BE200" i="42"/>
  <c r="BE77" i="42"/>
  <c r="BE209" i="42"/>
  <c r="BE118" i="42"/>
  <c r="BE91" i="42"/>
  <c r="BE223" i="42"/>
  <c r="BE132" i="42"/>
  <c r="BE232" i="42"/>
  <c r="BE109" i="42"/>
  <c r="BE18" i="42"/>
  <c r="BE150" i="42"/>
  <c r="BE123" i="42"/>
  <c r="BE32" i="42"/>
  <c r="BE164" i="42"/>
  <c r="BE41" i="42"/>
  <c r="BE141" i="42"/>
  <c r="BE50" i="42"/>
  <c r="BE182" i="42"/>
  <c r="CM91" i="42"/>
  <c r="BE155" i="42"/>
  <c r="BE64" i="42"/>
  <c r="BE196" i="42"/>
  <c r="BE173" i="42"/>
  <c r="BE82" i="42"/>
  <c r="BE214" i="42"/>
  <c r="BE187" i="42"/>
  <c r="BE96" i="42"/>
  <c r="BE228" i="42"/>
  <c r="BE73" i="42"/>
  <c r="BE205" i="42"/>
  <c r="BE114" i="42"/>
  <c r="BE23" i="42"/>
  <c r="BE219" i="42"/>
  <c r="BE128" i="42"/>
  <c r="BE37" i="42"/>
  <c r="BE105" i="42"/>
  <c r="BE146" i="42"/>
  <c r="BE55" i="42"/>
  <c r="BV167" i="42"/>
  <c r="BE28" i="42"/>
  <c r="BE160" i="42"/>
  <c r="BE69" i="42"/>
  <c r="BE137" i="42"/>
  <c r="BE46" i="42"/>
  <c r="BE178" i="42"/>
  <c r="BE87" i="42"/>
  <c r="BE60" i="42"/>
  <c r="BE192" i="42"/>
  <c r="BE101" i="42"/>
  <c r="BE169" i="42"/>
  <c r="BE78" i="42"/>
  <c r="BE210" i="42"/>
  <c r="BE119" i="42"/>
  <c r="BE92" i="42"/>
  <c r="BE224" i="42"/>
  <c r="BE133" i="42"/>
  <c r="BE201" i="42"/>
  <c r="BE110" i="42"/>
  <c r="BE19" i="42"/>
  <c r="BE124" i="42"/>
  <c r="BE33" i="42"/>
  <c r="BE165" i="42"/>
  <c r="BE233" i="42"/>
  <c r="BE142" i="42"/>
  <c r="BE51" i="42"/>
  <c r="BE151" i="42"/>
  <c r="BE156" i="42"/>
  <c r="BE65" i="42"/>
  <c r="BE197" i="42"/>
  <c r="BE42" i="42"/>
  <c r="BE174" i="42"/>
  <c r="BE83" i="42"/>
  <c r="BE183" i="42"/>
  <c r="BE56" i="42"/>
  <c r="BE188" i="42"/>
  <c r="BE97" i="42"/>
  <c r="BE229" i="42"/>
  <c r="BE74" i="42"/>
  <c r="BE206" i="42"/>
  <c r="BE115" i="42"/>
  <c r="BE215" i="42"/>
  <c r="BE88" i="42"/>
  <c r="BE220" i="42"/>
  <c r="BE129" i="42"/>
  <c r="BE38" i="42"/>
  <c r="BE106" i="42"/>
  <c r="BE15" i="42"/>
  <c r="BE147" i="42"/>
  <c r="BE24" i="42"/>
  <c r="BV99" i="42"/>
  <c r="CM153" i="42"/>
  <c r="BV198" i="42"/>
  <c r="BV69" i="42"/>
  <c r="CM222" i="42"/>
  <c r="BV40" i="42"/>
  <c r="BV139" i="42"/>
  <c r="BV48" i="42"/>
  <c r="BV129" i="42"/>
  <c r="BV228" i="42"/>
  <c r="BV199" i="42"/>
  <c r="BV70" i="42"/>
  <c r="BV176" i="42"/>
  <c r="CM39" i="42"/>
  <c r="CM169" i="42"/>
  <c r="CM37" i="42"/>
  <c r="BV105" i="42"/>
  <c r="CM133" i="42"/>
  <c r="CM216" i="42"/>
  <c r="BV194" i="42"/>
  <c r="BV135" i="42"/>
  <c r="BV234" i="42"/>
  <c r="BV36" i="42"/>
  <c r="CM24" i="42"/>
  <c r="CM188" i="42"/>
  <c r="CM160" i="42"/>
  <c r="CM64" i="42"/>
  <c r="BV37" i="42"/>
  <c r="BV225" i="42"/>
  <c r="BV96" i="42"/>
  <c r="CM189" i="42"/>
  <c r="BV67" i="42"/>
  <c r="BV80" i="42"/>
  <c r="BV41" i="42"/>
  <c r="BV144" i="42"/>
  <c r="BV130" i="42"/>
  <c r="BV229" i="42"/>
  <c r="BV200" i="42"/>
  <c r="BV71" i="42"/>
  <c r="BV42" i="42"/>
  <c r="BV160" i="42"/>
  <c r="BV131" i="42"/>
  <c r="BV230" i="42"/>
  <c r="BV32" i="42"/>
  <c r="BV201" i="42"/>
  <c r="BV72" i="42"/>
  <c r="BV102" i="42"/>
  <c r="BV43" i="42"/>
  <c r="BV161" i="42"/>
  <c r="BV132" i="42"/>
  <c r="BV231" i="42"/>
  <c r="BV33" i="42"/>
  <c r="BV202" i="42"/>
  <c r="BV73" i="42"/>
  <c r="BV177" i="42"/>
  <c r="BV86" i="42"/>
  <c r="BV218" i="42"/>
  <c r="BV103" i="42"/>
  <c r="BV162" i="42"/>
  <c r="BV209" i="42"/>
  <c r="BV118" i="42"/>
  <c r="BV27" i="42"/>
  <c r="BV140" i="42"/>
  <c r="BV192" i="42"/>
  <c r="BV133" i="42"/>
  <c r="BV232" i="42"/>
  <c r="BV18" i="42"/>
  <c r="BV150" i="42"/>
  <c r="BV59" i="42"/>
  <c r="BV172" i="42"/>
  <c r="BV34" i="42"/>
  <c r="BV203" i="42"/>
  <c r="BV74" i="42"/>
  <c r="BV50" i="42"/>
  <c r="BV182" i="42"/>
  <c r="BV91" i="42"/>
  <c r="BV104" i="42"/>
  <c r="BV64" i="42"/>
  <c r="BV163" i="42"/>
  <c r="BV82" i="42"/>
  <c r="BV214" i="42"/>
  <c r="BV123" i="42"/>
  <c r="BV236" i="42"/>
  <c r="BV193" i="42"/>
  <c r="BV134" i="42"/>
  <c r="BV233" i="42"/>
  <c r="BV114" i="42"/>
  <c r="BV23" i="42"/>
  <c r="BV155" i="42"/>
  <c r="BV45" i="42"/>
  <c r="BV35" i="42"/>
  <c r="BV75" i="42"/>
  <c r="BV146" i="42"/>
  <c r="BV55" i="42"/>
  <c r="BV187" i="42"/>
  <c r="BV77" i="42"/>
  <c r="BV65" i="42"/>
  <c r="BV164" i="42"/>
  <c r="BV224" i="42"/>
  <c r="BV106" i="42"/>
  <c r="BV66" i="42"/>
  <c r="BV165" i="42"/>
  <c r="BV195" i="42"/>
  <c r="BV136" i="42"/>
  <c r="BV235" i="42"/>
  <c r="BV14" i="42"/>
  <c r="BV107" i="42"/>
  <c r="BV166" i="42"/>
  <c r="BV196" i="42"/>
  <c r="BV97" i="42"/>
  <c r="BV38" i="42"/>
  <c r="BV137" i="42"/>
  <c r="BV226" i="42"/>
  <c r="BV98" i="42"/>
  <c r="BV197" i="42"/>
  <c r="BV68" i="42"/>
  <c r="BV168" i="42"/>
  <c r="BV39" i="42"/>
  <c r="BV138" i="42"/>
  <c r="BV128" i="42"/>
  <c r="BV227" i="42"/>
  <c r="BV169" i="42"/>
  <c r="BV100" i="42"/>
  <c r="CM158" i="42"/>
  <c r="CM33" i="42"/>
  <c r="BV178" i="42"/>
  <c r="BV87" i="42"/>
  <c r="BV219" i="42"/>
  <c r="BV109" i="42"/>
  <c r="BV210" i="42"/>
  <c r="BV119" i="42"/>
  <c r="BV28" i="42"/>
  <c r="BV141" i="42"/>
  <c r="CM197" i="42"/>
  <c r="BV19" i="42"/>
  <c r="BV151" i="42"/>
  <c r="BV60" i="42"/>
  <c r="BV173" i="42"/>
  <c r="BV51" i="42"/>
  <c r="BV183" i="42"/>
  <c r="BV92" i="42"/>
  <c r="BV205" i="42"/>
  <c r="BV83" i="42"/>
  <c r="BV215" i="42"/>
  <c r="BV124" i="42"/>
  <c r="BV115" i="42"/>
  <c r="BV24" i="42"/>
  <c r="BV156" i="42"/>
  <c r="BV46" i="42"/>
  <c r="BV147" i="42"/>
  <c r="BV56" i="42"/>
  <c r="BV188" i="42"/>
  <c r="BV78" i="42"/>
  <c r="BV179" i="42"/>
  <c r="BV88" i="42"/>
  <c r="BV220" i="42"/>
  <c r="BV110" i="42"/>
  <c r="BV211" i="42"/>
  <c r="BV120" i="42"/>
  <c r="BV29" i="42"/>
  <c r="BV142" i="42"/>
  <c r="BT13" i="42"/>
  <c r="BU13" i="42" s="1"/>
  <c r="BU14" i="42"/>
  <c r="BU46" i="42"/>
  <c r="BU78" i="42"/>
  <c r="BU110" i="42"/>
  <c r="BU142" i="42"/>
  <c r="BU174" i="42"/>
  <c r="BU206" i="42"/>
  <c r="BU126" i="42"/>
  <c r="BU15" i="42"/>
  <c r="BU47" i="42"/>
  <c r="BU79" i="42"/>
  <c r="BU111" i="42"/>
  <c r="BU143" i="42"/>
  <c r="BU175" i="42"/>
  <c r="BU207" i="42"/>
  <c r="BU16" i="42"/>
  <c r="BU48" i="42"/>
  <c r="BU80" i="42"/>
  <c r="BU112" i="42"/>
  <c r="BU144" i="42"/>
  <c r="BU176" i="42"/>
  <c r="BU208" i="42"/>
  <c r="BU17" i="42"/>
  <c r="BU49" i="42"/>
  <c r="BU81" i="42"/>
  <c r="BU113" i="42"/>
  <c r="BU145" i="42"/>
  <c r="BU177" i="42"/>
  <c r="BU209" i="42"/>
  <c r="BU18" i="42"/>
  <c r="BU50" i="42"/>
  <c r="BU82" i="42"/>
  <c r="BU114" i="42"/>
  <c r="BU146" i="42"/>
  <c r="BU178" i="42"/>
  <c r="BU210" i="42"/>
  <c r="BU19" i="42"/>
  <c r="BU51" i="42"/>
  <c r="BU83" i="42"/>
  <c r="BU115" i="42"/>
  <c r="BU147" i="42"/>
  <c r="BU179" i="42"/>
  <c r="BU211" i="42"/>
  <c r="BU20" i="42"/>
  <c r="BU52" i="42"/>
  <c r="BU84" i="42"/>
  <c r="BU116" i="42"/>
  <c r="BU148" i="42"/>
  <c r="BU180" i="42"/>
  <c r="BU212" i="42"/>
  <c r="BU21" i="42"/>
  <c r="BU53" i="42"/>
  <c r="BU85" i="42"/>
  <c r="BU117" i="42"/>
  <c r="BU149" i="42"/>
  <c r="BU181" i="42"/>
  <c r="BU213" i="42"/>
  <c r="BU22" i="42"/>
  <c r="BU54" i="42"/>
  <c r="BU86" i="42"/>
  <c r="BU118" i="42"/>
  <c r="BU150" i="42"/>
  <c r="BU182" i="42"/>
  <c r="BU214" i="42"/>
  <c r="BU30" i="42"/>
  <c r="BU23" i="42"/>
  <c r="BU55" i="42"/>
  <c r="BU87" i="42"/>
  <c r="BU119" i="42"/>
  <c r="BU151" i="42"/>
  <c r="BU183" i="42"/>
  <c r="BU215" i="42"/>
  <c r="BU24" i="42"/>
  <c r="BU56" i="42"/>
  <c r="BU88" i="42"/>
  <c r="BU120" i="42"/>
  <c r="BU152" i="42"/>
  <c r="BU184" i="42"/>
  <c r="BU216" i="42"/>
  <c r="BU62" i="42"/>
  <c r="BU25" i="42"/>
  <c r="BU57" i="42"/>
  <c r="BU89" i="42"/>
  <c r="BU121" i="42"/>
  <c r="BU153" i="42"/>
  <c r="BU185" i="42"/>
  <c r="BU217" i="42"/>
  <c r="BU26" i="42"/>
  <c r="BU58" i="42"/>
  <c r="BU90" i="42"/>
  <c r="BU122" i="42"/>
  <c r="BU154" i="42"/>
  <c r="BU186" i="42"/>
  <c r="BU218" i="42"/>
  <c r="BU158" i="42"/>
  <c r="BU27" i="42"/>
  <c r="BU59" i="42"/>
  <c r="BU91" i="42"/>
  <c r="BU123" i="42"/>
  <c r="BU155" i="42"/>
  <c r="BU187" i="42"/>
  <c r="BU219" i="42"/>
  <c r="BU28" i="42"/>
  <c r="BU60" i="42"/>
  <c r="BU92" i="42"/>
  <c r="BU124" i="42"/>
  <c r="BU156" i="42"/>
  <c r="BU188" i="42"/>
  <c r="BU220" i="42"/>
  <c r="BU29" i="42"/>
  <c r="BU61" i="42"/>
  <c r="BU93" i="42"/>
  <c r="BU125" i="42"/>
  <c r="BU157" i="42"/>
  <c r="BU189" i="42"/>
  <c r="BU221" i="42"/>
  <c r="BU31" i="42"/>
  <c r="BU63" i="42"/>
  <c r="BU95" i="42"/>
  <c r="BU127" i="42"/>
  <c r="BU159" i="42"/>
  <c r="BU191" i="42"/>
  <c r="BU223" i="42"/>
  <c r="BU32" i="42"/>
  <c r="BU64" i="42"/>
  <c r="BU96" i="42"/>
  <c r="BU128" i="42"/>
  <c r="BU160" i="42"/>
  <c r="BU192" i="42"/>
  <c r="BU224" i="42"/>
  <c r="BU33" i="42"/>
  <c r="BU65" i="42"/>
  <c r="BU97" i="42"/>
  <c r="BU129" i="42"/>
  <c r="BU161" i="42"/>
  <c r="BU193" i="42"/>
  <c r="BU225" i="42"/>
  <c r="BU34" i="42"/>
  <c r="BU66" i="42"/>
  <c r="BU98" i="42"/>
  <c r="BU130" i="42"/>
  <c r="BU162" i="42"/>
  <c r="BU194" i="42"/>
  <c r="BU226" i="42"/>
  <c r="BU35" i="42"/>
  <c r="BU67" i="42"/>
  <c r="BU99" i="42"/>
  <c r="BU131" i="42"/>
  <c r="BU163" i="42"/>
  <c r="BU195" i="42"/>
  <c r="BU227" i="42"/>
  <c r="BU36" i="42"/>
  <c r="BU68" i="42"/>
  <c r="BU100" i="42"/>
  <c r="BU132" i="42"/>
  <c r="BU164" i="42"/>
  <c r="BU196" i="42"/>
  <c r="BU228" i="42"/>
  <c r="BU37" i="42"/>
  <c r="BU69" i="42"/>
  <c r="BU101" i="42"/>
  <c r="BU133" i="42"/>
  <c r="BU165" i="42"/>
  <c r="BU197" i="42"/>
  <c r="BU229" i="42"/>
  <c r="BU38" i="42"/>
  <c r="BU70" i="42"/>
  <c r="BU102" i="42"/>
  <c r="BU134" i="42"/>
  <c r="BU166" i="42"/>
  <c r="BU198" i="42"/>
  <c r="BU230" i="42"/>
  <c r="BU39" i="42"/>
  <c r="BU71" i="42"/>
  <c r="BU103" i="42"/>
  <c r="BU135" i="42"/>
  <c r="BU167" i="42"/>
  <c r="BU199" i="42"/>
  <c r="BU231" i="42"/>
  <c r="BU40" i="42"/>
  <c r="BU72" i="42"/>
  <c r="BU104" i="42"/>
  <c r="BU136" i="42"/>
  <c r="BU168" i="42"/>
  <c r="BU200" i="42"/>
  <c r="BU232" i="42"/>
  <c r="BU41" i="42"/>
  <c r="BU73" i="42"/>
  <c r="BU105" i="42"/>
  <c r="BU137" i="42"/>
  <c r="BU169" i="42"/>
  <c r="BU201" i="42"/>
  <c r="BU233" i="42"/>
  <c r="BU222" i="42"/>
  <c r="BU42" i="42"/>
  <c r="BU74" i="42"/>
  <c r="BU106" i="42"/>
  <c r="BU138" i="42"/>
  <c r="BU170" i="42"/>
  <c r="BU202" i="42"/>
  <c r="BU234" i="42"/>
  <c r="BU43" i="42"/>
  <c r="BU75" i="42"/>
  <c r="BU107" i="42"/>
  <c r="BU139" i="42"/>
  <c r="BU171" i="42"/>
  <c r="BU203" i="42"/>
  <c r="BU235" i="42"/>
  <c r="BU44" i="42"/>
  <c r="BU76" i="42"/>
  <c r="BU108" i="42"/>
  <c r="BU140" i="42"/>
  <c r="BU172" i="42"/>
  <c r="BU204" i="42"/>
  <c r="BU94" i="42"/>
  <c r="BU45" i="42"/>
  <c r="BU77" i="42"/>
  <c r="BU109" i="42"/>
  <c r="BU141" i="42"/>
  <c r="BU173" i="42"/>
  <c r="BU205" i="42"/>
  <c r="BU190" i="42"/>
  <c r="BV20" i="42"/>
  <c r="BV152" i="42"/>
  <c r="BV61" i="42"/>
  <c r="BV174" i="42"/>
  <c r="BV52" i="42"/>
  <c r="BV184" i="42"/>
  <c r="BV93" i="42"/>
  <c r="BV206" i="42"/>
  <c r="BV84" i="42"/>
  <c r="BV216" i="42"/>
  <c r="BV125" i="42"/>
  <c r="BV15" i="42"/>
  <c r="BV116" i="42"/>
  <c r="BV25" i="42"/>
  <c r="BV157" i="42"/>
  <c r="BV47" i="42"/>
  <c r="CM102" i="42"/>
  <c r="CM232" i="42"/>
  <c r="CM162" i="42"/>
  <c r="BV148" i="42"/>
  <c r="BV57" i="42"/>
  <c r="BV189" i="42"/>
  <c r="BV79" i="42"/>
  <c r="CM134" i="42"/>
  <c r="CM27" i="42"/>
  <c r="BV180" i="42"/>
  <c r="BV89" i="42"/>
  <c r="BV221" i="42"/>
  <c r="BV111" i="42"/>
  <c r="CM166" i="42"/>
  <c r="CM68" i="42"/>
  <c r="BV212" i="42"/>
  <c r="BV121" i="42"/>
  <c r="BV30" i="42"/>
  <c r="BV143" i="42"/>
  <c r="CM198" i="42"/>
  <c r="CM43" i="42"/>
  <c r="BV21" i="42"/>
  <c r="BV153" i="42"/>
  <c r="BV62" i="42"/>
  <c r="BV175" i="42"/>
  <c r="CM230" i="42"/>
  <c r="CM75" i="42"/>
  <c r="BV53" i="42"/>
  <c r="BV185" i="42"/>
  <c r="BV94" i="42"/>
  <c r="BV207" i="42"/>
  <c r="CM107" i="42"/>
  <c r="BV85" i="42"/>
  <c r="BV217" i="42"/>
  <c r="BV126" i="42"/>
  <c r="BV31" i="42"/>
  <c r="CM139" i="42"/>
  <c r="BV208" i="42"/>
  <c r="BV117" i="42"/>
  <c r="BV26" i="42"/>
  <c r="BV158" i="42"/>
  <c r="CM171" i="42"/>
  <c r="BV17" i="42"/>
  <c r="BV149" i="42"/>
  <c r="BV58" i="42"/>
  <c r="BV190" i="42"/>
  <c r="BV127" i="42"/>
  <c r="CM41" i="42"/>
  <c r="CM203" i="42"/>
  <c r="BV49" i="42"/>
  <c r="BV181" i="42"/>
  <c r="BV90" i="42"/>
  <c r="BV222" i="42"/>
  <c r="BV63" i="42"/>
  <c r="CM73" i="42"/>
  <c r="CM235" i="42"/>
  <c r="CM184" i="42"/>
  <c r="CM127" i="42"/>
  <c r="BV81" i="42"/>
  <c r="BV213" i="42"/>
  <c r="BV122" i="42"/>
  <c r="BV223" i="42"/>
  <c r="CM105" i="42"/>
  <c r="BV113" i="42"/>
  <c r="BV22" i="42"/>
  <c r="BV154" i="42"/>
  <c r="BV159" i="42"/>
  <c r="CM137" i="42"/>
  <c r="CM157" i="42"/>
  <c r="BV145" i="42"/>
  <c r="BV54" i="42"/>
  <c r="BV186" i="42"/>
  <c r="BV95" i="42"/>
  <c r="CM94" i="42"/>
  <c r="CM28" i="42"/>
  <c r="CM88" i="42"/>
  <c r="CM60" i="42"/>
  <c r="CM32" i="42"/>
  <c r="CM174" i="42"/>
  <c r="CM117" i="42"/>
  <c r="CM206" i="42"/>
  <c r="CM19" i="42"/>
  <c r="CM149" i="42"/>
  <c r="CM51" i="42"/>
  <c r="CM181" i="42"/>
  <c r="CM83" i="42"/>
  <c r="CM213" i="42"/>
  <c r="CM115" i="42"/>
  <c r="CM120" i="42"/>
  <c r="CM47" i="42"/>
  <c r="CM164" i="42"/>
  <c r="CM17" i="42"/>
  <c r="CM147" i="42"/>
  <c r="CM49" i="42"/>
  <c r="CM179" i="42"/>
  <c r="CM81" i="42"/>
  <c r="CM211" i="42"/>
  <c r="CM123" i="42"/>
  <c r="CM113" i="42"/>
  <c r="CM69" i="42"/>
  <c r="CM100" i="42"/>
  <c r="CM61" i="42"/>
  <c r="CM15" i="42"/>
  <c r="CM145" i="42"/>
  <c r="CM90" i="42"/>
  <c r="CM186" i="42"/>
  <c r="CM129" i="42"/>
  <c r="CM177" i="42"/>
  <c r="CM79" i="42"/>
  <c r="CM209" i="42"/>
  <c r="CM22" i="42"/>
  <c r="CM165" i="42"/>
  <c r="CM111" i="42"/>
  <c r="CM54" i="42"/>
  <c r="CM35" i="42"/>
  <c r="CM218" i="42"/>
  <c r="CM173" i="42"/>
  <c r="CM66" i="42"/>
  <c r="CM65" i="42"/>
  <c r="CM205" i="42"/>
  <c r="CM221" i="42"/>
  <c r="CM220" i="42"/>
  <c r="CM56" i="42"/>
  <c r="CM154" i="42"/>
  <c r="CM163" i="42"/>
  <c r="CM57" i="42"/>
  <c r="CM125" i="42"/>
  <c r="CM29" i="42"/>
  <c r="CM193" i="42"/>
  <c r="CM97" i="42"/>
  <c r="CM58" i="42"/>
  <c r="CM155" i="42"/>
  <c r="CM126" i="42"/>
  <c r="CM30" i="42"/>
  <c r="CM194" i="42"/>
  <c r="CM95" i="42"/>
  <c r="CM98" i="42"/>
  <c r="CM59" i="42"/>
  <c r="CM225" i="42"/>
  <c r="CM45" i="42"/>
  <c r="CM143" i="42"/>
  <c r="CM86" i="42"/>
  <c r="CM159" i="42"/>
  <c r="CM71" i="42"/>
  <c r="CM201" i="42"/>
  <c r="CM31" i="42"/>
  <c r="CM191" i="42"/>
  <c r="CM89" i="42"/>
  <c r="CM99" i="42"/>
  <c r="CM223" i="42"/>
  <c r="CM185" i="42"/>
  <c r="CM141" i="42"/>
  <c r="CM226" i="42"/>
  <c r="CM62" i="42"/>
  <c r="CM130" i="42"/>
  <c r="CM229" i="42"/>
  <c r="CM92" i="42"/>
  <c r="CM34" i="42"/>
  <c r="CM217" i="42"/>
  <c r="CM131" i="42"/>
  <c r="CM121" i="42"/>
  <c r="CM25" i="42"/>
  <c r="CM93" i="42"/>
  <c r="CM161" i="42"/>
  <c r="CM122" i="42"/>
  <c r="CM67" i="42"/>
  <c r="CM26" i="42"/>
  <c r="CM190" i="42"/>
  <c r="CM227" i="42"/>
  <c r="CM228" i="42"/>
  <c r="CM195" i="42"/>
  <c r="CM196" i="42"/>
  <c r="CM175" i="42"/>
  <c r="CM118" i="42"/>
  <c r="CM103" i="42"/>
  <c r="CM233" i="42"/>
  <c r="CM207" i="42"/>
  <c r="CM20" i="42"/>
  <c r="CM150" i="42"/>
  <c r="CM135" i="42"/>
  <c r="CM52" i="42"/>
  <c r="CM182" i="42"/>
  <c r="CM167" i="42"/>
  <c r="CM84" i="42"/>
  <c r="CM214" i="42"/>
  <c r="CM199" i="42"/>
  <c r="CM116" i="42"/>
  <c r="CM231" i="42"/>
  <c r="CM44" i="42"/>
  <c r="CM18" i="42"/>
  <c r="CM148" i="42"/>
  <c r="CM76" i="42"/>
  <c r="CM50" i="42"/>
  <c r="CM180" i="42"/>
  <c r="CM108" i="42"/>
  <c r="CM82" i="42"/>
  <c r="CM212" i="42"/>
  <c r="CM140" i="42"/>
  <c r="CM114" i="42"/>
  <c r="CM42" i="42"/>
  <c r="CM172" i="42"/>
  <c r="CM16" i="42"/>
  <c r="CM146" i="42"/>
  <c r="CM74" i="42"/>
  <c r="CM204" i="42"/>
  <c r="CM48" i="42"/>
  <c r="CM178" i="42"/>
  <c r="CM106" i="42"/>
  <c r="CM236" i="42"/>
  <c r="CM80" i="42"/>
  <c r="CM210" i="42"/>
  <c r="CM138" i="42"/>
  <c r="CM87" i="42"/>
  <c r="CM112" i="42"/>
  <c r="CM40" i="42"/>
  <c r="CM170" i="42"/>
  <c r="CM23" i="42"/>
  <c r="CM14" i="42"/>
  <c r="CM144" i="42"/>
  <c r="CM72" i="42"/>
  <c r="CM202" i="42"/>
  <c r="CM183" i="42"/>
  <c r="CM46" i="42"/>
  <c r="CM176" i="42"/>
  <c r="CM104" i="42"/>
  <c r="CM234" i="42"/>
  <c r="CM119" i="42"/>
  <c r="CM78" i="42"/>
  <c r="CM208" i="42"/>
  <c r="CM21" i="42"/>
  <c r="CM136" i="42"/>
  <c r="CM55" i="42"/>
  <c r="CM110" i="42"/>
  <c r="CM53" i="42"/>
  <c r="CM38" i="42"/>
  <c r="CM168" i="42"/>
  <c r="CM215" i="42"/>
  <c r="CM142" i="42"/>
  <c r="CM85" i="42"/>
  <c r="CM70" i="42"/>
  <c r="CM200" i="42"/>
  <c r="CM151" i="42"/>
  <c r="AD27" i="38"/>
  <c r="AD25" i="38"/>
  <c r="AK5" i="36"/>
  <c r="AA15" i="33"/>
  <c r="AB15" i="33"/>
  <c r="AC15" i="33"/>
  <c r="AC5" i="36"/>
  <c r="AD5" i="36"/>
  <c r="AM5" i="36"/>
  <c r="AE5" i="36"/>
  <c r="AL5" i="36"/>
  <c r="AO5" i="36"/>
  <c r="AG5" i="36"/>
  <c r="AP5" i="36"/>
  <c r="AH5" i="36"/>
  <c r="AQ5" i="36"/>
  <c r="AI5" i="36"/>
  <c r="T15" i="33"/>
  <c r="Y15" i="33"/>
  <c r="X15" i="33"/>
  <c r="W15" i="33"/>
  <c r="S15" i="33"/>
  <c r="Q15" i="33"/>
  <c r="P15" i="33"/>
  <c r="O15" i="33"/>
  <c r="BC12" i="42" l="1"/>
  <c r="BD12" i="42" s="1"/>
  <c r="BT12" i="42"/>
  <c r="BU12" i="42" s="1"/>
  <c r="AU523" i="1" l="1"/>
  <c r="AR333" i="1"/>
  <c r="AQ333" i="1" s="1"/>
  <c r="AR321" i="1"/>
  <c r="AQ321" i="1" s="1"/>
  <c r="AR322" i="1"/>
  <c r="AT322" i="1" s="1"/>
  <c r="AR323" i="1"/>
  <c r="AT323" i="1" s="1"/>
  <c r="AR324" i="1"/>
  <c r="AQ324" i="1" s="1"/>
  <c r="AR325" i="1"/>
  <c r="AQ325" i="1" s="1"/>
  <c r="AR326" i="1"/>
  <c r="AT326" i="1" s="1"/>
  <c r="AR327" i="1"/>
  <c r="AT327" i="1" s="1"/>
  <c r="AR328" i="1"/>
  <c r="AQ328" i="1" s="1"/>
  <c r="AR329" i="1"/>
  <c r="AQ329" i="1" s="1"/>
  <c r="AR330" i="1"/>
  <c r="AT330" i="1" s="1"/>
  <c r="AR331" i="1"/>
  <c r="AT331" i="1" s="1"/>
  <c r="AR332" i="1"/>
  <c r="AQ332" i="1" s="1"/>
  <c r="AR320" i="1"/>
  <c r="AT320" i="1" s="1"/>
  <c r="AR319" i="1"/>
  <c r="AT319" i="1" s="1"/>
  <c r="AR318" i="1"/>
  <c r="AT318" i="1" s="1"/>
  <c r="AJ80" i="1"/>
  <c r="AR80" i="1"/>
  <c r="AS80" i="1" s="1"/>
  <c r="AJ81" i="1"/>
  <c r="AR81" i="1"/>
  <c r="AQ81" i="1" s="1"/>
  <c r="AJ82" i="1"/>
  <c r="AR82" i="1"/>
  <c r="AQ82" i="1" s="1"/>
  <c r="AJ83" i="1"/>
  <c r="AR83" i="1"/>
  <c r="AS83" i="1" s="1"/>
  <c r="AJ84" i="1"/>
  <c r="AR84" i="1"/>
  <c r="AS84" i="1" s="1"/>
  <c r="AJ85" i="1"/>
  <c r="AR85" i="1"/>
  <c r="AQ85" i="1" s="1"/>
  <c r="AJ86" i="1"/>
  <c r="AR86" i="1"/>
  <c r="AQ86" i="1" s="1"/>
  <c r="AJ87" i="1"/>
  <c r="AR87" i="1"/>
  <c r="AS87" i="1" s="1"/>
  <c r="AJ88" i="1"/>
  <c r="AR88" i="1"/>
  <c r="AS88" i="1" s="1"/>
  <c r="AJ89" i="1"/>
  <c r="AR89" i="1"/>
  <c r="AQ89" i="1" s="1"/>
  <c r="AJ90" i="1"/>
  <c r="AR90" i="1"/>
  <c r="AQ90" i="1" s="1"/>
  <c r="AJ91" i="1"/>
  <c r="AR91" i="1"/>
  <c r="AS91" i="1" s="1"/>
  <c r="AJ92" i="1"/>
  <c r="AR92" i="1"/>
  <c r="AS92" i="1" s="1"/>
  <c r="AJ93" i="1"/>
  <c r="AR93" i="1"/>
  <c r="AQ93" i="1" s="1"/>
  <c r="AJ94" i="1"/>
  <c r="AR94" i="1"/>
  <c r="AQ94" i="1" s="1"/>
  <c r="AJ95" i="1"/>
  <c r="AR95" i="1"/>
  <c r="AQ95" i="1" s="1"/>
  <c r="AJ96" i="1"/>
  <c r="AR96" i="1"/>
  <c r="AS96" i="1" s="1"/>
  <c r="AJ97" i="1"/>
  <c r="AR97" i="1"/>
  <c r="AQ97" i="1" s="1"/>
  <c r="AJ98" i="1"/>
  <c r="AR98" i="1"/>
  <c r="AQ98" i="1" s="1"/>
  <c r="AJ99" i="1"/>
  <c r="AR99" i="1"/>
  <c r="AS99" i="1" s="1"/>
  <c r="AJ100" i="1"/>
  <c r="AR100" i="1"/>
  <c r="AS100" i="1" s="1"/>
  <c r="AJ101" i="1"/>
  <c r="AR101" i="1"/>
  <c r="AQ101" i="1" s="1"/>
  <c r="AJ102" i="1"/>
  <c r="AR102" i="1"/>
  <c r="AQ102" i="1" s="1"/>
  <c r="AJ103" i="1"/>
  <c r="AR103" i="1"/>
  <c r="AS103" i="1" s="1"/>
  <c r="AJ104" i="1"/>
  <c r="AR104" i="1"/>
  <c r="AS104" i="1" s="1"/>
  <c r="AJ105" i="1"/>
  <c r="AR105" i="1"/>
  <c r="AQ105" i="1" s="1"/>
  <c r="AJ106" i="1"/>
  <c r="AR106" i="1"/>
  <c r="AQ106" i="1" s="1"/>
  <c r="AJ107" i="1"/>
  <c r="AR107" i="1"/>
  <c r="AS107" i="1" s="1"/>
  <c r="AJ108" i="1"/>
  <c r="AR108" i="1"/>
  <c r="AS108" i="1" s="1"/>
  <c r="AJ109" i="1"/>
  <c r="AR109" i="1"/>
  <c r="AQ109" i="1" s="1"/>
  <c r="AJ110" i="1"/>
  <c r="AR110" i="1"/>
  <c r="AQ110" i="1" s="1"/>
  <c r="AJ111" i="1"/>
  <c r="AR111" i="1"/>
  <c r="AQ111" i="1" s="1"/>
  <c r="AJ112" i="1"/>
  <c r="AR112" i="1"/>
  <c r="AS112" i="1" s="1"/>
  <c r="AJ113" i="1"/>
  <c r="AR113" i="1"/>
  <c r="AQ113" i="1" s="1"/>
  <c r="AJ114" i="1"/>
  <c r="AR114" i="1"/>
  <c r="AQ114" i="1" s="1"/>
  <c r="AJ115" i="1"/>
  <c r="AR115" i="1"/>
  <c r="AS115" i="1" s="1"/>
  <c r="AJ116" i="1"/>
  <c r="AR116" i="1"/>
  <c r="AS116" i="1" s="1"/>
  <c r="AJ117" i="1"/>
  <c r="AR117" i="1"/>
  <c r="AQ117" i="1" s="1"/>
  <c r="AJ118" i="1"/>
  <c r="AR118" i="1"/>
  <c r="AQ118" i="1" s="1"/>
  <c r="AJ119" i="1"/>
  <c r="AR119" i="1"/>
  <c r="AQ119" i="1" s="1"/>
  <c r="AJ120" i="1"/>
  <c r="AR120" i="1"/>
  <c r="AS120" i="1" s="1"/>
  <c r="AJ121" i="1"/>
  <c r="AR121" i="1"/>
  <c r="AQ121" i="1" s="1"/>
  <c r="AJ122" i="1"/>
  <c r="AR122" i="1"/>
  <c r="AQ122" i="1" s="1"/>
  <c r="AJ123" i="1"/>
  <c r="AR123" i="1"/>
  <c r="AQ123" i="1" s="1"/>
  <c r="AJ124" i="1"/>
  <c r="AR124" i="1"/>
  <c r="AS124" i="1" s="1"/>
  <c r="AJ125" i="1"/>
  <c r="AR125" i="1"/>
  <c r="AQ125" i="1" s="1"/>
  <c r="AJ126" i="1"/>
  <c r="AR126" i="1"/>
  <c r="AQ126" i="1" s="1"/>
  <c r="AJ127" i="1"/>
  <c r="AR127" i="1"/>
  <c r="AS127" i="1" s="1"/>
  <c r="U86" i="1"/>
  <c r="AP86" i="1" s="1"/>
  <c r="U127" i="1"/>
  <c r="AP127" i="1" s="1"/>
  <c r="Q127" i="1"/>
  <c r="P127" i="1"/>
  <c r="U126" i="1"/>
  <c r="AP126" i="1" s="1"/>
  <c r="Q126" i="1"/>
  <c r="P126" i="1"/>
  <c r="U125" i="1"/>
  <c r="AP125" i="1" s="1"/>
  <c r="Q125" i="1"/>
  <c r="P125" i="1"/>
  <c r="U124" i="1"/>
  <c r="AP124" i="1" s="1"/>
  <c r="Q124" i="1"/>
  <c r="P124" i="1"/>
  <c r="U123" i="1"/>
  <c r="AP123" i="1" s="1"/>
  <c r="Q123" i="1"/>
  <c r="P123" i="1"/>
  <c r="U122" i="1"/>
  <c r="AP122" i="1" s="1"/>
  <c r="AU122" i="1" s="1"/>
  <c r="Q122" i="1"/>
  <c r="P122" i="1"/>
  <c r="U121" i="1"/>
  <c r="AP121" i="1" s="1"/>
  <c r="Q121" i="1"/>
  <c r="P121" i="1"/>
  <c r="U120" i="1"/>
  <c r="AP120" i="1" s="1"/>
  <c r="Q120" i="1"/>
  <c r="P120" i="1"/>
  <c r="U119" i="1"/>
  <c r="AP119" i="1" s="1"/>
  <c r="Q119" i="1"/>
  <c r="P119" i="1"/>
  <c r="U118" i="1"/>
  <c r="AP118" i="1" s="1"/>
  <c r="Q118" i="1"/>
  <c r="P118" i="1"/>
  <c r="U117" i="1"/>
  <c r="AP117" i="1" s="1"/>
  <c r="Q117" i="1"/>
  <c r="P117" i="1"/>
  <c r="U116" i="1"/>
  <c r="AP116" i="1" s="1"/>
  <c r="Q116" i="1"/>
  <c r="P116" i="1"/>
  <c r="U115" i="1"/>
  <c r="AP115" i="1" s="1"/>
  <c r="Q115" i="1"/>
  <c r="P115" i="1"/>
  <c r="U114" i="1"/>
  <c r="AP114" i="1" s="1"/>
  <c r="Q114" i="1"/>
  <c r="P114" i="1"/>
  <c r="U113" i="1"/>
  <c r="AP113" i="1" s="1"/>
  <c r="Q113" i="1"/>
  <c r="P113" i="1"/>
  <c r="U112" i="1"/>
  <c r="AP112" i="1" s="1"/>
  <c r="Q112" i="1"/>
  <c r="P112" i="1"/>
  <c r="U111" i="1"/>
  <c r="AP111" i="1" s="1"/>
  <c r="Q111" i="1"/>
  <c r="P111" i="1"/>
  <c r="U110" i="1"/>
  <c r="AP110" i="1" s="1"/>
  <c r="Q110" i="1"/>
  <c r="P110" i="1"/>
  <c r="U109" i="1"/>
  <c r="AP109" i="1" s="1"/>
  <c r="Q109" i="1"/>
  <c r="P109" i="1"/>
  <c r="U108" i="1"/>
  <c r="AP108" i="1" s="1"/>
  <c r="Q108" i="1"/>
  <c r="P108" i="1"/>
  <c r="U107" i="1"/>
  <c r="AP107" i="1" s="1"/>
  <c r="Q107" i="1"/>
  <c r="P107" i="1"/>
  <c r="U106" i="1"/>
  <c r="AP106" i="1" s="1"/>
  <c r="Q106" i="1"/>
  <c r="P106" i="1"/>
  <c r="U105" i="1"/>
  <c r="AP105" i="1" s="1"/>
  <c r="Q105" i="1"/>
  <c r="P105" i="1"/>
  <c r="U104" i="1"/>
  <c r="AP104" i="1" s="1"/>
  <c r="Q104" i="1"/>
  <c r="P104" i="1"/>
  <c r="U103" i="1"/>
  <c r="AP103" i="1" s="1"/>
  <c r="Q103" i="1"/>
  <c r="P103" i="1"/>
  <c r="U102" i="1"/>
  <c r="AP102" i="1" s="1"/>
  <c r="Q102" i="1"/>
  <c r="P102" i="1"/>
  <c r="U101" i="1"/>
  <c r="AP101" i="1" s="1"/>
  <c r="Q101" i="1"/>
  <c r="P101" i="1"/>
  <c r="U100" i="1"/>
  <c r="AP100" i="1" s="1"/>
  <c r="Q100" i="1"/>
  <c r="P100" i="1"/>
  <c r="U99" i="1"/>
  <c r="AP99" i="1" s="1"/>
  <c r="Q99" i="1"/>
  <c r="P99" i="1"/>
  <c r="U98" i="1"/>
  <c r="AP98" i="1" s="1"/>
  <c r="Q98" i="1"/>
  <c r="P98" i="1"/>
  <c r="U97" i="1"/>
  <c r="AP97" i="1" s="1"/>
  <c r="Q97" i="1"/>
  <c r="P97" i="1"/>
  <c r="U96" i="1"/>
  <c r="AP96" i="1" s="1"/>
  <c r="Q96" i="1"/>
  <c r="P96" i="1"/>
  <c r="U95" i="1"/>
  <c r="AP95" i="1" s="1"/>
  <c r="AT95" i="1" s="1"/>
  <c r="Q95" i="1"/>
  <c r="P95" i="1"/>
  <c r="U94" i="1"/>
  <c r="AP94" i="1" s="1"/>
  <c r="Q94" i="1"/>
  <c r="P94" i="1"/>
  <c r="U93" i="1"/>
  <c r="AP93" i="1" s="1"/>
  <c r="AT93" i="1" s="1"/>
  <c r="Q93" i="1"/>
  <c r="P93" i="1"/>
  <c r="U92" i="1"/>
  <c r="AP92" i="1" s="1"/>
  <c r="Q92" i="1"/>
  <c r="P92" i="1"/>
  <c r="U91" i="1"/>
  <c r="AP91" i="1" s="1"/>
  <c r="Q91" i="1"/>
  <c r="P91" i="1"/>
  <c r="U90" i="1"/>
  <c r="AP90" i="1" s="1"/>
  <c r="Q90" i="1"/>
  <c r="P90" i="1"/>
  <c r="U89" i="1"/>
  <c r="AP89" i="1" s="1"/>
  <c r="Q89" i="1"/>
  <c r="P89" i="1"/>
  <c r="U88" i="1"/>
  <c r="AP88" i="1" s="1"/>
  <c r="Q88" i="1"/>
  <c r="P88" i="1"/>
  <c r="U87" i="1"/>
  <c r="AP87" i="1" s="1"/>
  <c r="Q87" i="1"/>
  <c r="P87" i="1"/>
  <c r="Q86" i="1"/>
  <c r="P86" i="1"/>
  <c r="U85" i="1"/>
  <c r="AP85" i="1" s="1"/>
  <c r="Q85" i="1"/>
  <c r="P85" i="1"/>
  <c r="U84" i="1"/>
  <c r="AP84" i="1" s="1"/>
  <c r="Q84" i="1"/>
  <c r="P84" i="1"/>
  <c r="U83" i="1"/>
  <c r="AP83" i="1" s="1"/>
  <c r="Q83" i="1"/>
  <c r="P83" i="1"/>
  <c r="U82" i="1"/>
  <c r="AP82" i="1" s="1"/>
  <c r="Q82" i="1"/>
  <c r="P82" i="1"/>
  <c r="U81" i="1"/>
  <c r="AP81" i="1" s="1"/>
  <c r="Q81" i="1"/>
  <c r="P81" i="1"/>
  <c r="U80" i="1"/>
  <c r="AP80" i="1" s="1"/>
  <c r="Q80" i="1"/>
  <c r="P80" i="1"/>
  <c r="V87" i="36" l="1"/>
  <c r="T85" i="35"/>
  <c r="C93" i="38"/>
  <c r="E93" i="38" s="1"/>
  <c r="T104" i="36"/>
  <c r="V115" i="36"/>
  <c r="T113" i="35"/>
  <c r="C121" i="38"/>
  <c r="E121" i="38" s="1"/>
  <c r="S81" i="36"/>
  <c r="S103" i="36"/>
  <c r="S82" i="36"/>
  <c r="T115" i="36"/>
  <c r="V114" i="36"/>
  <c r="T112" i="35"/>
  <c r="C120" i="38"/>
  <c r="E120" i="38" s="1"/>
  <c r="V82" i="36"/>
  <c r="T80" i="35"/>
  <c r="C88" i="38"/>
  <c r="E88" i="38" s="1"/>
  <c r="T114" i="36"/>
  <c r="S94" i="36"/>
  <c r="T106" i="36"/>
  <c r="T95" i="36"/>
  <c r="V119" i="36"/>
  <c r="T117" i="35"/>
  <c r="C125" i="38"/>
  <c r="E125" i="38" s="1"/>
  <c r="S93" i="36"/>
  <c r="S115" i="36"/>
  <c r="S126" i="36"/>
  <c r="S105" i="36"/>
  <c r="V112" i="36"/>
  <c r="T110" i="35"/>
  <c r="C118" i="38"/>
  <c r="E118" i="38" s="1"/>
  <c r="V96" i="36"/>
  <c r="T94" i="35"/>
  <c r="C102" i="38"/>
  <c r="E102" i="38" s="1"/>
  <c r="X319" i="36"/>
  <c r="AP319" i="36" s="1"/>
  <c r="S104" i="36"/>
  <c r="T94" i="36"/>
  <c r="V83" i="36"/>
  <c r="T81" i="35"/>
  <c r="C89" i="38"/>
  <c r="E89" i="38" s="1"/>
  <c r="X320" i="36"/>
  <c r="AP320" i="36" s="1"/>
  <c r="V103" i="36"/>
  <c r="T101" i="35"/>
  <c r="C109" i="38"/>
  <c r="E109" i="38" s="1"/>
  <c r="T117" i="36"/>
  <c r="S117" i="36"/>
  <c r="S85" i="36"/>
  <c r="S86" i="36"/>
  <c r="T98" i="36"/>
  <c r="V111" i="36"/>
  <c r="T109" i="35"/>
  <c r="C117" i="38"/>
  <c r="E117" i="38" s="1"/>
  <c r="V95" i="36"/>
  <c r="T93" i="35"/>
  <c r="C101" i="38"/>
  <c r="E101" i="38" s="1"/>
  <c r="X321" i="36"/>
  <c r="AP321" i="36" s="1"/>
  <c r="V118" i="36"/>
  <c r="T116" i="35"/>
  <c r="C124" i="38"/>
  <c r="E124" i="38" s="1"/>
  <c r="V333" i="36"/>
  <c r="T331" i="35"/>
  <c r="C339" i="38"/>
  <c r="E339" i="38" s="1"/>
  <c r="T125" i="36"/>
  <c r="S95" i="36"/>
  <c r="T85" i="36"/>
  <c r="X96" i="36"/>
  <c r="AL96" i="36" s="1"/>
  <c r="T86" i="36"/>
  <c r="S97" i="36"/>
  <c r="V126" i="36"/>
  <c r="T124" i="35"/>
  <c r="C132" i="38"/>
  <c r="E132" i="38" s="1"/>
  <c r="V110" i="36"/>
  <c r="T108" i="35"/>
  <c r="C116" i="38"/>
  <c r="E116" i="38" s="1"/>
  <c r="V94" i="36"/>
  <c r="T92" i="35"/>
  <c r="C100" i="38"/>
  <c r="E100" i="38" s="1"/>
  <c r="X332" i="36"/>
  <c r="AP332" i="36" s="1"/>
  <c r="S127" i="36"/>
  <c r="X331" i="36"/>
  <c r="AP331" i="36" s="1"/>
  <c r="V99" i="36"/>
  <c r="T97" i="35"/>
  <c r="C105" i="38"/>
  <c r="E105" i="38" s="1"/>
  <c r="V330" i="36"/>
  <c r="T328" i="35"/>
  <c r="C336" i="38"/>
  <c r="E336" i="38" s="1"/>
  <c r="V102" i="36"/>
  <c r="T100" i="35"/>
  <c r="C108" i="38"/>
  <c r="E108" i="38" s="1"/>
  <c r="T127" i="36"/>
  <c r="V329" i="36"/>
  <c r="T327" i="35"/>
  <c r="C335" i="38"/>
  <c r="E335" i="38" s="1"/>
  <c r="S116" i="36"/>
  <c r="X328" i="36"/>
  <c r="AP328" i="36" s="1"/>
  <c r="T82" i="36"/>
  <c r="X327" i="36"/>
  <c r="AP327" i="36" s="1"/>
  <c r="S124" i="36"/>
  <c r="T93" i="36"/>
  <c r="S106" i="36"/>
  <c r="T128" i="36"/>
  <c r="S96" i="36"/>
  <c r="S107" i="36"/>
  <c r="S118" i="36"/>
  <c r="T90" i="36"/>
  <c r="S111" i="36"/>
  <c r="T122" i="36"/>
  <c r="V123" i="36"/>
  <c r="T121" i="35"/>
  <c r="C129" i="38"/>
  <c r="E129" i="38" s="1"/>
  <c r="V107" i="36"/>
  <c r="T105" i="35"/>
  <c r="C113" i="38"/>
  <c r="E113" i="38" s="1"/>
  <c r="V91" i="36"/>
  <c r="T89" i="35"/>
  <c r="C97" i="38"/>
  <c r="E97" i="38" s="1"/>
  <c r="V326" i="36"/>
  <c r="T324" i="35"/>
  <c r="C332" i="38"/>
  <c r="E332" i="38" s="1"/>
  <c r="X94" i="36"/>
  <c r="AL94" i="36" s="1"/>
  <c r="S128" i="36"/>
  <c r="T97" i="36"/>
  <c r="T108" i="36"/>
  <c r="T88" i="36"/>
  <c r="T120" i="36"/>
  <c r="T99" i="36"/>
  <c r="S110" i="36"/>
  <c r="S122" i="36"/>
  <c r="V325" i="36"/>
  <c r="T323" i="35"/>
  <c r="C331" i="38"/>
  <c r="E331" i="38" s="1"/>
  <c r="S92" i="36"/>
  <c r="S125" i="36"/>
  <c r="T126" i="36"/>
  <c r="S83" i="36"/>
  <c r="T116" i="36"/>
  <c r="S84" i="36"/>
  <c r="T119" i="36"/>
  <c r="S87" i="36"/>
  <c r="T109" i="36"/>
  <c r="S109" i="36"/>
  <c r="S88" i="36"/>
  <c r="S120" i="36"/>
  <c r="T89" i="36"/>
  <c r="T121" i="36"/>
  <c r="T100" i="36"/>
  <c r="S101" i="36"/>
  <c r="T112" i="36"/>
  <c r="V122" i="36"/>
  <c r="T120" i="35"/>
  <c r="C128" i="38"/>
  <c r="E128" i="38" s="1"/>
  <c r="V106" i="36"/>
  <c r="T104" i="35"/>
  <c r="C112" i="38"/>
  <c r="E112" i="38" s="1"/>
  <c r="V90" i="36"/>
  <c r="T88" i="35"/>
  <c r="C96" i="38"/>
  <c r="E96" i="38" s="1"/>
  <c r="X324" i="36"/>
  <c r="AP324" i="36" s="1"/>
  <c r="S114" i="36"/>
  <c r="T84" i="36"/>
  <c r="V127" i="36"/>
  <c r="T125" i="35"/>
  <c r="C133" i="38"/>
  <c r="E133" i="38" s="1"/>
  <c r="S121" i="36"/>
  <c r="T91" i="36"/>
  <c r="X323" i="36"/>
  <c r="AP323" i="36" s="1"/>
  <c r="V86" i="36"/>
  <c r="T84" i="35"/>
  <c r="C92" i="38"/>
  <c r="E92" i="38" s="1"/>
  <c r="T83" i="36"/>
  <c r="T96" i="36"/>
  <c r="T107" i="36"/>
  <c r="T118" i="36"/>
  <c r="S108" i="36"/>
  <c r="T87" i="36"/>
  <c r="S119" i="36"/>
  <c r="S98" i="36"/>
  <c r="S89" i="36"/>
  <c r="T111" i="36"/>
  <c r="S90" i="36"/>
  <c r="T101" i="36"/>
  <c r="S112" i="36"/>
  <c r="T123" i="36"/>
  <c r="S91" i="36"/>
  <c r="T102" i="36"/>
  <c r="S123" i="36"/>
  <c r="V322" i="36"/>
  <c r="T320" i="35"/>
  <c r="C328" i="38"/>
  <c r="E328" i="38" s="1"/>
  <c r="V98" i="36"/>
  <c r="T96" i="35"/>
  <c r="C104" i="38"/>
  <c r="E104" i="38" s="1"/>
  <c r="T110" i="36"/>
  <c r="V124" i="36"/>
  <c r="T122" i="35"/>
  <c r="C130" i="38"/>
  <c r="E130" i="38" s="1"/>
  <c r="S100" i="36"/>
  <c r="T113" i="36"/>
  <c r="V334" i="36"/>
  <c r="T332" i="35"/>
  <c r="C340" i="38"/>
  <c r="E340" i="38" s="1"/>
  <c r="T103" i="36"/>
  <c r="T105" i="36"/>
  <c r="S99" i="36"/>
  <c r="S102" i="36"/>
  <c r="W123" i="36"/>
  <c r="U121" i="35"/>
  <c r="D129" i="38"/>
  <c r="T81" i="36"/>
  <c r="T92" i="36"/>
  <c r="S113" i="36"/>
  <c r="T124" i="36"/>
  <c r="V120" i="36"/>
  <c r="T118" i="35"/>
  <c r="C126" i="38"/>
  <c r="E126" i="38" s="1"/>
  <c r="W524" i="36"/>
  <c r="U522" i="35"/>
  <c r="D530" i="38"/>
  <c r="AT83" i="1"/>
  <c r="AT85" i="1"/>
  <c r="AT98" i="1"/>
  <c r="AT90" i="1"/>
  <c r="AT94" i="1"/>
  <c r="AT86" i="1"/>
  <c r="AT324" i="1"/>
  <c r="AS123" i="1"/>
  <c r="AQ330" i="1"/>
  <c r="AQ99" i="1"/>
  <c r="AT332" i="1"/>
  <c r="AQ322" i="1"/>
  <c r="AQ91" i="1"/>
  <c r="AT88" i="1"/>
  <c r="AT92" i="1"/>
  <c r="AT96" i="1"/>
  <c r="AT82" i="1"/>
  <c r="AT80" i="1"/>
  <c r="AT84" i="1"/>
  <c r="AT91" i="1"/>
  <c r="AS90" i="1"/>
  <c r="AQ319" i="1"/>
  <c r="AT328" i="1"/>
  <c r="AQ326" i="1"/>
  <c r="AT87" i="1"/>
  <c r="AQ127" i="1"/>
  <c r="AQ107" i="1"/>
  <c r="AQ318" i="1"/>
  <c r="AQ331" i="1"/>
  <c r="AT329" i="1"/>
  <c r="AQ327" i="1"/>
  <c r="AT325" i="1"/>
  <c r="AQ323" i="1"/>
  <c r="AS98" i="1"/>
  <c r="AQ320" i="1"/>
  <c r="AT89" i="1"/>
  <c r="AT97" i="1"/>
  <c r="AS106" i="1"/>
  <c r="AT333" i="1"/>
  <c r="AT321" i="1"/>
  <c r="AT81" i="1"/>
  <c r="AS119" i="1"/>
  <c r="AQ115" i="1"/>
  <c r="AS111" i="1"/>
  <c r="AS110" i="1"/>
  <c r="AQ103" i="1"/>
  <c r="AS95" i="1"/>
  <c r="AS94" i="1"/>
  <c r="AQ87" i="1"/>
  <c r="AS82" i="1"/>
  <c r="AS102" i="1"/>
  <c r="AS86" i="1"/>
  <c r="AQ83" i="1"/>
  <c r="AU114" i="1"/>
  <c r="AT114" i="1"/>
  <c r="AU118" i="1"/>
  <c r="AT118" i="1"/>
  <c r="AU126" i="1"/>
  <c r="AT126" i="1"/>
  <c r="AS126" i="1"/>
  <c r="AS125" i="1"/>
  <c r="AS118" i="1"/>
  <c r="AS117" i="1"/>
  <c r="AT122" i="1"/>
  <c r="AS122" i="1"/>
  <c r="AS121" i="1"/>
  <c r="AS114" i="1"/>
  <c r="AS113" i="1"/>
  <c r="AS109" i="1"/>
  <c r="AS105" i="1"/>
  <c r="AS101" i="1"/>
  <c r="AS97" i="1"/>
  <c r="AS93" i="1"/>
  <c r="AS89" i="1"/>
  <c r="AS85" i="1"/>
  <c r="AS81" i="1"/>
  <c r="AU90" i="1"/>
  <c r="AU102" i="1"/>
  <c r="AT102" i="1"/>
  <c r="AU106" i="1"/>
  <c r="AT106" i="1"/>
  <c r="AU86" i="1"/>
  <c r="AU82" i="1"/>
  <c r="AU93" i="1"/>
  <c r="AT101" i="1"/>
  <c r="AU101" i="1"/>
  <c r="AT109" i="1"/>
  <c r="AU109" i="1"/>
  <c r="AT117" i="1"/>
  <c r="AU117" i="1"/>
  <c r="AT121" i="1"/>
  <c r="AU121" i="1"/>
  <c r="AU81" i="1"/>
  <c r="AU85" i="1"/>
  <c r="AU88" i="1"/>
  <c r="AU92" i="1"/>
  <c r="AU96" i="1"/>
  <c r="AT100" i="1"/>
  <c r="AU100" i="1"/>
  <c r="AT104" i="1"/>
  <c r="AU104" i="1"/>
  <c r="AT108" i="1"/>
  <c r="AU108" i="1"/>
  <c r="AT112" i="1"/>
  <c r="AU112" i="1"/>
  <c r="AT116" i="1"/>
  <c r="AU116" i="1"/>
  <c r="AT120" i="1"/>
  <c r="AU120" i="1"/>
  <c r="AT124" i="1"/>
  <c r="AU124" i="1"/>
  <c r="AU83" i="1"/>
  <c r="AU94" i="1"/>
  <c r="AU98" i="1"/>
  <c r="AU110" i="1"/>
  <c r="AT110" i="1"/>
  <c r="AU89" i="1"/>
  <c r="AU97" i="1"/>
  <c r="AT105" i="1"/>
  <c r="AU105" i="1"/>
  <c r="AT113" i="1"/>
  <c r="AU113" i="1"/>
  <c r="AT125" i="1"/>
  <c r="AU125" i="1"/>
  <c r="AU80" i="1"/>
  <c r="AU84" i="1"/>
  <c r="AU87" i="1"/>
  <c r="AU91" i="1"/>
  <c r="AU95" i="1"/>
  <c r="AT99" i="1"/>
  <c r="AU99" i="1"/>
  <c r="AT103" i="1"/>
  <c r="AU103" i="1"/>
  <c r="AT107" i="1"/>
  <c r="AU107" i="1"/>
  <c r="AT111" i="1"/>
  <c r="AU111" i="1"/>
  <c r="AT115" i="1"/>
  <c r="AU115" i="1"/>
  <c r="AT119" i="1"/>
  <c r="AU119" i="1"/>
  <c r="AT123" i="1"/>
  <c r="AU123" i="1"/>
  <c r="AT127" i="1"/>
  <c r="AU127" i="1"/>
  <c r="AQ124" i="1"/>
  <c r="AQ120" i="1"/>
  <c r="AQ116" i="1"/>
  <c r="AQ112" i="1"/>
  <c r="AQ108" i="1"/>
  <c r="AQ104" i="1"/>
  <c r="AQ100" i="1"/>
  <c r="AQ96" i="1"/>
  <c r="AQ92" i="1"/>
  <c r="AQ88" i="1"/>
  <c r="AQ84" i="1"/>
  <c r="AQ80" i="1"/>
  <c r="W92" i="36" l="1"/>
  <c r="U90" i="35"/>
  <c r="D98" i="38"/>
  <c r="W110" i="36"/>
  <c r="U108" i="35"/>
  <c r="D116" i="38"/>
  <c r="X123" i="36"/>
  <c r="AQ123" i="36" s="1"/>
  <c r="X118" i="36"/>
  <c r="AL118" i="36" s="1"/>
  <c r="X329" i="36"/>
  <c r="AP329" i="36" s="1"/>
  <c r="X330" i="36"/>
  <c r="AP330" i="36" s="1"/>
  <c r="W81" i="36"/>
  <c r="U79" i="35"/>
  <c r="D87" i="38"/>
  <c r="X106" i="36"/>
  <c r="AL106" i="36" s="1"/>
  <c r="V109" i="36"/>
  <c r="T107" i="35"/>
  <c r="C115" i="38"/>
  <c r="E115" i="38" s="1"/>
  <c r="W115" i="36"/>
  <c r="U113" i="35"/>
  <c r="D121" i="38"/>
  <c r="V84" i="36"/>
  <c r="T82" i="35"/>
  <c r="C90" i="38"/>
  <c r="E90" i="38" s="1"/>
  <c r="X102" i="36"/>
  <c r="AL102" i="36" s="1"/>
  <c r="V117" i="36"/>
  <c r="T115" i="35"/>
  <c r="C123" i="38"/>
  <c r="E123" i="38" s="1"/>
  <c r="X111" i="36"/>
  <c r="AL111" i="36" s="1"/>
  <c r="W94" i="36"/>
  <c r="U92" i="35"/>
  <c r="D100" i="38"/>
  <c r="X92" i="36"/>
  <c r="AL92" i="36" s="1"/>
  <c r="X126" i="36"/>
  <c r="AQ126" i="36" s="1"/>
  <c r="V105" i="36"/>
  <c r="T103" i="35"/>
  <c r="C111" i="38"/>
  <c r="E111" i="38" s="1"/>
  <c r="V85" i="36"/>
  <c r="T83" i="35"/>
  <c r="C91" i="38"/>
  <c r="E91" i="38" s="1"/>
  <c r="W118" i="36"/>
  <c r="U116" i="35"/>
  <c r="D124" i="38"/>
  <c r="V320" i="36"/>
  <c r="T318" i="35"/>
  <c r="C326" i="38"/>
  <c r="E326" i="38" s="1"/>
  <c r="W90" i="36"/>
  <c r="U88" i="35"/>
  <c r="D96" i="38"/>
  <c r="W111" i="36"/>
  <c r="U109" i="35"/>
  <c r="D117" i="38"/>
  <c r="X85" i="36"/>
  <c r="AL85" i="36" s="1"/>
  <c r="W86" i="36"/>
  <c r="U84" i="35"/>
  <c r="D92" i="38"/>
  <c r="W126" i="36"/>
  <c r="U124" i="35"/>
  <c r="D132" i="38"/>
  <c r="W114" i="36"/>
  <c r="U112" i="35"/>
  <c r="D120" i="38"/>
  <c r="V101" i="36"/>
  <c r="T99" i="35"/>
  <c r="C107" i="38"/>
  <c r="E107" i="38" s="1"/>
  <c r="X110" i="36"/>
  <c r="AL110" i="36" s="1"/>
  <c r="T111" i="35"/>
  <c r="V113" i="36"/>
  <c r="C119" i="38"/>
  <c r="E119" i="38" s="1"/>
  <c r="V121" i="36"/>
  <c r="T119" i="35"/>
  <c r="C127" i="38"/>
  <c r="E127" i="38" s="1"/>
  <c r="W99" i="36"/>
  <c r="U97" i="35"/>
  <c r="D105" i="38"/>
  <c r="X81" i="36"/>
  <c r="AL81" i="36" s="1"/>
  <c r="W128" i="36"/>
  <c r="U126" i="35"/>
  <c r="D134" i="38"/>
  <c r="W95" i="36"/>
  <c r="U93" i="35"/>
  <c r="D101" i="38"/>
  <c r="X107" i="36"/>
  <c r="AL107" i="36" s="1"/>
  <c r="V88" i="36"/>
  <c r="T86" i="35"/>
  <c r="C94" i="38"/>
  <c r="E94" i="38" s="1"/>
  <c r="X83" i="36"/>
  <c r="AL83" i="36" s="1"/>
  <c r="W122" i="36"/>
  <c r="U120" i="35"/>
  <c r="D128" i="38"/>
  <c r="V89" i="36"/>
  <c r="T87" i="35"/>
  <c r="C95" i="38"/>
  <c r="E95" i="38" s="1"/>
  <c r="V108" i="36"/>
  <c r="T106" i="35"/>
  <c r="C114" i="38"/>
  <c r="E114" i="38" s="1"/>
  <c r="W127" i="36"/>
  <c r="U125" i="35"/>
  <c r="D133" i="38"/>
  <c r="AG524" i="36"/>
  <c r="W98" i="36"/>
  <c r="U96" i="35"/>
  <c r="D104" i="38"/>
  <c r="W102" i="36"/>
  <c r="U100" i="35"/>
  <c r="D108" i="38"/>
  <c r="W87" i="36"/>
  <c r="U85" i="35"/>
  <c r="D93" i="38"/>
  <c r="X128" i="36"/>
  <c r="AQ128" i="36" s="1"/>
  <c r="W84" i="36"/>
  <c r="U82" i="35"/>
  <c r="D90" i="38"/>
  <c r="W107" i="36"/>
  <c r="U105" i="35"/>
  <c r="D113" i="38"/>
  <c r="X97" i="36"/>
  <c r="AL97" i="36" s="1"/>
  <c r="W93" i="36"/>
  <c r="U91" i="35"/>
  <c r="D99" i="38"/>
  <c r="V328" i="36"/>
  <c r="T326" i="35"/>
  <c r="C334" i="38"/>
  <c r="E334" i="38" s="1"/>
  <c r="X114" i="36"/>
  <c r="AL114" i="36" s="1"/>
  <c r="X115" i="36"/>
  <c r="AL115" i="36" s="1"/>
  <c r="W83" i="36"/>
  <c r="U81" i="35"/>
  <c r="D89" i="38"/>
  <c r="V125" i="36"/>
  <c r="T123" i="35"/>
  <c r="C131" i="38"/>
  <c r="E131" i="38" s="1"/>
  <c r="W124" i="36"/>
  <c r="U122" i="35"/>
  <c r="D130" i="38"/>
  <c r="W125" i="36"/>
  <c r="U123" i="35"/>
  <c r="D131" i="38"/>
  <c r="X103" i="36"/>
  <c r="AL103" i="36" s="1"/>
  <c r="X93" i="36"/>
  <c r="AL93" i="36" s="1"/>
  <c r="V116" i="36"/>
  <c r="T114" i="35"/>
  <c r="C122" i="38"/>
  <c r="E122" i="38" s="1"/>
  <c r="W89" i="36"/>
  <c r="U87" i="35"/>
  <c r="D95" i="38"/>
  <c r="X88" i="36"/>
  <c r="AL88" i="36" s="1"/>
  <c r="V327" i="36"/>
  <c r="T325" i="35"/>
  <c r="C333" i="38"/>
  <c r="E333" i="38" s="1"/>
  <c r="V92" i="36"/>
  <c r="T90" i="35"/>
  <c r="C98" i="38"/>
  <c r="E98" i="38" s="1"/>
  <c r="W88" i="36"/>
  <c r="U86" i="35"/>
  <c r="D94" i="38"/>
  <c r="V97" i="36"/>
  <c r="T95" i="35"/>
  <c r="C103" i="38"/>
  <c r="E103" i="38" s="1"/>
  <c r="V104" i="36"/>
  <c r="T102" i="35"/>
  <c r="C110" i="38"/>
  <c r="E110" i="38" s="1"/>
  <c r="W116" i="36"/>
  <c r="U114" i="35"/>
  <c r="D122" i="38"/>
  <c r="X333" i="36"/>
  <c r="AP333" i="36" s="1"/>
  <c r="X117" i="36"/>
  <c r="AL117" i="36" s="1"/>
  <c r="X82" i="36"/>
  <c r="AL82" i="36" s="1"/>
  <c r="W108" i="36"/>
  <c r="U106" i="35"/>
  <c r="D114" i="38"/>
  <c r="X334" i="36"/>
  <c r="AP334" i="36" s="1"/>
  <c r="X325" i="36"/>
  <c r="AP325" i="36" s="1"/>
  <c r="V81" i="36"/>
  <c r="T79" i="35"/>
  <c r="C87" i="38"/>
  <c r="E87" i="38" s="1"/>
  <c r="V332" i="36"/>
  <c r="T330" i="35"/>
  <c r="C338" i="38"/>
  <c r="E338" i="38" s="1"/>
  <c r="V319" i="36"/>
  <c r="T317" i="35"/>
  <c r="C325" i="38"/>
  <c r="E325" i="38" s="1"/>
  <c r="X122" i="36"/>
  <c r="AQ122" i="36" s="1"/>
  <c r="V128" i="36"/>
  <c r="T126" i="35"/>
  <c r="C134" i="38"/>
  <c r="E134" i="38" s="1"/>
  <c r="X89" i="36"/>
  <c r="AL89" i="36" s="1"/>
  <c r="V323" i="36"/>
  <c r="T321" i="35"/>
  <c r="C329" i="38"/>
  <c r="E329" i="38" s="1"/>
  <c r="W117" i="36"/>
  <c r="U115" i="35"/>
  <c r="D123" i="38"/>
  <c r="V331" i="36"/>
  <c r="T329" i="35"/>
  <c r="C337" i="38"/>
  <c r="E337" i="38" s="1"/>
  <c r="W109" i="36"/>
  <c r="U107" i="35"/>
  <c r="D115" i="38"/>
  <c r="X108" i="36"/>
  <c r="AL108" i="36" s="1"/>
  <c r="X109" i="36"/>
  <c r="AL109" i="36" s="1"/>
  <c r="X87" i="36"/>
  <c r="AL87" i="36" s="1"/>
  <c r="AI123" i="36"/>
  <c r="Y123" i="36"/>
  <c r="W85" i="36"/>
  <c r="U83" i="35"/>
  <c r="D91" i="38"/>
  <c r="V93" i="36"/>
  <c r="T91" i="35"/>
  <c r="C99" i="38"/>
  <c r="E99" i="38" s="1"/>
  <c r="X125" i="36"/>
  <c r="AQ125" i="36" s="1"/>
  <c r="W120" i="36"/>
  <c r="U118" i="35"/>
  <c r="D126" i="38"/>
  <c r="W112" i="36"/>
  <c r="U110" i="35"/>
  <c r="D118" i="38"/>
  <c r="W105" i="36"/>
  <c r="U103" i="35"/>
  <c r="D111" i="38"/>
  <c r="X105" i="36"/>
  <c r="AL105" i="36" s="1"/>
  <c r="X91" i="36"/>
  <c r="AL91" i="36" s="1"/>
  <c r="X119" i="36"/>
  <c r="AL119" i="36" s="1"/>
  <c r="W106" i="36"/>
  <c r="U104" i="35"/>
  <c r="D112" i="38"/>
  <c r="W91" i="36"/>
  <c r="U89" i="35"/>
  <c r="D97" i="38"/>
  <c r="X120" i="36"/>
  <c r="AL120" i="36" s="1"/>
  <c r="W113" i="36"/>
  <c r="U111" i="35"/>
  <c r="D119" i="38"/>
  <c r="X112" i="36"/>
  <c r="AL112" i="36" s="1"/>
  <c r="X322" i="36"/>
  <c r="AP322" i="36" s="1"/>
  <c r="X98" i="36"/>
  <c r="AL98" i="36" s="1"/>
  <c r="W100" i="36"/>
  <c r="U98" i="35"/>
  <c r="D106" i="38"/>
  <c r="V321" i="36"/>
  <c r="T319" i="35"/>
  <c r="C327" i="38"/>
  <c r="E327" i="38" s="1"/>
  <c r="X99" i="36"/>
  <c r="AL99" i="36" s="1"/>
  <c r="X127" i="36"/>
  <c r="AQ127" i="36" s="1"/>
  <c r="X124" i="36"/>
  <c r="AQ124" i="36" s="1"/>
  <c r="X121" i="36"/>
  <c r="AQ121" i="36" s="1"/>
  <c r="X113" i="36"/>
  <c r="AL113" i="36" s="1"/>
  <c r="W104" i="36"/>
  <c r="U102" i="35"/>
  <c r="D110" i="38"/>
  <c r="X104" i="36"/>
  <c r="AL104" i="36" s="1"/>
  <c r="X90" i="36"/>
  <c r="AL90" i="36" s="1"/>
  <c r="X100" i="36"/>
  <c r="AL100" i="36" s="1"/>
  <c r="X101" i="36"/>
  <c r="AL101" i="36" s="1"/>
  <c r="X86" i="36"/>
  <c r="AL86" i="36" s="1"/>
  <c r="W82" i="36"/>
  <c r="U80" i="35"/>
  <c r="D88" i="38"/>
  <c r="W119" i="36"/>
  <c r="U117" i="35"/>
  <c r="D125" i="38"/>
  <c r="W103" i="36"/>
  <c r="U101" i="35"/>
  <c r="D109" i="38"/>
  <c r="W121" i="36"/>
  <c r="U119" i="35"/>
  <c r="D127" i="38"/>
  <c r="X116" i="36"/>
  <c r="AL116" i="36" s="1"/>
  <c r="V100" i="36"/>
  <c r="T98" i="35"/>
  <c r="C106" i="38"/>
  <c r="E106" i="38" s="1"/>
  <c r="X95" i="36"/>
  <c r="AL95" i="36" s="1"/>
  <c r="W101" i="36"/>
  <c r="U99" i="35"/>
  <c r="D107" i="38"/>
  <c r="W96" i="36"/>
  <c r="U94" i="35"/>
  <c r="D102" i="38"/>
  <c r="W97" i="36"/>
  <c r="U95" i="35"/>
  <c r="D103" i="38"/>
  <c r="V324" i="36"/>
  <c r="T322" i="35"/>
  <c r="C330" i="38"/>
  <c r="E330" i="38" s="1"/>
  <c r="X84" i="36"/>
  <c r="AL84" i="36" s="1"/>
  <c r="X326" i="36"/>
  <c r="AP326" i="36" s="1"/>
  <c r="M643" i="1"/>
  <c r="N405" i="1"/>
  <c r="N404" i="1"/>
  <c r="N403" i="1"/>
  <c r="AN397" i="1"/>
  <c r="W378" i="1"/>
  <c r="W375" i="1"/>
  <c r="W376" i="1"/>
  <c r="W377" i="1"/>
  <c r="W374" i="1"/>
  <c r="W344" i="1"/>
  <c r="W345" i="1"/>
  <c r="W346" i="1"/>
  <c r="W347" i="1"/>
  <c r="W348" i="1"/>
  <c r="W342" i="1"/>
  <c r="W343" i="1"/>
  <c r="O253" i="1"/>
  <c r="O248" i="1"/>
  <c r="O247" i="1"/>
  <c r="O246" i="1"/>
  <c r="O245" i="1"/>
  <c r="N245" i="1"/>
  <c r="N246" i="1"/>
  <c r="N247" i="1"/>
  <c r="N248" i="1"/>
  <c r="N253" i="1"/>
  <c r="N254" i="1"/>
  <c r="N255" i="1"/>
  <c r="N256" i="1"/>
  <c r="N257" i="1"/>
  <c r="N260" i="1"/>
  <c r="N261" i="1"/>
  <c r="N262" i="1"/>
  <c r="N263" i="1"/>
  <c r="N264" i="1"/>
  <c r="N265" i="1"/>
  <c r="N249" i="1"/>
  <c r="N250" i="1"/>
  <c r="N251" i="1"/>
  <c r="N252" i="1"/>
  <c r="N258" i="1"/>
  <c r="N259" i="1"/>
  <c r="O223" i="1"/>
  <c r="O224" i="1"/>
  <c r="O225" i="1"/>
  <c r="O226" i="1"/>
  <c r="O227" i="1"/>
  <c r="O228" i="1"/>
  <c r="O229" i="1"/>
  <c r="O230" i="1"/>
  <c r="O231" i="1"/>
  <c r="O232" i="1"/>
  <c r="O233" i="1"/>
  <c r="O234" i="1"/>
  <c r="O235" i="1"/>
  <c r="O236" i="1"/>
  <c r="O237" i="1"/>
  <c r="O238" i="1"/>
  <c r="O239" i="1"/>
  <c r="O240" i="1"/>
  <c r="O241" i="1"/>
  <c r="O242" i="1"/>
  <c r="O243" i="1"/>
  <c r="O244" i="1"/>
  <c r="O254" i="1"/>
  <c r="O255" i="1"/>
  <c r="O256" i="1"/>
  <c r="O257" i="1"/>
  <c r="O260" i="1"/>
  <c r="O261" i="1"/>
  <c r="O262" i="1"/>
  <c r="O263" i="1"/>
  <c r="O264" i="1"/>
  <c r="O265" i="1"/>
  <c r="O249" i="1"/>
  <c r="O250" i="1"/>
  <c r="O251" i="1"/>
  <c r="O252" i="1"/>
  <c r="O258" i="1"/>
  <c r="O259" i="1"/>
  <c r="M128" i="1"/>
  <c r="W245" i="1"/>
  <c r="W246" i="1"/>
  <c r="W248" i="1"/>
  <c r="V248" i="1"/>
  <c r="W247" i="1"/>
  <c r="V244" i="1"/>
  <c r="V238" i="1"/>
  <c r="V239" i="1"/>
  <c r="V240" i="1"/>
  <c r="V241" i="1"/>
  <c r="V242" i="1"/>
  <c r="V243" i="1"/>
  <c r="V237" i="1"/>
  <c r="V65" i="1"/>
  <c r="V64" i="1"/>
  <c r="V63" i="1"/>
  <c r="U47" i="1"/>
  <c r="P50" i="1"/>
  <c r="U38" i="1"/>
  <c r="AP38" i="1" s="1"/>
  <c r="AO466" i="1"/>
  <c r="AU466" i="1" s="1"/>
  <c r="AO465" i="1"/>
  <c r="AU465" i="1" s="1"/>
  <c r="AO464" i="1"/>
  <c r="AU464" i="1" s="1"/>
  <c r="AO463" i="1"/>
  <c r="AU463" i="1" s="1"/>
  <c r="AO462" i="1"/>
  <c r="AU462" i="1" s="1"/>
  <c r="AO461" i="1"/>
  <c r="AU461" i="1" s="1"/>
  <c r="AO460" i="1"/>
  <c r="AU460" i="1" s="1"/>
  <c r="AO459" i="1"/>
  <c r="AU459" i="1" s="1"/>
  <c r="AO458" i="1"/>
  <c r="AU458" i="1" s="1"/>
  <c r="AO457" i="1"/>
  <c r="AU457" i="1" s="1"/>
  <c r="AO456" i="1"/>
  <c r="AU456" i="1" s="1"/>
  <c r="AO455" i="1"/>
  <c r="AU455" i="1" s="1"/>
  <c r="AO454" i="1"/>
  <c r="AU454" i="1" s="1"/>
  <c r="AO453" i="1"/>
  <c r="AU453" i="1" s="1"/>
  <c r="AO452" i="1"/>
  <c r="AU452" i="1" s="1"/>
  <c r="AO451" i="1"/>
  <c r="AU451" i="1" s="1"/>
  <c r="AO450" i="1"/>
  <c r="AU450" i="1" s="1"/>
  <c r="AO449" i="1"/>
  <c r="AU449" i="1" s="1"/>
  <c r="AO448" i="1"/>
  <c r="AU448" i="1" s="1"/>
  <c r="AO447" i="1"/>
  <c r="AU447" i="1" s="1"/>
  <c r="AO446" i="1"/>
  <c r="AU446" i="1" s="1"/>
  <c r="AO445" i="1"/>
  <c r="AU445" i="1" s="1"/>
  <c r="AO444" i="1"/>
  <c r="AU444" i="1" s="1"/>
  <c r="R246" i="36" l="1"/>
  <c r="AD110" i="36"/>
  <c r="Y110" i="36"/>
  <c r="W452" i="36"/>
  <c r="U450" i="35"/>
  <c r="D458" i="38"/>
  <c r="R233" i="36"/>
  <c r="R247" i="36"/>
  <c r="AD105" i="36"/>
  <c r="Y105" i="36"/>
  <c r="Y108" i="36"/>
  <c r="AD108" i="36"/>
  <c r="AD89" i="36"/>
  <c r="Y89" i="36"/>
  <c r="Y95" i="36"/>
  <c r="AD95" i="36"/>
  <c r="Y87" i="36"/>
  <c r="AD87" i="36"/>
  <c r="AD88" i="36"/>
  <c r="Y88" i="36"/>
  <c r="Y83" i="36"/>
  <c r="AD83" i="36"/>
  <c r="AD118" i="36"/>
  <c r="Y118" i="36"/>
  <c r="W451" i="36"/>
  <c r="U449" i="35"/>
  <c r="D457" i="38"/>
  <c r="R249" i="36"/>
  <c r="R229" i="36"/>
  <c r="R228" i="36"/>
  <c r="R251" i="36"/>
  <c r="R225" i="36"/>
  <c r="Y117" i="36"/>
  <c r="AD117" i="36"/>
  <c r="P246" i="36"/>
  <c r="Y93" i="36"/>
  <c r="AD93" i="36"/>
  <c r="U451" i="35"/>
  <c r="W453" i="36"/>
  <c r="D459" i="38"/>
  <c r="Y121" i="36"/>
  <c r="AI121" i="36"/>
  <c r="W455" i="36"/>
  <c r="U453" i="35"/>
  <c r="D461" i="38"/>
  <c r="W457" i="36"/>
  <c r="U455" i="35"/>
  <c r="D463" i="38"/>
  <c r="R226" i="36"/>
  <c r="AD103" i="36"/>
  <c r="Y103" i="36"/>
  <c r="AI128" i="36"/>
  <c r="Y128" i="36"/>
  <c r="Y94" i="36"/>
  <c r="AD94" i="36"/>
  <c r="Y113" i="36"/>
  <c r="AD113" i="36"/>
  <c r="AD115" i="36"/>
  <c r="Y115" i="36"/>
  <c r="Y106" i="36"/>
  <c r="AD106" i="36"/>
  <c r="W456" i="36"/>
  <c r="U454" i="35"/>
  <c r="D462" i="38"/>
  <c r="Y96" i="36"/>
  <c r="AD96" i="36"/>
  <c r="R253" i="36"/>
  <c r="R227" i="36"/>
  <c r="AI122" i="36"/>
  <c r="Y122" i="36"/>
  <c r="Y86" i="36"/>
  <c r="AD86" i="36"/>
  <c r="R231" i="36"/>
  <c r="R230" i="36"/>
  <c r="R254" i="36"/>
  <c r="R259" i="36"/>
  <c r="R252" i="36"/>
  <c r="R250" i="36"/>
  <c r="W463" i="36"/>
  <c r="U461" i="35"/>
  <c r="D469" i="38"/>
  <c r="AD101" i="36"/>
  <c r="Y101" i="36"/>
  <c r="W464" i="36"/>
  <c r="U462" i="35"/>
  <c r="D470" i="38"/>
  <c r="R264" i="36"/>
  <c r="P253" i="36"/>
  <c r="AD102" i="36"/>
  <c r="Y102" i="36"/>
  <c r="R234" i="36"/>
  <c r="Q129" i="36"/>
  <c r="R260" i="36"/>
  <c r="W458" i="36"/>
  <c r="U456" i="35"/>
  <c r="D464" i="38"/>
  <c r="W459" i="36"/>
  <c r="U457" i="35"/>
  <c r="D465" i="38"/>
  <c r="W462" i="36"/>
  <c r="U460" i="35"/>
  <c r="D468" i="38"/>
  <c r="R266" i="36"/>
  <c r="P259" i="36"/>
  <c r="W465" i="36"/>
  <c r="U463" i="35"/>
  <c r="D471" i="38"/>
  <c r="R263" i="36"/>
  <c r="P252" i="36"/>
  <c r="R232" i="36"/>
  <c r="W454" i="36"/>
  <c r="U452" i="35"/>
  <c r="D460" i="38"/>
  <c r="W460" i="36"/>
  <c r="U458" i="35"/>
  <c r="D466" i="38"/>
  <c r="R262" i="36"/>
  <c r="P251" i="36"/>
  <c r="Y120" i="36"/>
  <c r="AD120" i="36"/>
  <c r="AD112" i="36"/>
  <c r="Y112" i="36"/>
  <c r="W461" i="36"/>
  <c r="U459" i="35"/>
  <c r="D467" i="38"/>
  <c r="R224" i="36"/>
  <c r="P260" i="36"/>
  <c r="R265" i="36"/>
  <c r="W466" i="36"/>
  <c r="U464" i="35"/>
  <c r="D472" i="38"/>
  <c r="W467" i="36"/>
  <c r="U465" i="35"/>
  <c r="D473" i="38"/>
  <c r="R261" i="36"/>
  <c r="P250" i="36"/>
  <c r="Y107" i="36"/>
  <c r="AD107" i="36"/>
  <c r="AD114" i="36"/>
  <c r="Y114" i="36"/>
  <c r="Y98" i="36"/>
  <c r="AD98" i="36"/>
  <c r="Y125" i="36"/>
  <c r="AI125" i="36"/>
  <c r="AD99" i="36"/>
  <c r="Y99" i="36"/>
  <c r="AD111" i="36"/>
  <c r="Y111" i="36"/>
  <c r="R258" i="36"/>
  <c r="AD119" i="36"/>
  <c r="Y119" i="36"/>
  <c r="P265" i="36"/>
  <c r="R243" i="36"/>
  <c r="R257" i="36"/>
  <c r="P261" i="36"/>
  <c r="P258" i="36"/>
  <c r="R242" i="36"/>
  <c r="P257" i="36"/>
  <c r="Y116" i="36"/>
  <c r="AD116" i="36"/>
  <c r="W450" i="36"/>
  <c r="U448" i="35"/>
  <c r="D456" i="38"/>
  <c r="R235" i="36"/>
  <c r="Y85" i="36"/>
  <c r="AD85" i="36"/>
  <c r="P404" i="36"/>
  <c r="Y100" i="36"/>
  <c r="AD100" i="36"/>
  <c r="P264" i="36"/>
  <c r="R255" i="36"/>
  <c r="R244" i="36"/>
  <c r="R241" i="36"/>
  <c r="P256" i="36"/>
  <c r="AD91" i="36"/>
  <c r="Y91" i="36"/>
  <c r="Y84" i="36"/>
  <c r="AD84" i="36"/>
  <c r="Y126" i="36"/>
  <c r="AI126" i="36"/>
  <c r="P255" i="36"/>
  <c r="P266" i="36"/>
  <c r="Q644" i="36"/>
  <c r="W445" i="36"/>
  <c r="U443" i="35"/>
  <c r="D451" i="38"/>
  <c r="R240" i="36"/>
  <c r="AD82" i="36"/>
  <c r="Y82" i="36"/>
  <c r="R239" i="36"/>
  <c r="P254" i="36"/>
  <c r="R256" i="36"/>
  <c r="P262" i="36"/>
  <c r="U445" i="35"/>
  <c r="W447" i="36"/>
  <c r="D453" i="38"/>
  <c r="R238" i="36"/>
  <c r="P249" i="36"/>
  <c r="R248" i="36"/>
  <c r="P263" i="36"/>
  <c r="W446" i="36"/>
  <c r="U444" i="35"/>
  <c r="D452" i="38"/>
  <c r="W448" i="36"/>
  <c r="U446" i="35"/>
  <c r="D454" i="38"/>
  <c r="R237" i="36"/>
  <c r="P248" i="36"/>
  <c r="Y124" i="36"/>
  <c r="AI124" i="36"/>
  <c r="Y127" i="36"/>
  <c r="AI127" i="36"/>
  <c r="Y90" i="36"/>
  <c r="AD90" i="36"/>
  <c r="Y81" i="36"/>
  <c r="AD81" i="36"/>
  <c r="Y104" i="36"/>
  <c r="AD104" i="36"/>
  <c r="T51" i="36"/>
  <c r="P405" i="36"/>
  <c r="P406" i="36"/>
  <c r="R245" i="36"/>
  <c r="W449" i="36"/>
  <c r="U447" i="35"/>
  <c r="D455" i="38"/>
  <c r="R236" i="36"/>
  <c r="P247" i="36"/>
  <c r="Y97" i="36"/>
  <c r="AD97" i="36"/>
  <c r="Y109" i="36"/>
  <c r="AD109" i="36"/>
  <c r="AD92" i="36"/>
  <c r="Y92" i="36"/>
  <c r="N643" i="1"/>
  <c r="AR420" i="1"/>
  <c r="AQ420" i="1" s="1"/>
  <c r="AR421" i="1"/>
  <c r="AQ421" i="1" s="1"/>
  <c r="AR422" i="1"/>
  <c r="AQ422" i="1" s="1"/>
  <c r="AR423" i="1"/>
  <c r="AQ423" i="1" s="1"/>
  <c r="AR424" i="1"/>
  <c r="AQ424" i="1" s="1"/>
  <c r="AR425" i="1"/>
  <c r="AQ425" i="1" s="1"/>
  <c r="AR426" i="1"/>
  <c r="AQ426" i="1" s="1"/>
  <c r="AR427" i="1"/>
  <c r="AQ427" i="1" s="1"/>
  <c r="AR419" i="1"/>
  <c r="AQ419" i="1" s="1"/>
  <c r="U420" i="1"/>
  <c r="U421" i="1"/>
  <c r="U422" i="1"/>
  <c r="U423" i="1"/>
  <c r="U424" i="1"/>
  <c r="U425" i="1"/>
  <c r="U426" i="1"/>
  <c r="U427" i="1"/>
  <c r="U419" i="1"/>
  <c r="AO506" i="1"/>
  <c r="M506" i="1"/>
  <c r="M505" i="1"/>
  <c r="M504" i="1"/>
  <c r="M503" i="1"/>
  <c r="M502" i="1"/>
  <c r="M501" i="1"/>
  <c r="M500" i="1"/>
  <c r="M499" i="1"/>
  <c r="M498" i="1"/>
  <c r="M497" i="1"/>
  <c r="M496" i="1"/>
  <c r="AD462" i="36" l="1"/>
  <c r="AD453" i="36"/>
  <c r="AI466" i="36"/>
  <c r="V420" i="36"/>
  <c r="T418" i="35"/>
  <c r="C426" i="38"/>
  <c r="E426" i="38" s="1"/>
  <c r="AD446" i="36"/>
  <c r="AD459" i="36"/>
  <c r="AD450" i="36"/>
  <c r="V427" i="36"/>
  <c r="T425" i="35"/>
  <c r="C433" i="38"/>
  <c r="E433" i="38" s="1"/>
  <c r="AD449" i="36"/>
  <c r="AD447" i="36"/>
  <c r="V426" i="36"/>
  <c r="T424" i="35"/>
  <c r="C432" i="38"/>
  <c r="E432" i="38" s="1"/>
  <c r="AD456" i="36"/>
  <c r="V425" i="36"/>
  <c r="T423" i="35"/>
  <c r="C431" i="38"/>
  <c r="E431" i="38" s="1"/>
  <c r="V424" i="36"/>
  <c r="T422" i="35"/>
  <c r="C430" i="38"/>
  <c r="E430" i="38" s="1"/>
  <c r="V423" i="36"/>
  <c r="T421" i="35"/>
  <c r="C429" i="38"/>
  <c r="E429" i="38" s="1"/>
  <c r="V422" i="36"/>
  <c r="T420" i="35"/>
  <c r="C428" i="38"/>
  <c r="E428" i="38" s="1"/>
  <c r="AD451" i="36"/>
  <c r="V428" i="36"/>
  <c r="T426" i="35"/>
  <c r="C434" i="38"/>
  <c r="E434" i="38" s="1"/>
  <c r="AD458" i="36"/>
  <c r="V421" i="36"/>
  <c r="T419" i="35"/>
  <c r="C427" i="38"/>
  <c r="E427" i="38" s="1"/>
  <c r="AD460" i="36"/>
  <c r="Q497" i="36"/>
  <c r="AD461" i="36"/>
  <c r="AI464" i="36"/>
  <c r="AD457" i="36"/>
  <c r="Q499" i="36"/>
  <c r="AI465" i="36"/>
  <c r="Q498" i="36"/>
  <c r="Q503" i="36"/>
  <c r="Q501" i="36"/>
  <c r="Q504" i="36"/>
  <c r="Q505" i="36"/>
  <c r="AD452" i="36"/>
  <c r="Q502" i="36"/>
  <c r="AD454" i="36"/>
  <c r="Q506" i="36"/>
  <c r="AI463" i="36"/>
  <c r="AD455" i="36"/>
  <c r="AD448" i="36"/>
  <c r="AD445" i="36"/>
  <c r="Q507" i="36"/>
  <c r="Q500" i="36"/>
  <c r="P644" i="36"/>
  <c r="AI467" i="36"/>
  <c r="P504" i="1"/>
  <c r="P506" i="1"/>
  <c r="P503" i="1"/>
  <c r="P505" i="1"/>
  <c r="P502" i="1"/>
  <c r="V428" i="1"/>
  <c r="W353" i="1"/>
  <c r="W354" i="1"/>
  <c r="W355" i="1"/>
  <c r="W356" i="1"/>
  <c r="W357" i="1"/>
  <c r="W358" i="1"/>
  <c r="W359" i="1"/>
  <c r="W360" i="1"/>
  <c r="W361" i="1"/>
  <c r="W362" i="1"/>
  <c r="W363" i="1"/>
  <c r="W364" i="1"/>
  <c r="W365" i="1"/>
  <c r="W366" i="1"/>
  <c r="W367" i="1"/>
  <c r="W368" i="1"/>
  <c r="W369" i="1"/>
  <c r="W352" i="1"/>
  <c r="W351" i="1"/>
  <c r="W350" i="1"/>
  <c r="W349" i="1"/>
  <c r="W335" i="1"/>
  <c r="W336" i="1"/>
  <c r="W334" i="1"/>
  <c r="W373" i="1"/>
  <c r="W372" i="1"/>
  <c r="W371" i="1"/>
  <c r="W370" i="1"/>
  <c r="V378" i="1"/>
  <c r="V377" i="1"/>
  <c r="V376" i="1"/>
  <c r="V375" i="1"/>
  <c r="V374" i="1"/>
  <c r="V373" i="1"/>
  <c r="V372" i="1"/>
  <c r="V371" i="1"/>
  <c r="V370" i="1"/>
  <c r="V354" i="1"/>
  <c r="V355" i="1"/>
  <c r="V356" i="1"/>
  <c r="V357" i="1"/>
  <c r="V358" i="1"/>
  <c r="V359" i="1"/>
  <c r="V360" i="1"/>
  <c r="V361" i="1"/>
  <c r="V362" i="1"/>
  <c r="V363" i="1"/>
  <c r="V364" i="1"/>
  <c r="V365" i="1"/>
  <c r="V366" i="1"/>
  <c r="V367" i="1"/>
  <c r="V368" i="1"/>
  <c r="V369" i="1"/>
  <c r="V353" i="1"/>
  <c r="V352" i="1"/>
  <c r="V351" i="1"/>
  <c r="V350" i="1"/>
  <c r="V349" i="1"/>
  <c r="V348" i="1"/>
  <c r="V347" i="1"/>
  <c r="V346" i="1"/>
  <c r="V345" i="1"/>
  <c r="V344" i="1"/>
  <c r="V343" i="1"/>
  <c r="V342" i="1"/>
  <c r="V341" i="1"/>
  <c r="V340" i="1"/>
  <c r="V339" i="1"/>
  <c r="V338" i="1"/>
  <c r="V337" i="1"/>
  <c r="V336" i="1"/>
  <c r="V335" i="1"/>
  <c r="V334" i="1"/>
  <c r="V305" i="1"/>
  <c r="V304" i="1"/>
  <c r="V303" i="1"/>
  <c r="V302" i="1"/>
  <c r="V301" i="1"/>
  <c r="V300" i="1"/>
  <c r="V299" i="1"/>
  <c r="V298" i="1"/>
  <c r="V297" i="1"/>
  <c r="V296" i="1"/>
  <c r="V295" i="1"/>
  <c r="V294" i="1"/>
  <c r="V293" i="1"/>
  <c r="V292" i="1"/>
  <c r="V291" i="1"/>
  <c r="V290" i="1"/>
  <c r="W278" i="1"/>
  <c r="W277" i="1"/>
  <c r="W276" i="1"/>
  <c r="W275" i="1"/>
  <c r="W274" i="1"/>
  <c r="W273" i="1"/>
  <c r="W272" i="1"/>
  <c r="W271" i="1"/>
  <c r="W270" i="1"/>
  <c r="V278" i="1"/>
  <c r="V277" i="1"/>
  <c r="V276" i="1"/>
  <c r="V275" i="1"/>
  <c r="V274" i="1"/>
  <c r="V273" i="1"/>
  <c r="V272" i="1"/>
  <c r="V271" i="1"/>
  <c r="V270" i="1"/>
  <c r="W244" i="1"/>
  <c r="W243" i="1"/>
  <c r="W242" i="1"/>
  <c r="W241" i="1"/>
  <c r="W240" i="1"/>
  <c r="W239" i="1"/>
  <c r="W238" i="1"/>
  <c r="W237" i="1"/>
  <c r="W226" i="1"/>
  <c r="W227" i="1"/>
  <c r="W228" i="1"/>
  <c r="W229" i="1"/>
  <c r="W230" i="1"/>
  <c r="W231" i="1"/>
  <c r="W232" i="1"/>
  <c r="W233" i="1"/>
  <c r="W234" i="1"/>
  <c r="W235" i="1"/>
  <c r="W236" i="1"/>
  <c r="W225" i="1"/>
  <c r="W224" i="1"/>
  <c r="W223" i="1"/>
  <c r="W222" i="1"/>
  <c r="W221" i="1"/>
  <c r="W220" i="1"/>
  <c r="W219" i="1"/>
  <c r="W218" i="1"/>
  <c r="W217" i="1"/>
  <c r="W216" i="1"/>
  <c r="W215" i="1"/>
  <c r="W214" i="1"/>
  <c r="W213" i="1"/>
  <c r="W212"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35" i="1"/>
  <c r="V129" i="1"/>
  <c r="V140" i="1"/>
  <c r="V139" i="1"/>
  <c r="V138" i="1"/>
  <c r="V137" i="1"/>
  <c r="V136" i="1"/>
  <c r="V134" i="1"/>
  <c r="V133" i="1"/>
  <c r="V132" i="1"/>
  <c r="V131" i="1"/>
  <c r="V130" i="1"/>
  <c r="V128" i="1"/>
  <c r="AJ445" i="1"/>
  <c r="AJ461" i="1"/>
  <c r="AJ460" i="1"/>
  <c r="AJ459" i="1"/>
  <c r="AJ458" i="1"/>
  <c r="AJ457" i="1"/>
  <c r="AJ456" i="1"/>
  <c r="AJ455" i="1"/>
  <c r="AJ454" i="1"/>
  <c r="AJ453" i="1"/>
  <c r="AJ452" i="1"/>
  <c r="AJ451" i="1"/>
  <c r="AJ450" i="1"/>
  <c r="AJ449" i="1"/>
  <c r="AJ448" i="1"/>
  <c r="AJ447" i="1"/>
  <c r="AJ446" i="1"/>
  <c r="AJ444" i="1"/>
  <c r="T506" i="36" l="1"/>
  <c r="T504" i="36"/>
  <c r="T507" i="36"/>
  <c r="T503" i="36"/>
  <c r="T505" i="36"/>
  <c r="AN334" i="1"/>
  <c r="AN197" i="1"/>
  <c r="AN198" i="1"/>
  <c r="M197" i="1"/>
  <c r="M198" i="1"/>
  <c r="M199" i="1"/>
  <c r="M200" i="1"/>
  <c r="M201" i="1"/>
  <c r="M202" i="1"/>
  <c r="M203" i="1"/>
  <c r="M204" i="1"/>
  <c r="M205" i="1"/>
  <c r="M206" i="1"/>
  <c r="M207" i="1"/>
  <c r="M208" i="1"/>
  <c r="M209" i="1"/>
  <c r="M210" i="1"/>
  <c r="M211" i="1"/>
  <c r="M179" i="1"/>
  <c r="M180" i="1"/>
  <c r="M181" i="1"/>
  <c r="M182" i="1"/>
  <c r="M183" i="1"/>
  <c r="M184" i="1"/>
  <c r="M185" i="1"/>
  <c r="M186" i="1"/>
  <c r="M187" i="1"/>
  <c r="M188" i="1"/>
  <c r="M189" i="1"/>
  <c r="M190" i="1"/>
  <c r="M191" i="1"/>
  <c r="M192" i="1"/>
  <c r="M193" i="1"/>
  <c r="M194" i="1"/>
  <c r="M195" i="1"/>
  <c r="M167" i="1"/>
  <c r="M168" i="1"/>
  <c r="M169" i="1"/>
  <c r="M170" i="1"/>
  <c r="M171" i="1"/>
  <c r="M172" i="1"/>
  <c r="M173" i="1"/>
  <c r="M174" i="1"/>
  <c r="M175" i="1"/>
  <c r="M176" i="1"/>
  <c r="M177" i="1"/>
  <c r="M152" i="1"/>
  <c r="M153" i="1"/>
  <c r="M154" i="1"/>
  <c r="M155" i="1"/>
  <c r="M156" i="1"/>
  <c r="M157" i="1"/>
  <c r="M158" i="1"/>
  <c r="M159" i="1"/>
  <c r="M160" i="1"/>
  <c r="M161" i="1"/>
  <c r="M162" i="1"/>
  <c r="M163" i="1"/>
  <c r="M164" i="1"/>
  <c r="M165" i="1"/>
  <c r="M142" i="1"/>
  <c r="M143" i="1"/>
  <c r="M144" i="1"/>
  <c r="M145" i="1"/>
  <c r="M146" i="1"/>
  <c r="M147" i="1"/>
  <c r="M148" i="1"/>
  <c r="M149" i="1"/>
  <c r="M150" i="1"/>
  <c r="M129" i="1"/>
  <c r="M130" i="1"/>
  <c r="M131" i="1"/>
  <c r="M132" i="1"/>
  <c r="M133" i="1"/>
  <c r="M134" i="1"/>
  <c r="M135" i="1"/>
  <c r="M136" i="1"/>
  <c r="M137" i="1"/>
  <c r="M138" i="1"/>
  <c r="M139" i="1"/>
  <c r="M140" i="1"/>
  <c r="O671" i="1"/>
  <c r="Q210" i="36" l="1"/>
  <c r="Q207" i="36"/>
  <c r="Q176" i="36"/>
  <c r="Q205" i="36"/>
  <c r="Q178" i="36"/>
  <c r="Q202" i="36"/>
  <c r="Q134" i="36"/>
  <c r="Q132" i="36"/>
  <c r="Q131" i="36"/>
  <c r="Q171" i="36"/>
  <c r="Q201" i="36"/>
  <c r="Q200" i="36"/>
  <c r="Q135" i="36"/>
  <c r="Q133" i="36"/>
  <c r="Q130" i="36"/>
  <c r="Q151" i="36"/>
  <c r="Q169" i="36"/>
  <c r="Q199" i="36"/>
  <c r="Q209" i="36"/>
  <c r="Q177" i="36"/>
  <c r="Q173" i="36"/>
  <c r="Q170" i="36"/>
  <c r="Q168" i="36"/>
  <c r="Q198" i="36"/>
  <c r="Q204" i="36"/>
  <c r="Q150" i="36"/>
  <c r="Q149" i="36"/>
  <c r="Q196" i="36"/>
  <c r="Q148" i="36"/>
  <c r="Q140" i="36"/>
  <c r="Q208" i="36"/>
  <c r="Q203" i="36"/>
  <c r="Q147" i="36"/>
  <c r="Q194" i="36"/>
  <c r="Q136" i="36"/>
  <c r="Q174" i="36"/>
  <c r="Q195" i="36"/>
  <c r="Q146" i="36"/>
  <c r="Q193" i="36"/>
  <c r="Q175" i="36"/>
  <c r="Q172" i="36"/>
  <c r="Q145" i="36"/>
  <c r="Q192" i="36"/>
  <c r="Q211" i="36"/>
  <c r="Q154" i="36"/>
  <c r="Q190" i="36"/>
  <c r="Q155" i="36"/>
  <c r="Q139" i="36"/>
  <c r="Q144" i="36"/>
  <c r="Q165" i="36"/>
  <c r="Q163" i="36"/>
  <c r="Q186" i="36"/>
  <c r="Q141" i="36"/>
  <c r="Q137" i="36"/>
  <c r="Q187" i="36"/>
  <c r="Q162" i="36"/>
  <c r="Q185" i="36"/>
  <c r="Q206" i="36"/>
  <c r="Q166" i="36"/>
  <c r="Q164" i="36"/>
  <c r="Q160" i="36"/>
  <c r="Q183" i="36"/>
  <c r="Q153" i="36"/>
  <c r="Q191" i="36"/>
  <c r="Q159" i="36"/>
  <c r="Q182" i="36"/>
  <c r="Q138" i="36"/>
  <c r="Q189" i="36"/>
  <c r="Q184" i="36"/>
  <c r="Q158" i="36"/>
  <c r="Q181" i="36"/>
  <c r="Q143" i="36"/>
  <c r="Q161" i="36"/>
  <c r="Q157" i="36"/>
  <c r="Q180" i="36"/>
  <c r="Q188" i="36"/>
  <c r="R672" i="36"/>
  <c r="Q156" i="36"/>
  <c r="Q212" i="36"/>
  <c r="AN673" i="1"/>
  <c r="AN672" i="1"/>
  <c r="AN671" i="1"/>
  <c r="AN670" i="1"/>
  <c r="AN669" i="1"/>
  <c r="AN668" i="1"/>
  <c r="AN667" i="1"/>
  <c r="AN666" i="1"/>
  <c r="AN665" i="1"/>
  <c r="AN664" i="1"/>
  <c r="AN663" i="1"/>
  <c r="V665" i="1"/>
  <c r="V666" i="1"/>
  <c r="V667" i="1"/>
  <c r="V668" i="1"/>
  <c r="V669" i="1"/>
  <c r="V670" i="1"/>
  <c r="V671" i="1"/>
  <c r="V672" i="1"/>
  <c r="V673" i="1"/>
  <c r="AI673" i="1"/>
  <c r="AI672" i="1"/>
  <c r="AI671" i="1"/>
  <c r="O673" i="1"/>
  <c r="O672" i="1"/>
  <c r="O670" i="1"/>
  <c r="O669" i="1"/>
  <c r="O668" i="1"/>
  <c r="O667" i="1"/>
  <c r="O666" i="1"/>
  <c r="O665" i="1"/>
  <c r="O664" i="1"/>
  <c r="O663" i="1"/>
  <c r="V664" i="1"/>
  <c r="V663" i="1"/>
  <c r="M670" i="1"/>
  <c r="M669" i="1"/>
  <c r="M668" i="1"/>
  <c r="M667" i="1"/>
  <c r="M666" i="1"/>
  <c r="M665" i="1"/>
  <c r="M664" i="1"/>
  <c r="M663" i="1"/>
  <c r="N672" i="1"/>
  <c r="N671" i="1"/>
  <c r="N670" i="1"/>
  <c r="N667" i="1"/>
  <c r="N665" i="1"/>
  <c r="N666" i="1"/>
  <c r="N668" i="1"/>
  <c r="N669" i="1"/>
  <c r="N673" i="1"/>
  <c r="N664" i="1"/>
  <c r="N663" i="1"/>
  <c r="P657" i="1"/>
  <c r="AR657" i="1"/>
  <c r="AQ657" i="1" s="1"/>
  <c r="AO657" i="1"/>
  <c r="AU657" i="1" s="1"/>
  <c r="AM632" i="1"/>
  <c r="AR658" i="1"/>
  <c r="AT658" i="1" s="1"/>
  <c r="AR659" i="1"/>
  <c r="AQ659" i="1" s="1"/>
  <c r="AR660" i="1"/>
  <c r="AT660" i="1" s="1"/>
  <c r="AR661" i="1"/>
  <c r="AT661" i="1" s="1"/>
  <c r="AR662" i="1"/>
  <c r="AT662" i="1" s="1"/>
  <c r="AO659" i="1"/>
  <c r="AU659" i="1" s="1"/>
  <c r="AO660" i="1"/>
  <c r="AU660" i="1" s="1"/>
  <c r="AO661" i="1"/>
  <c r="AU661" i="1" s="1"/>
  <c r="AO662" i="1"/>
  <c r="AU662" i="1" s="1"/>
  <c r="AO658" i="1"/>
  <c r="AU658" i="1" s="1"/>
  <c r="Q658" i="1"/>
  <c r="Q659" i="1"/>
  <c r="Q660" i="1"/>
  <c r="Q661" i="1"/>
  <c r="Q662" i="1"/>
  <c r="Q657" i="1"/>
  <c r="P659" i="1"/>
  <c r="P660" i="1"/>
  <c r="P661" i="1"/>
  <c r="P662" i="1"/>
  <c r="P658" i="1"/>
  <c r="M653" i="1"/>
  <c r="AM656" i="1"/>
  <c r="AM655" i="1"/>
  <c r="AM654" i="1"/>
  <c r="AM653" i="1"/>
  <c r="AM652" i="1"/>
  <c r="AM651" i="1"/>
  <c r="AM645" i="1"/>
  <c r="AM650" i="1"/>
  <c r="AM649" i="1"/>
  <c r="AM648" i="1"/>
  <c r="AM647" i="1"/>
  <c r="AM646" i="1"/>
  <c r="AM644" i="1"/>
  <c r="AM643" i="1"/>
  <c r="AM642" i="1"/>
  <c r="AM641" i="1"/>
  <c r="AM640" i="1"/>
  <c r="AM639" i="1"/>
  <c r="AM638" i="1"/>
  <c r="AM637" i="1"/>
  <c r="AM636" i="1"/>
  <c r="X652" i="1"/>
  <c r="X653" i="1"/>
  <c r="X654" i="1"/>
  <c r="X655" i="1"/>
  <c r="X656" i="1"/>
  <c r="X651" i="1"/>
  <c r="X644" i="1"/>
  <c r="X645" i="1"/>
  <c r="X646" i="1"/>
  <c r="X647" i="1"/>
  <c r="X648" i="1"/>
  <c r="X649" i="1"/>
  <c r="X650" i="1"/>
  <c r="X643" i="1"/>
  <c r="O652" i="1"/>
  <c r="O653" i="1"/>
  <c r="O654" i="1"/>
  <c r="O655" i="1"/>
  <c r="O656" i="1"/>
  <c r="O651" i="1"/>
  <c r="O650" i="1"/>
  <c r="O649" i="1"/>
  <c r="O648" i="1"/>
  <c r="O647" i="1"/>
  <c r="O646" i="1"/>
  <c r="O645" i="1"/>
  <c r="O644" i="1"/>
  <c r="O643" i="1"/>
  <c r="M656" i="1"/>
  <c r="M655" i="1"/>
  <c r="M654" i="1"/>
  <c r="M652" i="1"/>
  <c r="M651" i="1"/>
  <c r="M650" i="1"/>
  <c r="M649" i="1"/>
  <c r="M648" i="1"/>
  <c r="M647" i="1"/>
  <c r="M646" i="1"/>
  <c r="M645" i="1"/>
  <c r="M644" i="1"/>
  <c r="U467" i="1"/>
  <c r="AM635" i="1"/>
  <c r="AM634" i="1"/>
  <c r="AM633" i="1"/>
  <c r="X634" i="1"/>
  <c r="X635" i="1"/>
  <c r="X636" i="1"/>
  <c r="X637" i="1"/>
  <c r="X638" i="1"/>
  <c r="X639" i="1"/>
  <c r="X640" i="1"/>
  <c r="X641" i="1"/>
  <c r="X642" i="1"/>
  <c r="X633" i="1"/>
  <c r="X632" i="1"/>
  <c r="V625" i="1"/>
  <c r="O642" i="1"/>
  <c r="O641" i="1"/>
  <c r="O640" i="1"/>
  <c r="O639" i="1"/>
  <c r="O638" i="1"/>
  <c r="O637" i="1"/>
  <c r="O636" i="1"/>
  <c r="O635" i="1"/>
  <c r="O634" i="1"/>
  <c r="O633" i="1"/>
  <c r="O632" i="1"/>
  <c r="M642" i="1"/>
  <c r="M641" i="1"/>
  <c r="M640" i="1"/>
  <c r="M639" i="1"/>
  <c r="M638" i="1"/>
  <c r="M637" i="1"/>
  <c r="M636" i="1"/>
  <c r="M635" i="1"/>
  <c r="M634" i="1"/>
  <c r="M633" i="1"/>
  <c r="M632" i="1"/>
  <c r="V617" i="1"/>
  <c r="M617" i="1"/>
  <c r="AN631" i="1"/>
  <c r="AN630" i="1"/>
  <c r="AN629" i="1"/>
  <c r="AN628" i="1"/>
  <c r="AN627" i="1"/>
  <c r="AN626" i="1"/>
  <c r="AN625" i="1"/>
  <c r="AN624" i="1"/>
  <c r="AN623" i="1"/>
  <c r="AN622" i="1"/>
  <c r="AN621" i="1"/>
  <c r="AN620" i="1"/>
  <c r="M625" i="1"/>
  <c r="M626" i="1"/>
  <c r="M627" i="1"/>
  <c r="M628" i="1"/>
  <c r="M629" i="1"/>
  <c r="M630" i="1"/>
  <c r="M631" i="1"/>
  <c r="M624" i="1"/>
  <c r="M622" i="1"/>
  <c r="M623" i="1"/>
  <c r="M621" i="1"/>
  <c r="M620" i="1"/>
  <c r="O627" i="1"/>
  <c r="O628" i="1"/>
  <c r="O629" i="1"/>
  <c r="O630" i="1"/>
  <c r="O631" i="1"/>
  <c r="O626" i="1"/>
  <c r="O625" i="1"/>
  <c r="O624" i="1"/>
  <c r="O620" i="1"/>
  <c r="O621" i="1"/>
  <c r="O622" i="1"/>
  <c r="O623" i="1"/>
  <c r="N620" i="1"/>
  <c r="N621" i="1"/>
  <c r="N622" i="1"/>
  <c r="N623" i="1"/>
  <c r="N624" i="1"/>
  <c r="N625" i="1"/>
  <c r="N626" i="1"/>
  <c r="N627" i="1"/>
  <c r="N628" i="1"/>
  <c r="N629" i="1"/>
  <c r="N630" i="1"/>
  <c r="N631" i="1"/>
  <c r="V621" i="1"/>
  <c r="V622" i="1"/>
  <c r="V623" i="1"/>
  <c r="V624" i="1"/>
  <c r="V626" i="1"/>
  <c r="V627" i="1"/>
  <c r="V628" i="1"/>
  <c r="V629" i="1"/>
  <c r="V630" i="1"/>
  <c r="V631" i="1"/>
  <c r="V620" i="1"/>
  <c r="V619" i="1"/>
  <c r="AN619" i="1"/>
  <c r="AN618" i="1"/>
  <c r="V618" i="1"/>
  <c r="V587" i="1"/>
  <c r="M619" i="1"/>
  <c r="M618" i="1"/>
  <c r="N619" i="1"/>
  <c r="N618" i="1"/>
  <c r="O619" i="1"/>
  <c r="O618" i="1"/>
  <c r="AP293" i="1"/>
  <c r="AU293" i="1" s="1"/>
  <c r="AP302" i="1"/>
  <c r="AP304" i="1"/>
  <c r="AP290" i="1"/>
  <c r="AU290" i="1" s="1"/>
  <c r="AU403" i="1"/>
  <c r="AU404" i="1"/>
  <c r="AU405" i="1"/>
  <c r="AU406" i="1"/>
  <c r="AU407" i="1"/>
  <c r="AU408" i="1"/>
  <c r="AU409" i="1"/>
  <c r="AU410" i="1"/>
  <c r="AU411" i="1"/>
  <c r="AU412" i="1"/>
  <c r="AU521" i="1"/>
  <c r="AU522"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N378" i="1"/>
  <c r="Q657" i="36" l="1"/>
  <c r="W662" i="36"/>
  <c r="U660" i="35"/>
  <c r="D668" i="38"/>
  <c r="R640" i="36"/>
  <c r="R644" i="36"/>
  <c r="W661" i="36"/>
  <c r="U659" i="35"/>
  <c r="D667" i="38"/>
  <c r="R664" i="36"/>
  <c r="R641" i="36"/>
  <c r="R645" i="36"/>
  <c r="U658" i="35"/>
  <c r="W660" i="36"/>
  <c r="D666" i="38"/>
  <c r="R665" i="36"/>
  <c r="X663" i="36"/>
  <c r="AN663" i="36" s="1"/>
  <c r="R666" i="36"/>
  <c r="W408" i="36"/>
  <c r="U406" i="35"/>
  <c r="D414" i="38"/>
  <c r="P630" i="36"/>
  <c r="R647" i="36"/>
  <c r="X662" i="36"/>
  <c r="AN662" i="36" s="1"/>
  <c r="R667" i="36"/>
  <c r="R648" i="36"/>
  <c r="X661" i="36"/>
  <c r="AN661" i="36" s="1"/>
  <c r="R668" i="36"/>
  <c r="R637" i="36"/>
  <c r="R639" i="36"/>
  <c r="T658" i="35"/>
  <c r="V660" i="36"/>
  <c r="C666" i="38"/>
  <c r="E666" i="38" s="1"/>
  <c r="R669" i="36"/>
  <c r="W547" i="36"/>
  <c r="U545" i="35"/>
  <c r="D553" i="38"/>
  <c r="W404" i="36"/>
  <c r="U402" i="35"/>
  <c r="D410" i="38"/>
  <c r="W291" i="36"/>
  <c r="U289" i="35"/>
  <c r="D297" i="38"/>
  <c r="W543" i="36"/>
  <c r="U541" i="35"/>
  <c r="D549" i="38"/>
  <c r="W542" i="36"/>
  <c r="U540" i="35"/>
  <c r="D548" i="38"/>
  <c r="P622" i="36"/>
  <c r="R650" i="36"/>
  <c r="X659" i="36"/>
  <c r="AN659" i="36" s="1"/>
  <c r="R670" i="36"/>
  <c r="R620" i="36"/>
  <c r="R671" i="36"/>
  <c r="W545" i="36"/>
  <c r="U543" i="35"/>
  <c r="D551" i="38"/>
  <c r="P623" i="36"/>
  <c r="W658" i="36"/>
  <c r="U656" i="35"/>
  <c r="D664" i="38"/>
  <c r="R673" i="36"/>
  <c r="W548" i="36"/>
  <c r="U546" i="35"/>
  <c r="D554" i="38"/>
  <c r="P626" i="36"/>
  <c r="P619" i="36"/>
  <c r="P620" i="36"/>
  <c r="R623" i="36"/>
  <c r="R657" i="36"/>
  <c r="V658" i="36"/>
  <c r="T656" i="35"/>
  <c r="C664" i="38"/>
  <c r="E664" i="38" s="1"/>
  <c r="R674" i="36"/>
  <c r="R624" i="36"/>
  <c r="W569" i="36"/>
  <c r="U567" i="35"/>
  <c r="D575" i="38"/>
  <c r="Q619" i="36"/>
  <c r="R622" i="36"/>
  <c r="R656" i="36"/>
  <c r="T658" i="36"/>
  <c r="Q671" i="36"/>
  <c r="P624" i="36"/>
  <c r="W571" i="36"/>
  <c r="U569" i="35"/>
  <c r="D577" i="38"/>
  <c r="W538" i="36"/>
  <c r="U536" i="35"/>
  <c r="D544" i="38"/>
  <c r="Q620" i="36"/>
  <c r="R621" i="36"/>
  <c r="R655" i="36"/>
  <c r="P664" i="36"/>
  <c r="U661" i="35"/>
  <c r="W663" i="36"/>
  <c r="D669" i="38"/>
  <c r="P625" i="36"/>
  <c r="W294" i="36"/>
  <c r="U292" i="35"/>
  <c r="D300" i="38"/>
  <c r="P621" i="36"/>
  <c r="R652" i="36"/>
  <c r="W536" i="36"/>
  <c r="U534" i="35"/>
  <c r="D542" i="38"/>
  <c r="W566" i="36"/>
  <c r="U564" i="35"/>
  <c r="D572" i="38"/>
  <c r="R625" i="36"/>
  <c r="Q618" i="36"/>
  <c r="R654" i="36"/>
  <c r="P665" i="36"/>
  <c r="P629" i="36"/>
  <c r="R651" i="36"/>
  <c r="U568" i="35"/>
  <c r="W570" i="36"/>
  <c r="D576" i="38"/>
  <c r="W537" i="36"/>
  <c r="U535" i="35"/>
  <c r="D543" i="38"/>
  <c r="W568" i="36"/>
  <c r="U566" i="35"/>
  <c r="D574" i="38"/>
  <c r="W567" i="36"/>
  <c r="U565" i="35"/>
  <c r="D573" i="38"/>
  <c r="W535" i="36"/>
  <c r="U533" i="35"/>
  <c r="D541" i="38"/>
  <c r="W534" i="36"/>
  <c r="U532" i="35"/>
  <c r="D540" i="38"/>
  <c r="W565" i="36"/>
  <c r="U563" i="35"/>
  <c r="D571" i="38"/>
  <c r="W533" i="36"/>
  <c r="U531" i="35"/>
  <c r="D539" i="38"/>
  <c r="R626" i="36"/>
  <c r="R653" i="36"/>
  <c r="P674" i="36"/>
  <c r="Q655" i="36"/>
  <c r="Q626" i="36"/>
  <c r="Q633" i="36"/>
  <c r="W549" i="36"/>
  <c r="U547" i="35"/>
  <c r="D555" i="38"/>
  <c r="W406" i="36"/>
  <c r="U404" i="35"/>
  <c r="D412" i="38"/>
  <c r="R649" i="36"/>
  <c r="W532" i="36"/>
  <c r="U530" i="35"/>
  <c r="D538" i="38"/>
  <c r="P670" i="36"/>
  <c r="W563" i="36"/>
  <c r="U561" i="35"/>
  <c r="D569" i="38"/>
  <c r="W531" i="36"/>
  <c r="U529" i="35"/>
  <c r="D537" i="38"/>
  <c r="R632" i="36"/>
  <c r="Q634" i="36"/>
  <c r="P669" i="36"/>
  <c r="W530" i="36"/>
  <c r="U528" i="35"/>
  <c r="D536" i="38"/>
  <c r="P667" i="36"/>
  <c r="W529" i="36"/>
  <c r="U527" i="35"/>
  <c r="D535" i="38"/>
  <c r="W546" i="36"/>
  <c r="U544" i="35"/>
  <c r="D552" i="38"/>
  <c r="Q627" i="36"/>
  <c r="Q628" i="36"/>
  <c r="R638" i="36"/>
  <c r="Q621" i="36"/>
  <c r="Q656" i="36"/>
  <c r="W405" i="36"/>
  <c r="U403" i="35"/>
  <c r="D411" i="38"/>
  <c r="W540" i="36"/>
  <c r="U538" i="35"/>
  <c r="D546" i="38"/>
  <c r="Q635" i="36"/>
  <c r="W560" i="36"/>
  <c r="U558" i="35"/>
  <c r="D566" i="38"/>
  <c r="W526" i="36"/>
  <c r="U524" i="35"/>
  <c r="D532" i="38"/>
  <c r="T662" i="36"/>
  <c r="U555" i="35"/>
  <c r="W557" i="36"/>
  <c r="D563" i="38"/>
  <c r="W556" i="36"/>
  <c r="U554" i="35"/>
  <c r="D562" i="38"/>
  <c r="W523" i="36"/>
  <c r="U521" i="35"/>
  <c r="D529" i="38"/>
  <c r="Q624" i="36"/>
  <c r="Q641" i="36"/>
  <c r="Q647" i="36"/>
  <c r="T660" i="36"/>
  <c r="Q664" i="36"/>
  <c r="P628" i="36"/>
  <c r="P668" i="36"/>
  <c r="W559" i="36"/>
  <c r="U557" i="35"/>
  <c r="D565" i="38"/>
  <c r="W558" i="36"/>
  <c r="U556" i="35"/>
  <c r="D564" i="38"/>
  <c r="Q642" i="36"/>
  <c r="Q648" i="36"/>
  <c r="S658" i="36"/>
  <c r="Q665" i="36"/>
  <c r="W539" i="36"/>
  <c r="U537" i="35"/>
  <c r="D545" i="38"/>
  <c r="Q636" i="36"/>
  <c r="Q637" i="36"/>
  <c r="P671" i="36"/>
  <c r="P673" i="36"/>
  <c r="Q625" i="36"/>
  <c r="Q643" i="36"/>
  <c r="Q649" i="36"/>
  <c r="S663" i="36"/>
  <c r="Q666" i="36"/>
  <c r="P631" i="36"/>
  <c r="W659" i="36"/>
  <c r="U657" i="35"/>
  <c r="D665" i="38"/>
  <c r="R646" i="36"/>
  <c r="W541" i="36"/>
  <c r="U539" i="35"/>
  <c r="D547" i="38"/>
  <c r="R630" i="36"/>
  <c r="W527" i="36"/>
  <c r="U525" i="35"/>
  <c r="D533" i="38"/>
  <c r="T663" i="36"/>
  <c r="P672" i="36"/>
  <c r="Q646" i="36"/>
  <c r="Q623" i="36"/>
  <c r="W553" i="36"/>
  <c r="U551" i="35"/>
  <c r="D559" i="38"/>
  <c r="W412" i="36"/>
  <c r="U410" i="35"/>
  <c r="D418" i="38"/>
  <c r="Q632" i="36"/>
  <c r="R633" i="36"/>
  <c r="Q650" i="36"/>
  <c r="S662" i="36"/>
  <c r="Q667" i="36"/>
  <c r="W407" i="36"/>
  <c r="U405" i="35"/>
  <c r="D413" i="38"/>
  <c r="R642" i="36"/>
  <c r="R619" i="36"/>
  <c r="U559" i="35"/>
  <c r="W561" i="36"/>
  <c r="D567" i="38"/>
  <c r="R629" i="36"/>
  <c r="Q638" i="36"/>
  <c r="Q645" i="36"/>
  <c r="Q640" i="36"/>
  <c r="W555" i="36"/>
  <c r="U553" i="35"/>
  <c r="D561" i="38"/>
  <c r="W413" i="36"/>
  <c r="U411" i="35"/>
  <c r="D419" i="38"/>
  <c r="W552" i="36"/>
  <c r="U550" i="35"/>
  <c r="D558" i="38"/>
  <c r="U409" i="35"/>
  <c r="W411" i="36"/>
  <c r="D417" i="38"/>
  <c r="Q631" i="36"/>
  <c r="R634" i="36"/>
  <c r="Q651" i="36"/>
  <c r="S661" i="36"/>
  <c r="Q668" i="36"/>
  <c r="R643" i="36"/>
  <c r="P379" i="36"/>
  <c r="W564" i="36"/>
  <c r="U562" i="35"/>
  <c r="D570" i="38"/>
  <c r="R631" i="36"/>
  <c r="Q654" i="36"/>
  <c r="W528" i="36"/>
  <c r="U526" i="35"/>
  <c r="D534" i="38"/>
  <c r="T659" i="36"/>
  <c r="Q639" i="36"/>
  <c r="Q622" i="36"/>
  <c r="W522" i="36"/>
  <c r="U520" i="35"/>
  <c r="D528" i="38"/>
  <c r="U552" i="35"/>
  <c r="W554" i="36"/>
  <c r="D560" i="38"/>
  <c r="W551" i="36"/>
  <c r="U549" i="35"/>
  <c r="D557" i="38"/>
  <c r="W410" i="36"/>
  <c r="U408" i="35"/>
  <c r="D416" i="38"/>
  <c r="Q630" i="36"/>
  <c r="R635" i="36"/>
  <c r="Q652" i="36"/>
  <c r="S660" i="36"/>
  <c r="Q669" i="36"/>
  <c r="P627" i="36"/>
  <c r="U542" i="35"/>
  <c r="W544" i="36"/>
  <c r="D550" i="38"/>
  <c r="R627" i="36"/>
  <c r="W562" i="36"/>
  <c r="U560" i="35"/>
  <c r="D568" i="38"/>
  <c r="P666" i="36"/>
  <c r="R628" i="36"/>
  <c r="W525" i="36"/>
  <c r="U523" i="35"/>
  <c r="D531" i="38"/>
  <c r="T661" i="36"/>
  <c r="W550" i="36"/>
  <c r="U548" i="35"/>
  <c r="D556" i="38"/>
  <c r="W409" i="36"/>
  <c r="U407" i="35"/>
  <c r="D415" i="38"/>
  <c r="P632" i="36"/>
  <c r="Q629" i="36"/>
  <c r="R636" i="36"/>
  <c r="Q653" i="36"/>
  <c r="S659" i="36"/>
  <c r="Q670" i="36"/>
  <c r="AI664" i="1"/>
  <c r="AJ625" i="1"/>
  <c r="AI665" i="1"/>
  <c r="AJ624" i="1"/>
  <c r="AI666" i="1"/>
  <c r="AJ623" i="1"/>
  <c r="AI667" i="1"/>
  <c r="AJ622" i="1"/>
  <c r="AI668" i="1"/>
  <c r="AJ621" i="1"/>
  <c r="AI669" i="1"/>
  <c r="AJ620" i="1"/>
  <c r="AI670" i="1"/>
  <c r="N636" i="1"/>
  <c r="V646" i="1"/>
  <c r="N638" i="1"/>
  <c r="N645" i="1"/>
  <c r="V644" i="1"/>
  <c r="N640" i="1"/>
  <c r="N646" i="1"/>
  <c r="N647" i="1"/>
  <c r="Q673" i="1"/>
  <c r="N642" i="1"/>
  <c r="N648" i="1"/>
  <c r="V650" i="1"/>
  <c r="V654" i="1"/>
  <c r="Q668" i="1"/>
  <c r="N634" i="1"/>
  <c r="N650" i="1"/>
  <c r="V643" i="1"/>
  <c r="N651" i="1"/>
  <c r="P651" i="1" s="1"/>
  <c r="N653" i="1"/>
  <c r="Q665" i="1"/>
  <c r="N652" i="1"/>
  <c r="Q667" i="1"/>
  <c r="AJ630" i="1"/>
  <c r="N654" i="1"/>
  <c r="AJ629" i="1"/>
  <c r="N655" i="1"/>
  <c r="Q671" i="1"/>
  <c r="AJ628" i="1"/>
  <c r="N656" i="1"/>
  <c r="Q672" i="1"/>
  <c r="AI663" i="1"/>
  <c r="AJ618" i="1"/>
  <c r="Q669" i="1"/>
  <c r="Q631" i="1"/>
  <c r="Q627" i="1"/>
  <c r="N633" i="1"/>
  <c r="N637" i="1"/>
  <c r="N641" i="1"/>
  <c r="N644" i="1"/>
  <c r="N649" i="1"/>
  <c r="N635" i="1"/>
  <c r="N639" i="1"/>
  <c r="N632" i="1"/>
  <c r="Q663" i="1"/>
  <c r="Q664" i="1"/>
  <c r="P664" i="1"/>
  <c r="P668" i="1"/>
  <c r="AR669" i="1"/>
  <c r="AT669" i="1" s="1"/>
  <c r="P671" i="1"/>
  <c r="P673" i="1"/>
  <c r="AR673" i="1"/>
  <c r="AT673" i="1" s="1"/>
  <c r="AR665" i="1"/>
  <c r="AT665" i="1" s="1"/>
  <c r="AR663" i="1"/>
  <c r="AT663" i="1" s="1"/>
  <c r="P665" i="1"/>
  <c r="P669" i="1"/>
  <c r="AR672" i="1"/>
  <c r="AT672" i="1" s="1"/>
  <c r="AR668" i="1"/>
  <c r="AT668" i="1" s="1"/>
  <c r="AQ661" i="1"/>
  <c r="Q670" i="1"/>
  <c r="AR664" i="1"/>
  <c r="AT664" i="1" s="1"/>
  <c r="P666" i="1"/>
  <c r="P670" i="1"/>
  <c r="AR671" i="1"/>
  <c r="AT671" i="1" s="1"/>
  <c r="AR667" i="1"/>
  <c r="AT667" i="1" s="1"/>
  <c r="Q666" i="1"/>
  <c r="P663" i="1"/>
  <c r="P667" i="1"/>
  <c r="P672" i="1"/>
  <c r="AR670" i="1"/>
  <c r="AT670" i="1" s="1"/>
  <c r="AR666" i="1"/>
  <c r="AT666" i="1" s="1"/>
  <c r="AQ658" i="1"/>
  <c r="AQ662" i="1"/>
  <c r="AT657" i="1"/>
  <c r="AT659" i="1"/>
  <c r="AQ660" i="1"/>
  <c r="U643" i="1"/>
  <c r="AP643" i="1" s="1"/>
  <c r="AU643" i="1" s="1"/>
  <c r="Q643" i="1"/>
  <c r="Q646" i="1"/>
  <c r="U648" i="1"/>
  <c r="AP648" i="1" s="1"/>
  <c r="AU648" i="1" s="1"/>
  <c r="P643" i="1"/>
  <c r="P647" i="1"/>
  <c r="V653" i="1"/>
  <c r="V649" i="1"/>
  <c r="V645" i="1"/>
  <c r="AR631" i="1"/>
  <c r="AT631" i="1" s="1"/>
  <c r="AR627" i="1"/>
  <c r="AT627" i="1" s="1"/>
  <c r="V656" i="1"/>
  <c r="V652" i="1"/>
  <c r="V648" i="1"/>
  <c r="P631" i="1"/>
  <c r="P627" i="1"/>
  <c r="V655" i="1"/>
  <c r="V651" i="1"/>
  <c r="V647" i="1"/>
  <c r="Q642" i="1"/>
  <c r="P642" i="1"/>
  <c r="V642" i="1"/>
  <c r="V638" i="1"/>
  <c r="V634" i="1"/>
  <c r="Q619" i="1"/>
  <c r="AR618" i="1"/>
  <c r="AT618" i="1" s="1"/>
  <c r="P630" i="1"/>
  <c r="V641" i="1"/>
  <c r="V637" i="1"/>
  <c r="P622" i="1"/>
  <c r="V632" i="1"/>
  <c r="V640" i="1"/>
  <c r="V636" i="1"/>
  <c r="AR622" i="1"/>
  <c r="AT622" i="1" s="1"/>
  <c r="V633" i="1"/>
  <c r="V639" i="1"/>
  <c r="V635" i="1"/>
  <c r="AR619" i="1"/>
  <c r="AT619" i="1" s="1"/>
  <c r="P620" i="1"/>
  <c r="AJ619" i="1"/>
  <c r="AR620" i="1"/>
  <c r="AT620" i="1" s="1"/>
  <c r="AR628" i="1"/>
  <c r="AT628" i="1" s="1"/>
  <c r="AR624" i="1"/>
  <c r="AT624" i="1" s="1"/>
  <c r="P623" i="1"/>
  <c r="P624" i="1"/>
  <c r="Q630" i="1"/>
  <c r="P619" i="1"/>
  <c r="AR623" i="1"/>
  <c r="AT623" i="1" s="1"/>
  <c r="Q626" i="1"/>
  <c r="P625" i="1"/>
  <c r="P629" i="1"/>
  <c r="AR630" i="1"/>
  <c r="AT630" i="1" s="1"/>
  <c r="AR626" i="1"/>
  <c r="AT626" i="1" s="1"/>
  <c r="P621" i="1"/>
  <c r="P626" i="1"/>
  <c r="P628" i="1"/>
  <c r="Q625" i="1"/>
  <c r="Q621" i="1"/>
  <c r="AR629" i="1"/>
  <c r="AT629" i="1" s="1"/>
  <c r="AR625" i="1"/>
  <c r="AT625" i="1" s="1"/>
  <c r="AR621" i="1"/>
  <c r="AT621" i="1" s="1"/>
  <c r="Q629" i="1"/>
  <c r="Q623" i="1"/>
  <c r="AJ631" i="1"/>
  <c r="AJ627" i="1"/>
  <c r="Q622" i="1"/>
  <c r="AJ626" i="1"/>
  <c r="Q620" i="1"/>
  <c r="Q624" i="1"/>
  <c r="Q628" i="1"/>
  <c r="Q618" i="1"/>
  <c r="P618" i="1"/>
  <c r="T652" i="36" l="1"/>
  <c r="AC406" i="36"/>
  <c r="AG569" i="36"/>
  <c r="T643" i="36"/>
  <c r="T630" i="36"/>
  <c r="S643" i="36"/>
  <c r="T664" i="36"/>
  <c r="S632" i="36"/>
  <c r="AC413" i="36"/>
  <c r="AG553" i="36"/>
  <c r="AG538" i="36"/>
  <c r="AG558" i="36"/>
  <c r="AG547" i="36"/>
  <c r="AG523" i="36"/>
  <c r="AG531" i="36"/>
  <c r="AG567" i="36"/>
  <c r="AG529" i="36"/>
  <c r="AG549" i="36"/>
  <c r="AF658" i="36"/>
  <c r="AD294" i="36"/>
  <c r="AG542" i="36"/>
  <c r="T668" i="36"/>
  <c r="T626" i="36"/>
  <c r="T671" i="36"/>
  <c r="T628" i="36"/>
  <c r="X625" i="36"/>
  <c r="V662" i="36"/>
  <c r="T660" i="35"/>
  <c r="C668" i="38"/>
  <c r="E668" i="38" s="1"/>
  <c r="U655" i="1"/>
  <c r="AP655" i="1" s="1"/>
  <c r="AU655" i="1" s="1"/>
  <c r="P656" i="36"/>
  <c r="AG560" i="36"/>
  <c r="AG533" i="36"/>
  <c r="AC407" i="36"/>
  <c r="AC409" i="36"/>
  <c r="AC410" i="36"/>
  <c r="X629" i="36"/>
  <c r="X669" i="36"/>
  <c r="AG559" i="36"/>
  <c r="X627" i="36"/>
  <c r="U636" i="1"/>
  <c r="AP636" i="1" s="1"/>
  <c r="AU636" i="1" s="1"/>
  <c r="P637" i="36"/>
  <c r="AF659" i="36"/>
  <c r="Y659" i="36"/>
  <c r="P656" i="1"/>
  <c r="P657" i="36"/>
  <c r="T632" i="36"/>
  <c r="AG562" i="36"/>
  <c r="T624" i="36"/>
  <c r="AG555" i="36"/>
  <c r="AG571" i="36"/>
  <c r="P634" i="36"/>
  <c r="S673" i="36"/>
  <c r="AG539" i="36"/>
  <c r="P654" i="1"/>
  <c r="P655" i="36"/>
  <c r="X628" i="36"/>
  <c r="T670" i="36"/>
  <c r="AG528" i="36"/>
  <c r="AG556" i="36"/>
  <c r="AG563" i="36"/>
  <c r="AG568" i="36"/>
  <c r="AC408" i="36"/>
  <c r="X631" i="36"/>
  <c r="T625" i="36"/>
  <c r="X632" i="36"/>
  <c r="T666" i="36"/>
  <c r="S668" i="36"/>
  <c r="AG550" i="36"/>
  <c r="U645" i="1"/>
  <c r="AP645" i="1" s="1"/>
  <c r="AU645" i="1" s="1"/>
  <c r="P646" i="36"/>
  <c r="X668" i="36"/>
  <c r="X624" i="36"/>
  <c r="T620" i="36"/>
  <c r="S631" i="36"/>
  <c r="S671" i="36"/>
  <c r="T619" i="36"/>
  <c r="S629" i="36"/>
  <c r="X664" i="36"/>
  <c r="P652" i="1"/>
  <c r="P653" i="36"/>
  <c r="T673" i="36"/>
  <c r="Q638" i="1"/>
  <c r="P639" i="36"/>
  <c r="S667" i="36"/>
  <c r="S627" i="36"/>
  <c r="X672" i="36"/>
  <c r="T667" i="36"/>
  <c r="S672" i="36"/>
  <c r="X673" i="36"/>
  <c r="S619" i="36"/>
  <c r="T621" i="36"/>
  <c r="X620" i="36"/>
  <c r="S625" i="36"/>
  <c r="X666" i="36"/>
  <c r="S666" i="36"/>
  <c r="AG544" i="36"/>
  <c r="AG551" i="36"/>
  <c r="AG543" i="36"/>
  <c r="Y661" i="36"/>
  <c r="AF661" i="36"/>
  <c r="S628" i="36"/>
  <c r="S670" i="36"/>
  <c r="X665" i="36"/>
  <c r="X621" i="36"/>
  <c r="S621" i="36"/>
  <c r="X674" i="36"/>
  <c r="P653" i="1"/>
  <c r="P654" i="36"/>
  <c r="AG527" i="36"/>
  <c r="AG565" i="36"/>
  <c r="Y663" i="36"/>
  <c r="AF663" i="36"/>
  <c r="AG545" i="36"/>
  <c r="AC411" i="36"/>
  <c r="AG540" i="36"/>
  <c r="AG530" i="36"/>
  <c r="AG537" i="36"/>
  <c r="AG557" i="36"/>
  <c r="AG566" i="36"/>
  <c r="AD291" i="36"/>
  <c r="S623" i="36"/>
  <c r="AR650" i="1"/>
  <c r="AS650" i="1" s="1"/>
  <c r="AT650" i="1" s="1"/>
  <c r="P651" i="36"/>
  <c r="S647" i="36"/>
  <c r="S644" i="36"/>
  <c r="X622" i="36"/>
  <c r="U642" i="35"/>
  <c r="W644" i="36"/>
  <c r="D650" i="38"/>
  <c r="S664" i="36"/>
  <c r="AG564" i="36"/>
  <c r="AG532" i="36"/>
  <c r="AG534" i="36"/>
  <c r="U651" i="1"/>
  <c r="AP651" i="1" s="1"/>
  <c r="AU651" i="1" s="1"/>
  <c r="P652" i="36"/>
  <c r="U634" i="1"/>
  <c r="AP634" i="1" s="1"/>
  <c r="AU634" i="1" s="1"/>
  <c r="P635" i="36"/>
  <c r="S669" i="36"/>
  <c r="S630" i="36"/>
  <c r="X626" i="36"/>
  <c r="V661" i="36"/>
  <c r="T659" i="35"/>
  <c r="C667" i="38"/>
  <c r="E667" i="38" s="1"/>
  <c r="P633" i="36"/>
  <c r="P648" i="1"/>
  <c r="P649" i="36"/>
  <c r="AG525" i="36"/>
  <c r="AG561" i="36"/>
  <c r="X623" i="36"/>
  <c r="W649" i="36"/>
  <c r="U647" i="35"/>
  <c r="D655" i="38"/>
  <c r="U642" i="1"/>
  <c r="AP642" i="1" s="1"/>
  <c r="AU642" i="1" s="1"/>
  <c r="P643" i="36"/>
  <c r="P636" i="36"/>
  <c r="S674" i="36"/>
  <c r="AG552" i="36"/>
  <c r="AC412" i="36"/>
  <c r="T648" i="36"/>
  <c r="T672" i="36"/>
  <c r="X670" i="36"/>
  <c r="P645" i="1"/>
  <c r="T665" i="36"/>
  <c r="T623" i="36"/>
  <c r="X660" i="36"/>
  <c r="AN660" i="36" s="1"/>
  <c r="P650" i="36"/>
  <c r="U647" i="1"/>
  <c r="AP647" i="1" s="1"/>
  <c r="AU647" i="1" s="1"/>
  <c r="P648" i="36"/>
  <c r="AG541" i="36"/>
  <c r="AC405" i="36"/>
  <c r="AG546" i="36"/>
  <c r="AG570" i="36"/>
  <c r="AG548" i="36"/>
  <c r="T669" i="36"/>
  <c r="S624" i="36"/>
  <c r="AR654" i="1"/>
  <c r="AS654" i="1" s="1"/>
  <c r="AT654" i="1" s="1"/>
  <c r="X630" i="36"/>
  <c r="S622" i="36"/>
  <c r="P645" i="36"/>
  <c r="U646" i="1"/>
  <c r="AP646" i="1" s="1"/>
  <c r="AU646" i="1" s="1"/>
  <c r="P647" i="36"/>
  <c r="Y662" i="36"/>
  <c r="AF662" i="36"/>
  <c r="T644" i="36"/>
  <c r="AG554" i="36"/>
  <c r="S665" i="36"/>
  <c r="P640" i="36"/>
  <c r="X658" i="36"/>
  <c r="AN658" i="36" s="1"/>
  <c r="S626" i="36"/>
  <c r="V663" i="36"/>
  <c r="T661" i="35"/>
  <c r="C669" i="38"/>
  <c r="E669" i="38" s="1"/>
  <c r="S620" i="36"/>
  <c r="P642" i="36"/>
  <c r="AG522" i="36"/>
  <c r="AG536" i="36"/>
  <c r="AC404" i="36"/>
  <c r="P636" i="1"/>
  <c r="T674" i="36"/>
  <c r="AR643" i="1"/>
  <c r="AQ643" i="1" s="1"/>
  <c r="Q636" i="1"/>
  <c r="T631" i="36"/>
  <c r="X619" i="36"/>
  <c r="T629" i="36"/>
  <c r="V659" i="36"/>
  <c r="T657" i="35"/>
  <c r="C665" i="38"/>
  <c r="E665" i="38" s="1"/>
  <c r="T627" i="36"/>
  <c r="X667" i="36"/>
  <c r="U640" i="1"/>
  <c r="AP640" i="1" s="1"/>
  <c r="AU640" i="1" s="1"/>
  <c r="P641" i="36"/>
  <c r="T622" i="36"/>
  <c r="X671" i="36"/>
  <c r="P637" i="1"/>
  <c r="P638" i="36"/>
  <c r="AG526" i="36"/>
  <c r="AG535" i="36"/>
  <c r="AF660" i="36"/>
  <c r="Y660" i="36"/>
  <c r="Q648" i="1"/>
  <c r="U638" i="1"/>
  <c r="AP638" i="1" s="1"/>
  <c r="AU638" i="1" s="1"/>
  <c r="U656" i="1"/>
  <c r="AP656" i="1" s="1"/>
  <c r="AU656" i="1" s="1"/>
  <c r="Q656" i="1"/>
  <c r="U652" i="1"/>
  <c r="AP652" i="1" s="1"/>
  <c r="AU652" i="1" s="1"/>
  <c r="Q652" i="1"/>
  <c r="P650" i="1"/>
  <c r="P638" i="1"/>
  <c r="Q634" i="1"/>
  <c r="P634" i="1"/>
  <c r="Q650" i="1"/>
  <c r="P640" i="1"/>
  <c r="Q647" i="1"/>
  <c r="U650" i="1"/>
  <c r="AP650" i="1" s="1"/>
  <c r="AU650" i="1" s="1"/>
  <c r="Q651" i="1"/>
  <c r="U654" i="1"/>
  <c r="AP654" i="1" s="1"/>
  <c r="AU654" i="1" s="1"/>
  <c r="AR646" i="1"/>
  <c r="AS646" i="1" s="1"/>
  <c r="AT646" i="1" s="1"/>
  <c r="P646" i="1"/>
  <c r="P655" i="1"/>
  <c r="Q654" i="1"/>
  <c r="Q645" i="1"/>
  <c r="U653" i="1"/>
  <c r="AP653" i="1" s="1"/>
  <c r="AU653" i="1" s="1"/>
  <c r="Q640" i="1"/>
  <c r="Q653" i="1"/>
  <c r="AR640" i="1"/>
  <c r="AQ640" i="1" s="1"/>
  <c r="AR636" i="1"/>
  <c r="AQ636" i="1" s="1"/>
  <c r="Q655" i="1"/>
  <c r="AR648" i="1"/>
  <c r="AS648" i="1" s="1"/>
  <c r="AT648" i="1" s="1"/>
  <c r="AR652" i="1"/>
  <c r="AQ652" i="1" s="1"/>
  <c r="AR656" i="1"/>
  <c r="AS656" i="1" s="1"/>
  <c r="AT656" i="1" s="1"/>
  <c r="U632" i="1"/>
  <c r="AP632" i="1" s="1"/>
  <c r="AU632" i="1" s="1"/>
  <c r="AR651" i="1"/>
  <c r="AS651" i="1" s="1"/>
  <c r="AT651" i="1" s="1"/>
  <c r="AR655" i="1"/>
  <c r="AQ655" i="1" s="1"/>
  <c r="AR637" i="1"/>
  <c r="AS637" i="1" s="1"/>
  <c r="AT637" i="1" s="1"/>
  <c r="Q639" i="1"/>
  <c r="AR647" i="1"/>
  <c r="AQ647" i="1" s="1"/>
  <c r="Q635" i="1"/>
  <c r="Q649" i="1"/>
  <c r="Q644" i="1"/>
  <c r="Q641" i="1"/>
  <c r="Q633" i="1"/>
  <c r="AR638" i="1"/>
  <c r="AS638" i="1" s="1"/>
  <c r="AT638" i="1" s="1"/>
  <c r="AR642" i="1"/>
  <c r="AS642" i="1" s="1"/>
  <c r="AT642" i="1" s="1"/>
  <c r="Q637" i="1"/>
  <c r="AR634" i="1"/>
  <c r="AQ634" i="1" s="1"/>
  <c r="AR653" i="1"/>
  <c r="AQ653" i="1" s="1"/>
  <c r="AR645" i="1"/>
  <c r="AQ645" i="1" s="1"/>
  <c r="AR632" i="1"/>
  <c r="AQ632" i="1" s="1"/>
  <c r="AR641" i="1"/>
  <c r="AS641" i="1" s="1"/>
  <c r="AT641" i="1" s="1"/>
  <c r="U649" i="1"/>
  <c r="AP649" i="1" s="1"/>
  <c r="AU649" i="1" s="1"/>
  <c r="Q632" i="1"/>
  <c r="U641" i="1"/>
  <c r="AP641" i="1" s="1"/>
  <c r="AU641" i="1" s="1"/>
  <c r="AR649" i="1"/>
  <c r="AQ649" i="1" s="1"/>
  <c r="P632" i="1"/>
  <c r="P641" i="1"/>
  <c r="P649" i="1"/>
  <c r="AR633" i="1"/>
  <c r="AQ633" i="1" s="1"/>
  <c r="P644" i="1"/>
  <c r="P633" i="1"/>
  <c r="U633" i="1"/>
  <c r="AP633" i="1" s="1"/>
  <c r="AU633" i="1" s="1"/>
  <c r="U639" i="1"/>
  <c r="AP639" i="1" s="1"/>
  <c r="AU639" i="1" s="1"/>
  <c r="U644" i="1"/>
  <c r="AP644" i="1" s="1"/>
  <c r="AU644" i="1" s="1"/>
  <c r="AR639" i="1"/>
  <c r="AQ639" i="1" s="1"/>
  <c r="P639" i="1"/>
  <c r="AR644" i="1"/>
  <c r="AS644" i="1" s="1"/>
  <c r="AT644" i="1" s="1"/>
  <c r="U637" i="1"/>
  <c r="AP637" i="1" s="1"/>
  <c r="AU637" i="1" s="1"/>
  <c r="U635" i="1"/>
  <c r="AP635" i="1" s="1"/>
  <c r="AU635" i="1" s="1"/>
  <c r="P635" i="1"/>
  <c r="AR635" i="1"/>
  <c r="AQ635" i="1" s="1"/>
  <c r="AQ650" i="1"/>
  <c r="AS643" i="1"/>
  <c r="AT643" i="1" s="1"/>
  <c r="AQ654" i="1"/>
  <c r="AJ590" i="1"/>
  <c r="AJ591" i="1"/>
  <c r="AJ592" i="1"/>
  <c r="AJ593" i="1"/>
  <c r="AJ594" i="1"/>
  <c r="AJ595" i="1"/>
  <c r="AJ596" i="1"/>
  <c r="AJ597" i="1"/>
  <c r="AJ598" i="1"/>
  <c r="AJ599" i="1"/>
  <c r="AJ600" i="1"/>
  <c r="AJ601" i="1"/>
  <c r="AJ602" i="1"/>
  <c r="AJ603" i="1"/>
  <c r="AJ604" i="1"/>
  <c r="AJ589"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AS653" i="1" l="1"/>
  <c r="AT653" i="1" s="1"/>
  <c r="AQ646" i="1"/>
  <c r="W633" i="36"/>
  <c r="U631" i="35"/>
  <c r="D639" i="38"/>
  <c r="W635" i="36"/>
  <c r="U633" i="35"/>
  <c r="D641" i="38"/>
  <c r="S635" i="36"/>
  <c r="AF649" i="36"/>
  <c r="S637" i="36"/>
  <c r="Y628" i="36"/>
  <c r="AL628" i="36"/>
  <c r="U646" i="35"/>
  <c r="W648" i="36"/>
  <c r="D654" i="38"/>
  <c r="Y665" i="36"/>
  <c r="AK665" i="36"/>
  <c r="S639" i="36"/>
  <c r="Y631" i="36"/>
  <c r="AL631" i="36"/>
  <c r="Y625" i="36"/>
  <c r="AL625" i="36"/>
  <c r="X642" i="36"/>
  <c r="AN642" i="36" s="1"/>
  <c r="W652" i="36"/>
  <c r="U650" i="35"/>
  <c r="D658" i="38"/>
  <c r="Y620" i="36"/>
  <c r="AL620" i="36"/>
  <c r="T655" i="36"/>
  <c r="AF644" i="36"/>
  <c r="AL623" i="36"/>
  <c r="Y623" i="36"/>
  <c r="T635" i="36"/>
  <c r="P149" i="36"/>
  <c r="P211" i="36"/>
  <c r="P179" i="36"/>
  <c r="P147" i="36"/>
  <c r="X649" i="36"/>
  <c r="AN649" i="36" s="1"/>
  <c r="W639" i="36"/>
  <c r="U637" i="35"/>
  <c r="D645" i="38"/>
  <c r="T649" i="36"/>
  <c r="T657" i="36"/>
  <c r="P152" i="36"/>
  <c r="T651" i="36"/>
  <c r="Y671" i="36"/>
  <c r="AK671" i="36"/>
  <c r="P146" i="36"/>
  <c r="P209" i="36"/>
  <c r="P177" i="36"/>
  <c r="P145" i="36"/>
  <c r="X654" i="36"/>
  <c r="AN654" i="36" s="1"/>
  <c r="T652" i="35"/>
  <c r="V654" i="36"/>
  <c r="C660" i="38"/>
  <c r="E660" i="38" s="1"/>
  <c r="V637" i="36"/>
  <c r="T635" i="35"/>
  <c r="C643" i="38"/>
  <c r="E643" i="38" s="1"/>
  <c r="V648" i="36"/>
  <c r="T646" i="35"/>
  <c r="C654" i="38"/>
  <c r="E654" i="38" s="1"/>
  <c r="P186" i="36"/>
  <c r="S640" i="36"/>
  <c r="S633" i="36"/>
  <c r="P183" i="36"/>
  <c r="P150" i="36"/>
  <c r="X657" i="36"/>
  <c r="AN657" i="36" s="1"/>
  <c r="W657" i="36"/>
  <c r="U655" i="35"/>
  <c r="D663" i="38"/>
  <c r="P208" i="36"/>
  <c r="P176" i="36"/>
  <c r="P144" i="36"/>
  <c r="V635" i="36"/>
  <c r="T633" i="35"/>
  <c r="C641" i="38"/>
  <c r="E641" i="38" s="1"/>
  <c r="V641" i="36"/>
  <c r="T639" i="35"/>
  <c r="C647" i="38"/>
  <c r="E647" i="38" s="1"/>
  <c r="T654" i="36"/>
  <c r="P155" i="36"/>
  <c r="P182" i="36"/>
  <c r="P180" i="36"/>
  <c r="P207" i="36"/>
  <c r="P175" i="36"/>
  <c r="P143" i="36"/>
  <c r="V655" i="36"/>
  <c r="T653" i="35"/>
  <c r="C661" i="38"/>
  <c r="E661" i="38" s="1"/>
  <c r="S638" i="36"/>
  <c r="W641" i="36"/>
  <c r="U639" i="35"/>
  <c r="D647" i="38"/>
  <c r="T642" i="35"/>
  <c r="V644" i="36"/>
  <c r="C650" i="38"/>
  <c r="E650" i="38" s="1"/>
  <c r="U645" i="35"/>
  <c r="W647" i="36"/>
  <c r="D653" i="38"/>
  <c r="AK669" i="36"/>
  <c r="Y669" i="36"/>
  <c r="P187" i="36"/>
  <c r="P153" i="36"/>
  <c r="T654" i="35"/>
  <c r="V656" i="36"/>
  <c r="C662" i="38"/>
  <c r="E662" i="38" s="1"/>
  <c r="V646" i="36"/>
  <c r="T644" i="35"/>
  <c r="C652" i="38"/>
  <c r="E652" i="38" s="1"/>
  <c r="T651" i="35"/>
  <c r="V653" i="36"/>
  <c r="C659" i="38"/>
  <c r="E659" i="38" s="1"/>
  <c r="P206" i="36"/>
  <c r="P174" i="36"/>
  <c r="P142" i="36"/>
  <c r="X644" i="36"/>
  <c r="AN644" i="36" s="1"/>
  <c r="X643" i="36"/>
  <c r="AN643" i="36" s="1"/>
  <c r="U635" i="35"/>
  <c r="W637" i="36"/>
  <c r="D643" i="38"/>
  <c r="X638" i="36"/>
  <c r="AN638" i="36" s="1"/>
  <c r="P151" i="36"/>
  <c r="P181" i="36"/>
  <c r="P210" i="36"/>
  <c r="S649" i="36"/>
  <c r="P205" i="36"/>
  <c r="P173" i="36"/>
  <c r="P141" i="36"/>
  <c r="T649" i="35"/>
  <c r="V651" i="36"/>
  <c r="C657" i="38"/>
  <c r="E657" i="38" s="1"/>
  <c r="X639" i="36"/>
  <c r="AN639" i="36" s="1"/>
  <c r="Y622" i="36"/>
  <c r="AL622" i="36"/>
  <c r="T638" i="36"/>
  <c r="W642" i="36"/>
  <c r="U640" i="35"/>
  <c r="D648" i="38"/>
  <c r="T639" i="36"/>
  <c r="V633" i="36"/>
  <c r="T631" i="35"/>
  <c r="C639" i="38"/>
  <c r="E639" i="38" s="1"/>
  <c r="P212" i="36"/>
  <c r="P204" i="36"/>
  <c r="P172" i="36"/>
  <c r="P140" i="36"/>
  <c r="V647" i="36"/>
  <c r="T645" i="35"/>
  <c r="C653" i="38"/>
  <c r="E653" i="38" s="1"/>
  <c r="S634" i="36"/>
  <c r="T637" i="36"/>
  <c r="AK673" i="36"/>
  <c r="Y673" i="36"/>
  <c r="AL624" i="36"/>
  <c r="Y624" i="36"/>
  <c r="P185" i="36"/>
  <c r="U648" i="35"/>
  <c r="W650" i="36"/>
  <c r="D656" i="38"/>
  <c r="S653" i="36"/>
  <c r="P148" i="36"/>
  <c r="P178" i="36"/>
  <c r="S656" i="36"/>
  <c r="P203" i="36"/>
  <c r="P171" i="36"/>
  <c r="P139" i="36"/>
  <c r="V636" i="36"/>
  <c r="T634" i="35"/>
  <c r="C642" i="38"/>
  <c r="E642" i="38" s="1"/>
  <c r="Y674" i="36"/>
  <c r="AK674" i="36"/>
  <c r="T648" i="35"/>
  <c r="V650" i="36"/>
  <c r="C656" i="38"/>
  <c r="E656" i="38" s="1"/>
  <c r="P154" i="36"/>
  <c r="P184" i="36"/>
  <c r="X652" i="36"/>
  <c r="AN652" i="36" s="1"/>
  <c r="W653" i="36"/>
  <c r="U651" i="35"/>
  <c r="D659" i="38"/>
  <c r="S657" i="36"/>
  <c r="P202" i="36"/>
  <c r="P170" i="36"/>
  <c r="P138" i="36"/>
  <c r="T636" i="36"/>
  <c r="AK667" i="36"/>
  <c r="Y667" i="36"/>
  <c r="S654" i="36"/>
  <c r="S641" i="36"/>
  <c r="AL627" i="36"/>
  <c r="Y627" i="36"/>
  <c r="Y629" i="36"/>
  <c r="AL629" i="36"/>
  <c r="P156" i="36"/>
  <c r="S636" i="36"/>
  <c r="P167" i="36"/>
  <c r="T653" i="36"/>
  <c r="AL632" i="36"/>
  <c r="Y632" i="36"/>
  <c r="P188" i="36"/>
  <c r="AL626" i="36"/>
  <c r="Y626" i="36"/>
  <c r="Y668" i="36"/>
  <c r="AK668" i="36"/>
  <c r="S651" i="36"/>
  <c r="P133" i="36"/>
  <c r="T646" i="36"/>
  <c r="T656" i="36"/>
  <c r="AK666" i="36"/>
  <c r="Y666" i="36"/>
  <c r="T633" i="36"/>
  <c r="Y630" i="36"/>
  <c r="AL630" i="36"/>
  <c r="U641" i="35"/>
  <c r="W643" i="36"/>
  <c r="D649" i="38"/>
  <c r="U654" i="35"/>
  <c r="W656" i="36"/>
  <c r="D662" i="38"/>
  <c r="P200" i="36"/>
  <c r="P199" i="36"/>
  <c r="W654" i="36"/>
  <c r="U652" i="35"/>
  <c r="D660" i="38"/>
  <c r="P198" i="36"/>
  <c r="P132" i="36"/>
  <c r="W640" i="36"/>
  <c r="U638" i="35"/>
  <c r="D646" i="38"/>
  <c r="P194" i="36"/>
  <c r="P162" i="36"/>
  <c r="P130" i="36"/>
  <c r="U632" i="35"/>
  <c r="W634" i="36"/>
  <c r="D640" i="38"/>
  <c r="S642" i="36"/>
  <c r="X647" i="36"/>
  <c r="AN647" i="36" s="1"/>
  <c r="Y664" i="36"/>
  <c r="AK664" i="36"/>
  <c r="P201" i="36"/>
  <c r="P165" i="36"/>
  <c r="P196" i="36"/>
  <c r="P195" i="36"/>
  <c r="T647" i="36"/>
  <c r="P193" i="36"/>
  <c r="P161" i="36"/>
  <c r="T634" i="36"/>
  <c r="S645" i="36"/>
  <c r="W655" i="36"/>
  <c r="U653" i="35"/>
  <c r="D661" i="38"/>
  <c r="Y672" i="36"/>
  <c r="AK672" i="36"/>
  <c r="P168" i="36"/>
  <c r="X645" i="36"/>
  <c r="AN645" i="36" s="1"/>
  <c r="T640" i="36"/>
  <c r="S646" i="36"/>
  <c r="S655" i="36"/>
  <c r="W645" i="36"/>
  <c r="U643" i="35"/>
  <c r="D651" i="38"/>
  <c r="P131" i="36"/>
  <c r="P192" i="36"/>
  <c r="P160" i="36"/>
  <c r="T645" i="36"/>
  <c r="S650" i="36"/>
  <c r="S652" i="36"/>
  <c r="X655" i="36"/>
  <c r="AN655" i="36" s="1"/>
  <c r="AK670" i="36"/>
  <c r="Y670" i="36"/>
  <c r="X651" i="36"/>
  <c r="AN651" i="36" s="1"/>
  <c r="W646" i="36"/>
  <c r="U644" i="35"/>
  <c r="D652" i="38"/>
  <c r="P169" i="36"/>
  <c r="P136" i="36"/>
  <c r="P135" i="36"/>
  <c r="P134" i="36"/>
  <c r="P164" i="36"/>
  <c r="P191" i="36"/>
  <c r="P159" i="36"/>
  <c r="T632" i="35"/>
  <c r="V634" i="36"/>
  <c r="C640" i="38"/>
  <c r="E640" i="38" s="1"/>
  <c r="U649" i="35"/>
  <c r="W651" i="36"/>
  <c r="D657" i="38"/>
  <c r="Y658" i="36"/>
  <c r="W636" i="36"/>
  <c r="U634" i="35"/>
  <c r="D642" i="38"/>
  <c r="P197" i="36"/>
  <c r="P190" i="36"/>
  <c r="P158" i="36"/>
  <c r="T650" i="36"/>
  <c r="S648" i="36"/>
  <c r="Y621" i="36"/>
  <c r="AL621" i="36"/>
  <c r="P137" i="36"/>
  <c r="U636" i="35"/>
  <c r="W638" i="36"/>
  <c r="D644" i="38"/>
  <c r="P166" i="36"/>
  <c r="T638" i="35"/>
  <c r="V640" i="36"/>
  <c r="C646" i="38"/>
  <c r="E646" i="38" s="1"/>
  <c r="P163" i="36"/>
  <c r="P189" i="36"/>
  <c r="P157" i="36"/>
  <c r="T642" i="36"/>
  <c r="T641" i="36"/>
  <c r="Y619" i="36"/>
  <c r="AL619" i="36"/>
  <c r="AQ648" i="1"/>
  <c r="AQ642" i="1"/>
  <c r="AQ638" i="1"/>
  <c r="AQ637" i="1"/>
  <c r="AS640" i="1"/>
  <c r="AT640" i="1" s="1"/>
  <c r="AS636" i="1"/>
  <c r="AT636" i="1" s="1"/>
  <c r="AS652" i="1"/>
  <c r="AT652" i="1" s="1"/>
  <c r="AS634" i="1"/>
  <c r="AT634" i="1" s="1"/>
  <c r="AS655" i="1"/>
  <c r="AT655" i="1" s="1"/>
  <c r="AS647" i="1"/>
  <c r="AT647" i="1" s="1"/>
  <c r="AQ656" i="1"/>
  <c r="AQ651" i="1"/>
  <c r="AJ210" i="1"/>
  <c r="AJ178" i="1"/>
  <c r="AJ146" i="1"/>
  <c r="AJ176" i="1"/>
  <c r="AJ208" i="1"/>
  <c r="AJ205" i="1"/>
  <c r="AJ173" i="1"/>
  <c r="AJ141" i="1"/>
  <c r="AS632" i="1"/>
  <c r="AT632" i="1" s="1"/>
  <c r="AJ211" i="1"/>
  <c r="AJ143" i="1"/>
  <c r="AJ201" i="1"/>
  <c r="AJ169" i="1"/>
  <c r="AJ137" i="1"/>
  <c r="AJ177" i="1"/>
  <c r="AJ207" i="1"/>
  <c r="AJ204" i="1"/>
  <c r="AJ170" i="1"/>
  <c r="AJ200" i="1"/>
  <c r="AJ168" i="1"/>
  <c r="AJ136" i="1"/>
  <c r="AJ179" i="1"/>
  <c r="AJ145" i="1"/>
  <c r="AJ206" i="1"/>
  <c r="AJ171" i="1"/>
  <c r="AJ202" i="1"/>
  <c r="AJ144" i="1"/>
  <c r="AJ140" i="1"/>
  <c r="AJ203" i="1"/>
  <c r="AJ138" i="1"/>
  <c r="AJ135" i="1"/>
  <c r="AJ166" i="1"/>
  <c r="AJ134" i="1"/>
  <c r="AJ199" i="1"/>
  <c r="AJ198" i="1"/>
  <c r="AJ197" i="1"/>
  <c r="AJ165" i="1"/>
  <c r="AJ133" i="1"/>
  <c r="AS645" i="1"/>
  <c r="AT645" i="1" s="1"/>
  <c r="AJ147" i="1"/>
  <c r="AJ142" i="1"/>
  <c r="AJ139" i="1"/>
  <c r="AJ167" i="1"/>
  <c r="AJ196" i="1"/>
  <c r="AJ164" i="1"/>
  <c r="AJ132" i="1"/>
  <c r="AJ175" i="1"/>
  <c r="AJ174" i="1"/>
  <c r="AJ172" i="1"/>
  <c r="AJ195" i="1"/>
  <c r="AJ163" i="1"/>
  <c r="AJ131" i="1"/>
  <c r="AJ180" i="1"/>
  <c r="AJ157" i="1"/>
  <c r="AJ187" i="1"/>
  <c r="AJ155" i="1"/>
  <c r="AJ209" i="1"/>
  <c r="AJ129" i="1"/>
  <c r="AJ191" i="1"/>
  <c r="AJ186" i="1"/>
  <c r="AJ153" i="1"/>
  <c r="AJ194" i="1"/>
  <c r="AJ160" i="1"/>
  <c r="AJ185" i="1"/>
  <c r="AJ184" i="1"/>
  <c r="AJ152" i="1"/>
  <c r="AJ190" i="1"/>
  <c r="AJ189" i="1"/>
  <c r="AJ188" i="1"/>
  <c r="AJ151" i="1"/>
  <c r="AJ148" i="1"/>
  <c r="AJ162" i="1"/>
  <c r="AJ161" i="1"/>
  <c r="AJ192" i="1"/>
  <c r="AJ158" i="1"/>
  <c r="AJ183" i="1"/>
  <c r="AJ150" i="1"/>
  <c r="AJ130" i="1"/>
  <c r="AJ193" i="1"/>
  <c r="AJ159" i="1"/>
  <c r="AJ156" i="1"/>
  <c r="AJ154" i="1"/>
  <c r="AJ182" i="1"/>
  <c r="AJ181" i="1"/>
  <c r="AJ149" i="1"/>
  <c r="AS639" i="1"/>
  <c r="AT639" i="1" s="1"/>
  <c r="AQ641" i="1"/>
  <c r="AS649" i="1"/>
  <c r="AT649" i="1" s="1"/>
  <c r="AQ644" i="1"/>
  <c r="AS633" i="1"/>
  <c r="AT633" i="1" s="1"/>
  <c r="AS635" i="1"/>
  <c r="AT635" i="1" s="1"/>
  <c r="AI62" i="1"/>
  <c r="AI61" i="1"/>
  <c r="AI60" i="1"/>
  <c r="AI59" i="1"/>
  <c r="AI58" i="1"/>
  <c r="AI57" i="1"/>
  <c r="AI56" i="1"/>
  <c r="AI55" i="1"/>
  <c r="AI54" i="1"/>
  <c r="AI53" i="1"/>
  <c r="AI52" i="1"/>
  <c r="AI51" i="1"/>
  <c r="AI50" i="1"/>
  <c r="AH50" i="1"/>
  <c r="AH62" i="1"/>
  <c r="AH61" i="1"/>
  <c r="AH60" i="1"/>
  <c r="AH59" i="1"/>
  <c r="AH58" i="1"/>
  <c r="AH57" i="1"/>
  <c r="AH56" i="1"/>
  <c r="AH55" i="1"/>
  <c r="AH54" i="1"/>
  <c r="AH53" i="1"/>
  <c r="AH52" i="1"/>
  <c r="AH51" i="1"/>
  <c r="AJ50" i="1"/>
  <c r="D2" i="10"/>
  <c r="O617" i="1"/>
  <c r="AS615" i="1"/>
  <c r="AS614" i="1"/>
  <c r="AS612" i="1"/>
  <c r="AM615" i="1"/>
  <c r="AM614" i="1"/>
  <c r="AM612" i="1"/>
  <c r="M616" i="1"/>
  <c r="M615" i="1"/>
  <c r="M614" i="1"/>
  <c r="M613" i="1"/>
  <c r="M612" i="1"/>
  <c r="M610" i="1"/>
  <c r="M611" i="1"/>
  <c r="M609" i="1"/>
  <c r="M608" i="1"/>
  <c r="P679" i="1"/>
  <c r="P680" i="1"/>
  <c r="P681" i="1"/>
  <c r="P682" i="1"/>
  <c r="P683" i="1"/>
  <c r="P678" i="1"/>
  <c r="Q679" i="1"/>
  <c r="Q680" i="1"/>
  <c r="Q681" i="1"/>
  <c r="Q682" i="1"/>
  <c r="Q683" i="1"/>
  <c r="V679" i="1"/>
  <c r="AR679" i="1" s="1"/>
  <c r="AS679" i="1" s="1"/>
  <c r="AM679" i="1" s="1"/>
  <c r="V680" i="1"/>
  <c r="AR680" i="1" s="1"/>
  <c r="AS680" i="1" s="1"/>
  <c r="AM680" i="1" s="1"/>
  <c r="V681" i="1"/>
  <c r="AR681" i="1" s="1"/>
  <c r="AS681" i="1" s="1"/>
  <c r="AM681" i="1" s="1"/>
  <c r="V682" i="1"/>
  <c r="AR682" i="1" s="1"/>
  <c r="AS682" i="1" s="1"/>
  <c r="AM682" i="1" s="1"/>
  <c r="V683" i="1"/>
  <c r="AR683" i="1" s="1"/>
  <c r="AS683" i="1" s="1"/>
  <c r="AM683" i="1" s="1"/>
  <c r="V678" i="1"/>
  <c r="AR678" i="1" s="1"/>
  <c r="AS678" i="1" s="1"/>
  <c r="AM678" i="1" s="1"/>
  <c r="Q678" i="1"/>
  <c r="P606" i="1"/>
  <c r="P607" i="1"/>
  <c r="P605" i="1"/>
  <c r="AR606" i="1"/>
  <c r="AS606" i="1" s="1"/>
  <c r="AT606" i="1" s="1"/>
  <c r="AR607" i="1"/>
  <c r="AS607" i="1" s="1"/>
  <c r="AT607" i="1" s="1"/>
  <c r="AR605" i="1"/>
  <c r="AS605" i="1" s="1"/>
  <c r="AT605" i="1" s="1"/>
  <c r="Q606" i="1"/>
  <c r="Q607" i="1"/>
  <c r="Q605" i="1"/>
  <c r="AO604" i="1"/>
  <c r="AU604" i="1" s="1"/>
  <c r="Q598" i="1"/>
  <c r="Q599" i="1"/>
  <c r="Q600" i="1"/>
  <c r="Q601" i="1"/>
  <c r="Q602" i="1"/>
  <c r="Q603" i="1"/>
  <c r="Q604" i="1"/>
  <c r="Q597" i="1"/>
  <c r="Q590" i="1"/>
  <c r="AR590" i="1" s="1"/>
  <c r="AT590" i="1" s="1"/>
  <c r="Q591" i="1"/>
  <c r="Q592" i="1"/>
  <c r="Q593" i="1"/>
  <c r="Q594" i="1"/>
  <c r="Q595" i="1"/>
  <c r="Q596" i="1"/>
  <c r="Q589" i="1"/>
  <c r="AO590" i="1"/>
  <c r="AU590" i="1" s="1"/>
  <c r="AO591" i="1"/>
  <c r="AU591" i="1" s="1"/>
  <c r="AO592" i="1"/>
  <c r="AU592" i="1" s="1"/>
  <c r="AO593" i="1"/>
  <c r="AU593" i="1" s="1"/>
  <c r="AO594" i="1"/>
  <c r="AU594" i="1" s="1"/>
  <c r="AO595" i="1"/>
  <c r="AU595" i="1" s="1"/>
  <c r="AO596" i="1"/>
  <c r="AU596" i="1" s="1"/>
  <c r="AO597" i="1"/>
  <c r="AU597" i="1" s="1"/>
  <c r="AO598" i="1"/>
  <c r="AU598" i="1" s="1"/>
  <c r="AO599" i="1"/>
  <c r="AU599" i="1" s="1"/>
  <c r="AO600" i="1"/>
  <c r="AU600" i="1" s="1"/>
  <c r="AO601" i="1"/>
  <c r="AU601" i="1" s="1"/>
  <c r="AO602" i="1"/>
  <c r="AU602" i="1" s="1"/>
  <c r="AO603" i="1"/>
  <c r="AU603" i="1" s="1"/>
  <c r="AO589" i="1"/>
  <c r="AU589" i="1" s="1"/>
  <c r="V588" i="1"/>
  <c r="V586" i="1"/>
  <c r="V585" i="1"/>
  <c r="V584" i="1"/>
  <c r="V583" i="1"/>
  <c r="V582" i="1"/>
  <c r="V581" i="1"/>
  <c r="M588" i="1"/>
  <c r="M587" i="1"/>
  <c r="M586" i="1"/>
  <c r="M585" i="1"/>
  <c r="M584" i="1"/>
  <c r="M583" i="1"/>
  <c r="M582" i="1"/>
  <c r="M581" i="1"/>
  <c r="O588" i="1"/>
  <c r="O587" i="1"/>
  <c r="O586" i="1"/>
  <c r="O585" i="1"/>
  <c r="O584" i="1"/>
  <c r="O583" i="1"/>
  <c r="O582" i="1"/>
  <c r="O581" i="1"/>
  <c r="AM580" i="1"/>
  <c r="AM579" i="1"/>
  <c r="AM578" i="1"/>
  <c r="V580" i="1"/>
  <c r="V579" i="1"/>
  <c r="V578" i="1"/>
  <c r="M579" i="1"/>
  <c r="N579" i="1"/>
  <c r="O579" i="1"/>
  <c r="M580" i="1"/>
  <c r="N580" i="1"/>
  <c r="O580" i="1"/>
  <c r="V430" i="1"/>
  <c r="O578" i="1"/>
  <c r="N578" i="1"/>
  <c r="M578" i="1"/>
  <c r="AO573" i="1"/>
  <c r="AU573" i="1" s="1"/>
  <c r="AO574" i="1"/>
  <c r="AU574" i="1" s="1"/>
  <c r="AO575" i="1"/>
  <c r="AU575" i="1" s="1"/>
  <c r="AO577" i="1"/>
  <c r="AU577" i="1" s="1"/>
  <c r="AO576" i="1"/>
  <c r="AU576" i="1" s="1"/>
  <c r="AR573" i="1"/>
  <c r="AT573" i="1" s="1"/>
  <c r="AR574" i="1"/>
  <c r="AQ574" i="1" s="1"/>
  <c r="AR575" i="1"/>
  <c r="AQ575" i="1" s="1"/>
  <c r="AR576" i="1"/>
  <c r="AQ576" i="1" s="1"/>
  <c r="AR577" i="1"/>
  <c r="AT577" i="1" s="1"/>
  <c r="P572" i="1"/>
  <c r="P573" i="1"/>
  <c r="P574" i="1"/>
  <c r="P575" i="1"/>
  <c r="P576" i="1"/>
  <c r="P577" i="1"/>
  <c r="P571" i="1"/>
  <c r="AR522" i="1"/>
  <c r="AQ522" i="1" s="1"/>
  <c r="AR523" i="1"/>
  <c r="AQ523" i="1" s="1"/>
  <c r="AR524" i="1"/>
  <c r="AQ524" i="1" s="1"/>
  <c r="AR525" i="1"/>
  <c r="AT525" i="1" s="1"/>
  <c r="AR526" i="1"/>
  <c r="AQ526" i="1" s="1"/>
  <c r="AR527" i="1"/>
  <c r="AQ527" i="1" s="1"/>
  <c r="AR528" i="1"/>
  <c r="AQ528" i="1" s="1"/>
  <c r="AR529" i="1"/>
  <c r="AQ529" i="1" s="1"/>
  <c r="AR530" i="1"/>
  <c r="AQ530" i="1" s="1"/>
  <c r="AR531" i="1"/>
  <c r="AQ531" i="1" s="1"/>
  <c r="AR532" i="1"/>
  <c r="AQ532" i="1" s="1"/>
  <c r="AR533" i="1"/>
  <c r="AT533" i="1" s="1"/>
  <c r="AR534" i="1"/>
  <c r="AQ534" i="1" s="1"/>
  <c r="AR535" i="1"/>
  <c r="AQ535" i="1" s="1"/>
  <c r="AR536" i="1"/>
  <c r="AQ536" i="1" s="1"/>
  <c r="AR537" i="1"/>
  <c r="AQ537" i="1" s="1"/>
  <c r="AR538" i="1"/>
  <c r="AQ538" i="1" s="1"/>
  <c r="AR539" i="1"/>
  <c r="AQ539" i="1" s="1"/>
  <c r="AR540" i="1"/>
  <c r="AQ540" i="1" s="1"/>
  <c r="AR541" i="1"/>
  <c r="AT541" i="1" s="1"/>
  <c r="AR542" i="1"/>
  <c r="AQ542" i="1" s="1"/>
  <c r="AR543" i="1"/>
  <c r="AQ543" i="1" s="1"/>
  <c r="AR544" i="1"/>
  <c r="AQ544" i="1" s="1"/>
  <c r="AR545" i="1"/>
  <c r="AQ545" i="1" s="1"/>
  <c r="AR546" i="1"/>
  <c r="AQ546" i="1" s="1"/>
  <c r="AR547" i="1"/>
  <c r="AQ547" i="1" s="1"/>
  <c r="AR548" i="1"/>
  <c r="AQ548" i="1" s="1"/>
  <c r="AR549" i="1"/>
  <c r="AT549" i="1" s="1"/>
  <c r="AR550" i="1"/>
  <c r="AQ550" i="1" s="1"/>
  <c r="AR551" i="1"/>
  <c r="AQ551" i="1" s="1"/>
  <c r="AR552" i="1"/>
  <c r="AT552" i="1" s="1"/>
  <c r="AR553" i="1"/>
  <c r="AT553" i="1" s="1"/>
  <c r="AR554" i="1"/>
  <c r="AQ554" i="1" s="1"/>
  <c r="AR555" i="1"/>
  <c r="AQ555" i="1" s="1"/>
  <c r="AR556" i="1"/>
  <c r="AT556" i="1" s="1"/>
  <c r="AR557" i="1"/>
  <c r="AQ557" i="1" s="1"/>
  <c r="AR558" i="1"/>
  <c r="AQ558" i="1" s="1"/>
  <c r="AR559" i="1"/>
  <c r="AQ559" i="1" s="1"/>
  <c r="AR560" i="1"/>
  <c r="AT560" i="1" s="1"/>
  <c r="AR561" i="1"/>
  <c r="AT561" i="1" s="1"/>
  <c r="AR562" i="1"/>
  <c r="AQ562" i="1" s="1"/>
  <c r="AR563" i="1"/>
  <c r="AQ563" i="1" s="1"/>
  <c r="AR564" i="1"/>
  <c r="AT564" i="1" s="1"/>
  <c r="AR565" i="1"/>
  <c r="AQ565" i="1" s="1"/>
  <c r="AR566" i="1"/>
  <c r="AQ566" i="1" s="1"/>
  <c r="AR567" i="1"/>
  <c r="AQ567" i="1" s="1"/>
  <c r="AR568" i="1"/>
  <c r="AT568" i="1" s="1"/>
  <c r="AR569" i="1"/>
  <c r="AT569" i="1" s="1"/>
  <c r="AR570" i="1"/>
  <c r="AQ570" i="1" s="1"/>
  <c r="AR521" i="1"/>
  <c r="AQ521" i="1" s="1"/>
  <c r="AO497" i="1"/>
  <c r="AU497" i="1" s="1"/>
  <c r="AO498" i="1"/>
  <c r="AU498" i="1" s="1"/>
  <c r="AO499" i="1"/>
  <c r="AU499" i="1" s="1"/>
  <c r="AO500" i="1"/>
  <c r="AU500" i="1" s="1"/>
  <c r="AO501" i="1"/>
  <c r="AU501" i="1" s="1"/>
  <c r="AO502" i="1"/>
  <c r="AU502" i="1" s="1"/>
  <c r="AO503" i="1"/>
  <c r="AU503" i="1" s="1"/>
  <c r="AO504" i="1"/>
  <c r="AU504" i="1" s="1"/>
  <c r="AO505" i="1"/>
  <c r="AU505" i="1" s="1"/>
  <c r="AU506" i="1"/>
  <c r="AO496" i="1"/>
  <c r="AU496" i="1" s="1"/>
  <c r="AN520" i="1"/>
  <c r="W520" i="1"/>
  <c r="V520" i="1"/>
  <c r="O520" i="1"/>
  <c r="N520" i="1"/>
  <c r="M520" i="1"/>
  <c r="AN519" i="1"/>
  <c r="AN518" i="1"/>
  <c r="W519" i="1"/>
  <c r="W518" i="1"/>
  <c r="V518" i="1"/>
  <c r="V519" i="1"/>
  <c r="O519" i="1"/>
  <c r="O518" i="1"/>
  <c r="N519" i="1"/>
  <c r="M519" i="1"/>
  <c r="N518" i="1"/>
  <c r="M518" i="1"/>
  <c r="AN517" i="1"/>
  <c r="AN516" i="1"/>
  <c r="AN515" i="1"/>
  <c r="W517" i="1"/>
  <c r="W516" i="1"/>
  <c r="W515" i="1"/>
  <c r="V515" i="1"/>
  <c r="V516" i="1"/>
  <c r="V517" i="1"/>
  <c r="O517" i="1"/>
  <c r="O516" i="1"/>
  <c r="O515" i="1"/>
  <c r="M516" i="1"/>
  <c r="N516" i="1"/>
  <c r="M517" i="1"/>
  <c r="N517" i="1"/>
  <c r="N515" i="1"/>
  <c r="M515" i="1"/>
  <c r="AN514" i="1"/>
  <c r="W514" i="1"/>
  <c r="V514" i="1"/>
  <c r="O514" i="1"/>
  <c r="N514" i="1"/>
  <c r="M514" i="1"/>
  <c r="AN513" i="1"/>
  <c r="W513" i="1"/>
  <c r="V513" i="1"/>
  <c r="M513" i="1"/>
  <c r="O513" i="1"/>
  <c r="N513" i="1"/>
  <c r="O512" i="1"/>
  <c r="O511" i="1"/>
  <c r="O510" i="1"/>
  <c r="W512" i="1"/>
  <c r="W511" i="1"/>
  <c r="V512" i="1"/>
  <c r="AN512" i="1"/>
  <c r="AN511" i="1"/>
  <c r="AN510" i="1"/>
  <c r="W510" i="1"/>
  <c r="V511" i="1"/>
  <c r="W509" i="1"/>
  <c r="W508" i="1"/>
  <c r="AN509" i="1"/>
  <c r="AN508" i="1"/>
  <c r="V508" i="1"/>
  <c r="V509" i="1"/>
  <c r="V510" i="1"/>
  <c r="O508" i="1"/>
  <c r="O509" i="1"/>
  <c r="M508" i="1"/>
  <c r="N508" i="1"/>
  <c r="M509" i="1"/>
  <c r="N509" i="1"/>
  <c r="M510" i="1"/>
  <c r="N510" i="1"/>
  <c r="M511" i="1"/>
  <c r="N511" i="1"/>
  <c r="M512" i="1"/>
  <c r="N512" i="1"/>
  <c r="AN507" i="1"/>
  <c r="W507" i="1"/>
  <c r="V507" i="1"/>
  <c r="V436" i="1"/>
  <c r="O507" i="1"/>
  <c r="M507" i="1"/>
  <c r="N507" i="1"/>
  <c r="Y649" i="36" l="1"/>
  <c r="T576" i="36"/>
  <c r="V642" i="36"/>
  <c r="T640" i="35"/>
  <c r="C648" i="38"/>
  <c r="E648" i="38" s="1"/>
  <c r="X648" i="36"/>
  <c r="AN648" i="36" s="1"/>
  <c r="X640" i="36"/>
  <c r="AN640" i="36" s="1"/>
  <c r="X656" i="36"/>
  <c r="AN656" i="36" s="1"/>
  <c r="X635" i="36"/>
  <c r="AN635" i="36" s="1"/>
  <c r="AF634" i="36"/>
  <c r="X653" i="36"/>
  <c r="AN653" i="36" s="1"/>
  <c r="Y642" i="36"/>
  <c r="AF642" i="36"/>
  <c r="R589" i="36"/>
  <c r="X637" i="36"/>
  <c r="AN637" i="36" s="1"/>
  <c r="Y651" i="36"/>
  <c r="AF651" i="36"/>
  <c r="Y644" i="36"/>
  <c r="X641" i="36"/>
  <c r="AN641" i="36" s="1"/>
  <c r="AF656" i="36"/>
  <c r="Y643" i="36"/>
  <c r="AF643" i="36"/>
  <c r="P517" i="36"/>
  <c r="Q583" i="36"/>
  <c r="X633" i="36"/>
  <c r="AN633" i="36" s="1"/>
  <c r="V638" i="36"/>
  <c r="T636" i="35"/>
  <c r="C644" i="38"/>
  <c r="E644" i="38" s="1"/>
  <c r="W497" i="36"/>
  <c r="U495" i="35"/>
  <c r="D503" i="38"/>
  <c r="W500" i="36"/>
  <c r="U498" i="35"/>
  <c r="D506" i="38"/>
  <c r="V639" i="36"/>
  <c r="T637" i="35"/>
  <c r="C645" i="38"/>
  <c r="E645" i="38" s="1"/>
  <c r="AF637" i="36"/>
  <c r="X650" i="36"/>
  <c r="AN650" i="36" s="1"/>
  <c r="R586" i="36"/>
  <c r="V575" i="36"/>
  <c r="T573" i="35"/>
  <c r="C581" i="38"/>
  <c r="E581" i="38" s="1"/>
  <c r="S596" i="36"/>
  <c r="V543" i="36"/>
  <c r="T541" i="35"/>
  <c r="C549" i="38"/>
  <c r="E549" i="38" s="1"/>
  <c r="X574" i="36"/>
  <c r="AK574" i="36" s="1"/>
  <c r="S595" i="36"/>
  <c r="W499" i="36"/>
  <c r="U497" i="35"/>
  <c r="D505" i="38"/>
  <c r="X542" i="36"/>
  <c r="W577" i="36"/>
  <c r="U575" i="35"/>
  <c r="D583" i="38"/>
  <c r="Q585" i="36"/>
  <c r="S594" i="36"/>
  <c r="T641" i="35"/>
  <c r="V643" i="36"/>
  <c r="C649" i="38"/>
  <c r="E649" i="38" s="1"/>
  <c r="AF636" i="36"/>
  <c r="AF641" i="36"/>
  <c r="W507" i="36"/>
  <c r="U505" i="35"/>
  <c r="D513" i="38"/>
  <c r="X578" i="36"/>
  <c r="AK578" i="36" s="1"/>
  <c r="V577" i="36"/>
  <c r="T575" i="35"/>
  <c r="C583" i="38"/>
  <c r="E583" i="38" s="1"/>
  <c r="T574" i="35"/>
  <c r="V576" i="36"/>
  <c r="C582" i="38"/>
  <c r="E582" i="38" s="1"/>
  <c r="W501" i="36"/>
  <c r="U499" i="35"/>
  <c r="D507" i="38"/>
  <c r="Q584" i="36"/>
  <c r="W498" i="36"/>
  <c r="U496" i="35"/>
  <c r="D504" i="38"/>
  <c r="V541" i="36"/>
  <c r="T539" i="35"/>
  <c r="C547" i="38"/>
  <c r="E547" i="38" s="1"/>
  <c r="W578" i="36"/>
  <c r="U576" i="35"/>
  <c r="D584" i="38"/>
  <c r="Q586" i="36"/>
  <c r="S593" i="36"/>
  <c r="V649" i="36"/>
  <c r="T647" i="35"/>
  <c r="C655" i="38"/>
  <c r="E655" i="38" s="1"/>
  <c r="Y657" i="36"/>
  <c r="AF657" i="36"/>
  <c r="V549" i="36"/>
  <c r="T547" i="35"/>
  <c r="C555" i="38"/>
  <c r="E555" i="38" s="1"/>
  <c r="V547" i="36"/>
  <c r="T545" i="35"/>
  <c r="C553" i="38"/>
  <c r="E553" i="38" s="1"/>
  <c r="W503" i="36"/>
  <c r="U501" i="35"/>
  <c r="D509" i="38"/>
  <c r="S590" i="36"/>
  <c r="V540" i="36"/>
  <c r="T538" i="35"/>
  <c r="C546" i="38"/>
  <c r="E546" i="38" s="1"/>
  <c r="Y639" i="36"/>
  <c r="AF639" i="36"/>
  <c r="R587" i="36"/>
  <c r="Q587" i="36"/>
  <c r="Q508" i="36"/>
  <c r="V571" i="36"/>
  <c r="T569" i="35"/>
  <c r="C577" i="38"/>
  <c r="E577" i="38" s="1"/>
  <c r="V539" i="36"/>
  <c r="T537" i="35"/>
  <c r="C545" i="38"/>
  <c r="E545" i="38" s="1"/>
  <c r="W575" i="36"/>
  <c r="U573" i="35"/>
  <c r="D581" i="38"/>
  <c r="Q588" i="36"/>
  <c r="S591" i="36"/>
  <c r="Y653" i="36"/>
  <c r="AF653" i="36"/>
  <c r="Q517" i="36"/>
  <c r="V548" i="36"/>
  <c r="T546" i="35"/>
  <c r="C554" i="38"/>
  <c r="E554" i="38" s="1"/>
  <c r="X591" i="36"/>
  <c r="AL591" i="36" s="1"/>
  <c r="Q582" i="36"/>
  <c r="V544" i="36"/>
  <c r="T542" i="35"/>
  <c r="C550" i="38"/>
  <c r="E550" i="38" s="1"/>
  <c r="U574" i="35"/>
  <c r="W576" i="36"/>
  <c r="D582" i="38"/>
  <c r="S592" i="36"/>
  <c r="R508" i="36"/>
  <c r="R511" i="36"/>
  <c r="X570" i="36"/>
  <c r="V538" i="36"/>
  <c r="T536" i="35"/>
  <c r="C544" i="38"/>
  <c r="E544" i="38" s="1"/>
  <c r="W574" i="36"/>
  <c r="U572" i="35"/>
  <c r="D580" i="38"/>
  <c r="Q589" i="36"/>
  <c r="S598" i="36"/>
  <c r="X646" i="36"/>
  <c r="AN646" i="36" s="1"/>
  <c r="T575" i="36"/>
  <c r="R588" i="36"/>
  <c r="S597" i="36"/>
  <c r="P508" i="36"/>
  <c r="V522" i="36"/>
  <c r="T520" i="35"/>
  <c r="C528" i="38"/>
  <c r="E528" i="38" s="1"/>
  <c r="R512" i="36"/>
  <c r="Q519" i="36"/>
  <c r="X569" i="36"/>
  <c r="V537" i="36"/>
  <c r="T535" i="35"/>
  <c r="C543" i="38"/>
  <c r="E543" i="38" s="1"/>
  <c r="Q579" i="36"/>
  <c r="S605" i="36"/>
  <c r="R584" i="36"/>
  <c r="U591" i="35"/>
  <c r="W593" i="36"/>
  <c r="D599" i="38"/>
  <c r="R518" i="36"/>
  <c r="W502" i="36"/>
  <c r="U500" i="35"/>
  <c r="D508" i="38"/>
  <c r="R513" i="36"/>
  <c r="P519" i="36"/>
  <c r="V568" i="36"/>
  <c r="T566" i="35"/>
  <c r="C574" i="38"/>
  <c r="E574" i="38" s="1"/>
  <c r="V536" i="36"/>
  <c r="T534" i="35"/>
  <c r="C542" i="38"/>
  <c r="E542" i="38" s="1"/>
  <c r="P579" i="36"/>
  <c r="S604" i="36"/>
  <c r="Y638" i="36"/>
  <c r="AF638" i="36"/>
  <c r="R517" i="36"/>
  <c r="W504" i="36"/>
  <c r="U502" i="35"/>
  <c r="D510" i="38"/>
  <c r="V546" i="36"/>
  <c r="T544" i="35"/>
  <c r="C552" i="38"/>
  <c r="E552" i="38" s="1"/>
  <c r="V545" i="36"/>
  <c r="T543" i="35"/>
  <c r="C551" i="38"/>
  <c r="E551" i="38" s="1"/>
  <c r="P514" i="36"/>
  <c r="Q520" i="36"/>
  <c r="V567" i="36"/>
  <c r="T565" i="35"/>
  <c r="C573" i="38"/>
  <c r="E573" i="38" s="1"/>
  <c r="V535" i="36"/>
  <c r="T533" i="35"/>
  <c r="C541" i="38"/>
  <c r="E541" i="38" s="1"/>
  <c r="R579" i="36"/>
  <c r="S603" i="36"/>
  <c r="Y648" i="36"/>
  <c r="AF648" i="36"/>
  <c r="W594" i="36"/>
  <c r="U592" i="35"/>
  <c r="D600" i="38"/>
  <c r="Q609" i="36"/>
  <c r="AF640" i="36"/>
  <c r="Y640" i="36"/>
  <c r="R581" i="36"/>
  <c r="Q513" i="36"/>
  <c r="T655" i="35"/>
  <c r="V657" i="36"/>
  <c r="C663" i="38"/>
  <c r="E663" i="38" s="1"/>
  <c r="P512" i="36"/>
  <c r="AF650" i="36"/>
  <c r="Y650" i="36"/>
  <c r="Y652" i="36"/>
  <c r="AF652" i="36"/>
  <c r="Y635" i="36"/>
  <c r="AF635" i="36"/>
  <c r="R618" i="36"/>
  <c r="W592" i="36"/>
  <c r="U590" i="35"/>
  <c r="D598" i="38"/>
  <c r="V533" i="36"/>
  <c r="T531" i="35"/>
  <c r="C539" i="38"/>
  <c r="E539" i="38" s="1"/>
  <c r="U588" i="35"/>
  <c r="W590" i="36"/>
  <c r="D596" i="38"/>
  <c r="Q515" i="36"/>
  <c r="V528" i="36"/>
  <c r="T526" i="35"/>
  <c r="C534" i="38"/>
  <c r="E534" i="38" s="1"/>
  <c r="P510" i="36"/>
  <c r="R515" i="36"/>
  <c r="V559" i="36"/>
  <c r="T557" i="35"/>
  <c r="C565" i="38"/>
  <c r="E565" i="38" s="1"/>
  <c r="V527" i="36"/>
  <c r="T525" i="35"/>
  <c r="C533" i="38"/>
  <c r="E533" i="38" s="1"/>
  <c r="W602" i="36"/>
  <c r="U600" i="35"/>
  <c r="D608" i="38"/>
  <c r="S607" i="36"/>
  <c r="Q616" i="36"/>
  <c r="AF646" i="36"/>
  <c r="Y646" i="36"/>
  <c r="AF655" i="36"/>
  <c r="Y655" i="36"/>
  <c r="Q610" i="36"/>
  <c r="S600" i="36"/>
  <c r="Q581" i="36"/>
  <c r="R580" i="36"/>
  <c r="X561" i="36"/>
  <c r="S606" i="36"/>
  <c r="Q615" i="36"/>
  <c r="Q510" i="36"/>
  <c r="V558" i="36"/>
  <c r="T556" i="35"/>
  <c r="C564" i="38"/>
  <c r="E564" i="38" s="1"/>
  <c r="X526" i="36"/>
  <c r="W601" i="36"/>
  <c r="U599" i="35"/>
  <c r="D607" i="38"/>
  <c r="X606" i="36"/>
  <c r="Q617" i="36"/>
  <c r="Y645" i="36"/>
  <c r="AF645" i="36"/>
  <c r="R516" i="36"/>
  <c r="R514" i="36"/>
  <c r="R519" i="36"/>
  <c r="V563" i="36"/>
  <c r="T561" i="35"/>
  <c r="C569" i="38"/>
  <c r="E569" i="38" s="1"/>
  <c r="V530" i="36"/>
  <c r="T528" i="35"/>
  <c r="C536" i="38"/>
  <c r="E536" i="38" s="1"/>
  <c r="P509" i="36"/>
  <c r="Q521" i="36"/>
  <c r="X557" i="36"/>
  <c r="V525" i="36"/>
  <c r="T523" i="35"/>
  <c r="C531" i="38"/>
  <c r="E531" i="38" s="1"/>
  <c r="W600" i="36"/>
  <c r="U598" i="35"/>
  <c r="D606" i="38"/>
  <c r="X608" i="36"/>
  <c r="R585" i="36"/>
  <c r="P520" i="36"/>
  <c r="Q514" i="36"/>
  <c r="P581" i="36"/>
  <c r="Q512" i="36"/>
  <c r="P511" i="36"/>
  <c r="V560" i="36"/>
  <c r="T558" i="35"/>
  <c r="C566" i="38"/>
  <c r="E566" i="38" s="1"/>
  <c r="W603" i="36"/>
  <c r="U601" i="35"/>
  <c r="D609" i="38"/>
  <c r="Q509" i="36"/>
  <c r="P521" i="36"/>
  <c r="V556" i="36"/>
  <c r="T554" i="35"/>
  <c r="C562" i="38"/>
  <c r="E562" i="38" s="1"/>
  <c r="V524" i="36"/>
  <c r="T522" i="35"/>
  <c r="C530" i="38"/>
  <c r="E530" i="38" s="1"/>
  <c r="W599" i="36"/>
  <c r="U597" i="35"/>
  <c r="D605" i="38"/>
  <c r="X607" i="36"/>
  <c r="W506" i="36"/>
  <c r="U504" i="35"/>
  <c r="D512" i="38"/>
  <c r="T573" i="36"/>
  <c r="X534" i="36"/>
  <c r="S602" i="36"/>
  <c r="R520" i="36"/>
  <c r="V529" i="36"/>
  <c r="T527" i="35"/>
  <c r="C535" i="38"/>
  <c r="E535" i="38" s="1"/>
  <c r="Q511" i="36"/>
  <c r="R510" i="36"/>
  <c r="Q516" i="36"/>
  <c r="R521" i="36"/>
  <c r="T553" i="35"/>
  <c r="V555" i="36"/>
  <c r="C561" i="38"/>
  <c r="E561" i="38" s="1"/>
  <c r="V523" i="36"/>
  <c r="T521" i="35"/>
  <c r="C529" i="38"/>
  <c r="E529" i="38" s="1"/>
  <c r="W598" i="36"/>
  <c r="U596" i="35"/>
  <c r="D604" i="38"/>
  <c r="T606" i="36"/>
  <c r="Y654" i="36"/>
  <c r="AF654" i="36"/>
  <c r="AF633" i="36"/>
  <c r="V551" i="36"/>
  <c r="T549" i="35"/>
  <c r="C557" i="38"/>
  <c r="E557" i="38" s="1"/>
  <c r="X550" i="36"/>
  <c r="W505" i="36"/>
  <c r="U503" i="35"/>
  <c r="D511" i="38"/>
  <c r="V566" i="36"/>
  <c r="T564" i="35"/>
  <c r="C572" i="38"/>
  <c r="E572" i="38" s="1"/>
  <c r="V532" i="36"/>
  <c r="T530" i="35"/>
  <c r="C538" i="38"/>
  <c r="E538" i="38" s="1"/>
  <c r="Q611" i="36"/>
  <c r="Q613" i="36"/>
  <c r="P580" i="36"/>
  <c r="R509" i="36"/>
  <c r="P516" i="36"/>
  <c r="X554" i="36"/>
  <c r="T572" i="36"/>
  <c r="W597" i="36"/>
  <c r="U595" i="35"/>
  <c r="D603" i="38"/>
  <c r="T608" i="36"/>
  <c r="X636" i="36"/>
  <c r="AN636" i="36" s="1"/>
  <c r="Y647" i="36"/>
  <c r="AF647" i="36"/>
  <c r="W591" i="36"/>
  <c r="U589" i="35"/>
  <c r="D597" i="38"/>
  <c r="P513" i="36"/>
  <c r="S601" i="36"/>
  <c r="V564" i="36"/>
  <c r="T562" i="35"/>
  <c r="C570" i="38"/>
  <c r="E570" i="38" s="1"/>
  <c r="S599" i="36"/>
  <c r="X562" i="36"/>
  <c r="U603" i="35"/>
  <c r="W605" i="36"/>
  <c r="D611" i="38"/>
  <c r="Q614" i="36"/>
  <c r="P515" i="36"/>
  <c r="P518" i="36"/>
  <c r="X553" i="36"/>
  <c r="T578" i="36"/>
  <c r="R582" i="36"/>
  <c r="W596" i="36"/>
  <c r="U594" i="35"/>
  <c r="D602" i="38"/>
  <c r="T607" i="36"/>
  <c r="X634" i="36"/>
  <c r="AN634" i="36" s="1"/>
  <c r="T574" i="36"/>
  <c r="X565" i="36"/>
  <c r="Q612" i="36"/>
  <c r="V531" i="36"/>
  <c r="T529" i="35"/>
  <c r="C537" i="38"/>
  <c r="E537" i="38" s="1"/>
  <c r="W604" i="36"/>
  <c r="U602" i="35"/>
  <c r="D610" i="38"/>
  <c r="Q580" i="36"/>
  <c r="S608" i="36"/>
  <c r="Q518" i="36"/>
  <c r="V552" i="36"/>
  <c r="T550" i="35"/>
  <c r="C558" i="38"/>
  <c r="E558" i="38" s="1"/>
  <c r="T577" i="36"/>
  <c r="R583" i="36"/>
  <c r="W595" i="36"/>
  <c r="U593" i="35"/>
  <c r="D601" i="38"/>
  <c r="V645" i="36"/>
  <c r="T643" i="35"/>
  <c r="C651" i="38"/>
  <c r="E651" i="38" s="1"/>
  <c r="V652" i="36"/>
  <c r="T650" i="35"/>
  <c r="C658" i="38"/>
  <c r="E658" i="38" s="1"/>
  <c r="AR595" i="1"/>
  <c r="AQ595" i="1" s="1"/>
  <c r="N586" i="1"/>
  <c r="N585" i="1"/>
  <c r="AR585" i="1" s="1"/>
  <c r="AN585" i="1" s="1"/>
  <c r="AR604" i="1"/>
  <c r="AT604" i="1" s="1"/>
  <c r="AR603" i="1"/>
  <c r="AT603" i="1" s="1"/>
  <c r="N582" i="1"/>
  <c r="P582" i="1" s="1"/>
  <c r="N584" i="1"/>
  <c r="AR584" i="1" s="1"/>
  <c r="AN584" i="1" s="1"/>
  <c r="N587" i="1"/>
  <c r="P587" i="1" s="1"/>
  <c r="AR602" i="1"/>
  <c r="AT602" i="1" s="1"/>
  <c r="AR596" i="1"/>
  <c r="AQ596" i="1" s="1"/>
  <c r="AR601" i="1"/>
  <c r="AQ601" i="1" s="1"/>
  <c r="AR600" i="1"/>
  <c r="AT600" i="1" s="1"/>
  <c r="AR599" i="1"/>
  <c r="AT599" i="1" s="1"/>
  <c r="N611" i="1"/>
  <c r="AR594" i="1"/>
  <c r="AT594" i="1" s="1"/>
  <c r="AR597" i="1"/>
  <c r="AT597" i="1" s="1"/>
  <c r="AR598" i="1"/>
  <c r="AQ598" i="1" s="1"/>
  <c r="N610" i="1"/>
  <c r="AR593" i="1"/>
  <c r="AQ593" i="1" s="1"/>
  <c r="N612" i="1"/>
  <c r="N583" i="1"/>
  <c r="N616" i="1"/>
  <c r="O616" i="1" s="1"/>
  <c r="N615" i="1"/>
  <c r="P586" i="1"/>
  <c r="N614" i="1"/>
  <c r="AR592" i="1"/>
  <c r="AQ592" i="1" s="1"/>
  <c r="AR591" i="1"/>
  <c r="AQ591" i="1" s="1"/>
  <c r="N581" i="1"/>
  <c r="N617" i="1"/>
  <c r="AR589" i="1"/>
  <c r="AT589" i="1" s="1"/>
  <c r="AT612" i="1"/>
  <c r="AR580" i="1"/>
  <c r="AS580" i="1" s="1"/>
  <c r="AT580" i="1" s="1"/>
  <c r="AT615" i="1"/>
  <c r="AT614" i="1"/>
  <c r="AT559" i="1"/>
  <c r="AT535" i="1"/>
  <c r="Q579" i="1"/>
  <c r="AR583" i="1"/>
  <c r="AN583" i="1" s="1"/>
  <c r="AT547" i="1"/>
  <c r="AT531" i="1"/>
  <c r="P580" i="1"/>
  <c r="AR579" i="1"/>
  <c r="AS579" i="1" s="1"/>
  <c r="AT579" i="1" s="1"/>
  <c r="N588" i="1"/>
  <c r="AT543" i="1"/>
  <c r="AT527" i="1"/>
  <c r="AT539" i="1"/>
  <c r="AT523" i="1"/>
  <c r="P579" i="1"/>
  <c r="N608" i="1"/>
  <c r="AQ600" i="1"/>
  <c r="Q515" i="1"/>
  <c r="Q516" i="1"/>
  <c r="AT521" i="1"/>
  <c r="AT555" i="1"/>
  <c r="AT544" i="1"/>
  <c r="AT536" i="1"/>
  <c r="AT528" i="1"/>
  <c r="AQ590" i="1"/>
  <c r="AT574" i="1"/>
  <c r="N613" i="1"/>
  <c r="N609" i="1"/>
  <c r="AT567" i="1"/>
  <c r="AT551" i="1"/>
  <c r="Q580" i="1"/>
  <c r="AT563" i="1"/>
  <c r="AT548" i="1"/>
  <c r="AT540" i="1"/>
  <c r="AT532" i="1"/>
  <c r="AT524" i="1"/>
  <c r="AT575" i="1"/>
  <c r="P578" i="1"/>
  <c r="AQ569" i="1"/>
  <c r="AQ561" i="1"/>
  <c r="AQ553" i="1"/>
  <c r="AQ541" i="1"/>
  <c r="AQ533" i="1"/>
  <c r="AQ525" i="1"/>
  <c r="AT570" i="1"/>
  <c r="AT566" i="1"/>
  <c r="AT562" i="1"/>
  <c r="AT558" i="1"/>
  <c r="AT554" i="1"/>
  <c r="AT550" i="1"/>
  <c r="AT546" i="1"/>
  <c r="AT542" i="1"/>
  <c r="AT538" i="1"/>
  <c r="AT534" i="1"/>
  <c r="AT530" i="1"/>
  <c r="AT526" i="1"/>
  <c r="AT522" i="1"/>
  <c r="AQ568" i="1"/>
  <c r="AQ564" i="1"/>
  <c r="AQ560" i="1"/>
  <c r="AQ556" i="1"/>
  <c r="AQ552" i="1"/>
  <c r="AQ577" i="1"/>
  <c r="AQ549" i="1"/>
  <c r="AQ573" i="1"/>
  <c r="AT565" i="1"/>
  <c r="AT557" i="1"/>
  <c r="AT545" i="1"/>
  <c r="AT537" i="1"/>
  <c r="AT529" i="1"/>
  <c r="AR578" i="1"/>
  <c r="AS578" i="1" s="1"/>
  <c r="AT578" i="1" s="1"/>
  <c r="AT576" i="1"/>
  <c r="Q578" i="1"/>
  <c r="AR508" i="1"/>
  <c r="AQ508" i="1" s="1"/>
  <c r="AO511" i="1"/>
  <c r="AU511" i="1" s="1"/>
  <c r="Q513" i="1"/>
  <c r="AO508" i="1"/>
  <c r="AU508" i="1" s="1"/>
  <c r="AR514" i="1"/>
  <c r="AQ514" i="1" s="1"/>
  <c r="AR517" i="1"/>
  <c r="AQ517" i="1" s="1"/>
  <c r="AO519" i="1"/>
  <c r="AU519" i="1" s="1"/>
  <c r="AR520" i="1"/>
  <c r="AQ520" i="1" s="1"/>
  <c r="P509" i="1"/>
  <c r="Q512" i="1"/>
  <c r="Q510" i="1"/>
  <c r="Q508" i="1"/>
  <c r="AO514" i="1"/>
  <c r="AU514" i="1" s="1"/>
  <c r="AR519" i="1"/>
  <c r="AQ519" i="1" s="1"/>
  <c r="AO507" i="1"/>
  <c r="AU507" i="1" s="1"/>
  <c r="AR511" i="1"/>
  <c r="AQ511" i="1" s="1"/>
  <c r="Q519" i="1"/>
  <c r="AR510" i="1"/>
  <c r="AQ510" i="1" s="1"/>
  <c r="AR512" i="1"/>
  <c r="AQ512" i="1" s="1"/>
  <c r="P515" i="1"/>
  <c r="AR516" i="1"/>
  <c r="AQ516" i="1" s="1"/>
  <c r="AR518" i="1"/>
  <c r="AQ518" i="1" s="1"/>
  <c r="AO518" i="1"/>
  <c r="AU518" i="1" s="1"/>
  <c r="Q507" i="1"/>
  <c r="AR509" i="1"/>
  <c r="AQ509" i="1" s="1"/>
  <c r="AR513" i="1"/>
  <c r="AQ513" i="1" s="1"/>
  <c r="AR515" i="1"/>
  <c r="AQ515" i="1" s="1"/>
  <c r="P518" i="1"/>
  <c r="AO512" i="1"/>
  <c r="AU512" i="1" s="1"/>
  <c r="P510" i="1"/>
  <c r="P513" i="1"/>
  <c r="AO513" i="1"/>
  <c r="AU513" i="1" s="1"/>
  <c r="P516" i="1"/>
  <c r="AO515" i="1"/>
  <c r="AU515" i="1" s="1"/>
  <c r="P519" i="1"/>
  <c r="AO520" i="1"/>
  <c r="AU520" i="1" s="1"/>
  <c r="AR507" i="1"/>
  <c r="AQ507" i="1" s="1"/>
  <c r="AO509" i="1"/>
  <c r="AU509" i="1" s="1"/>
  <c r="AO516" i="1"/>
  <c r="AU516" i="1" s="1"/>
  <c r="AO510" i="1"/>
  <c r="AU510" i="1" s="1"/>
  <c r="Q514" i="1"/>
  <c r="Q517" i="1"/>
  <c r="AO517" i="1"/>
  <c r="AU517" i="1" s="1"/>
  <c r="P507" i="1"/>
  <c r="Q509" i="1"/>
  <c r="P517" i="1"/>
  <c r="Q520" i="1"/>
  <c r="P514" i="1"/>
  <c r="P520" i="1"/>
  <c r="P512" i="1"/>
  <c r="P508" i="1"/>
  <c r="Q518" i="1"/>
  <c r="P511" i="1"/>
  <c r="Q511" i="1"/>
  <c r="AR587" i="1" l="1"/>
  <c r="AN587" i="1" s="1"/>
  <c r="P584" i="1"/>
  <c r="Y633" i="36"/>
  <c r="Y641" i="36"/>
  <c r="X551" i="36"/>
  <c r="AQ606" i="36"/>
  <c r="Y606" i="36"/>
  <c r="AO561" i="36"/>
  <c r="Y561" i="36"/>
  <c r="X556" i="36"/>
  <c r="AD602" i="36"/>
  <c r="S517" i="36"/>
  <c r="Y634" i="36"/>
  <c r="Y578" i="36"/>
  <c r="AC578" i="36"/>
  <c r="AF503" i="36"/>
  <c r="AF504" i="36"/>
  <c r="AO570" i="36"/>
  <c r="Y570" i="36"/>
  <c r="V521" i="36"/>
  <c r="T519" i="35"/>
  <c r="C527" i="38"/>
  <c r="E527" i="38" s="1"/>
  <c r="P582" i="36"/>
  <c r="X598" i="36"/>
  <c r="AL598" i="36" s="1"/>
  <c r="V526" i="36"/>
  <c r="T524" i="35"/>
  <c r="C532" i="38"/>
  <c r="E532" i="38" s="1"/>
  <c r="V542" i="36"/>
  <c r="T540" i="35"/>
  <c r="C548" i="38"/>
  <c r="E548" i="38" s="1"/>
  <c r="AQ608" i="36"/>
  <c r="Y608" i="36"/>
  <c r="W514" i="36"/>
  <c r="U512" i="35"/>
  <c r="D520" i="38"/>
  <c r="S579" i="36"/>
  <c r="T552" i="35"/>
  <c r="V554" i="36"/>
  <c r="C560" i="38"/>
  <c r="E560" i="38" s="1"/>
  <c r="V592" i="36"/>
  <c r="T590" i="35"/>
  <c r="C598" i="38"/>
  <c r="E598" i="38" s="1"/>
  <c r="X563" i="36"/>
  <c r="V515" i="36"/>
  <c r="T513" i="35"/>
  <c r="C521" i="38"/>
  <c r="E521" i="38" s="1"/>
  <c r="R617" i="36"/>
  <c r="V601" i="36"/>
  <c r="T599" i="35"/>
  <c r="C607" i="38"/>
  <c r="E607" i="38" s="1"/>
  <c r="AD591" i="36"/>
  <c r="Y591" i="36"/>
  <c r="X579" i="36"/>
  <c r="V597" i="36"/>
  <c r="T595" i="35"/>
  <c r="C603" i="38"/>
  <c r="E603" i="38" s="1"/>
  <c r="AC577" i="36"/>
  <c r="S513" i="36"/>
  <c r="AC574" i="36"/>
  <c r="Y574" i="36"/>
  <c r="T510" i="36"/>
  <c r="AF505" i="36"/>
  <c r="V508" i="36"/>
  <c r="T506" i="35"/>
  <c r="C514" i="38"/>
  <c r="E514" i="38" s="1"/>
  <c r="S514" i="36"/>
  <c r="W512" i="36"/>
  <c r="U510" i="35"/>
  <c r="D518" i="38"/>
  <c r="T517" i="36"/>
  <c r="T591" i="35"/>
  <c r="V593" i="36"/>
  <c r="C599" i="38"/>
  <c r="E599" i="38" s="1"/>
  <c r="T511" i="36"/>
  <c r="AT596" i="1"/>
  <c r="T580" i="36"/>
  <c r="V614" i="1"/>
  <c r="P615" i="36"/>
  <c r="X603" i="36"/>
  <c r="AL603" i="36" s="1"/>
  <c r="AD605" i="36"/>
  <c r="AQ607" i="36"/>
  <c r="Y607" i="36"/>
  <c r="X559" i="36"/>
  <c r="W509" i="36"/>
  <c r="U507" i="35"/>
  <c r="D515" i="38"/>
  <c r="X595" i="36"/>
  <c r="AL595" i="36" s="1"/>
  <c r="W516" i="36"/>
  <c r="U514" i="35"/>
  <c r="D522" i="38"/>
  <c r="X577" i="36"/>
  <c r="AK577" i="36" s="1"/>
  <c r="W513" i="36"/>
  <c r="U511" i="35"/>
  <c r="D519" i="38"/>
  <c r="AQ597" i="1"/>
  <c r="X524" i="36"/>
  <c r="P588" i="36"/>
  <c r="AD592" i="36"/>
  <c r="V518" i="36"/>
  <c r="T516" i="35"/>
  <c r="C524" i="38"/>
  <c r="E524" i="38" s="1"/>
  <c r="V599" i="36"/>
  <c r="T597" i="35"/>
  <c r="C605" i="38"/>
  <c r="E605" i="38" s="1"/>
  <c r="T520" i="36"/>
  <c r="Y603" i="36"/>
  <c r="AD603" i="36"/>
  <c r="V534" i="36"/>
  <c r="T532" i="35"/>
  <c r="C540" i="38"/>
  <c r="E540" i="38" s="1"/>
  <c r="AD601" i="36"/>
  <c r="X601" i="36"/>
  <c r="AL601" i="36" s="1"/>
  <c r="T514" i="36"/>
  <c r="T600" i="35"/>
  <c r="V602" i="36"/>
  <c r="C608" i="38"/>
  <c r="E608" i="38" s="1"/>
  <c r="T568" i="35"/>
  <c r="V570" i="36"/>
  <c r="C576" i="38"/>
  <c r="E576" i="38" s="1"/>
  <c r="X530" i="36"/>
  <c r="X538" i="36"/>
  <c r="V516" i="36"/>
  <c r="T514" i="35"/>
  <c r="C522" i="38"/>
  <c r="E522" i="38" s="1"/>
  <c r="X546" i="36"/>
  <c r="AQ599" i="1"/>
  <c r="X540" i="36"/>
  <c r="P585" i="36"/>
  <c r="AO526" i="36"/>
  <c r="Y526" i="36"/>
  <c r="AC502" i="36"/>
  <c r="AC500" i="36"/>
  <c r="X590" i="36"/>
  <c r="AL590" i="36" s="1"/>
  <c r="X545" i="36"/>
  <c r="P611" i="36"/>
  <c r="W521" i="36"/>
  <c r="U519" i="35"/>
  <c r="D527" i="38"/>
  <c r="AO550" i="36"/>
  <c r="Y550" i="36"/>
  <c r="P612" i="36"/>
  <c r="X600" i="36"/>
  <c r="AL600" i="36" s="1"/>
  <c r="V562" i="36"/>
  <c r="T560" i="35"/>
  <c r="C568" i="38"/>
  <c r="E568" i="38" s="1"/>
  <c r="AQ594" i="1"/>
  <c r="T519" i="36"/>
  <c r="V514" i="36"/>
  <c r="T512" i="35"/>
  <c r="C520" i="38"/>
  <c r="E520" i="38" s="1"/>
  <c r="X558" i="36"/>
  <c r="AQ603" i="1"/>
  <c r="X528" i="36"/>
  <c r="P583" i="36"/>
  <c r="AD604" i="36"/>
  <c r="AD600" i="36"/>
  <c r="AO569" i="36"/>
  <c r="Y569" i="36"/>
  <c r="AC501" i="36"/>
  <c r="X571" i="36"/>
  <c r="V509" i="36"/>
  <c r="T507" i="35"/>
  <c r="C515" i="38"/>
  <c r="E515" i="38" s="1"/>
  <c r="P609" i="36"/>
  <c r="T588" i="36"/>
  <c r="V510" i="36"/>
  <c r="T508" i="35"/>
  <c r="C516" i="38"/>
  <c r="E516" i="38" s="1"/>
  <c r="X566" i="36"/>
  <c r="T579" i="36"/>
  <c r="X544" i="36"/>
  <c r="T587" i="36"/>
  <c r="X604" i="36"/>
  <c r="AL604" i="36" s="1"/>
  <c r="AC498" i="36"/>
  <c r="AO542" i="36"/>
  <c r="Y542" i="36"/>
  <c r="V550" i="36"/>
  <c r="T548" i="35"/>
  <c r="C556" i="38"/>
  <c r="E556" i="38" s="1"/>
  <c r="Y656" i="36"/>
  <c r="AC576" i="36"/>
  <c r="AF507" i="36"/>
  <c r="AC497" i="36"/>
  <c r="X537" i="36"/>
  <c r="AO554" i="36"/>
  <c r="Y554" i="36"/>
  <c r="W510" i="36"/>
  <c r="U508" i="35"/>
  <c r="D516" i="38"/>
  <c r="S508" i="36"/>
  <c r="T585" i="36"/>
  <c r="X533" i="36"/>
  <c r="V553" i="36"/>
  <c r="T551" i="35"/>
  <c r="C559" i="38"/>
  <c r="E559" i="38" s="1"/>
  <c r="V511" i="36"/>
  <c r="T509" i="35"/>
  <c r="C517" i="38"/>
  <c r="E517" i="38" s="1"/>
  <c r="V565" i="36"/>
  <c r="T563" i="35"/>
  <c r="C571" i="38"/>
  <c r="E571" i="38" s="1"/>
  <c r="S581" i="36"/>
  <c r="P583" i="1"/>
  <c r="P584" i="36"/>
  <c r="Y595" i="36"/>
  <c r="AD595" i="36"/>
  <c r="AC499" i="36"/>
  <c r="X547" i="36"/>
  <c r="P618" i="36"/>
  <c r="W511" i="36"/>
  <c r="U509" i="35"/>
  <c r="D517" i="38"/>
  <c r="O612" i="1"/>
  <c r="P612" i="1" s="1"/>
  <c r="P613" i="36"/>
  <c r="V594" i="36"/>
  <c r="T592" i="35"/>
  <c r="C600" i="38"/>
  <c r="E600" i="38" s="1"/>
  <c r="X580" i="36"/>
  <c r="V519" i="36"/>
  <c r="T517" i="35"/>
  <c r="C525" i="38"/>
  <c r="E525" i="38" s="1"/>
  <c r="AD596" i="36"/>
  <c r="AD599" i="36"/>
  <c r="V517" i="36"/>
  <c r="T515" i="35"/>
  <c r="C523" i="38"/>
  <c r="E523" i="38" s="1"/>
  <c r="T555" i="35"/>
  <c r="V557" i="36"/>
  <c r="C563" i="38"/>
  <c r="E563" i="38" s="1"/>
  <c r="S580" i="36"/>
  <c r="AD593" i="36"/>
  <c r="S518" i="36"/>
  <c r="T583" i="36"/>
  <c r="S516" i="36"/>
  <c r="P616" i="36"/>
  <c r="X525" i="36"/>
  <c r="X541" i="36"/>
  <c r="X564" i="36"/>
  <c r="X568" i="36"/>
  <c r="X555" i="36"/>
  <c r="W520" i="36"/>
  <c r="U518" i="35"/>
  <c r="D526" i="38"/>
  <c r="P589" i="36"/>
  <c r="T512" i="36"/>
  <c r="S519" i="36"/>
  <c r="P617" i="36"/>
  <c r="T521" i="36"/>
  <c r="X523" i="36"/>
  <c r="P610" i="36"/>
  <c r="AD597" i="36"/>
  <c r="AO534" i="36"/>
  <c r="Y534" i="36"/>
  <c r="AO557" i="36"/>
  <c r="Y557" i="36"/>
  <c r="AD594" i="36"/>
  <c r="Y636" i="36"/>
  <c r="S515" i="36"/>
  <c r="X605" i="36"/>
  <c r="AL605" i="36" s="1"/>
  <c r="AO562" i="36"/>
  <c r="Y562" i="36"/>
  <c r="V578" i="36"/>
  <c r="T576" i="35"/>
  <c r="C584" i="38"/>
  <c r="E584" i="38" s="1"/>
  <c r="X532" i="36"/>
  <c r="T509" i="36"/>
  <c r="T513" i="36"/>
  <c r="V512" i="36"/>
  <c r="T510" i="35"/>
  <c r="C518" i="38"/>
  <c r="E518" i="38" s="1"/>
  <c r="X536" i="36"/>
  <c r="X531" i="36"/>
  <c r="Y590" i="36"/>
  <c r="AD590" i="36"/>
  <c r="W517" i="36"/>
  <c r="U515" i="35"/>
  <c r="D523" i="38"/>
  <c r="AF506" i="36"/>
  <c r="X576" i="36"/>
  <c r="AK576" i="36" s="1"/>
  <c r="P585" i="1"/>
  <c r="P586" i="36"/>
  <c r="S512" i="36"/>
  <c r="T516" i="36"/>
  <c r="T559" i="35"/>
  <c r="V561" i="36"/>
  <c r="C567" i="38"/>
  <c r="E567" i="38" s="1"/>
  <c r="V569" i="36"/>
  <c r="T567" i="35"/>
  <c r="C575" i="38"/>
  <c r="E575" i="38" s="1"/>
  <c r="X552" i="36"/>
  <c r="W508" i="36"/>
  <c r="U506" i="35"/>
  <c r="D514" i="38"/>
  <c r="T518" i="36"/>
  <c r="P614" i="36"/>
  <c r="X615" i="36"/>
  <c r="S510" i="36"/>
  <c r="W515" i="36"/>
  <c r="U513" i="35"/>
  <c r="D521" i="38"/>
  <c r="X535" i="36"/>
  <c r="X575" i="36"/>
  <c r="AK575" i="36" s="1"/>
  <c r="X616" i="36"/>
  <c r="P587" i="36"/>
  <c r="AO565" i="36"/>
  <c r="Y565" i="36"/>
  <c r="AO553" i="36"/>
  <c r="Y553" i="36"/>
  <c r="AD598" i="36"/>
  <c r="Y598" i="36"/>
  <c r="Y575" i="36"/>
  <c r="AC575" i="36"/>
  <c r="T581" i="36"/>
  <c r="X548" i="36"/>
  <c r="S521" i="36"/>
  <c r="X560" i="36"/>
  <c r="X581" i="36"/>
  <c r="V596" i="36"/>
  <c r="T594" i="35"/>
  <c r="C602" i="38"/>
  <c r="E602" i="38" s="1"/>
  <c r="Y637" i="36"/>
  <c r="X522" i="36"/>
  <c r="X567" i="36"/>
  <c r="V574" i="36"/>
  <c r="T572" i="35"/>
  <c r="C580" i="38"/>
  <c r="E580" i="38" s="1"/>
  <c r="W519" i="36"/>
  <c r="U517" i="35"/>
  <c r="D525" i="38"/>
  <c r="X549" i="36"/>
  <c r="V513" i="36"/>
  <c r="T511" i="35"/>
  <c r="C519" i="38"/>
  <c r="E519" i="38" s="1"/>
  <c r="S520" i="36"/>
  <c r="T515" i="36"/>
  <c r="X527" i="36"/>
  <c r="V520" i="36"/>
  <c r="T518" i="35"/>
  <c r="C526" i="38"/>
  <c r="E526" i="38" s="1"/>
  <c r="T508" i="36"/>
  <c r="S509" i="36"/>
  <c r="X539" i="36"/>
  <c r="V591" i="36"/>
  <c r="T589" i="35"/>
  <c r="C597" i="38"/>
  <c r="E597" i="38" s="1"/>
  <c r="W518" i="36"/>
  <c r="U516" i="35"/>
  <c r="D524" i="38"/>
  <c r="S511" i="36"/>
  <c r="X543" i="36"/>
  <c r="X529" i="36"/>
  <c r="X613" i="36"/>
  <c r="AT598" i="1"/>
  <c r="AT601" i="1"/>
  <c r="AQ602" i="1"/>
  <c r="AQ604" i="1"/>
  <c r="AT592" i="1"/>
  <c r="AT595" i="1"/>
  <c r="AT593" i="1"/>
  <c r="O610" i="1"/>
  <c r="P616" i="1"/>
  <c r="O615" i="1"/>
  <c r="AR614" i="1"/>
  <c r="AR588" i="1"/>
  <c r="AN588" i="1" s="1"/>
  <c r="O611" i="1"/>
  <c r="AR582" i="1"/>
  <c r="AN582" i="1" s="1"/>
  <c r="AR586" i="1"/>
  <c r="AN586" i="1" s="1"/>
  <c r="O614" i="1"/>
  <c r="V615" i="1"/>
  <c r="V612" i="1"/>
  <c r="AT591" i="1"/>
  <c r="AN617" i="1"/>
  <c r="P581" i="1"/>
  <c r="P617" i="1"/>
  <c r="AR617" i="1"/>
  <c r="P588" i="1"/>
  <c r="AQ589" i="1"/>
  <c r="AJ617" i="1"/>
  <c r="Q617" i="1"/>
  <c r="AR581" i="1"/>
  <c r="AN581" i="1" s="1"/>
  <c r="AT508" i="1"/>
  <c r="AT511" i="1"/>
  <c r="AT520" i="1"/>
  <c r="AT510" i="1"/>
  <c r="O613" i="1"/>
  <c r="AT512" i="1"/>
  <c r="O609" i="1"/>
  <c r="AT519" i="1"/>
  <c r="O608" i="1"/>
  <c r="AT517" i="1"/>
  <c r="AT513" i="1"/>
  <c r="AT514" i="1"/>
  <c r="AT509" i="1"/>
  <c r="AT515" i="1"/>
  <c r="AT518" i="1"/>
  <c r="AT516" i="1"/>
  <c r="AT507" i="1"/>
  <c r="AR506" i="1"/>
  <c r="AR496" i="1"/>
  <c r="AR497" i="1"/>
  <c r="AR498" i="1"/>
  <c r="AR499" i="1"/>
  <c r="AR500" i="1"/>
  <c r="AR501" i="1"/>
  <c r="AR502" i="1"/>
  <c r="AR503" i="1"/>
  <c r="AR504" i="1"/>
  <c r="AR505" i="1"/>
  <c r="P497" i="1"/>
  <c r="P498" i="1"/>
  <c r="P499" i="1"/>
  <c r="P500" i="1"/>
  <c r="P501" i="1"/>
  <c r="P496" i="1"/>
  <c r="Y604" i="36" l="1"/>
  <c r="AO555" i="36"/>
  <c r="Y555" i="36"/>
  <c r="T586" i="36"/>
  <c r="AO537" i="36"/>
  <c r="Y537" i="36"/>
  <c r="AO571" i="36"/>
  <c r="Y571" i="36"/>
  <c r="AO540" i="36"/>
  <c r="Y540" i="36"/>
  <c r="AO563" i="36"/>
  <c r="Y563" i="36"/>
  <c r="V600" i="36"/>
  <c r="T598" i="35"/>
  <c r="C606" i="38"/>
  <c r="E606" i="38" s="1"/>
  <c r="R615" i="36"/>
  <c r="AO529" i="36"/>
  <c r="Y529" i="36"/>
  <c r="Y576" i="36"/>
  <c r="X597" i="36"/>
  <c r="AG514" i="36"/>
  <c r="AO548" i="36"/>
  <c r="Y548" i="36"/>
  <c r="R616" i="36"/>
  <c r="AG519" i="36"/>
  <c r="AM615" i="36"/>
  <c r="Y615" i="36"/>
  <c r="R612" i="36"/>
  <c r="AO541" i="36"/>
  <c r="Y541" i="36"/>
  <c r="AM616" i="36"/>
  <c r="Y616" i="36"/>
  <c r="AO528" i="36"/>
  <c r="Y528" i="36"/>
  <c r="AO543" i="36"/>
  <c r="Y543" i="36"/>
  <c r="V604" i="36"/>
  <c r="T602" i="35"/>
  <c r="C610" i="38"/>
  <c r="E610" i="38" s="1"/>
  <c r="T589" i="36"/>
  <c r="T618" i="36"/>
  <c r="X517" i="36"/>
  <c r="AO517" i="36" s="1"/>
  <c r="AO527" i="36"/>
  <c r="Y527" i="36"/>
  <c r="AO531" i="36"/>
  <c r="Y531" i="36"/>
  <c r="AG511" i="36"/>
  <c r="AM579" i="36"/>
  <c r="Y579" i="36"/>
  <c r="X519" i="36"/>
  <c r="AO519" i="36" s="1"/>
  <c r="X594" i="36"/>
  <c r="AO567" i="36"/>
  <c r="Y567" i="36"/>
  <c r="AO525" i="36"/>
  <c r="Y525" i="36"/>
  <c r="AO546" i="36"/>
  <c r="Y546" i="36"/>
  <c r="AG516" i="36"/>
  <c r="T617" i="36"/>
  <c r="AO523" i="36"/>
  <c r="Y523" i="36"/>
  <c r="X508" i="36"/>
  <c r="AO508" i="36" s="1"/>
  <c r="X516" i="36"/>
  <c r="AO516" i="36" s="1"/>
  <c r="X592" i="36"/>
  <c r="AG508" i="36"/>
  <c r="AG521" i="36"/>
  <c r="T582" i="36"/>
  <c r="R613" i="36"/>
  <c r="R611" i="36"/>
  <c r="X510" i="36"/>
  <c r="AO510" i="36" s="1"/>
  <c r="Y601" i="36"/>
  <c r="Y577" i="36"/>
  <c r="X515" i="36"/>
  <c r="AO515" i="36" s="1"/>
  <c r="AO533" i="36"/>
  <c r="Y533" i="36"/>
  <c r="AO558" i="36"/>
  <c r="Y558" i="36"/>
  <c r="AM581" i="36"/>
  <c r="Y581" i="36"/>
  <c r="AO547" i="36"/>
  <c r="Y547" i="36"/>
  <c r="AO524" i="36"/>
  <c r="Y524" i="36"/>
  <c r="AO538" i="36"/>
  <c r="Y538" i="36"/>
  <c r="V598" i="36"/>
  <c r="T596" i="35"/>
  <c r="C604" i="38"/>
  <c r="E604" i="38" s="1"/>
  <c r="AO551" i="36"/>
  <c r="Y551" i="36"/>
  <c r="Y613" i="36"/>
  <c r="AM613" i="36"/>
  <c r="X593" i="36"/>
  <c r="X520" i="36"/>
  <c r="AO520" i="36" s="1"/>
  <c r="X513" i="36"/>
  <c r="AO513" i="36" s="1"/>
  <c r="X511" i="36"/>
  <c r="AO511" i="36" s="1"/>
  <c r="AO568" i="36"/>
  <c r="Y568" i="36"/>
  <c r="AO544" i="36"/>
  <c r="Y544" i="36"/>
  <c r="Y600" i="36"/>
  <c r="AO545" i="36"/>
  <c r="Y545" i="36"/>
  <c r="X514" i="36"/>
  <c r="AO514" i="36" s="1"/>
  <c r="AG517" i="36"/>
  <c r="Y517" i="36"/>
  <c r="AO560" i="36"/>
  <c r="Y560" i="36"/>
  <c r="AG509" i="36"/>
  <c r="X596" i="36"/>
  <c r="X518" i="36"/>
  <c r="AO518" i="36" s="1"/>
  <c r="R614" i="36"/>
  <c r="T584" i="36"/>
  <c r="AO552" i="36"/>
  <c r="Y552" i="36"/>
  <c r="R610" i="36"/>
  <c r="X599" i="36"/>
  <c r="Y515" i="36"/>
  <c r="AG515" i="36"/>
  <c r="AO530" i="36"/>
  <c r="Y530" i="36"/>
  <c r="AG512" i="36"/>
  <c r="AO556" i="36"/>
  <c r="Y556" i="36"/>
  <c r="T613" i="36"/>
  <c r="AO535" i="36"/>
  <c r="Y535" i="36"/>
  <c r="X602" i="36"/>
  <c r="X512" i="36"/>
  <c r="AO512" i="36" s="1"/>
  <c r="AO549" i="36"/>
  <c r="Y549" i="36"/>
  <c r="AO532" i="36"/>
  <c r="Y532" i="36"/>
  <c r="R609" i="36"/>
  <c r="V603" i="36"/>
  <c r="T601" i="35"/>
  <c r="C609" i="38"/>
  <c r="E609" i="38" s="1"/>
  <c r="T502" i="36"/>
  <c r="X509" i="36"/>
  <c r="AO509" i="36" s="1"/>
  <c r="T501" i="36"/>
  <c r="AO564" i="36"/>
  <c r="Y564" i="36"/>
  <c r="AG513" i="36"/>
  <c r="Y605" i="36"/>
  <c r="T603" i="35"/>
  <c r="V605" i="36"/>
  <c r="C611" i="38"/>
  <c r="E611" i="38" s="1"/>
  <c r="X521" i="36"/>
  <c r="AO521" i="36" s="1"/>
  <c r="T500" i="36"/>
  <c r="S618" i="36"/>
  <c r="T499" i="36"/>
  <c r="AO539" i="36"/>
  <c r="Y539" i="36"/>
  <c r="AM580" i="36"/>
  <c r="Y580" i="36"/>
  <c r="Y510" i="36"/>
  <c r="AG510" i="36"/>
  <c r="AO536" i="36"/>
  <c r="Y536" i="36"/>
  <c r="AO522" i="36"/>
  <c r="Y522" i="36"/>
  <c r="AG518" i="36"/>
  <c r="V595" i="36"/>
  <c r="T593" i="35"/>
  <c r="C601" i="38"/>
  <c r="E601" i="38" s="1"/>
  <c r="T497" i="36"/>
  <c r="T498" i="36"/>
  <c r="T588" i="35"/>
  <c r="V590" i="36"/>
  <c r="C596" i="38"/>
  <c r="E596" i="38" s="1"/>
  <c r="Y520" i="36"/>
  <c r="AG520" i="36"/>
  <c r="AO566" i="36"/>
  <c r="Y566" i="36"/>
  <c r="AO559" i="36"/>
  <c r="Y559" i="36"/>
  <c r="P611" i="1"/>
  <c r="AR615" i="1"/>
  <c r="P610" i="1"/>
  <c r="P614" i="1"/>
  <c r="P609" i="1"/>
  <c r="P615" i="1"/>
  <c r="AR612" i="1"/>
  <c r="P613" i="1"/>
  <c r="P608" i="1"/>
  <c r="AT617" i="1"/>
  <c r="AQ501" i="1"/>
  <c r="AT501" i="1"/>
  <c r="AT504" i="1"/>
  <c r="AQ504" i="1"/>
  <c r="AQ496" i="1"/>
  <c r="AT496" i="1"/>
  <c r="AQ499" i="1"/>
  <c r="AT499" i="1"/>
  <c r="AQ505" i="1"/>
  <c r="AT505" i="1"/>
  <c r="AQ497" i="1"/>
  <c r="AT497" i="1"/>
  <c r="AT500" i="1"/>
  <c r="AQ500" i="1"/>
  <c r="AQ503" i="1"/>
  <c r="AT503" i="1"/>
  <c r="AT506" i="1"/>
  <c r="AQ506" i="1"/>
  <c r="AT502" i="1"/>
  <c r="AQ502" i="1"/>
  <c r="AT498" i="1"/>
  <c r="AQ498" i="1"/>
  <c r="M482" i="1"/>
  <c r="M483" i="1"/>
  <c r="M484" i="1"/>
  <c r="M485" i="1"/>
  <c r="M486" i="1"/>
  <c r="M487" i="1"/>
  <c r="M488" i="1"/>
  <c r="M489" i="1"/>
  <c r="M490" i="1"/>
  <c r="M491" i="1"/>
  <c r="M492" i="1"/>
  <c r="M493" i="1"/>
  <c r="M494" i="1"/>
  <c r="M495" i="1"/>
  <c r="M481" i="1"/>
  <c r="Y508" i="36" l="1"/>
  <c r="Y509" i="36"/>
  <c r="Y513" i="36"/>
  <c r="Y511" i="36"/>
  <c r="AL597" i="36"/>
  <c r="Y597" i="36"/>
  <c r="AL599" i="36"/>
  <c r="Y599" i="36"/>
  <c r="V507" i="36"/>
  <c r="T505" i="35"/>
  <c r="C513" i="38"/>
  <c r="E513" i="38" s="1"/>
  <c r="X504" i="36"/>
  <c r="V504" i="36"/>
  <c r="T502" i="35"/>
  <c r="C510" i="38"/>
  <c r="E510" i="38" s="1"/>
  <c r="V501" i="36"/>
  <c r="T499" i="35"/>
  <c r="C507" i="38"/>
  <c r="E507" i="38" s="1"/>
  <c r="X501" i="36"/>
  <c r="X498" i="36"/>
  <c r="V498" i="36"/>
  <c r="T496" i="35"/>
  <c r="C504" i="38"/>
  <c r="E504" i="38" s="1"/>
  <c r="X506" i="36"/>
  <c r="X507" i="36"/>
  <c r="V506" i="36"/>
  <c r="T504" i="35"/>
  <c r="C512" i="38"/>
  <c r="E512" i="38" s="1"/>
  <c r="V500" i="36"/>
  <c r="T498" i="35"/>
  <c r="C506" i="38"/>
  <c r="E506" i="38" s="1"/>
  <c r="X497" i="36"/>
  <c r="Y512" i="36"/>
  <c r="AL594" i="36"/>
  <c r="Y594" i="36"/>
  <c r="Q482" i="36"/>
  <c r="V497" i="36"/>
  <c r="T495" i="35"/>
  <c r="C503" i="38"/>
  <c r="E503" i="38" s="1"/>
  <c r="Q496" i="36"/>
  <c r="V505" i="36"/>
  <c r="T503" i="35"/>
  <c r="C511" i="38"/>
  <c r="E511" i="38" s="1"/>
  <c r="T612" i="36"/>
  <c r="Q495" i="36"/>
  <c r="X505" i="36"/>
  <c r="Y516" i="36"/>
  <c r="AL596" i="36"/>
  <c r="Y596" i="36"/>
  <c r="Y519" i="36"/>
  <c r="Q487" i="36"/>
  <c r="T614" i="36"/>
  <c r="X503" i="36"/>
  <c r="Q493" i="36"/>
  <c r="Q486" i="36"/>
  <c r="Q485" i="36"/>
  <c r="T616" i="36"/>
  <c r="Q490" i="36"/>
  <c r="T610" i="36"/>
  <c r="Q484" i="36"/>
  <c r="Q483" i="36"/>
  <c r="AL602" i="36"/>
  <c r="Y602" i="36"/>
  <c r="X502" i="36"/>
  <c r="X618" i="36"/>
  <c r="Q489" i="36"/>
  <c r="V499" i="36"/>
  <c r="T497" i="35"/>
  <c r="C505" i="38"/>
  <c r="E505" i="38" s="1"/>
  <c r="T615" i="36"/>
  <c r="X500" i="36"/>
  <c r="Q494" i="36"/>
  <c r="Q492" i="36"/>
  <c r="T609" i="36"/>
  <c r="X499" i="36"/>
  <c r="T611" i="36"/>
  <c r="Y518" i="36"/>
  <c r="Y521" i="36"/>
  <c r="AL592" i="36"/>
  <c r="Y592" i="36"/>
  <c r="AL593" i="36"/>
  <c r="Y593" i="36"/>
  <c r="V502" i="36"/>
  <c r="T500" i="35"/>
  <c r="C508" i="38"/>
  <c r="E508" i="38" s="1"/>
  <c r="Q491" i="36"/>
  <c r="Q488" i="36"/>
  <c r="V503" i="36"/>
  <c r="T501" i="35"/>
  <c r="C509" i="38"/>
  <c r="E509" i="38" s="1"/>
  <c r="Y514" i="36"/>
  <c r="AR485" i="1"/>
  <c r="AN485" i="1" s="1"/>
  <c r="AR484" i="1"/>
  <c r="AN484" i="1" s="1"/>
  <c r="AR495" i="1"/>
  <c r="AN495" i="1" s="1"/>
  <c r="AR489" i="1"/>
  <c r="AN489" i="1" s="1"/>
  <c r="AR483" i="1"/>
  <c r="AN483" i="1" s="1"/>
  <c r="AR494" i="1"/>
  <c r="AN494" i="1" s="1"/>
  <c r="AR492" i="1"/>
  <c r="AN492" i="1" s="1"/>
  <c r="AR482" i="1"/>
  <c r="AN482" i="1" s="1"/>
  <c r="AR491" i="1"/>
  <c r="AN491" i="1" s="1"/>
  <c r="AR493" i="1"/>
  <c r="AN493" i="1" s="1"/>
  <c r="AR488" i="1"/>
  <c r="AN488" i="1" s="1"/>
  <c r="AR486" i="1"/>
  <c r="AN486" i="1" s="1"/>
  <c r="AR490" i="1"/>
  <c r="AN490" i="1" s="1"/>
  <c r="AR487" i="1"/>
  <c r="AN487" i="1" s="1"/>
  <c r="AR481" i="1"/>
  <c r="AN481" i="1" s="1"/>
  <c r="P489" i="1"/>
  <c r="P493" i="1"/>
  <c r="P485" i="1"/>
  <c r="P481" i="1"/>
  <c r="P492" i="1"/>
  <c r="P488" i="1"/>
  <c r="P484" i="1"/>
  <c r="P495" i="1"/>
  <c r="P491" i="1"/>
  <c r="P487" i="1"/>
  <c r="P483" i="1"/>
  <c r="P494" i="1"/>
  <c r="P490" i="1"/>
  <c r="P486" i="1"/>
  <c r="P482" i="1"/>
  <c r="D3" i="10"/>
  <c r="D4" i="10"/>
  <c r="D5" i="10"/>
  <c r="D6" i="10"/>
  <c r="D7" i="10"/>
  <c r="D8" i="10"/>
  <c r="D9" i="10"/>
  <c r="D10" i="10"/>
  <c r="AR284" i="1"/>
  <c r="AR476" i="1"/>
  <c r="AT476" i="1" s="1"/>
  <c r="AR477" i="1"/>
  <c r="AT477" i="1" s="1"/>
  <c r="AR478" i="1"/>
  <c r="AT478" i="1" s="1"/>
  <c r="AR479" i="1"/>
  <c r="AT479" i="1" s="1"/>
  <c r="AR480" i="1"/>
  <c r="AT480" i="1" s="1"/>
  <c r="P476" i="1"/>
  <c r="P477" i="1"/>
  <c r="P478" i="1"/>
  <c r="P479" i="1"/>
  <c r="P480" i="1"/>
  <c r="Q476" i="1"/>
  <c r="Q477" i="1"/>
  <c r="Q478" i="1"/>
  <c r="Q479" i="1"/>
  <c r="Q480" i="1"/>
  <c r="AP467" i="1"/>
  <c r="AU467" i="1" s="1"/>
  <c r="AR467" i="1"/>
  <c r="AS467" i="1" s="1"/>
  <c r="AT467" i="1" s="1"/>
  <c r="AR468" i="1"/>
  <c r="AS468" i="1" s="1"/>
  <c r="AT468" i="1" s="1"/>
  <c r="AR469" i="1"/>
  <c r="AR470" i="1"/>
  <c r="AR471" i="1"/>
  <c r="AS471" i="1" s="1"/>
  <c r="AT471" i="1" s="1"/>
  <c r="AR472" i="1"/>
  <c r="AS472" i="1" s="1"/>
  <c r="AT472" i="1" s="1"/>
  <c r="AR473" i="1"/>
  <c r="AR474" i="1"/>
  <c r="AR475" i="1"/>
  <c r="AS475" i="1" s="1"/>
  <c r="AT475" i="1" s="1"/>
  <c r="AR461" i="1"/>
  <c r="U468" i="1"/>
  <c r="AP468" i="1" s="1"/>
  <c r="AU468" i="1" s="1"/>
  <c r="U469" i="1"/>
  <c r="AP469" i="1" s="1"/>
  <c r="AU469" i="1" s="1"/>
  <c r="U470" i="1"/>
  <c r="AP470" i="1" s="1"/>
  <c r="AU470" i="1" s="1"/>
  <c r="U471" i="1"/>
  <c r="AP471" i="1" s="1"/>
  <c r="AU471" i="1" s="1"/>
  <c r="U472" i="1"/>
  <c r="AP472" i="1" s="1"/>
  <c r="AU472" i="1" s="1"/>
  <c r="U473" i="1"/>
  <c r="AP473" i="1" s="1"/>
  <c r="AU473" i="1" s="1"/>
  <c r="U474" i="1"/>
  <c r="AP474" i="1" s="1"/>
  <c r="AU474" i="1" s="1"/>
  <c r="U475" i="1"/>
  <c r="AP475" i="1" s="1"/>
  <c r="AU475" i="1" s="1"/>
  <c r="P467" i="1"/>
  <c r="P468" i="1"/>
  <c r="P469" i="1"/>
  <c r="P470" i="1"/>
  <c r="P471" i="1"/>
  <c r="P472" i="1"/>
  <c r="P473" i="1"/>
  <c r="P474" i="1"/>
  <c r="P475" i="1"/>
  <c r="P461" i="1"/>
  <c r="Q468" i="1"/>
  <c r="Q469" i="1"/>
  <c r="Q470" i="1"/>
  <c r="Q471" i="1"/>
  <c r="Q472" i="1"/>
  <c r="Q473" i="1"/>
  <c r="Q474" i="1"/>
  <c r="Q475" i="1"/>
  <c r="Q467" i="1"/>
  <c r="C35" i="10"/>
  <c r="C18" i="10"/>
  <c r="AR4" i="1"/>
  <c r="T473" i="36" l="1"/>
  <c r="AN505" i="36"/>
  <c r="Y505" i="36"/>
  <c r="AK497" i="36"/>
  <c r="Y497" i="36"/>
  <c r="AN504" i="36"/>
  <c r="Y504" i="36"/>
  <c r="X478" i="36"/>
  <c r="X480" i="36"/>
  <c r="AN506" i="36"/>
  <c r="Y506" i="36"/>
  <c r="T472" i="36"/>
  <c r="T479" i="36"/>
  <c r="T471" i="36"/>
  <c r="T469" i="36"/>
  <c r="W474" i="36"/>
  <c r="U472" i="35"/>
  <c r="D480" i="38"/>
  <c r="AL618" i="36"/>
  <c r="Y618" i="36"/>
  <c r="W469" i="36"/>
  <c r="U467" i="35"/>
  <c r="D475" i="38"/>
  <c r="AN503" i="36"/>
  <c r="Y503" i="36"/>
  <c r="X479" i="36"/>
  <c r="W472" i="36"/>
  <c r="U470" i="35"/>
  <c r="D478" i="38"/>
  <c r="X476" i="36"/>
  <c r="AM476" i="36" s="1"/>
  <c r="AK502" i="36"/>
  <c r="Y502" i="36"/>
  <c r="AK498" i="36"/>
  <c r="Y498" i="36"/>
  <c r="X481" i="36"/>
  <c r="W470" i="36"/>
  <c r="U468" i="35"/>
  <c r="D476" i="38"/>
  <c r="T487" i="36"/>
  <c r="S475" i="36"/>
  <c r="T483" i="36"/>
  <c r="T484" i="36"/>
  <c r="S472" i="36"/>
  <c r="AK501" i="36"/>
  <c r="Y501" i="36"/>
  <c r="T480" i="36"/>
  <c r="T477" i="36"/>
  <c r="X477" i="36"/>
  <c r="T495" i="36"/>
  <c r="T488" i="36"/>
  <c r="T485" i="36"/>
  <c r="T474" i="36"/>
  <c r="W476" i="36"/>
  <c r="U474" i="35"/>
  <c r="D482" i="38"/>
  <c r="X473" i="36"/>
  <c r="AM473" i="36" s="1"/>
  <c r="S468" i="36"/>
  <c r="T492" i="36"/>
  <c r="T489" i="36"/>
  <c r="T478" i="36"/>
  <c r="AK499" i="36"/>
  <c r="Y499" i="36"/>
  <c r="X468" i="36"/>
  <c r="AM468" i="36" s="1"/>
  <c r="T496" i="36"/>
  <c r="S479" i="36"/>
  <c r="W475" i="36"/>
  <c r="U473" i="35"/>
  <c r="D481" i="38"/>
  <c r="T491" i="36"/>
  <c r="S476" i="36"/>
  <c r="S474" i="36"/>
  <c r="S470" i="36"/>
  <c r="S469" i="36"/>
  <c r="T482" i="36"/>
  <c r="T468" i="36"/>
  <c r="W473" i="36"/>
  <c r="U471" i="35"/>
  <c r="D479" i="38"/>
  <c r="W471" i="36"/>
  <c r="U469" i="35"/>
  <c r="D477" i="38"/>
  <c r="X472" i="36"/>
  <c r="AM472" i="36" s="1"/>
  <c r="X469" i="36"/>
  <c r="AM469" i="36" s="1"/>
  <c r="S481" i="36"/>
  <c r="S480" i="36"/>
  <c r="T493" i="36"/>
  <c r="T462" i="36"/>
  <c r="S478" i="36"/>
  <c r="T476" i="36"/>
  <c r="S477" i="36"/>
  <c r="T486" i="36"/>
  <c r="AK500" i="36"/>
  <c r="Y500" i="36"/>
  <c r="T490" i="36"/>
  <c r="T470" i="36"/>
  <c r="S473" i="36"/>
  <c r="W468" i="36"/>
  <c r="U466" i="35"/>
  <c r="D474" i="38"/>
  <c r="S471" i="36"/>
  <c r="T475" i="36"/>
  <c r="T481" i="36"/>
  <c r="T494" i="36"/>
  <c r="AN507" i="36"/>
  <c r="Y507" i="36"/>
  <c r="AQ461" i="1"/>
  <c r="AT461" i="1"/>
  <c r="AS284" i="1"/>
  <c r="AT284" i="1" s="1"/>
  <c r="AQ284" i="1"/>
  <c r="AT4" i="1"/>
  <c r="J13" i="42" s="1"/>
  <c r="AS4" i="1"/>
  <c r="AQ468" i="1"/>
  <c r="AQ467" i="1"/>
  <c r="AQ471" i="1"/>
  <c r="AQ474" i="1"/>
  <c r="AS474" i="1"/>
  <c r="AT474" i="1" s="1"/>
  <c r="AQ470" i="1"/>
  <c r="AS470" i="1"/>
  <c r="AT470" i="1" s="1"/>
  <c r="AQ475" i="1"/>
  <c r="AQ473" i="1"/>
  <c r="AS473" i="1"/>
  <c r="AT473" i="1" s="1"/>
  <c r="AQ469" i="1"/>
  <c r="AS469" i="1"/>
  <c r="AT469" i="1" s="1"/>
  <c r="AQ472" i="1"/>
  <c r="X285" i="36" l="1"/>
  <c r="AO285" i="36" s="1"/>
  <c r="AE471" i="36"/>
  <c r="X470" i="36"/>
  <c r="AM470" i="36" s="1"/>
  <c r="AE470" i="36"/>
  <c r="Y470" i="36"/>
  <c r="Y477" i="36"/>
  <c r="AM477" i="36"/>
  <c r="Y469" i="36"/>
  <c r="AE469" i="36"/>
  <c r="V470" i="36"/>
  <c r="T468" i="35"/>
  <c r="C476" i="38"/>
  <c r="E476" i="38" s="1"/>
  <c r="X474" i="36"/>
  <c r="AM474" i="36" s="1"/>
  <c r="X475" i="36"/>
  <c r="AM475" i="36" s="1"/>
  <c r="Y481" i="36"/>
  <c r="AM481" i="36"/>
  <c r="V462" i="36"/>
  <c r="T460" i="35"/>
  <c r="C468" i="38"/>
  <c r="E468" i="38" s="1"/>
  <c r="V473" i="36"/>
  <c r="T471" i="35"/>
  <c r="C479" i="38"/>
  <c r="E479" i="38" s="1"/>
  <c r="V475" i="36"/>
  <c r="T473" i="35"/>
  <c r="C481" i="38"/>
  <c r="E481" i="38" s="1"/>
  <c r="AM480" i="36"/>
  <c r="Y480" i="36"/>
  <c r="Y476" i="36"/>
  <c r="AE476" i="36"/>
  <c r="Y473" i="36"/>
  <c r="AE473" i="36"/>
  <c r="V472" i="36"/>
  <c r="T470" i="35"/>
  <c r="C478" i="38"/>
  <c r="E478" i="38" s="1"/>
  <c r="V468" i="36"/>
  <c r="T466" i="35"/>
  <c r="C474" i="38"/>
  <c r="E474" i="38" s="1"/>
  <c r="X462" i="36"/>
  <c r="AM479" i="36"/>
  <c r="Y479" i="36"/>
  <c r="AE475" i="36"/>
  <c r="X471" i="36"/>
  <c r="AM471" i="36" s="1"/>
  <c r="V469" i="36"/>
  <c r="T467" i="35"/>
  <c r="C475" i="38"/>
  <c r="E475" i="38" s="1"/>
  <c r="V476" i="36"/>
  <c r="T474" i="35"/>
  <c r="C482" i="38"/>
  <c r="E482" i="38" s="1"/>
  <c r="V471" i="36"/>
  <c r="T469" i="35"/>
  <c r="C477" i="38"/>
  <c r="E477" i="38" s="1"/>
  <c r="V474" i="36"/>
  <c r="T472" i="35"/>
  <c r="C480" i="38"/>
  <c r="E480" i="38" s="1"/>
  <c r="Y468" i="36"/>
  <c r="AE468" i="36"/>
  <c r="Y472" i="36"/>
  <c r="AE472" i="36"/>
  <c r="AE474" i="36"/>
  <c r="V285" i="36"/>
  <c r="T283" i="35"/>
  <c r="C291" i="38"/>
  <c r="E291" i="38" s="1"/>
  <c r="AM478" i="36"/>
  <c r="Y478" i="36"/>
  <c r="AO11" i="40"/>
  <c r="K3" i="48"/>
  <c r="F15" i="33"/>
  <c r="J15" i="33" s="1"/>
  <c r="X5" i="36"/>
  <c r="P4" i="1"/>
  <c r="P284" i="1"/>
  <c r="P285" i="1"/>
  <c r="P286" i="1"/>
  <c r="P287" i="1"/>
  <c r="P288" i="1"/>
  <c r="P289" i="1"/>
  <c r="P293" i="1"/>
  <c r="P294" i="1"/>
  <c r="P295" i="1"/>
  <c r="P296" i="1"/>
  <c r="P297" i="1"/>
  <c r="P298" i="1"/>
  <c r="P299" i="1"/>
  <c r="P300" i="1"/>
  <c r="P301" i="1"/>
  <c r="P302" i="1"/>
  <c r="P303" i="1"/>
  <c r="P304" i="1"/>
  <c r="P305" i="1"/>
  <c r="P306" i="1"/>
  <c r="P307" i="1"/>
  <c r="P308" i="1"/>
  <c r="P309" i="1"/>
  <c r="P318" i="1"/>
  <c r="P319" i="1"/>
  <c r="P320" i="1"/>
  <c r="P321" i="1"/>
  <c r="P322" i="1"/>
  <c r="P323" i="1"/>
  <c r="P324" i="1"/>
  <c r="P325" i="1"/>
  <c r="P326" i="1"/>
  <c r="P327" i="1"/>
  <c r="P328" i="1"/>
  <c r="P329" i="1"/>
  <c r="P330" i="1"/>
  <c r="P331" i="1"/>
  <c r="P332" i="1"/>
  <c r="P333" i="1"/>
  <c r="P389" i="1"/>
  <c r="P390" i="1"/>
  <c r="P391" i="1"/>
  <c r="P392" i="1"/>
  <c r="P393" i="1"/>
  <c r="P394" i="1"/>
  <c r="P395" i="1"/>
  <c r="P396" i="1"/>
  <c r="P413" i="1"/>
  <c r="P414" i="1"/>
  <c r="P415" i="1"/>
  <c r="P416" i="1"/>
  <c r="P417" i="1"/>
  <c r="P418" i="1"/>
  <c r="P419" i="1"/>
  <c r="P420" i="1"/>
  <c r="P421" i="1"/>
  <c r="P422" i="1"/>
  <c r="P423" i="1"/>
  <c r="P424" i="1"/>
  <c r="P425" i="1"/>
  <c r="P426" i="1"/>
  <c r="P427" i="1"/>
  <c r="P444" i="1"/>
  <c r="P445" i="1"/>
  <c r="P446" i="1"/>
  <c r="P447" i="1"/>
  <c r="P448" i="1"/>
  <c r="P449" i="1"/>
  <c r="P450" i="1"/>
  <c r="P451" i="1"/>
  <c r="P452" i="1"/>
  <c r="P453" i="1"/>
  <c r="P454" i="1"/>
  <c r="P455" i="1"/>
  <c r="P456" i="1"/>
  <c r="P457" i="1"/>
  <c r="P462" i="1"/>
  <c r="P463" i="1"/>
  <c r="P458" i="1"/>
  <c r="P459" i="1"/>
  <c r="P460" i="1"/>
  <c r="P464" i="1"/>
  <c r="P465" i="1"/>
  <c r="P466" i="1"/>
  <c r="P55" i="1"/>
  <c r="P56" i="1"/>
  <c r="P57" i="1"/>
  <c r="P58" i="1"/>
  <c r="P59" i="1"/>
  <c r="P60" i="1"/>
  <c r="P61" i="1"/>
  <c r="P62"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2" i="1"/>
  <c r="P53" i="1"/>
  <c r="P54" i="1"/>
  <c r="P51" i="1"/>
  <c r="T310" i="36" l="1"/>
  <c r="T308" i="36"/>
  <c r="AL462" i="36"/>
  <c r="Y462" i="36"/>
  <c r="T424" i="36"/>
  <c r="T461" i="36"/>
  <c r="T306" i="36"/>
  <c r="T465" i="36"/>
  <c r="T415" i="36"/>
  <c r="T302" i="36"/>
  <c r="T422" i="36"/>
  <c r="T301" i="36"/>
  <c r="T33" i="36"/>
  <c r="T421" i="36"/>
  <c r="T309" i="36"/>
  <c r="T22" i="36"/>
  <c r="T463" i="36"/>
  <c r="T395" i="36"/>
  <c r="T300" i="36"/>
  <c r="T60" i="36"/>
  <c r="T57" i="36"/>
  <c r="T52" i="36"/>
  <c r="T55" i="36"/>
  <c r="T21" i="36"/>
  <c r="T458" i="36"/>
  <c r="T394" i="36"/>
  <c r="T299" i="36"/>
  <c r="T320" i="36"/>
  <c r="T24" i="36"/>
  <c r="T298" i="36"/>
  <c r="T19" i="36"/>
  <c r="T455" i="36"/>
  <c r="T391" i="36"/>
  <c r="T296" i="36"/>
  <c r="T61" i="36"/>
  <c r="T59" i="36"/>
  <c r="T58" i="36"/>
  <c r="T28" i="36"/>
  <c r="T416" i="36"/>
  <c r="T303" i="36"/>
  <c r="T23" i="36"/>
  <c r="T20" i="36"/>
  <c r="T297" i="36"/>
  <c r="T17" i="36"/>
  <c r="T454" i="36"/>
  <c r="T390" i="36"/>
  <c r="T295" i="36"/>
  <c r="T35" i="36"/>
  <c r="T32" i="36"/>
  <c r="T29" i="36"/>
  <c r="T417" i="36"/>
  <c r="T27" i="36"/>
  <c r="T331" i="36"/>
  <c r="T43" i="36"/>
  <c r="T11" i="36"/>
  <c r="T448" i="36"/>
  <c r="T329" i="36"/>
  <c r="T286" i="36"/>
  <c r="Y471" i="36"/>
  <c r="T31" i="36"/>
  <c r="T419" i="36"/>
  <c r="T53" i="36"/>
  <c r="T333" i="36"/>
  <c r="T12" i="36"/>
  <c r="T42" i="36"/>
  <c r="T328" i="36"/>
  <c r="T285" i="36"/>
  <c r="T423" i="36"/>
  <c r="T319" i="36"/>
  <c r="T307" i="36"/>
  <c r="T460" i="36"/>
  <c r="T396" i="36"/>
  <c r="T457" i="36"/>
  <c r="T392" i="36"/>
  <c r="T50" i="36"/>
  <c r="T16" i="36"/>
  <c r="T46" i="36"/>
  <c r="T451" i="36"/>
  <c r="T449" i="36"/>
  <c r="T10" i="36"/>
  <c r="T327" i="36"/>
  <c r="T40" i="36"/>
  <c r="T326" i="36"/>
  <c r="T34" i="36"/>
  <c r="T30" i="36"/>
  <c r="T467" i="36"/>
  <c r="T294" i="36"/>
  <c r="T452" i="36"/>
  <c r="Y474" i="36"/>
  <c r="T13" i="36"/>
  <c r="T288" i="36"/>
  <c r="T447" i="36"/>
  <c r="T446" i="36"/>
  <c r="T325" i="36"/>
  <c r="T56" i="36"/>
  <c r="T418" i="36"/>
  <c r="T26" i="36"/>
  <c r="T25" i="36"/>
  <c r="T459" i="36"/>
  <c r="T54" i="36"/>
  <c r="T453" i="36"/>
  <c r="T332" i="36"/>
  <c r="T287" i="36"/>
  <c r="T41" i="36"/>
  <c r="T445" i="36"/>
  <c r="T7" i="36"/>
  <c r="T6" i="36"/>
  <c r="T324" i="36"/>
  <c r="Y475" i="36"/>
  <c r="T321" i="36"/>
  <c r="T466" i="36"/>
  <c r="T305" i="36"/>
  <c r="T414" i="36"/>
  <c r="T464" i="36"/>
  <c r="T48" i="36"/>
  <c r="T334" i="36"/>
  <c r="T15" i="36"/>
  <c r="T290" i="36"/>
  <c r="T14" i="36"/>
  <c r="T289" i="36"/>
  <c r="T45" i="36"/>
  <c r="T450" i="36"/>
  <c r="T44" i="36"/>
  <c r="T38" i="36"/>
  <c r="T427" i="36"/>
  <c r="T37" i="36"/>
  <c r="T63" i="36"/>
  <c r="T426" i="36"/>
  <c r="T323" i="36"/>
  <c r="T420" i="36"/>
  <c r="T304" i="36"/>
  <c r="T397" i="36"/>
  <c r="T393" i="36"/>
  <c r="T456" i="36"/>
  <c r="T18" i="36"/>
  <c r="T49" i="36"/>
  <c r="T47" i="36"/>
  <c r="T330" i="36"/>
  <c r="T9" i="36"/>
  <c r="T8" i="36"/>
  <c r="T39" i="36"/>
  <c r="T428" i="36"/>
  <c r="T36" i="36"/>
  <c r="T62" i="36"/>
  <c r="T425" i="36"/>
  <c r="T322" i="36"/>
  <c r="Z15" i="33"/>
  <c r="AN5" i="36"/>
  <c r="AM11" i="40"/>
  <c r="T5" i="36"/>
  <c r="Q265" i="1"/>
  <c r="AR445" i="1"/>
  <c r="AR446" i="1"/>
  <c r="AR447" i="1"/>
  <c r="AR448" i="1"/>
  <c r="AR449" i="1"/>
  <c r="AR450" i="1"/>
  <c r="AR451" i="1"/>
  <c r="AR452" i="1"/>
  <c r="AR453" i="1"/>
  <c r="AR454" i="1"/>
  <c r="AR455" i="1"/>
  <c r="AR456" i="1"/>
  <c r="AR457" i="1"/>
  <c r="AR462" i="1"/>
  <c r="AR463" i="1"/>
  <c r="AR458" i="1"/>
  <c r="AR459" i="1"/>
  <c r="AR460" i="1"/>
  <c r="AR464" i="1"/>
  <c r="AR465" i="1"/>
  <c r="AR466" i="1"/>
  <c r="AR444" i="1"/>
  <c r="U445" i="1"/>
  <c r="U446" i="1"/>
  <c r="U447" i="1"/>
  <c r="U448" i="1"/>
  <c r="U449" i="1"/>
  <c r="U450" i="1"/>
  <c r="U451" i="1"/>
  <c r="U452" i="1"/>
  <c r="U453" i="1"/>
  <c r="U454" i="1"/>
  <c r="U455" i="1"/>
  <c r="U456" i="1"/>
  <c r="U457" i="1"/>
  <c r="U462" i="1"/>
  <c r="U463" i="1"/>
  <c r="U458" i="1"/>
  <c r="U459" i="1"/>
  <c r="U460" i="1"/>
  <c r="U464" i="1"/>
  <c r="U465" i="1"/>
  <c r="U466" i="1"/>
  <c r="U461" i="1"/>
  <c r="U444" i="1"/>
  <c r="S266" i="36" l="1"/>
  <c r="M265" i="1"/>
  <c r="AQ459" i="1"/>
  <c r="AT459" i="1"/>
  <c r="AQ453" i="1"/>
  <c r="AT453" i="1"/>
  <c r="AQ445" i="1"/>
  <c r="AT445" i="1"/>
  <c r="AT465" i="1"/>
  <c r="AQ465" i="1"/>
  <c r="AQ456" i="1"/>
  <c r="AT456" i="1"/>
  <c r="AQ464" i="1"/>
  <c r="AT464" i="1"/>
  <c r="AQ463" i="1"/>
  <c r="AT463" i="1"/>
  <c r="AQ455" i="1"/>
  <c r="AT455" i="1"/>
  <c r="AQ451" i="1"/>
  <c r="AT451" i="1"/>
  <c r="AQ447" i="1"/>
  <c r="AT447" i="1"/>
  <c r="AT466" i="1"/>
  <c r="AQ466" i="1"/>
  <c r="AQ457" i="1"/>
  <c r="AT457" i="1"/>
  <c r="AQ449" i="1"/>
  <c r="AT449" i="1"/>
  <c r="AT458" i="1"/>
  <c r="AQ458" i="1"/>
  <c r="AT452" i="1"/>
  <c r="AQ452" i="1"/>
  <c r="AQ448" i="1"/>
  <c r="AT448" i="1"/>
  <c r="AT444" i="1"/>
  <c r="AQ444" i="1"/>
  <c r="AT460" i="1"/>
  <c r="AQ460" i="1"/>
  <c r="AT462" i="1"/>
  <c r="AQ462" i="1"/>
  <c r="AT454" i="1"/>
  <c r="AQ454" i="1"/>
  <c r="AT450" i="1"/>
  <c r="AQ450" i="1"/>
  <c r="AT446" i="1"/>
  <c r="AQ446" i="1"/>
  <c r="AM443" i="1"/>
  <c r="AM442" i="1"/>
  <c r="AM441" i="1"/>
  <c r="AM440" i="1"/>
  <c r="O443" i="1"/>
  <c r="N443" i="1"/>
  <c r="M443" i="1"/>
  <c r="O442" i="1"/>
  <c r="N442" i="1"/>
  <c r="M442" i="1"/>
  <c r="O441" i="1"/>
  <c r="N441" i="1"/>
  <c r="M441" i="1"/>
  <c r="W443" i="1"/>
  <c r="V443" i="1"/>
  <c r="W442" i="1"/>
  <c r="V442" i="1"/>
  <c r="W441" i="1"/>
  <c r="V441" i="1"/>
  <c r="W440" i="1"/>
  <c r="V440" i="1"/>
  <c r="O440" i="1"/>
  <c r="N440" i="1"/>
  <c r="M440" i="1"/>
  <c r="AM439" i="1"/>
  <c r="W439" i="1"/>
  <c r="V439" i="1"/>
  <c r="O439" i="1"/>
  <c r="N439" i="1"/>
  <c r="M439" i="1"/>
  <c r="AM438" i="1"/>
  <c r="AM437" i="1"/>
  <c r="W438" i="1"/>
  <c r="W437" i="1"/>
  <c r="V438" i="1"/>
  <c r="V437" i="1"/>
  <c r="O438" i="1"/>
  <c r="O437" i="1"/>
  <c r="N438" i="1"/>
  <c r="N437" i="1"/>
  <c r="M438" i="1"/>
  <c r="M437" i="1"/>
  <c r="AM436" i="1"/>
  <c r="AM435" i="1"/>
  <c r="AM434" i="1"/>
  <c r="V435" i="1"/>
  <c r="W435" i="1"/>
  <c r="W436" i="1"/>
  <c r="W434" i="1"/>
  <c r="V434" i="1"/>
  <c r="O436" i="1"/>
  <c r="N436" i="1"/>
  <c r="M436" i="1"/>
  <c r="O435" i="1"/>
  <c r="N435" i="1"/>
  <c r="M435" i="1"/>
  <c r="O434" i="1"/>
  <c r="N434" i="1"/>
  <c r="M434" i="1"/>
  <c r="AM433" i="1"/>
  <c r="AM432" i="1"/>
  <c r="W433" i="1"/>
  <c r="W432" i="1"/>
  <c r="V432" i="1"/>
  <c r="V433" i="1"/>
  <c r="M433" i="1"/>
  <c r="M432" i="1"/>
  <c r="N433" i="1"/>
  <c r="N432" i="1"/>
  <c r="O433" i="1"/>
  <c r="O432" i="1"/>
  <c r="AM431" i="1"/>
  <c r="AM429" i="1"/>
  <c r="W431" i="1"/>
  <c r="V431" i="1"/>
  <c r="O431" i="1"/>
  <c r="N431" i="1"/>
  <c r="M431" i="1"/>
  <c r="AM430" i="1"/>
  <c r="AR414" i="1"/>
  <c r="AR415" i="1"/>
  <c r="AR416" i="1"/>
  <c r="AR417" i="1"/>
  <c r="AR418" i="1"/>
  <c r="AR413" i="1"/>
  <c r="AS413" i="1" s="1"/>
  <c r="AM428" i="1"/>
  <c r="AP420" i="1"/>
  <c r="AU420" i="1" s="1"/>
  <c r="AP421" i="1"/>
  <c r="AU421" i="1" s="1"/>
  <c r="AP422" i="1"/>
  <c r="AU422" i="1" s="1"/>
  <c r="AP423" i="1"/>
  <c r="AU423" i="1" s="1"/>
  <c r="AP424" i="1"/>
  <c r="AU424" i="1" s="1"/>
  <c r="AP425" i="1"/>
  <c r="AU425" i="1" s="1"/>
  <c r="AP426" i="1"/>
  <c r="AU426" i="1" s="1"/>
  <c r="AP427" i="1"/>
  <c r="AU427" i="1" s="1"/>
  <c r="AP419" i="1"/>
  <c r="AU419" i="1" s="1"/>
  <c r="W430" i="1"/>
  <c r="W429" i="1"/>
  <c r="V429" i="1"/>
  <c r="W428" i="1"/>
  <c r="O429" i="1"/>
  <c r="O430" i="1"/>
  <c r="O428" i="1"/>
  <c r="N429" i="1"/>
  <c r="N430" i="1"/>
  <c r="N428" i="1"/>
  <c r="M429" i="1"/>
  <c r="M430" i="1"/>
  <c r="M428" i="1"/>
  <c r="AN407" i="1"/>
  <c r="AN408" i="1"/>
  <c r="AN409" i="1"/>
  <c r="AN410" i="1"/>
  <c r="AN411" i="1"/>
  <c r="AN412" i="1"/>
  <c r="AN406" i="1"/>
  <c r="N407" i="1"/>
  <c r="N409" i="1"/>
  <c r="N406" i="1"/>
  <c r="N412" i="1"/>
  <c r="N411" i="1"/>
  <c r="N410" i="1"/>
  <c r="N408" i="1"/>
  <c r="W405" i="1"/>
  <c r="W404" i="1"/>
  <c r="W403" i="1"/>
  <c r="O405" i="1"/>
  <c r="O404" i="1"/>
  <c r="O403" i="1"/>
  <c r="M405" i="1"/>
  <c r="M404" i="1"/>
  <c r="M403" i="1"/>
  <c r="AN401" i="1"/>
  <c r="AN402" i="1"/>
  <c r="AN400" i="1"/>
  <c r="AN399" i="1"/>
  <c r="AN398" i="1"/>
  <c r="N402" i="1"/>
  <c r="N401" i="1"/>
  <c r="N400" i="1"/>
  <c r="N399" i="1"/>
  <c r="N398" i="1"/>
  <c r="N397" i="1"/>
  <c r="AR390" i="1"/>
  <c r="AT390" i="1" s="1"/>
  <c r="AR389" i="1"/>
  <c r="AT389" i="1" s="1"/>
  <c r="AR391" i="1"/>
  <c r="AT391" i="1" s="1"/>
  <c r="AR392" i="1"/>
  <c r="AT392" i="1" s="1"/>
  <c r="AR393" i="1"/>
  <c r="AT393" i="1" s="1"/>
  <c r="AR394" i="1"/>
  <c r="AT394" i="1" s="1"/>
  <c r="AR395" i="1"/>
  <c r="AT395" i="1" s="1"/>
  <c r="AR396" i="1"/>
  <c r="AT396" i="1" s="1"/>
  <c r="AO394" i="1"/>
  <c r="AO392" i="1"/>
  <c r="AO393" i="1"/>
  <c r="AO395" i="1"/>
  <c r="AO396" i="1"/>
  <c r="AO391" i="1"/>
  <c r="AO390" i="1"/>
  <c r="AO389" i="1"/>
  <c r="U396" i="1"/>
  <c r="U395" i="1"/>
  <c r="U394" i="1"/>
  <c r="U392" i="1"/>
  <c r="U393" i="1"/>
  <c r="U391" i="1"/>
  <c r="U390" i="1"/>
  <c r="U389" i="1"/>
  <c r="V388" i="1"/>
  <c r="V387" i="1"/>
  <c r="V386" i="1"/>
  <c r="V385" i="1"/>
  <c r="V384" i="1"/>
  <c r="V383" i="1"/>
  <c r="V382" i="1"/>
  <c r="V381" i="1"/>
  <c r="V380" i="1"/>
  <c r="V379" i="1"/>
  <c r="Q384" i="1"/>
  <c r="Q383" i="1"/>
  <c r="Q388" i="1"/>
  <c r="Q387" i="1"/>
  <c r="Q386" i="1"/>
  <c r="Q385" i="1"/>
  <c r="Q382" i="1"/>
  <c r="Q381" i="1"/>
  <c r="Q380" i="1"/>
  <c r="Q379" i="1"/>
  <c r="N388" i="1"/>
  <c r="N387" i="1"/>
  <c r="N386" i="1"/>
  <c r="N385" i="1"/>
  <c r="N384" i="1"/>
  <c r="N383" i="1"/>
  <c r="N381" i="1"/>
  <c r="N382" i="1"/>
  <c r="N380" i="1"/>
  <c r="N379" i="1"/>
  <c r="W73" i="1"/>
  <c r="W72" i="1"/>
  <c r="W71" i="1"/>
  <c r="W70" i="1"/>
  <c r="W79" i="1"/>
  <c r="W78" i="1"/>
  <c r="W77" i="1"/>
  <c r="W76" i="1"/>
  <c r="W75" i="1"/>
  <c r="W74" i="1"/>
  <c r="W69" i="1"/>
  <c r="W68" i="1"/>
  <c r="W67" i="1"/>
  <c r="W66" i="1"/>
  <c r="C31" i="10"/>
  <c r="C32" i="10"/>
  <c r="C33" i="10"/>
  <c r="C34" i="10"/>
  <c r="C36" i="10"/>
  <c r="C37" i="10"/>
  <c r="C38" i="10"/>
  <c r="C39" i="10"/>
  <c r="M196" i="1"/>
  <c r="M178" i="1"/>
  <c r="M166" i="1"/>
  <c r="M151" i="1"/>
  <c r="M141" i="1"/>
  <c r="C11" i="10"/>
  <c r="C12" i="10"/>
  <c r="C13" i="10"/>
  <c r="C14" i="10"/>
  <c r="C15" i="10"/>
  <c r="C16" i="10"/>
  <c r="C17" i="10"/>
  <c r="C19" i="10"/>
  <c r="C20" i="10"/>
  <c r="C21" i="10"/>
  <c r="C22" i="10"/>
  <c r="C23" i="10"/>
  <c r="C24" i="10"/>
  <c r="C25" i="10"/>
  <c r="C26" i="10"/>
  <c r="C27" i="10"/>
  <c r="C28" i="10"/>
  <c r="C29" i="10"/>
  <c r="C30" i="10"/>
  <c r="N128" i="1"/>
  <c r="U50" i="1"/>
  <c r="V79" i="1"/>
  <c r="Q378" i="1"/>
  <c r="Q377" i="1"/>
  <c r="Q376" i="1"/>
  <c r="Q375" i="1"/>
  <c r="Q374" i="1"/>
  <c r="Q373" i="1"/>
  <c r="Q372" i="1"/>
  <c r="Q371" i="1"/>
  <c r="Q370" i="1"/>
  <c r="Q369" i="1"/>
  <c r="Q368" i="1"/>
  <c r="Q367" i="1"/>
  <c r="Q366" i="1"/>
  <c r="Q365" i="1"/>
  <c r="Q364" i="1"/>
  <c r="Q363" i="1"/>
  <c r="Q362" i="1"/>
  <c r="Q361" i="1"/>
  <c r="Q360" i="1"/>
  <c r="Q359" i="1"/>
  <c r="Q357" i="1"/>
  <c r="Q356" i="1"/>
  <c r="Q355" i="1"/>
  <c r="Q354" i="1"/>
  <c r="Q353" i="1"/>
  <c r="Q352" i="1"/>
  <c r="Q351" i="1"/>
  <c r="Q350" i="1"/>
  <c r="Q358" i="1"/>
  <c r="Q349" i="1"/>
  <c r="N377" i="1"/>
  <c r="N376" i="1"/>
  <c r="N375" i="1"/>
  <c r="N374" i="1"/>
  <c r="N373" i="1"/>
  <c r="N372" i="1"/>
  <c r="N371" i="1"/>
  <c r="N370" i="1"/>
  <c r="N369" i="1"/>
  <c r="N366" i="1"/>
  <c r="N365" i="1"/>
  <c r="N350" i="1"/>
  <c r="N351" i="1"/>
  <c r="N352" i="1"/>
  <c r="N353" i="1"/>
  <c r="N354" i="1"/>
  <c r="N355" i="1"/>
  <c r="N356" i="1"/>
  <c r="N357" i="1"/>
  <c r="N358" i="1"/>
  <c r="N359" i="1"/>
  <c r="N360" i="1"/>
  <c r="N361" i="1"/>
  <c r="N362" i="1"/>
  <c r="N363" i="1"/>
  <c r="N364" i="1"/>
  <c r="N367" i="1"/>
  <c r="N368" i="1"/>
  <c r="N349" i="1"/>
  <c r="Q348" i="1"/>
  <c r="Q347" i="1"/>
  <c r="Q346" i="1"/>
  <c r="Q345" i="1"/>
  <c r="Q344" i="1"/>
  <c r="Q343" i="1"/>
  <c r="Q342" i="1"/>
  <c r="N343" i="1"/>
  <c r="N344" i="1"/>
  <c r="N345" i="1"/>
  <c r="N346" i="1"/>
  <c r="N347" i="1"/>
  <c r="N348" i="1"/>
  <c r="N342" i="1"/>
  <c r="W341" i="1"/>
  <c r="W340" i="1"/>
  <c r="Q341" i="1"/>
  <c r="Q340" i="1"/>
  <c r="N341" i="1"/>
  <c r="N340" i="1"/>
  <c r="W337" i="1"/>
  <c r="W338" i="1"/>
  <c r="W339" i="1"/>
  <c r="Q339" i="1"/>
  <c r="Q338" i="1"/>
  <c r="Q337" i="1"/>
  <c r="Q336" i="1"/>
  <c r="N336" i="1"/>
  <c r="N337" i="1"/>
  <c r="N338" i="1"/>
  <c r="N339" i="1"/>
  <c r="AO269" i="1"/>
  <c r="AO266" i="1"/>
  <c r="AO32" i="1"/>
  <c r="AO4" i="1"/>
  <c r="AO33" i="1"/>
  <c r="AO17" i="1"/>
  <c r="AO320" i="1"/>
  <c r="AU320" i="1" s="1"/>
  <c r="AO321" i="1"/>
  <c r="AU321" i="1" s="1"/>
  <c r="AO322" i="1"/>
  <c r="AU322" i="1" s="1"/>
  <c r="AO323" i="1"/>
  <c r="AU323" i="1" s="1"/>
  <c r="AO324" i="1"/>
  <c r="AU324" i="1" s="1"/>
  <c r="AO325" i="1"/>
  <c r="AU325" i="1" s="1"/>
  <c r="AO326" i="1"/>
  <c r="AU326" i="1" s="1"/>
  <c r="AO327" i="1"/>
  <c r="AU327" i="1" s="1"/>
  <c r="AO328" i="1"/>
  <c r="AU328" i="1" s="1"/>
  <c r="AO329" i="1"/>
  <c r="AU329" i="1" s="1"/>
  <c r="AO330" i="1"/>
  <c r="AU330" i="1" s="1"/>
  <c r="AO331" i="1"/>
  <c r="AU331" i="1" s="1"/>
  <c r="AO332" i="1"/>
  <c r="AU332" i="1" s="1"/>
  <c r="AO333" i="1"/>
  <c r="AO319" i="1"/>
  <c r="AU319" i="1" s="1"/>
  <c r="AO318" i="1"/>
  <c r="AU318" i="1" s="1"/>
  <c r="AR307" i="1"/>
  <c r="AQ307" i="1" s="1"/>
  <c r="AR306" i="1"/>
  <c r="AS306" i="1" s="1"/>
  <c r="AT306" i="1" s="1"/>
  <c r="U309" i="1"/>
  <c r="U306" i="1"/>
  <c r="AP306" i="1" s="1"/>
  <c r="AU306" i="1" s="1"/>
  <c r="AR287" i="1"/>
  <c r="AQ287" i="1" s="1"/>
  <c r="AR288" i="1"/>
  <c r="AQ288" i="1" s="1"/>
  <c r="AR289" i="1"/>
  <c r="AR286" i="1"/>
  <c r="AS286" i="1" s="1"/>
  <c r="AT286" i="1" s="1"/>
  <c r="AR285" i="1"/>
  <c r="AS285" i="1" s="1"/>
  <c r="AT285" i="1" s="1"/>
  <c r="AR308" i="1"/>
  <c r="AQ308" i="1" s="1"/>
  <c r="AR309" i="1"/>
  <c r="AQ309" i="1" s="1"/>
  <c r="AO268" i="1"/>
  <c r="AO267" i="1"/>
  <c r="Q335" i="1"/>
  <c r="Q334" i="1"/>
  <c r="N335" i="1"/>
  <c r="N334" i="1"/>
  <c r="AR267" i="1"/>
  <c r="AT267" i="1" s="1"/>
  <c r="AR268" i="1"/>
  <c r="AT268" i="1" s="1"/>
  <c r="AR269" i="1"/>
  <c r="AT269" i="1" s="1"/>
  <c r="AR266" i="1"/>
  <c r="AT266" i="1" s="1"/>
  <c r="U269" i="1"/>
  <c r="U266" i="1"/>
  <c r="O269" i="1"/>
  <c r="O268" i="1"/>
  <c r="O267" i="1"/>
  <c r="O266" i="1"/>
  <c r="W252" i="1"/>
  <c r="V265" i="1"/>
  <c r="V264" i="1"/>
  <c r="V262" i="1"/>
  <c r="V257" i="1"/>
  <c r="V256" i="1"/>
  <c r="V255" i="1"/>
  <c r="V247" i="1"/>
  <c r="V245" i="1"/>
  <c r="V246" i="1"/>
  <c r="U259" i="1"/>
  <c r="U258" i="1"/>
  <c r="U252" i="1"/>
  <c r="U251" i="1"/>
  <c r="U250" i="1"/>
  <c r="U249" i="1"/>
  <c r="U263" i="1"/>
  <c r="U261" i="1"/>
  <c r="U260" i="1"/>
  <c r="U255" i="1"/>
  <c r="U254" i="1"/>
  <c r="U253" i="1"/>
  <c r="AN256" i="1"/>
  <c r="AR37" i="1"/>
  <c r="AR36" i="1"/>
  <c r="AR35" i="1"/>
  <c r="AR34" i="1"/>
  <c r="AS34" i="1" s="1"/>
  <c r="AT34" i="1" s="1"/>
  <c r="U34" i="1"/>
  <c r="AP34" i="1" s="1"/>
  <c r="AN229" i="1"/>
  <c r="AR5" i="1"/>
  <c r="AO6" i="1"/>
  <c r="AO7" i="1"/>
  <c r="AO8" i="1"/>
  <c r="AO9" i="1"/>
  <c r="AO10" i="1"/>
  <c r="AO11" i="1"/>
  <c r="AO12" i="1"/>
  <c r="AO14" i="1"/>
  <c r="AO15" i="1"/>
  <c r="AO16" i="1"/>
  <c r="AO18" i="1"/>
  <c r="AO19" i="1"/>
  <c r="AO20" i="1"/>
  <c r="AO21" i="1"/>
  <c r="AO22" i="1"/>
  <c r="AO23" i="1"/>
  <c r="AO24" i="1"/>
  <c r="AO25" i="1"/>
  <c r="AO26" i="1"/>
  <c r="AO28" i="1"/>
  <c r="AO29" i="1"/>
  <c r="AO30" i="1"/>
  <c r="AO31" i="1"/>
  <c r="AO5" i="1"/>
  <c r="AR6" i="1"/>
  <c r="AT6" i="1" s="1"/>
  <c r="AR7" i="1"/>
  <c r="AT7" i="1" s="1"/>
  <c r="AR8" i="1"/>
  <c r="AT8" i="1" s="1"/>
  <c r="AR9" i="1"/>
  <c r="AT9" i="1" s="1"/>
  <c r="AR10" i="1"/>
  <c r="AR11" i="1"/>
  <c r="AT11" i="1" s="1"/>
  <c r="AR12" i="1"/>
  <c r="AT12" i="1" s="1"/>
  <c r="AR14" i="1"/>
  <c r="AT14" i="1" s="1"/>
  <c r="AR15" i="1"/>
  <c r="AT15" i="1" s="1"/>
  <c r="AR16" i="1"/>
  <c r="AT16" i="1" s="1"/>
  <c r="AR17" i="1"/>
  <c r="AT17" i="1" s="1"/>
  <c r="AR18" i="1"/>
  <c r="AT18" i="1" s="1"/>
  <c r="AR19" i="1"/>
  <c r="AT19" i="1" s="1"/>
  <c r="AR20" i="1"/>
  <c r="AT20" i="1" s="1"/>
  <c r="AR21" i="1"/>
  <c r="AT21" i="1" s="1"/>
  <c r="AR22" i="1"/>
  <c r="AT22" i="1" s="1"/>
  <c r="AR23" i="1"/>
  <c r="AT23" i="1" s="1"/>
  <c r="AR24" i="1"/>
  <c r="AT24" i="1" s="1"/>
  <c r="AR25" i="1"/>
  <c r="AT25" i="1" s="1"/>
  <c r="AR26" i="1"/>
  <c r="AT26" i="1" s="1"/>
  <c r="AR28" i="1"/>
  <c r="AT28" i="1" s="1"/>
  <c r="AR29" i="1"/>
  <c r="AT29" i="1" s="1"/>
  <c r="AR30" i="1"/>
  <c r="AT30" i="1" s="1"/>
  <c r="AR31" i="1"/>
  <c r="AR32" i="1"/>
  <c r="AT32" i="1" s="1"/>
  <c r="AR33" i="1"/>
  <c r="AP286" i="1"/>
  <c r="AU286" i="1" s="1"/>
  <c r="AP287" i="1"/>
  <c r="AU287" i="1" s="1"/>
  <c r="AP288" i="1"/>
  <c r="AU288" i="1" s="1"/>
  <c r="AP289" i="1"/>
  <c r="AU289" i="1" s="1"/>
  <c r="AP285" i="1"/>
  <c r="AU285" i="1" s="1"/>
  <c r="AP284" i="1"/>
  <c r="AU284" i="1" s="1"/>
  <c r="U319" i="1"/>
  <c r="U318" i="1"/>
  <c r="U333" i="1"/>
  <c r="U320" i="1"/>
  <c r="U321" i="1"/>
  <c r="U322" i="1"/>
  <c r="U323" i="1"/>
  <c r="U324" i="1"/>
  <c r="U325" i="1"/>
  <c r="U326" i="1"/>
  <c r="U327" i="1"/>
  <c r="U328" i="1"/>
  <c r="U329" i="1"/>
  <c r="U330" i="1"/>
  <c r="U331" i="1"/>
  <c r="U332" i="1"/>
  <c r="U308" i="1"/>
  <c r="AP308" i="1" s="1"/>
  <c r="AU308" i="1" s="1"/>
  <c r="U307" i="1"/>
  <c r="AP307" i="1" s="1"/>
  <c r="AU307" i="1" s="1"/>
  <c r="U268" i="1"/>
  <c r="U267" i="1"/>
  <c r="U36" i="1"/>
  <c r="AP36" i="1" s="1"/>
  <c r="U37" i="1"/>
  <c r="AP37" i="1" s="1"/>
  <c r="U35" i="1"/>
  <c r="AP35" i="1" s="1"/>
  <c r="U19" i="1"/>
  <c r="U20" i="1"/>
  <c r="U21" i="1"/>
  <c r="U22" i="1"/>
  <c r="U23" i="1"/>
  <c r="U24" i="1"/>
  <c r="U25" i="1"/>
  <c r="U26" i="1"/>
  <c r="U27" i="1"/>
  <c r="U28" i="1"/>
  <c r="U29" i="1"/>
  <c r="U30" i="1"/>
  <c r="U31" i="1"/>
  <c r="U32" i="1"/>
  <c r="U33" i="1"/>
  <c r="U18" i="1"/>
  <c r="U6" i="1"/>
  <c r="U7" i="1"/>
  <c r="U8" i="1"/>
  <c r="U9" i="1"/>
  <c r="U10" i="1"/>
  <c r="U11" i="1"/>
  <c r="U12" i="1"/>
  <c r="U13" i="1"/>
  <c r="U14" i="1"/>
  <c r="U15" i="1"/>
  <c r="U16" i="1"/>
  <c r="U17" i="1"/>
  <c r="U5" i="1"/>
  <c r="U4" i="1"/>
  <c r="AN278" i="1"/>
  <c r="M65" i="1"/>
  <c r="O65" i="1"/>
  <c r="N65" i="1"/>
  <c r="O64" i="1"/>
  <c r="O63" i="1"/>
  <c r="M64" i="1"/>
  <c r="M63" i="1"/>
  <c r="N64" i="1"/>
  <c r="N63" i="1"/>
  <c r="U52" i="1"/>
  <c r="AP52" i="1" s="1"/>
  <c r="AU52" i="1" s="1"/>
  <c r="U53" i="1"/>
  <c r="AP53" i="1" s="1"/>
  <c r="AU53" i="1" s="1"/>
  <c r="U54" i="1"/>
  <c r="AP54" i="1" s="1"/>
  <c r="AU54" i="1" s="1"/>
  <c r="U55" i="1"/>
  <c r="AP55" i="1" s="1"/>
  <c r="AU55" i="1" s="1"/>
  <c r="U56" i="1"/>
  <c r="AP56" i="1" s="1"/>
  <c r="AU56" i="1" s="1"/>
  <c r="U57" i="1"/>
  <c r="AP57" i="1" s="1"/>
  <c r="AU57" i="1" s="1"/>
  <c r="U58" i="1"/>
  <c r="AP58" i="1" s="1"/>
  <c r="AU58" i="1" s="1"/>
  <c r="U59" i="1"/>
  <c r="AP59" i="1" s="1"/>
  <c r="AU59" i="1" s="1"/>
  <c r="U60" i="1"/>
  <c r="AP60" i="1" s="1"/>
  <c r="U61" i="1"/>
  <c r="AP61" i="1" s="1"/>
  <c r="AU61" i="1" s="1"/>
  <c r="U62" i="1"/>
  <c r="AP62" i="1" s="1"/>
  <c r="AU62" i="1" s="1"/>
  <c r="U51" i="1"/>
  <c r="AP51" i="1" s="1"/>
  <c r="AU51" i="1" s="1"/>
  <c r="U39" i="1"/>
  <c r="AP39" i="1" s="1"/>
  <c r="AU39" i="1" s="1"/>
  <c r="U46" i="1"/>
  <c r="AP46" i="1" s="1"/>
  <c r="AU46" i="1" s="1"/>
  <c r="U40" i="1"/>
  <c r="AP40" i="1" s="1"/>
  <c r="AU40" i="1" s="1"/>
  <c r="U41" i="1"/>
  <c r="AP41" i="1" s="1"/>
  <c r="AU41" i="1" s="1"/>
  <c r="U42" i="1"/>
  <c r="AP42" i="1" s="1"/>
  <c r="AU42" i="1" s="1"/>
  <c r="U43" i="1"/>
  <c r="AP43" i="1" s="1"/>
  <c r="AU43" i="1" s="1"/>
  <c r="U44" i="1"/>
  <c r="AP44" i="1" s="1"/>
  <c r="AU44" i="1" s="1"/>
  <c r="U45" i="1"/>
  <c r="AP45" i="1" s="1"/>
  <c r="AU45" i="1" s="1"/>
  <c r="AP47" i="1"/>
  <c r="AU47" i="1" s="1"/>
  <c r="U48" i="1"/>
  <c r="AP48" i="1" s="1"/>
  <c r="AU48" i="1" s="1"/>
  <c r="U49" i="1"/>
  <c r="AP49" i="1" s="1"/>
  <c r="AU49" i="1" s="1"/>
  <c r="N317" i="1"/>
  <c r="N316" i="1"/>
  <c r="N315" i="1"/>
  <c r="N314" i="1"/>
  <c r="N313" i="1"/>
  <c r="N312" i="1"/>
  <c r="N311" i="1"/>
  <c r="N310" i="1"/>
  <c r="Q293" i="1"/>
  <c r="Q294" i="1"/>
  <c r="Q295" i="1"/>
  <c r="Q296" i="1"/>
  <c r="Q297" i="1"/>
  <c r="Q298" i="1"/>
  <c r="Q299" i="1"/>
  <c r="Q300" i="1"/>
  <c r="Q301" i="1"/>
  <c r="Q302" i="1"/>
  <c r="Q303" i="1"/>
  <c r="Q304" i="1"/>
  <c r="Q305" i="1"/>
  <c r="N292" i="1"/>
  <c r="N291" i="1"/>
  <c r="N290" i="1"/>
  <c r="N283" i="1"/>
  <c r="N282" i="1"/>
  <c r="N281" i="1"/>
  <c r="N280" i="1"/>
  <c r="N279" i="1"/>
  <c r="V310" i="36" l="1"/>
  <c r="T308" i="35"/>
  <c r="C316" i="38"/>
  <c r="E316" i="38" s="1"/>
  <c r="P350" i="36"/>
  <c r="S352" i="36"/>
  <c r="X390" i="36"/>
  <c r="AK390" i="36" s="1"/>
  <c r="V459" i="36"/>
  <c r="T457" i="35"/>
  <c r="C465" i="38"/>
  <c r="E465" i="38" s="1"/>
  <c r="P369" i="36"/>
  <c r="S353" i="36"/>
  <c r="X391" i="36"/>
  <c r="AK391" i="36" s="1"/>
  <c r="X459" i="36"/>
  <c r="P368" i="36"/>
  <c r="S354" i="36"/>
  <c r="P398" i="36"/>
  <c r="Q432" i="36"/>
  <c r="X450" i="36"/>
  <c r="P338" i="36"/>
  <c r="P365" i="36"/>
  <c r="S355" i="36"/>
  <c r="P399" i="36"/>
  <c r="P432" i="36"/>
  <c r="Q442" i="36"/>
  <c r="V450" i="36"/>
  <c r="T448" i="35"/>
  <c r="C456" i="38"/>
  <c r="E456" i="38" s="1"/>
  <c r="P66" i="36"/>
  <c r="P364" i="36"/>
  <c r="S356" i="36"/>
  <c r="P400" i="36"/>
  <c r="Q429" i="36"/>
  <c r="R432" i="36"/>
  <c r="P442" i="36"/>
  <c r="X458" i="36"/>
  <c r="P363" i="36"/>
  <c r="S357" i="36"/>
  <c r="P401" i="36"/>
  <c r="Q431" i="36"/>
  <c r="R442" i="36"/>
  <c r="V458" i="36"/>
  <c r="T456" i="35"/>
  <c r="C464" i="38"/>
  <c r="E464" i="38" s="1"/>
  <c r="P402" i="36"/>
  <c r="Q430" i="36"/>
  <c r="Q438" i="36"/>
  <c r="Q443" i="36"/>
  <c r="V467" i="36"/>
  <c r="T465" i="35"/>
  <c r="C473" i="38"/>
  <c r="E473" i="38" s="1"/>
  <c r="W307" i="36"/>
  <c r="U305" i="35"/>
  <c r="D313" i="38"/>
  <c r="P403" i="36"/>
  <c r="P429" i="36"/>
  <c r="Q439" i="36"/>
  <c r="P443" i="36"/>
  <c r="X467" i="36"/>
  <c r="X31" i="36"/>
  <c r="AN31" i="36" s="1"/>
  <c r="S340" i="36"/>
  <c r="P360" i="36"/>
  <c r="S361" i="36"/>
  <c r="P431" i="36"/>
  <c r="P438" i="36"/>
  <c r="R443" i="36"/>
  <c r="X448" i="36"/>
  <c r="V309" i="36"/>
  <c r="T307" i="35"/>
  <c r="C315" i="38"/>
  <c r="E315" i="38" s="1"/>
  <c r="P317" i="36"/>
  <c r="P359" i="36"/>
  <c r="S362" i="36"/>
  <c r="P430" i="36"/>
  <c r="R433" i="36"/>
  <c r="P439" i="36"/>
  <c r="Q444" i="36"/>
  <c r="V448" i="36"/>
  <c r="T446" i="35"/>
  <c r="C454" i="38"/>
  <c r="E454" i="38" s="1"/>
  <c r="P339" i="36"/>
  <c r="S358" i="36"/>
  <c r="P358" i="36"/>
  <c r="S363" i="36"/>
  <c r="R429" i="36"/>
  <c r="R434" i="36"/>
  <c r="R438" i="36"/>
  <c r="P444" i="36"/>
  <c r="X452" i="36"/>
  <c r="X287" i="36"/>
  <c r="AO287" i="36" s="1"/>
  <c r="S360" i="36"/>
  <c r="X22" i="36"/>
  <c r="P357" i="36"/>
  <c r="S364" i="36"/>
  <c r="R431" i="36"/>
  <c r="P433" i="36"/>
  <c r="R439" i="36"/>
  <c r="R444" i="36"/>
  <c r="V452" i="36"/>
  <c r="T450" i="35"/>
  <c r="C458" i="38"/>
  <c r="E458" i="38" s="1"/>
  <c r="X33" i="36"/>
  <c r="AN33" i="36" s="1"/>
  <c r="X30" i="36"/>
  <c r="AN30" i="36" s="1"/>
  <c r="P280" i="36"/>
  <c r="W320" i="36"/>
  <c r="U318" i="35"/>
  <c r="D326" i="38"/>
  <c r="P341" i="36"/>
  <c r="P356" i="36"/>
  <c r="S365" i="36"/>
  <c r="P380" i="36"/>
  <c r="R430" i="36"/>
  <c r="P434" i="36"/>
  <c r="X456" i="36"/>
  <c r="R66" i="36"/>
  <c r="W50" i="36"/>
  <c r="U48" i="35"/>
  <c r="D56" i="38"/>
  <c r="X25" i="36"/>
  <c r="AN25" i="36" s="1"/>
  <c r="X23" i="36"/>
  <c r="AN23" i="36" s="1"/>
  <c r="X20" i="36"/>
  <c r="AN20" i="36" s="1"/>
  <c r="P342" i="36"/>
  <c r="P355" i="36"/>
  <c r="S366" i="36"/>
  <c r="P381" i="36"/>
  <c r="Q404" i="36"/>
  <c r="Q433" i="36"/>
  <c r="V456" i="36"/>
  <c r="T454" i="35"/>
  <c r="C462" i="38"/>
  <c r="E462" i="38" s="1"/>
  <c r="P318" i="36"/>
  <c r="S337" i="36"/>
  <c r="X307" i="36"/>
  <c r="AO307" i="36" s="1"/>
  <c r="W40" i="36"/>
  <c r="U38" i="35"/>
  <c r="D46" i="38"/>
  <c r="S341" i="36"/>
  <c r="P354" i="36"/>
  <c r="S367" i="36"/>
  <c r="P383" i="36"/>
  <c r="Q405" i="36"/>
  <c r="Q434" i="36"/>
  <c r="X464" i="36"/>
  <c r="P337" i="36"/>
  <c r="W43" i="36"/>
  <c r="U41" i="35"/>
  <c r="D49" i="38"/>
  <c r="P292" i="36"/>
  <c r="S306" i="36"/>
  <c r="P353" i="36"/>
  <c r="S368" i="36"/>
  <c r="P382" i="36"/>
  <c r="Q406" i="36"/>
  <c r="V464" i="36"/>
  <c r="T462" i="35"/>
  <c r="C470" i="38"/>
  <c r="E470" i="38" s="1"/>
  <c r="P316" i="36"/>
  <c r="W63" i="36"/>
  <c r="U61" i="35"/>
  <c r="D69" i="38"/>
  <c r="P352" i="36"/>
  <c r="S369" i="36"/>
  <c r="P384" i="36"/>
  <c r="R404" i="36"/>
  <c r="V447" i="36"/>
  <c r="T445" i="35"/>
  <c r="C453" i="38"/>
  <c r="E453" i="38" s="1"/>
  <c r="X465" i="36"/>
  <c r="V288" i="36"/>
  <c r="T286" i="35"/>
  <c r="C294" i="38"/>
  <c r="E294" i="38" s="1"/>
  <c r="P281" i="36"/>
  <c r="R268" i="36"/>
  <c r="W330" i="36"/>
  <c r="U328" i="35"/>
  <c r="D336" i="38"/>
  <c r="P351" i="36"/>
  <c r="S370" i="36"/>
  <c r="Q142" i="36"/>
  <c r="P385" i="36"/>
  <c r="R405" i="36"/>
  <c r="W420" i="36"/>
  <c r="U418" i="35"/>
  <c r="D426" i="38"/>
  <c r="X447" i="36"/>
  <c r="V465" i="36"/>
  <c r="T463" i="35"/>
  <c r="C471" i="38"/>
  <c r="E471" i="38" s="1"/>
  <c r="R65" i="36"/>
  <c r="V289" i="36"/>
  <c r="T287" i="35"/>
  <c r="C295" i="38"/>
  <c r="E295" i="38" s="1"/>
  <c r="W329" i="36"/>
  <c r="U327" i="35"/>
  <c r="D335" i="38"/>
  <c r="P343" i="36"/>
  <c r="P366" i="36"/>
  <c r="S371" i="36"/>
  <c r="Q152" i="36"/>
  <c r="P386" i="36"/>
  <c r="R406" i="36"/>
  <c r="W428" i="36"/>
  <c r="U426" i="35"/>
  <c r="D434" i="38"/>
  <c r="Q440" i="36"/>
  <c r="V451" i="36"/>
  <c r="T449" i="35"/>
  <c r="C457" i="38"/>
  <c r="E457" i="38" s="1"/>
  <c r="X457" i="36"/>
  <c r="S339" i="36"/>
  <c r="W328" i="36"/>
  <c r="U326" i="35"/>
  <c r="D334" i="38"/>
  <c r="P349" i="36"/>
  <c r="P367" i="36"/>
  <c r="S372" i="36"/>
  <c r="Q167" i="36"/>
  <c r="P387" i="36"/>
  <c r="U425" i="35"/>
  <c r="W427" i="36"/>
  <c r="D433" i="38"/>
  <c r="P440" i="36"/>
  <c r="X451" i="36"/>
  <c r="V457" i="36"/>
  <c r="T455" i="35"/>
  <c r="C463" i="38"/>
  <c r="E463" i="38" s="1"/>
  <c r="P361" i="36"/>
  <c r="P348" i="36"/>
  <c r="P370" i="36"/>
  <c r="S373" i="36"/>
  <c r="Q179" i="36"/>
  <c r="P388" i="36"/>
  <c r="W426" i="36"/>
  <c r="U424" i="35"/>
  <c r="D432" i="38"/>
  <c r="R440" i="36"/>
  <c r="V455" i="36"/>
  <c r="T453" i="35"/>
  <c r="C461" i="38"/>
  <c r="E461" i="38" s="1"/>
  <c r="V466" i="36"/>
  <c r="T464" i="35"/>
  <c r="C472" i="38"/>
  <c r="E472" i="38" s="1"/>
  <c r="W308" i="36"/>
  <c r="U306" i="35"/>
  <c r="D314" i="38"/>
  <c r="P371" i="36"/>
  <c r="S374" i="36"/>
  <c r="Q197" i="36"/>
  <c r="P389" i="36"/>
  <c r="W425" i="36"/>
  <c r="U423" i="35"/>
  <c r="D431" i="38"/>
  <c r="Q435" i="36"/>
  <c r="X455" i="36"/>
  <c r="X466" i="36"/>
  <c r="X29" i="36"/>
  <c r="AN29" i="36" s="1"/>
  <c r="W45" i="36"/>
  <c r="U43" i="35"/>
  <c r="D51" i="38"/>
  <c r="P372" i="36"/>
  <c r="S375" i="36"/>
  <c r="S380" i="36"/>
  <c r="P409" i="36"/>
  <c r="W424" i="36"/>
  <c r="U422" i="35"/>
  <c r="D430" i="38"/>
  <c r="P435" i="36"/>
  <c r="V463" i="36"/>
  <c r="T461" i="35"/>
  <c r="C469" i="38"/>
  <c r="E469" i="38" s="1"/>
  <c r="X446" i="36"/>
  <c r="P373" i="36"/>
  <c r="S381" i="36"/>
  <c r="P411" i="36"/>
  <c r="W423" i="36"/>
  <c r="U421" i="35"/>
  <c r="D429" i="38"/>
  <c r="R435" i="36"/>
  <c r="X463" i="36"/>
  <c r="V446" i="36"/>
  <c r="T444" i="35"/>
  <c r="C452" i="38"/>
  <c r="E452" i="38" s="1"/>
  <c r="W49" i="36"/>
  <c r="U47" i="35"/>
  <c r="D55" i="38"/>
  <c r="X26" i="36"/>
  <c r="AN26" i="36" s="1"/>
  <c r="W42" i="36"/>
  <c r="U40" i="35"/>
  <c r="D48" i="38"/>
  <c r="W52" i="36"/>
  <c r="U50" i="35"/>
  <c r="D58" i="38"/>
  <c r="W62" i="36"/>
  <c r="U60" i="35"/>
  <c r="D68" i="38"/>
  <c r="W60" i="36"/>
  <c r="U58" i="35"/>
  <c r="D66" i="38"/>
  <c r="X12" i="36"/>
  <c r="AN12" i="36" s="1"/>
  <c r="P346" i="36"/>
  <c r="X8" i="36"/>
  <c r="AN8" i="36" s="1"/>
  <c r="X269" i="36"/>
  <c r="AK269" i="36" s="1"/>
  <c r="W323" i="36"/>
  <c r="U321" i="35"/>
  <c r="D329" i="38"/>
  <c r="P344" i="36"/>
  <c r="P374" i="36"/>
  <c r="S377" i="36"/>
  <c r="S382" i="36"/>
  <c r="P412" i="36"/>
  <c r="W422" i="36"/>
  <c r="U420" i="35"/>
  <c r="D428" i="38"/>
  <c r="Q436" i="36"/>
  <c r="Q441" i="36"/>
  <c r="V461" i="36"/>
  <c r="T459" i="35"/>
  <c r="C467" i="38"/>
  <c r="E467" i="38" s="1"/>
  <c r="X454" i="36"/>
  <c r="W47" i="36"/>
  <c r="U45" i="35"/>
  <c r="D53" i="38"/>
  <c r="X18" i="36"/>
  <c r="AN18" i="36" s="1"/>
  <c r="S300" i="36"/>
  <c r="W56" i="36"/>
  <c r="U54" i="35"/>
  <c r="D62" i="38"/>
  <c r="W54" i="36"/>
  <c r="AD54" i="36" s="1"/>
  <c r="U52" i="35"/>
  <c r="D60" i="38"/>
  <c r="X7" i="36"/>
  <c r="AN7" i="36" s="1"/>
  <c r="X268" i="36"/>
  <c r="AK268" i="36" s="1"/>
  <c r="W322" i="36"/>
  <c r="U320" i="35"/>
  <c r="D328" i="38"/>
  <c r="S343" i="36"/>
  <c r="P375" i="36"/>
  <c r="S378" i="36"/>
  <c r="S383" i="36"/>
  <c r="P413" i="36"/>
  <c r="W421" i="36"/>
  <c r="U419" i="35"/>
  <c r="D427" i="38"/>
  <c r="P436" i="36"/>
  <c r="P441" i="36"/>
  <c r="X461" i="36"/>
  <c r="V454" i="36"/>
  <c r="T452" i="35"/>
  <c r="C460" i="38"/>
  <c r="E460" i="38" s="1"/>
  <c r="X286" i="36"/>
  <c r="AO286" i="36" s="1"/>
  <c r="S338" i="36"/>
  <c r="W44" i="36"/>
  <c r="U42" i="35"/>
  <c r="D50" i="38"/>
  <c r="P283" i="36"/>
  <c r="P291" i="36"/>
  <c r="W333" i="36"/>
  <c r="U331" i="35"/>
  <c r="D339" i="38"/>
  <c r="X17" i="36"/>
  <c r="AN17" i="36" s="1"/>
  <c r="X15" i="36"/>
  <c r="AN15" i="36" s="1"/>
  <c r="P347" i="36"/>
  <c r="P345" i="36"/>
  <c r="W285" i="36"/>
  <c r="U283" i="35"/>
  <c r="D291" i="38"/>
  <c r="P335" i="36"/>
  <c r="W321" i="36"/>
  <c r="U319" i="35"/>
  <c r="D327" i="38"/>
  <c r="S344" i="36"/>
  <c r="P376" i="36"/>
  <c r="S379" i="36"/>
  <c r="S386" i="36"/>
  <c r="X397" i="36"/>
  <c r="AK397" i="36" s="1"/>
  <c r="P407" i="36"/>
  <c r="R436" i="36"/>
  <c r="R441" i="36"/>
  <c r="V445" i="36"/>
  <c r="T443" i="35"/>
  <c r="C451" i="38"/>
  <c r="E451" i="38" s="1"/>
  <c r="X460" i="36"/>
  <c r="P340" i="36"/>
  <c r="W48" i="36"/>
  <c r="U46" i="35"/>
  <c r="D54" i="38"/>
  <c r="P282" i="36"/>
  <c r="X21" i="36"/>
  <c r="AN21" i="36" s="1"/>
  <c r="W332" i="36"/>
  <c r="U330" i="35"/>
  <c r="D338" i="38"/>
  <c r="W59" i="36"/>
  <c r="U57" i="35"/>
  <c r="D65" i="38"/>
  <c r="X35" i="36"/>
  <c r="AO35" i="36" s="1"/>
  <c r="S299" i="36"/>
  <c r="X267" i="36"/>
  <c r="AK267" i="36" s="1"/>
  <c r="X270" i="36"/>
  <c r="AK270" i="36" s="1"/>
  <c r="P336" i="36"/>
  <c r="S345" i="36"/>
  <c r="P377" i="36"/>
  <c r="S387" i="36"/>
  <c r="X396" i="36"/>
  <c r="AK396" i="36" s="1"/>
  <c r="P410" i="36"/>
  <c r="Q437" i="36"/>
  <c r="X445" i="36"/>
  <c r="V460" i="36"/>
  <c r="T458" i="35"/>
  <c r="C466" i="38"/>
  <c r="E466" i="38" s="1"/>
  <c r="X24" i="36"/>
  <c r="AN24" i="36" s="1"/>
  <c r="W319" i="36"/>
  <c r="U317" i="35"/>
  <c r="D325" i="38"/>
  <c r="P293" i="36"/>
  <c r="S342" i="36"/>
  <c r="X16" i="36"/>
  <c r="AN16" i="36" s="1"/>
  <c r="R270" i="36"/>
  <c r="S301" i="36"/>
  <c r="W58" i="36"/>
  <c r="U56" i="35"/>
  <c r="D64" i="38"/>
  <c r="W325" i="36"/>
  <c r="U323" i="35"/>
  <c r="D331" i="38"/>
  <c r="S296" i="36"/>
  <c r="P64" i="36"/>
  <c r="P65" i="36"/>
  <c r="W290" i="36"/>
  <c r="U288" i="35"/>
  <c r="D296" i="38"/>
  <c r="S335" i="36"/>
  <c r="S346" i="36"/>
  <c r="P378" i="36"/>
  <c r="S388" i="36"/>
  <c r="X395" i="36"/>
  <c r="AK395" i="36" s="1"/>
  <c r="P408" i="36"/>
  <c r="P437" i="36"/>
  <c r="X449" i="36"/>
  <c r="Q266" i="36"/>
  <c r="P362" i="36"/>
  <c r="W309" i="36"/>
  <c r="U307" i="35"/>
  <c r="D315" i="38"/>
  <c r="W41" i="36"/>
  <c r="U39" i="35"/>
  <c r="D47" i="38"/>
  <c r="U329" i="35"/>
  <c r="W331" i="36"/>
  <c r="D337" i="38"/>
  <c r="S304" i="36"/>
  <c r="S303" i="36"/>
  <c r="X13" i="36"/>
  <c r="AN13" i="36" s="1"/>
  <c r="W326" i="36"/>
  <c r="U324" i="35"/>
  <c r="D332" i="38"/>
  <c r="S376" i="36"/>
  <c r="W53" i="36"/>
  <c r="U51" i="35"/>
  <c r="D59" i="38"/>
  <c r="W286" i="36"/>
  <c r="U284" i="35"/>
  <c r="D292" i="38"/>
  <c r="P312" i="36"/>
  <c r="Q64" i="36"/>
  <c r="W289" i="36"/>
  <c r="U287" i="35"/>
  <c r="D295" i="38"/>
  <c r="S336" i="36"/>
  <c r="S347" i="36"/>
  <c r="S350" i="36"/>
  <c r="P129" i="36"/>
  <c r="S389" i="36"/>
  <c r="X394" i="36"/>
  <c r="AK394" i="36" s="1"/>
  <c r="R437" i="36"/>
  <c r="V449" i="36"/>
  <c r="T447" i="35"/>
  <c r="C455" i="38"/>
  <c r="E455" i="38" s="1"/>
  <c r="Q66" i="36"/>
  <c r="U44" i="35"/>
  <c r="W46" i="36"/>
  <c r="D52" i="38"/>
  <c r="V308" i="36"/>
  <c r="T306" i="35"/>
  <c r="C314" i="38"/>
  <c r="E314" i="38" s="1"/>
  <c r="S305" i="36"/>
  <c r="R267" i="36"/>
  <c r="R269" i="36"/>
  <c r="S302" i="36"/>
  <c r="W327" i="36"/>
  <c r="U325" i="35"/>
  <c r="D333" i="38"/>
  <c r="W57" i="36"/>
  <c r="U55" i="35"/>
  <c r="D63" i="38"/>
  <c r="X9" i="36"/>
  <c r="AN9" i="36" s="1"/>
  <c r="W55" i="36"/>
  <c r="U53" i="35"/>
  <c r="D61" i="38"/>
  <c r="P311" i="36"/>
  <c r="P313" i="36"/>
  <c r="Q65" i="36"/>
  <c r="W288" i="36"/>
  <c r="U286" i="35"/>
  <c r="D294" i="38"/>
  <c r="S348" i="36"/>
  <c r="S359" i="36"/>
  <c r="S384" i="36"/>
  <c r="X393" i="36"/>
  <c r="AK393" i="36" s="1"/>
  <c r="V453" i="36"/>
  <c r="T451" i="35"/>
  <c r="C459" i="38"/>
  <c r="E459" i="38" s="1"/>
  <c r="P315" i="36"/>
  <c r="X27" i="36"/>
  <c r="AN27" i="36" s="1"/>
  <c r="P284" i="36"/>
  <c r="X19" i="36"/>
  <c r="AN19" i="36" s="1"/>
  <c r="X10" i="36"/>
  <c r="AN10" i="36" s="1"/>
  <c r="S298" i="36"/>
  <c r="W324" i="36"/>
  <c r="U322" i="35"/>
  <c r="D330" i="38"/>
  <c r="S297" i="36"/>
  <c r="S295" i="36"/>
  <c r="S294" i="36"/>
  <c r="P314" i="36"/>
  <c r="R64" i="36"/>
  <c r="U285" i="35"/>
  <c r="W287" i="36"/>
  <c r="D293" i="38"/>
  <c r="S349" i="36"/>
  <c r="S351" i="36"/>
  <c r="S385" i="36"/>
  <c r="X392" i="36"/>
  <c r="AK392" i="36" s="1"/>
  <c r="X453" i="36"/>
  <c r="AJ347" i="1"/>
  <c r="AJ370" i="1"/>
  <c r="AJ371" i="1"/>
  <c r="AJ344" i="1"/>
  <c r="P410" i="1"/>
  <c r="AJ364" i="1"/>
  <c r="P399" i="1"/>
  <c r="AJ437" i="1"/>
  <c r="AJ358" i="1"/>
  <c r="AJ439" i="1"/>
  <c r="AJ345" i="1"/>
  <c r="AJ343" i="1"/>
  <c r="AJ373" i="1"/>
  <c r="P411" i="1"/>
  <c r="AJ430" i="1"/>
  <c r="AJ443" i="1"/>
  <c r="AU304" i="1"/>
  <c r="P408" i="1"/>
  <c r="AJ374" i="1"/>
  <c r="P412" i="1"/>
  <c r="AJ435" i="1"/>
  <c r="AJ440" i="1"/>
  <c r="P401" i="1"/>
  <c r="AJ429" i="1"/>
  <c r="AJ350" i="1"/>
  <c r="AJ375" i="1"/>
  <c r="P406" i="1"/>
  <c r="AJ434" i="1"/>
  <c r="AJ335" i="1"/>
  <c r="P409" i="1"/>
  <c r="AJ360" i="1"/>
  <c r="P407" i="1"/>
  <c r="AJ436" i="1"/>
  <c r="AJ438" i="1"/>
  <c r="AJ432" i="1"/>
  <c r="AN403" i="1"/>
  <c r="AJ346" i="1"/>
  <c r="AR311" i="1"/>
  <c r="AS311" i="1" s="1"/>
  <c r="AT311" i="1" s="1"/>
  <c r="AR316" i="1"/>
  <c r="AS316" i="1" s="1"/>
  <c r="AT316" i="1" s="1"/>
  <c r="P402" i="1"/>
  <c r="AJ433" i="1"/>
  <c r="AJ342" i="1"/>
  <c r="AJ348" i="1"/>
  <c r="AR312" i="1"/>
  <c r="AS312" i="1" s="1"/>
  <c r="AT312" i="1" s="1"/>
  <c r="AJ338" i="1"/>
  <c r="AJ441" i="1"/>
  <c r="AJ365" i="1"/>
  <c r="AJ431" i="1"/>
  <c r="AJ368" i="1"/>
  <c r="P398" i="1"/>
  <c r="P400" i="1"/>
  <c r="AJ442" i="1"/>
  <c r="AR315" i="1"/>
  <c r="AS315" i="1" s="1"/>
  <c r="AT315" i="1" s="1"/>
  <c r="M379" i="1"/>
  <c r="AU60" i="1"/>
  <c r="AP309" i="1"/>
  <c r="AU309" i="1" s="1"/>
  <c r="AP50" i="1"/>
  <c r="AU50" i="1" s="1"/>
  <c r="M334" i="1"/>
  <c r="Q128" i="1"/>
  <c r="O174" i="1"/>
  <c r="O175" i="1"/>
  <c r="AN63" i="1"/>
  <c r="AJ334" i="1"/>
  <c r="AJ428" i="1"/>
  <c r="AU36" i="1"/>
  <c r="AU29" i="1"/>
  <c r="AU24" i="1"/>
  <c r="AU20" i="1"/>
  <c r="AU15" i="1"/>
  <c r="AU10" i="1"/>
  <c r="AU6" i="1"/>
  <c r="AU34" i="1"/>
  <c r="AU32" i="1"/>
  <c r="AU396" i="1"/>
  <c r="AU394" i="1"/>
  <c r="AN195" i="1"/>
  <c r="AR313" i="1"/>
  <c r="AS313" i="1" s="1"/>
  <c r="AT313" i="1" s="1"/>
  <c r="AU38" i="1"/>
  <c r="Q63" i="1"/>
  <c r="AU5" i="1"/>
  <c r="AU28" i="1"/>
  <c r="AU23" i="1"/>
  <c r="AU19" i="1"/>
  <c r="AU14" i="1"/>
  <c r="AU9" i="1"/>
  <c r="AU333" i="1"/>
  <c r="AU17" i="1"/>
  <c r="AU266" i="1"/>
  <c r="AN134" i="1"/>
  <c r="AN147" i="1"/>
  <c r="AN211" i="1"/>
  <c r="AU389" i="1"/>
  <c r="AU395" i="1"/>
  <c r="AR304" i="1"/>
  <c r="AR302" i="1"/>
  <c r="AR293" i="1"/>
  <c r="AR317" i="1"/>
  <c r="AS317" i="1" s="1"/>
  <c r="AT317" i="1" s="1"/>
  <c r="AR310" i="1"/>
  <c r="AS310" i="1" s="1"/>
  <c r="AT310" i="1" s="1"/>
  <c r="AR314" i="1"/>
  <c r="AS314" i="1" s="1"/>
  <c r="AT314" i="1" s="1"/>
  <c r="AU35" i="1"/>
  <c r="AU31" i="1"/>
  <c r="AU26" i="1"/>
  <c r="AU22" i="1"/>
  <c r="AU18" i="1"/>
  <c r="AU12" i="1"/>
  <c r="AU8" i="1"/>
  <c r="AU267" i="1"/>
  <c r="AU33" i="1"/>
  <c r="AU269" i="1"/>
  <c r="AN157" i="1"/>
  <c r="AU390" i="1"/>
  <c r="AU393" i="1"/>
  <c r="AU37" i="1"/>
  <c r="AU30" i="1"/>
  <c r="AU25" i="1"/>
  <c r="AU21" i="1"/>
  <c r="AU16" i="1"/>
  <c r="AU11" i="1"/>
  <c r="AU7" i="1"/>
  <c r="AU268" i="1"/>
  <c r="AU4" i="1"/>
  <c r="J3" i="48" s="1"/>
  <c r="L3" i="48" s="1"/>
  <c r="M3" i="48" s="1"/>
  <c r="AN177" i="1"/>
  <c r="AU391" i="1"/>
  <c r="AU392" i="1"/>
  <c r="AT10" i="1"/>
  <c r="AS10" i="1"/>
  <c r="AJ128" i="1"/>
  <c r="AJ361" i="1"/>
  <c r="AJ336" i="1"/>
  <c r="AJ340" i="1"/>
  <c r="AJ356" i="1"/>
  <c r="AJ352" i="1"/>
  <c r="AJ366" i="1"/>
  <c r="AJ372" i="1"/>
  <c r="AJ376" i="1"/>
  <c r="AJ337" i="1"/>
  <c r="AJ367" i="1"/>
  <c r="AJ339" i="1"/>
  <c r="AJ341" i="1"/>
  <c r="AJ349" i="1"/>
  <c r="AJ363" i="1"/>
  <c r="AJ359" i="1"/>
  <c r="AJ355" i="1"/>
  <c r="AJ351" i="1"/>
  <c r="AJ369" i="1"/>
  <c r="AJ377" i="1"/>
  <c r="AJ357" i="1"/>
  <c r="AJ353" i="1"/>
  <c r="AJ362" i="1"/>
  <c r="AJ354" i="1"/>
  <c r="AJ378" i="1"/>
  <c r="P397" i="1"/>
  <c r="AT33" i="1"/>
  <c r="AT5" i="1"/>
  <c r="AO397" i="1"/>
  <c r="AO402" i="1"/>
  <c r="AT413" i="1"/>
  <c r="AS415" i="1"/>
  <c r="AT415" i="1" s="1"/>
  <c r="AS425" i="1"/>
  <c r="AT425" i="1" s="1"/>
  <c r="AS421" i="1"/>
  <c r="AT421" i="1" s="1"/>
  <c r="AO398" i="1"/>
  <c r="AO401" i="1"/>
  <c r="AS418" i="1"/>
  <c r="AT418" i="1" s="1"/>
  <c r="AS414" i="1"/>
  <c r="AT414" i="1" s="1"/>
  <c r="AS424" i="1"/>
  <c r="AT424" i="1" s="1"/>
  <c r="AS420" i="1"/>
  <c r="AT420" i="1" s="1"/>
  <c r="AT31" i="1"/>
  <c r="AO399" i="1"/>
  <c r="AS417" i="1"/>
  <c r="AT417" i="1" s="1"/>
  <c r="AS419" i="1"/>
  <c r="AT419" i="1" s="1"/>
  <c r="AS423" i="1"/>
  <c r="AT423" i="1" s="1"/>
  <c r="AS427" i="1"/>
  <c r="AT427" i="1" s="1"/>
  <c r="AO400" i="1"/>
  <c r="AS416" i="1"/>
  <c r="AT416" i="1" s="1"/>
  <c r="AS426" i="1"/>
  <c r="AT426" i="1" s="1"/>
  <c r="AS422" i="1"/>
  <c r="AT422" i="1" s="1"/>
  <c r="Q290" i="1"/>
  <c r="P290" i="1"/>
  <c r="Q282" i="1"/>
  <c r="P282" i="1"/>
  <c r="Q292" i="1"/>
  <c r="P292" i="1"/>
  <c r="Q311" i="1"/>
  <c r="P311" i="1"/>
  <c r="Q315" i="1"/>
  <c r="P315" i="1"/>
  <c r="P63" i="1"/>
  <c r="P266" i="1"/>
  <c r="P403" i="1"/>
  <c r="P429" i="1"/>
  <c r="P433" i="1"/>
  <c r="P435" i="1"/>
  <c r="P441" i="1"/>
  <c r="Q279" i="1"/>
  <c r="P279" i="1"/>
  <c r="Q283" i="1"/>
  <c r="P283" i="1"/>
  <c r="Q312" i="1"/>
  <c r="P312" i="1"/>
  <c r="Q316" i="1"/>
  <c r="P316" i="1"/>
  <c r="P64" i="1"/>
  <c r="P267" i="1"/>
  <c r="P404" i="1"/>
  <c r="P434" i="1"/>
  <c r="P437" i="1"/>
  <c r="P440" i="1"/>
  <c r="Q313" i="1"/>
  <c r="P313" i="1"/>
  <c r="P268" i="1"/>
  <c r="P405" i="1"/>
  <c r="P428" i="1"/>
  <c r="P431" i="1"/>
  <c r="P438" i="1"/>
  <c r="P443" i="1"/>
  <c r="Q280" i="1"/>
  <c r="P280" i="1"/>
  <c r="Q317" i="1"/>
  <c r="P317" i="1"/>
  <c r="Q281" i="1"/>
  <c r="P281" i="1"/>
  <c r="Q291" i="1"/>
  <c r="P291" i="1"/>
  <c r="Q310" i="1"/>
  <c r="P310" i="1"/>
  <c r="Q314" i="1"/>
  <c r="P314" i="1"/>
  <c r="P65" i="1"/>
  <c r="P269" i="1"/>
  <c r="P430" i="1"/>
  <c r="P432" i="1"/>
  <c r="P436" i="1"/>
  <c r="P439" i="1"/>
  <c r="P442" i="1"/>
  <c r="AS23" i="1"/>
  <c r="AS19" i="1"/>
  <c r="AS15" i="1"/>
  <c r="AS11" i="1"/>
  <c r="AS7" i="1"/>
  <c r="AQ35" i="1"/>
  <c r="AQ266" i="1"/>
  <c r="O334" i="1"/>
  <c r="O342" i="1"/>
  <c r="O345" i="1"/>
  <c r="M365" i="1"/>
  <c r="O371" i="1"/>
  <c r="O375" i="1"/>
  <c r="AR79" i="1"/>
  <c r="AQ396" i="1"/>
  <c r="AQ392" i="1"/>
  <c r="Q397" i="1"/>
  <c r="Q401" i="1"/>
  <c r="Q408" i="1"/>
  <c r="Q406" i="1"/>
  <c r="AS30" i="1"/>
  <c r="AS26" i="1"/>
  <c r="AS22" i="1"/>
  <c r="AS18" i="1"/>
  <c r="AS14" i="1"/>
  <c r="AS6" i="1"/>
  <c r="AS36" i="1"/>
  <c r="AT36" i="1" s="1"/>
  <c r="AS269" i="1"/>
  <c r="O335" i="1"/>
  <c r="O348" i="1"/>
  <c r="O344" i="1"/>
  <c r="O364" i="1"/>
  <c r="O360" i="1"/>
  <c r="AQ395" i="1"/>
  <c r="AQ391" i="1"/>
  <c r="Q398" i="1"/>
  <c r="Q402" i="1"/>
  <c r="Q405" i="1"/>
  <c r="Q410" i="1"/>
  <c r="Q409" i="1"/>
  <c r="Q435" i="1"/>
  <c r="Q440" i="1"/>
  <c r="AQ29" i="1"/>
  <c r="AQ25" i="1"/>
  <c r="AS21" i="1"/>
  <c r="AS17" i="1"/>
  <c r="AQ9" i="1"/>
  <c r="AQ4" i="1"/>
  <c r="AQ37" i="1"/>
  <c r="AS268" i="1"/>
  <c r="AN336" i="1"/>
  <c r="O347" i="1"/>
  <c r="O343" i="1"/>
  <c r="AN348" i="1"/>
  <c r="AO348" i="1" s="1"/>
  <c r="O373" i="1"/>
  <c r="AR388" i="1"/>
  <c r="AQ394" i="1"/>
  <c r="AQ389" i="1"/>
  <c r="Q399" i="1"/>
  <c r="AN404" i="1"/>
  <c r="Q411" i="1"/>
  <c r="Q407" i="1"/>
  <c r="AQ32" i="1"/>
  <c r="AQ28" i="1"/>
  <c r="AQ24" i="1"/>
  <c r="AS20" i="1"/>
  <c r="AS16" i="1"/>
  <c r="AS12" i="1"/>
  <c r="AS8" i="1"/>
  <c r="AQ34" i="1"/>
  <c r="AS267" i="1"/>
  <c r="O338" i="1"/>
  <c r="O346" i="1"/>
  <c r="O368" i="1"/>
  <c r="O358" i="1"/>
  <c r="O350" i="1"/>
  <c r="O370" i="1"/>
  <c r="O374" i="1"/>
  <c r="O150" i="1"/>
  <c r="M385" i="1"/>
  <c r="AQ393" i="1"/>
  <c r="AQ390" i="1"/>
  <c r="Q400" i="1"/>
  <c r="AN405" i="1"/>
  <c r="Q412" i="1"/>
  <c r="U439" i="1"/>
  <c r="AP439" i="1" s="1"/>
  <c r="Q443" i="1"/>
  <c r="Q434" i="1"/>
  <c r="Q442" i="1"/>
  <c r="U440" i="1"/>
  <c r="AP440" i="1" s="1"/>
  <c r="U442" i="1"/>
  <c r="AP442" i="1" s="1"/>
  <c r="Q441" i="1"/>
  <c r="U443" i="1"/>
  <c r="AP443" i="1" s="1"/>
  <c r="U441" i="1"/>
  <c r="AP441" i="1" s="1"/>
  <c r="U437" i="1"/>
  <c r="AP437" i="1" s="1"/>
  <c r="Q428" i="1"/>
  <c r="Q433" i="1"/>
  <c r="U432" i="1"/>
  <c r="AP432" i="1" s="1"/>
  <c r="U430" i="1"/>
  <c r="AP430" i="1" s="1"/>
  <c r="Q429" i="1"/>
  <c r="Q436" i="1"/>
  <c r="Q431" i="1"/>
  <c r="M381" i="1"/>
  <c r="AR380" i="1"/>
  <c r="AR384" i="1"/>
  <c r="U433" i="1"/>
  <c r="AP433" i="1" s="1"/>
  <c r="U436" i="1"/>
  <c r="AP436" i="1" s="1"/>
  <c r="Q438" i="1"/>
  <c r="U438" i="1"/>
  <c r="AP438" i="1" s="1"/>
  <c r="Q432" i="1"/>
  <c r="U434" i="1"/>
  <c r="AP434" i="1" s="1"/>
  <c r="U435" i="1"/>
  <c r="AP435" i="1" s="1"/>
  <c r="Q439" i="1"/>
  <c r="Q437" i="1"/>
  <c r="Q403" i="1"/>
  <c r="AR387" i="1"/>
  <c r="U429" i="1"/>
  <c r="AP429" i="1" s="1"/>
  <c r="AN155" i="1"/>
  <c r="Q430" i="1"/>
  <c r="U428" i="1"/>
  <c r="AP428" i="1" s="1"/>
  <c r="U431" i="1"/>
  <c r="AP431" i="1" s="1"/>
  <c r="AN151" i="1"/>
  <c r="AN156" i="1"/>
  <c r="AN152" i="1"/>
  <c r="AN159" i="1"/>
  <c r="AR381" i="1"/>
  <c r="AR385" i="1"/>
  <c r="Q404" i="1"/>
  <c r="AN154" i="1"/>
  <c r="AN160" i="1"/>
  <c r="AR382" i="1"/>
  <c r="AR379" i="1"/>
  <c r="AR383" i="1"/>
  <c r="M383" i="1"/>
  <c r="M387" i="1"/>
  <c r="AR386" i="1"/>
  <c r="M388" i="1"/>
  <c r="M384" i="1"/>
  <c r="M380" i="1"/>
  <c r="AN153" i="1"/>
  <c r="AN158" i="1"/>
  <c r="M386" i="1"/>
  <c r="M382" i="1"/>
  <c r="AN161" i="1"/>
  <c r="AN162" i="1"/>
  <c r="Q158" i="1"/>
  <c r="AN194" i="1"/>
  <c r="AN148" i="1"/>
  <c r="Q168" i="1"/>
  <c r="O152" i="1"/>
  <c r="Q183" i="1"/>
  <c r="Q149" i="1"/>
  <c r="O128" i="1"/>
  <c r="O163" i="1"/>
  <c r="AN164" i="1"/>
  <c r="O182" i="1"/>
  <c r="Q197" i="1"/>
  <c r="Q138" i="1"/>
  <c r="Q145" i="1"/>
  <c r="Q154" i="1"/>
  <c r="Q195" i="1"/>
  <c r="Q179" i="1"/>
  <c r="O132" i="1"/>
  <c r="AN181" i="1"/>
  <c r="O167" i="1"/>
  <c r="Q134" i="1"/>
  <c r="Q151" i="1"/>
  <c r="Q176" i="1"/>
  <c r="Q191" i="1"/>
  <c r="O138" i="1"/>
  <c r="AN185" i="1"/>
  <c r="Q130" i="1"/>
  <c r="Q162" i="1"/>
  <c r="Q172" i="1"/>
  <c r="Q187" i="1"/>
  <c r="Q209" i="1"/>
  <c r="Q205" i="1"/>
  <c r="Q201" i="1"/>
  <c r="O136" i="1"/>
  <c r="O190" i="1"/>
  <c r="AN188" i="1"/>
  <c r="O200" i="1"/>
  <c r="AN186" i="1"/>
  <c r="O171" i="1"/>
  <c r="Q137" i="1"/>
  <c r="Q133" i="1"/>
  <c r="Q129" i="1"/>
  <c r="Q148" i="1"/>
  <c r="Q144" i="1"/>
  <c r="Q165" i="1"/>
  <c r="Q161" i="1"/>
  <c r="Q157" i="1"/>
  <c r="Q153" i="1"/>
  <c r="Q175" i="1"/>
  <c r="Q171" i="1"/>
  <c r="Q167" i="1"/>
  <c r="Q194" i="1"/>
  <c r="Q190" i="1"/>
  <c r="Q186" i="1"/>
  <c r="Q182" i="1"/>
  <c r="Q196" i="1"/>
  <c r="Q208" i="1"/>
  <c r="Q204" i="1"/>
  <c r="Q200" i="1"/>
  <c r="AN179" i="1"/>
  <c r="AN190" i="1"/>
  <c r="O208" i="1"/>
  <c r="O143" i="1"/>
  <c r="O164" i="1"/>
  <c r="O176" i="1"/>
  <c r="Q140" i="1"/>
  <c r="Q136" i="1"/>
  <c r="Q132" i="1"/>
  <c r="Q141" i="1"/>
  <c r="Q147" i="1"/>
  <c r="Q143" i="1"/>
  <c r="Q164" i="1"/>
  <c r="Q160" i="1"/>
  <c r="Q156" i="1"/>
  <c r="Q152" i="1"/>
  <c r="Q174" i="1"/>
  <c r="Q170" i="1"/>
  <c r="Q177" i="1"/>
  <c r="Q193" i="1"/>
  <c r="Q189" i="1"/>
  <c r="Q185" i="1"/>
  <c r="Q181" i="1"/>
  <c r="Q211" i="1"/>
  <c r="Q207" i="1"/>
  <c r="Q203" i="1"/>
  <c r="Q199" i="1"/>
  <c r="AN144" i="1"/>
  <c r="Q139" i="1"/>
  <c r="Q135" i="1"/>
  <c r="Q131" i="1"/>
  <c r="Q150" i="1"/>
  <c r="Q146" i="1"/>
  <c r="Q142" i="1"/>
  <c r="Q163" i="1"/>
  <c r="Q159" i="1"/>
  <c r="Q155" i="1"/>
  <c r="Q166" i="1"/>
  <c r="Q173" i="1"/>
  <c r="Q169" i="1"/>
  <c r="Q178" i="1"/>
  <c r="Q192" i="1"/>
  <c r="Q188" i="1"/>
  <c r="Q184" i="1"/>
  <c r="Q180" i="1"/>
  <c r="Q210" i="1"/>
  <c r="Q206" i="1"/>
  <c r="Q202" i="1"/>
  <c r="Q198" i="1"/>
  <c r="AN174" i="1"/>
  <c r="O130" i="1"/>
  <c r="O137" i="1"/>
  <c r="O154" i="1"/>
  <c r="O165" i="1"/>
  <c r="O184" i="1"/>
  <c r="O193" i="1"/>
  <c r="AN183" i="1"/>
  <c r="AN192" i="1"/>
  <c r="O192" i="1"/>
  <c r="O202" i="1"/>
  <c r="O210" i="1"/>
  <c r="AN200" i="1"/>
  <c r="AN141" i="1"/>
  <c r="AN145" i="1"/>
  <c r="AN149" i="1"/>
  <c r="O168" i="1"/>
  <c r="O172" i="1"/>
  <c r="O177" i="1"/>
  <c r="AN167" i="1"/>
  <c r="AN171" i="1"/>
  <c r="AN175" i="1"/>
  <c r="AN170" i="1"/>
  <c r="O156" i="1"/>
  <c r="O178" i="1"/>
  <c r="O186" i="1"/>
  <c r="AN165" i="1"/>
  <c r="O196" i="1"/>
  <c r="O204" i="1"/>
  <c r="AN204" i="1"/>
  <c r="AN142" i="1"/>
  <c r="AN146" i="1"/>
  <c r="AN150" i="1"/>
  <c r="O161" i="1"/>
  <c r="O169" i="1"/>
  <c r="O173" i="1"/>
  <c r="AN163" i="1"/>
  <c r="AN168" i="1"/>
  <c r="AN172" i="1"/>
  <c r="AN176" i="1"/>
  <c r="AN166" i="1"/>
  <c r="O133" i="1"/>
  <c r="O140" i="1"/>
  <c r="O131" i="1"/>
  <c r="O159" i="1"/>
  <c r="O180" i="1"/>
  <c r="O188" i="1"/>
  <c r="O198" i="1"/>
  <c r="O206" i="1"/>
  <c r="AN208" i="1"/>
  <c r="AN143" i="1"/>
  <c r="O166" i="1"/>
  <c r="O170" i="1"/>
  <c r="AN169" i="1"/>
  <c r="AN173" i="1"/>
  <c r="O147" i="1"/>
  <c r="AN128" i="1"/>
  <c r="AN132" i="1"/>
  <c r="AN139" i="1"/>
  <c r="O129" i="1"/>
  <c r="O134" i="1"/>
  <c r="O139" i="1"/>
  <c r="AN129" i="1"/>
  <c r="AN133" i="1"/>
  <c r="AN140" i="1"/>
  <c r="AN137" i="1"/>
  <c r="O153" i="1"/>
  <c r="O157" i="1"/>
  <c r="O162" i="1"/>
  <c r="O158" i="1"/>
  <c r="O181" i="1"/>
  <c r="O185" i="1"/>
  <c r="O189" i="1"/>
  <c r="O194" i="1"/>
  <c r="AN180" i="1"/>
  <c r="AN184" i="1"/>
  <c r="AN189" i="1"/>
  <c r="AN193" i="1"/>
  <c r="O195" i="1"/>
  <c r="O199" i="1"/>
  <c r="O203" i="1"/>
  <c r="O207" i="1"/>
  <c r="O211" i="1"/>
  <c r="AN196" i="1"/>
  <c r="AN201" i="1"/>
  <c r="AN205" i="1"/>
  <c r="AN209" i="1"/>
  <c r="O135" i="1"/>
  <c r="O144" i="1"/>
  <c r="O148" i="1"/>
  <c r="AN130" i="1"/>
  <c r="AN135" i="1"/>
  <c r="AN138" i="1"/>
  <c r="AN202" i="1"/>
  <c r="AN206" i="1"/>
  <c r="AN210" i="1"/>
  <c r="O141" i="1"/>
  <c r="O145" i="1"/>
  <c r="O149" i="1"/>
  <c r="AN131" i="1"/>
  <c r="AN136" i="1"/>
  <c r="O151" i="1"/>
  <c r="O155" i="1"/>
  <c r="O160" i="1"/>
  <c r="O179" i="1"/>
  <c r="O183" i="1"/>
  <c r="O187" i="1"/>
  <c r="O191" i="1"/>
  <c r="AN178" i="1"/>
  <c r="AN182" i="1"/>
  <c r="AN187" i="1"/>
  <c r="AN191" i="1"/>
  <c r="O197" i="1"/>
  <c r="O201" i="1"/>
  <c r="O205" i="1"/>
  <c r="O209" i="1"/>
  <c r="AN199" i="1"/>
  <c r="AN203" i="1"/>
  <c r="AN207" i="1"/>
  <c r="O142" i="1"/>
  <c r="O146" i="1"/>
  <c r="U281" i="1"/>
  <c r="AP281" i="1" s="1"/>
  <c r="AU281" i="1" s="1"/>
  <c r="U279" i="1"/>
  <c r="AP279" i="1" s="1"/>
  <c r="AU279" i="1" s="1"/>
  <c r="U280" i="1"/>
  <c r="AP280" i="1" s="1"/>
  <c r="AU280" i="1" s="1"/>
  <c r="U283" i="1"/>
  <c r="AP283" i="1" s="1"/>
  <c r="AU283" i="1" s="1"/>
  <c r="U282" i="1"/>
  <c r="AP282" i="1" s="1"/>
  <c r="AU282" i="1" s="1"/>
  <c r="M362" i="1"/>
  <c r="M378" i="1"/>
  <c r="M357" i="1"/>
  <c r="AS307" i="1"/>
  <c r="AT307" i="1" s="1"/>
  <c r="M337" i="1"/>
  <c r="M354" i="1"/>
  <c r="M340" i="1"/>
  <c r="AO278" i="1"/>
  <c r="M336" i="1"/>
  <c r="AN350" i="1"/>
  <c r="AN351" i="1"/>
  <c r="AN352" i="1"/>
  <c r="AN353" i="1"/>
  <c r="AN354" i="1"/>
  <c r="AN355" i="1"/>
  <c r="AN356" i="1"/>
  <c r="AN357" i="1"/>
  <c r="AN358" i="1"/>
  <c r="AN359" i="1"/>
  <c r="AN360" i="1"/>
  <c r="AN361" i="1"/>
  <c r="AN362" i="1"/>
  <c r="AN363" i="1"/>
  <c r="AN364" i="1"/>
  <c r="AN365" i="1"/>
  <c r="AN366" i="1"/>
  <c r="AN367" i="1"/>
  <c r="AN368" i="1"/>
  <c r="AN369" i="1"/>
  <c r="AN349" i="1"/>
  <c r="AQ289" i="1"/>
  <c r="AS289" i="1"/>
  <c r="AT289" i="1" s="1"/>
  <c r="AN341" i="1"/>
  <c r="AN340" i="1"/>
  <c r="M347" i="1"/>
  <c r="O349" i="1"/>
  <c r="M349" i="1"/>
  <c r="O367" i="1"/>
  <c r="M367" i="1"/>
  <c r="M363" i="1"/>
  <c r="O363" i="1"/>
  <c r="O361" i="1"/>
  <c r="M361" i="1"/>
  <c r="O359" i="1"/>
  <c r="M359" i="1"/>
  <c r="O356" i="1"/>
  <c r="M356" i="1"/>
  <c r="M355" i="1"/>
  <c r="O355" i="1"/>
  <c r="M353" i="1"/>
  <c r="O353" i="1"/>
  <c r="M352" i="1"/>
  <c r="O352" i="1"/>
  <c r="O351" i="1"/>
  <c r="M351" i="1"/>
  <c r="O366" i="1"/>
  <c r="M366" i="1"/>
  <c r="M369" i="1"/>
  <c r="O369" i="1"/>
  <c r="O372" i="1"/>
  <c r="M372" i="1"/>
  <c r="O376" i="1"/>
  <c r="M376" i="1"/>
  <c r="M377" i="1"/>
  <c r="O377" i="1"/>
  <c r="M360" i="1"/>
  <c r="AN371" i="1"/>
  <c r="AN372" i="1"/>
  <c r="AN373" i="1"/>
  <c r="AN370" i="1"/>
  <c r="AN375" i="1"/>
  <c r="AN376" i="1"/>
  <c r="AN377" i="1"/>
  <c r="AN378" i="1"/>
  <c r="AN374" i="1"/>
  <c r="AQ306" i="1"/>
  <c r="M344" i="1"/>
  <c r="M348" i="1"/>
  <c r="M358" i="1"/>
  <c r="M350" i="1"/>
  <c r="M375" i="1"/>
  <c r="M371" i="1"/>
  <c r="O362" i="1"/>
  <c r="O365" i="1"/>
  <c r="O378" i="1"/>
  <c r="M339" i="1"/>
  <c r="M341" i="1"/>
  <c r="M343" i="1"/>
  <c r="M374" i="1"/>
  <c r="M370" i="1"/>
  <c r="M364" i="1"/>
  <c r="O354" i="1"/>
  <c r="O357" i="1"/>
  <c r="AQ268" i="1"/>
  <c r="M335" i="1"/>
  <c r="M373" i="1"/>
  <c r="M368" i="1"/>
  <c r="O337" i="1"/>
  <c r="O339" i="1"/>
  <c r="AN337" i="1"/>
  <c r="AS309" i="1"/>
  <c r="AT309" i="1" s="1"/>
  <c r="M338" i="1"/>
  <c r="O341" i="1"/>
  <c r="AN346" i="1"/>
  <c r="AQ269" i="1"/>
  <c r="AQ286" i="1"/>
  <c r="AO334" i="1"/>
  <c r="AN338" i="1"/>
  <c r="AN343" i="1"/>
  <c r="AN347" i="1"/>
  <c r="AN335" i="1"/>
  <c r="AN339" i="1"/>
  <c r="AN344" i="1"/>
  <c r="AN342" i="1"/>
  <c r="AS37" i="1"/>
  <c r="AT37" i="1" s="1"/>
  <c r="AQ267" i="1"/>
  <c r="O340" i="1"/>
  <c r="M342" i="1"/>
  <c r="AN345" i="1"/>
  <c r="M346" i="1"/>
  <c r="M345" i="1"/>
  <c r="AQ36" i="1"/>
  <c r="O336" i="1"/>
  <c r="AQ12" i="1"/>
  <c r="AO229" i="1"/>
  <c r="AV229" i="1"/>
  <c r="AQ26" i="1"/>
  <c r="AV256" i="1"/>
  <c r="AS266" i="1"/>
  <c r="AS288" i="1"/>
  <c r="AT288" i="1" s="1"/>
  <c r="AQ285" i="1"/>
  <c r="AS287" i="1"/>
  <c r="AT287" i="1" s="1"/>
  <c r="AS308" i="1"/>
  <c r="AT308" i="1" s="1"/>
  <c r="AQ21" i="1"/>
  <c r="AQ8" i="1"/>
  <c r="AS25" i="1"/>
  <c r="AS9" i="1"/>
  <c r="AS29" i="1"/>
  <c r="Q64" i="1"/>
  <c r="AQ20" i="1"/>
  <c r="AS33" i="1"/>
  <c r="AQ17" i="1"/>
  <c r="AN64" i="1"/>
  <c r="AN65" i="1"/>
  <c r="AQ31" i="1"/>
  <c r="AS5" i="1"/>
  <c r="AQ5" i="1"/>
  <c r="AQ15" i="1"/>
  <c r="AQ11" i="1"/>
  <c r="AQ7" i="1"/>
  <c r="AQ16" i="1"/>
  <c r="AS32" i="1"/>
  <c r="AS28" i="1"/>
  <c r="AS24" i="1"/>
  <c r="AQ33" i="1"/>
  <c r="AQ23" i="1"/>
  <c r="AQ19" i="1"/>
  <c r="AQ14" i="1"/>
  <c r="AQ10" i="1"/>
  <c r="AQ6" i="1"/>
  <c r="AS31" i="1"/>
  <c r="AQ30" i="1"/>
  <c r="AQ22" i="1"/>
  <c r="AQ18" i="1"/>
  <c r="AS35" i="1"/>
  <c r="AT35" i="1" s="1"/>
  <c r="Q65" i="1"/>
  <c r="AU302" i="1"/>
  <c r="AN271" i="1"/>
  <c r="AN276" i="1"/>
  <c r="AN277" i="1"/>
  <c r="AN275" i="1"/>
  <c r="AN270" i="1"/>
  <c r="O271" i="1"/>
  <c r="O272" i="1"/>
  <c r="O273" i="1"/>
  <c r="O274" i="1"/>
  <c r="O275" i="1"/>
  <c r="O276" i="1"/>
  <c r="O277" i="1"/>
  <c r="O278" i="1"/>
  <c r="O270" i="1"/>
  <c r="AN274" i="1"/>
  <c r="AN273" i="1"/>
  <c r="AN272" i="1"/>
  <c r="Q278" i="1"/>
  <c r="Q277" i="1"/>
  <c r="Q276" i="1"/>
  <c r="Q275" i="1"/>
  <c r="Q274" i="1"/>
  <c r="Q273" i="1"/>
  <c r="N278" i="1"/>
  <c r="N276" i="1"/>
  <c r="N277" i="1"/>
  <c r="N275" i="1"/>
  <c r="N274" i="1"/>
  <c r="N273" i="1"/>
  <c r="Q272" i="1"/>
  <c r="Q271" i="1"/>
  <c r="Q270" i="1"/>
  <c r="N271" i="1"/>
  <c r="N272" i="1"/>
  <c r="N270" i="1"/>
  <c r="W257" i="1"/>
  <c r="W250" i="1"/>
  <c r="W259" i="1"/>
  <c r="W258" i="1"/>
  <c r="W251" i="1"/>
  <c r="W249" i="1"/>
  <c r="W265" i="1"/>
  <c r="W264" i="1"/>
  <c r="W263" i="1"/>
  <c r="W262" i="1"/>
  <c r="W261" i="1"/>
  <c r="W260" i="1"/>
  <c r="W256" i="1"/>
  <c r="W255" i="1"/>
  <c r="W254" i="1"/>
  <c r="W253" i="1"/>
  <c r="V251" i="1"/>
  <c r="V259" i="1"/>
  <c r="V258" i="1"/>
  <c r="V252" i="1"/>
  <c r="V250" i="1"/>
  <c r="V249" i="1"/>
  <c r="V263" i="1"/>
  <c r="V261" i="1"/>
  <c r="V260" i="1"/>
  <c r="V254" i="1"/>
  <c r="V253" i="1"/>
  <c r="Q223" i="1"/>
  <c r="AN222" i="1"/>
  <c r="AN259" i="1"/>
  <c r="AN258" i="1"/>
  <c r="AN252" i="1"/>
  <c r="AN251" i="1"/>
  <c r="AN250" i="1"/>
  <c r="AN249" i="1"/>
  <c r="AN265" i="1"/>
  <c r="AN264" i="1"/>
  <c r="AN263" i="1"/>
  <c r="AN262" i="1"/>
  <c r="AN261" i="1"/>
  <c r="AN260" i="1"/>
  <c r="AN257" i="1"/>
  <c r="AN255" i="1"/>
  <c r="AN254" i="1"/>
  <c r="AN253" i="1"/>
  <c r="AN248" i="1"/>
  <c r="AN247" i="1"/>
  <c r="AN246" i="1"/>
  <c r="AN245" i="1"/>
  <c r="AN244" i="1"/>
  <c r="Q259" i="1"/>
  <c r="Q258" i="1"/>
  <c r="Q252" i="1"/>
  <c r="Q251" i="1"/>
  <c r="Q250" i="1"/>
  <c r="Q249" i="1"/>
  <c r="AR265" i="1"/>
  <c r="Q264" i="1"/>
  <c r="Q263" i="1"/>
  <c r="Q262" i="1"/>
  <c r="Q261" i="1"/>
  <c r="Q260" i="1"/>
  <c r="Q257" i="1"/>
  <c r="Q256" i="1"/>
  <c r="Q255" i="1"/>
  <c r="Q254" i="1"/>
  <c r="Q253" i="1"/>
  <c r="Q248" i="1"/>
  <c r="Q247" i="1"/>
  <c r="Q246" i="1"/>
  <c r="Q245" i="1"/>
  <c r="AN243" i="1"/>
  <c r="AN242" i="1"/>
  <c r="AN241" i="1"/>
  <c r="AN240" i="1"/>
  <c r="AN239" i="1"/>
  <c r="AN238" i="1"/>
  <c r="AN237" i="1"/>
  <c r="AN236" i="1"/>
  <c r="AN235" i="1"/>
  <c r="AN234" i="1"/>
  <c r="AN233" i="1"/>
  <c r="AN232" i="1"/>
  <c r="AN231" i="1"/>
  <c r="AN230" i="1"/>
  <c r="AN228" i="1"/>
  <c r="AN227" i="1"/>
  <c r="AN226" i="1"/>
  <c r="AN225" i="1"/>
  <c r="AN224" i="1"/>
  <c r="AN223" i="1"/>
  <c r="AN221" i="1"/>
  <c r="AN220" i="1"/>
  <c r="AN219" i="1"/>
  <c r="AN218" i="1"/>
  <c r="AN217" i="1"/>
  <c r="AN216" i="1"/>
  <c r="AN215" i="1"/>
  <c r="AN214" i="1"/>
  <c r="AN213" i="1"/>
  <c r="AN212" i="1"/>
  <c r="Q244" i="1"/>
  <c r="Q243" i="1"/>
  <c r="Q242" i="1"/>
  <c r="Q241" i="1"/>
  <c r="Q240" i="1"/>
  <c r="Q239" i="1"/>
  <c r="Q238" i="1"/>
  <c r="Q237" i="1"/>
  <c r="Q236" i="1"/>
  <c r="Q235" i="1"/>
  <c r="Q234" i="1"/>
  <c r="Q233" i="1"/>
  <c r="Q232" i="1"/>
  <c r="Q231" i="1"/>
  <c r="Q230" i="1"/>
  <c r="Q229" i="1"/>
  <c r="Q228" i="1"/>
  <c r="Q227" i="1"/>
  <c r="Q226" i="1"/>
  <c r="Q225" i="1"/>
  <c r="Q224" i="1"/>
  <c r="Q222" i="1"/>
  <c r="Q221" i="1"/>
  <c r="Q220" i="1"/>
  <c r="Q219" i="1"/>
  <c r="Q218" i="1"/>
  <c r="Q217" i="1"/>
  <c r="Q216" i="1"/>
  <c r="Q215" i="1"/>
  <c r="Q214" i="1"/>
  <c r="Q213" i="1"/>
  <c r="Q212" i="1"/>
  <c r="O222" i="1"/>
  <c r="O221" i="1"/>
  <c r="O220" i="1"/>
  <c r="O219" i="1"/>
  <c r="O218" i="1"/>
  <c r="O217" i="1"/>
  <c r="O216" i="1"/>
  <c r="O215" i="1"/>
  <c r="O214" i="1"/>
  <c r="O213" i="1"/>
  <c r="O212" i="1"/>
  <c r="M79" i="1"/>
  <c r="M78" i="1"/>
  <c r="M77" i="1"/>
  <c r="M76" i="1"/>
  <c r="M75" i="1"/>
  <c r="M74" i="1"/>
  <c r="M73" i="1"/>
  <c r="M72" i="1"/>
  <c r="M71" i="1"/>
  <c r="M70" i="1"/>
  <c r="M69" i="1"/>
  <c r="M68" i="1"/>
  <c r="M67" i="1"/>
  <c r="M66" i="1"/>
  <c r="V78" i="1"/>
  <c r="V75" i="1"/>
  <c r="V74" i="1"/>
  <c r="V67" i="1"/>
  <c r="V68" i="1"/>
  <c r="V69" i="1"/>
  <c r="V70" i="1"/>
  <c r="V71" i="1"/>
  <c r="V72" i="1"/>
  <c r="V73" i="1"/>
  <c r="V76" i="1"/>
  <c r="V77" i="1"/>
  <c r="V66" i="1"/>
  <c r="Q52" i="1"/>
  <c r="Q53" i="1"/>
  <c r="Q54" i="1"/>
  <c r="Q55" i="1"/>
  <c r="Q56" i="1"/>
  <c r="Q57" i="1"/>
  <c r="Q58" i="1"/>
  <c r="Q59" i="1"/>
  <c r="Q60" i="1"/>
  <c r="Q61" i="1"/>
  <c r="Q62" i="1"/>
  <c r="Q51" i="1"/>
  <c r="V50" i="1"/>
  <c r="Q50" i="1"/>
  <c r="Q49" i="1"/>
  <c r="Q48" i="1"/>
  <c r="Q47" i="1"/>
  <c r="Q46" i="1"/>
  <c r="Q45" i="1"/>
  <c r="Q44" i="1"/>
  <c r="Q38" i="1"/>
  <c r="Q39" i="1"/>
  <c r="Q40" i="1"/>
  <c r="Q41" i="1"/>
  <c r="Q42" i="1"/>
  <c r="Q43" i="1"/>
  <c r="Q350" i="36" l="1"/>
  <c r="Q338" i="36"/>
  <c r="R150" i="36"/>
  <c r="R154" i="36"/>
  <c r="R170" i="36"/>
  <c r="R138" i="36"/>
  <c r="S194" i="36"/>
  <c r="S158" i="36"/>
  <c r="S155" i="36"/>
  <c r="S405" i="36"/>
  <c r="S429" i="36"/>
  <c r="V29" i="36"/>
  <c r="T27" i="35"/>
  <c r="C35" i="38"/>
  <c r="E35" i="38" s="1"/>
  <c r="R365" i="36"/>
  <c r="T443" i="36"/>
  <c r="T65" i="36"/>
  <c r="X420" i="36"/>
  <c r="AK420" i="36" s="1"/>
  <c r="W9" i="36"/>
  <c r="U7" i="35"/>
  <c r="D15" i="38"/>
  <c r="W397" i="36"/>
  <c r="U395" i="35"/>
  <c r="D403" i="38"/>
  <c r="AD59" i="36"/>
  <c r="AD60" i="36"/>
  <c r="X308" i="36"/>
  <c r="AO308" i="36" s="1"/>
  <c r="R146" i="36"/>
  <c r="R162" i="36"/>
  <c r="R131" i="36"/>
  <c r="S178" i="36"/>
  <c r="S162" i="36"/>
  <c r="S146" i="36"/>
  <c r="V33" i="36"/>
  <c r="T31" i="35"/>
  <c r="C39" i="38"/>
  <c r="E39" i="38" s="1"/>
  <c r="R345" i="36"/>
  <c r="T440" i="36"/>
  <c r="T317" i="36"/>
  <c r="X418" i="36"/>
  <c r="W13" i="36"/>
  <c r="U11" i="35"/>
  <c r="D19" i="38"/>
  <c r="W33" i="36"/>
  <c r="U31" i="35"/>
  <c r="D39" i="38"/>
  <c r="AC49" i="36"/>
  <c r="AL446" i="36"/>
  <c r="Y446" i="36"/>
  <c r="AC45" i="36"/>
  <c r="R340" i="36"/>
  <c r="R142" i="36"/>
  <c r="S171" i="36"/>
  <c r="S166" i="36"/>
  <c r="S139" i="36"/>
  <c r="S408" i="36"/>
  <c r="R349" i="36"/>
  <c r="T437" i="36"/>
  <c r="S317" i="36"/>
  <c r="W19" i="36"/>
  <c r="U17" i="35"/>
  <c r="D25" i="38"/>
  <c r="W35" i="36"/>
  <c r="U33" i="35"/>
  <c r="D41" i="38"/>
  <c r="T403" i="36"/>
  <c r="AH319" i="36"/>
  <c r="Y319" i="36"/>
  <c r="S199" i="36"/>
  <c r="S175" i="36"/>
  <c r="S145" i="36"/>
  <c r="S198" i="36"/>
  <c r="S412" i="36"/>
  <c r="R336" i="36"/>
  <c r="T433" i="36"/>
  <c r="T313" i="36"/>
  <c r="X32" i="36"/>
  <c r="AN32" i="36" s="1"/>
  <c r="W23" i="36"/>
  <c r="U21" i="35"/>
  <c r="D29" i="38"/>
  <c r="W7" i="36"/>
  <c r="U5" i="35"/>
  <c r="D13" i="38"/>
  <c r="X317" i="36"/>
  <c r="T400" i="36"/>
  <c r="AD55" i="36"/>
  <c r="AD53" i="36"/>
  <c r="Y325" i="36"/>
  <c r="AH325" i="36"/>
  <c r="S203" i="36"/>
  <c r="S153" i="36"/>
  <c r="S149" i="36"/>
  <c r="R183" i="36"/>
  <c r="S442" i="36"/>
  <c r="T431" i="36"/>
  <c r="S313" i="36"/>
  <c r="X421" i="36"/>
  <c r="AK421" i="36" s="1"/>
  <c r="W27" i="36"/>
  <c r="U25" i="35"/>
  <c r="D33" i="38"/>
  <c r="W11" i="36"/>
  <c r="U9" i="35"/>
  <c r="D17" i="38"/>
  <c r="X312" i="36"/>
  <c r="AC421" i="36"/>
  <c r="AH320" i="36"/>
  <c r="Y320" i="36"/>
  <c r="Y307" i="36"/>
  <c r="AG307" i="36"/>
  <c r="S157" i="36"/>
  <c r="S130" i="36"/>
  <c r="S400" i="36"/>
  <c r="X37" i="36"/>
  <c r="AO37" i="36" s="1"/>
  <c r="T270" i="36"/>
  <c r="T284" i="36"/>
  <c r="X425" i="36"/>
  <c r="AK425" i="36" s="1"/>
  <c r="W32" i="36"/>
  <c r="U30" i="35"/>
  <c r="D38" i="38"/>
  <c r="W16" i="36"/>
  <c r="U14" i="35"/>
  <c r="D22" i="38"/>
  <c r="T411" i="36"/>
  <c r="Q377" i="36"/>
  <c r="S134" i="36"/>
  <c r="R164" i="36"/>
  <c r="V390" i="36"/>
  <c r="T388" i="35"/>
  <c r="C396" i="38"/>
  <c r="E396" i="38" s="1"/>
  <c r="T66" i="36"/>
  <c r="S284" i="36"/>
  <c r="X415" i="36"/>
  <c r="W36" i="36"/>
  <c r="U34" i="35"/>
  <c r="D42" i="38"/>
  <c r="W21" i="36"/>
  <c r="U19" i="35"/>
  <c r="D27" i="38"/>
  <c r="AL454" i="36"/>
  <c r="Y454" i="36"/>
  <c r="R130" i="36"/>
  <c r="S443" i="36"/>
  <c r="V395" i="36"/>
  <c r="T393" i="35"/>
  <c r="C401" i="38"/>
  <c r="E401" i="38" s="1"/>
  <c r="T315" i="36"/>
  <c r="T280" i="36"/>
  <c r="X419" i="36"/>
  <c r="X315" i="36"/>
  <c r="W25" i="36"/>
  <c r="U23" i="35"/>
  <c r="D31" i="38"/>
  <c r="AH332" i="36"/>
  <c r="Y332" i="36"/>
  <c r="AD62" i="36"/>
  <c r="AC50" i="36"/>
  <c r="R172" i="36"/>
  <c r="S280" i="36"/>
  <c r="X311" i="36"/>
  <c r="W30" i="36"/>
  <c r="U28" i="35"/>
  <c r="D36" i="38"/>
  <c r="AG287" i="36"/>
  <c r="Y287" i="36"/>
  <c r="AC41" i="36"/>
  <c r="AG285" i="36"/>
  <c r="Y285" i="36"/>
  <c r="AC44" i="36"/>
  <c r="Y323" i="36"/>
  <c r="AH323" i="36"/>
  <c r="Q72" i="36"/>
  <c r="Q358" i="36"/>
  <c r="S250" i="36"/>
  <c r="S252" i="36"/>
  <c r="Q374" i="36"/>
  <c r="S211" i="36"/>
  <c r="S274" i="36"/>
  <c r="R129" i="36"/>
  <c r="S185" i="36"/>
  <c r="S276" i="36"/>
  <c r="V24" i="36"/>
  <c r="T22" i="35"/>
  <c r="C30" i="38"/>
  <c r="E30" i="38" s="1"/>
  <c r="V13" i="36"/>
  <c r="T11" i="35"/>
  <c r="C19" i="38"/>
  <c r="E19" i="38" s="1"/>
  <c r="R355" i="36"/>
  <c r="R373" i="36"/>
  <c r="W282" i="36"/>
  <c r="U280" i="35"/>
  <c r="D288" i="38"/>
  <c r="R149" i="36"/>
  <c r="R187" i="36"/>
  <c r="S189" i="36"/>
  <c r="S148" i="36"/>
  <c r="S184" i="36"/>
  <c r="S431" i="36"/>
  <c r="S444" i="36"/>
  <c r="R374" i="36"/>
  <c r="T311" i="36"/>
  <c r="T442" i="36"/>
  <c r="X318" i="36"/>
  <c r="W37" i="36"/>
  <c r="U35" i="35"/>
  <c r="D43" i="38"/>
  <c r="S49" i="36"/>
  <c r="S227" i="36"/>
  <c r="W284" i="36"/>
  <c r="U282" i="35"/>
  <c r="D290" i="38"/>
  <c r="W281" i="36"/>
  <c r="U279" i="35"/>
  <c r="D287" i="38"/>
  <c r="S138" i="36"/>
  <c r="Q373" i="36"/>
  <c r="S150" i="36"/>
  <c r="S277" i="36"/>
  <c r="V34" i="36"/>
  <c r="T32" i="35"/>
  <c r="C40" i="38"/>
  <c r="E40" i="38" s="1"/>
  <c r="R337" i="36"/>
  <c r="Q365" i="36"/>
  <c r="R370" i="36"/>
  <c r="R147" i="36"/>
  <c r="R145" i="36"/>
  <c r="R179" i="36"/>
  <c r="S193" i="36"/>
  <c r="S142" i="36"/>
  <c r="R201" i="36"/>
  <c r="R153" i="36"/>
  <c r="S311" i="36"/>
  <c r="T436" i="36"/>
  <c r="X422" i="36"/>
  <c r="AK422" i="36" s="1"/>
  <c r="T408" i="36"/>
  <c r="AC46" i="36"/>
  <c r="AD58" i="36"/>
  <c r="AQ463" i="36"/>
  <c r="Y463" i="36"/>
  <c r="AC428" i="36"/>
  <c r="Y330" i="36"/>
  <c r="AH330" i="36"/>
  <c r="X289" i="36"/>
  <c r="AO289" i="36" s="1"/>
  <c r="P278" i="36"/>
  <c r="S229" i="36"/>
  <c r="R140" i="36"/>
  <c r="S253" i="36"/>
  <c r="Q336" i="36"/>
  <c r="S231" i="36"/>
  <c r="V269" i="36"/>
  <c r="T267" i="35"/>
  <c r="C275" i="38"/>
  <c r="E275" i="38" s="1"/>
  <c r="S165" i="36"/>
  <c r="Q78" i="36"/>
  <c r="U278" i="35"/>
  <c r="W280" i="36"/>
  <c r="D286" i="38"/>
  <c r="S144" i="36"/>
  <c r="Q371" i="36"/>
  <c r="Q370" i="36"/>
  <c r="R143" i="36"/>
  <c r="R136" i="36"/>
  <c r="R148" i="36"/>
  <c r="R157" i="36"/>
  <c r="S179" i="36"/>
  <c r="S133" i="36"/>
  <c r="S169" i="36"/>
  <c r="S413" i="36"/>
  <c r="R344" i="36"/>
  <c r="T292" i="36"/>
  <c r="T434" i="36"/>
  <c r="X426" i="36"/>
  <c r="AK426" i="36" s="1"/>
  <c r="AQ466" i="36"/>
  <c r="Y466" i="36"/>
  <c r="S273" i="36"/>
  <c r="S225" i="36"/>
  <c r="S51" i="36"/>
  <c r="V286" i="36"/>
  <c r="T284" i="35"/>
  <c r="C292" i="38"/>
  <c r="E292" i="38" s="1"/>
  <c r="V31" i="36"/>
  <c r="T29" i="35"/>
  <c r="C37" i="38"/>
  <c r="E37" i="38" s="1"/>
  <c r="Q75" i="36"/>
  <c r="V7" i="36"/>
  <c r="T5" i="35"/>
  <c r="C13" i="38"/>
  <c r="E13" i="38" s="1"/>
  <c r="S230" i="36"/>
  <c r="S161" i="36"/>
  <c r="S61" i="36"/>
  <c r="R197" i="36"/>
  <c r="S275" i="36"/>
  <c r="S435" i="36"/>
  <c r="S233" i="36"/>
  <c r="S235" i="36"/>
  <c r="V37" i="36"/>
  <c r="T35" i="35"/>
  <c r="C43" i="38"/>
  <c r="E43" i="38" s="1"/>
  <c r="S56" i="36"/>
  <c r="R214" i="36"/>
  <c r="S236" i="36"/>
  <c r="S279" i="36"/>
  <c r="Q346" i="36"/>
  <c r="Q375" i="36"/>
  <c r="Q367" i="36"/>
  <c r="S170" i="36"/>
  <c r="S137" i="36"/>
  <c r="R191" i="36"/>
  <c r="R348" i="36"/>
  <c r="S407" i="36"/>
  <c r="S292" i="36"/>
  <c r="T430" i="36"/>
  <c r="X416" i="36"/>
  <c r="T410" i="36"/>
  <c r="AN22" i="36"/>
  <c r="S226" i="36"/>
  <c r="P275" i="36"/>
  <c r="Q361" i="36"/>
  <c r="Q74" i="36"/>
  <c r="R378" i="36"/>
  <c r="X290" i="36"/>
  <c r="AO290" i="36" s="1"/>
  <c r="Q76" i="36"/>
  <c r="V27" i="36"/>
  <c r="T25" i="35"/>
  <c r="C33" i="38"/>
  <c r="E33" i="38" s="1"/>
  <c r="V20" i="36"/>
  <c r="T18" i="35"/>
  <c r="C26" i="38"/>
  <c r="E26" i="38" s="1"/>
  <c r="S315" i="36"/>
  <c r="Q80" i="36"/>
  <c r="Q347" i="36"/>
  <c r="Q344" i="36"/>
  <c r="R367" i="36"/>
  <c r="S174" i="36"/>
  <c r="S141" i="36"/>
  <c r="R137" i="36"/>
  <c r="S404" i="36"/>
  <c r="S401" i="36"/>
  <c r="S409" i="36"/>
  <c r="T282" i="36"/>
  <c r="T404" i="36"/>
  <c r="X414" i="36"/>
  <c r="X11" i="36"/>
  <c r="AN11" i="36" s="1"/>
  <c r="W396" i="36"/>
  <c r="U394" i="35"/>
  <c r="D402" i="38"/>
  <c r="R176" i="36"/>
  <c r="AH326" i="36"/>
  <c r="Y326" i="36"/>
  <c r="Y308" i="36"/>
  <c r="AG308" i="36"/>
  <c r="AL447" i="36"/>
  <c r="Y447" i="36"/>
  <c r="S223" i="36"/>
  <c r="S265" i="36"/>
  <c r="Q348" i="36"/>
  <c r="Q73" i="36"/>
  <c r="P276" i="36"/>
  <c r="S251" i="36"/>
  <c r="Q363" i="36"/>
  <c r="V290" i="36"/>
  <c r="T288" i="35"/>
  <c r="C296" i="38"/>
  <c r="E296" i="38" s="1"/>
  <c r="S58" i="36"/>
  <c r="S234" i="36"/>
  <c r="R213" i="36"/>
  <c r="S55" i="36"/>
  <c r="S237" i="36"/>
  <c r="R216" i="36"/>
  <c r="V17" i="36"/>
  <c r="T15" i="35"/>
  <c r="C23" i="38"/>
  <c r="E23" i="38" s="1"/>
  <c r="Q342" i="36"/>
  <c r="Q352" i="36"/>
  <c r="R171" i="36"/>
  <c r="S167" i="36"/>
  <c r="R177" i="36"/>
  <c r="S202" i="36"/>
  <c r="S159" i="36"/>
  <c r="S438" i="36"/>
  <c r="V391" i="36"/>
  <c r="T389" i="35"/>
  <c r="C397" i="38"/>
  <c r="E397" i="38" s="1"/>
  <c r="S402" i="36"/>
  <c r="S282" i="36"/>
  <c r="T267" i="36"/>
  <c r="W393" i="36"/>
  <c r="U391" i="35"/>
  <c r="D399" i="38"/>
  <c r="W390" i="36"/>
  <c r="U388" i="35"/>
  <c r="D396" i="38"/>
  <c r="R175" i="36"/>
  <c r="AL453" i="36"/>
  <c r="Y453" i="36"/>
  <c r="AD52" i="36"/>
  <c r="AL456" i="36"/>
  <c r="Y456" i="36"/>
  <c r="R350" i="36"/>
  <c r="Q379" i="36"/>
  <c r="U281" i="35"/>
  <c r="W283" i="36"/>
  <c r="D289" i="38"/>
  <c r="P279" i="36"/>
  <c r="R135" i="36"/>
  <c r="Q77" i="36"/>
  <c r="V15" i="36"/>
  <c r="T13" i="35"/>
  <c r="C21" i="38"/>
  <c r="E21" i="38" s="1"/>
  <c r="S60" i="36"/>
  <c r="Q79" i="36"/>
  <c r="R215" i="36"/>
  <c r="S54" i="36"/>
  <c r="S238" i="36"/>
  <c r="S53" i="36"/>
  <c r="R217" i="36"/>
  <c r="S239" i="36"/>
  <c r="V8" i="36"/>
  <c r="T6" i="35"/>
  <c r="C14" i="38"/>
  <c r="E14" i="38" s="1"/>
  <c r="Q343" i="36"/>
  <c r="Q340" i="36"/>
  <c r="R352" i="36"/>
  <c r="R210" i="36"/>
  <c r="R167" i="36"/>
  <c r="S156" i="36"/>
  <c r="R165" i="36"/>
  <c r="S206" i="36"/>
  <c r="S440" i="36"/>
  <c r="V394" i="36"/>
  <c r="T392" i="35"/>
  <c r="C400" i="38"/>
  <c r="E400" i="38" s="1"/>
  <c r="V38" i="36"/>
  <c r="T36" i="35"/>
  <c r="C44" i="38"/>
  <c r="E44" i="38" s="1"/>
  <c r="S398" i="36"/>
  <c r="T318" i="36"/>
  <c r="T64" i="36"/>
  <c r="W392" i="36"/>
  <c r="U390" i="35"/>
  <c r="D398" i="38"/>
  <c r="S129" i="36"/>
  <c r="T407" i="36"/>
  <c r="AD57" i="36"/>
  <c r="AG309" i="36"/>
  <c r="Q70" i="36"/>
  <c r="P274" i="36"/>
  <c r="V23" i="36"/>
  <c r="T21" i="35"/>
  <c r="C29" i="38"/>
  <c r="E29" i="38" s="1"/>
  <c r="R338" i="36"/>
  <c r="S52" i="36"/>
  <c r="Q369" i="36"/>
  <c r="S63" i="36"/>
  <c r="P277" i="36"/>
  <c r="Q378" i="36"/>
  <c r="V11" i="36"/>
  <c r="T9" i="35"/>
  <c r="C17" i="38"/>
  <c r="E17" i="38" s="1"/>
  <c r="R205" i="36"/>
  <c r="S259" i="36"/>
  <c r="R377" i="36"/>
  <c r="S181" i="36"/>
  <c r="S59" i="36"/>
  <c r="S57" i="36"/>
  <c r="S278" i="36"/>
  <c r="R218" i="36"/>
  <c r="S240" i="36"/>
  <c r="R271" i="36"/>
  <c r="V12" i="36"/>
  <c r="T10" i="35"/>
  <c r="C18" i="38"/>
  <c r="E18" i="38" s="1"/>
  <c r="R341" i="36"/>
  <c r="R379" i="36"/>
  <c r="R353" i="36"/>
  <c r="R206" i="36"/>
  <c r="R212" i="36"/>
  <c r="R178" i="36"/>
  <c r="S160" i="36"/>
  <c r="R144" i="36"/>
  <c r="S210" i="36"/>
  <c r="Q386" i="36"/>
  <c r="V393" i="36"/>
  <c r="T391" i="35"/>
  <c r="C399" i="38"/>
  <c r="E399" i="38" s="1"/>
  <c r="S318" i="36"/>
  <c r="T316" i="36"/>
  <c r="X6" i="36"/>
  <c r="AN6" i="36" s="1"/>
  <c r="Q335" i="36"/>
  <c r="AL445" i="36"/>
  <c r="Y445" i="36"/>
  <c r="AD56" i="36"/>
  <c r="AC424" i="36"/>
  <c r="AL455" i="36"/>
  <c r="Y455" i="36"/>
  <c r="AL458" i="36"/>
  <c r="Y458" i="36"/>
  <c r="S264" i="36"/>
  <c r="S228" i="36"/>
  <c r="S207" i="36"/>
  <c r="S62" i="36"/>
  <c r="S232" i="36"/>
  <c r="S260" i="36"/>
  <c r="R358" i="36"/>
  <c r="R219" i="36"/>
  <c r="S241" i="36"/>
  <c r="R279" i="36"/>
  <c r="V16" i="36"/>
  <c r="T14" i="35"/>
  <c r="C22" i="38"/>
  <c r="E22" i="38" s="1"/>
  <c r="V268" i="36"/>
  <c r="T266" i="35"/>
  <c r="C274" i="38"/>
  <c r="E274" i="38" s="1"/>
  <c r="R366" i="36"/>
  <c r="Q353" i="36"/>
  <c r="R202" i="36"/>
  <c r="R208" i="36"/>
  <c r="R173" i="36"/>
  <c r="S164" i="36"/>
  <c r="R209" i="36"/>
  <c r="S188" i="36"/>
  <c r="Q383" i="36"/>
  <c r="R151" i="36"/>
  <c r="V10" i="36"/>
  <c r="T8" i="35"/>
  <c r="C16" i="38"/>
  <c r="E16" i="38" s="1"/>
  <c r="V397" i="36"/>
  <c r="T395" i="35"/>
  <c r="C403" i="38"/>
  <c r="E403" i="38" s="1"/>
  <c r="T281" i="36"/>
  <c r="S316" i="36"/>
  <c r="X34" i="36"/>
  <c r="AN34" i="36" s="1"/>
  <c r="W51" i="36"/>
  <c r="U49" i="35"/>
  <c r="D57" i="38"/>
  <c r="AG289" i="36"/>
  <c r="AD63" i="36"/>
  <c r="AQ467" i="36"/>
  <c r="Y467" i="36"/>
  <c r="R198" i="36"/>
  <c r="R204" i="36"/>
  <c r="R207" i="36"/>
  <c r="R169" i="36"/>
  <c r="S143" i="36"/>
  <c r="S173" i="36"/>
  <c r="Q387" i="36"/>
  <c r="S433" i="36"/>
  <c r="R375" i="36"/>
  <c r="S281" i="36"/>
  <c r="T312" i="36"/>
  <c r="T398" i="36"/>
  <c r="W269" i="36"/>
  <c r="U267" i="35"/>
  <c r="D275" i="38"/>
  <c r="U265" i="35"/>
  <c r="W267" i="36"/>
  <c r="D273" i="38"/>
  <c r="W310" i="36"/>
  <c r="U308" i="35"/>
  <c r="D316" i="38"/>
  <c r="AC43" i="36"/>
  <c r="AC40" i="36"/>
  <c r="R199" i="36"/>
  <c r="S147" i="36"/>
  <c r="S163" i="36"/>
  <c r="R371" i="36"/>
  <c r="R376" i="36"/>
  <c r="T444" i="36"/>
  <c r="S312" i="36"/>
  <c r="W8" i="36"/>
  <c r="U6" i="35"/>
  <c r="D14" i="38"/>
  <c r="W18" i="36"/>
  <c r="U16" i="35"/>
  <c r="D24" i="38"/>
  <c r="W61" i="36"/>
  <c r="U59" i="35"/>
  <c r="D67" i="38"/>
  <c r="T402" i="36"/>
  <c r="AC423" i="36"/>
  <c r="Y328" i="36"/>
  <c r="AH328" i="36"/>
  <c r="AL448" i="36"/>
  <c r="Y448" i="36"/>
  <c r="AL459" i="36"/>
  <c r="Y459" i="36"/>
  <c r="V32" i="36"/>
  <c r="T30" i="35"/>
  <c r="C38" i="38"/>
  <c r="E38" i="38" s="1"/>
  <c r="S151" i="36"/>
  <c r="S131" i="36"/>
  <c r="R351" i="36"/>
  <c r="V26" i="36"/>
  <c r="T24" i="35"/>
  <c r="C32" i="38"/>
  <c r="E32" i="38" s="1"/>
  <c r="T439" i="36"/>
  <c r="T293" i="36"/>
  <c r="W12" i="36"/>
  <c r="U10" i="35"/>
  <c r="D18" i="38"/>
  <c r="W334" i="36"/>
  <c r="U332" i="35"/>
  <c r="D340" i="38"/>
  <c r="Q380" i="36"/>
  <c r="X288" i="36"/>
  <c r="AO288" i="36" s="1"/>
  <c r="R277" i="36"/>
  <c r="Q372" i="36"/>
  <c r="Q354" i="36"/>
  <c r="R200" i="36"/>
  <c r="R222" i="36"/>
  <c r="S244" i="36"/>
  <c r="S246" i="36"/>
  <c r="R276" i="36"/>
  <c r="Q376" i="36"/>
  <c r="R356" i="36"/>
  <c r="R196" i="36"/>
  <c r="R189" i="36"/>
  <c r="S201" i="36"/>
  <c r="S439" i="36"/>
  <c r="R372" i="36"/>
  <c r="R223" i="36"/>
  <c r="S245" i="36"/>
  <c r="S247" i="36"/>
  <c r="R275" i="36"/>
  <c r="Q351" i="36"/>
  <c r="Q356" i="36"/>
  <c r="R181" i="36"/>
  <c r="S132" i="36"/>
  <c r="S205" i="36"/>
  <c r="Q381" i="36"/>
  <c r="R359" i="36"/>
  <c r="V30" i="36"/>
  <c r="T28" i="35"/>
  <c r="C36" i="38"/>
  <c r="E36" i="38" s="1"/>
  <c r="Q366" i="36"/>
  <c r="T432" i="36"/>
  <c r="S293" i="36"/>
  <c r="W17" i="36"/>
  <c r="U15" i="35"/>
  <c r="D23" i="38"/>
  <c r="W10" i="36"/>
  <c r="U8" i="35"/>
  <c r="D16" i="38"/>
  <c r="X316" i="36"/>
  <c r="AG290" i="36"/>
  <c r="Y290" i="36"/>
  <c r="Y422" i="36"/>
  <c r="AC422" i="36"/>
  <c r="AC42" i="36"/>
  <c r="R160" i="36"/>
  <c r="S136" i="36"/>
  <c r="S209" i="36"/>
  <c r="R139" i="36"/>
  <c r="Q385" i="36"/>
  <c r="R369" i="36"/>
  <c r="S441" i="36"/>
  <c r="R346" i="36"/>
  <c r="T429" i="36"/>
  <c r="T283" i="36"/>
  <c r="W22" i="36"/>
  <c r="AF22" i="36" s="1"/>
  <c r="U20" i="35"/>
  <c r="D28" i="38"/>
  <c r="W15" i="36"/>
  <c r="U13" i="35"/>
  <c r="D21" i="38"/>
  <c r="T413" i="36"/>
  <c r="AG288" i="36"/>
  <c r="AH327" i="36"/>
  <c r="Y327" i="36"/>
  <c r="AL451" i="36"/>
  <c r="Y451" i="36"/>
  <c r="Y420" i="36"/>
  <c r="AC420" i="36"/>
  <c r="R132" i="36"/>
  <c r="S197" i="36"/>
  <c r="S192" i="36"/>
  <c r="Q389" i="36"/>
  <c r="R347" i="36"/>
  <c r="S436" i="36"/>
  <c r="R343" i="36"/>
  <c r="T406" i="36"/>
  <c r="S283" i="36"/>
  <c r="W26" i="36"/>
  <c r="U24" i="35"/>
  <c r="D32" i="38"/>
  <c r="W20" i="36"/>
  <c r="U18" i="35"/>
  <c r="D26" i="38"/>
  <c r="T401" i="36"/>
  <c r="AC48" i="36"/>
  <c r="AQ465" i="36"/>
  <c r="Y465" i="36"/>
  <c r="R203" i="36"/>
  <c r="R339" i="36"/>
  <c r="S410" i="36"/>
  <c r="R335" i="36"/>
  <c r="T269" i="36"/>
  <c r="T291" i="36"/>
  <c r="W31" i="36"/>
  <c r="U29" i="35"/>
  <c r="D37" i="38"/>
  <c r="W24" i="36"/>
  <c r="U22" i="35"/>
  <c r="D30" i="38"/>
  <c r="T399" i="36"/>
  <c r="T409" i="36"/>
  <c r="AL449" i="36"/>
  <c r="Y449" i="36"/>
  <c r="Y322" i="36"/>
  <c r="AH322" i="36"/>
  <c r="Q388" i="36"/>
  <c r="S291" i="36"/>
  <c r="W38" i="36"/>
  <c r="U36" i="35"/>
  <c r="D44" i="38"/>
  <c r="W29" i="36"/>
  <c r="U27" i="35"/>
  <c r="D35" i="38"/>
  <c r="W305" i="36"/>
  <c r="U303" i="35"/>
  <c r="D311" i="38"/>
  <c r="AL461" i="36"/>
  <c r="Y461" i="36"/>
  <c r="AQ464" i="36"/>
  <c r="Y464" i="36"/>
  <c r="AL452" i="36"/>
  <c r="Y452" i="36"/>
  <c r="X309" i="36"/>
  <c r="AO309" i="36" s="1"/>
  <c r="V6" i="36"/>
  <c r="T4" i="35"/>
  <c r="C12" i="38"/>
  <c r="E12" i="38" s="1"/>
  <c r="R357" i="36"/>
  <c r="S42" i="36"/>
  <c r="Q360" i="36"/>
  <c r="R188" i="36"/>
  <c r="S183" i="36"/>
  <c r="S41" i="36"/>
  <c r="S216" i="36"/>
  <c r="S255" i="36"/>
  <c r="V307" i="36"/>
  <c r="T305" i="35"/>
  <c r="C313" i="38"/>
  <c r="E313" i="38" s="1"/>
  <c r="R195" i="36"/>
  <c r="R193" i="36"/>
  <c r="S187" i="36"/>
  <c r="S152" i="36"/>
  <c r="S217" i="36"/>
  <c r="S65" i="36"/>
  <c r="Q362" i="36"/>
  <c r="R180" i="36"/>
  <c r="R190" i="36"/>
  <c r="S204" i="36"/>
  <c r="S191" i="36"/>
  <c r="S135" i="36"/>
  <c r="Q384" i="36"/>
  <c r="S432" i="36"/>
  <c r="V35" i="36"/>
  <c r="T33" i="35"/>
  <c r="C41" i="38"/>
  <c r="E41" i="38" s="1"/>
  <c r="S406" i="36"/>
  <c r="V36" i="36"/>
  <c r="T34" i="35"/>
  <c r="C42" i="38"/>
  <c r="E42" i="38" s="1"/>
  <c r="S314" i="36"/>
  <c r="X423" i="36"/>
  <c r="AK423" i="36" s="1"/>
  <c r="W394" i="36"/>
  <c r="U392" i="35"/>
  <c r="D400" i="38"/>
  <c r="W6" i="36"/>
  <c r="U4" i="35"/>
  <c r="D12" i="38"/>
  <c r="X36" i="36"/>
  <c r="AO36" i="36" s="1"/>
  <c r="R220" i="36"/>
  <c r="S243" i="36"/>
  <c r="R274" i="36"/>
  <c r="V18" i="36"/>
  <c r="T16" i="35"/>
  <c r="C24" i="38"/>
  <c r="E24" i="38" s="1"/>
  <c r="S177" i="36"/>
  <c r="V21" i="36"/>
  <c r="T19" i="35"/>
  <c r="C27" i="38"/>
  <c r="E27" i="38" s="1"/>
  <c r="R360" i="36"/>
  <c r="R134" i="36"/>
  <c r="S200" i="36"/>
  <c r="S256" i="36"/>
  <c r="S257" i="36"/>
  <c r="V287" i="36"/>
  <c r="T285" i="35"/>
  <c r="C293" i="38"/>
  <c r="E293" i="38" s="1"/>
  <c r="R362" i="36"/>
  <c r="R161" i="36"/>
  <c r="R186" i="36"/>
  <c r="S208" i="36"/>
  <c r="S195" i="36"/>
  <c r="R168" i="36"/>
  <c r="S437" i="36"/>
  <c r="S403" i="36"/>
  <c r="T441" i="36"/>
  <c r="X427" i="36"/>
  <c r="AK427" i="36" s="1"/>
  <c r="W391" i="36"/>
  <c r="U389" i="35"/>
  <c r="D397" i="38"/>
  <c r="S64" i="36"/>
  <c r="Y425" i="36"/>
  <c r="AC425" i="36"/>
  <c r="AL457" i="36"/>
  <c r="Y457" i="36"/>
  <c r="X310" i="36"/>
  <c r="AO310" i="36" s="1"/>
  <c r="R363" i="36"/>
  <c r="S44" i="36"/>
  <c r="S248" i="36"/>
  <c r="Q359" i="36"/>
  <c r="S43" i="36"/>
  <c r="R273" i="36"/>
  <c r="R272" i="36"/>
  <c r="S411" i="36"/>
  <c r="S39" i="36"/>
  <c r="S218" i="36"/>
  <c r="P271" i="36"/>
  <c r="S45" i="36"/>
  <c r="S219" i="36"/>
  <c r="S258" i="36"/>
  <c r="P273" i="36"/>
  <c r="V270" i="36"/>
  <c r="T268" i="35"/>
  <c r="C276" i="38"/>
  <c r="E276" i="38" s="1"/>
  <c r="R364" i="36"/>
  <c r="Q337" i="36"/>
  <c r="R156" i="36"/>
  <c r="R182" i="36"/>
  <c r="R194" i="36"/>
  <c r="S212" i="36"/>
  <c r="S168" i="36"/>
  <c r="S430" i="36"/>
  <c r="S399" i="36"/>
  <c r="T438" i="36"/>
  <c r="X417" i="36"/>
  <c r="W39" i="36"/>
  <c r="U37" i="35"/>
  <c r="D45" i="38"/>
  <c r="T412" i="36"/>
  <c r="Y286" i="36"/>
  <c r="AG286" i="36"/>
  <c r="V19" i="36"/>
  <c r="T17" i="35"/>
  <c r="C25" i="38"/>
  <c r="E25" i="38" s="1"/>
  <c r="S242" i="36"/>
  <c r="R278" i="36"/>
  <c r="S140" i="36"/>
  <c r="R184" i="36"/>
  <c r="T314" i="36"/>
  <c r="S46" i="36"/>
  <c r="P272" i="36"/>
  <c r="Q364" i="36"/>
  <c r="R152" i="36"/>
  <c r="R159" i="36"/>
  <c r="R185" i="36"/>
  <c r="S182" i="36"/>
  <c r="S172" i="36"/>
  <c r="R133" i="36"/>
  <c r="V392" i="36"/>
  <c r="T390" i="35"/>
  <c r="C398" i="38"/>
  <c r="E398" i="38" s="1"/>
  <c r="T435" i="36"/>
  <c r="W270" i="36"/>
  <c r="U268" i="35"/>
  <c r="D276" i="38"/>
  <c r="X314" i="36"/>
  <c r="Y324" i="36"/>
  <c r="AH324" i="36"/>
  <c r="Y333" i="36"/>
  <c r="AH333" i="36"/>
  <c r="AL450" i="36"/>
  <c r="Y450" i="36"/>
  <c r="S50" i="36"/>
  <c r="R354" i="36"/>
  <c r="R221" i="36"/>
  <c r="S213" i="36"/>
  <c r="S249" i="36"/>
  <c r="Q349" i="36"/>
  <c r="R192" i="36"/>
  <c r="S254" i="36"/>
  <c r="Q345" i="36"/>
  <c r="R141" i="36"/>
  <c r="Q382" i="36"/>
  <c r="Q67" i="36"/>
  <c r="S261" i="36"/>
  <c r="S47" i="36"/>
  <c r="Q68" i="36"/>
  <c r="S221" i="36"/>
  <c r="S262" i="36"/>
  <c r="S271" i="36"/>
  <c r="W303" i="36"/>
  <c r="U301" i="35"/>
  <c r="D309" i="38"/>
  <c r="V9" i="36"/>
  <c r="T7" i="35"/>
  <c r="C15" i="38"/>
  <c r="E15" i="38" s="1"/>
  <c r="R342" i="36"/>
  <c r="Q368" i="36"/>
  <c r="Q341" i="36"/>
  <c r="R163" i="36"/>
  <c r="R166" i="36"/>
  <c r="S186" i="36"/>
  <c r="S176" i="36"/>
  <c r="S180" i="36"/>
  <c r="V396" i="36"/>
  <c r="T394" i="35"/>
  <c r="C402" i="38"/>
  <c r="E402" i="38" s="1"/>
  <c r="T405" i="36"/>
  <c r="X428" i="36"/>
  <c r="AK428" i="36" s="1"/>
  <c r="W34" i="36"/>
  <c r="U32" i="35"/>
  <c r="D40" i="38"/>
  <c r="X313" i="36"/>
  <c r="Y331" i="36"/>
  <c r="AH331" i="36"/>
  <c r="AL460" i="36"/>
  <c r="Y460" i="36"/>
  <c r="Y426" i="36"/>
  <c r="AC426" i="36"/>
  <c r="AC427" i="36"/>
  <c r="AH329" i="36"/>
  <c r="Y329" i="36"/>
  <c r="Q71" i="36"/>
  <c r="X38" i="36"/>
  <c r="AO38" i="36" s="1"/>
  <c r="Q357" i="36"/>
  <c r="S214" i="36"/>
  <c r="R211" i="36"/>
  <c r="S215" i="36"/>
  <c r="V267" i="36"/>
  <c r="T265" i="35"/>
  <c r="C273" i="38"/>
  <c r="E273" i="38" s="1"/>
  <c r="S40" i="36"/>
  <c r="S220" i="36"/>
  <c r="S48" i="36"/>
  <c r="Q69" i="36"/>
  <c r="S222" i="36"/>
  <c r="S263" i="36"/>
  <c r="S224" i="36"/>
  <c r="S272" i="36"/>
  <c r="S66" i="36"/>
  <c r="V22" i="36"/>
  <c r="T20" i="35"/>
  <c r="C28" i="38"/>
  <c r="E28" i="38" s="1"/>
  <c r="Q339" i="36"/>
  <c r="R368" i="36"/>
  <c r="Q355" i="36"/>
  <c r="R158" i="36"/>
  <c r="R174" i="36"/>
  <c r="R155" i="36"/>
  <c r="S190" i="36"/>
  <c r="S154" i="36"/>
  <c r="S196" i="36"/>
  <c r="S434" i="36"/>
  <c r="V25" i="36"/>
  <c r="T23" i="35"/>
  <c r="C31" i="38"/>
  <c r="E31" i="38" s="1"/>
  <c r="R361" i="36"/>
  <c r="T268" i="36"/>
  <c r="X424" i="36"/>
  <c r="AK424" i="36" s="1"/>
  <c r="W268" i="36"/>
  <c r="U266" i="35"/>
  <c r="D274" i="38"/>
  <c r="U393" i="35"/>
  <c r="W395" i="36"/>
  <c r="D401" i="38"/>
  <c r="Y321" i="36"/>
  <c r="AH321" i="36"/>
  <c r="AC47" i="36"/>
  <c r="M242" i="1"/>
  <c r="P197" i="1"/>
  <c r="P203" i="1"/>
  <c r="P206" i="1"/>
  <c r="P168" i="1"/>
  <c r="AR142" i="1"/>
  <c r="AR172" i="1"/>
  <c r="P386" i="1"/>
  <c r="AR280" i="1"/>
  <c r="AQ280" i="1" s="1"/>
  <c r="P199" i="1"/>
  <c r="P198" i="1"/>
  <c r="AR146" i="1"/>
  <c r="AR162" i="1"/>
  <c r="M246" i="1"/>
  <c r="P195" i="1"/>
  <c r="P188" i="1"/>
  <c r="AR150" i="1"/>
  <c r="AR200" i="1"/>
  <c r="AR130" i="1"/>
  <c r="P180" i="1"/>
  <c r="AR131" i="1"/>
  <c r="AR204" i="1"/>
  <c r="P380" i="1"/>
  <c r="AR135" i="1"/>
  <c r="AR208" i="1"/>
  <c r="P138" i="1"/>
  <c r="P384" i="1"/>
  <c r="AR191" i="1"/>
  <c r="AR282" i="1"/>
  <c r="AQ282" i="1" s="1"/>
  <c r="AR43" i="1"/>
  <c r="AQ43" i="1" s="1"/>
  <c r="M213" i="1"/>
  <c r="P191" i="1"/>
  <c r="P131" i="1"/>
  <c r="P210" i="1"/>
  <c r="AR139" i="1"/>
  <c r="P388" i="1"/>
  <c r="AR40" i="1"/>
  <c r="AQ40" i="1" s="1"/>
  <c r="M215" i="1"/>
  <c r="M254" i="1"/>
  <c r="P187" i="1"/>
  <c r="P140" i="1"/>
  <c r="P202" i="1"/>
  <c r="AR182" i="1"/>
  <c r="AR176" i="1"/>
  <c r="P133" i="1"/>
  <c r="P387" i="1"/>
  <c r="P381" i="1"/>
  <c r="U3" i="35"/>
  <c r="I13" i="42"/>
  <c r="K13" i="42" s="1"/>
  <c r="AN11" i="40"/>
  <c r="AP11" i="40" s="1"/>
  <c r="D11" i="38"/>
  <c r="W5" i="36"/>
  <c r="E15" i="33"/>
  <c r="K15" i="33" s="1"/>
  <c r="M216" i="1"/>
  <c r="P194" i="1"/>
  <c r="M217" i="1"/>
  <c r="P160" i="1"/>
  <c r="P185" i="1"/>
  <c r="AR207" i="1"/>
  <c r="AR194" i="1"/>
  <c r="P167" i="1"/>
  <c r="M248" i="1"/>
  <c r="AR39" i="1"/>
  <c r="AQ39" i="1" s="1"/>
  <c r="P155" i="1"/>
  <c r="P181" i="1"/>
  <c r="P193" i="1"/>
  <c r="AR211" i="1"/>
  <c r="AR167" i="1"/>
  <c r="P172" i="1"/>
  <c r="M247" i="1"/>
  <c r="AR41" i="1"/>
  <c r="AQ41" i="1" s="1"/>
  <c r="AR199" i="1"/>
  <c r="AR361" i="1"/>
  <c r="AT361" i="1" s="1"/>
  <c r="P383" i="1"/>
  <c r="M218" i="1"/>
  <c r="M219" i="1"/>
  <c r="M261" i="1"/>
  <c r="P151" i="1"/>
  <c r="P158" i="1"/>
  <c r="P184" i="1"/>
  <c r="AR181" i="1"/>
  <c r="AR171" i="1"/>
  <c r="P132" i="1"/>
  <c r="AR186" i="1"/>
  <c r="M256" i="1"/>
  <c r="P189" i="1"/>
  <c r="AR134" i="1"/>
  <c r="AR45" i="1"/>
  <c r="AQ45" i="1" s="1"/>
  <c r="AR46" i="1"/>
  <c r="AQ46" i="1" s="1"/>
  <c r="M221" i="1"/>
  <c r="M262" i="1"/>
  <c r="M223" i="1"/>
  <c r="P162" i="1"/>
  <c r="P165" i="1"/>
  <c r="AR185" i="1"/>
  <c r="AR175" i="1"/>
  <c r="AR179" i="1"/>
  <c r="P382" i="1"/>
  <c r="M244" i="1"/>
  <c r="P159" i="1"/>
  <c r="M214" i="1"/>
  <c r="AR151" i="1"/>
  <c r="AT163" i="1" s="1"/>
  <c r="P179" i="1"/>
  <c r="AR190" i="1"/>
  <c r="M220" i="1"/>
  <c r="AR47" i="1"/>
  <c r="AQ47" i="1" s="1"/>
  <c r="AR48" i="1"/>
  <c r="AQ48" i="1" s="1"/>
  <c r="M222" i="1"/>
  <c r="M263" i="1"/>
  <c r="P157" i="1"/>
  <c r="P173" i="1"/>
  <c r="P154" i="1"/>
  <c r="AR189" i="1"/>
  <c r="AR153" i="1"/>
  <c r="AR195" i="1"/>
  <c r="M255" i="1"/>
  <c r="P192" i="1"/>
  <c r="M257" i="1"/>
  <c r="AR49" i="1"/>
  <c r="AQ49" i="1" s="1"/>
  <c r="M224" i="1"/>
  <c r="M264" i="1"/>
  <c r="P149" i="1"/>
  <c r="P153" i="1"/>
  <c r="P169" i="1"/>
  <c r="P137" i="1"/>
  <c r="AR193" i="1"/>
  <c r="AR157" i="1"/>
  <c r="AR154" i="1"/>
  <c r="M243" i="1"/>
  <c r="AR42" i="1"/>
  <c r="AQ42" i="1" s="1"/>
  <c r="P183" i="1"/>
  <c r="AR203" i="1"/>
  <c r="M225" i="1"/>
  <c r="P145" i="1"/>
  <c r="P161" i="1"/>
  <c r="P130" i="1"/>
  <c r="AR177" i="1"/>
  <c r="AR161" i="1"/>
  <c r="AR145" i="1"/>
  <c r="P141" i="1"/>
  <c r="AR170" i="1"/>
  <c r="AR165" i="1"/>
  <c r="AR138" i="1"/>
  <c r="P201" i="1"/>
  <c r="AR198" i="1"/>
  <c r="AR174" i="1"/>
  <c r="AR144" i="1"/>
  <c r="AR197" i="1"/>
  <c r="AR187" i="1"/>
  <c r="AR202" i="1"/>
  <c r="AR152" i="1"/>
  <c r="AR148" i="1"/>
  <c r="P182" i="1"/>
  <c r="P208" i="1"/>
  <c r="P139" i="1"/>
  <c r="AR206" i="1"/>
  <c r="AR156" i="1"/>
  <c r="AR129" i="1"/>
  <c r="P204" i="1"/>
  <c r="AR210" i="1"/>
  <c r="AR160" i="1"/>
  <c r="AR133" i="1"/>
  <c r="P163" i="1"/>
  <c r="AR283" i="1"/>
  <c r="AQ283" i="1" s="1"/>
  <c r="M241" i="1"/>
  <c r="P129" i="1"/>
  <c r="AR164" i="1"/>
  <c r="AR163" i="1"/>
  <c r="P196" i="1"/>
  <c r="AR180" i="1"/>
  <c r="AR137" i="1"/>
  <c r="AR58" i="1"/>
  <c r="AQ58" i="1" s="1"/>
  <c r="M232" i="1"/>
  <c r="AR184" i="1"/>
  <c r="AR143" i="1"/>
  <c r="P171" i="1"/>
  <c r="AR149" i="1"/>
  <c r="P150" i="1"/>
  <c r="M250" i="1"/>
  <c r="M228" i="1"/>
  <c r="M230" i="1"/>
  <c r="P134" i="1"/>
  <c r="M231" i="1"/>
  <c r="P148" i="1"/>
  <c r="P186" i="1"/>
  <c r="AR188" i="1"/>
  <c r="AR147" i="1"/>
  <c r="AR183" i="1"/>
  <c r="AR56" i="1"/>
  <c r="AQ56" i="1" s="1"/>
  <c r="M234" i="1"/>
  <c r="P146" i="1"/>
  <c r="P144" i="1"/>
  <c r="P178" i="1"/>
  <c r="AR192" i="1"/>
  <c r="P200" i="1"/>
  <c r="P152" i="1"/>
  <c r="AR168" i="1"/>
  <c r="M226" i="1"/>
  <c r="M229" i="1"/>
  <c r="AR59" i="1"/>
  <c r="AQ59" i="1" s="1"/>
  <c r="M259" i="1"/>
  <c r="AR55" i="1"/>
  <c r="P135" i="1"/>
  <c r="P147" i="1"/>
  <c r="P156" i="1"/>
  <c r="AR169" i="1"/>
  <c r="AR136" i="1"/>
  <c r="P190" i="1"/>
  <c r="P207" i="1"/>
  <c r="M249" i="1"/>
  <c r="AR61" i="1"/>
  <c r="AQ61" i="1" s="1"/>
  <c r="M252" i="1"/>
  <c r="AR60" i="1"/>
  <c r="AQ60" i="1" s="1"/>
  <c r="M233" i="1"/>
  <c r="AR132" i="1"/>
  <c r="AR54" i="1"/>
  <c r="AQ54" i="1" s="1"/>
  <c r="AR53" i="1"/>
  <c r="AQ53" i="1" s="1"/>
  <c r="M237" i="1"/>
  <c r="AR173" i="1"/>
  <c r="AR140" i="1"/>
  <c r="P136" i="1"/>
  <c r="P175" i="1"/>
  <c r="M227" i="1"/>
  <c r="M251" i="1"/>
  <c r="AR57" i="1"/>
  <c r="AQ57" i="1" s="1"/>
  <c r="M235" i="1"/>
  <c r="P142" i="1"/>
  <c r="M236" i="1"/>
  <c r="AR52" i="1"/>
  <c r="AQ52" i="1" s="1"/>
  <c r="M238" i="1"/>
  <c r="P170" i="1"/>
  <c r="P176" i="1"/>
  <c r="AR201" i="1"/>
  <c r="AR158" i="1"/>
  <c r="AR281" i="1"/>
  <c r="AQ281" i="1" s="1"/>
  <c r="P174" i="1"/>
  <c r="M258" i="1"/>
  <c r="M239" i="1"/>
  <c r="P209" i="1"/>
  <c r="P166" i="1"/>
  <c r="AR155" i="1"/>
  <c r="P164" i="1"/>
  <c r="AR205" i="1"/>
  <c r="M240" i="1"/>
  <c r="P205" i="1"/>
  <c r="P211" i="1"/>
  <c r="P177" i="1"/>
  <c r="AR159" i="1"/>
  <c r="P143" i="1"/>
  <c r="AR209" i="1"/>
  <c r="P385" i="1"/>
  <c r="T3" i="35"/>
  <c r="C11" i="38"/>
  <c r="V5" i="36"/>
  <c r="D15" i="33"/>
  <c r="H15" i="33" s="1"/>
  <c r="M260" i="1"/>
  <c r="M253" i="1"/>
  <c r="AM66" i="1"/>
  <c r="M212" i="1"/>
  <c r="M245" i="1"/>
  <c r="N66" i="1"/>
  <c r="M270" i="1"/>
  <c r="AR290" i="1"/>
  <c r="AQ290" i="1" s="1"/>
  <c r="AR128" i="1"/>
  <c r="AT134" i="1" s="1"/>
  <c r="P128" i="1"/>
  <c r="AU438" i="1"/>
  <c r="AU443" i="1"/>
  <c r="AU400" i="1"/>
  <c r="AU398" i="1"/>
  <c r="AU229" i="1"/>
  <c r="AU435" i="1"/>
  <c r="AU439" i="1"/>
  <c r="AU348" i="1"/>
  <c r="AU399" i="1"/>
  <c r="AU402" i="1"/>
  <c r="AR166" i="1"/>
  <c r="AT177" i="1" s="1"/>
  <c r="AQ293" i="1"/>
  <c r="AS293" i="1"/>
  <c r="AT293" i="1"/>
  <c r="AS304" i="1"/>
  <c r="AT304" i="1"/>
  <c r="AQ304" i="1"/>
  <c r="AR141" i="1"/>
  <c r="AT147" i="1" s="1"/>
  <c r="AR178" i="1"/>
  <c r="AU334" i="1"/>
  <c r="AU431" i="1"/>
  <c r="AU429" i="1"/>
  <c r="AU434" i="1"/>
  <c r="AU436" i="1"/>
  <c r="AU430" i="1"/>
  <c r="AU437" i="1"/>
  <c r="AU442" i="1"/>
  <c r="AU397" i="1"/>
  <c r="AT302" i="1"/>
  <c r="AS302" i="1"/>
  <c r="AQ302" i="1"/>
  <c r="AR196" i="1"/>
  <c r="AT210" i="1" s="1"/>
  <c r="AU278" i="1"/>
  <c r="AU428" i="1"/>
  <c r="AU433" i="1"/>
  <c r="AU432" i="1"/>
  <c r="AU441" i="1"/>
  <c r="AU440" i="1"/>
  <c r="AU401" i="1"/>
  <c r="AR279" i="1"/>
  <c r="AQ279" i="1" s="1"/>
  <c r="AT280" i="1"/>
  <c r="AR334" i="1"/>
  <c r="AT334" i="1" s="1"/>
  <c r="AR62" i="1"/>
  <c r="AQ62" i="1" s="1"/>
  <c r="AR38" i="1"/>
  <c r="AR51" i="1"/>
  <c r="P379" i="1"/>
  <c r="AR365" i="1"/>
  <c r="AT365" i="1" s="1"/>
  <c r="AT265" i="1"/>
  <c r="AO273" i="1"/>
  <c r="AO275" i="1"/>
  <c r="AO344" i="1"/>
  <c r="AO338" i="1"/>
  <c r="AO374" i="1"/>
  <c r="AO375" i="1"/>
  <c r="AO371" i="1"/>
  <c r="AO367" i="1"/>
  <c r="AO363" i="1"/>
  <c r="AO359" i="1"/>
  <c r="AO355" i="1"/>
  <c r="AO351" i="1"/>
  <c r="AO274" i="1"/>
  <c r="AO277" i="1"/>
  <c r="AO345" i="1"/>
  <c r="AO339" i="1"/>
  <c r="AO337" i="1"/>
  <c r="AO378" i="1"/>
  <c r="AO370" i="1"/>
  <c r="AO340" i="1"/>
  <c r="AO349" i="1"/>
  <c r="AO366" i="1"/>
  <c r="AO362" i="1"/>
  <c r="AO358" i="1"/>
  <c r="AO354" i="1"/>
  <c r="AO350" i="1"/>
  <c r="AT164" i="1"/>
  <c r="AO276" i="1"/>
  <c r="AO335" i="1"/>
  <c r="AO347" i="1"/>
  <c r="AO346" i="1"/>
  <c r="AO377" i="1"/>
  <c r="AO373" i="1"/>
  <c r="AO341" i="1"/>
  <c r="AO369" i="1"/>
  <c r="AO365" i="1"/>
  <c r="AO361" i="1"/>
  <c r="AO357" i="1"/>
  <c r="AO353" i="1"/>
  <c r="AO336" i="1"/>
  <c r="AO272" i="1"/>
  <c r="AO271" i="1"/>
  <c r="AO342" i="1"/>
  <c r="AO343" i="1"/>
  <c r="AO376" i="1"/>
  <c r="AO372" i="1"/>
  <c r="AO368" i="1"/>
  <c r="AO364" i="1"/>
  <c r="AO360" i="1"/>
  <c r="AO356" i="1"/>
  <c r="AO352" i="1"/>
  <c r="AT46" i="1"/>
  <c r="AT40" i="1"/>
  <c r="AQ79" i="1"/>
  <c r="AR435" i="1"/>
  <c r="AS435" i="1" s="1"/>
  <c r="AT435" i="1" s="1"/>
  <c r="P337" i="1"/>
  <c r="P354" i="1"/>
  <c r="P365" i="1"/>
  <c r="P372" i="1"/>
  <c r="P366" i="1"/>
  <c r="P359" i="1"/>
  <c r="P349" i="1"/>
  <c r="P374" i="1"/>
  <c r="P350" i="1"/>
  <c r="P368" i="1"/>
  <c r="P343" i="1"/>
  <c r="P371" i="1"/>
  <c r="P345" i="1"/>
  <c r="P341" i="1"/>
  <c r="P362" i="1"/>
  <c r="P369" i="1"/>
  <c r="P353" i="1"/>
  <c r="P346" i="1"/>
  <c r="P338" i="1"/>
  <c r="P364" i="1"/>
  <c r="P348" i="1"/>
  <c r="P335" i="1"/>
  <c r="P334" i="1"/>
  <c r="P339" i="1"/>
  <c r="P376" i="1"/>
  <c r="P351" i="1"/>
  <c r="P356" i="1"/>
  <c r="P361" i="1"/>
  <c r="P367" i="1"/>
  <c r="AR442" i="1"/>
  <c r="P370" i="1"/>
  <c r="P358" i="1"/>
  <c r="P373" i="1"/>
  <c r="P347" i="1"/>
  <c r="P375" i="1"/>
  <c r="P342" i="1"/>
  <c r="P336" i="1"/>
  <c r="P340" i="1"/>
  <c r="P357" i="1"/>
  <c r="P378" i="1"/>
  <c r="P377" i="1"/>
  <c r="P352" i="1"/>
  <c r="P355" i="1"/>
  <c r="P363" i="1"/>
  <c r="P360" i="1"/>
  <c r="P344" i="1"/>
  <c r="AR243" i="1"/>
  <c r="AR246" i="1"/>
  <c r="AR350" i="1"/>
  <c r="AT350" i="1" s="1"/>
  <c r="AR363" i="1"/>
  <c r="AT363" i="1" s="1"/>
  <c r="U384" i="1"/>
  <c r="AP384" i="1" s="1"/>
  <c r="AU384" i="1" s="1"/>
  <c r="AR404" i="1"/>
  <c r="AT404" i="1" s="1"/>
  <c r="AQ384" i="1"/>
  <c r="AR441" i="1"/>
  <c r="AS441" i="1" s="1"/>
  <c r="AT441" i="1" s="1"/>
  <c r="AR412" i="1"/>
  <c r="AT412" i="1" s="1"/>
  <c r="AR409" i="1"/>
  <c r="AT409" i="1" s="1"/>
  <c r="AR402" i="1"/>
  <c r="AT402" i="1" s="1"/>
  <c r="AR231" i="1"/>
  <c r="AR346" i="1"/>
  <c r="AT346" i="1" s="1"/>
  <c r="AR377" i="1"/>
  <c r="AT377" i="1" s="1"/>
  <c r="AR352" i="1"/>
  <c r="AT352" i="1" s="1"/>
  <c r="AR340" i="1"/>
  <c r="AT340" i="1" s="1"/>
  <c r="AQ379" i="1"/>
  <c r="AR437" i="1"/>
  <c r="AS437" i="1" s="1"/>
  <c r="AT437" i="1" s="1"/>
  <c r="N67" i="1"/>
  <c r="N71" i="1"/>
  <c r="N75" i="1"/>
  <c r="N79" i="1"/>
  <c r="AR232" i="1"/>
  <c r="AT232" i="1" s="1"/>
  <c r="AR236" i="1"/>
  <c r="AT236" i="1" s="1"/>
  <c r="AR240" i="1"/>
  <c r="AR244" i="1"/>
  <c r="AR247" i="1"/>
  <c r="AR256" i="1"/>
  <c r="AQ256" i="1" s="1"/>
  <c r="AR262" i="1"/>
  <c r="AR271" i="1"/>
  <c r="AT271" i="1" s="1"/>
  <c r="AR273" i="1"/>
  <c r="AT273" i="1" s="1"/>
  <c r="AR277" i="1"/>
  <c r="AT277" i="1" s="1"/>
  <c r="AR368" i="1"/>
  <c r="AT368" i="1" s="1"/>
  <c r="AR364" i="1"/>
  <c r="AT364" i="1" s="1"/>
  <c r="AR341" i="1"/>
  <c r="AT341" i="1" s="1"/>
  <c r="AR358" i="1"/>
  <c r="AT358" i="1" s="1"/>
  <c r="AR376" i="1"/>
  <c r="AT376" i="1" s="1"/>
  <c r="AR351" i="1"/>
  <c r="AT351" i="1" s="1"/>
  <c r="AR356" i="1"/>
  <c r="AT356" i="1" s="1"/>
  <c r="AR367" i="1"/>
  <c r="AT367" i="1" s="1"/>
  <c r="AR347" i="1"/>
  <c r="AT347" i="1" s="1"/>
  <c r="AR354" i="1"/>
  <c r="AT354" i="1" s="1"/>
  <c r="U388" i="1"/>
  <c r="AP388" i="1" s="1"/>
  <c r="AU388" i="1" s="1"/>
  <c r="AQ382" i="1"/>
  <c r="AQ385" i="1"/>
  <c r="AR439" i="1"/>
  <c r="AS439" i="1" s="1"/>
  <c r="AT439" i="1" s="1"/>
  <c r="AR438" i="1"/>
  <c r="AS438" i="1" s="1"/>
  <c r="AT438" i="1" s="1"/>
  <c r="AQ380" i="1"/>
  <c r="AR436" i="1"/>
  <c r="AS436" i="1" s="1"/>
  <c r="AT436" i="1" s="1"/>
  <c r="AR433" i="1"/>
  <c r="AS433" i="1" s="1"/>
  <c r="AT433" i="1" s="1"/>
  <c r="AR443" i="1"/>
  <c r="AS443" i="1" s="1"/>
  <c r="AT443" i="1" s="1"/>
  <c r="AR411" i="1"/>
  <c r="AT411" i="1" s="1"/>
  <c r="AR399" i="1"/>
  <c r="AT399" i="1" s="1"/>
  <c r="AR406" i="1"/>
  <c r="AT406" i="1" s="1"/>
  <c r="AR401" i="1"/>
  <c r="AT401" i="1" s="1"/>
  <c r="N70" i="1"/>
  <c r="N78" i="1"/>
  <c r="AR239" i="1"/>
  <c r="AR255" i="1"/>
  <c r="AR355" i="1"/>
  <c r="AT355" i="1" s="1"/>
  <c r="AR362" i="1"/>
  <c r="AT362" i="1" s="1"/>
  <c r="U383" i="1"/>
  <c r="AP383" i="1" s="1"/>
  <c r="AU383" i="1" s="1"/>
  <c r="AR434" i="1"/>
  <c r="AS434" i="1" s="1"/>
  <c r="AT434" i="1" s="1"/>
  <c r="AR400" i="1"/>
  <c r="AT400" i="1" s="1"/>
  <c r="N68" i="1"/>
  <c r="N72" i="1"/>
  <c r="N76" i="1"/>
  <c r="AR229" i="1"/>
  <c r="AQ229" i="1" s="1"/>
  <c r="AR233" i="1"/>
  <c r="AR237" i="1"/>
  <c r="AR241" i="1"/>
  <c r="AR248" i="1"/>
  <c r="AR257" i="1"/>
  <c r="M272" i="1"/>
  <c r="AR272" i="1"/>
  <c r="AT272" i="1" s="1"/>
  <c r="AR274" i="1"/>
  <c r="AT274" i="1" s="1"/>
  <c r="AR278" i="1"/>
  <c r="AQ278" i="1" s="1"/>
  <c r="AR342" i="1"/>
  <c r="AT342" i="1" s="1"/>
  <c r="AR338" i="1"/>
  <c r="AT338" i="1" s="1"/>
  <c r="AR373" i="1"/>
  <c r="AT373" i="1" s="1"/>
  <c r="AR370" i="1"/>
  <c r="AT370" i="1" s="1"/>
  <c r="AR339" i="1"/>
  <c r="AT339" i="1" s="1"/>
  <c r="AR371" i="1"/>
  <c r="AT371" i="1" s="1"/>
  <c r="AR348" i="1"/>
  <c r="AT348" i="1" s="1"/>
  <c r="AR360" i="1"/>
  <c r="AT360" i="1" s="1"/>
  <c r="AR369" i="1"/>
  <c r="AT369" i="1" s="1"/>
  <c r="AR353" i="1"/>
  <c r="AT353" i="1" s="1"/>
  <c r="AR337" i="1"/>
  <c r="AT337" i="1" s="1"/>
  <c r="AR357" i="1"/>
  <c r="AT357" i="1" s="1"/>
  <c r="AQ386" i="1"/>
  <c r="AQ381" i="1"/>
  <c r="AQ387" i="1"/>
  <c r="U381" i="1"/>
  <c r="AP381" i="1" s="1"/>
  <c r="AU381" i="1" s="1"/>
  <c r="AR429" i="1"/>
  <c r="AS429" i="1" s="1"/>
  <c r="AT429" i="1" s="1"/>
  <c r="AR428" i="1"/>
  <c r="AS428" i="1" s="1"/>
  <c r="AT428" i="1" s="1"/>
  <c r="AR440" i="1"/>
  <c r="AS440" i="1" s="1"/>
  <c r="AT440" i="1" s="1"/>
  <c r="U385" i="1"/>
  <c r="AP385" i="1" s="1"/>
  <c r="AU385" i="1" s="1"/>
  <c r="AR410" i="1"/>
  <c r="AT410" i="1" s="1"/>
  <c r="AR405" i="1"/>
  <c r="AT405" i="1" s="1"/>
  <c r="AR398" i="1"/>
  <c r="AT398" i="1" s="1"/>
  <c r="N74" i="1"/>
  <c r="AR235" i="1"/>
  <c r="AR270" i="1"/>
  <c r="AT270" i="1" s="1"/>
  <c r="AR276" i="1"/>
  <c r="AT276" i="1" s="1"/>
  <c r="AR65" i="1"/>
  <c r="AS65" i="1" s="1"/>
  <c r="AR343" i="1"/>
  <c r="AT343" i="1" s="1"/>
  <c r="AR336" i="1"/>
  <c r="AT336" i="1" s="1"/>
  <c r="U386" i="1"/>
  <c r="AP386" i="1" s="1"/>
  <c r="AU386" i="1" s="1"/>
  <c r="N69" i="1"/>
  <c r="N73" i="1"/>
  <c r="N77" i="1"/>
  <c r="AR230" i="1"/>
  <c r="AT230" i="1" s="1"/>
  <c r="AR234" i="1"/>
  <c r="AT234" i="1" s="1"/>
  <c r="AR238" i="1"/>
  <c r="AR242" i="1"/>
  <c r="AR245" i="1"/>
  <c r="AR264" i="1"/>
  <c r="AO256" i="1"/>
  <c r="M273" i="1"/>
  <c r="AR275" i="1"/>
  <c r="AT275" i="1" s="1"/>
  <c r="AR63" i="1"/>
  <c r="AS63" i="1" s="1"/>
  <c r="AR64" i="1"/>
  <c r="AS64" i="1" s="1"/>
  <c r="AR345" i="1"/>
  <c r="AT345" i="1" s="1"/>
  <c r="AR335" i="1"/>
  <c r="AT335" i="1" s="1"/>
  <c r="AR374" i="1"/>
  <c r="AT374" i="1" s="1"/>
  <c r="AR375" i="1"/>
  <c r="AT375" i="1" s="1"/>
  <c r="AR344" i="1"/>
  <c r="AT344" i="1" s="1"/>
  <c r="AR372" i="1"/>
  <c r="AT372" i="1" s="1"/>
  <c r="AR366" i="1"/>
  <c r="AT366" i="1" s="1"/>
  <c r="AR359" i="1"/>
  <c r="AT359" i="1" s="1"/>
  <c r="AR349" i="1"/>
  <c r="AT349" i="1" s="1"/>
  <c r="AR378" i="1"/>
  <c r="AT378" i="1" s="1"/>
  <c r="U382" i="1"/>
  <c r="AP382" i="1" s="1"/>
  <c r="AU382" i="1" s="1"/>
  <c r="U380" i="1"/>
  <c r="AP380" i="1" s="1"/>
  <c r="AU380" i="1" s="1"/>
  <c r="U387" i="1"/>
  <c r="AP387" i="1" s="1"/>
  <c r="AU387" i="1" s="1"/>
  <c r="AQ383" i="1"/>
  <c r="U379" i="1"/>
  <c r="AP379" i="1" s="1"/>
  <c r="AU379" i="1" s="1"/>
  <c r="AR430" i="1"/>
  <c r="AS430" i="1" s="1"/>
  <c r="AT430" i="1" s="1"/>
  <c r="AR403" i="1"/>
  <c r="AT403" i="1" s="1"/>
  <c r="AR432" i="1"/>
  <c r="AS432" i="1" s="1"/>
  <c r="AT432" i="1" s="1"/>
  <c r="AR431" i="1"/>
  <c r="AS431" i="1" s="1"/>
  <c r="AT431" i="1" s="1"/>
  <c r="AR407" i="1"/>
  <c r="AT407" i="1" s="1"/>
  <c r="AQ388" i="1"/>
  <c r="AR408" i="1"/>
  <c r="AT408" i="1" s="1"/>
  <c r="AR397" i="1"/>
  <c r="AT397" i="1" s="1"/>
  <c r="AM79" i="1"/>
  <c r="AR75" i="1"/>
  <c r="AM75" i="1"/>
  <c r="AR66" i="1"/>
  <c r="AR72" i="1"/>
  <c r="AM72" i="1"/>
  <c r="AR68" i="1"/>
  <c r="AM68" i="1"/>
  <c r="AM78" i="1"/>
  <c r="AR78" i="1"/>
  <c r="AM69" i="1"/>
  <c r="AR69" i="1"/>
  <c r="AM77" i="1"/>
  <c r="AR77" i="1"/>
  <c r="AR71" i="1"/>
  <c r="AM71" i="1"/>
  <c r="AR67" i="1"/>
  <c r="AM67" i="1"/>
  <c r="AM73" i="1"/>
  <c r="AR73" i="1"/>
  <c r="AR76" i="1"/>
  <c r="AM76" i="1"/>
  <c r="AM70" i="1"/>
  <c r="AR70" i="1"/>
  <c r="AM74" i="1"/>
  <c r="AR74" i="1"/>
  <c r="AR44" i="1"/>
  <c r="AR50" i="1"/>
  <c r="AR259" i="1"/>
  <c r="AT259" i="1" s="1"/>
  <c r="AO218" i="1"/>
  <c r="AV218" i="1"/>
  <c r="AO223" i="1"/>
  <c r="AV223" i="1"/>
  <c r="AO227" i="1"/>
  <c r="AV227" i="1"/>
  <c r="AO236" i="1"/>
  <c r="AV236" i="1"/>
  <c r="AO240" i="1"/>
  <c r="AV240" i="1"/>
  <c r="AO253" i="1"/>
  <c r="AV253" i="1"/>
  <c r="AO219" i="1"/>
  <c r="AV219" i="1"/>
  <c r="AO228" i="1"/>
  <c r="AV228" i="1"/>
  <c r="AO237" i="1"/>
  <c r="AV237" i="1"/>
  <c r="AO246" i="1"/>
  <c r="AV246" i="1"/>
  <c r="AO265" i="1"/>
  <c r="AV265" i="1"/>
  <c r="AO212" i="1"/>
  <c r="AV212" i="1"/>
  <c r="AO216" i="1"/>
  <c r="AV216" i="1"/>
  <c r="AO220" i="1"/>
  <c r="AV220" i="1"/>
  <c r="AO225" i="1"/>
  <c r="AV225" i="1"/>
  <c r="AO230" i="1"/>
  <c r="AV230" i="1"/>
  <c r="AO234" i="1"/>
  <c r="AV234" i="1"/>
  <c r="AO238" i="1"/>
  <c r="AV238" i="1"/>
  <c r="AO242" i="1"/>
  <c r="AV242" i="1"/>
  <c r="AO247" i="1"/>
  <c r="AV247" i="1"/>
  <c r="AO255" i="1"/>
  <c r="AV255" i="1"/>
  <c r="AO262" i="1"/>
  <c r="AV262" i="1"/>
  <c r="AO249" i="1"/>
  <c r="AV249" i="1"/>
  <c r="AO258" i="1"/>
  <c r="AV258" i="1"/>
  <c r="AR261" i="1"/>
  <c r="AR252" i="1"/>
  <c r="AT252" i="1" s="1"/>
  <c r="AQ265" i="1"/>
  <c r="AO214" i="1"/>
  <c r="AV214" i="1"/>
  <c r="AO232" i="1"/>
  <c r="AV232" i="1"/>
  <c r="AO245" i="1"/>
  <c r="AV245" i="1"/>
  <c r="AO260" i="1"/>
  <c r="AV260" i="1"/>
  <c r="AO264" i="1"/>
  <c r="AV264" i="1"/>
  <c r="AO251" i="1"/>
  <c r="AV251" i="1"/>
  <c r="AO222" i="1"/>
  <c r="AV222" i="1"/>
  <c r="AO270" i="1"/>
  <c r="AO215" i="1"/>
  <c r="AV215" i="1"/>
  <c r="AO224" i="1"/>
  <c r="AV224" i="1"/>
  <c r="AO233" i="1"/>
  <c r="AV233" i="1"/>
  <c r="AO241" i="1"/>
  <c r="AV241" i="1"/>
  <c r="AO254" i="1"/>
  <c r="AV254" i="1"/>
  <c r="AO261" i="1"/>
  <c r="AV261" i="1"/>
  <c r="AO252" i="1"/>
  <c r="AV252" i="1"/>
  <c r="AO213" i="1"/>
  <c r="AV213" i="1"/>
  <c r="AO217" i="1"/>
  <c r="AV217" i="1"/>
  <c r="AO221" i="1"/>
  <c r="AV221" i="1"/>
  <c r="AO226" i="1"/>
  <c r="AV226" i="1"/>
  <c r="AO231" i="1"/>
  <c r="AV231" i="1"/>
  <c r="AO235" i="1"/>
  <c r="AV235" i="1"/>
  <c r="AO239" i="1"/>
  <c r="AV239" i="1"/>
  <c r="AO243" i="1"/>
  <c r="AV243" i="1"/>
  <c r="AO244" i="1"/>
  <c r="AV244" i="1"/>
  <c r="AO248" i="1"/>
  <c r="AV248" i="1"/>
  <c r="AO257" i="1"/>
  <c r="AV257" i="1"/>
  <c r="AO263" i="1"/>
  <c r="AV263" i="1"/>
  <c r="AO250" i="1"/>
  <c r="AV250" i="1"/>
  <c r="AO259" i="1"/>
  <c r="AV259" i="1"/>
  <c r="AR253" i="1"/>
  <c r="AT253" i="1" s="1"/>
  <c r="AR263" i="1"/>
  <c r="AT263" i="1" s="1"/>
  <c r="AR258" i="1"/>
  <c r="AR254" i="1"/>
  <c r="AT254" i="1" s="1"/>
  <c r="AR249" i="1"/>
  <c r="AT249" i="1" s="1"/>
  <c r="AR260" i="1"/>
  <c r="AT260" i="1" s="1"/>
  <c r="AR250" i="1"/>
  <c r="AT250" i="1" s="1"/>
  <c r="AR251" i="1"/>
  <c r="AR221" i="1"/>
  <c r="AT221" i="1" s="1"/>
  <c r="AR223" i="1"/>
  <c r="AT223" i="1" s="1"/>
  <c r="AR222" i="1"/>
  <c r="AR224" i="1"/>
  <c r="AT224" i="1" s="1"/>
  <c r="AR220" i="1"/>
  <c r="AR226" i="1"/>
  <c r="AR227" i="1"/>
  <c r="AT227" i="1" s="1"/>
  <c r="AR228" i="1"/>
  <c r="AT228" i="1" s="1"/>
  <c r="AR225" i="1"/>
  <c r="AR213" i="1"/>
  <c r="AR217" i="1"/>
  <c r="AR212" i="1"/>
  <c r="AT212" i="1" s="1"/>
  <c r="AR214" i="1"/>
  <c r="AR218" i="1"/>
  <c r="AR215" i="1"/>
  <c r="AR219" i="1"/>
  <c r="AR216" i="1"/>
  <c r="M271" i="1"/>
  <c r="M275" i="1"/>
  <c r="M277" i="1"/>
  <c r="M274" i="1"/>
  <c r="M278" i="1"/>
  <c r="M276" i="1"/>
  <c r="AT47" i="1" l="1"/>
  <c r="AT41" i="1"/>
  <c r="Y309" i="36"/>
  <c r="AT48" i="1"/>
  <c r="AT58" i="1"/>
  <c r="AT49" i="1"/>
  <c r="Y423" i="36"/>
  <c r="AT165" i="1"/>
  <c r="AT201" i="1"/>
  <c r="AT45" i="1"/>
  <c r="AT161" i="1"/>
  <c r="Y22" i="36"/>
  <c r="X164" i="36"/>
  <c r="Q276" i="36"/>
  <c r="T348" i="36"/>
  <c r="T338" i="36"/>
  <c r="T164" i="36"/>
  <c r="X438" i="36"/>
  <c r="AL438" i="36" s="1"/>
  <c r="W434" i="36"/>
  <c r="U432" i="35"/>
  <c r="D440" i="38"/>
  <c r="Q251" i="36"/>
  <c r="X437" i="36"/>
  <c r="AL437" i="36" s="1"/>
  <c r="V381" i="36"/>
  <c r="T379" i="35"/>
  <c r="C387" i="38"/>
  <c r="E387" i="38" s="1"/>
  <c r="T167" i="36"/>
  <c r="X353" i="36"/>
  <c r="AL353" i="36" s="1"/>
  <c r="X378" i="36"/>
  <c r="AL378" i="36" s="1"/>
  <c r="X135" i="36"/>
  <c r="X225" i="36"/>
  <c r="AN225" i="36" s="1"/>
  <c r="W381" i="36"/>
  <c r="U379" i="35"/>
  <c r="D387" i="38"/>
  <c r="X352" i="36"/>
  <c r="AL352" i="36" s="1"/>
  <c r="X405" i="36"/>
  <c r="T365" i="36"/>
  <c r="AT152" i="1"/>
  <c r="W435" i="36"/>
  <c r="U433" i="35"/>
  <c r="D441" i="38"/>
  <c r="Q261" i="36"/>
  <c r="T175" i="36"/>
  <c r="Q233" i="36"/>
  <c r="Q256" i="36"/>
  <c r="Q248" i="36"/>
  <c r="T207" i="36"/>
  <c r="AQ316" i="36"/>
  <c r="Y316" i="36"/>
  <c r="AH334" i="36"/>
  <c r="Y334" i="36"/>
  <c r="Y18" i="36"/>
  <c r="AF18" i="36"/>
  <c r="AC281" i="36"/>
  <c r="X400" i="36"/>
  <c r="AK400" i="36" s="1"/>
  <c r="X412" i="36"/>
  <c r="P75" i="36"/>
  <c r="X165" i="36"/>
  <c r="W430" i="36"/>
  <c r="U428" i="35"/>
  <c r="D436" i="38"/>
  <c r="V282" i="36"/>
  <c r="T280" i="35"/>
  <c r="C288" i="38"/>
  <c r="E288" i="38" s="1"/>
  <c r="Q238" i="36"/>
  <c r="V59" i="36"/>
  <c r="T57" i="35"/>
  <c r="C65" i="38"/>
  <c r="E65" i="38" s="1"/>
  <c r="T173" i="36"/>
  <c r="T204" i="36"/>
  <c r="X224" i="36"/>
  <c r="AN224" i="36" s="1"/>
  <c r="X379" i="36"/>
  <c r="AL379" i="36" s="1"/>
  <c r="X399" i="36"/>
  <c r="AK399" i="36" s="1"/>
  <c r="V230" i="36"/>
  <c r="T228" i="35"/>
  <c r="C236" i="38"/>
  <c r="E236" i="38" s="1"/>
  <c r="X359" i="36"/>
  <c r="AL359" i="36" s="1"/>
  <c r="X364" i="36"/>
  <c r="AL364" i="36" s="1"/>
  <c r="T347" i="36"/>
  <c r="W432" i="36"/>
  <c r="U430" i="35"/>
  <c r="D438" i="38"/>
  <c r="V54" i="36"/>
  <c r="T52" i="35"/>
  <c r="C60" i="38"/>
  <c r="E60" i="38" s="1"/>
  <c r="T198" i="36"/>
  <c r="X222" i="36"/>
  <c r="AN222" i="36" s="1"/>
  <c r="X350" i="36"/>
  <c r="AL350" i="36" s="1"/>
  <c r="X406" i="36"/>
  <c r="P77" i="36"/>
  <c r="X342" i="36"/>
  <c r="AL342" i="36" s="1"/>
  <c r="X351" i="36"/>
  <c r="AL351" i="36" s="1"/>
  <c r="T354" i="36"/>
  <c r="W335" i="36"/>
  <c r="U333" i="35"/>
  <c r="D341" i="38"/>
  <c r="V55" i="36"/>
  <c r="T53" i="35"/>
  <c r="C61" i="38"/>
  <c r="E61" i="38" s="1"/>
  <c r="T153" i="36"/>
  <c r="T382" i="36"/>
  <c r="Q243" i="36"/>
  <c r="Y419" i="36"/>
  <c r="AK419" i="36"/>
  <c r="Y29" i="36"/>
  <c r="AF29" i="36"/>
  <c r="Y393" i="36"/>
  <c r="AC393" i="36"/>
  <c r="AC396" i="36"/>
  <c r="Y396" i="36"/>
  <c r="AC280" i="36"/>
  <c r="AK416" i="36"/>
  <c r="Y416" i="36"/>
  <c r="Y23" i="36"/>
  <c r="AF23" i="36"/>
  <c r="X250" i="36"/>
  <c r="AP250" i="36" s="1"/>
  <c r="Y12" i="36"/>
  <c r="AF12" i="36"/>
  <c r="AF8" i="36"/>
  <c r="Y8" i="36"/>
  <c r="AC284" i="36"/>
  <c r="Y30" i="36"/>
  <c r="AF30" i="36"/>
  <c r="AF16" i="36"/>
  <c r="Y16" i="36"/>
  <c r="X349" i="36"/>
  <c r="AL349" i="36" s="1"/>
  <c r="W383" i="36"/>
  <c r="U381" i="35"/>
  <c r="D389" i="38"/>
  <c r="T177" i="36"/>
  <c r="W386" i="36"/>
  <c r="U384" i="35"/>
  <c r="D392" i="38"/>
  <c r="AT281" i="1"/>
  <c r="T134" i="36"/>
  <c r="X261" i="36"/>
  <c r="AQ261" i="36" s="1"/>
  <c r="X441" i="36"/>
  <c r="AL441" i="36" s="1"/>
  <c r="Q224" i="36"/>
  <c r="AF15" i="36"/>
  <c r="Y15" i="36"/>
  <c r="X272" i="36"/>
  <c r="AK272" i="36" s="1"/>
  <c r="T380" i="36"/>
  <c r="Q263" i="36"/>
  <c r="AF20" i="36"/>
  <c r="Y20" i="36"/>
  <c r="Y310" i="36"/>
  <c r="AG310" i="36"/>
  <c r="X375" i="36"/>
  <c r="AL375" i="36" s="1"/>
  <c r="W382" i="36"/>
  <c r="U380" i="35"/>
  <c r="D388" i="38"/>
  <c r="X363" i="36"/>
  <c r="AL363" i="36" s="1"/>
  <c r="T356" i="36"/>
  <c r="T344" i="36"/>
  <c r="X294" i="36"/>
  <c r="T143" i="36"/>
  <c r="Q250" i="36"/>
  <c r="Q235" i="36"/>
  <c r="Q222" i="36"/>
  <c r="T141" i="36"/>
  <c r="AK417" i="36"/>
  <c r="Y417" i="36"/>
  <c r="Y35" i="36"/>
  <c r="AG35" i="36"/>
  <c r="X166" i="36"/>
  <c r="T132" i="36"/>
  <c r="X202" i="36"/>
  <c r="X377" i="36"/>
  <c r="AL377" i="36" s="1"/>
  <c r="T370" i="36"/>
  <c r="T197" i="36"/>
  <c r="T388" i="36"/>
  <c r="T363" i="36"/>
  <c r="X253" i="36"/>
  <c r="AP253" i="36" s="1"/>
  <c r="T345" i="36"/>
  <c r="V305" i="36"/>
  <c r="T303" i="35"/>
  <c r="C311" i="38"/>
  <c r="E311" i="38" s="1"/>
  <c r="X429" i="36"/>
  <c r="AL429" i="36" s="1"/>
  <c r="X366" i="36"/>
  <c r="AL366" i="36" s="1"/>
  <c r="X430" i="36"/>
  <c r="AL430" i="36" s="1"/>
  <c r="T386" i="36"/>
  <c r="X336" i="36"/>
  <c r="AL336" i="36" s="1"/>
  <c r="T353" i="36"/>
  <c r="T208" i="36"/>
  <c r="T188" i="36"/>
  <c r="X346" i="36"/>
  <c r="AL346" i="36" s="1"/>
  <c r="AT61" i="1"/>
  <c r="V294" i="36"/>
  <c r="T292" i="35"/>
  <c r="C300" i="38"/>
  <c r="E300" i="38" s="1"/>
  <c r="Q242" i="36"/>
  <c r="T174" i="36"/>
  <c r="V46" i="36"/>
  <c r="T44" i="35"/>
  <c r="C52" i="38"/>
  <c r="E52" i="38" s="1"/>
  <c r="Q255" i="36"/>
  <c r="Y34" i="36"/>
  <c r="AF34" i="36"/>
  <c r="AG38" i="36"/>
  <c r="Y38" i="36"/>
  <c r="AC283" i="36"/>
  <c r="T366" i="36"/>
  <c r="P72" i="36"/>
  <c r="W385" i="36"/>
  <c r="U383" i="35"/>
  <c r="D391" i="38"/>
  <c r="X369" i="36"/>
  <c r="AL369" i="36" s="1"/>
  <c r="T182" i="36"/>
  <c r="X401" i="36"/>
  <c r="AK401" i="36" s="1"/>
  <c r="X345" i="36"/>
  <c r="AL345" i="36" s="1"/>
  <c r="T346" i="36"/>
  <c r="X305" i="36"/>
  <c r="AP305" i="36" s="1"/>
  <c r="T145" i="36"/>
  <c r="V40" i="36"/>
  <c r="T38" i="35"/>
  <c r="C46" i="38"/>
  <c r="E46" i="38" s="1"/>
  <c r="Q237" i="36"/>
  <c r="Q249" i="36"/>
  <c r="V388" i="36"/>
  <c r="T386" i="35"/>
  <c r="C394" i="38"/>
  <c r="E394" i="38" s="1"/>
  <c r="T369" i="36"/>
  <c r="T130" i="36"/>
  <c r="V63" i="36"/>
  <c r="T61" i="35"/>
  <c r="C69" i="38"/>
  <c r="E69" i="38" s="1"/>
  <c r="V387" i="36"/>
  <c r="T385" i="35"/>
  <c r="C393" i="38"/>
  <c r="E393" i="38" s="1"/>
  <c r="T379" i="36"/>
  <c r="T375" i="36"/>
  <c r="AT39" i="1"/>
  <c r="X335" i="36"/>
  <c r="AL335" i="36" s="1"/>
  <c r="X178" i="36"/>
  <c r="T178" i="36"/>
  <c r="Q252" i="36"/>
  <c r="T183" i="36"/>
  <c r="T131" i="36"/>
  <c r="T158" i="36"/>
  <c r="T168" i="36"/>
  <c r="Q216" i="36"/>
  <c r="Y21" i="36"/>
  <c r="AF21" i="36"/>
  <c r="AF33" i="36"/>
  <c r="Y33" i="36"/>
  <c r="P76" i="36"/>
  <c r="T184" i="36"/>
  <c r="T355" i="36"/>
  <c r="X411" i="36"/>
  <c r="X367" i="36"/>
  <c r="AL367" i="36" s="1"/>
  <c r="X148" i="36"/>
  <c r="T142" i="36"/>
  <c r="Q239" i="36"/>
  <c r="T361" i="36"/>
  <c r="V53" i="36"/>
  <c r="T51" i="35"/>
  <c r="C59" i="38"/>
  <c r="E59" i="38" s="1"/>
  <c r="X255" i="36"/>
  <c r="AK255" i="36" s="1"/>
  <c r="W384" i="36"/>
  <c r="U382" i="35"/>
  <c r="D390" i="38"/>
  <c r="V57" i="36"/>
  <c r="T55" i="35"/>
  <c r="C63" i="38"/>
  <c r="E63" i="38" s="1"/>
  <c r="V382" i="36"/>
  <c r="T380" i="35"/>
  <c r="C388" i="38"/>
  <c r="E388" i="38" s="1"/>
  <c r="T351" i="36"/>
  <c r="Q277" i="36"/>
  <c r="Q228" i="36"/>
  <c r="T162" i="36"/>
  <c r="Q264" i="36"/>
  <c r="T190" i="36"/>
  <c r="V41" i="36"/>
  <c r="T39" i="35"/>
  <c r="C47" i="38"/>
  <c r="E47" i="38" s="1"/>
  <c r="Y289" i="36"/>
  <c r="Y311" i="36"/>
  <c r="AQ311" i="36"/>
  <c r="T157" i="36"/>
  <c r="X360" i="36"/>
  <c r="AL360" i="36" s="1"/>
  <c r="X266" i="36"/>
  <c r="AQ266" i="36" s="1"/>
  <c r="AC39" i="36"/>
  <c r="X373" i="36"/>
  <c r="AL373" i="36" s="1"/>
  <c r="T342" i="36"/>
  <c r="V61" i="36"/>
  <c r="T59" i="35"/>
  <c r="C67" i="38"/>
  <c r="E67" i="38" s="1"/>
  <c r="T364" i="36"/>
  <c r="V62" i="36"/>
  <c r="T60" i="35"/>
  <c r="C68" i="38"/>
  <c r="E68" i="38" s="1"/>
  <c r="T203" i="36"/>
  <c r="X264" i="36"/>
  <c r="AQ264" i="36" s="1"/>
  <c r="X356" i="36"/>
  <c r="AL356" i="36" s="1"/>
  <c r="V47" i="36"/>
  <c r="T45" i="35"/>
  <c r="C53" i="38"/>
  <c r="E53" i="38" s="1"/>
  <c r="T378" i="36"/>
  <c r="V58" i="36"/>
  <c r="T56" i="35"/>
  <c r="C64" i="38"/>
  <c r="E64" i="38" s="1"/>
  <c r="X358" i="36"/>
  <c r="AL358" i="36" s="1"/>
  <c r="P79" i="36"/>
  <c r="T358" i="36"/>
  <c r="T350" i="36"/>
  <c r="AT157" i="1"/>
  <c r="X281" i="36"/>
  <c r="AK281" i="36" s="1"/>
  <c r="W403" i="36"/>
  <c r="U401" i="35"/>
  <c r="D409" i="38"/>
  <c r="T212" i="36"/>
  <c r="Q279" i="36"/>
  <c r="X276" i="36"/>
  <c r="AK276" i="36" s="1"/>
  <c r="X338" i="36"/>
  <c r="AL338" i="36" s="1"/>
  <c r="P71" i="36"/>
  <c r="X237" i="36"/>
  <c r="AN237" i="36" s="1"/>
  <c r="T341" i="36"/>
  <c r="T360" i="36"/>
  <c r="AT283" i="1"/>
  <c r="W400" i="36"/>
  <c r="U398" i="35"/>
  <c r="D406" i="38"/>
  <c r="T206" i="36"/>
  <c r="T191" i="36"/>
  <c r="T187" i="36"/>
  <c r="T146" i="36"/>
  <c r="Q223" i="36"/>
  <c r="Q257" i="36"/>
  <c r="T389" i="36"/>
  <c r="T189" i="36"/>
  <c r="AQ314" i="36"/>
  <c r="Y314" i="36"/>
  <c r="AC391" i="36"/>
  <c r="Y391" i="36"/>
  <c r="Y17" i="36"/>
  <c r="AF17" i="36"/>
  <c r="AC267" i="36"/>
  <c r="Y267" i="36"/>
  <c r="AC397" i="36"/>
  <c r="Y397" i="36"/>
  <c r="P73" i="36"/>
  <c r="X251" i="36"/>
  <c r="AP251" i="36" s="1"/>
  <c r="V266" i="36"/>
  <c r="T264" i="35"/>
  <c r="C272" i="38"/>
  <c r="E272" i="38" s="1"/>
  <c r="P69" i="36"/>
  <c r="T171" i="36"/>
  <c r="T166" i="36"/>
  <c r="T156" i="36"/>
  <c r="X274" i="36"/>
  <c r="AK274" i="36" s="1"/>
  <c r="Q253" i="36"/>
  <c r="T381" i="36"/>
  <c r="T372" i="36"/>
  <c r="V257" i="36"/>
  <c r="T255" i="35"/>
  <c r="C263" i="38"/>
  <c r="E263" i="38" s="1"/>
  <c r="T144" i="36"/>
  <c r="T181" i="36"/>
  <c r="X254" i="36"/>
  <c r="AK254" i="36" s="1"/>
  <c r="Q275" i="36"/>
  <c r="Q274" i="36"/>
  <c r="X354" i="36"/>
  <c r="AL354" i="36" s="1"/>
  <c r="X402" i="36"/>
  <c r="AK402" i="36" s="1"/>
  <c r="X233" i="36"/>
  <c r="AN233" i="36" s="1"/>
  <c r="T337" i="36"/>
  <c r="T367" i="36"/>
  <c r="AT156" i="1"/>
  <c r="V280" i="36"/>
  <c r="T278" i="35"/>
  <c r="C286" i="38"/>
  <c r="E286" i="38" s="1"/>
  <c r="W349" i="36"/>
  <c r="U347" i="35"/>
  <c r="D355" i="38"/>
  <c r="Q241" i="36"/>
  <c r="T149" i="36"/>
  <c r="Q226" i="36"/>
  <c r="V49" i="36"/>
  <c r="T47" i="35"/>
  <c r="C55" i="38"/>
  <c r="E55" i="38" s="1"/>
  <c r="T186" i="36"/>
  <c r="T196" i="36"/>
  <c r="Y26" i="36"/>
  <c r="AF26" i="36"/>
  <c r="Y414" i="36"/>
  <c r="AK414" i="36"/>
  <c r="Y32" i="36"/>
  <c r="AF32" i="36"/>
  <c r="AQ312" i="36"/>
  <c r="Y312" i="36"/>
  <c r="X361" i="36"/>
  <c r="AL361" i="36" s="1"/>
  <c r="T135" i="36"/>
  <c r="Q231" i="36"/>
  <c r="T339" i="36"/>
  <c r="X365" i="36"/>
  <c r="AL365" i="36" s="1"/>
  <c r="T201" i="36"/>
  <c r="T194" i="36"/>
  <c r="AQ313" i="36"/>
  <c r="Y313" i="36"/>
  <c r="Q234" i="36"/>
  <c r="X278" i="36"/>
  <c r="AK278" i="36" s="1"/>
  <c r="AT282" i="1"/>
  <c r="T179" i="36"/>
  <c r="T163" i="36"/>
  <c r="X435" i="36"/>
  <c r="AL435" i="36" s="1"/>
  <c r="AF10" i="36"/>
  <c r="Y10" i="36"/>
  <c r="X376" i="36"/>
  <c r="AL376" i="36" s="1"/>
  <c r="T147" i="36"/>
  <c r="Y427" i="36"/>
  <c r="Q236" i="36"/>
  <c r="T155" i="36"/>
  <c r="Q278" i="36"/>
  <c r="X370" i="36"/>
  <c r="AL370" i="36" s="1"/>
  <c r="X407" i="36"/>
  <c r="P80" i="36"/>
  <c r="T343" i="36"/>
  <c r="T373" i="36"/>
  <c r="AT160" i="1"/>
  <c r="X49" i="36"/>
  <c r="W402" i="36"/>
  <c r="U400" i="35"/>
  <c r="D408" i="38"/>
  <c r="W440" i="36"/>
  <c r="U438" i="35"/>
  <c r="D446" i="38"/>
  <c r="Q232" i="36"/>
  <c r="V48" i="36"/>
  <c r="T46" i="35"/>
  <c r="C54" i="38"/>
  <c r="E54" i="38" s="1"/>
  <c r="T161" i="36"/>
  <c r="T211" i="36"/>
  <c r="Q247" i="36"/>
  <c r="Y6" i="36"/>
  <c r="AF6" i="36"/>
  <c r="Y19" i="36"/>
  <c r="AF19" i="36"/>
  <c r="Y428" i="36"/>
  <c r="Y24" i="36"/>
  <c r="AF24" i="36"/>
  <c r="AG37" i="36"/>
  <c r="Y37" i="36"/>
  <c r="Y36" i="36"/>
  <c r="AG36" i="36"/>
  <c r="Y13" i="36"/>
  <c r="AF13" i="36"/>
  <c r="Y9" i="36"/>
  <c r="AF9" i="36"/>
  <c r="Y269" i="36"/>
  <c r="AC269" i="36"/>
  <c r="Y11" i="36"/>
  <c r="AF11" i="36"/>
  <c r="X162" i="36"/>
  <c r="Y318" i="36"/>
  <c r="AQ318" i="36"/>
  <c r="AC282" i="36"/>
  <c r="AK415" i="36"/>
  <c r="Y415" i="36"/>
  <c r="AQ317" i="36"/>
  <c r="Y317" i="36"/>
  <c r="AK418" i="36"/>
  <c r="Y418" i="36"/>
  <c r="Q218" i="36"/>
  <c r="P68" i="36"/>
  <c r="W433" i="36"/>
  <c r="U431" i="35"/>
  <c r="D439" i="38"/>
  <c r="W401" i="36"/>
  <c r="U399" i="35"/>
  <c r="D407" i="38"/>
  <c r="V44" i="36"/>
  <c r="T42" i="35"/>
  <c r="C50" i="38"/>
  <c r="E50" i="38" s="1"/>
  <c r="X235" i="36"/>
  <c r="AN235" i="36" s="1"/>
  <c r="W429" i="36"/>
  <c r="U427" i="35"/>
  <c r="D435" i="38"/>
  <c r="X341" i="36"/>
  <c r="AL341" i="36" s="1"/>
  <c r="Q245" i="36"/>
  <c r="X343" i="36"/>
  <c r="Q240" i="36"/>
  <c r="T152" i="36"/>
  <c r="T139" i="36"/>
  <c r="AC394" i="36"/>
  <c r="Y394" i="36"/>
  <c r="AC51" i="36"/>
  <c r="X432" i="36"/>
  <c r="AL432" i="36" s="1"/>
  <c r="P70" i="36"/>
  <c r="V279" i="36"/>
  <c r="T277" i="35"/>
  <c r="C285" i="38"/>
  <c r="E285" i="38" s="1"/>
  <c r="V386" i="36"/>
  <c r="T384" i="35"/>
  <c r="C392" i="38"/>
  <c r="E392" i="38" s="1"/>
  <c r="X347" i="36"/>
  <c r="AL347" i="36" s="1"/>
  <c r="T357" i="36"/>
  <c r="X42" i="36"/>
  <c r="V291" i="36"/>
  <c r="T289" i="35"/>
  <c r="C297" i="38"/>
  <c r="E297" i="38" s="1"/>
  <c r="Q259" i="36"/>
  <c r="T154" i="36"/>
  <c r="Q262" i="36"/>
  <c r="T199" i="36"/>
  <c r="Y25" i="36"/>
  <c r="AF25" i="36"/>
  <c r="W441" i="36"/>
  <c r="U439" i="35"/>
  <c r="D447" i="38"/>
  <c r="Q272" i="36"/>
  <c r="T195" i="36"/>
  <c r="AT42" i="1"/>
  <c r="T180" i="36"/>
  <c r="X46" i="36"/>
  <c r="X398" i="36"/>
  <c r="AK398" i="36" s="1"/>
  <c r="AT159" i="1"/>
  <c r="Q260" i="36"/>
  <c r="X374" i="36"/>
  <c r="AL374" i="36" s="1"/>
  <c r="AT153" i="1"/>
  <c r="X439" i="36"/>
  <c r="AL439" i="36" s="1"/>
  <c r="T362" i="36"/>
  <c r="Q227" i="36"/>
  <c r="T383" i="36"/>
  <c r="X433" i="36"/>
  <c r="AL433" i="36" s="1"/>
  <c r="T150" i="36"/>
  <c r="Q220" i="36"/>
  <c r="T200" i="36"/>
  <c r="Y31" i="36"/>
  <c r="AF31" i="36"/>
  <c r="AD61" i="36"/>
  <c r="Y392" i="36"/>
  <c r="AC392" i="36"/>
  <c r="Q221" i="36"/>
  <c r="X372" i="36"/>
  <c r="AL372" i="36" s="1"/>
  <c r="T136" i="36"/>
  <c r="T133" i="36"/>
  <c r="X340" i="36"/>
  <c r="AL340" i="36" s="1"/>
  <c r="T165" i="36"/>
  <c r="X371" i="36"/>
  <c r="AL371" i="36" s="1"/>
  <c r="X231" i="36"/>
  <c r="AN231" i="36" s="1"/>
  <c r="V389" i="36"/>
  <c r="T387" i="35"/>
  <c r="C395" i="38"/>
  <c r="E395" i="38" s="1"/>
  <c r="AT43" i="1"/>
  <c r="T205" i="36"/>
  <c r="X213" i="36"/>
  <c r="AN213" i="36" s="1"/>
  <c r="P74" i="36"/>
  <c r="V303" i="36"/>
  <c r="T301" i="35"/>
  <c r="C309" i="38"/>
  <c r="E309" i="38" s="1"/>
  <c r="AT155" i="1"/>
  <c r="X404" i="36"/>
  <c r="X337" i="36"/>
  <c r="AL337" i="36" s="1"/>
  <c r="X273" i="36"/>
  <c r="AK273" i="36" s="1"/>
  <c r="W389" i="36"/>
  <c r="U387" i="35"/>
  <c r="D395" i="38"/>
  <c r="X403" i="36"/>
  <c r="AK403" i="36" s="1"/>
  <c r="T377" i="36"/>
  <c r="AT151" i="1"/>
  <c r="W398" i="36"/>
  <c r="U396" i="35"/>
  <c r="D404" i="38"/>
  <c r="P67" i="36"/>
  <c r="T151" i="36"/>
  <c r="T202" i="36"/>
  <c r="Q265" i="36"/>
  <c r="Q219" i="36"/>
  <c r="V281" i="36"/>
  <c r="T279" i="35"/>
  <c r="C287" i="38"/>
  <c r="E287" i="38" s="1"/>
  <c r="Y424" i="36"/>
  <c r="T376" i="36"/>
  <c r="T148" i="36"/>
  <c r="T374" i="36"/>
  <c r="Q214" i="36"/>
  <c r="X436" i="36"/>
  <c r="AL436" i="36" s="1"/>
  <c r="AH303" i="36"/>
  <c r="V283" i="36"/>
  <c r="T281" i="35"/>
  <c r="C289" i="38"/>
  <c r="E289" i="38" s="1"/>
  <c r="T185" i="36"/>
  <c r="X339" i="36"/>
  <c r="AL339" i="36" s="1"/>
  <c r="T129" i="36"/>
  <c r="T385" i="36"/>
  <c r="X260" i="36"/>
  <c r="AK260" i="36" s="1"/>
  <c r="X47" i="36"/>
  <c r="X275" i="36"/>
  <c r="AK275" i="36" s="1"/>
  <c r="X303" i="36"/>
  <c r="AP303" i="36" s="1"/>
  <c r="X344" i="36"/>
  <c r="AL344" i="36" s="1"/>
  <c r="X355" i="36"/>
  <c r="AL355" i="36" s="1"/>
  <c r="X410" i="36"/>
  <c r="T340" i="36"/>
  <c r="AT154" i="1"/>
  <c r="U441" i="35"/>
  <c r="W443" i="36"/>
  <c r="D449" i="38"/>
  <c r="Q246" i="36"/>
  <c r="Q225" i="36"/>
  <c r="T384" i="36"/>
  <c r="T387" i="36"/>
  <c r="AC268" i="36"/>
  <c r="Y268" i="36"/>
  <c r="Y288" i="36"/>
  <c r="X50" i="36"/>
  <c r="V43" i="36"/>
  <c r="T41" i="35"/>
  <c r="C49" i="38"/>
  <c r="E49" i="38" s="1"/>
  <c r="Q244" i="36"/>
  <c r="T371" i="36"/>
  <c r="X41" i="36"/>
  <c r="V60" i="36"/>
  <c r="T58" i="35"/>
  <c r="C66" i="38"/>
  <c r="E66" i="38" s="1"/>
  <c r="T160" i="36"/>
  <c r="Q230" i="36"/>
  <c r="T159" i="36"/>
  <c r="X228" i="36"/>
  <c r="AN228" i="36" s="1"/>
  <c r="W380" i="36"/>
  <c r="U378" i="35"/>
  <c r="D386" i="38"/>
  <c r="X413" i="36"/>
  <c r="Q213" i="36"/>
  <c r="T176" i="36"/>
  <c r="T172" i="36"/>
  <c r="V50" i="36"/>
  <c r="T48" i="35"/>
  <c r="C56" i="38"/>
  <c r="E56" i="38" s="1"/>
  <c r="X362" i="36"/>
  <c r="AL362" i="36" s="1"/>
  <c r="AH305" i="36"/>
  <c r="Y305" i="36"/>
  <c r="Y27" i="36"/>
  <c r="AF27" i="36"/>
  <c r="W436" i="36"/>
  <c r="U434" i="35"/>
  <c r="D442" i="38"/>
  <c r="W230" i="36"/>
  <c r="U228" i="35"/>
  <c r="D236" i="38"/>
  <c r="T192" i="36"/>
  <c r="W399" i="36"/>
  <c r="U397" i="35"/>
  <c r="D405" i="38"/>
  <c r="Q217" i="36"/>
  <c r="X434" i="36"/>
  <c r="AL434" i="36" s="1"/>
  <c r="V380" i="36"/>
  <c r="T378" i="35"/>
  <c r="C386" i="38"/>
  <c r="E386" i="38" s="1"/>
  <c r="W444" i="36"/>
  <c r="U442" i="35"/>
  <c r="D450" i="38"/>
  <c r="W279" i="36"/>
  <c r="U277" i="35"/>
  <c r="D285" i="38"/>
  <c r="P78" i="36"/>
  <c r="T368" i="36"/>
  <c r="T210" i="36"/>
  <c r="T138" i="36"/>
  <c r="X408" i="36"/>
  <c r="W387" i="36"/>
  <c r="U385" i="35"/>
  <c r="D393" i="38"/>
  <c r="T352" i="36"/>
  <c r="Q271" i="36"/>
  <c r="X431" i="36"/>
  <c r="AL431" i="36" s="1"/>
  <c r="Q273" i="36"/>
  <c r="X348" i="36"/>
  <c r="AL348" i="36" s="1"/>
  <c r="T335" i="36"/>
  <c r="AT158" i="1"/>
  <c r="W438" i="36"/>
  <c r="U436" i="35"/>
  <c r="D444" i="38"/>
  <c r="V384" i="36"/>
  <c r="T382" i="35"/>
  <c r="C390" i="38"/>
  <c r="E390" i="38" s="1"/>
  <c r="X277" i="36"/>
  <c r="AK277" i="36" s="1"/>
  <c r="X368" i="36"/>
  <c r="AL368" i="36" s="1"/>
  <c r="X442" i="36"/>
  <c r="AL442" i="36" s="1"/>
  <c r="T336" i="36"/>
  <c r="AT162" i="1"/>
  <c r="W431" i="36"/>
  <c r="U429" i="35"/>
  <c r="D437" i="38"/>
  <c r="T137" i="36"/>
  <c r="T140" i="36"/>
  <c r="Q258" i="36"/>
  <c r="Y390" i="36"/>
  <c r="AC390" i="36"/>
  <c r="Y315" i="36"/>
  <c r="AQ315" i="36"/>
  <c r="Y421" i="36"/>
  <c r="X59" i="36"/>
  <c r="W442" i="36"/>
  <c r="U440" i="35"/>
  <c r="D448" i="38"/>
  <c r="V284" i="36"/>
  <c r="T282" i="35"/>
  <c r="C290" i="38"/>
  <c r="E290" i="38" s="1"/>
  <c r="X444" i="36"/>
  <c r="AL444" i="36" s="1"/>
  <c r="Q229" i="36"/>
  <c r="T359" i="36"/>
  <c r="Y395" i="36"/>
  <c r="AC395" i="36"/>
  <c r="V80" i="36"/>
  <c r="T78" i="35"/>
  <c r="C86" i="38"/>
  <c r="E86" i="38" s="1"/>
  <c r="Q215" i="36"/>
  <c r="AC270" i="36"/>
  <c r="Y270" i="36"/>
  <c r="X409" i="36"/>
  <c r="W439" i="36"/>
  <c r="U437" i="35"/>
  <c r="D445" i="38"/>
  <c r="X211" i="36"/>
  <c r="X440" i="36"/>
  <c r="AL440" i="36" s="1"/>
  <c r="T170" i="36"/>
  <c r="V383" i="36"/>
  <c r="T381" i="35"/>
  <c r="C389" i="38"/>
  <c r="E389" i="38" s="1"/>
  <c r="X229" i="36"/>
  <c r="AN229" i="36" s="1"/>
  <c r="W388" i="36"/>
  <c r="U386" i="35"/>
  <c r="D394" i="38"/>
  <c r="X271" i="36"/>
  <c r="AK271" i="36" s="1"/>
  <c r="X357" i="36"/>
  <c r="AL357" i="36" s="1"/>
  <c r="V385" i="36"/>
  <c r="T383" i="35"/>
  <c r="C391" i="38"/>
  <c r="E391" i="38" s="1"/>
  <c r="T349" i="36"/>
  <c r="X48" i="36"/>
  <c r="W437" i="36"/>
  <c r="U435" i="35"/>
  <c r="D443" i="38"/>
  <c r="Q254" i="36"/>
  <c r="T209" i="36"/>
  <c r="T193" i="36"/>
  <c r="V42" i="36"/>
  <c r="T40" i="35"/>
  <c r="C48" i="38"/>
  <c r="E48" i="38" s="1"/>
  <c r="T169" i="36"/>
  <c r="AF7" i="36"/>
  <c r="Y7" i="36"/>
  <c r="C13" i="42"/>
  <c r="F13" i="42"/>
  <c r="E13" i="42"/>
  <c r="D13" i="42"/>
  <c r="AT175" i="1"/>
  <c r="AT52" i="1"/>
  <c r="AT135" i="1"/>
  <c r="AT166" i="1"/>
  <c r="AT54" i="1"/>
  <c r="AQ55" i="1"/>
  <c r="AT55" i="1"/>
  <c r="AT53" i="1"/>
  <c r="AT203" i="1"/>
  <c r="AT207" i="1"/>
  <c r="AT206" i="1"/>
  <c r="AT174" i="1"/>
  <c r="AT189" i="1"/>
  <c r="AT187" i="1"/>
  <c r="AT190" i="1"/>
  <c r="I15" i="33"/>
  <c r="G15" i="33"/>
  <c r="R15" i="33"/>
  <c r="Y5" i="36"/>
  <c r="AT191" i="1"/>
  <c r="AT184" i="1"/>
  <c r="AT56" i="1"/>
  <c r="AT57" i="1"/>
  <c r="AT167" i="1"/>
  <c r="AT171" i="1"/>
  <c r="AT172" i="1"/>
  <c r="AT176" i="1"/>
  <c r="AT192" i="1"/>
  <c r="AT169" i="1"/>
  <c r="AT173" i="1"/>
  <c r="AT193" i="1"/>
  <c r="AT180" i="1"/>
  <c r="AT178" i="1"/>
  <c r="AT179" i="1"/>
  <c r="AT59" i="1"/>
  <c r="AT209" i="1"/>
  <c r="AT199" i="1"/>
  <c r="AT170" i="1"/>
  <c r="AT60" i="1"/>
  <c r="AT168" i="1"/>
  <c r="AT188" i="1"/>
  <c r="AT205" i="1"/>
  <c r="N238" i="1"/>
  <c r="AT198" i="1"/>
  <c r="AT139" i="1"/>
  <c r="AT202" i="1"/>
  <c r="AT211" i="1"/>
  <c r="AT196" i="1"/>
  <c r="N226" i="1"/>
  <c r="N239" i="1"/>
  <c r="P239" i="1" s="1"/>
  <c r="N221" i="1"/>
  <c r="AT195" i="1"/>
  <c r="AT182" i="1"/>
  <c r="AT181" i="1"/>
  <c r="E11" i="38"/>
  <c r="AT197" i="1"/>
  <c r="AT194" i="1"/>
  <c r="P276" i="1"/>
  <c r="P271" i="1"/>
  <c r="AT185" i="1"/>
  <c r="AT186" i="1"/>
  <c r="P275" i="1"/>
  <c r="AT183" i="1"/>
  <c r="P278" i="1"/>
  <c r="N241" i="1"/>
  <c r="P241" i="1" s="1"/>
  <c r="N244" i="1"/>
  <c r="P274" i="1"/>
  <c r="N234" i="1"/>
  <c r="P277" i="1"/>
  <c r="N220" i="1"/>
  <c r="N225" i="1"/>
  <c r="N217" i="1"/>
  <c r="N243" i="1"/>
  <c r="AX4" i="40" a="1"/>
  <c r="AX4" i="40" s="1"/>
  <c r="AW4" i="40" a="1"/>
  <c r="AW4" i="40" s="1"/>
  <c r="N232" i="1"/>
  <c r="N224" i="1"/>
  <c r="N216" i="1"/>
  <c r="P216" i="1" s="1"/>
  <c r="N233" i="1"/>
  <c r="N231" i="1"/>
  <c r="N240" i="1"/>
  <c r="N219" i="1"/>
  <c r="AF5" i="36"/>
  <c r="N236" i="1"/>
  <c r="N237" i="1"/>
  <c r="N222" i="1"/>
  <c r="N218" i="1"/>
  <c r="N229" i="1"/>
  <c r="N230" i="1"/>
  <c r="N223" i="1"/>
  <c r="G718" i="42"/>
  <c r="N214" i="1"/>
  <c r="N242" i="1"/>
  <c r="N228" i="1"/>
  <c r="P228" i="1" s="1"/>
  <c r="N235" i="1"/>
  <c r="N227" i="1"/>
  <c r="N215" i="1"/>
  <c r="N213" i="1"/>
  <c r="AT145" i="1"/>
  <c r="AT144" i="1"/>
  <c r="AT141" i="1"/>
  <c r="AT149" i="1"/>
  <c r="AT204" i="1"/>
  <c r="AT150" i="1"/>
  <c r="AT142" i="1"/>
  <c r="AT208" i="1"/>
  <c r="AT148" i="1"/>
  <c r="AT143" i="1"/>
  <c r="AT200" i="1"/>
  <c r="AT146" i="1"/>
  <c r="N212" i="1"/>
  <c r="AQ38" i="1"/>
  <c r="AT38" i="1"/>
  <c r="AT63" i="1"/>
  <c r="AT65" i="1"/>
  <c r="AT64" i="1"/>
  <c r="AT290" i="1"/>
  <c r="AS290" i="1"/>
  <c r="AU254" i="1"/>
  <c r="AU222" i="1"/>
  <c r="AU245" i="1"/>
  <c r="AU259" i="1"/>
  <c r="AU243" i="1"/>
  <c r="AU258" i="1"/>
  <c r="AU247" i="1"/>
  <c r="AU220" i="1"/>
  <c r="AU246" i="1"/>
  <c r="AU253" i="1"/>
  <c r="AU223" i="1"/>
  <c r="AU376" i="1"/>
  <c r="AU252" i="1"/>
  <c r="AU264" i="1"/>
  <c r="AU263" i="1"/>
  <c r="AU226" i="1"/>
  <c r="AU238" i="1"/>
  <c r="AU215" i="1"/>
  <c r="AU214" i="1"/>
  <c r="AU248" i="1"/>
  <c r="AU235" i="1"/>
  <c r="AU217" i="1"/>
  <c r="AU262" i="1"/>
  <c r="AU230" i="1"/>
  <c r="AU212" i="1"/>
  <c r="AU228" i="1"/>
  <c r="AU236" i="1"/>
  <c r="AU360" i="1"/>
  <c r="AU357" i="1"/>
  <c r="AU369" i="1"/>
  <c r="AU346" i="1"/>
  <c r="AU362" i="1"/>
  <c r="AU370" i="1"/>
  <c r="AU274" i="1"/>
  <c r="AU351" i="1"/>
  <c r="AU367" i="1"/>
  <c r="AU338" i="1"/>
  <c r="AU261" i="1"/>
  <c r="AU241" i="1"/>
  <c r="AU224" i="1"/>
  <c r="AU270" i="1"/>
  <c r="AU251" i="1"/>
  <c r="AU260" i="1"/>
  <c r="AU232" i="1"/>
  <c r="AU364" i="1"/>
  <c r="AU271" i="1"/>
  <c r="AU341" i="1"/>
  <c r="AU350" i="1"/>
  <c r="AU366" i="1"/>
  <c r="AU378" i="1"/>
  <c r="AU339" i="1"/>
  <c r="AU355" i="1"/>
  <c r="AU371" i="1"/>
  <c r="AU250" i="1"/>
  <c r="AU257" i="1"/>
  <c r="AU244" i="1"/>
  <c r="AU239" i="1"/>
  <c r="AU231" i="1"/>
  <c r="AU221" i="1"/>
  <c r="AU213" i="1"/>
  <c r="AU249" i="1"/>
  <c r="AU255" i="1"/>
  <c r="AU242" i="1"/>
  <c r="AU234" i="1"/>
  <c r="AU225" i="1"/>
  <c r="AU216" i="1"/>
  <c r="AU265" i="1"/>
  <c r="AU237" i="1"/>
  <c r="AU219" i="1"/>
  <c r="AU240" i="1"/>
  <c r="AU227" i="1"/>
  <c r="AU218" i="1"/>
  <c r="AU256" i="1"/>
  <c r="AU352" i="1"/>
  <c r="AU368" i="1"/>
  <c r="AU342" i="1"/>
  <c r="AU272" i="1"/>
  <c r="AU336" i="1"/>
  <c r="AU361" i="1"/>
  <c r="AU373" i="1"/>
  <c r="AU335" i="1"/>
  <c r="AU354" i="1"/>
  <c r="AU349" i="1"/>
  <c r="AU337" i="1"/>
  <c r="AU345" i="1"/>
  <c r="AU359" i="1"/>
  <c r="AU375" i="1"/>
  <c r="AU275" i="1"/>
  <c r="AU233" i="1"/>
  <c r="AU356" i="1"/>
  <c r="AU372" i="1"/>
  <c r="AU343" i="1"/>
  <c r="AU353" i="1"/>
  <c r="AU365" i="1"/>
  <c r="AU377" i="1"/>
  <c r="AU347" i="1"/>
  <c r="AU276" i="1"/>
  <c r="AU358" i="1"/>
  <c r="AU340" i="1"/>
  <c r="AU277" i="1"/>
  <c r="AU363" i="1"/>
  <c r="AU374" i="1"/>
  <c r="AU344" i="1"/>
  <c r="AU273" i="1"/>
  <c r="AT137" i="1"/>
  <c r="AT136" i="1"/>
  <c r="AT138" i="1"/>
  <c r="AT131" i="1"/>
  <c r="AT279" i="1"/>
  <c r="AQ51" i="1"/>
  <c r="AT51" i="1"/>
  <c r="AT133" i="1"/>
  <c r="AQ243" i="1"/>
  <c r="AT128" i="1"/>
  <c r="AT132" i="1"/>
  <c r="AT130" i="1"/>
  <c r="AQ334" i="1"/>
  <c r="U69" i="1"/>
  <c r="AP69" i="1" s="1"/>
  <c r="AU69" i="1" s="1"/>
  <c r="O79" i="1"/>
  <c r="AQ246" i="1"/>
  <c r="AQ365" i="1"/>
  <c r="AT62" i="1"/>
  <c r="AQ262" i="1"/>
  <c r="AQ264" i="1"/>
  <c r="U79" i="1"/>
  <c r="AP79" i="1" s="1"/>
  <c r="AU79" i="1" s="1"/>
  <c r="AT140" i="1"/>
  <c r="AT129" i="1"/>
  <c r="P270" i="1"/>
  <c r="AQ245" i="1"/>
  <c r="AQ231" i="1"/>
  <c r="AQ241" i="1"/>
  <c r="U71" i="1"/>
  <c r="AP71" i="1" s="1"/>
  <c r="AU71" i="1" s="1"/>
  <c r="AQ240" i="1"/>
  <c r="O71" i="1"/>
  <c r="AQ435" i="1"/>
  <c r="AQ242" i="1"/>
  <c r="U67" i="1"/>
  <c r="AP67" i="1" s="1"/>
  <c r="AU67" i="1" s="1"/>
  <c r="U273" i="1"/>
  <c r="AQ235" i="1"/>
  <c r="U75" i="1"/>
  <c r="AP75" i="1" s="1"/>
  <c r="AU75" i="1" s="1"/>
  <c r="O73" i="1"/>
  <c r="AQ261" i="1"/>
  <c r="U70" i="1"/>
  <c r="AP70" i="1" s="1"/>
  <c r="AU70" i="1" s="1"/>
  <c r="U72" i="1"/>
  <c r="AP72" i="1" s="1"/>
  <c r="AU72" i="1" s="1"/>
  <c r="AQ257" i="1"/>
  <c r="O70" i="1"/>
  <c r="AQ237" i="1"/>
  <c r="AQ44" i="1"/>
  <c r="AT44" i="1"/>
  <c r="AT381" i="1"/>
  <c r="AT278" i="1"/>
  <c r="AT229" i="1"/>
  <c r="AT251" i="1"/>
  <c r="AT245" i="1"/>
  <c r="AT231" i="1"/>
  <c r="AT213" i="1"/>
  <c r="AT244" i="1"/>
  <c r="AT241" i="1"/>
  <c r="AT246" i="1"/>
  <c r="AT379" i="1"/>
  <c r="AT387" i="1"/>
  <c r="AT382" i="1"/>
  <c r="AT385" i="1"/>
  <c r="AT384" i="1"/>
  <c r="AQ442" i="1"/>
  <c r="AS442" i="1"/>
  <c r="AT442" i="1" s="1"/>
  <c r="AT264" i="1"/>
  <c r="AT243" i="1"/>
  <c r="AT226" i="1"/>
  <c r="AT242" i="1"/>
  <c r="AT225" i="1"/>
  <c r="AT262" i="1"/>
  <c r="AT237" i="1"/>
  <c r="AT219" i="1"/>
  <c r="AT240" i="1"/>
  <c r="AT383" i="1"/>
  <c r="AT388" i="1"/>
  <c r="AT239" i="1"/>
  <c r="AT257" i="1"/>
  <c r="AT238" i="1"/>
  <c r="AT220" i="1"/>
  <c r="AT255" i="1"/>
  <c r="AT233" i="1"/>
  <c r="AT215" i="1"/>
  <c r="AT261" i="1"/>
  <c r="AT218" i="1"/>
  <c r="AQ50" i="1"/>
  <c r="AT50" i="1"/>
  <c r="AT380" i="1"/>
  <c r="AT386" i="1"/>
  <c r="AT256" i="1"/>
  <c r="AT222" i="1"/>
  <c r="AT235" i="1"/>
  <c r="AT217" i="1"/>
  <c r="AT248" i="1"/>
  <c r="AT216" i="1"/>
  <c r="AT258" i="1"/>
  <c r="AT247" i="1"/>
  <c r="AT214" i="1"/>
  <c r="AQ248" i="1"/>
  <c r="O75" i="1"/>
  <c r="AQ238" i="1"/>
  <c r="U74" i="1"/>
  <c r="AP74" i="1" s="1"/>
  <c r="AU74" i="1" s="1"/>
  <c r="U66" i="1"/>
  <c r="AP66" i="1" s="1"/>
  <c r="AU66" i="1" s="1"/>
  <c r="O67" i="1"/>
  <c r="AQ244" i="1"/>
  <c r="AQ247" i="1"/>
  <c r="O74" i="1"/>
  <c r="O66" i="1"/>
  <c r="O72" i="1"/>
  <c r="U77" i="1"/>
  <c r="AP77" i="1" s="1"/>
  <c r="AU77" i="1" s="1"/>
  <c r="O69" i="1"/>
  <c r="O77" i="1"/>
  <c r="AQ255" i="1"/>
  <c r="P256" i="1"/>
  <c r="P253" i="1"/>
  <c r="P251" i="1"/>
  <c r="P263" i="1"/>
  <c r="P261" i="1"/>
  <c r="P272" i="1"/>
  <c r="P259" i="1"/>
  <c r="P254" i="1"/>
  <c r="P264" i="1"/>
  <c r="P249" i="1"/>
  <c r="P265" i="1"/>
  <c r="P221" i="1"/>
  <c r="O78" i="1"/>
  <c r="U272" i="1"/>
  <c r="AQ239" i="1"/>
  <c r="AQ233" i="1"/>
  <c r="U76" i="1"/>
  <c r="AP76" i="1" s="1"/>
  <c r="AU76" i="1" s="1"/>
  <c r="P252" i="1"/>
  <c r="P262" i="1"/>
  <c r="P245" i="1"/>
  <c r="P257" i="1"/>
  <c r="P246" i="1"/>
  <c r="P248" i="1"/>
  <c r="P250" i="1"/>
  <c r="P260" i="1"/>
  <c r="P247" i="1"/>
  <c r="P223" i="1"/>
  <c r="P255" i="1"/>
  <c r="P238" i="1"/>
  <c r="P273" i="1"/>
  <c r="P258" i="1"/>
  <c r="P229" i="1"/>
  <c r="AQ259" i="1"/>
  <c r="U278" i="1"/>
  <c r="AQ223" i="1"/>
  <c r="AQ250" i="1"/>
  <c r="AQ253" i="1"/>
  <c r="U274" i="1"/>
  <c r="U275" i="1"/>
  <c r="AQ221" i="1"/>
  <c r="AQ260" i="1"/>
  <c r="AQ252" i="1"/>
  <c r="AQ70" i="1"/>
  <c r="U68" i="1"/>
  <c r="AP68" i="1" s="1"/>
  <c r="AU68" i="1" s="1"/>
  <c r="U78" i="1"/>
  <c r="AP78" i="1" s="1"/>
  <c r="AU78" i="1" s="1"/>
  <c r="AQ77" i="1"/>
  <c r="AQ69" i="1"/>
  <c r="U73" i="1"/>
  <c r="AP73" i="1" s="1"/>
  <c r="AU73" i="1" s="1"/>
  <c r="AQ78" i="1"/>
  <c r="AQ428" i="1"/>
  <c r="AQ357" i="1"/>
  <c r="AQ353" i="1"/>
  <c r="AQ360" i="1"/>
  <c r="AQ371" i="1"/>
  <c r="AQ370" i="1"/>
  <c r="AQ338" i="1"/>
  <c r="AQ272" i="1"/>
  <c r="AQ400" i="1"/>
  <c r="AQ362" i="1"/>
  <c r="AQ406" i="1"/>
  <c r="AQ411" i="1"/>
  <c r="AQ249" i="1"/>
  <c r="U277" i="1"/>
  <c r="U270" i="1"/>
  <c r="AQ228" i="1"/>
  <c r="AQ224" i="1"/>
  <c r="O68" i="1"/>
  <c r="AQ67" i="1"/>
  <c r="AQ72" i="1"/>
  <c r="AQ397" i="1"/>
  <c r="AQ431" i="1"/>
  <c r="AQ403" i="1"/>
  <c r="AQ359" i="1"/>
  <c r="AQ372" i="1"/>
  <c r="AQ375" i="1"/>
  <c r="AQ335" i="1"/>
  <c r="AQ345" i="1"/>
  <c r="AQ234" i="1"/>
  <c r="AQ336" i="1"/>
  <c r="AQ270" i="1"/>
  <c r="AQ405" i="1"/>
  <c r="AQ443" i="1"/>
  <c r="AQ433" i="1"/>
  <c r="AQ439" i="1"/>
  <c r="AQ354" i="1"/>
  <c r="AQ367" i="1"/>
  <c r="AQ356" i="1"/>
  <c r="AQ376" i="1"/>
  <c r="AQ341" i="1"/>
  <c r="AQ368" i="1"/>
  <c r="AQ277" i="1"/>
  <c r="AQ271" i="1"/>
  <c r="AQ232" i="1"/>
  <c r="AQ437" i="1"/>
  <c r="AQ340" i="1"/>
  <c r="AQ377" i="1"/>
  <c r="AQ409" i="1"/>
  <c r="AQ441" i="1"/>
  <c r="AQ404" i="1"/>
  <c r="AQ363" i="1"/>
  <c r="AQ227" i="1"/>
  <c r="AQ263" i="1"/>
  <c r="AQ73" i="1"/>
  <c r="AQ66" i="1"/>
  <c r="AQ440" i="1"/>
  <c r="AQ429" i="1"/>
  <c r="AQ337" i="1"/>
  <c r="AQ369" i="1"/>
  <c r="AQ348" i="1"/>
  <c r="AQ339" i="1"/>
  <c r="AQ373" i="1"/>
  <c r="AQ342" i="1"/>
  <c r="AQ274" i="1"/>
  <c r="AQ434" i="1"/>
  <c r="AQ355" i="1"/>
  <c r="AQ401" i="1"/>
  <c r="AQ399" i="1"/>
  <c r="U276" i="1"/>
  <c r="U271" i="1"/>
  <c r="AQ254" i="1"/>
  <c r="AQ76" i="1"/>
  <c r="AQ71" i="1"/>
  <c r="O76" i="1"/>
  <c r="AQ68" i="1"/>
  <c r="AQ75" i="1"/>
  <c r="AQ408" i="1"/>
  <c r="AQ407" i="1"/>
  <c r="AQ432" i="1"/>
  <c r="AQ430" i="1"/>
  <c r="AQ378" i="1"/>
  <c r="AQ349" i="1"/>
  <c r="AQ366" i="1"/>
  <c r="AQ344" i="1"/>
  <c r="AQ374" i="1"/>
  <c r="AQ275" i="1"/>
  <c r="AQ230" i="1"/>
  <c r="AQ343" i="1"/>
  <c r="AQ276" i="1"/>
  <c r="AQ398" i="1"/>
  <c r="AQ410" i="1"/>
  <c r="AQ436" i="1"/>
  <c r="AQ438" i="1"/>
  <c r="AQ347" i="1"/>
  <c r="AQ361" i="1"/>
  <c r="AQ351" i="1"/>
  <c r="AQ358" i="1"/>
  <c r="AQ364" i="1"/>
  <c r="AQ273" i="1"/>
  <c r="AQ236" i="1"/>
  <c r="AQ352" i="1"/>
  <c r="AQ346" i="1"/>
  <c r="AQ402" i="1"/>
  <c r="AQ412" i="1"/>
  <c r="AQ350" i="1"/>
  <c r="AQ74" i="1"/>
  <c r="AQ215" i="1"/>
  <c r="AQ218" i="1"/>
  <c r="AQ213" i="1"/>
  <c r="AQ226" i="1"/>
  <c r="AQ220" i="1"/>
  <c r="AQ216" i="1"/>
  <c r="AQ214" i="1"/>
  <c r="AQ225" i="1"/>
  <c r="AQ258" i="1"/>
  <c r="AQ251" i="1"/>
  <c r="AQ217" i="1"/>
  <c r="AQ219" i="1"/>
  <c r="AQ212" i="1"/>
  <c r="AQ222" i="1"/>
  <c r="Y303" i="36" l="1"/>
  <c r="V402" i="36"/>
  <c r="T400" i="35"/>
  <c r="C408" i="38"/>
  <c r="E408" i="38" s="1"/>
  <c r="X243" i="36"/>
  <c r="AN243" i="36" s="1"/>
  <c r="W254" i="36"/>
  <c r="U252" i="35"/>
  <c r="D260" i="38"/>
  <c r="T278" i="36"/>
  <c r="W68" i="36"/>
  <c r="U66" i="35"/>
  <c r="D74" i="38"/>
  <c r="W375" i="36"/>
  <c r="U373" i="35"/>
  <c r="D381" i="38"/>
  <c r="X196" i="36"/>
  <c r="P220" i="1"/>
  <c r="P221" i="36"/>
  <c r="AD433" i="36"/>
  <c r="Y433" i="36"/>
  <c r="T258" i="36"/>
  <c r="P236" i="1"/>
  <c r="P237" i="36"/>
  <c r="W344" i="36"/>
  <c r="U342" i="35"/>
  <c r="D350" i="38"/>
  <c r="V260" i="36"/>
  <c r="T258" i="35"/>
  <c r="C266" i="38"/>
  <c r="E266" i="38" s="1"/>
  <c r="P222" i="1"/>
  <c r="P223" i="36"/>
  <c r="P232" i="1"/>
  <c r="P233" i="36"/>
  <c r="X191" i="36"/>
  <c r="T279" i="36"/>
  <c r="X140" i="36"/>
  <c r="X188" i="36"/>
  <c r="X184" i="36"/>
  <c r="W361" i="36"/>
  <c r="U359" i="35"/>
  <c r="D367" i="38"/>
  <c r="T257" i="36"/>
  <c r="P242" i="1"/>
  <c r="P243" i="36"/>
  <c r="V216" i="36"/>
  <c r="T214" i="35"/>
  <c r="C222" i="38"/>
  <c r="E222" i="38" s="1"/>
  <c r="V256" i="36"/>
  <c r="T254" i="35"/>
  <c r="C262" i="38"/>
  <c r="E262" i="38" s="1"/>
  <c r="W360" i="36"/>
  <c r="U358" i="35"/>
  <c r="D366" i="38"/>
  <c r="X144" i="36"/>
  <c r="V75" i="36"/>
  <c r="T73" i="35"/>
  <c r="C81" i="38"/>
  <c r="E81" i="38" s="1"/>
  <c r="R77" i="36"/>
  <c r="V278" i="36"/>
  <c r="T276" i="35"/>
  <c r="C284" i="38"/>
  <c r="E284" i="38" s="1"/>
  <c r="T361" i="35"/>
  <c r="V363" i="36"/>
  <c r="C369" i="38"/>
  <c r="E369" i="38" s="1"/>
  <c r="T224" i="36"/>
  <c r="R78" i="36"/>
  <c r="X221" i="36"/>
  <c r="AN221" i="36" s="1"/>
  <c r="X45" i="36"/>
  <c r="V335" i="36"/>
  <c r="T333" i="35"/>
  <c r="C341" i="38"/>
  <c r="E341" i="38" s="1"/>
  <c r="W346" i="36"/>
  <c r="U344" i="35"/>
  <c r="D352" i="38"/>
  <c r="W372" i="36"/>
  <c r="U370" i="35"/>
  <c r="D378" i="38"/>
  <c r="W236" i="36"/>
  <c r="U234" i="35"/>
  <c r="D242" i="38"/>
  <c r="X149" i="36"/>
  <c r="P219" i="1"/>
  <c r="P220" i="36"/>
  <c r="X154" i="36"/>
  <c r="Y441" i="36"/>
  <c r="AD441" i="36"/>
  <c r="T217" i="36"/>
  <c r="W214" i="36"/>
  <c r="U212" i="35"/>
  <c r="D220" i="38"/>
  <c r="V431" i="36"/>
  <c r="T429" i="35"/>
  <c r="C437" i="38"/>
  <c r="E437" i="38" s="1"/>
  <c r="W258" i="36"/>
  <c r="U256" i="35"/>
  <c r="D264" i="38"/>
  <c r="V272" i="36"/>
  <c r="T270" i="35"/>
  <c r="C278" i="38"/>
  <c r="E278" i="38" s="1"/>
  <c r="X256" i="36"/>
  <c r="AK256" i="36" s="1"/>
  <c r="W251" i="36"/>
  <c r="U249" i="35"/>
  <c r="D257" i="38"/>
  <c r="V351" i="36"/>
  <c r="T349" i="35"/>
  <c r="C357" i="38"/>
  <c r="E357" i="38" s="1"/>
  <c r="V72" i="36"/>
  <c r="T70" i="35"/>
  <c r="C78" i="38"/>
  <c r="E78" i="38" s="1"/>
  <c r="V369" i="36"/>
  <c r="T367" i="35"/>
  <c r="C375" i="38"/>
  <c r="E375" i="38" s="1"/>
  <c r="V401" i="36"/>
  <c r="T399" i="35"/>
  <c r="C407" i="38"/>
  <c r="E407" i="38" s="1"/>
  <c r="T248" i="36"/>
  <c r="R70" i="36"/>
  <c r="X239" i="36"/>
  <c r="AN239" i="36" s="1"/>
  <c r="V45" i="36"/>
  <c r="T43" i="35"/>
  <c r="C51" i="38"/>
  <c r="E51" i="38" s="1"/>
  <c r="X131" i="36"/>
  <c r="W338" i="36"/>
  <c r="U336" i="35"/>
  <c r="D344" i="38"/>
  <c r="W356" i="36"/>
  <c r="U354" i="35"/>
  <c r="D362" i="38"/>
  <c r="W249" i="36"/>
  <c r="U247" i="35"/>
  <c r="D255" i="38"/>
  <c r="X209" i="36"/>
  <c r="AH380" i="36"/>
  <c r="X214" i="36"/>
  <c r="AN214" i="36" s="1"/>
  <c r="P240" i="1"/>
  <c r="P241" i="36"/>
  <c r="X234" i="36"/>
  <c r="AN234" i="36" s="1"/>
  <c r="P234" i="1"/>
  <c r="P235" i="36"/>
  <c r="X382" i="36"/>
  <c r="AP382" i="36" s="1"/>
  <c r="V413" i="36"/>
  <c r="T411" i="35"/>
  <c r="C419" i="38"/>
  <c r="E419" i="38" s="1"/>
  <c r="V77" i="36"/>
  <c r="T75" i="35"/>
  <c r="C83" i="38"/>
  <c r="E83" i="38" s="1"/>
  <c r="V342" i="36"/>
  <c r="T340" i="35"/>
  <c r="C348" i="38"/>
  <c r="E348" i="38" s="1"/>
  <c r="V273" i="36"/>
  <c r="T271" i="35"/>
  <c r="C279" i="38"/>
  <c r="E279" i="38" s="1"/>
  <c r="T261" i="36"/>
  <c r="W78" i="36"/>
  <c r="U76" i="35"/>
  <c r="D84" i="38"/>
  <c r="X258" i="36"/>
  <c r="AK258" i="36" s="1"/>
  <c r="V238" i="36"/>
  <c r="T236" i="35"/>
  <c r="C244" i="38"/>
  <c r="E244" i="38" s="1"/>
  <c r="X133" i="36"/>
  <c r="W350" i="36"/>
  <c r="U348" i="35"/>
  <c r="D356" i="38"/>
  <c r="W340" i="36"/>
  <c r="U338" i="35"/>
  <c r="D346" i="38"/>
  <c r="W215" i="36"/>
  <c r="U213" i="35"/>
  <c r="D221" i="38"/>
  <c r="X143" i="36"/>
  <c r="P214" i="1"/>
  <c r="P215" i="36"/>
  <c r="P215" i="1"/>
  <c r="P216" i="36"/>
  <c r="V410" i="36"/>
  <c r="T408" i="35"/>
  <c r="C416" i="38"/>
  <c r="E416" i="38" s="1"/>
  <c r="X279" i="36"/>
  <c r="AK279" i="36" s="1"/>
  <c r="X201" i="36"/>
  <c r="X199" i="36"/>
  <c r="T256" i="36"/>
  <c r="W218" i="36"/>
  <c r="U216" i="35"/>
  <c r="D224" i="38"/>
  <c r="V403" i="36"/>
  <c r="T401" i="35"/>
  <c r="C409" i="38"/>
  <c r="E409" i="38" s="1"/>
  <c r="V255" i="36"/>
  <c r="T253" i="35"/>
  <c r="C261" i="38"/>
  <c r="E261" i="38" s="1"/>
  <c r="V377" i="36"/>
  <c r="T375" i="35"/>
  <c r="C383" i="38"/>
  <c r="E383" i="38" s="1"/>
  <c r="V339" i="36"/>
  <c r="T337" i="35"/>
  <c r="C345" i="38"/>
  <c r="E345" i="38" s="1"/>
  <c r="T251" i="36"/>
  <c r="R73" i="36"/>
  <c r="X240" i="36"/>
  <c r="AN240" i="36" s="1"/>
  <c r="R71" i="36"/>
  <c r="X129" i="36"/>
  <c r="W355" i="36"/>
  <c r="U353" i="35"/>
  <c r="D361" i="38"/>
  <c r="U377" i="35"/>
  <c r="W379" i="36"/>
  <c r="D385" i="38"/>
  <c r="W216" i="36"/>
  <c r="U214" i="35"/>
  <c r="D222" i="38"/>
  <c r="X151" i="36"/>
  <c r="X64" i="36"/>
  <c r="V217" i="36"/>
  <c r="T215" i="35"/>
  <c r="C223" i="38"/>
  <c r="E223" i="38" s="1"/>
  <c r="W263" i="36"/>
  <c r="U261" i="35"/>
  <c r="D269" i="38"/>
  <c r="V407" i="36"/>
  <c r="T405" i="35"/>
  <c r="C413" i="38"/>
  <c r="E413" i="38" s="1"/>
  <c r="V347" i="36"/>
  <c r="T345" i="35"/>
  <c r="C353" i="38"/>
  <c r="E353" i="38" s="1"/>
  <c r="V357" i="36"/>
  <c r="T355" i="35"/>
  <c r="C363" i="38"/>
  <c r="E363" i="38" s="1"/>
  <c r="V371" i="36"/>
  <c r="T369" i="35"/>
  <c r="C377" i="38"/>
  <c r="E377" i="38" s="1"/>
  <c r="T249" i="36"/>
  <c r="R67" i="36"/>
  <c r="X389" i="36"/>
  <c r="AP389" i="36" s="1"/>
  <c r="V258" i="36"/>
  <c r="T256" i="35"/>
  <c r="C264" i="38"/>
  <c r="E264" i="38" s="1"/>
  <c r="V244" i="36"/>
  <c r="T242" i="35"/>
  <c r="C250" i="38"/>
  <c r="E250" i="38" s="1"/>
  <c r="W336" i="36"/>
  <c r="U334" i="35"/>
  <c r="D342" i="38"/>
  <c r="W367" i="36"/>
  <c r="U365" i="35"/>
  <c r="D373" i="38"/>
  <c r="W239" i="36"/>
  <c r="U237" i="35"/>
  <c r="D245" i="38"/>
  <c r="X205" i="36"/>
  <c r="Y436" i="36"/>
  <c r="AD436" i="36"/>
  <c r="X51" i="36"/>
  <c r="V265" i="36"/>
  <c r="T263" i="35"/>
  <c r="C271" i="38"/>
  <c r="E271" i="38" s="1"/>
  <c r="V229" i="36"/>
  <c r="T227" i="35"/>
  <c r="C235" i="38"/>
  <c r="E235" i="38" s="1"/>
  <c r="U374" i="35"/>
  <c r="W376" i="36"/>
  <c r="D382" i="38"/>
  <c r="V69" i="36"/>
  <c r="T67" i="35"/>
  <c r="C75" i="38"/>
  <c r="E75" i="38" s="1"/>
  <c r="W70" i="36"/>
  <c r="U68" i="35"/>
  <c r="D76" i="38"/>
  <c r="V353" i="36"/>
  <c r="T351" i="35"/>
  <c r="C359" i="38"/>
  <c r="E359" i="38" s="1"/>
  <c r="V368" i="36"/>
  <c r="T366" i="35"/>
  <c r="C374" i="38"/>
  <c r="E374" i="38" s="1"/>
  <c r="V372" i="36"/>
  <c r="T370" i="35"/>
  <c r="C378" i="38"/>
  <c r="E378" i="38" s="1"/>
  <c r="T229" i="36"/>
  <c r="R75" i="36"/>
  <c r="X384" i="36"/>
  <c r="AP384" i="36" s="1"/>
  <c r="W73" i="36"/>
  <c r="U71" i="35"/>
  <c r="D79" i="38"/>
  <c r="X134" i="36"/>
  <c r="W374" i="36"/>
  <c r="U372" i="35"/>
  <c r="D380" i="38"/>
  <c r="W351" i="36"/>
  <c r="U349" i="35"/>
  <c r="D357" i="38"/>
  <c r="W227" i="36"/>
  <c r="U225" i="35"/>
  <c r="D233" i="38"/>
  <c r="X150" i="36"/>
  <c r="P235" i="1"/>
  <c r="P236" i="36"/>
  <c r="R80" i="36"/>
  <c r="V237" i="36"/>
  <c r="T235" i="35"/>
  <c r="C243" i="38"/>
  <c r="E243" i="38" s="1"/>
  <c r="V400" i="36"/>
  <c r="T398" i="35"/>
  <c r="C406" i="38"/>
  <c r="E406" i="38" s="1"/>
  <c r="V355" i="36"/>
  <c r="T353" i="35"/>
  <c r="C361" i="38"/>
  <c r="E361" i="38" s="1"/>
  <c r="V361" i="36"/>
  <c r="T359" i="35"/>
  <c r="C367" i="38"/>
  <c r="E367" i="38" s="1"/>
  <c r="T247" i="36"/>
  <c r="V248" i="36"/>
  <c r="T246" i="35"/>
  <c r="C254" i="38"/>
  <c r="E254" i="38" s="1"/>
  <c r="X241" i="36"/>
  <c r="AN241" i="36" s="1"/>
  <c r="W71" i="36"/>
  <c r="U69" i="35"/>
  <c r="D77" i="38"/>
  <c r="X52" i="36"/>
  <c r="W362" i="36"/>
  <c r="U360" i="35"/>
  <c r="D368" i="38"/>
  <c r="W342" i="36"/>
  <c r="U340" i="35"/>
  <c r="D348" i="38"/>
  <c r="W264" i="36"/>
  <c r="U262" i="35"/>
  <c r="D270" i="38"/>
  <c r="X142" i="36"/>
  <c r="X210" i="36"/>
  <c r="X55" i="36"/>
  <c r="X186" i="36"/>
  <c r="X60" i="36"/>
  <c r="X167" i="36"/>
  <c r="AC279" i="36"/>
  <c r="T272" i="36"/>
  <c r="X180" i="36"/>
  <c r="X136" i="36"/>
  <c r="AK410" i="36"/>
  <c r="Y410" i="36"/>
  <c r="T277" i="36"/>
  <c r="X179" i="36"/>
  <c r="X53" i="36"/>
  <c r="X181" i="36"/>
  <c r="X176" i="36"/>
  <c r="Y439" i="36"/>
  <c r="AD439" i="36"/>
  <c r="AH387" i="36"/>
  <c r="AH388" i="36"/>
  <c r="V440" i="36"/>
  <c r="T438" i="35"/>
  <c r="C446" i="38"/>
  <c r="E446" i="38" s="1"/>
  <c r="W353" i="36"/>
  <c r="U351" i="35"/>
  <c r="D359" i="38"/>
  <c r="X194" i="36"/>
  <c r="V374" i="36"/>
  <c r="T372" i="35"/>
  <c r="C380" i="38"/>
  <c r="E380" i="38" s="1"/>
  <c r="X227" i="36"/>
  <c r="AN227" i="36" s="1"/>
  <c r="W247" i="36"/>
  <c r="U245" i="35"/>
  <c r="D253" i="38"/>
  <c r="R72" i="36"/>
  <c r="V399" i="36"/>
  <c r="T397" i="35"/>
  <c r="C405" i="38"/>
  <c r="E405" i="38" s="1"/>
  <c r="V338" i="36"/>
  <c r="T336" i="35"/>
  <c r="C344" i="38"/>
  <c r="E344" i="38" s="1"/>
  <c r="V376" i="36"/>
  <c r="T374" i="35"/>
  <c r="C382" i="38"/>
  <c r="E382" i="38" s="1"/>
  <c r="V71" i="36"/>
  <c r="T69" i="35"/>
  <c r="C77" i="38"/>
  <c r="E77" i="38" s="1"/>
  <c r="T222" i="36"/>
  <c r="X259" i="36"/>
  <c r="AK259" i="36" s="1"/>
  <c r="V443" i="36"/>
  <c r="T441" i="35"/>
  <c r="C449" i="38"/>
  <c r="E449" i="38" s="1"/>
  <c r="V241" i="36"/>
  <c r="T239" i="35"/>
  <c r="C247" i="38"/>
  <c r="E247" i="38" s="1"/>
  <c r="W364" i="36"/>
  <c r="U362" i="35"/>
  <c r="D370" i="38"/>
  <c r="W220" i="36"/>
  <c r="U218" i="35"/>
  <c r="D226" i="38"/>
  <c r="W339" i="36"/>
  <c r="U337" i="35"/>
  <c r="D345" i="38"/>
  <c r="W244" i="36"/>
  <c r="U242" i="35"/>
  <c r="D250" i="38"/>
  <c r="P224" i="36"/>
  <c r="X173" i="36"/>
  <c r="V274" i="36"/>
  <c r="T272" i="35"/>
  <c r="C280" i="38"/>
  <c r="E280" i="38" s="1"/>
  <c r="V348" i="36"/>
  <c r="T346" i="35"/>
  <c r="C354" i="38"/>
  <c r="E354" i="38" s="1"/>
  <c r="R76" i="36"/>
  <c r="P217" i="36"/>
  <c r="V439" i="36"/>
  <c r="T437" i="35"/>
  <c r="C445" i="38"/>
  <c r="E445" i="38" s="1"/>
  <c r="X248" i="36"/>
  <c r="AP248" i="36" s="1"/>
  <c r="W241" i="36"/>
  <c r="U239" i="35"/>
  <c r="D247" i="38"/>
  <c r="V277" i="36"/>
  <c r="T275" i="35"/>
  <c r="C283" i="38"/>
  <c r="E283" i="38" s="1"/>
  <c r="V430" i="36"/>
  <c r="T428" i="35"/>
  <c r="C436" i="38"/>
  <c r="E436" i="38" s="1"/>
  <c r="V373" i="36"/>
  <c r="T371" i="35"/>
  <c r="C379" i="38"/>
  <c r="E379" i="38" s="1"/>
  <c r="V253" i="36"/>
  <c r="T251" i="35"/>
  <c r="C259" i="38"/>
  <c r="E259" i="38" s="1"/>
  <c r="T240" i="36"/>
  <c r="X217" i="36"/>
  <c r="AN217" i="36" s="1"/>
  <c r="X385" i="36"/>
  <c r="AP385" i="36" s="1"/>
  <c r="W72" i="36"/>
  <c r="U70" i="35"/>
  <c r="D78" i="38"/>
  <c r="W278" i="36"/>
  <c r="U276" i="35"/>
  <c r="D284" i="38"/>
  <c r="W238" i="36"/>
  <c r="U236" i="35"/>
  <c r="D244" i="38"/>
  <c r="W368" i="36"/>
  <c r="U366" i="35"/>
  <c r="D374" i="38"/>
  <c r="W260" i="36"/>
  <c r="U258" i="35"/>
  <c r="D266" i="38"/>
  <c r="P227" i="36"/>
  <c r="P226" i="1"/>
  <c r="W252" i="36"/>
  <c r="U250" i="35"/>
  <c r="D258" i="38"/>
  <c r="X138" i="36"/>
  <c r="X174" i="36"/>
  <c r="V235" i="36"/>
  <c r="T233" i="35"/>
  <c r="C241" i="38"/>
  <c r="E241" i="38" s="1"/>
  <c r="V223" i="36"/>
  <c r="T221" i="35"/>
  <c r="C229" i="38"/>
  <c r="E229" i="38" s="1"/>
  <c r="V344" i="36"/>
  <c r="T342" i="35"/>
  <c r="C350" i="38"/>
  <c r="E350" i="38" s="1"/>
  <c r="V441" i="36"/>
  <c r="T439" i="35"/>
  <c r="C447" i="38"/>
  <c r="E447" i="38" s="1"/>
  <c r="V360" i="36"/>
  <c r="T358" i="35"/>
  <c r="C366" i="38"/>
  <c r="E366" i="38" s="1"/>
  <c r="V261" i="36"/>
  <c r="T259" i="35"/>
  <c r="C267" i="38"/>
  <c r="E267" i="38" s="1"/>
  <c r="T266" i="36"/>
  <c r="X249" i="36"/>
  <c r="AP249" i="36" s="1"/>
  <c r="X386" i="36"/>
  <c r="AP386" i="36" s="1"/>
  <c r="V242" i="36"/>
  <c r="T240" i="35"/>
  <c r="C248" i="38"/>
  <c r="E248" i="38" s="1"/>
  <c r="W341" i="36"/>
  <c r="U339" i="35"/>
  <c r="D347" i="38"/>
  <c r="W266" i="36"/>
  <c r="U264" i="35"/>
  <c r="D272" i="38"/>
  <c r="W352" i="36"/>
  <c r="U350" i="35"/>
  <c r="D358" i="38"/>
  <c r="W246" i="36"/>
  <c r="U244" i="35"/>
  <c r="D252" i="38"/>
  <c r="AK46" i="36"/>
  <c r="Y46" i="36"/>
  <c r="V239" i="36"/>
  <c r="T237" i="35"/>
  <c r="C245" i="38"/>
  <c r="E245" i="38" s="1"/>
  <c r="V340" i="36"/>
  <c r="T338" i="35"/>
  <c r="C346" i="38"/>
  <c r="E346" i="38" s="1"/>
  <c r="W262" i="36"/>
  <c r="U260" i="35"/>
  <c r="D268" i="38"/>
  <c r="V213" i="36"/>
  <c r="T211" i="35"/>
  <c r="C219" i="38"/>
  <c r="E219" i="38" s="1"/>
  <c r="V231" i="36"/>
  <c r="T229" i="35"/>
  <c r="C237" i="38"/>
  <c r="E237" i="38" s="1"/>
  <c r="V67" i="36"/>
  <c r="T65" i="35"/>
  <c r="C73" i="38"/>
  <c r="E73" i="38" s="1"/>
  <c r="V404" i="36"/>
  <c r="T402" i="35"/>
  <c r="C410" i="38"/>
  <c r="E410" i="38" s="1"/>
  <c r="V222" i="36"/>
  <c r="T220" i="35"/>
  <c r="C228" i="38"/>
  <c r="E228" i="38" s="1"/>
  <c r="T250" i="36"/>
  <c r="X218" i="36"/>
  <c r="AN218" i="36" s="1"/>
  <c r="X383" i="36"/>
  <c r="AP383" i="36" s="1"/>
  <c r="V232" i="36"/>
  <c r="T230" i="35"/>
  <c r="C238" i="38"/>
  <c r="E238" i="38" s="1"/>
  <c r="W359" i="36"/>
  <c r="U357" i="35"/>
  <c r="D365" i="38"/>
  <c r="W217" i="36"/>
  <c r="U215" i="35"/>
  <c r="D223" i="38"/>
  <c r="W275" i="36"/>
  <c r="U273" i="35"/>
  <c r="D281" i="38"/>
  <c r="W223" i="36"/>
  <c r="U221" i="35"/>
  <c r="D229" i="38"/>
  <c r="V337" i="36"/>
  <c r="T335" i="35"/>
  <c r="C343" i="38"/>
  <c r="E343" i="38" s="1"/>
  <c r="P231" i="1"/>
  <c r="P232" i="36"/>
  <c r="V240" i="36"/>
  <c r="T238" i="35"/>
  <c r="C246" i="38"/>
  <c r="E246" i="38" s="1"/>
  <c r="W259" i="36"/>
  <c r="U257" i="35"/>
  <c r="D265" i="38"/>
  <c r="V220" i="36"/>
  <c r="T218" i="35"/>
  <c r="C226" i="38"/>
  <c r="E226" i="38" s="1"/>
  <c r="V276" i="36"/>
  <c r="T274" i="35"/>
  <c r="C282" i="38"/>
  <c r="E282" i="38" s="1"/>
  <c r="V74" i="36"/>
  <c r="T72" i="35"/>
  <c r="C80" i="38"/>
  <c r="E80" i="38" s="1"/>
  <c r="V432" i="36"/>
  <c r="T430" i="35"/>
  <c r="C438" i="38"/>
  <c r="E438" i="38" s="1"/>
  <c r="T265" i="36"/>
  <c r="X236" i="36"/>
  <c r="AN236" i="36" s="1"/>
  <c r="X388" i="36"/>
  <c r="AP388" i="36" s="1"/>
  <c r="V246" i="36"/>
  <c r="T244" i="35"/>
  <c r="C252" i="38"/>
  <c r="E252" i="38" s="1"/>
  <c r="W277" i="36"/>
  <c r="U275" i="35"/>
  <c r="D283" i="38"/>
  <c r="W226" i="36"/>
  <c r="U224" i="35"/>
  <c r="D232" i="38"/>
  <c r="W371" i="36"/>
  <c r="U369" i="35"/>
  <c r="D377" i="38"/>
  <c r="W255" i="36"/>
  <c r="U253" i="35"/>
  <c r="D261" i="38"/>
  <c r="V354" i="36"/>
  <c r="T352" i="35"/>
  <c r="C360" i="38"/>
  <c r="E360" i="38" s="1"/>
  <c r="V70" i="36"/>
  <c r="T68" i="35"/>
  <c r="C76" i="38"/>
  <c r="E76" i="38" s="1"/>
  <c r="W257" i="36"/>
  <c r="U255" i="35"/>
  <c r="D263" i="38"/>
  <c r="P217" i="1"/>
  <c r="P218" i="36"/>
  <c r="V78" i="36"/>
  <c r="T76" i="35"/>
  <c r="C84" i="38"/>
  <c r="E84" i="38" s="1"/>
  <c r="X443" i="36"/>
  <c r="AL443" i="36" s="1"/>
  <c r="V218" i="36"/>
  <c r="T216" i="35"/>
  <c r="C224" i="38"/>
  <c r="E224" i="38" s="1"/>
  <c r="V375" i="36"/>
  <c r="T373" i="35"/>
  <c r="C381" i="38"/>
  <c r="E381" i="38" s="1"/>
  <c r="V264" i="36"/>
  <c r="T262" i="35"/>
  <c r="C270" i="38"/>
  <c r="E270" i="38" s="1"/>
  <c r="V398" i="36"/>
  <c r="T396" i="35"/>
  <c r="C404" i="38"/>
  <c r="E404" i="38" s="1"/>
  <c r="T255" i="36"/>
  <c r="X223" i="36"/>
  <c r="AN223" i="36" s="1"/>
  <c r="X380" i="36"/>
  <c r="AP380" i="36" s="1"/>
  <c r="T271" i="36"/>
  <c r="W348" i="36"/>
  <c r="U346" i="35"/>
  <c r="D354" i="38"/>
  <c r="W235" i="36"/>
  <c r="U233" i="35"/>
  <c r="D241" i="38"/>
  <c r="W363" i="36"/>
  <c r="U361" i="35"/>
  <c r="D369" i="38"/>
  <c r="X185" i="36"/>
  <c r="X163" i="36"/>
  <c r="X43" i="36"/>
  <c r="X137" i="36"/>
  <c r="V234" i="36"/>
  <c r="T232" i="35"/>
  <c r="C240" i="38"/>
  <c r="E240" i="38" s="1"/>
  <c r="W271" i="36"/>
  <c r="U269" i="35"/>
  <c r="D277" i="38"/>
  <c r="V252" i="36"/>
  <c r="T250" i="35"/>
  <c r="C258" i="38"/>
  <c r="E258" i="38" s="1"/>
  <c r="V345" i="36"/>
  <c r="T343" i="35"/>
  <c r="C351" i="38"/>
  <c r="E351" i="38" s="1"/>
  <c r="V228" i="36"/>
  <c r="T226" i="35"/>
  <c r="C234" i="38"/>
  <c r="E234" i="38" s="1"/>
  <c r="V73" i="36"/>
  <c r="T71" i="35"/>
  <c r="C79" i="38"/>
  <c r="E79" i="38" s="1"/>
  <c r="V254" i="36"/>
  <c r="T252" i="35"/>
  <c r="C260" i="38"/>
  <c r="E260" i="38" s="1"/>
  <c r="T260" i="36"/>
  <c r="X182" i="36"/>
  <c r="AK41" i="36"/>
  <c r="Y41" i="36"/>
  <c r="P243" i="1"/>
  <c r="P244" i="36"/>
  <c r="X183" i="36"/>
  <c r="X203" i="36"/>
  <c r="X192" i="36"/>
  <c r="Y166" i="36"/>
  <c r="AL166" i="36"/>
  <c r="Y349" i="36"/>
  <c r="AD349" i="36"/>
  <c r="Y386" i="36"/>
  <c r="AH386" i="36"/>
  <c r="Y281" i="36"/>
  <c r="Y162" i="36"/>
  <c r="AL162" i="36"/>
  <c r="AL178" i="36"/>
  <c r="Y178" i="36"/>
  <c r="AD440" i="36"/>
  <c r="Y440" i="36"/>
  <c r="Y385" i="36"/>
  <c r="AH385" i="36"/>
  <c r="AH381" i="36"/>
  <c r="AL343" i="36"/>
  <c r="V365" i="36"/>
  <c r="T363" i="35"/>
  <c r="C371" i="38"/>
  <c r="E371" i="38" s="1"/>
  <c r="V356" i="36"/>
  <c r="T354" i="35"/>
  <c r="C362" i="38"/>
  <c r="E362" i="38" s="1"/>
  <c r="V434" i="36"/>
  <c r="T432" i="35"/>
  <c r="C440" i="38"/>
  <c r="E440" i="38" s="1"/>
  <c r="V358" i="36"/>
  <c r="T356" i="35"/>
  <c r="C364" i="38"/>
  <c r="E364" i="38" s="1"/>
  <c r="T246" i="36"/>
  <c r="V245" i="36"/>
  <c r="T243" i="35"/>
  <c r="C251" i="38"/>
  <c r="E251" i="38" s="1"/>
  <c r="X220" i="36"/>
  <c r="AN220" i="36" s="1"/>
  <c r="V262" i="36"/>
  <c r="T260" i="35"/>
  <c r="C268" i="38"/>
  <c r="E268" i="38" s="1"/>
  <c r="V52" i="36"/>
  <c r="T50" i="35"/>
  <c r="C58" i="38"/>
  <c r="E58" i="38" s="1"/>
  <c r="W337" i="36"/>
  <c r="U335" i="35"/>
  <c r="D343" i="38"/>
  <c r="W272" i="36"/>
  <c r="U270" i="35"/>
  <c r="D278" i="38"/>
  <c r="W265" i="36"/>
  <c r="U263" i="35"/>
  <c r="D271" i="38"/>
  <c r="X145" i="36"/>
  <c r="T276" i="36"/>
  <c r="P239" i="36"/>
  <c r="X190" i="36"/>
  <c r="Y437" i="36"/>
  <c r="AD437" i="36"/>
  <c r="Y382" i="36"/>
  <c r="AH382" i="36"/>
  <c r="Y442" i="36"/>
  <c r="AD442" i="36"/>
  <c r="X160" i="36"/>
  <c r="V435" i="36"/>
  <c r="T433" i="35"/>
  <c r="C441" i="38"/>
  <c r="E441" i="38" s="1"/>
  <c r="R68" i="36"/>
  <c r="X280" i="36"/>
  <c r="W365" i="36"/>
  <c r="U363" i="35"/>
  <c r="D371" i="38"/>
  <c r="W253" i="36"/>
  <c r="U251" i="35"/>
  <c r="D259" i="38"/>
  <c r="X146" i="36"/>
  <c r="P222" i="36"/>
  <c r="X175" i="36"/>
  <c r="AK409" i="36"/>
  <c r="Y409" i="36"/>
  <c r="X157" i="36"/>
  <c r="V359" i="36"/>
  <c r="T357" i="35"/>
  <c r="C365" i="38"/>
  <c r="E365" i="38" s="1"/>
  <c r="T442" i="35"/>
  <c r="V444" i="36"/>
  <c r="C450" i="38"/>
  <c r="E450" i="38" s="1"/>
  <c r="V429" i="36"/>
  <c r="T427" i="35"/>
  <c r="C435" i="38"/>
  <c r="E435" i="38" s="1"/>
  <c r="T263" i="36"/>
  <c r="X238" i="36"/>
  <c r="AN238" i="36" s="1"/>
  <c r="R74" i="36"/>
  <c r="W273" i="36"/>
  <c r="U271" i="35"/>
  <c r="D279" i="38"/>
  <c r="V352" i="36"/>
  <c r="T350" i="35"/>
  <c r="C358" i="38"/>
  <c r="E358" i="38" s="1"/>
  <c r="V275" i="36"/>
  <c r="T273" i="35"/>
  <c r="C281" i="38"/>
  <c r="E281" i="38" s="1"/>
  <c r="V406" i="36"/>
  <c r="T404" i="35"/>
  <c r="C412" i="38"/>
  <c r="E412" i="38" s="1"/>
  <c r="V79" i="36"/>
  <c r="T77" i="35"/>
  <c r="C85" i="38"/>
  <c r="E85" i="38" s="1"/>
  <c r="T253" i="36"/>
  <c r="W67" i="36"/>
  <c r="U65" i="35"/>
  <c r="D73" i="38"/>
  <c r="X263" i="36"/>
  <c r="AQ263" i="36" s="1"/>
  <c r="W76" i="36"/>
  <c r="U74" i="35"/>
  <c r="D82" i="38"/>
  <c r="X132" i="36"/>
  <c r="W343" i="36"/>
  <c r="AD343" i="36" s="1"/>
  <c r="U341" i="35"/>
  <c r="D349" i="38"/>
  <c r="W233" i="36"/>
  <c r="U231" i="35"/>
  <c r="D239" i="38"/>
  <c r="W377" i="36"/>
  <c r="U375" i="35"/>
  <c r="D383" i="38"/>
  <c r="P213" i="1"/>
  <c r="P214" i="36"/>
  <c r="P229" i="36"/>
  <c r="P240" i="36"/>
  <c r="X206" i="36"/>
  <c r="X207" i="36"/>
  <c r="AK42" i="36"/>
  <c r="Y42" i="36"/>
  <c r="AL148" i="36"/>
  <c r="Y148" i="36"/>
  <c r="V362" i="36"/>
  <c r="T360" i="35"/>
  <c r="C368" i="38"/>
  <c r="E368" i="38" s="1"/>
  <c r="V343" i="36"/>
  <c r="T341" i="35"/>
  <c r="C349" i="38"/>
  <c r="E349" i="38" s="1"/>
  <c r="V271" i="36"/>
  <c r="T269" i="35"/>
  <c r="C277" i="38"/>
  <c r="E277" i="38" s="1"/>
  <c r="W74" i="36"/>
  <c r="U72" i="35"/>
  <c r="D80" i="38"/>
  <c r="W77" i="36"/>
  <c r="U75" i="35"/>
  <c r="D83" i="38"/>
  <c r="W75" i="36"/>
  <c r="U73" i="35"/>
  <c r="D81" i="38"/>
  <c r="X226" i="36"/>
  <c r="AN226" i="36" s="1"/>
  <c r="V236" i="36"/>
  <c r="T234" i="35"/>
  <c r="C242" i="38"/>
  <c r="E242" i="38" s="1"/>
  <c r="X139" i="36"/>
  <c r="W369" i="36"/>
  <c r="U367" i="35"/>
  <c r="D375" i="38"/>
  <c r="W261" i="36"/>
  <c r="U259" i="35"/>
  <c r="D267" i="38"/>
  <c r="W224" i="36"/>
  <c r="U222" i="35"/>
  <c r="D230" i="38"/>
  <c r="T275" i="36"/>
  <c r="X189" i="36"/>
  <c r="X208" i="36"/>
  <c r="Y443" i="36"/>
  <c r="AD443" i="36"/>
  <c r="AH389" i="36"/>
  <c r="Y389" i="36"/>
  <c r="AD430" i="36"/>
  <c r="Y430" i="36"/>
  <c r="X169" i="36"/>
  <c r="X204" i="36"/>
  <c r="AL59" i="36"/>
  <c r="Y59" i="36"/>
  <c r="X40" i="36"/>
  <c r="X61" i="36"/>
  <c r="X54" i="36"/>
  <c r="AK48" i="36"/>
  <c r="Y48" i="36"/>
  <c r="X155" i="36"/>
  <c r="AK47" i="36"/>
  <c r="Y47" i="36"/>
  <c r="X44" i="36"/>
  <c r="AD429" i="36"/>
  <c r="Y429" i="36"/>
  <c r="AH383" i="36"/>
  <c r="Y432" i="36"/>
  <c r="AD432" i="36"/>
  <c r="V346" i="36"/>
  <c r="T344" i="35"/>
  <c r="C352" i="38"/>
  <c r="E352" i="38" s="1"/>
  <c r="W79" i="36"/>
  <c r="U77" i="35"/>
  <c r="D85" i="38"/>
  <c r="V249" i="36"/>
  <c r="T247" i="35"/>
  <c r="C255" i="38"/>
  <c r="E255" i="38" s="1"/>
  <c r="X244" i="36"/>
  <c r="AN244" i="36" s="1"/>
  <c r="V243" i="36"/>
  <c r="T241" i="35"/>
  <c r="C249" i="38"/>
  <c r="E249" i="38" s="1"/>
  <c r="W274" i="36"/>
  <c r="U272" i="35"/>
  <c r="D280" i="38"/>
  <c r="W219" i="36"/>
  <c r="U217" i="35"/>
  <c r="D225" i="38"/>
  <c r="W225" i="36"/>
  <c r="U223" i="35"/>
  <c r="D231" i="38"/>
  <c r="W221" i="36"/>
  <c r="U219" i="35"/>
  <c r="D227" i="38"/>
  <c r="X171" i="36"/>
  <c r="X56" i="36"/>
  <c r="Y402" i="36"/>
  <c r="AC402" i="36"/>
  <c r="V437" i="36"/>
  <c r="T435" i="35"/>
  <c r="C443" i="38"/>
  <c r="E443" i="38" s="1"/>
  <c r="V349" i="36"/>
  <c r="T347" i="35"/>
  <c r="C355" i="38"/>
  <c r="E355" i="38" s="1"/>
  <c r="V411" i="36"/>
  <c r="T409" i="35"/>
  <c r="C417" i="38"/>
  <c r="E417" i="38" s="1"/>
  <c r="V370" i="36"/>
  <c r="T368" i="35"/>
  <c r="C376" i="38"/>
  <c r="E376" i="38" s="1"/>
  <c r="V336" i="36"/>
  <c r="T334" i="35"/>
  <c r="C342" i="38"/>
  <c r="E342" i="38" s="1"/>
  <c r="W69" i="36"/>
  <c r="U67" i="35"/>
  <c r="D75" i="38"/>
  <c r="R79" i="36"/>
  <c r="X215" i="36"/>
  <c r="AN215" i="36" s="1"/>
  <c r="X265" i="36"/>
  <c r="AQ265" i="36" s="1"/>
  <c r="V436" i="36"/>
  <c r="T434" i="35"/>
  <c r="C442" i="38"/>
  <c r="E442" i="38" s="1"/>
  <c r="W345" i="36"/>
  <c r="U343" i="35"/>
  <c r="D351" i="38"/>
  <c r="W228" i="36"/>
  <c r="U226" i="35"/>
  <c r="D234" i="38"/>
  <c r="W242" i="36"/>
  <c r="U240" i="35"/>
  <c r="D248" i="38"/>
  <c r="W248" i="36"/>
  <c r="U246" i="35"/>
  <c r="D254" i="38"/>
  <c r="P233" i="1"/>
  <c r="P234" i="36"/>
  <c r="X187" i="36"/>
  <c r="X200" i="36"/>
  <c r="V56" i="36"/>
  <c r="T54" i="35"/>
  <c r="C62" i="38"/>
  <c r="E62" i="38" s="1"/>
  <c r="AC399" i="36"/>
  <c r="Y399" i="36"/>
  <c r="Y165" i="36"/>
  <c r="AL165" i="36"/>
  <c r="Y164" i="36"/>
  <c r="AL164" i="36"/>
  <c r="Y400" i="36"/>
  <c r="AC400" i="36"/>
  <c r="AK406" i="36"/>
  <c r="Y406" i="36"/>
  <c r="Y135" i="36"/>
  <c r="AL135" i="36"/>
  <c r="X284" i="36"/>
  <c r="AC403" i="36"/>
  <c r="Y403" i="36"/>
  <c r="AK49" i="36"/>
  <c r="Y49" i="36"/>
  <c r="Y435" i="36"/>
  <c r="AD435" i="36"/>
  <c r="X161" i="36"/>
  <c r="AK411" i="36"/>
  <c r="Y411" i="36"/>
  <c r="X62" i="36"/>
  <c r="X153" i="36"/>
  <c r="Y434" i="36"/>
  <c r="AD434" i="36"/>
  <c r="T273" i="36"/>
  <c r="U345" i="35"/>
  <c r="W347" i="36"/>
  <c r="D353" i="38"/>
  <c r="P238" i="36"/>
  <c r="P224" i="1"/>
  <c r="P225" i="36"/>
  <c r="X170" i="36"/>
  <c r="AK412" i="36"/>
  <c r="Y412" i="36"/>
  <c r="V259" i="36"/>
  <c r="T257" i="35"/>
  <c r="C265" i="38"/>
  <c r="E265" i="38" s="1"/>
  <c r="V364" i="36"/>
  <c r="T362" i="35"/>
  <c r="C370" i="38"/>
  <c r="E370" i="38" s="1"/>
  <c r="V251" i="36"/>
  <c r="T249" i="35"/>
  <c r="C257" i="38"/>
  <c r="E257" i="38" s="1"/>
  <c r="X257" i="36"/>
  <c r="AK257" i="36" s="1"/>
  <c r="X247" i="36"/>
  <c r="AP247" i="36" s="1"/>
  <c r="X130" i="36"/>
  <c r="W378" i="36"/>
  <c r="U376" i="35"/>
  <c r="D384" i="38"/>
  <c r="W243" i="36"/>
  <c r="U241" i="35"/>
  <c r="D249" i="38"/>
  <c r="X291" i="36"/>
  <c r="V226" i="36"/>
  <c r="T224" i="35"/>
  <c r="C232" i="38"/>
  <c r="E232" i="38" s="1"/>
  <c r="V350" i="36"/>
  <c r="T348" i="35"/>
  <c r="C356" i="38"/>
  <c r="E356" i="38" s="1"/>
  <c r="V405" i="36"/>
  <c r="T403" i="35"/>
  <c r="C411" i="38"/>
  <c r="E411" i="38" s="1"/>
  <c r="R69" i="36"/>
  <c r="V224" i="36"/>
  <c r="T222" i="35"/>
  <c r="C230" i="38"/>
  <c r="E230" i="38" s="1"/>
  <c r="X387" i="36"/>
  <c r="AP387" i="36" s="1"/>
  <c r="X242" i="36"/>
  <c r="AN242" i="36" s="1"/>
  <c r="X141" i="36"/>
  <c r="W366" i="36"/>
  <c r="U364" i="35"/>
  <c r="D372" i="38"/>
  <c r="W256" i="36"/>
  <c r="U254" i="35"/>
  <c r="D262" i="38"/>
  <c r="W370" i="36"/>
  <c r="U368" i="35"/>
  <c r="D376" i="38"/>
  <c r="X65" i="36"/>
  <c r="P244" i="1"/>
  <c r="P245" i="36"/>
  <c r="X193" i="36"/>
  <c r="AF230" i="36"/>
  <c r="AK413" i="36"/>
  <c r="Y413" i="36"/>
  <c r="X158" i="36"/>
  <c r="AL294" i="36"/>
  <c r="Y294" i="36"/>
  <c r="V367" i="36"/>
  <c r="T365" i="35"/>
  <c r="C373" i="38"/>
  <c r="E373" i="38" s="1"/>
  <c r="V68" i="36"/>
  <c r="T66" i="35"/>
  <c r="C74" i="38"/>
  <c r="E74" i="38" s="1"/>
  <c r="V215" i="36"/>
  <c r="T213" i="35"/>
  <c r="C221" i="38"/>
  <c r="E221" i="38" s="1"/>
  <c r="V379" i="36"/>
  <c r="T377" i="35"/>
  <c r="C385" i="38"/>
  <c r="E385" i="38" s="1"/>
  <c r="V442" i="36"/>
  <c r="T440" i="35"/>
  <c r="C448" i="38"/>
  <c r="E448" i="38" s="1"/>
  <c r="V225" i="36"/>
  <c r="T223" i="35"/>
  <c r="C231" i="38"/>
  <c r="E231" i="38" s="1"/>
  <c r="T262" i="36"/>
  <c r="X381" i="36"/>
  <c r="AP381" i="36" s="1"/>
  <c r="X245" i="36"/>
  <c r="AN245" i="36" s="1"/>
  <c r="W80" i="36"/>
  <c r="U78" i="35"/>
  <c r="D86" i="38"/>
  <c r="W354" i="36"/>
  <c r="U352" i="35"/>
  <c r="D360" i="38"/>
  <c r="W250" i="36"/>
  <c r="U248" i="35"/>
  <c r="D256" i="38"/>
  <c r="W358" i="36"/>
  <c r="U356" i="35"/>
  <c r="D364" i="38"/>
  <c r="X66" i="36"/>
  <c r="P227" i="1"/>
  <c r="P228" i="36"/>
  <c r="P218" i="1"/>
  <c r="P219" i="36"/>
  <c r="P225" i="1"/>
  <c r="P226" i="36"/>
  <c r="X195" i="36"/>
  <c r="X177" i="36"/>
  <c r="AK50" i="36"/>
  <c r="Y50" i="36"/>
  <c r="X283" i="36"/>
  <c r="AH384" i="36"/>
  <c r="Y384" i="36"/>
  <c r="AK408" i="36"/>
  <c r="Y408" i="36"/>
  <c r="T230" i="36"/>
  <c r="X197" i="36"/>
  <c r="X172" i="36"/>
  <c r="Y438" i="36"/>
  <c r="AD438" i="36"/>
  <c r="Y444" i="36"/>
  <c r="AD444" i="36"/>
  <c r="X156" i="36"/>
  <c r="AK405" i="36"/>
  <c r="Y405" i="36"/>
  <c r="V378" i="36"/>
  <c r="T376" i="35"/>
  <c r="C384" i="38"/>
  <c r="E384" i="38" s="1"/>
  <c r="V51" i="36"/>
  <c r="T49" i="35"/>
  <c r="C57" i="38"/>
  <c r="E57" i="38" s="1"/>
  <c r="V263" i="36"/>
  <c r="T261" i="35"/>
  <c r="C269" i="38"/>
  <c r="E269" i="38" s="1"/>
  <c r="W222" i="36"/>
  <c r="U220" i="35"/>
  <c r="D228" i="38"/>
  <c r="V408" i="36"/>
  <c r="T406" i="35"/>
  <c r="C414" i="38"/>
  <c r="E414" i="38" s="1"/>
  <c r="T264" i="36"/>
  <c r="X246" i="36"/>
  <c r="AP246" i="36" s="1"/>
  <c r="X63" i="36"/>
  <c r="W357" i="36"/>
  <c r="U355" i="35"/>
  <c r="D363" i="38"/>
  <c r="W232" i="36"/>
  <c r="U230" i="35"/>
  <c r="D238" i="38"/>
  <c r="W229" i="36"/>
  <c r="U227" i="35"/>
  <c r="D235" i="38"/>
  <c r="V39" i="36"/>
  <c r="T37" i="35"/>
  <c r="C45" i="38"/>
  <c r="E45" i="38" s="1"/>
  <c r="P242" i="36"/>
  <c r="X212" i="36"/>
  <c r="X168" i="36"/>
  <c r="X159" i="36"/>
  <c r="Y398" i="36"/>
  <c r="AC398" i="36"/>
  <c r="AL202" i="36"/>
  <c r="Y202" i="36"/>
  <c r="V433" i="36"/>
  <c r="T431" i="35"/>
  <c r="C439" i="38"/>
  <c r="E439" i="38" s="1"/>
  <c r="T242" i="36"/>
  <c r="W373" i="36"/>
  <c r="U371" i="35"/>
  <c r="D379" i="38"/>
  <c r="X39" i="36"/>
  <c r="V341" i="36"/>
  <c r="T339" i="35"/>
  <c r="C347" i="38"/>
  <c r="E347" i="38" s="1"/>
  <c r="V409" i="36"/>
  <c r="T407" i="35"/>
  <c r="C415" i="38"/>
  <c r="E415" i="38" s="1"/>
  <c r="X262" i="36"/>
  <c r="AQ262" i="36" s="1"/>
  <c r="W240" i="36"/>
  <c r="U238" i="35"/>
  <c r="D246" i="38"/>
  <c r="P213" i="36"/>
  <c r="P230" i="1"/>
  <c r="P231" i="36"/>
  <c r="X198" i="36"/>
  <c r="X58" i="36"/>
  <c r="Y211" i="36"/>
  <c r="AL211" i="36"/>
  <c r="X152" i="36"/>
  <c r="AC401" i="36"/>
  <c r="Y401" i="36"/>
  <c r="X282" i="36"/>
  <c r="AK404" i="36"/>
  <c r="Y404" i="36"/>
  <c r="V221" i="36"/>
  <c r="T219" i="35"/>
  <c r="C227" i="38"/>
  <c r="E227" i="38" s="1"/>
  <c r="X232" i="36"/>
  <c r="AN232" i="36" s="1"/>
  <c r="W237" i="36"/>
  <c r="U235" i="35"/>
  <c r="D243" i="38"/>
  <c r="V227" i="36"/>
  <c r="T225" i="35"/>
  <c r="C233" i="38"/>
  <c r="E233" i="38" s="1"/>
  <c r="T259" i="36"/>
  <c r="X219" i="36"/>
  <c r="AN219" i="36" s="1"/>
  <c r="V214" i="36"/>
  <c r="T212" i="35"/>
  <c r="C220" i="38"/>
  <c r="E220" i="38" s="1"/>
  <c r="V438" i="36"/>
  <c r="T436" i="35"/>
  <c r="C444" i="38"/>
  <c r="E444" i="38" s="1"/>
  <c r="V250" i="36"/>
  <c r="T248" i="35"/>
  <c r="C256" i="38"/>
  <c r="E256" i="38" s="1"/>
  <c r="T274" i="36"/>
  <c r="T252" i="36"/>
  <c r="X252" i="36"/>
  <c r="AP252" i="36" s="1"/>
  <c r="V366" i="36"/>
  <c r="T364" i="35"/>
  <c r="C372" i="38"/>
  <c r="E372" i="38" s="1"/>
  <c r="W234" i="36"/>
  <c r="U232" i="35"/>
  <c r="D240" i="38"/>
  <c r="W213" i="36"/>
  <c r="U211" i="35"/>
  <c r="D219" i="38"/>
  <c r="V219" i="36"/>
  <c r="T217" i="35"/>
  <c r="C225" i="38"/>
  <c r="E225" i="38" s="1"/>
  <c r="V76" i="36"/>
  <c r="T74" i="35"/>
  <c r="C82" i="38"/>
  <c r="E82" i="38" s="1"/>
  <c r="V233" i="36"/>
  <c r="T231" i="35"/>
  <c r="C239" i="38"/>
  <c r="E239" i="38" s="1"/>
  <c r="V412" i="36"/>
  <c r="T410" i="35"/>
  <c r="C418" i="38"/>
  <c r="E418" i="38" s="1"/>
  <c r="T239" i="36"/>
  <c r="T254" i="36"/>
  <c r="X216" i="36"/>
  <c r="AN216" i="36" s="1"/>
  <c r="X230" i="36"/>
  <c r="AN230" i="36" s="1"/>
  <c r="V247" i="36"/>
  <c r="T245" i="35"/>
  <c r="C253" i="38"/>
  <c r="E253" i="38" s="1"/>
  <c r="W276" i="36"/>
  <c r="U274" i="35"/>
  <c r="D282" i="38"/>
  <c r="W245" i="36"/>
  <c r="U243" i="35"/>
  <c r="D251" i="38"/>
  <c r="W231" i="36"/>
  <c r="U229" i="35"/>
  <c r="D237" i="38"/>
  <c r="X147" i="36"/>
  <c r="P230" i="36"/>
  <c r="X57" i="36"/>
  <c r="AD431" i="36"/>
  <c r="Y431" i="36"/>
  <c r="Y335" i="36"/>
  <c r="AD335" i="36"/>
  <c r="AK407" i="36"/>
  <c r="Y407" i="36"/>
  <c r="AZ4" i="40"/>
  <c r="P69" i="1"/>
  <c r="P75" i="1"/>
  <c r="AX9" i="40"/>
  <c r="BP9" i="40"/>
  <c r="BG9" i="40"/>
  <c r="P237" i="1"/>
  <c r="P72" i="1"/>
  <c r="P212" i="1"/>
  <c r="P79" i="1"/>
  <c r="P66" i="1"/>
  <c r="P67" i="1"/>
  <c r="P71" i="1"/>
  <c r="P70" i="1"/>
  <c r="P73" i="1"/>
  <c r="P77" i="1"/>
  <c r="AT72" i="1"/>
  <c r="AT71" i="1"/>
  <c r="AT73" i="1"/>
  <c r="AT77" i="1"/>
  <c r="AT74" i="1"/>
  <c r="AT66" i="1"/>
  <c r="AT78" i="1"/>
  <c r="AT70" i="1"/>
  <c r="AT79" i="1"/>
  <c r="AT76" i="1"/>
  <c r="AT69" i="1"/>
  <c r="AT67" i="1"/>
  <c r="AT75" i="1"/>
  <c r="AT68" i="1"/>
  <c r="P74" i="1"/>
  <c r="P76" i="1"/>
  <c r="P68" i="1"/>
  <c r="P78" i="1"/>
  <c r="Y343" i="36" l="1"/>
  <c r="Y383" i="36"/>
  <c r="Y279" i="36"/>
  <c r="AK39" i="36"/>
  <c r="Y39" i="36"/>
  <c r="T228" i="36"/>
  <c r="AL159" i="36"/>
  <c r="Y159" i="36"/>
  <c r="Y158" i="36"/>
  <c r="AL158" i="36"/>
  <c r="T245" i="36"/>
  <c r="AL291" i="36"/>
  <c r="Y291" i="36"/>
  <c r="AF242" i="36"/>
  <c r="Y242" i="36"/>
  <c r="AC274" i="36"/>
  <c r="Y274" i="36"/>
  <c r="AL204" i="36"/>
  <c r="Y204" i="36"/>
  <c r="AD77" i="36"/>
  <c r="AL145" i="36"/>
  <c r="Y145" i="36"/>
  <c r="Y363" i="36"/>
  <c r="AD363" i="36"/>
  <c r="AL174" i="36"/>
  <c r="Y174" i="36"/>
  <c r="Y136" i="36"/>
  <c r="AL136" i="36"/>
  <c r="Y205" i="36"/>
  <c r="AL205" i="36"/>
  <c r="Y355" i="36"/>
  <c r="AD355" i="36"/>
  <c r="AL156" i="36"/>
  <c r="Y156" i="36"/>
  <c r="AK284" i="36"/>
  <c r="Y284" i="36"/>
  <c r="AD338" i="36"/>
  <c r="Y338" i="36"/>
  <c r="AD365" i="36"/>
  <c r="Y365" i="36"/>
  <c r="AL192" i="36"/>
  <c r="Y192" i="36"/>
  <c r="Y350" i="36"/>
  <c r="AD350" i="36"/>
  <c r="Y380" i="36"/>
  <c r="T243" i="36"/>
  <c r="T69" i="36"/>
  <c r="Y237" i="36"/>
  <c r="AF237" i="36"/>
  <c r="Y240" i="36"/>
  <c r="AF240" i="36"/>
  <c r="T214" i="36"/>
  <c r="AL181" i="36"/>
  <c r="Y181" i="36"/>
  <c r="Y186" i="36"/>
  <c r="AL186" i="36"/>
  <c r="AD342" i="36"/>
  <c r="Y342" i="36"/>
  <c r="AL191" i="36"/>
  <c r="Y191" i="36"/>
  <c r="AL171" i="36"/>
  <c r="Y171" i="36"/>
  <c r="Y369" i="36"/>
  <c r="AD369" i="36"/>
  <c r="AD76" i="36"/>
  <c r="Y372" i="36"/>
  <c r="AD372" i="36"/>
  <c r="Y65" i="36"/>
  <c r="AM65" i="36"/>
  <c r="AL62" i="36"/>
  <c r="Y62" i="36"/>
  <c r="AD69" i="36"/>
  <c r="AL169" i="36"/>
  <c r="Y169" i="36"/>
  <c r="Y277" i="36"/>
  <c r="AC277" i="36"/>
  <c r="Y352" i="36"/>
  <c r="AD352" i="36"/>
  <c r="AL138" i="36"/>
  <c r="Y138" i="36"/>
  <c r="AL180" i="36"/>
  <c r="Y180" i="36"/>
  <c r="Y227" i="36"/>
  <c r="AF227" i="36"/>
  <c r="Y376" i="36"/>
  <c r="AD376" i="36"/>
  <c r="Y129" i="36"/>
  <c r="AL129" i="36"/>
  <c r="Y214" i="36"/>
  <c r="AF214" i="36"/>
  <c r="Y358" i="36"/>
  <c r="AD358" i="36"/>
  <c r="AK44" i="36"/>
  <c r="Y44" i="36"/>
  <c r="Y238" i="36"/>
  <c r="AF238" i="36"/>
  <c r="Y339" i="36"/>
  <c r="AD339" i="36"/>
  <c r="AM64" i="36"/>
  <c r="Y64" i="36"/>
  <c r="Y131" i="36"/>
  <c r="AL131" i="36"/>
  <c r="T233" i="36"/>
  <c r="AD375" i="36"/>
  <c r="Y375" i="36"/>
  <c r="T77" i="36"/>
  <c r="T75" i="36"/>
  <c r="X69" i="36"/>
  <c r="AL69" i="36" s="1"/>
  <c r="Y168" i="36"/>
  <c r="AL168" i="36"/>
  <c r="Y357" i="36"/>
  <c r="AD357" i="36"/>
  <c r="X76" i="36"/>
  <c r="AL76" i="36" s="1"/>
  <c r="Y152" i="36"/>
  <c r="AL152" i="36"/>
  <c r="AF243" i="36"/>
  <c r="Y243" i="36"/>
  <c r="Y228" i="36"/>
  <c r="AF228" i="36"/>
  <c r="AD74" i="36"/>
  <c r="AK280" i="36"/>
  <c r="Y280" i="36"/>
  <c r="AI265" i="36"/>
  <c r="Y265" i="36"/>
  <c r="AL203" i="36"/>
  <c r="Y203" i="36"/>
  <c r="AK43" i="36"/>
  <c r="Y43" i="36"/>
  <c r="Y235" i="36"/>
  <c r="AF235" i="36"/>
  <c r="AF239" i="36"/>
  <c r="Y239" i="36"/>
  <c r="Y218" i="36"/>
  <c r="AF218" i="36"/>
  <c r="AL133" i="36"/>
  <c r="Y133" i="36"/>
  <c r="AL208" i="36"/>
  <c r="Y208" i="36"/>
  <c r="T215" i="36"/>
  <c r="AF245" i="36"/>
  <c r="Y245" i="36"/>
  <c r="Y139" i="36"/>
  <c r="AL139" i="36"/>
  <c r="Y273" i="36"/>
  <c r="AC273" i="36"/>
  <c r="Y223" i="36"/>
  <c r="AF223" i="36"/>
  <c r="AI262" i="36"/>
  <c r="Y262" i="36"/>
  <c r="T223" i="36"/>
  <c r="X77" i="36"/>
  <c r="AL77" i="36" s="1"/>
  <c r="Y200" i="36"/>
  <c r="AL200" i="36"/>
  <c r="AD377" i="36"/>
  <c r="Y377" i="36"/>
  <c r="AD362" i="36"/>
  <c r="Y362" i="36"/>
  <c r="AH251" i="36"/>
  <c r="Y251" i="36"/>
  <c r="Y212" i="36"/>
  <c r="AL212" i="36"/>
  <c r="AF221" i="36"/>
  <c r="Y221" i="36"/>
  <c r="AL55" i="36"/>
  <c r="Y55" i="36"/>
  <c r="AL151" i="36"/>
  <c r="Y151" i="36"/>
  <c r="Y346" i="36"/>
  <c r="AD346" i="36"/>
  <c r="AD361" i="36"/>
  <c r="Y361" i="36"/>
  <c r="X70" i="36"/>
  <c r="AL70" i="36" s="1"/>
  <c r="X80" i="36"/>
  <c r="AL80" i="36" s="1"/>
  <c r="AL63" i="36"/>
  <c r="Y63" i="36"/>
  <c r="X71" i="36"/>
  <c r="AL71" i="36" s="1"/>
  <c r="T76" i="36"/>
  <c r="Y177" i="36"/>
  <c r="AL177" i="36"/>
  <c r="Y370" i="36"/>
  <c r="AD370" i="36"/>
  <c r="AK40" i="36"/>
  <c r="Y40" i="36"/>
  <c r="Y183" i="36"/>
  <c r="AL183" i="36"/>
  <c r="Y259" i="36"/>
  <c r="AC259" i="36"/>
  <c r="AI266" i="36"/>
  <c r="Y266" i="36"/>
  <c r="Y252" i="36"/>
  <c r="AH252" i="36"/>
  <c r="AL53" i="36"/>
  <c r="Y53" i="36"/>
  <c r="Y351" i="36"/>
  <c r="AD351" i="36"/>
  <c r="Y209" i="36"/>
  <c r="AL209" i="36"/>
  <c r="T221" i="36"/>
  <c r="X79" i="36"/>
  <c r="AL79" i="36" s="1"/>
  <c r="T70" i="36"/>
  <c r="Y250" i="36"/>
  <c r="AH250" i="36"/>
  <c r="Y155" i="36"/>
  <c r="AL155" i="36"/>
  <c r="Y189" i="36"/>
  <c r="AL189" i="36"/>
  <c r="AL175" i="36"/>
  <c r="Y175" i="36"/>
  <c r="Y278" i="36"/>
  <c r="AC278" i="36"/>
  <c r="Y220" i="36"/>
  <c r="AF220" i="36"/>
  <c r="Y194" i="36"/>
  <c r="AL194" i="36"/>
  <c r="AL143" i="36"/>
  <c r="Y143" i="36"/>
  <c r="AD68" i="36"/>
  <c r="AC276" i="36"/>
  <c r="Y276" i="36"/>
  <c r="X67" i="36"/>
  <c r="AL67" i="36" s="1"/>
  <c r="AD378" i="36"/>
  <c r="Y378" i="36"/>
  <c r="AD345" i="36"/>
  <c r="Y345" i="36"/>
  <c r="AC272" i="36"/>
  <c r="Y272" i="36"/>
  <c r="AD348" i="36"/>
  <c r="Y348" i="36"/>
  <c r="Y387" i="36"/>
  <c r="AD367" i="36"/>
  <c r="Y367" i="36"/>
  <c r="AL199" i="36"/>
  <c r="Y199" i="36"/>
  <c r="Y154" i="36"/>
  <c r="AL154" i="36"/>
  <c r="Y153" i="36"/>
  <c r="AL153" i="36"/>
  <c r="AL187" i="36"/>
  <c r="Y187" i="36"/>
  <c r="T244" i="36"/>
  <c r="T227" i="36"/>
  <c r="AL52" i="36"/>
  <c r="Y52" i="36"/>
  <c r="AL57" i="36"/>
  <c r="Y57" i="36"/>
  <c r="X75" i="36"/>
  <c r="AL75" i="36" s="1"/>
  <c r="Y172" i="36"/>
  <c r="AL172" i="36"/>
  <c r="X78" i="36"/>
  <c r="AL78" i="36" s="1"/>
  <c r="Y230" i="36"/>
  <c r="AD67" i="36"/>
  <c r="Y67" i="36"/>
  <c r="AC255" i="36"/>
  <c r="Y255" i="36"/>
  <c r="AC275" i="36"/>
  <c r="Y275" i="36"/>
  <c r="Y210" i="36"/>
  <c r="AL210" i="36"/>
  <c r="AL144" i="36"/>
  <c r="Y144" i="36"/>
  <c r="AL58" i="36"/>
  <c r="Y58" i="36"/>
  <c r="Y195" i="36"/>
  <c r="AL195" i="36"/>
  <c r="Y170" i="36"/>
  <c r="AL170" i="36"/>
  <c r="Y161" i="36"/>
  <c r="AL161" i="36"/>
  <c r="Y233" i="36"/>
  <c r="AF233" i="36"/>
  <c r="Y179" i="36"/>
  <c r="AL179" i="36"/>
  <c r="T235" i="36"/>
  <c r="T220" i="36"/>
  <c r="T234" i="36"/>
  <c r="AF225" i="36"/>
  <c r="Y225" i="36"/>
  <c r="Y216" i="36"/>
  <c r="AF216" i="36"/>
  <c r="Y184" i="36"/>
  <c r="AL184" i="36"/>
  <c r="AC256" i="36"/>
  <c r="Y256" i="36"/>
  <c r="AL130" i="36"/>
  <c r="Y130" i="36"/>
  <c r="T232" i="36"/>
  <c r="Y341" i="36"/>
  <c r="AD341" i="36"/>
  <c r="Y374" i="36"/>
  <c r="AD374" i="36"/>
  <c r="AK51" i="36"/>
  <c r="Y51" i="36"/>
  <c r="AL201" i="36"/>
  <c r="Y201" i="36"/>
  <c r="Y249" i="36"/>
  <c r="AH249" i="36"/>
  <c r="AL197" i="36"/>
  <c r="Y197" i="36"/>
  <c r="T226" i="36"/>
  <c r="Y354" i="36"/>
  <c r="AD354" i="36"/>
  <c r="T225" i="36"/>
  <c r="AD79" i="36"/>
  <c r="Y79" i="36"/>
  <c r="Y146" i="36"/>
  <c r="AL146" i="36"/>
  <c r="AL160" i="36"/>
  <c r="Y160" i="36"/>
  <c r="Y163" i="36"/>
  <c r="AL163" i="36"/>
  <c r="AD72" i="36"/>
  <c r="Y364" i="36"/>
  <c r="AD364" i="36"/>
  <c r="Y353" i="36"/>
  <c r="AD353" i="36"/>
  <c r="Y215" i="36"/>
  <c r="AF215" i="36"/>
  <c r="AK45" i="36"/>
  <c r="Y45" i="36"/>
  <c r="AD344" i="36"/>
  <c r="Y344" i="36"/>
  <c r="Y337" i="36"/>
  <c r="AD337" i="36"/>
  <c r="AL142" i="36"/>
  <c r="Y142" i="36"/>
  <c r="AD336" i="36"/>
  <c r="Y336" i="36"/>
  <c r="AL196" i="36"/>
  <c r="Y196" i="36"/>
  <c r="Y54" i="36"/>
  <c r="AL54" i="36"/>
  <c r="Y224" i="36"/>
  <c r="AF224" i="36"/>
  <c r="Y271" i="36"/>
  <c r="AC271" i="36"/>
  <c r="Y173" i="36"/>
  <c r="AL173" i="36"/>
  <c r="Y71" i="36"/>
  <c r="AD71" i="36"/>
  <c r="T236" i="36"/>
  <c r="AL149" i="36"/>
  <c r="Y149" i="36"/>
  <c r="Y254" i="36"/>
  <c r="AC254" i="36"/>
  <c r="Y207" i="36"/>
  <c r="AL207" i="36"/>
  <c r="AL157" i="36"/>
  <c r="Y157" i="36"/>
  <c r="Y190" i="36"/>
  <c r="AL190" i="36"/>
  <c r="Y371" i="36"/>
  <c r="AD371" i="36"/>
  <c r="AF217" i="36"/>
  <c r="Y217" i="36"/>
  <c r="AD78" i="36"/>
  <c r="Y360" i="36"/>
  <c r="AD360" i="36"/>
  <c r="Y188" i="36"/>
  <c r="AL188" i="36"/>
  <c r="T237" i="36"/>
  <c r="T74" i="36"/>
  <c r="T71" i="36"/>
  <c r="T68" i="36"/>
  <c r="Y234" i="36"/>
  <c r="AF234" i="36"/>
  <c r="AF229" i="36"/>
  <c r="Y229" i="36"/>
  <c r="AK283" i="36"/>
  <c r="Y283" i="36"/>
  <c r="T218" i="36"/>
  <c r="AC260" i="36"/>
  <c r="Y260" i="36"/>
  <c r="AL134" i="36"/>
  <c r="Y134" i="36"/>
  <c r="Y379" i="36"/>
  <c r="AD379" i="36"/>
  <c r="T79" i="36"/>
  <c r="T73" i="36"/>
  <c r="X68" i="36"/>
  <c r="AL68" i="36" s="1"/>
  <c r="T219" i="36"/>
  <c r="T67" i="36"/>
  <c r="T231" i="36"/>
  <c r="Y248" i="36"/>
  <c r="AH248" i="36"/>
  <c r="Y219" i="36"/>
  <c r="AF219" i="36"/>
  <c r="AD75" i="36"/>
  <c r="AL182" i="36"/>
  <c r="Y182" i="36"/>
  <c r="AL185" i="36"/>
  <c r="Y185" i="36"/>
  <c r="AF241" i="36"/>
  <c r="Y241" i="36"/>
  <c r="AL167" i="36"/>
  <c r="Y167" i="36"/>
  <c r="T241" i="36"/>
  <c r="AD366" i="36"/>
  <c r="Y366" i="36"/>
  <c r="Y388" i="36"/>
  <c r="AD356" i="36"/>
  <c r="Y356" i="36"/>
  <c r="Y258" i="36"/>
  <c r="AC258" i="36"/>
  <c r="T238" i="36"/>
  <c r="X72" i="36"/>
  <c r="AL72" i="36" s="1"/>
  <c r="T213" i="36"/>
  <c r="Y80" i="36"/>
  <c r="AD80" i="36"/>
  <c r="AL61" i="36"/>
  <c r="Y61" i="36"/>
  <c r="AH253" i="36"/>
  <c r="Y253" i="36"/>
  <c r="AD70" i="36"/>
  <c r="Y70" i="36"/>
  <c r="Y340" i="36"/>
  <c r="AD340" i="36"/>
  <c r="T78" i="36"/>
  <c r="AD373" i="36"/>
  <c r="Y373" i="36"/>
  <c r="Y347" i="36"/>
  <c r="AD347" i="36"/>
  <c r="Y206" i="36"/>
  <c r="AL206" i="36"/>
  <c r="AI264" i="36"/>
  <c r="Y264" i="36"/>
  <c r="Y140" i="36"/>
  <c r="AL140" i="36"/>
  <c r="Y213" i="36"/>
  <c r="AF213" i="36"/>
  <c r="Y222" i="36"/>
  <c r="AF222" i="36"/>
  <c r="AL193" i="36"/>
  <c r="Y193" i="36"/>
  <c r="AI261" i="36"/>
  <c r="Y261" i="36"/>
  <c r="Y132" i="36"/>
  <c r="AL132" i="36"/>
  <c r="AI263" i="36"/>
  <c r="Y263" i="36"/>
  <c r="AF236" i="36"/>
  <c r="Y236" i="36"/>
  <c r="Y147" i="36"/>
  <c r="AL147" i="36"/>
  <c r="T72" i="36"/>
  <c r="Y381" i="36"/>
  <c r="AF226" i="36"/>
  <c r="Y226" i="36"/>
  <c r="AD359" i="36"/>
  <c r="Y359" i="36"/>
  <c r="Y246" i="36"/>
  <c r="AH246" i="36"/>
  <c r="Y176" i="36"/>
  <c r="AL176" i="36"/>
  <c r="AL60" i="36"/>
  <c r="Y60" i="36"/>
  <c r="Y150" i="36"/>
  <c r="AL150" i="36"/>
  <c r="X74" i="36"/>
  <c r="AL74" i="36" s="1"/>
  <c r="X73" i="36"/>
  <c r="AL73" i="36" s="1"/>
  <c r="AK282" i="36"/>
  <c r="Y282" i="36"/>
  <c r="AL198" i="36"/>
  <c r="Y198" i="36"/>
  <c r="T80" i="36"/>
  <c r="Y231" i="36"/>
  <c r="AF231" i="36"/>
  <c r="Y232" i="36"/>
  <c r="AF232" i="36"/>
  <c r="AM66" i="36"/>
  <c r="Y66" i="36"/>
  <c r="Y141" i="36"/>
  <c r="AL141" i="36"/>
  <c r="AL56" i="36"/>
  <c r="Y56" i="36"/>
  <c r="AL137" i="36"/>
  <c r="Y137" i="36"/>
  <c r="Y257" i="36"/>
  <c r="AC257" i="36"/>
  <c r="Y368" i="36"/>
  <c r="AD368" i="36"/>
  <c r="AF244" i="36"/>
  <c r="Y244" i="36"/>
  <c r="AH247" i="36"/>
  <c r="Y247" i="36"/>
  <c r="Y73" i="36"/>
  <c r="AD73" i="36"/>
  <c r="T216" i="36"/>
  <c r="BG11" i="40"/>
  <c r="BP11" i="40"/>
  <c r="AX11" i="40"/>
  <c r="BG10" i="40"/>
  <c r="BP10" i="40"/>
  <c r="AX10" i="40"/>
  <c r="S19" i="38" a="1"/>
  <c r="S19" i="38" s="1"/>
  <c r="S30" i="38" a="1"/>
  <c r="S30" i="38" s="1"/>
  <c r="S15" i="38" a="1"/>
  <c r="S15" i="38" s="1"/>
  <c r="O16" i="38" a="1"/>
  <c r="O16" i="38" s="1"/>
  <c r="O23" i="38" s="1"/>
  <c r="L16" i="38" a="1"/>
  <c r="L16" i="38" s="1"/>
  <c r="L23" i="38" s="1"/>
  <c r="N18" i="38" a="1"/>
  <c r="N18" i="38" s="1"/>
  <c r="M17" i="38" a="1"/>
  <c r="M17" i="38" s="1"/>
  <c r="M15" i="38" a="1"/>
  <c r="M15" i="38" s="1"/>
  <c r="L19" i="38" a="1"/>
  <c r="L19" i="38" s="1"/>
  <c r="M18" i="38" a="1"/>
  <c r="M18" i="38" s="1"/>
  <c r="T20" i="38" a="1"/>
  <c r="T20" i="38" s="1"/>
  <c r="K19" i="38" a="1"/>
  <c r="K19" i="38" s="1"/>
  <c r="J30" i="38" a="1"/>
  <c r="J30" i="38" s="1"/>
  <c r="S20" i="38" a="1"/>
  <c r="S20" i="38" s="1"/>
  <c r="M16" i="38" a="1"/>
  <c r="M16" i="38" s="1"/>
  <c r="M23" i="38" s="1"/>
  <c r="N15" i="38" a="1"/>
  <c r="N15" i="38" s="1"/>
  <c r="N17" i="38" a="1"/>
  <c r="N17" i="38" s="1"/>
  <c r="O18" i="38" a="1"/>
  <c r="O18" i="38" s="1"/>
  <c r="K20" i="38" a="1"/>
  <c r="K20" i="38" s="1"/>
  <c r="N16" i="38" a="1"/>
  <c r="N16" i="38" s="1"/>
  <c r="N23" i="38" s="1"/>
  <c r="N19" i="38" a="1"/>
  <c r="N19" i="38" s="1"/>
  <c r="M19" i="38" a="1"/>
  <c r="M19" i="38" s="1"/>
  <c r="Q16" i="38" a="1"/>
  <c r="Q16" i="38" s="1"/>
  <c r="Q23" i="38" s="1"/>
  <c r="R30" i="38" a="1"/>
  <c r="R30" i="38" s="1"/>
  <c r="O15" i="38" a="1"/>
  <c r="O15" i="38" s="1"/>
  <c r="Q15" i="38" a="1"/>
  <c r="Q15" i="38" s="1"/>
  <c r="P15" i="38" a="1"/>
  <c r="P15" i="38" s="1"/>
  <c r="K30" i="38" a="1"/>
  <c r="K30" i="38" s="1"/>
  <c r="O19" i="38" a="1"/>
  <c r="O19" i="38" s="1"/>
  <c r="M20" i="38" a="1"/>
  <c r="M20" i="38" s="1"/>
  <c r="M35" i="38" s="1"/>
  <c r="J16" i="38" a="1"/>
  <c r="J16" i="38" s="1"/>
  <c r="J23" i="38" s="1"/>
  <c r="J35" i="38" s="1"/>
  <c r="O20" i="38" a="1"/>
  <c r="O20" i="38" s="1"/>
  <c r="O17" i="38" a="1"/>
  <c r="O17" i="38" s="1"/>
  <c r="O24" i="38" s="1"/>
  <c r="O32" i="38" s="1"/>
  <c r="N30" i="38" a="1"/>
  <c r="N30" i="38" s="1"/>
  <c r="P19" i="38" a="1"/>
  <c r="P19" i="38" s="1"/>
  <c r="L30" i="38" a="1"/>
  <c r="L30" i="38" s="1"/>
  <c r="R16" i="38" a="1"/>
  <c r="R16" i="38" s="1"/>
  <c r="R23" i="38" s="1"/>
  <c r="J15" i="38" a="1"/>
  <c r="J15" i="38" s="1"/>
  <c r="P17" i="38" a="1"/>
  <c r="P17" i="38" s="1"/>
  <c r="R17" i="38" a="1"/>
  <c r="R17" i="38" s="1"/>
  <c r="Q17" i="38" a="1"/>
  <c r="Q17" i="38" s="1"/>
  <c r="M30" i="38" a="1"/>
  <c r="M30" i="38" s="1"/>
  <c r="K15" i="38" a="1"/>
  <c r="K15" i="38" s="1"/>
  <c r="S16" i="38" a="1"/>
  <c r="S16" i="38" s="1"/>
  <c r="S23" i="38" s="1"/>
  <c r="R15" i="38" a="1"/>
  <c r="R15" i="38" s="1"/>
  <c r="K16" i="38" a="1"/>
  <c r="K16" i="38" s="1"/>
  <c r="K23" i="38" s="1"/>
  <c r="R18" i="38" a="1"/>
  <c r="R18" i="38" s="1"/>
  <c r="N20" i="38" a="1"/>
  <c r="N20" i="38" s="1"/>
  <c r="J17" i="38" a="1"/>
  <c r="J17" i="38" s="1"/>
  <c r="P16" i="38" a="1"/>
  <c r="P16" i="38" s="1"/>
  <c r="P23" i="38" s="1"/>
  <c r="L15" i="38" a="1"/>
  <c r="L15" i="38" s="1"/>
  <c r="J18" i="38" a="1"/>
  <c r="J18" i="38" s="1"/>
  <c r="T30" i="38" a="1"/>
  <c r="T30" i="38" s="1"/>
  <c r="K17" i="38" a="1"/>
  <c r="K17" i="38" s="1"/>
  <c r="O30" i="38" a="1"/>
  <c r="O30" i="38" s="1"/>
  <c r="P18" i="38" a="1"/>
  <c r="P18" i="38" s="1"/>
  <c r="J19" i="38" a="1"/>
  <c r="J19" i="38" s="1"/>
  <c r="T15" i="38" a="1"/>
  <c r="T15" i="38" s="1"/>
  <c r="Q18" i="38" a="1"/>
  <c r="Q18" i="38" s="1"/>
  <c r="T16" i="38" a="1"/>
  <c r="T16" i="38" s="1"/>
  <c r="T23" i="38" s="1"/>
  <c r="S17" i="38" a="1"/>
  <c r="S17" i="38" s="1"/>
  <c r="P20" i="38" a="1"/>
  <c r="P20" i="38" s="1"/>
  <c r="S18" i="38" a="1"/>
  <c r="S18" i="38" s="1"/>
  <c r="R19" i="38" a="1"/>
  <c r="R19" i="38" s="1"/>
  <c r="R20" i="38" a="1"/>
  <c r="R20" i="38" s="1"/>
  <c r="K18" i="38" a="1"/>
  <c r="K18" i="38" s="1"/>
  <c r="Q19" i="38" a="1"/>
  <c r="Q19" i="38" s="1"/>
  <c r="J20" i="38" a="1"/>
  <c r="J20" i="38" s="1"/>
  <c r="Q20" i="38" a="1"/>
  <c r="Q20" i="38" s="1"/>
  <c r="P30" i="38" a="1"/>
  <c r="P30" i="38" s="1"/>
  <c r="L17" i="38" a="1"/>
  <c r="L17" i="38" s="1"/>
  <c r="L24" i="38" s="1"/>
  <c r="L32" i="38" s="1"/>
  <c r="L18" i="38" a="1"/>
  <c r="L18" i="38" s="1"/>
  <c r="T17" i="38" a="1"/>
  <c r="T17" i="38" s="1"/>
  <c r="Q30" i="38" a="1"/>
  <c r="Q30" i="38" s="1"/>
  <c r="I13" i="38" a="1"/>
  <c r="I13" i="38" s="1"/>
  <c r="T19" i="38" a="1"/>
  <c r="T19" i="38" s="1"/>
  <c r="T18" i="38" a="1"/>
  <c r="T18" i="38" s="1"/>
  <c r="L20" i="38" a="1"/>
  <c r="L20" i="38" s="1"/>
  <c r="G12" i="35" a="1"/>
  <c r="G12" i="35" s="1"/>
  <c r="G13" i="35" a="1"/>
  <c r="G13" i="35" s="1"/>
  <c r="H12" i="35" a="1"/>
  <c r="H12" i="35" s="1"/>
  <c r="H16" i="35" a="1"/>
  <c r="H16" i="35" s="1"/>
  <c r="H15" i="35" a="1"/>
  <c r="H15" i="35" s="1"/>
  <c r="C19" i="35" a="1"/>
  <c r="C19" i="35" s="1"/>
  <c r="J19" i="35" s="1" a="1"/>
  <c r="J19" i="35" s="1"/>
  <c r="C14" i="35" a="1"/>
  <c r="C14" i="35" s="1"/>
  <c r="J14" i="35" s="1" a="1"/>
  <c r="J14" i="35" s="1"/>
  <c r="E15" i="35" a="1"/>
  <c r="E15" i="35" s="1"/>
  <c r="C18" i="35" a="1"/>
  <c r="C18" i="35" s="1"/>
  <c r="J18" i="35" s="1" a="1"/>
  <c r="J18" i="35" s="1"/>
  <c r="D19" i="35" a="1"/>
  <c r="D19" i="35" s="1"/>
  <c r="G19" i="35" a="1"/>
  <c r="G19" i="35" s="1"/>
  <c r="E18" i="35" a="1"/>
  <c r="E18" i="35" s="1"/>
  <c r="C17" i="35" a="1"/>
  <c r="C17" i="35" s="1"/>
  <c r="G11" i="35" a="1"/>
  <c r="G11" i="35" s="1"/>
  <c r="C10" i="35" a="1"/>
  <c r="C10" i="35" s="1"/>
  <c r="J10" i="35" s="1" a="1"/>
  <c r="J10" i="35" s="1"/>
  <c r="G10" i="35" a="1"/>
  <c r="G10" i="35" s="1"/>
  <c r="H14" i="35" a="1"/>
  <c r="H14" i="35" s="1"/>
  <c r="E10" i="35" a="1"/>
  <c r="E10" i="35" s="1"/>
  <c r="N8" i="35" a="1"/>
  <c r="N8" i="35" s="1"/>
  <c r="D14" i="35" a="1"/>
  <c r="D14" i="35" s="1"/>
  <c r="C13" i="35" a="1"/>
  <c r="C13" i="35" s="1"/>
  <c r="J13" i="35" s="1" a="1"/>
  <c r="J13" i="35" s="1"/>
  <c r="E14" i="35" a="1"/>
  <c r="E14" i="35" s="1"/>
  <c r="E13" i="35" a="1"/>
  <c r="E13" i="35" s="1"/>
  <c r="D17" i="35" a="1"/>
  <c r="D17" i="35" s="1"/>
  <c r="D13" i="35" a="1"/>
  <c r="D13" i="35" s="1"/>
  <c r="F14" i="35" a="1"/>
  <c r="F14" i="35" s="1"/>
  <c r="F18" i="35" a="1"/>
  <c r="F18" i="35" s="1"/>
  <c r="G18" i="35" a="1"/>
  <c r="G18" i="35" s="1"/>
  <c r="C16" i="35" a="1"/>
  <c r="C16" i="35" s="1"/>
  <c r="J16" i="35" s="1" a="1"/>
  <c r="J16" i="35" s="1"/>
  <c r="H18" i="35" a="1"/>
  <c r="H18" i="35" s="1"/>
  <c r="E9" i="35" a="1"/>
  <c r="E9" i="35" s="1"/>
  <c r="H10" i="35" a="1"/>
  <c r="H10" i="35" s="1"/>
  <c r="E12" i="35" a="1"/>
  <c r="E12" i="35" s="1"/>
  <c r="C9" i="35" a="1"/>
  <c r="C9" i="35" s="1"/>
  <c r="J9" i="35" s="1" a="1"/>
  <c r="J9" i="35" s="1"/>
  <c r="G15" i="35" a="1"/>
  <c r="G15" i="35" s="1"/>
  <c r="D16" i="35" a="1"/>
  <c r="D16" i="35" s="1"/>
  <c r="C12" i="35" a="1"/>
  <c r="C12" i="35" s="1"/>
  <c r="J12" i="35" s="1" a="1"/>
  <c r="J12" i="35" s="1"/>
  <c r="G17" i="35" a="1"/>
  <c r="G17" i="35" s="1"/>
  <c r="E17" i="35" a="1"/>
  <c r="E17" i="35" s="1"/>
  <c r="C11" i="35" a="1"/>
  <c r="C11" i="35" s="1"/>
  <c r="J11" i="35" s="1" a="1"/>
  <c r="J11" i="35" s="1"/>
  <c r="F11" i="35" a="1"/>
  <c r="F11" i="35" s="1"/>
  <c r="D11" i="35" a="1"/>
  <c r="D11" i="35" s="1"/>
  <c r="G14" i="35" a="1"/>
  <c r="G14" i="35" s="1"/>
  <c r="F13" i="35" a="1"/>
  <c r="F13" i="35" s="1"/>
  <c r="E16" i="35" a="1"/>
  <c r="E16" i="35" s="1"/>
  <c r="F16" i="35" a="1"/>
  <c r="F16" i="35" s="1"/>
  <c r="D9" i="35" a="1"/>
  <c r="D9" i="35" s="1"/>
  <c r="G16" i="35" a="1"/>
  <c r="G16" i="35" s="1"/>
  <c r="D12" i="35" a="1"/>
  <c r="D12" i="35" s="1"/>
  <c r="H9" i="35" a="1"/>
  <c r="H9" i="35" s="1"/>
  <c r="F17" i="35" a="1"/>
  <c r="F17" i="35" s="1"/>
  <c r="G9" i="35" a="1"/>
  <c r="G9" i="35" s="1"/>
  <c r="F10" i="35" a="1"/>
  <c r="F10" i="35" s="1"/>
  <c r="H13" i="35" a="1"/>
  <c r="H13" i="35" s="1"/>
  <c r="I13" i="35" s="1"/>
  <c r="C15" i="35" a="1"/>
  <c r="C15" i="35" s="1"/>
  <c r="J15" i="35" s="1" a="1"/>
  <c r="J15" i="35" s="1"/>
  <c r="E19" i="35" a="1"/>
  <c r="E19" i="35" s="1"/>
  <c r="E11" i="35" a="1"/>
  <c r="E11" i="35" s="1"/>
  <c r="D15" i="35" a="1"/>
  <c r="D15" i="35" s="1"/>
  <c r="F9" i="35" a="1"/>
  <c r="F9" i="35" s="1"/>
  <c r="H19" i="35" a="1"/>
  <c r="H19" i="35" s="1"/>
  <c r="I19" i="35" s="1"/>
  <c r="H11" i="35" a="1"/>
  <c r="H11" i="35" s="1"/>
  <c r="D18" i="35" a="1"/>
  <c r="D18" i="35" s="1"/>
  <c r="F19" i="35" a="1"/>
  <c r="F19" i="35" s="1"/>
  <c r="D10" i="35" a="1"/>
  <c r="D10" i="35" s="1"/>
  <c r="F12" i="35" a="1"/>
  <c r="F12" i="35" s="1"/>
  <c r="F15" i="35" a="1"/>
  <c r="F15" i="35" s="1"/>
  <c r="BG577" i="40" l="1"/>
  <c r="BG545" i="40"/>
  <c r="BG573" i="40"/>
  <c r="BG548" i="40"/>
  <c r="BG547" i="40"/>
  <c r="BG575" i="40"/>
  <c r="BG576" i="40"/>
  <c r="BG544" i="40"/>
  <c r="BG574" i="40"/>
  <c r="BG549" i="40"/>
  <c r="BG546" i="40"/>
  <c r="BP577" i="40"/>
  <c r="BP575" i="40"/>
  <c r="BP576" i="40"/>
  <c r="BP548" i="40"/>
  <c r="BP545" i="40"/>
  <c r="BP544" i="40"/>
  <c r="BP547" i="40"/>
  <c r="BP573" i="40"/>
  <c r="BP549" i="40"/>
  <c r="BP546" i="40"/>
  <c r="BP574" i="40"/>
  <c r="AX547" i="40"/>
  <c r="AX577" i="40"/>
  <c r="AX545" i="40"/>
  <c r="AX573" i="40"/>
  <c r="AX548" i="40"/>
  <c r="AX576" i="40"/>
  <c r="AX575" i="40"/>
  <c r="AX544" i="40"/>
  <c r="AX546" i="40"/>
  <c r="AX549" i="40"/>
  <c r="AX574" i="40"/>
  <c r="AX28" i="40"/>
  <c r="AX60" i="40"/>
  <c r="AX92" i="40"/>
  <c r="AX124" i="40"/>
  <c r="AX220" i="40"/>
  <c r="AX252" i="40"/>
  <c r="AX51" i="40"/>
  <c r="AX83" i="40"/>
  <c r="AX115" i="40"/>
  <c r="AX74" i="40"/>
  <c r="AX106" i="40"/>
  <c r="AX234" i="40"/>
  <c r="AX65" i="40"/>
  <c r="AX97" i="40"/>
  <c r="AX129" i="40"/>
  <c r="AX24" i="40"/>
  <c r="AX56" i="40"/>
  <c r="AX88" i="40"/>
  <c r="AX120" i="40"/>
  <c r="AX248" i="40"/>
  <c r="AX47" i="40"/>
  <c r="AX79" i="40"/>
  <c r="AX111" i="40"/>
  <c r="AX239" i="40"/>
  <c r="AX38" i="40"/>
  <c r="AX102" i="40"/>
  <c r="AX134" i="40"/>
  <c r="AX29" i="40"/>
  <c r="AX61" i="40"/>
  <c r="AX93" i="40"/>
  <c r="AX125" i="40"/>
  <c r="AX253" i="40"/>
  <c r="AX52" i="40"/>
  <c r="AX84" i="40"/>
  <c r="AX116" i="40"/>
  <c r="AX244" i="40"/>
  <c r="AX75" i="40"/>
  <c r="AX107" i="40"/>
  <c r="AX235" i="40"/>
  <c r="AX66" i="40"/>
  <c r="AX98" i="40"/>
  <c r="AX130" i="40"/>
  <c r="AX57" i="40"/>
  <c r="AX89" i="40"/>
  <c r="AX121" i="40"/>
  <c r="AX48" i="40"/>
  <c r="AX80" i="40"/>
  <c r="AX112" i="40"/>
  <c r="AX39" i="40"/>
  <c r="AX103" i="40"/>
  <c r="AX30" i="40"/>
  <c r="AX62" i="40"/>
  <c r="AX94" i="40"/>
  <c r="AX126" i="40"/>
  <c r="AX21" i="40"/>
  <c r="AX53" i="40"/>
  <c r="AX85" i="40"/>
  <c r="AX117" i="40"/>
  <c r="AX245" i="40"/>
  <c r="AX76" i="40"/>
  <c r="AX108" i="40"/>
  <c r="AX67" i="40"/>
  <c r="AX99" i="40"/>
  <c r="AX131" i="40"/>
  <c r="AX58" i="40"/>
  <c r="AX90" i="40"/>
  <c r="AX122" i="40"/>
  <c r="AX104" i="40"/>
  <c r="AX232" i="40"/>
  <c r="AX264" i="40"/>
  <c r="AX63" i="40"/>
  <c r="AX95" i="40"/>
  <c r="AX127" i="40"/>
  <c r="AX223" i="40"/>
  <c r="AX255" i="40"/>
  <c r="AX22" i="40"/>
  <c r="AX54" i="40"/>
  <c r="AX86" i="40"/>
  <c r="AX118" i="40"/>
  <c r="AX246" i="40"/>
  <c r="AX45" i="40"/>
  <c r="AX77" i="40"/>
  <c r="AX109" i="40"/>
  <c r="AX237" i="40"/>
  <c r="AX68" i="40"/>
  <c r="AX100" i="40"/>
  <c r="AX132" i="40"/>
  <c r="AX228" i="40"/>
  <c r="AX260" i="40"/>
  <c r="AX59" i="40"/>
  <c r="AX91" i="40"/>
  <c r="AX123" i="40"/>
  <c r="AX219" i="40"/>
  <c r="AX251" i="40"/>
  <c r="AX50" i="40"/>
  <c r="AX82" i="40"/>
  <c r="AX114" i="40"/>
  <c r="AX73" i="40"/>
  <c r="AX105" i="40"/>
  <c r="AX64" i="40"/>
  <c r="AX96" i="40"/>
  <c r="AX128" i="40"/>
  <c r="AX256" i="40"/>
  <c r="AX23" i="40"/>
  <c r="AX55" i="40"/>
  <c r="AX87" i="40"/>
  <c r="AX119" i="40"/>
  <c r="AX289" i="40"/>
  <c r="AX353" i="40"/>
  <c r="AX385" i="40"/>
  <c r="AX417" i="40"/>
  <c r="AX449" i="40"/>
  <c r="AX481" i="40"/>
  <c r="AX513" i="40"/>
  <c r="AX609" i="40"/>
  <c r="AX641" i="40"/>
  <c r="AX69" i="40"/>
  <c r="AX280" i="40"/>
  <c r="AX344" i="40"/>
  <c r="AX376" i="40"/>
  <c r="AX440" i="40"/>
  <c r="AX472" i="40"/>
  <c r="AX504" i="40"/>
  <c r="AX600" i="40"/>
  <c r="AX458" i="40"/>
  <c r="AX233" i="40"/>
  <c r="AX241" i="40"/>
  <c r="AX271" i="40"/>
  <c r="AX367" i="40"/>
  <c r="AX399" i="40"/>
  <c r="AX431" i="40"/>
  <c r="AX463" i="40"/>
  <c r="AX527" i="40"/>
  <c r="AX655" i="40"/>
  <c r="AX242" i="40"/>
  <c r="AX250" i="40"/>
  <c r="AX326" i="40"/>
  <c r="AX358" i="40"/>
  <c r="AX454" i="40"/>
  <c r="AX518" i="40"/>
  <c r="AX582" i="40"/>
  <c r="AX646" i="40"/>
  <c r="AX259" i="40"/>
  <c r="AX285" i="40"/>
  <c r="AX349" i="40"/>
  <c r="AX381" i="40"/>
  <c r="AX413" i="40"/>
  <c r="AX445" i="40"/>
  <c r="AX477" i="40"/>
  <c r="AX509" i="40"/>
  <c r="AX605" i="40"/>
  <c r="AX669" i="40"/>
  <c r="AX225" i="40"/>
  <c r="AX276" i="40"/>
  <c r="AX340" i="40"/>
  <c r="AX372" i="40"/>
  <c r="AX404" i="40"/>
  <c r="AX436" i="40"/>
  <c r="AX468" i="40"/>
  <c r="AX596" i="40"/>
  <c r="AX267" i="40"/>
  <c r="AX331" i="40"/>
  <c r="AX363" i="40"/>
  <c r="AX427" i="40"/>
  <c r="AX459" i="40"/>
  <c r="AX523" i="40"/>
  <c r="AX37" i="40"/>
  <c r="AX226" i="40"/>
  <c r="AX290" i="40"/>
  <c r="AX354" i="40"/>
  <c r="AX418" i="40"/>
  <c r="AX450" i="40"/>
  <c r="AX482" i="40"/>
  <c r="AX514" i="40"/>
  <c r="AX610" i="40"/>
  <c r="AX642" i="40"/>
  <c r="AX330" i="40"/>
  <c r="AX243" i="40"/>
  <c r="AX281" i="40"/>
  <c r="AX345" i="40"/>
  <c r="AX377" i="40"/>
  <c r="AX409" i="40"/>
  <c r="AX441" i="40"/>
  <c r="AX473" i="40"/>
  <c r="AX505" i="40"/>
  <c r="AX601" i="40"/>
  <c r="AX272" i="40"/>
  <c r="AX368" i="40"/>
  <c r="AX400" i="40"/>
  <c r="AX432" i="40"/>
  <c r="AX464" i="40"/>
  <c r="AX133" i="40"/>
  <c r="AX101" i="40"/>
  <c r="AX327" i="40"/>
  <c r="AX359" i="40"/>
  <c r="AX455" i="40"/>
  <c r="AX519" i="40"/>
  <c r="AX583" i="40"/>
  <c r="AX647" i="40"/>
  <c r="AX261" i="40"/>
  <c r="AX350" i="40"/>
  <c r="AX382" i="40"/>
  <c r="AX414" i="40"/>
  <c r="AX446" i="40"/>
  <c r="AX478" i="40"/>
  <c r="AX510" i="40"/>
  <c r="AX606" i="40"/>
  <c r="AX277" i="40"/>
  <c r="AX309" i="40"/>
  <c r="AX341" i="40"/>
  <c r="AX373" i="40"/>
  <c r="AX405" i="40"/>
  <c r="AX437" i="40"/>
  <c r="AX469" i="40"/>
  <c r="AX597" i="40"/>
  <c r="AX661" i="40"/>
  <c r="AX227" i="40"/>
  <c r="AX268" i="40"/>
  <c r="AX300" i="40"/>
  <c r="AX332" i="40"/>
  <c r="AX364" i="40"/>
  <c r="AX396" i="40"/>
  <c r="AX428" i="40"/>
  <c r="AX460" i="40"/>
  <c r="AX524" i="40"/>
  <c r="AX236" i="40"/>
  <c r="AX262" i="40"/>
  <c r="AX355" i="40"/>
  <c r="AX419" i="40"/>
  <c r="AX451" i="40"/>
  <c r="AX515" i="40"/>
  <c r="AX611" i="40"/>
  <c r="AX643" i="40"/>
  <c r="AX110" i="40"/>
  <c r="AX282" i="40"/>
  <c r="AX346" i="40"/>
  <c r="AX378" i="40"/>
  <c r="AX410" i="40"/>
  <c r="AX442" i="40"/>
  <c r="AX474" i="40"/>
  <c r="AX506" i="40"/>
  <c r="AX602" i="40"/>
  <c r="AX522" i="40"/>
  <c r="AX273" i="40"/>
  <c r="AX337" i="40"/>
  <c r="AX369" i="40"/>
  <c r="AX401" i="40"/>
  <c r="AX433" i="40"/>
  <c r="AX465" i="40"/>
  <c r="AX657" i="40"/>
  <c r="AX46" i="40"/>
  <c r="AX113" i="40"/>
  <c r="AX254" i="40"/>
  <c r="AX328" i="40"/>
  <c r="AX360" i="40"/>
  <c r="AX456" i="40"/>
  <c r="AX520" i="40"/>
  <c r="AX584" i="40"/>
  <c r="AX648" i="40"/>
  <c r="AX263" i="40"/>
  <c r="AX287" i="40"/>
  <c r="AX351" i="40"/>
  <c r="AX383" i="40"/>
  <c r="AX415" i="40"/>
  <c r="AX447" i="40"/>
  <c r="AX479" i="40"/>
  <c r="AX511" i="40"/>
  <c r="AX607" i="40"/>
  <c r="AX639" i="40"/>
  <c r="AX49" i="40"/>
  <c r="AX278" i="40"/>
  <c r="AX342" i="40"/>
  <c r="AX374" i="40"/>
  <c r="AX406" i="40"/>
  <c r="AX438" i="40"/>
  <c r="AX470" i="40"/>
  <c r="AX598" i="40"/>
  <c r="AX662" i="40"/>
  <c r="AX229" i="40"/>
  <c r="AX269" i="40"/>
  <c r="AX333" i="40"/>
  <c r="AX365" i="40"/>
  <c r="AX397" i="40"/>
  <c r="AX429" i="40"/>
  <c r="AX461" i="40"/>
  <c r="AX525" i="40"/>
  <c r="AX362" i="40"/>
  <c r="AX238" i="40"/>
  <c r="AX356" i="40"/>
  <c r="AX452" i="40"/>
  <c r="AX516" i="40"/>
  <c r="AX580" i="40"/>
  <c r="AX644" i="40"/>
  <c r="AX247" i="40"/>
  <c r="AX283" i="40"/>
  <c r="AX347" i="40"/>
  <c r="AX379" i="40"/>
  <c r="AX411" i="40"/>
  <c r="AX443" i="40"/>
  <c r="AX475" i="40"/>
  <c r="AX507" i="40"/>
  <c r="AX603" i="40"/>
  <c r="AX667" i="40"/>
  <c r="AX230" i="40"/>
  <c r="AX274" i="40"/>
  <c r="AX338" i="40"/>
  <c r="AX370" i="40"/>
  <c r="AX402" i="40"/>
  <c r="AX434" i="40"/>
  <c r="AX466" i="40"/>
  <c r="AX297" i="40"/>
  <c r="AX329" i="40"/>
  <c r="AX361" i="40"/>
  <c r="AX457" i="40"/>
  <c r="AX649" i="40"/>
  <c r="AX222" i="40"/>
  <c r="AX265" i="40"/>
  <c r="AX288" i="40"/>
  <c r="AX352" i="40"/>
  <c r="AX384" i="40"/>
  <c r="AX416" i="40"/>
  <c r="AX448" i="40"/>
  <c r="AX480" i="40"/>
  <c r="AX512" i="40"/>
  <c r="AX608" i="40"/>
  <c r="AX640" i="40"/>
  <c r="AX78" i="40"/>
  <c r="AX279" i="40"/>
  <c r="AX311" i="40"/>
  <c r="AX343" i="40"/>
  <c r="AX375" i="40"/>
  <c r="AX407" i="40"/>
  <c r="AX439" i="40"/>
  <c r="AX471" i="40"/>
  <c r="AX503" i="40"/>
  <c r="AX599" i="40"/>
  <c r="AX663" i="40"/>
  <c r="AX231" i="40"/>
  <c r="AX270" i="40"/>
  <c r="AX334" i="40"/>
  <c r="AX366" i="40"/>
  <c r="AX398" i="40"/>
  <c r="AX430" i="40"/>
  <c r="AX462" i="40"/>
  <c r="AX526" i="40"/>
  <c r="AX266" i="40"/>
  <c r="AX81" i="40"/>
  <c r="AX240" i="40"/>
  <c r="AX257" i="40"/>
  <c r="AX325" i="40"/>
  <c r="AX357" i="40"/>
  <c r="AX453" i="40"/>
  <c r="AX517" i="40"/>
  <c r="AX581" i="40"/>
  <c r="AX645" i="40"/>
  <c r="AX249" i="40"/>
  <c r="AX284" i="40"/>
  <c r="AX348" i="40"/>
  <c r="AX380" i="40"/>
  <c r="AX412" i="40"/>
  <c r="AX444" i="40"/>
  <c r="AX476" i="40"/>
  <c r="AX508" i="40"/>
  <c r="AX604" i="40"/>
  <c r="AX668" i="40"/>
  <c r="AX258" i="40"/>
  <c r="AX275" i="40"/>
  <c r="AX339" i="40"/>
  <c r="AX371" i="40"/>
  <c r="AX403" i="40"/>
  <c r="AX435" i="40"/>
  <c r="AX467" i="40"/>
  <c r="BP52" i="40"/>
  <c r="BP84" i="40"/>
  <c r="BP116" i="40"/>
  <c r="BP244" i="40"/>
  <c r="BP276" i="40"/>
  <c r="BP340" i="40"/>
  <c r="BP372" i="40"/>
  <c r="BP404" i="40"/>
  <c r="BP436" i="40"/>
  <c r="BP468" i="40"/>
  <c r="BP75" i="40"/>
  <c r="BP107" i="40"/>
  <c r="BP235" i="40"/>
  <c r="BP267" i="40"/>
  <c r="BP331" i="40"/>
  <c r="BP363" i="40"/>
  <c r="BP427" i="40"/>
  <c r="BP459" i="40"/>
  <c r="BP523" i="40"/>
  <c r="BP66" i="40"/>
  <c r="BP98" i="40"/>
  <c r="BP130" i="40"/>
  <c r="BP226" i="40"/>
  <c r="BP258" i="40"/>
  <c r="BP290" i="40"/>
  <c r="BP354" i="40"/>
  <c r="BP418" i="40"/>
  <c r="BP450" i="40"/>
  <c r="BP482" i="40"/>
  <c r="BP514" i="40"/>
  <c r="BP57" i="40"/>
  <c r="BP89" i="40"/>
  <c r="BP121" i="40"/>
  <c r="BP249" i="40"/>
  <c r="BP281" i="40"/>
  <c r="BP345" i="40"/>
  <c r="BP377" i="40"/>
  <c r="BP409" i="40"/>
  <c r="BP441" i="40"/>
  <c r="BP473" i="40"/>
  <c r="BP505" i="40"/>
  <c r="BP48" i="40"/>
  <c r="BP80" i="40"/>
  <c r="BP112" i="40"/>
  <c r="BP240" i="40"/>
  <c r="BP272" i="40"/>
  <c r="BP368" i="40"/>
  <c r="BP400" i="40"/>
  <c r="BP432" i="40"/>
  <c r="BP464" i="40"/>
  <c r="BP39" i="40"/>
  <c r="BP103" i="40"/>
  <c r="BP231" i="40"/>
  <c r="BP263" i="40"/>
  <c r="BP327" i="40"/>
  <c r="BP359" i="40"/>
  <c r="BP455" i="40"/>
  <c r="BP519" i="40"/>
  <c r="BP30" i="40"/>
  <c r="BP62" i="40"/>
  <c r="BP21" i="40"/>
  <c r="BP53" i="40"/>
  <c r="BP67" i="40"/>
  <c r="BP58" i="40"/>
  <c r="BP63" i="40"/>
  <c r="BP95" i="40"/>
  <c r="BP127" i="40"/>
  <c r="BP223" i="40"/>
  <c r="BP255" i="40"/>
  <c r="BP287" i="40"/>
  <c r="BP351" i="40"/>
  <c r="BP383" i="40"/>
  <c r="BP415" i="40"/>
  <c r="BP447" i="40"/>
  <c r="BP479" i="40"/>
  <c r="BP511" i="40"/>
  <c r="BP22" i="40"/>
  <c r="BP54" i="40"/>
  <c r="BP86" i="40"/>
  <c r="BP118" i="40"/>
  <c r="BP246" i="40"/>
  <c r="BP278" i="40"/>
  <c r="BP342" i="40"/>
  <c r="BP374" i="40"/>
  <c r="BP406" i="40"/>
  <c r="BP438" i="40"/>
  <c r="BP470" i="40"/>
  <c r="BP45" i="40"/>
  <c r="BP77" i="40"/>
  <c r="BP109" i="40"/>
  <c r="BP237" i="40"/>
  <c r="BP269" i="40"/>
  <c r="BP333" i="40"/>
  <c r="BP365" i="40"/>
  <c r="BP397" i="40"/>
  <c r="BP429" i="40"/>
  <c r="BP461" i="40"/>
  <c r="BP525" i="40"/>
  <c r="BP68" i="40"/>
  <c r="BP100" i="40"/>
  <c r="BP132" i="40"/>
  <c r="BP228" i="40"/>
  <c r="BP260" i="40"/>
  <c r="BP356" i="40"/>
  <c r="BP452" i="40"/>
  <c r="BP516" i="40"/>
  <c r="BP59" i="40"/>
  <c r="BP91" i="40"/>
  <c r="BP123" i="40"/>
  <c r="BP219" i="40"/>
  <c r="BP251" i="40"/>
  <c r="BP283" i="40"/>
  <c r="BP347" i="40"/>
  <c r="BP379" i="40"/>
  <c r="BP411" i="40"/>
  <c r="BP443" i="40"/>
  <c r="BP475" i="40"/>
  <c r="BP507" i="40"/>
  <c r="BP50" i="40"/>
  <c r="BP82" i="40"/>
  <c r="BP114" i="40"/>
  <c r="BP242" i="40"/>
  <c r="BP274" i="40"/>
  <c r="BP338" i="40"/>
  <c r="BP370" i="40"/>
  <c r="BP402" i="40"/>
  <c r="BP434" i="40"/>
  <c r="BP466" i="40"/>
  <c r="BP73" i="40"/>
  <c r="BP105" i="40"/>
  <c r="BP233" i="40"/>
  <c r="BP265" i="40"/>
  <c r="BP297" i="40"/>
  <c r="BP329" i="40"/>
  <c r="BP361" i="40"/>
  <c r="BP457" i="40"/>
  <c r="BP64" i="40"/>
  <c r="BP96" i="40"/>
  <c r="BP128" i="40"/>
  <c r="BP256" i="40"/>
  <c r="BP288" i="40"/>
  <c r="BP352" i="40"/>
  <c r="BP384" i="40"/>
  <c r="BP416" i="40"/>
  <c r="BP448" i="40"/>
  <c r="BP480" i="40"/>
  <c r="BP512" i="40"/>
  <c r="BP23" i="40"/>
  <c r="BP55" i="40"/>
  <c r="BP37" i="40"/>
  <c r="BP69" i="40"/>
  <c r="BP28" i="40"/>
  <c r="BP60" i="40"/>
  <c r="BP51" i="40"/>
  <c r="BP65" i="40"/>
  <c r="BP24" i="40"/>
  <c r="BP56" i="40"/>
  <c r="BP47" i="40"/>
  <c r="BP79" i="40"/>
  <c r="BP111" i="40"/>
  <c r="BP239" i="40"/>
  <c r="BP271" i="40"/>
  <c r="BP367" i="40"/>
  <c r="BP399" i="40"/>
  <c r="BP431" i="40"/>
  <c r="BP463" i="40"/>
  <c r="BP527" i="40"/>
  <c r="BP38" i="40"/>
  <c r="BP102" i="40"/>
  <c r="BP134" i="40"/>
  <c r="BP230" i="40"/>
  <c r="BP262" i="40"/>
  <c r="BP326" i="40"/>
  <c r="BP358" i="40"/>
  <c r="BP454" i="40"/>
  <c r="BP518" i="40"/>
  <c r="BP113" i="40"/>
  <c r="BP222" i="40"/>
  <c r="BP285" i="40"/>
  <c r="BP396" i="40"/>
  <c r="BP481" i="40"/>
  <c r="BP604" i="40"/>
  <c r="BP668" i="40"/>
  <c r="BP104" i="40"/>
  <c r="BP472" i="40"/>
  <c r="BP581" i="40"/>
  <c r="BP87" i="40"/>
  <c r="BP277" i="40"/>
  <c r="BP380" i="40"/>
  <c r="BP445" i="40"/>
  <c r="BP78" i="40"/>
  <c r="BP268" i="40"/>
  <c r="BP371" i="40"/>
  <c r="BP446" i="40"/>
  <c r="BP609" i="40"/>
  <c r="BP641" i="40"/>
  <c r="BP133" i="40"/>
  <c r="BP259" i="40"/>
  <c r="BP362" i="40"/>
  <c r="BP437" i="40"/>
  <c r="BP517" i="40"/>
  <c r="BP600" i="40"/>
  <c r="BP124" i="40"/>
  <c r="BP250" i="40"/>
  <c r="BP353" i="40"/>
  <c r="BP407" i="40"/>
  <c r="BP428" i="40"/>
  <c r="BP508" i="40"/>
  <c r="BP655" i="40"/>
  <c r="BP115" i="40"/>
  <c r="BP241" i="40"/>
  <c r="BP344" i="40"/>
  <c r="BP398" i="40"/>
  <c r="BP106" i="40"/>
  <c r="BP232" i="40"/>
  <c r="BP381" i="40"/>
  <c r="BP474" i="40"/>
  <c r="BP582" i="40"/>
  <c r="BP605" i="40"/>
  <c r="BP669" i="40"/>
  <c r="BP97" i="40"/>
  <c r="BP279" i="40"/>
  <c r="BP311" i="40"/>
  <c r="BP382" i="40"/>
  <c r="BP465" i="40"/>
  <c r="BP88" i="40"/>
  <c r="BP270" i="40"/>
  <c r="BP373" i="40"/>
  <c r="BP456" i="40"/>
  <c r="BP125" i="40"/>
  <c r="BP261" i="40"/>
  <c r="BP364" i="40"/>
  <c r="BP439" i="40"/>
  <c r="BP126" i="40"/>
  <c r="BP252" i="40"/>
  <c r="BP355" i="40"/>
  <c r="BP417" i="40"/>
  <c r="BP430" i="40"/>
  <c r="BP117" i="40"/>
  <c r="BP243" i="40"/>
  <c r="BP328" i="40"/>
  <c r="BP346" i="40"/>
  <c r="BP108" i="40"/>
  <c r="BP234" i="40"/>
  <c r="BP337" i="40"/>
  <c r="BP476" i="40"/>
  <c r="BP647" i="40"/>
  <c r="BP99" i="40"/>
  <c r="BP225" i="40"/>
  <c r="BP289" i="40"/>
  <c r="BP467" i="40"/>
  <c r="BP583" i="40"/>
  <c r="BP606" i="40"/>
  <c r="BP46" i="40"/>
  <c r="BP90" i="40"/>
  <c r="BP280" i="40"/>
  <c r="BP375" i="40"/>
  <c r="BP458" i="40"/>
  <c r="BP597" i="40"/>
  <c r="BP661" i="40"/>
  <c r="BP81" i="40"/>
  <c r="BP253" i="40"/>
  <c r="BP366" i="40"/>
  <c r="BP449" i="40"/>
  <c r="BP49" i="40"/>
  <c r="BP254" i="40"/>
  <c r="BP357" i="40"/>
  <c r="BP419" i="40"/>
  <c r="BP440" i="40"/>
  <c r="BP520" i="40"/>
  <c r="BP611" i="40"/>
  <c r="BP643" i="40"/>
  <c r="BP119" i="40"/>
  <c r="BP245" i="40"/>
  <c r="BP330" i="40"/>
  <c r="BP348" i="40"/>
  <c r="BP410" i="40"/>
  <c r="BP477" i="40"/>
  <c r="BP503" i="40"/>
  <c r="BP602" i="40"/>
  <c r="BP110" i="40"/>
  <c r="BP236" i="40"/>
  <c r="BP339" i="40"/>
  <c r="BP401" i="40"/>
  <c r="BP478" i="40"/>
  <c r="BP657" i="40"/>
  <c r="BP101" i="40"/>
  <c r="BP227" i="40"/>
  <c r="BP469" i="40"/>
  <c r="BP648" i="40"/>
  <c r="BP92" i="40"/>
  <c r="BP282" i="40"/>
  <c r="BP385" i="40"/>
  <c r="BP460" i="40"/>
  <c r="BP83" i="40"/>
  <c r="BP273" i="40"/>
  <c r="BP376" i="40"/>
  <c r="BP451" i="40"/>
  <c r="BP29" i="40"/>
  <c r="BP74" i="40"/>
  <c r="BP264" i="40"/>
  <c r="BP349" i="40"/>
  <c r="BP442" i="40"/>
  <c r="BP129" i="40"/>
  <c r="BP247" i="40"/>
  <c r="BP332" i="40"/>
  <c r="BP350" i="40"/>
  <c r="BP412" i="40"/>
  <c r="BP433" i="40"/>
  <c r="BP61" i="40"/>
  <c r="BP120" i="40"/>
  <c r="BP238" i="40"/>
  <c r="BP341" i="40"/>
  <c r="BP403" i="40"/>
  <c r="BP93" i="40"/>
  <c r="BP220" i="40"/>
  <c r="BP229" i="40"/>
  <c r="BP471" i="40"/>
  <c r="BP94" i="40"/>
  <c r="BP284" i="40"/>
  <c r="BP309" i="40"/>
  <c r="BP462" i="40"/>
  <c r="BP85" i="40"/>
  <c r="BP275" i="40"/>
  <c r="BP378" i="40"/>
  <c r="BP453" i="40"/>
  <c r="BP76" i="40"/>
  <c r="BP266" i="40"/>
  <c r="BP369" i="40"/>
  <c r="BP413" i="40"/>
  <c r="BP444" i="40"/>
  <c r="BP131" i="40"/>
  <c r="BP257" i="40"/>
  <c r="BP300" i="40"/>
  <c r="BP334" i="40"/>
  <c r="BP360" i="40"/>
  <c r="BP414" i="40"/>
  <c r="BP435" i="40"/>
  <c r="BP515" i="40"/>
  <c r="BP598" i="40"/>
  <c r="BP644" i="40"/>
  <c r="BP662" i="40"/>
  <c r="BP405" i="40"/>
  <c r="BP608" i="40"/>
  <c r="BP584" i="40"/>
  <c r="BP599" i="40"/>
  <c r="BP645" i="40"/>
  <c r="BP646" i="40"/>
  <c r="BP504" i="40"/>
  <c r="BP522" i="40"/>
  <c r="BP663" i="40"/>
  <c r="BP610" i="40"/>
  <c r="BP601" i="40"/>
  <c r="BP506" i="40"/>
  <c r="BP639" i="40"/>
  <c r="BP524" i="40"/>
  <c r="BP248" i="40"/>
  <c r="BP325" i="40"/>
  <c r="BP526" i="40"/>
  <c r="BP509" i="40"/>
  <c r="BP603" i="40"/>
  <c r="BP510" i="40"/>
  <c r="BP343" i="40"/>
  <c r="BP649" i="40"/>
  <c r="BP640" i="40"/>
  <c r="BP513" i="40"/>
  <c r="BP667" i="40"/>
  <c r="BP596" i="40"/>
  <c r="BP607" i="40"/>
  <c r="BP580" i="40"/>
  <c r="BP122" i="40"/>
  <c r="BP642" i="40"/>
  <c r="BG63" i="40"/>
  <c r="BG95" i="40"/>
  <c r="BG127" i="40"/>
  <c r="BG223" i="40"/>
  <c r="BG255" i="40"/>
  <c r="BG22" i="40"/>
  <c r="BG54" i="40"/>
  <c r="BG86" i="40"/>
  <c r="BG45" i="40"/>
  <c r="BG77" i="40"/>
  <c r="BG68" i="40"/>
  <c r="BG59" i="40"/>
  <c r="BG91" i="40"/>
  <c r="BG50" i="40"/>
  <c r="BG82" i="40"/>
  <c r="BG64" i="40"/>
  <c r="BG74" i="40"/>
  <c r="BG106" i="40"/>
  <c r="BG234" i="40"/>
  <c r="BG266" i="40"/>
  <c r="BG65" i="40"/>
  <c r="BG97" i="40"/>
  <c r="BG129" i="40"/>
  <c r="BG24" i="40"/>
  <c r="BG47" i="40"/>
  <c r="BG79" i="40"/>
  <c r="BG38" i="40"/>
  <c r="BG29" i="40"/>
  <c r="BG61" i="40"/>
  <c r="BG52" i="40"/>
  <c r="BG84" i="40"/>
  <c r="BG75" i="40"/>
  <c r="BG49" i="40"/>
  <c r="BG81" i="40"/>
  <c r="BG113" i="40"/>
  <c r="BG88" i="40"/>
  <c r="BG121" i="40"/>
  <c r="BG243" i="40"/>
  <c r="BG248" i="40"/>
  <c r="BG272" i="40"/>
  <c r="BG368" i="40"/>
  <c r="BG400" i="40"/>
  <c r="BG432" i="40"/>
  <c r="BG464" i="40"/>
  <c r="BG116" i="40"/>
  <c r="BG253" i="40"/>
  <c r="BG327" i="40"/>
  <c r="BG359" i="40"/>
  <c r="BG455" i="40"/>
  <c r="BG519" i="40"/>
  <c r="BG111" i="40"/>
  <c r="BG219" i="40"/>
  <c r="BG258" i="40"/>
  <c r="BG350" i="40"/>
  <c r="BG382" i="40"/>
  <c r="BG414" i="40"/>
  <c r="BG446" i="40"/>
  <c r="BG478" i="40"/>
  <c r="BG510" i="40"/>
  <c r="BG606" i="40"/>
  <c r="BG132" i="40"/>
  <c r="BG263" i="40"/>
  <c r="BG277" i="40"/>
  <c r="BG309" i="40"/>
  <c r="BG341" i="40"/>
  <c r="BG373" i="40"/>
  <c r="BG405" i="40"/>
  <c r="BG437" i="40"/>
  <c r="BG469" i="40"/>
  <c r="BG58" i="40"/>
  <c r="BG73" i="40"/>
  <c r="BG89" i="40"/>
  <c r="BG229" i="40"/>
  <c r="BG268" i="40"/>
  <c r="BG300" i="40"/>
  <c r="BG332" i="40"/>
  <c r="BG364" i="40"/>
  <c r="BG396" i="40"/>
  <c r="BG428" i="40"/>
  <c r="BG460" i="40"/>
  <c r="BG67" i="40"/>
  <c r="BG101" i="40"/>
  <c r="BG244" i="40"/>
  <c r="BG282" i="40"/>
  <c r="BG346" i="40"/>
  <c r="BG378" i="40"/>
  <c r="BG410" i="40"/>
  <c r="BG442" i="40"/>
  <c r="BG474" i="40"/>
  <c r="BG122" i="40"/>
  <c r="BG96" i="40"/>
  <c r="BG117" i="40"/>
  <c r="BG51" i="40"/>
  <c r="BG112" i="40"/>
  <c r="BG220" i="40"/>
  <c r="BG225" i="40"/>
  <c r="BG60" i="40"/>
  <c r="BG107" i="40"/>
  <c r="BG133" i="40"/>
  <c r="BG69" i="40"/>
  <c r="BG90" i="40"/>
  <c r="BG102" i="40"/>
  <c r="BG128" i="40"/>
  <c r="BG235" i="40"/>
  <c r="BG83" i="40"/>
  <c r="BG123" i="40"/>
  <c r="BG118" i="40"/>
  <c r="BG245" i="40"/>
  <c r="BG283" i="40"/>
  <c r="BG347" i="40"/>
  <c r="BG379" i="40"/>
  <c r="BG411" i="40"/>
  <c r="BG443" i="40"/>
  <c r="BG475" i="40"/>
  <c r="BG250" i="40"/>
  <c r="BG274" i="40"/>
  <c r="BG338" i="40"/>
  <c r="BG370" i="40"/>
  <c r="BG402" i="40"/>
  <c r="BG434" i="40"/>
  <c r="BG466" i="40"/>
  <c r="BG134" i="40"/>
  <c r="BG260" i="40"/>
  <c r="BG297" i="40"/>
  <c r="BG329" i="40"/>
  <c r="BG361" i="40"/>
  <c r="BG457" i="40"/>
  <c r="BG28" i="40"/>
  <c r="BG53" i="40"/>
  <c r="BG226" i="40"/>
  <c r="BG265" i="40"/>
  <c r="BG288" i="40"/>
  <c r="BG352" i="40"/>
  <c r="BG384" i="40"/>
  <c r="BG416" i="40"/>
  <c r="BG448" i="40"/>
  <c r="BG480" i="40"/>
  <c r="BG512" i="40"/>
  <c r="BG62" i="40"/>
  <c r="BG76" i="40"/>
  <c r="BG108" i="40"/>
  <c r="BG103" i="40"/>
  <c r="BG236" i="40"/>
  <c r="BG270" i="40"/>
  <c r="BG334" i="40"/>
  <c r="BG366" i="40"/>
  <c r="BG398" i="40"/>
  <c r="BG430" i="40"/>
  <c r="BG462" i="40"/>
  <c r="BG526" i="40"/>
  <c r="BG37" i="40"/>
  <c r="BG85" i="40"/>
  <c r="BG98" i="40"/>
  <c r="BG124" i="40"/>
  <c r="BG241" i="40"/>
  <c r="BG246" i="40"/>
  <c r="BG325" i="40"/>
  <c r="BG357" i="40"/>
  <c r="BG453" i="40"/>
  <c r="BG517" i="40"/>
  <c r="BG92" i="40"/>
  <c r="BG119" i="40"/>
  <c r="BG251" i="40"/>
  <c r="BG284" i="40"/>
  <c r="BG348" i="40"/>
  <c r="BG380" i="40"/>
  <c r="BG412" i="40"/>
  <c r="BG444" i="40"/>
  <c r="BG46" i="40"/>
  <c r="BG114" i="40"/>
  <c r="BG21" i="40"/>
  <c r="BG30" i="40"/>
  <c r="BG55" i="40"/>
  <c r="BG109" i="40"/>
  <c r="BG222" i="40"/>
  <c r="BG78" i="40"/>
  <c r="BG130" i="40"/>
  <c r="BG227" i="40"/>
  <c r="BG93" i="40"/>
  <c r="BG104" i="40"/>
  <c r="BG125" i="40"/>
  <c r="BG232" i="40"/>
  <c r="BG237" i="40"/>
  <c r="BG39" i="40"/>
  <c r="BG120" i="40"/>
  <c r="BG99" i="40"/>
  <c r="BG23" i="40"/>
  <c r="BG48" i="40"/>
  <c r="BG115" i="40"/>
  <c r="BG57" i="40"/>
  <c r="BG110" i="40"/>
  <c r="BG228" i="40"/>
  <c r="BG267" i="40"/>
  <c r="BG331" i="40"/>
  <c r="BG363" i="40"/>
  <c r="BG427" i="40"/>
  <c r="BG459" i="40"/>
  <c r="BG259" i="40"/>
  <c r="BG372" i="40"/>
  <c r="BG230" i="40"/>
  <c r="BG242" i="40"/>
  <c r="BG356" i="40"/>
  <c r="BG231" i="40"/>
  <c r="BG276" i="40"/>
  <c r="BG340" i="40"/>
  <c r="BG404" i="40"/>
  <c r="BG456" i="40"/>
  <c r="BG479" i="40"/>
  <c r="BG582" i="40"/>
  <c r="BG381" i="40"/>
  <c r="BG440" i="40"/>
  <c r="BG596" i="40"/>
  <c r="BG647" i="40"/>
  <c r="BG126" i="40"/>
  <c r="BG365" i="40"/>
  <c r="BG504" i="40"/>
  <c r="BG601" i="40"/>
  <c r="BG285" i="40"/>
  <c r="BG333" i="40"/>
  <c r="BG349" i="40"/>
  <c r="BG413" i="40"/>
  <c r="BG472" i="40"/>
  <c r="BG527" i="40"/>
  <c r="BG661" i="40"/>
  <c r="BG131" i="40"/>
  <c r="BG261" i="40"/>
  <c r="BG269" i="40"/>
  <c r="BG397" i="40"/>
  <c r="BG449" i="40"/>
  <c r="BG516" i="40"/>
  <c r="BG252" i="40"/>
  <c r="BG374" i="40"/>
  <c r="BG433" i="40"/>
  <c r="BG465" i="40"/>
  <c r="BG522" i="40"/>
  <c r="BG611" i="40"/>
  <c r="BG643" i="40"/>
  <c r="BG233" i="40"/>
  <c r="BG358" i="40"/>
  <c r="BG278" i="40"/>
  <c r="BG326" i="40"/>
  <c r="BG342" i="40"/>
  <c r="BG406" i="40"/>
  <c r="BG441" i="40"/>
  <c r="BG583" i="40"/>
  <c r="BG597" i="40"/>
  <c r="BG657" i="40"/>
  <c r="BG375" i="40"/>
  <c r="BG383" i="40"/>
  <c r="BG458" i="40"/>
  <c r="BG481" i="40"/>
  <c r="BG511" i="40"/>
  <c r="BG602" i="40"/>
  <c r="BG648" i="40"/>
  <c r="BG80" i="40"/>
  <c r="BG367" i="40"/>
  <c r="BG473" i="40"/>
  <c r="BG505" i="40"/>
  <c r="BG607" i="40"/>
  <c r="BG639" i="40"/>
  <c r="BG262" i="40"/>
  <c r="BG279" i="40"/>
  <c r="BG343" i="40"/>
  <c r="BG351" i="40"/>
  <c r="BG407" i="40"/>
  <c r="BG415" i="40"/>
  <c r="BG450" i="40"/>
  <c r="BG662" i="40"/>
  <c r="BG87" i="40"/>
  <c r="BG254" i="40"/>
  <c r="BG271" i="40"/>
  <c r="BG287" i="40"/>
  <c r="BG399" i="40"/>
  <c r="BG376" i="40"/>
  <c r="BG435" i="40"/>
  <c r="BG451" i="40"/>
  <c r="BG506" i="40"/>
  <c r="BG523" i="40"/>
  <c r="BG644" i="40"/>
  <c r="BG56" i="40"/>
  <c r="BG311" i="40"/>
  <c r="BG360" i="40"/>
  <c r="BG467" i="40"/>
  <c r="BG584" i="40"/>
  <c r="BG667" i="40"/>
  <c r="BG280" i="40"/>
  <c r="BG328" i="40"/>
  <c r="BG344" i="40"/>
  <c r="BG482" i="40"/>
  <c r="BG598" i="40"/>
  <c r="BG94" i="40"/>
  <c r="BG385" i="40"/>
  <c r="BG518" i="40"/>
  <c r="BG603" i="40"/>
  <c r="BG649" i="40"/>
  <c r="BG369" i="40"/>
  <c r="BG524" i="40"/>
  <c r="BG608" i="40"/>
  <c r="BG640" i="40"/>
  <c r="BG66" i="40"/>
  <c r="BG256" i="40"/>
  <c r="BG264" i="40"/>
  <c r="BG353" i="40"/>
  <c r="BG417" i="40"/>
  <c r="BG663" i="40"/>
  <c r="BG247" i="40"/>
  <c r="BG273" i="40"/>
  <c r="BG289" i="40"/>
  <c r="BG337" i="40"/>
  <c r="BG100" i="40"/>
  <c r="BG238" i="40"/>
  <c r="BG436" i="40"/>
  <c r="BG507" i="40"/>
  <c r="BG513" i="40"/>
  <c r="BG580" i="40"/>
  <c r="BG645" i="40"/>
  <c r="BG239" i="40"/>
  <c r="BG281" i="40"/>
  <c r="BG345" i="40"/>
  <c r="BG362" i="40"/>
  <c r="BG409" i="40"/>
  <c r="BG468" i="40"/>
  <c r="BG668" i="40"/>
  <c r="BG105" i="40"/>
  <c r="BG330" i="40"/>
  <c r="BG599" i="40"/>
  <c r="BG604" i="40"/>
  <c r="BG445" i="40"/>
  <c r="BG461" i="40"/>
  <c r="BG257" i="40"/>
  <c r="BG354" i="40"/>
  <c r="BG371" i="40"/>
  <c r="BG418" i="40"/>
  <c r="BG429" i="40"/>
  <c r="BG508" i="40"/>
  <c r="BG525" i="40"/>
  <c r="BG609" i="40"/>
  <c r="BG641" i="40"/>
  <c r="BG249" i="40"/>
  <c r="BG290" i="40"/>
  <c r="BG240" i="40"/>
  <c r="BG275" i="40"/>
  <c r="BG339" i="40"/>
  <c r="BG355" i="40"/>
  <c r="BG403" i="40"/>
  <c r="BG419" i="40"/>
  <c r="BG454" i="40"/>
  <c r="BG477" i="40"/>
  <c r="BG520" i="40"/>
  <c r="BG581" i="40"/>
  <c r="BG655" i="40"/>
  <c r="BG438" i="40"/>
  <c r="BG514" i="40"/>
  <c r="BG646" i="40"/>
  <c r="BG470" i="40"/>
  <c r="BG600" i="40"/>
  <c r="BG669" i="40"/>
  <c r="BG605" i="40"/>
  <c r="BG503" i="40"/>
  <c r="BG431" i="40"/>
  <c r="BG439" i="40"/>
  <c r="BG509" i="40"/>
  <c r="BG447" i="40"/>
  <c r="BG515" i="40"/>
  <c r="BG452" i="40"/>
  <c r="BG401" i="40"/>
  <c r="BG610" i="40"/>
  <c r="BG642" i="40"/>
  <c r="BG463" i="40"/>
  <c r="BG471" i="40"/>
  <c r="BG476" i="40"/>
  <c r="BG377" i="40"/>
  <c r="Y72" i="36"/>
  <c r="I12" i="35"/>
  <c r="Y76" i="36"/>
  <c r="Y75" i="36"/>
  <c r="I9" i="35"/>
  <c r="Y74" i="36"/>
  <c r="Y77" i="36"/>
  <c r="Y78" i="36"/>
  <c r="Y69" i="36"/>
  <c r="Y68" i="36"/>
  <c r="BG13" i="42" a="1"/>
  <c r="BG13" i="42" s="1"/>
  <c r="L27" i="38"/>
  <c r="L33" i="38" s="1"/>
  <c r="BZ11" i="40" a="1"/>
  <c r="BZ11" i="40" s="1"/>
  <c r="CA11" i="40" s="1" a="1"/>
  <c r="CA11" i="40" s="1"/>
  <c r="CM11" i="40" a="1"/>
  <c r="CM11" i="40" s="1"/>
  <c r="CZ11" i="40" a="1"/>
  <c r="CZ11" i="40" s="1"/>
  <c r="P27" i="38"/>
  <c r="P33" i="38" s="1"/>
  <c r="R25" i="38"/>
  <c r="I14" i="35"/>
  <c r="P3" i="48" a="1"/>
  <c r="D5" i="33"/>
  <c r="I15" i="35"/>
  <c r="I16" i="35"/>
  <c r="D3" i="33"/>
  <c r="I10" i="35"/>
  <c r="K16" i="35" a="1"/>
  <c r="K16" i="35" s="1"/>
  <c r="K18" i="35" a="1"/>
  <c r="K18" i="35" s="1"/>
  <c r="K13" i="35" a="1"/>
  <c r="K13" i="35" s="1"/>
  <c r="I18" i="35"/>
  <c r="P25" i="38"/>
  <c r="I11" i="35"/>
  <c r="N26" i="38"/>
  <c r="C54" i="40"/>
  <c r="C59" i="40" s="1"/>
  <c r="T24" i="38"/>
  <c r="T32" i="38" s="1"/>
  <c r="Q26" i="38"/>
  <c r="K25" i="38"/>
  <c r="R27" i="38"/>
  <c r="R33" i="38" s="1"/>
  <c r="K14" i="35" a="1"/>
  <c r="K14" i="35" s="1"/>
  <c r="R26" i="38"/>
  <c r="O27" i="38"/>
  <c r="O33" i="38" s="1"/>
  <c r="S25" i="38"/>
  <c r="K10" i="35" a="1"/>
  <c r="K10" i="35" s="1"/>
  <c r="K24" i="38"/>
  <c r="K32" i="38" s="1"/>
  <c r="M26" i="38"/>
  <c r="J25" i="38"/>
  <c r="K27" i="38"/>
  <c r="K33" i="38" s="1"/>
  <c r="J24" i="38"/>
  <c r="J32" i="38" a="1"/>
  <c r="J32" i="38" s="1"/>
  <c r="N27" i="38"/>
  <c r="N35" i="38"/>
  <c r="T26" i="38"/>
  <c r="Q24" i="38"/>
  <c r="Q32" i="38" s="1"/>
  <c r="K15" i="35" a="1"/>
  <c r="K15" i="35" s="1"/>
  <c r="R24" i="38"/>
  <c r="R32" i="38" s="1"/>
  <c r="N33" i="38" a="1"/>
  <c r="N33" i="38" s="1"/>
  <c r="K11" i="35" a="1"/>
  <c r="K11" i="35" s="1"/>
  <c r="Q27" i="38"/>
  <c r="Q33" i="38" s="1"/>
  <c r="M33" i="38" a="1"/>
  <c r="M33" i="38" s="1"/>
  <c r="K9" i="35" a="1"/>
  <c r="K9" i="35" s="1"/>
  <c r="S26" i="38"/>
  <c r="E718" i="42"/>
  <c r="M27" i="38"/>
  <c r="S24" i="38"/>
  <c r="S32" i="38" s="1"/>
  <c r="O26" i="38"/>
  <c r="Q25" i="38"/>
  <c r="J26" i="38"/>
  <c r="AY9" i="40"/>
  <c r="O25" i="38"/>
  <c r="N24" i="38"/>
  <c r="N32" i="38" s="1"/>
  <c r="K12" i="35" a="1"/>
  <c r="K12" i="35" s="1"/>
  <c r="S27" i="38"/>
  <c r="S33" i="38" s="1"/>
  <c r="T25" i="38"/>
  <c r="BH9" i="40"/>
  <c r="K26" i="38"/>
  <c r="I19" i="38" a="1"/>
  <c r="I19" i="38" s="1"/>
  <c r="I30" i="38" a="1"/>
  <c r="I30" i="38" s="1"/>
  <c r="I16" i="38" a="1"/>
  <c r="I16" i="38" s="1"/>
  <c r="I23" i="38" s="1"/>
  <c r="I18" i="38" a="1"/>
  <c r="I18" i="38" s="1"/>
  <c r="I20" i="38" a="1"/>
  <c r="I20" i="38" s="1"/>
  <c r="I15" i="38" a="1"/>
  <c r="I15" i="38" s="1"/>
  <c r="I17" i="38" a="1"/>
  <c r="I17" i="38" s="1"/>
  <c r="T27" i="38"/>
  <c r="T33" i="38" s="1"/>
  <c r="M25" i="38"/>
  <c r="L26" i="38"/>
  <c r="L25" i="38"/>
  <c r="P24" i="38"/>
  <c r="P32" i="38" s="1"/>
  <c r="M24" i="38"/>
  <c r="M32" i="38" s="1"/>
  <c r="N25" i="38"/>
  <c r="J27" i="38"/>
  <c r="J33" i="38" s="1"/>
  <c r="P26" i="38"/>
  <c r="G8" i="35" a="1"/>
  <c r="G8" i="35" s="1"/>
  <c r="D8" i="35" a="1"/>
  <c r="D8" i="35" s="1"/>
  <c r="C8" i="35" a="1"/>
  <c r="C8" i="35" s="1"/>
  <c r="K8" i="35" s="1" a="1"/>
  <c r="K8" i="35" s="1"/>
  <c r="H8" i="35" a="1"/>
  <c r="H8" i="35" s="1"/>
  <c r="J8" i="35" a="1"/>
  <c r="J8" i="35" s="1"/>
  <c r="E8" i="35" a="1"/>
  <c r="E8" i="35" s="1"/>
  <c r="F8" i="35" a="1"/>
  <c r="F8" i="35" s="1"/>
  <c r="BQ9" i="40"/>
  <c r="BQ557" i="40" l="1"/>
  <c r="BQ547" i="40"/>
  <c r="BQ569" i="40"/>
  <c r="BQ573" i="40"/>
  <c r="BQ552" i="40"/>
  <c r="BQ537" i="40"/>
  <c r="BQ577" i="40"/>
  <c r="BQ565" i="40"/>
  <c r="BQ545" i="40"/>
  <c r="BQ576" i="40"/>
  <c r="BQ575" i="40"/>
  <c r="BQ560" i="40"/>
  <c r="BQ548" i="40"/>
  <c r="BQ564" i="40"/>
  <c r="BQ571" i="40"/>
  <c r="BQ544" i="40"/>
  <c r="BQ532" i="40"/>
  <c r="BQ529" i="40"/>
  <c r="BQ568" i="40"/>
  <c r="BQ543" i="40"/>
  <c r="BQ551" i="40"/>
  <c r="BQ555" i="40"/>
  <c r="BQ536" i="40"/>
  <c r="BQ567" i="40"/>
  <c r="BQ556" i="40"/>
  <c r="BQ539" i="40"/>
  <c r="BQ561" i="40"/>
  <c r="BQ566" i="40"/>
  <c r="BQ535" i="40"/>
  <c r="BQ563" i="40"/>
  <c r="BQ534" i="40"/>
  <c r="BQ570" i="40"/>
  <c r="BQ540" i="40"/>
  <c r="BQ538" i="40"/>
  <c r="BQ549" i="40"/>
  <c r="BQ541" i="40"/>
  <c r="BQ554" i="40"/>
  <c r="BQ562" i="40"/>
  <c r="BQ542" i="40"/>
  <c r="BQ550" i="40"/>
  <c r="BQ572" i="40"/>
  <c r="BQ546" i="40"/>
  <c r="BQ558" i="40"/>
  <c r="BQ531" i="40"/>
  <c r="BQ533" i="40"/>
  <c r="BQ530" i="40"/>
  <c r="BQ559" i="40"/>
  <c r="BQ553" i="40"/>
  <c r="BQ574" i="40"/>
  <c r="AY537" i="40"/>
  <c r="AY548" i="40"/>
  <c r="AY536" i="40"/>
  <c r="AY564" i="40"/>
  <c r="AY563" i="40"/>
  <c r="AY552" i="40"/>
  <c r="AY576" i="40"/>
  <c r="AY575" i="40"/>
  <c r="AY556" i="40"/>
  <c r="AY560" i="40"/>
  <c r="AY532" i="40"/>
  <c r="AY571" i="40"/>
  <c r="AY544" i="40"/>
  <c r="AY539" i="40"/>
  <c r="AY529" i="40"/>
  <c r="AY543" i="40"/>
  <c r="AY555" i="40"/>
  <c r="AY566" i="40"/>
  <c r="AY551" i="40"/>
  <c r="AY567" i="40"/>
  <c r="AY577" i="40"/>
  <c r="AY534" i="40"/>
  <c r="AY545" i="40"/>
  <c r="AY535" i="40"/>
  <c r="AY557" i="40"/>
  <c r="AY573" i="40"/>
  <c r="AY561" i="40"/>
  <c r="AY547" i="40"/>
  <c r="AY565" i="40"/>
  <c r="AY569" i="40"/>
  <c r="AY568" i="40"/>
  <c r="AY546" i="40"/>
  <c r="AY550" i="40"/>
  <c r="AY538" i="40"/>
  <c r="AY549" i="40"/>
  <c r="AY562" i="40"/>
  <c r="AY533" i="40"/>
  <c r="AY554" i="40"/>
  <c r="AY559" i="40"/>
  <c r="AY558" i="40"/>
  <c r="AY531" i="40"/>
  <c r="AY572" i="40"/>
  <c r="AY574" i="40"/>
  <c r="AY530" i="40"/>
  <c r="AY553" i="40"/>
  <c r="AY541" i="40"/>
  <c r="AY570" i="40"/>
  <c r="AY540" i="40"/>
  <c r="AY542" i="40"/>
  <c r="BH535" i="40"/>
  <c r="BH575" i="40"/>
  <c r="BH547" i="40"/>
  <c r="BH539" i="40"/>
  <c r="BH564" i="40"/>
  <c r="BH569" i="40"/>
  <c r="BH543" i="40"/>
  <c r="BH532" i="40"/>
  <c r="BH565" i="40"/>
  <c r="BH537" i="40"/>
  <c r="BH577" i="40"/>
  <c r="BH566" i="40"/>
  <c r="BH545" i="40"/>
  <c r="BH561" i="40"/>
  <c r="BH534" i="40"/>
  <c r="BH560" i="40"/>
  <c r="BH576" i="40"/>
  <c r="BH555" i="40"/>
  <c r="BH557" i="40"/>
  <c r="BH544" i="40"/>
  <c r="BH556" i="40"/>
  <c r="BH571" i="40"/>
  <c r="BH573" i="40"/>
  <c r="BH568" i="40"/>
  <c r="BH536" i="40"/>
  <c r="BH529" i="40"/>
  <c r="BH551" i="40"/>
  <c r="BH548" i="40"/>
  <c r="BH552" i="40"/>
  <c r="BH567" i="40"/>
  <c r="BH563" i="40"/>
  <c r="BH558" i="40"/>
  <c r="BH531" i="40"/>
  <c r="BH572" i="40"/>
  <c r="BH574" i="40"/>
  <c r="BH553" i="40"/>
  <c r="BH570" i="40"/>
  <c r="BH538" i="40"/>
  <c r="BH541" i="40"/>
  <c r="BH540" i="40"/>
  <c r="BH542" i="40"/>
  <c r="BH562" i="40"/>
  <c r="BH549" i="40"/>
  <c r="BH550" i="40"/>
  <c r="BH546" i="40"/>
  <c r="BH533" i="40"/>
  <c r="BH554" i="40"/>
  <c r="BH530" i="40"/>
  <c r="BH559" i="40"/>
  <c r="BQ29" i="40"/>
  <c r="BQ221" i="40"/>
  <c r="BQ253" i="40"/>
  <c r="BQ413" i="40"/>
  <c r="BQ509" i="40"/>
  <c r="BQ340" i="40"/>
  <c r="BQ404" i="40"/>
  <c r="BQ43" i="40"/>
  <c r="BQ235" i="40"/>
  <c r="BQ331" i="40"/>
  <c r="BQ395" i="40"/>
  <c r="BQ427" i="40"/>
  <c r="BQ459" i="40"/>
  <c r="BQ523" i="40"/>
  <c r="BQ226" i="40"/>
  <c r="BQ258" i="40"/>
  <c r="BQ290" i="40"/>
  <c r="BQ386" i="40"/>
  <c r="BQ418" i="40"/>
  <c r="BQ450" i="40"/>
  <c r="BQ514" i="40"/>
  <c r="BQ25" i="40"/>
  <c r="BQ121" i="40"/>
  <c r="BQ281" i="40"/>
  <c r="BQ313" i="40"/>
  <c r="BQ409" i="40"/>
  <c r="BQ473" i="40"/>
  <c r="BQ505" i="40"/>
  <c r="BQ16" i="40"/>
  <c r="BQ48" i="40"/>
  <c r="BQ240" i="40"/>
  <c r="BQ336" i="40"/>
  <c r="BQ432" i="40"/>
  <c r="BQ39" i="40"/>
  <c r="BQ30" i="40"/>
  <c r="BQ21" i="40"/>
  <c r="BQ53" i="40"/>
  <c r="BQ12" i="40"/>
  <c r="BQ44" i="40"/>
  <c r="BQ35" i="40"/>
  <c r="BQ26" i="40"/>
  <c r="BQ17" i="40"/>
  <c r="BQ49" i="40"/>
  <c r="BQ40" i="40"/>
  <c r="BQ232" i="40"/>
  <c r="BQ296" i="40"/>
  <c r="BQ328" i="40"/>
  <c r="BQ392" i="40"/>
  <c r="BQ520" i="40"/>
  <c r="BQ31" i="40"/>
  <c r="BQ223" i="40"/>
  <c r="BQ255" i="40"/>
  <c r="BQ287" i="40"/>
  <c r="BQ415" i="40"/>
  <c r="BQ447" i="40"/>
  <c r="BQ511" i="40"/>
  <c r="BQ22" i="40"/>
  <c r="BQ54" i="40"/>
  <c r="BQ278" i="40"/>
  <c r="BQ406" i="40"/>
  <c r="BQ470" i="40"/>
  <c r="BQ13" i="40"/>
  <c r="BQ109" i="40"/>
  <c r="BQ237" i="40"/>
  <c r="BQ333" i="40"/>
  <c r="BQ429" i="40"/>
  <c r="BQ461" i="40"/>
  <c r="BQ525" i="40"/>
  <c r="BQ36" i="40"/>
  <c r="BQ228" i="40"/>
  <c r="BQ260" i="40"/>
  <c r="BQ292" i="40"/>
  <c r="BQ388" i="40"/>
  <c r="BQ452" i="40"/>
  <c r="BQ516" i="40"/>
  <c r="BQ27" i="40"/>
  <c r="BQ219" i="40"/>
  <c r="BQ251" i="40"/>
  <c r="BQ315" i="40"/>
  <c r="BQ411" i="40"/>
  <c r="BQ507" i="40"/>
  <c r="BQ18" i="40"/>
  <c r="BQ50" i="40"/>
  <c r="BQ242" i="40"/>
  <c r="BQ338" i="40"/>
  <c r="BQ434" i="40"/>
  <c r="BQ41" i="40"/>
  <c r="BQ233" i="40"/>
  <c r="BQ265" i="40"/>
  <c r="BQ297" i="40"/>
  <c r="BQ329" i="40"/>
  <c r="BQ393" i="40"/>
  <c r="BQ521" i="40"/>
  <c r="BQ32" i="40"/>
  <c r="BQ23" i="40"/>
  <c r="BQ14" i="40"/>
  <c r="BQ37" i="40"/>
  <c r="BQ28" i="40"/>
  <c r="BQ19" i="40"/>
  <c r="BQ42" i="40"/>
  <c r="BQ33" i="40"/>
  <c r="BQ24" i="40"/>
  <c r="BQ56" i="40"/>
  <c r="BQ280" i="40"/>
  <c r="BQ408" i="40"/>
  <c r="BQ472" i="40"/>
  <c r="BQ504" i="40"/>
  <c r="BQ15" i="40"/>
  <c r="BQ47" i="40"/>
  <c r="BQ239" i="40"/>
  <c r="BQ335" i="40"/>
  <c r="BQ431" i="40"/>
  <c r="BQ230" i="40"/>
  <c r="BQ325" i="40"/>
  <c r="BQ405" i="40"/>
  <c r="BQ426" i="40"/>
  <c r="BQ506" i="40"/>
  <c r="BQ524" i="40"/>
  <c r="BQ222" i="40"/>
  <c r="BQ231" i="40"/>
  <c r="BQ668" i="40"/>
  <c r="BQ286" i="40"/>
  <c r="BQ294" i="40"/>
  <c r="BQ581" i="40"/>
  <c r="BQ659" i="40"/>
  <c r="BQ277" i="40"/>
  <c r="BQ316" i="40"/>
  <c r="BQ650" i="40"/>
  <c r="BQ295" i="40"/>
  <c r="BQ389" i="40"/>
  <c r="BQ641" i="40"/>
  <c r="BQ259" i="40"/>
  <c r="BQ326" i="40"/>
  <c r="BQ416" i="40"/>
  <c r="BQ517" i="40"/>
  <c r="BQ664" i="40"/>
  <c r="BQ38" i="40"/>
  <c r="BQ327" i="40"/>
  <c r="BQ407" i="40"/>
  <c r="BQ428" i="40"/>
  <c r="BQ241" i="40"/>
  <c r="BQ526" i="40"/>
  <c r="BQ224" i="40"/>
  <c r="BQ288" i="40"/>
  <c r="BQ279" i="40"/>
  <c r="BQ311" i="40"/>
  <c r="BQ390" i="40"/>
  <c r="BQ448" i="40"/>
  <c r="BQ261" i="40"/>
  <c r="BQ126" i="40"/>
  <c r="BQ252" i="40"/>
  <c r="BQ391" i="40"/>
  <c r="BQ417" i="40"/>
  <c r="BQ430" i="40"/>
  <c r="BQ243" i="40"/>
  <c r="BQ527" i="40"/>
  <c r="BQ656" i="40"/>
  <c r="BQ234" i="40"/>
  <c r="BQ337" i="40"/>
  <c r="BQ225" i="40"/>
  <c r="BQ289" i="40"/>
  <c r="BQ467" i="40"/>
  <c r="BQ583" i="40"/>
  <c r="BQ661" i="40"/>
  <c r="BQ449" i="40"/>
  <c r="BQ652" i="40"/>
  <c r="BQ254" i="40"/>
  <c r="BQ419" i="40"/>
  <c r="BQ512" i="40"/>
  <c r="BQ643" i="40"/>
  <c r="BQ245" i="40"/>
  <c r="BQ330" i="40"/>
  <c r="BQ410" i="40"/>
  <c r="BQ503" i="40"/>
  <c r="BQ666" i="40"/>
  <c r="BQ236" i="40"/>
  <c r="BQ339" i="40"/>
  <c r="BQ657" i="40"/>
  <c r="BQ55" i="40"/>
  <c r="BQ227" i="40"/>
  <c r="BQ291" i="40"/>
  <c r="BQ469" i="40"/>
  <c r="BQ460" i="40"/>
  <c r="BQ451" i="40"/>
  <c r="BQ256" i="40"/>
  <c r="BQ332" i="40"/>
  <c r="BQ412" i="40"/>
  <c r="BQ433" i="40"/>
  <c r="BQ238" i="40"/>
  <c r="BQ394" i="40"/>
  <c r="BQ220" i="40"/>
  <c r="BQ229" i="40"/>
  <c r="BQ471" i="40"/>
  <c r="BQ293" i="40"/>
  <c r="BQ309" i="40"/>
  <c r="BQ314" i="40"/>
  <c r="BQ462" i="40"/>
  <c r="BQ387" i="40"/>
  <c r="BQ266" i="40"/>
  <c r="BQ663" i="40"/>
  <c r="BQ582" i="40"/>
  <c r="BQ518" i="40"/>
  <c r="BQ519" i="40"/>
  <c r="BQ653" i="40"/>
  <c r="BQ662" i="40"/>
  <c r="BQ414" i="40"/>
  <c r="BQ584" i="40"/>
  <c r="BQ522" i="40"/>
  <c r="BQ654" i="40"/>
  <c r="BQ300" i="40"/>
  <c r="BQ655" i="40"/>
  <c r="BQ508" i="40"/>
  <c r="BQ639" i="40"/>
  <c r="BQ257" i="40"/>
  <c r="BQ334" i="40"/>
  <c r="BQ665" i="40"/>
  <c r="BQ510" i="40"/>
  <c r="BQ640" i="40"/>
  <c r="BQ658" i="40"/>
  <c r="BQ513" i="40"/>
  <c r="BQ667" i="40"/>
  <c r="BQ580" i="40"/>
  <c r="BQ642" i="40"/>
  <c r="BQ651" i="40"/>
  <c r="BQ515" i="40"/>
  <c r="BQ660" i="40"/>
  <c r="BQ669" i="40"/>
  <c r="BQ528" i="40"/>
  <c r="AY37" i="40"/>
  <c r="AY229" i="40"/>
  <c r="AY261" i="40"/>
  <c r="AY28" i="40"/>
  <c r="AY19" i="40"/>
  <c r="AY243" i="40"/>
  <c r="AY42" i="40"/>
  <c r="AY33" i="40"/>
  <c r="AY225" i="40"/>
  <c r="AY257" i="40"/>
  <c r="AY24" i="40"/>
  <c r="AY56" i="40"/>
  <c r="AY15" i="40"/>
  <c r="AY47" i="40"/>
  <c r="AY38" i="40"/>
  <c r="AY230" i="40"/>
  <c r="AY29" i="40"/>
  <c r="AY221" i="40"/>
  <c r="AY253" i="40"/>
  <c r="AY43" i="40"/>
  <c r="AY25" i="40"/>
  <c r="AY121" i="40"/>
  <c r="AY16" i="40"/>
  <c r="AY48" i="40"/>
  <c r="AY39" i="40"/>
  <c r="AY30" i="40"/>
  <c r="AY126" i="40"/>
  <c r="AY222" i="40"/>
  <c r="AY254" i="40"/>
  <c r="AY21" i="40"/>
  <c r="AY53" i="40"/>
  <c r="AY12" i="40"/>
  <c r="AY44" i="40"/>
  <c r="AY35" i="40"/>
  <c r="AY17" i="40"/>
  <c r="AY49" i="40"/>
  <c r="AY241" i="40"/>
  <c r="AY40" i="40"/>
  <c r="AY232" i="40"/>
  <c r="AY31" i="40"/>
  <c r="AY223" i="40"/>
  <c r="AY255" i="40"/>
  <c r="AY22" i="40"/>
  <c r="AY54" i="40"/>
  <c r="AY13" i="40"/>
  <c r="AY109" i="40"/>
  <c r="AY237" i="40"/>
  <c r="AY36" i="40"/>
  <c r="AY228" i="40"/>
  <c r="AY260" i="40"/>
  <c r="AY27" i="40"/>
  <c r="AY18" i="40"/>
  <c r="AY50" i="40"/>
  <c r="AY41" i="40"/>
  <c r="AY233" i="40"/>
  <c r="AY32" i="40"/>
  <c r="AY266" i="40"/>
  <c r="AY330" i="40"/>
  <c r="AY394" i="40"/>
  <c r="AY426" i="40"/>
  <c r="AY522" i="40"/>
  <c r="AY650" i="40"/>
  <c r="AY224" i="40"/>
  <c r="AY289" i="40"/>
  <c r="AY417" i="40"/>
  <c r="AY449" i="40"/>
  <c r="AY513" i="40"/>
  <c r="AY641" i="40"/>
  <c r="AY280" i="40"/>
  <c r="AY408" i="40"/>
  <c r="AY472" i="40"/>
  <c r="AY504" i="40"/>
  <c r="AY664" i="40"/>
  <c r="AY335" i="40"/>
  <c r="AY431" i="40"/>
  <c r="AY527" i="40"/>
  <c r="AY655" i="40"/>
  <c r="AY242" i="40"/>
  <c r="AY294" i="40"/>
  <c r="AY326" i="40"/>
  <c r="AY390" i="40"/>
  <c r="AY518" i="40"/>
  <c r="AY582" i="40"/>
  <c r="AY251" i="40"/>
  <c r="AY259" i="40"/>
  <c r="AY413" i="40"/>
  <c r="AY509" i="40"/>
  <c r="AY669" i="40"/>
  <c r="AY340" i="40"/>
  <c r="AY404" i="40"/>
  <c r="AY660" i="40"/>
  <c r="AY234" i="40"/>
  <c r="AY331" i="40"/>
  <c r="AY395" i="40"/>
  <c r="AY427" i="40"/>
  <c r="AY459" i="40"/>
  <c r="AY523" i="40"/>
  <c r="AY651" i="40"/>
  <c r="AY226" i="40"/>
  <c r="AY290" i="40"/>
  <c r="AY386" i="40"/>
  <c r="AY418" i="40"/>
  <c r="AY450" i="40"/>
  <c r="AY514" i="40"/>
  <c r="AY642" i="40"/>
  <c r="AY235" i="40"/>
  <c r="AY281" i="40"/>
  <c r="AY313" i="40"/>
  <c r="AY409" i="40"/>
  <c r="AY473" i="40"/>
  <c r="AY505" i="40"/>
  <c r="AY665" i="40"/>
  <c r="AY252" i="40"/>
  <c r="AY336" i="40"/>
  <c r="AY432" i="40"/>
  <c r="AY656" i="40"/>
  <c r="AY295" i="40"/>
  <c r="AY327" i="40"/>
  <c r="AY391" i="40"/>
  <c r="AY519" i="40"/>
  <c r="AY583" i="40"/>
  <c r="AY219" i="40"/>
  <c r="AY286" i="40"/>
  <c r="AY414" i="40"/>
  <c r="AY510" i="40"/>
  <c r="AY277" i="40"/>
  <c r="AY309" i="40"/>
  <c r="AY405" i="40"/>
  <c r="AY469" i="40"/>
  <c r="AY661" i="40"/>
  <c r="AY23" i="40"/>
  <c r="AY227" i="40"/>
  <c r="AY300" i="40"/>
  <c r="AY332" i="40"/>
  <c r="AY428" i="40"/>
  <c r="AY460" i="40"/>
  <c r="AY524" i="40"/>
  <c r="AY652" i="40"/>
  <c r="AY467" i="40"/>
  <c r="AY236" i="40"/>
  <c r="AY291" i="40"/>
  <c r="AY387" i="40"/>
  <c r="AY419" i="40"/>
  <c r="AY451" i="40"/>
  <c r="AY515" i="40"/>
  <c r="AY643" i="40"/>
  <c r="AY245" i="40"/>
  <c r="AY314" i="40"/>
  <c r="AY410" i="40"/>
  <c r="AY506" i="40"/>
  <c r="AY666" i="40"/>
  <c r="AY220" i="40"/>
  <c r="AY337" i="40"/>
  <c r="AY433" i="40"/>
  <c r="AY657" i="40"/>
  <c r="AY339" i="40"/>
  <c r="AY26" i="40"/>
  <c r="AY296" i="40"/>
  <c r="AY328" i="40"/>
  <c r="AY392" i="40"/>
  <c r="AY520" i="40"/>
  <c r="AY584" i="40"/>
  <c r="AY287" i="40"/>
  <c r="AY415" i="40"/>
  <c r="AY447" i="40"/>
  <c r="AY511" i="40"/>
  <c r="AY639" i="40"/>
  <c r="AY278" i="40"/>
  <c r="AY406" i="40"/>
  <c r="AY470" i="40"/>
  <c r="AY662" i="40"/>
  <c r="AY333" i="40"/>
  <c r="AY429" i="40"/>
  <c r="AY461" i="40"/>
  <c r="AY525" i="40"/>
  <c r="AY653" i="40"/>
  <c r="AY238" i="40"/>
  <c r="AY292" i="40"/>
  <c r="AY388" i="40"/>
  <c r="AY452" i="40"/>
  <c r="AY516" i="40"/>
  <c r="AY580" i="40"/>
  <c r="AY258" i="40"/>
  <c r="AY55" i="40"/>
  <c r="AY315" i="40"/>
  <c r="AY411" i="40"/>
  <c r="AY507" i="40"/>
  <c r="AY667" i="40"/>
  <c r="AY256" i="40"/>
  <c r="AY338" i="40"/>
  <c r="AY434" i="40"/>
  <c r="AY658" i="40"/>
  <c r="AY239" i="40"/>
  <c r="AY297" i="40"/>
  <c r="AY329" i="40"/>
  <c r="AY393" i="40"/>
  <c r="AY521" i="40"/>
  <c r="AY265" i="40"/>
  <c r="AY288" i="40"/>
  <c r="AY416" i="40"/>
  <c r="AY448" i="40"/>
  <c r="AY512" i="40"/>
  <c r="AY640" i="40"/>
  <c r="AY279" i="40"/>
  <c r="AY311" i="40"/>
  <c r="AY407" i="40"/>
  <c r="AY471" i="40"/>
  <c r="AY503" i="40"/>
  <c r="AY663" i="40"/>
  <c r="AY231" i="40"/>
  <c r="AY334" i="40"/>
  <c r="AY430" i="40"/>
  <c r="AY462" i="40"/>
  <c r="AY526" i="40"/>
  <c r="AY654" i="40"/>
  <c r="AY659" i="40"/>
  <c r="AY240" i="40"/>
  <c r="AY293" i="40"/>
  <c r="AY325" i="40"/>
  <c r="AY389" i="40"/>
  <c r="AY517" i="40"/>
  <c r="AY581" i="40"/>
  <c r="AY14" i="40"/>
  <c r="AY316" i="40"/>
  <c r="AY412" i="40"/>
  <c r="AY508" i="40"/>
  <c r="AY668" i="40"/>
  <c r="AY528" i="40"/>
  <c r="BH40" i="40"/>
  <c r="BH232" i="40"/>
  <c r="BH31" i="40"/>
  <c r="BH22" i="40"/>
  <c r="BH54" i="40"/>
  <c r="BH13" i="40"/>
  <c r="BH36" i="40"/>
  <c r="BH27" i="40"/>
  <c r="BH41" i="40"/>
  <c r="BH19" i="40"/>
  <c r="BH243" i="40"/>
  <c r="BH42" i="40"/>
  <c r="BH33" i="40"/>
  <c r="BH24" i="40"/>
  <c r="BH56" i="40"/>
  <c r="BH15" i="40"/>
  <c r="BH47" i="40"/>
  <c r="BH38" i="40"/>
  <c r="BH29" i="40"/>
  <c r="BH26" i="40"/>
  <c r="BH16" i="40"/>
  <c r="BH126" i="40"/>
  <c r="BH238" i="40"/>
  <c r="BH281" i="40"/>
  <c r="BH313" i="40"/>
  <c r="BH409" i="40"/>
  <c r="BH473" i="40"/>
  <c r="BH505" i="40"/>
  <c r="BH121" i="40"/>
  <c r="BH336" i="40"/>
  <c r="BH432" i="40"/>
  <c r="BH253" i="40"/>
  <c r="BH295" i="40"/>
  <c r="BH327" i="40"/>
  <c r="BH391" i="40"/>
  <c r="BH519" i="40"/>
  <c r="BH583" i="40"/>
  <c r="BH25" i="40"/>
  <c r="BH49" i="40"/>
  <c r="BH219" i="40"/>
  <c r="BH258" i="40"/>
  <c r="BH286" i="40"/>
  <c r="BH414" i="40"/>
  <c r="BH510" i="40"/>
  <c r="BH50" i="40"/>
  <c r="BH224" i="40"/>
  <c r="BH277" i="40"/>
  <c r="BH309" i="40"/>
  <c r="BH405" i="40"/>
  <c r="BH469" i="40"/>
  <c r="BH239" i="40"/>
  <c r="BH291" i="40"/>
  <c r="BH387" i="40"/>
  <c r="BH419" i="40"/>
  <c r="BH451" i="40"/>
  <c r="BH17" i="40"/>
  <c r="BH18" i="40"/>
  <c r="BH43" i="40"/>
  <c r="BH220" i="40"/>
  <c r="BH225" i="40"/>
  <c r="BH230" i="40"/>
  <c r="BH235" i="40"/>
  <c r="BH35" i="40"/>
  <c r="BH240" i="40"/>
  <c r="BH292" i="40"/>
  <c r="BH388" i="40"/>
  <c r="BH452" i="40"/>
  <c r="BH245" i="40"/>
  <c r="BH315" i="40"/>
  <c r="BH411" i="40"/>
  <c r="BH255" i="40"/>
  <c r="BH338" i="40"/>
  <c r="BH434" i="40"/>
  <c r="BH44" i="40"/>
  <c r="BH221" i="40"/>
  <c r="BH260" i="40"/>
  <c r="BH297" i="40"/>
  <c r="BH329" i="40"/>
  <c r="BH393" i="40"/>
  <c r="BH521" i="40"/>
  <c r="BH28" i="40"/>
  <c r="BH53" i="40"/>
  <c r="BH12" i="40"/>
  <c r="BH231" i="40"/>
  <c r="BH279" i="40"/>
  <c r="BH311" i="40"/>
  <c r="BH407" i="40"/>
  <c r="BH471" i="40"/>
  <c r="BH503" i="40"/>
  <c r="BH236" i="40"/>
  <c r="BH334" i="40"/>
  <c r="BH430" i="40"/>
  <c r="BH462" i="40"/>
  <c r="BH37" i="40"/>
  <c r="BH241" i="40"/>
  <c r="BH293" i="40"/>
  <c r="BH325" i="40"/>
  <c r="BH389" i="40"/>
  <c r="BH21" i="40"/>
  <c r="BH30" i="40"/>
  <c r="BH55" i="40"/>
  <c r="BH109" i="40"/>
  <c r="BH222" i="40"/>
  <c r="BH227" i="40"/>
  <c r="BH14" i="40"/>
  <c r="BH39" i="40"/>
  <c r="BH23" i="40"/>
  <c r="BH48" i="40"/>
  <c r="BH223" i="40"/>
  <c r="BH340" i="40"/>
  <c r="BH404" i="40"/>
  <c r="BH332" i="40"/>
  <c r="BH251" i="40"/>
  <c r="BH259" i="40"/>
  <c r="BH431" i="40"/>
  <c r="BH509" i="40"/>
  <c r="BH642" i="40"/>
  <c r="BH242" i="40"/>
  <c r="BH665" i="40"/>
  <c r="BH448" i="40"/>
  <c r="BH582" i="40"/>
  <c r="BH656" i="40"/>
  <c r="BH504" i="40"/>
  <c r="BH316" i="40"/>
  <c r="BH333" i="40"/>
  <c r="BH413" i="40"/>
  <c r="BH472" i="40"/>
  <c r="BH527" i="40"/>
  <c r="BH661" i="40"/>
  <c r="BH261" i="40"/>
  <c r="BH300" i="40"/>
  <c r="BH449" i="40"/>
  <c r="BH516" i="40"/>
  <c r="BH652" i="40"/>
  <c r="BH252" i="40"/>
  <c r="BH390" i="40"/>
  <c r="BH433" i="40"/>
  <c r="BH522" i="40"/>
  <c r="BH643" i="40"/>
  <c r="BH233" i="40"/>
  <c r="BH666" i="40"/>
  <c r="BH234" i="40"/>
  <c r="BH278" i="40"/>
  <c r="BH326" i="40"/>
  <c r="BH406" i="40"/>
  <c r="BH657" i="40"/>
  <c r="BH294" i="40"/>
  <c r="BH511" i="40"/>
  <c r="BH517" i="40"/>
  <c r="BH426" i="40"/>
  <c r="BH639" i="40"/>
  <c r="BH335" i="40"/>
  <c r="BH415" i="40"/>
  <c r="BH450" i="40"/>
  <c r="BH662" i="40"/>
  <c r="BH254" i="40"/>
  <c r="BH287" i="40"/>
  <c r="BH653" i="40"/>
  <c r="BH506" i="40"/>
  <c r="BH523" i="40"/>
  <c r="BH392" i="40"/>
  <c r="BH416" i="40"/>
  <c r="BH467" i="40"/>
  <c r="BH584" i="40"/>
  <c r="BH667" i="40"/>
  <c r="BH237" i="40"/>
  <c r="BH280" i="40"/>
  <c r="BH288" i="40"/>
  <c r="BH328" i="40"/>
  <c r="BH408" i="40"/>
  <c r="BH459" i="40"/>
  <c r="BH512" i="40"/>
  <c r="BH658" i="40"/>
  <c r="BH427" i="40"/>
  <c r="BH518" i="40"/>
  <c r="BH296" i="40"/>
  <c r="BH460" i="40"/>
  <c r="BH524" i="40"/>
  <c r="BH640" i="40"/>
  <c r="BH256" i="40"/>
  <c r="BH289" i="40"/>
  <c r="BH337" i="40"/>
  <c r="BH654" i="40"/>
  <c r="BH265" i="40"/>
  <c r="BH507" i="40"/>
  <c r="BH513" i="40"/>
  <c r="BH580" i="40"/>
  <c r="BH668" i="40"/>
  <c r="BH330" i="40"/>
  <c r="BH386" i="40"/>
  <c r="BH394" i="40"/>
  <c r="BH410" i="40"/>
  <c r="BH659" i="40"/>
  <c r="BH226" i="40"/>
  <c r="BH266" i="40"/>
  <c r="BH461" i="40"/>
  <c r="BH650" i="40"/>
  <c r="BH32" i="40"/>
  <c r="BH257" i="40"/>
  <c r="BH418" i="40"/>
  <c r="BH429" i="40"/>
  <c r="BH508" i="40"/>
  <c r="BH525" i="40"/>
  <c r="BH641" i="40"/>
  <c r="BH290" i="40"/>
  <c r="BH664" i="40"/>
  <c r="BH339" i="40"/>
  <c r="BH520" i="40"/>
  <c r="BH581" i="40"/>
  <c r="BH655" i="40"/>
  <c r="BH228" i="40"/>
  <c r="BH314" i="40"/>
  <c r="BH514" i="40"/>
  <c r="BH331" i="40"/>
  <c r="BH470" i="40"/>
  <c r="BH669" i="40"/>
  <c r="BH660" i="40"/>
  <c r="BH428" i="40"/>
  <c r="BH663" i="40"/>
  <c r="BH447" i="40"/>
  <c r="BH515" i="40"/>
  <c r="BH395" i="40"/>
  <c r="BH526" i="40"/>
  <c r="BH412" i="40"/>
  <c r="BH229" i="40"/>
  <c r="BH417" i="40"/>
  <c r="BH651" i="40"/>
  <c r="BH528" i="40"/>
  <c r="BP683" i="40" a="1"/>
  <c r="BP683" i="40" s="1"/>
  <c r="AX683" i="40" a="1"/>
  <c r="AX683" i="40" s="1"/>
  <c r="AP13" i="42" a="1"/>
  <c r="AP13" i="42" s="1"/>
  <c r="F718" i="42"/>
  <c r="BX13" i="42" a="1"/>
  <c r="BX13" i="42" s="1"/>
  <c r="X13" i="42" a="1"/>
  <c r="X13" i="42" s="1"/>
  <c r="C718" i="42"/>
  <c r="D718" i="42"/>
  <c r="BG683" i="40" a="1"/>
  <c r="BG683" i="40" s="1"/>
  <c r="D6" i="33"/>
  <c r="I27" i="38"/>
  <c r="I33" i="38" s="1"/>
  <c r="D4" i="33"/>
  <c r="D7" i="33"/>
  <c r="I12" i="36" a="1"/>
  <c r="I12" i="36" s="1"/>
  <c r="G5" i="36" a="1"/>
  <c r="G5" i="36" s="1"/>
  <c r="D22" i="36" a="1"/>
  <c r="D22" i="36" s="1"/>
  <c r="E5" i="36" a="1"/>
  <c r="E5" i="36" s="1"/>
  <c r="BQ11" i="40"/>
  <c r="BH11" i="40"/>
  <c r="AY11" i="40"/>
  <c r="P3" i="48"/>
  <c r="U260" i="48"/>
  <c r="U302" i="48"/>
  <c r="U511" i="48"/>
  <c r="U405" i="48"/>
  <c r="U495" i="48"/>
  <c r="U4" i="48"/>
  <c r="U598" i="48"/>
  <c r="U550" i="48"/>
  <c r="U502" i="48"/>
  <c r="U454" i="48"/>
  <c r="U85" i="48"/>
  <c r="U37" i="48"/>
  <c r="U310" i="48"/>
  <c r="U262" i="48"/>
  <c r="U596" i="48"/>
  <c r="U548" i="48"/>
  <c r="U500" i="48"/>
  <c r="U452" i="48"/>
  <c r="U83" i="48"/>
  <c r="U35" i="48"/>
  <c r="U369" i="48"/>
  <c r="U321" i="48"/>
  <c r="U363" i="48"/>
  <c r="U222" i="48"/>
  <c r="U84" i="48"/>
  <c r="U174" i="48"/>
  <c r="U642" i="48"/>
  <c r="U277" i="48"/>
  <c r="U229" i="48"/>
  <c r="U181" i="48"/>
  <c r="U133" i="48"/>
  <c r="U467" i="48"/>
  <c r="U419" i="48"/>
  <c r="U371" i="48"/>
  <c r="U644" i="48"/>
  <c r="U275" i="48"/>
  <c r="U227" i="48"/>
  <c r="U179" i="48"/>
  <c r="U131" i="48"/>
  <c r="U465" i="48"/>
  <c r="U417" i="48"/>
  <c r="U48" i="48"/>
  <c r="U639" i="48"/>
  <c r="U42" i="48"/>
  <c r="U636" i="48"/>
  <c r="U466" i="48"/>
  <c r="U556" i="48"/>
  <c r="U196" i="48"/>
  <c r="U659" i="48"/>
  <c r="U611" i="48"/>
  <c r="U563" i="48"/>
  <c r="U515" i="48"/>
  <c r="U146" i="48"/>
  <c r="U130" i="48"/>
  <c r="U50" i="48"/>
  <c r="U323" i="48"/>
  <c r="U657" i="48"/>
  <c r="U609" i="48"/>
  <c r="U561" i="48"/>
  <c r="U513" i="48"/>
  <c r="U144" i="48"/>
  <c r="U32" i="48"/>
  <c r="U430" i="48"/>
  <c r="U350" i="48"/>
  <c r="U424" i="48"/>
  <c r="U315" i="48"/>
  <c r="U145" i="48"/>
  <c r="U235" i="48"/>
  <c r="U418" i="48"/>
  <c r="U338" i="48"/>
  <c r="U322" i="48"/>
  <c r="U242" i="48"/>
  <c r="U226" i="48"/>
  <c r="U528" i="48"/>
  <c r="U416" i="48"/>
  <c r="U432" i="48"/>
  <c r="U34" i="48"/>
  <c r="U336" i="48"/>
  <c r="U224" i="48"/>
  <c r="U240" i="48"/>
  <c r="U128" i="48"/>
  <c r="U526" i="48"/>
  <c r="U446" i="48"/>
  <c r="U109" i="48"/>
  <c r="U61" i="48"/>
  <c r="U103" i="48"/>
  <c r="U376" i="48"/>
  <c r="U527" i="48"/>
  <c r="U617" i="48"/>
  <c r="U383" i="48"/>
  <c r="U17" i="48"/>
  <c r="U608" i="48"/>
  <c r="U624" i="48"/>
  <c r="U512" i="48"/>
  <c r="U207" i="48"/>
  <c r="U95" i="48"/>
  <c r="U111" i="48"/>
  <c r="U320" i="48"/>
  <c r="U15" i="48"/>
  <c r="U638" i="48"/>
  <c r="U622" i="48"/>
  <c r="U542" i="48"/>
  <c r="U205" i="48"/>
  <c r="U157" i="48"/>
  <c r="U491" i="48"/>
  <c r="U29" i="48"/>
  <c r="U485" i="48"/>
  <c r="U55" i="48"/>
  <c r="U206" i="48"/>
  <c r="U296" i="48"/>
  <c r="U94" i="48"/>
  <c r="U399" i="48"/>
  <c r="U287" i="48"/>
  <c r="U303" i="48"/>
  <c r="U191" i="48"/>
  <c r="U589" i="48"/>
  <c r="U541" i="48"/>
  <c r="U493" i="48"/>
  <c r="U97" i="48"/>
  <c r="U397" i="48"/>
  <c r="U349" i="48"/>
  <c r="U301" i="48"/>
  <c r="U253" i="48"/>
  <c r="U587" i="48"/>
  <c r="U539" i="48"/>
  <c r="U170" i="48"/>
  <c r="U443" i="48"/>
  <c r="U164" i="48"/>
  <c r="U437" i="48"/>
  <c r="U588" i="48"/>
  <c r="U508" i="48"/>
  <c r="U78" i="48"/>
  <c r="U65" i="48"/>
  <c r="U364" i="48"/>
  <c r="U637" i="48"/>
  <c r="U268" i="48"/>
  <c r="U220" i="48"/>
  <c r="U172" i="48"/>
  <c r="U445" i="48"/>
  <c r="U76" i="48"/>
  <c r="U28" i="48"/>
  <c r="U362" i="48"/>
  <c r="U635" i="48"/>
  <c r="U266" i="48"/>
  <c r="U218" i="48"/>
  <c r="U552" i="48"/>
  <c r="U122" i="48"/>
  <c r="U578" i="48"/>
  <c r="U116" i="48"/>
  <c r="U267" i="48"/>
  <c r="U357" i="48"/>
  <c r="U187" i="48"/>
  <c r="U460" i="48"/>
  <c r="U412" i="48"/>
  <c r="U43" i="48"/>
  <c r="U316" i="48"/>
  <c r="U650" i="48"/>
  <c r="U602" i="48"/>
  <c r="U554" i="48"/>
  <c r="U124" i="48"/>
  <c r="U458" i="48"/>
  <c r="U410" i="48"/>
  <c r="U41" i="48"/>
  <c r="U314" i="48"/>
  <c r="U648" i="48"/>
  <c r="U600" i="48"/>
  <c r="U231" i="48"/>
  <c r="U504" i="48"/>
  <c r="U225" i="48"/>
  <c r="U498" i="48"/>
  <c r="U649" i="48"/>
  <c r="U36" i="48"/>
  <c r="U569" i="48"/>
  <c r="U139" i="48"/>
  <c r="U91" i="48"/>
  <c r="U425" i="48"/>
  <c r="U377" i="48"/>
  <c r="U329" i="48"/>
  <c r="U281" i="48"/>
  <c r="U233" i="48"/>
  <c r="U506" i="48"/>
  <c r="U137" i="48"/>
  <c r="U89" i="48"/>
  <c r="U423" i="48"/>
  <c r="U375" i="48"/>
  <c r="U327" i="48"/>
  <c r="U279" i="48"/>
  <c r="U613" i="48"/>
  <c r="U183" i="48"/>
  <c r="U543" i="48"/>
  <c r="U177" i="48"/>
  <c r="U328" i="48"/>
  <c r="U411" i="48"/>
  <c r="U248" i="48"/>
  <c r="U521" i="48"/>
  <c r="U473" i="48"/>
  <c r="U104" i="48"/>
  <c r="U56" i="48"/>
  <c r="U8" i="48"/>
  <c r="U663" i="48"/>
  <c r="U615" i="48"/>
  <c r="U185" i="48"/>
  <c r="U519" i="48"/>
  <c r="U471" i="48"/>
  <c r="U102" i="48"/>
  <c r="U54" i="48"/>
  <c r="U6" i="48"/>
  <c r="U661" i="48"/>
  <c r="U292" i="48"/>
  <c r="U565" i="48"/>
  <c r="U254" i="48"/>
  <c r="U559" i="48"/>
  <c r="U7" i="48"/>
  <c r="U517" i="48"/>
  <c r="U630" i="48"/>
  <c r="U200" i="48"/>
  <c r="U152" i="48"/>
  <c r="U486" i="48"/>
  <c r="U438" i="48"/>
  <c r="U390" i="48"/>
  <c r="U342" i="48"/>
  <c r="U294" i="48"/>
  <c r="U567" i="48"/>
  <c r="U198" i="48"/>
  <c r="U150" i="48"/>
  <c r="U484" i="48"/>
  <c r="U436" i="48"/>
  <c r="U388" i="48"/>
  <c r="U340" i="48"/>
  <c r="U353" i="48"/>
  <c r="U244" i="48"/>
  <c r="U668" i="48"/>
  <c r="U238" i="48"/>
  <c r="U389" i="48"/>
  <c r="U450" i="48"/>
  <c r="U309" i="48"/>
  <c r="U582" i="48"/>
  <c r="U534" i="48"/>
  <c r="U165" i="48"/>
  <c r="U117" i="48"/>
  <c r="U69" i="48"/>
  <c r="U21" i="48"/>
  <c r="U246" i="48"/>
  <c r="U580" i="48"/>
  <c r="U532" i="48"/>
  <c r="U163" i="48"/>
  <c r="U115" i="48"/>
  <c r="U67" i="48"/>
  <c r="U19" i="48"/>
  <c r="U671" i="48"/>
  <c r="U626" i="48"/>
  <c r="U347" i="48"/>
  <c r="U620" i="48"/>
  <c r="U68" i="48"/>
  <c r="U33" i="48"/>
  <c r="U370" i="48"/>
  <c r="U261" i="48"/>
  <c r="U213" i="48"/>
  <c r="U547" i="48"/>
  <c r="U499" i="48"/>
  <c r="U451" i="48"/>
  <c r="U403" i="48"/>
  <c r="U355" i="48"/>
  <c r="U628" i="48"/>
  <c r="U259" i="48"/>
  <c r="U211" i="48"/>
  <c r="U545" i="48"/>
  <c r="U497" i="48"/>
  <c r="U449" i="48"/>
  <c r="U401" i="48"/>
  <c r="U382" i="48"/>
  <c r="U305" i="48"/>
  <c r="U26" i="48"/>
  <c r="U299" i="48"/>
  <c r="U289" i="48"/>
  <c r="U415" i="48"/>
  <c r="U49" i="48"/>
  <c r="U643" i="48"/>
  <c r="U595" i="48"/>
  <c r="U258" i="48"/>
  <c r="U178" i="48"/>
  <c r="U162" i="48"/>
  <c r="U82" i="48"/>
  <c r="U66" i="48"/>
  <c r="U307" i="48"/>
  <c r="U641" i="48"/>
  <c r="U593" i="48"/>
  <c r="U160" i="48"/>
  <c r="U176" i="48"/>
  <c r="U64" i="48"/>
  <c r="U80" i="48"/>
  <c r="U93" i="48"/>
  <c r="U366" i="48"/>
  <c r="U408" i="48"/>
  <c r="U360" i="48"/>
  <c r="U318" i="48"/>
  <c r="U126" i="48"/>
  <c r="U431" i="48"/>
  <c r="U354" i="48"/>
  <c r="U274" i="48"/>
  <c r="U544" i="48"/>
  <c r="U560" i="48"/>
  <c r="U448" i="48"/>
  <c r="U464" i="48"/>
  <c r="U352" i="48"/>
  <c r="U368" i="48"/>
  <c r="U256" i="48"/>
  <c r="U272" i="48"/>
  <c r="U574" i="48"/>
  <c r="U558" i="48"/>
  <c r="U478" i="48"/>
  <c r="U462" i="48"/>
  <c r="U475" i="48"/>
  <c r="U45" i="48"/>
  <c r="U87" i="48"/>
  <c r="U39" i="48"/>
  <c r="U90" i="48"/>
  <c r="U540" i="48"/>
  <c r="U110" i="48"/>
  <c r="U640" i="48"/>
  <c r="U656" i="48"/>
  <c r="U223" i="48"/>
  <c r="U239" i="48"/>
  <c r="U127" i="48"/>
  <c r="U143" i="48"/>
  <c r="U31" i="48"/>
  <c r="U47" i="48"/>
  <c r="U670" i="48"/>
  <c r="U654" i="48"/>
  <c r="U285" i="48"/>
  <c r="U237" i="48"/>
  <c r="U189" i="48"/>
  <c r="U141" i="48"/>
  <c r="U154" i="48"/>
  <c r="U13" i="48"/>
  <c r="U469" i="48"/>
  <c r="U421" i="48"/>
  <c r="U533" i="48"/>
  <c r="U219" i="48"/>
  <c r="U492" i="48"/>
  <c r="U319" i="48"/>
  <c r="U335" i="48"/>
  <c r="U669" i="48"/>
  <c r="U621" i="48"/>
  <c r="U573" i="48"/>
  <c r="U525" i="48"/>
  <c r="U477" i="48"/>
  <c r="U429" i="48"/>
  <c r="U381" i="48"/>
  <c r="U333" i="48"/>
  <c r="U667" i="48"/>
  <c r="U619" i="48"/>
  <c r="U571" i="48"/>
  <c r="U523" i="48"/>
  <c r="U536" i="48"/>
  <c r="U427" i="48"/>
  <c r="U148" i="48"/>
  <c r="U100" i="48"/>
  <c r="U594" i="48"/>
  <c r="U601" i="48"/>
  <c r="U171" i="48"/>
  <c r="U30" i="48"/>
  <c r="U14" i="48"/>
  <c r="U348" i="48"/>
  <c r="U300" i="48"/>
  <c r="U252" i="48"/>
  <c r="U204" i="48"/>
  <c r="U156" i="48"/>
  <c r="U108" i="48"/>
  <c r="U60" i="48"/>
  <c r="U12" i="48"/>
  <c r="U346" i="48"/>
  <c r="U298" i="48"/>
  <c r="U250" i="48"/>
  <c r="U202" i="48"/>
  <c r="U215" i="48"/>
  <c r="U151" i="48"/>
  <c r="U530" i="48"/>
  <c r="U607" i="48"/>
  <c r="U655" i="48"/>
  <c r="U280" i="48"/>
  <c r="U553" i="48"/>
  <c r="U444" i="48"/>
  <c r="U396" i="48"/>
  <c r="U27" i="48"/>
  <c r="U361" i="48"/>
  <c r="U634" i="48"/>
  <c r="U586" i="48"/>
  <c r="U538" i="48"/>
  <c r="U490" i="48"/>
  <c r="U442" i="48"/>
  <c r="U394" i="48"/>
  <c r="U25" i="48"/>
  <c r="U359" i="48"/>
  <c r="U632" i="48"/>
  <c r="U584" i="48"/>
  <c r="U597" i="48"/>
  <c r="U610" i="48"/>
  <c r="U209" i="48"/>
  <c r="U472" i="48"/>
  <c r="U135" i="48"/>
  <c r="U662" i="48"/>
  <c r="U232" i="48"/>
  <c r="U123" i="48"/>
  <c r="U75" i="48"/>
  <c r="U409" i="48"/>
  <c r="U40" i="48"/>
  <c r="U313" i="48"/>
  <c r="U265" i="48"/>
  <c r="U217" i="48"/>
  <c r="U169" i="48"/>
  <c r="U121" i="48"/>
  <c r="U73" i="48"/>
  <c r="U407" i="48"/>
  <c r="U38" i="48"/>
  <c r="U311" i="48"/>
  <c r="U263" i="48"/>
  <c r="U276" i="48"/>
  <c r="U257" i="48"/>
  <c r="U591" i="48"/>
  <c r="U212" i="48"/>
  <c r="U482" i="48"/>
  <c r="U341" i="48"/>
  <c r="U614" i="48"/>
  <c r="U505" i="48"/>
  <c r="U457" i="48"/>
  <c r="U88" i="48"/>
  <c r="U422" i="48"/>
  <c r="U374" i="48"/>
  <c r="U647" i="48"/>
  <c r="U599" i="48"/>
  <c r="U551" i="48"/>
  <c r="U503" i="48"/>
  <c r="U455" i="48"/>
  <c r="U86" i="48"/>
  <c r="U420" i="48"/>
  <c r="U372" i="48"/>
  <c r="U645" i="48"/>
  <c r="U658" i="48"/>
  <c r="U575" i="48"/>
  <c r="U270" i="48"/>
  <c r="U273" i="48"/>
  <c r="U129" i="48"/>
  <c r="U20" i="48"/>
  <c r="U293" i="48"/>
  <c r="U184" i="48"/>
  <c r="U136" i="48"/>
  <c r="U470" i="48"/>
  <c r="U101" i="48"/>
  <c r="U53" i="48"/>
  <c r="U326" i="48"/>
  <c r="U278" i="48"/>
  <c r="U230" i="48"/>
  <c r="U182" i="48"/>
  <c r="U134" i="48"/>
  <c r="U468" i="48"/>
  <c r="U99" i="48"/>
  <c r="U51" i="48"/>
  <c r="U324" i="48"/>
  <c r="U337" i="48"/>
  <c r="U286" i="48"/>
  <c r="U652" i="48"/>
  <c r="U456" i="48"/>
  <c r="U447" i="48"/>
  <c r="U402" i="48"/>
  <c r="U566" i="48"/>
  <c r="U518" i="48"/>
  <c r="U149" i="48"/>
  <c r="U483" i="48"/>
  <c r="U435" i="48"/>
  <c r="U5" i="48"/>
  <c r="U660" i="48"/>
  <c r="U612" i="48"/>
  <c r="U564" i="48"/>
  <c r="U516" i="48"/>
  <c r="U147" i="48"/>
  <c r="U481" i="48"/>
  <c r="U433" i="48"/>
  <c r="U16" i="48"/>
  <c r="U379" i="48"/>
  <c r="U331" i="48"/>
  <c r="U514" i="48"/>
  <c r="U158" i="48"/>
  <c r="U81" i="48"/>
  <c r="U334" i="48"/>
  <c r="U245" i="48"/>
  <c r="U197" i="48"/>
  <c r="U531" i="48"/>
  <c r="U194" i="48"/>
  <c r="U114" i="48"/>
  <c r="U387" i="48"/>
  <c r="U339" i="48"/>
  <c r="U291" i="48"/>
  <c r="U243" i="48"/>
  <c r="U195" i="48"/>
  <c r="U529" i="48"/>
  <c r="U96" i="48"/>
  <c r="U112" i="48"/>
  <c r="U385" i="48"/>
  <c r="U398" i="48"/>
  <c r="U58" i="48"/>
  <c r="U10" i="48"/>
  <c r="U161" i="48"/>
  <c r="U572" i="48"/>
  <c r="U463" i="48"/>
  <c r="U386" i="48"/>
  <c r="U627" i="48"/>
  <c r="U579" i="48"/>
  <c r="U210" i="48"/>
  <c r="U480" i="48"/>
  <c r="U496" i="48"/>
  <c r="U98" i="48"/>
  <c r="U18" i="48"/>
  <c r="U625" i="48"/>
  <c r="U577" i="48"/>
  <c r="U208" i="48"/>
  <c r="U510" i="48"/>
  <c r="U494" i="48"/>
  <c r="U414" i="48"/>
  <c r="U77" i="48"/>
  <c r="U440" i="48"/>
  <c r="U392" i="48"/>
  <c r="U479" i="48"/>
  <c r="U251" i="48"/>
  <c r="U142" i="48"/>
  <c r="U672" i="48"/>
  <c r="U306" i="48"/>
  <c r="U290" i="48"/>
  <c r="U592" i="48"/>
  <c r="U159" i="48"/>
  <c r="U175" i="48"/>
  <c r="U384" i="48"/>
  <c r="U400" i="48"/>
  <c r="U288" i="48"/>
  <c r="U304" i="48"/>
  <c r="U192" i="48"/>
  <c r="U590" i="48"/>
  <c r="U221" i="48"/>
  <c r="U173" i="48"/>
  <c r="U125" i="48"/>
  <c r="U459" i="48"/>
  <c r="U106" i="48"/>
  <c r="U119" i="48"/>
  <c r="U71" i="48"/>
  <c r="U190" i="48"/>
  <c r="U633" i="48"/>
  <c r="U524" i="48"/>
  <c r="U351" i="48"/>
  <c r="U367" i="48"/>
  <c r="U576" i="48"/>
  <c r="U271" i="48"/>
  <c r="U605" i="48"/>
  <c r="U557" i="48"/>
  <c r="U63" i="48"/>
  <c r="U79" i="48"/>
  <c r="U413" i="48"/>
  <c r="U365" i="48"/>
  <c r="U606" i="48"/>
  <c r="U269" i="48"/>
  <c r="U603" i="48"/>
  <c r="U555" i="48"/>
  <c r="U507" i="48"/>
  <c r="U138" i="48"/>
  <c r="U74" i="48"/>
  <c r="U501" i="48"/>
  <c r="U453" i="48"/>
  <c r="U604" i="48"/>
  <c r="U312" i="48"/>
  <c r="U203" i="48"/>
  <c r="U62" i="48"/>
  <c r="U46" i="48"/>
  <c r="U255" i="48"/>
  <c r="U653" i="48"/>
  <c r="U284" i="48"/>
  <c r="U236" i="48"/>
  <c r="U509" i="48"/>
  <c r="U461" i="48"/>
  <c r="U92" i="48"/>
  <c r="U44" i="48"/>
  <c r="U317" i="48"/>
  <c r="U651" i="48"/>
  <c r="U282" i="48"/>
  <c r="U234" i="48"/>
  <c r="U186" i="48"/>
  <c r="U520" i="48"/>
  <c r="U488" i="48"/>
  <c r="U180" i="48"/>
  <c r="U132" i="48"/>
  <c r="U283" i="48"/>
  <c r="U373" i="48"/>
  <c r="U585" i="48"/>
  <c r="U476" i="48"/>
  <c r="U428" i="48"/>
  <c r="U380" i="48"/>
  <c r="U332" i="48"/>
  <c r="U666" i="48"/>
  <c r="U618" i="48"/>
  <c r="U188" i="48"/>
  <c r="U140" i="48"/>
  <c r="U474" i="48"/>
  <c r="U426" i="48"/>
  <c r="U378" i="48"/>
  <c r="U330" i="48"/>
  <c r="U664" i="48"/>
  <c r="U616" i="48"/>
  <c r="U568" i="48"/>
  <c r="U199" i="48"/>
  <c r="U167" i="48"/>
  <c r="U562" i="48"/>
  <c r="U395" i="48"/>
  <c r="U665" i="48"/>
  <c r="U52" i="48"/>
  <c r="U264" i="48"/>
  <c r="U155" i="48"/>
  <c r="U107" i="48"/>
  <c r="U59" i="48"/>
  <c r="U11" i="48"/>
  <c r="U345" i="48"/>
  <c r="U297" i="48"/>
  <c r="U570" i="48"/>
  <c r="U522" i="48"/>
  <c r="U153" i="48"/>
  <c r="U105" i="48"/>
  <c r="U57" i="48"/>
  <c r="U9" i="48"/>
  <c r="U343" i="48"/>
  <c r="U295" i="48"/>
  <c r="U247" i="48"/>
  <c r="U581" i="48"/>
  <c r="U549" i="48"/>
  <c r="U241" i="48"/>
  <c r="U546" i="48"/>
  <c r="U344" i="48"/>
  <c r="U434" i="48"/>
  <c r="U646" i="48"/>
  <c r="U537" i="48"/>
  <c r="U489" i="48"/>
  <c r="U441" i="48"/>
  <c r="U393" i="48"/>
  <c r="U24" i="48"/>
  <c r="U249" i="48"/>
  <c r="U201" i="48"/>
  <c r="U535" i="48"/>
  <c r="U487" i="48"/>
  <c r="U439" i="48"/>
  <c r="U391" i="48"/>
  <c r="U22" i="48"/>
  <c r="U629" i="48"/>
  <c r="U228" i="48"/>
  <c r="U623" i="48"/>
  <c r="U193" i="48"/>
  <c r="U23" i="48"/>
  <c r="U113" i="48"/>
  <c r="U325" i="48"/>
  <c r="U216" i="48"/>
  <c r="U168" i="48"/>
  <c r="U120" i="48"/>
  <c r="U72" i="48"/>
  <c r="U406" i="48"/>
  <c r="U358" i="48"/>
  <c r="U631" i="48"/>
  <c r="U583" i="48"/>
  <c r="U214" i="48"/>
  <c r="U166" i="48"/>
  <c r="U118" i="48"/>
  <c r="U70" i="48"/>
  <c r="U404" i="48"/>
  <c r="U356" i="48"/>
  <c r="U308" i="48"/>
  <c r="R4" i="48"/>
  <c r="T4" i="48" s="1"/>
  <c r="R325" i="48"/>
  <c r="T325" i="48" s="1"/>
  <c r="R646" i="48"/>
  <c r="T646" i="48" s="1"/>
  <c r="R264" i="48"/>
  <c r="T264" i="48" s="1"/>
  <c r="R617" i="48"/>
  <c r="T617" i="48" s="1"/>
  <c r="R299" i="48"/>
  <c r="T299" i="48" s="1"/>
  <c r="R652" i="48"/>
  <c r="T652" i="48" s="1"/>
  <c r="R334" i="48"/>
  <c r="T334" i="48" s="1"/>
  <c r="R16" i="48"/>
  <c r="T16" i="48" s="1"/>
  <c r="R369" i="48"/>
  <c r="T369" i="48" s="1"/>
  <c r="R51" i="48"/>
  <c r="T51" i="48" s="1"/>
  <c r="R404" i="48"/>
  <c r="T404" i="48" s="1"/>
  <c r="R86" i="48"/>
  <c r="T86" i="48" s="1"/>
  <c r="R439" i="48"/>
  <c r="T439" i="48" s="1"/>
  <c r="R121" i="48"/>
  <c r="T121" i="48" s="1"/>
  <c r="R474" i="48"/>
  <c r="T474" i="48" s="1"/>
  <c r="R156" i="48"/>
  <c r="T156" i="48" s="1"/>
  <c r="R509" i="48"/>
  <c r="T509" i="48" s="1"/>
  <c r="R191" i="48"/>
  <c r="T191" i="48" s="1"/>
  <c r="R544" i="48"/>
  <c r="T544" i="48" s="1"/>
  <c r="R226" i="48"/>
  <c r="T226" i="48" s="1"/>
  <c r="R579" i="48"/>
  <c r="T579" i="48" s="1"/>
  <c r="R382" i="48"/>
  <c r="T382" i="48" s="1"/>
  <c r="R384" i="48"/>
  <c r="T384" i="48" s="1"/>
  <c r="R36" i="48"/>
  <c r="T36" i="48" s="1"/>
  <c r="R357" i="48"/>
  <c r="T357" i="48" s="1"/>
  <c r="R296" i="48"/>
  <c r="T296" i="48" s="1"/>
  <c r="R649" i="48"/>
  <c r="T649" i="48" s="1"/>
  <c r="R331" i="48"/>
  <c r="T331" i="48" s="1"/>
  <c r="R13" i="48"/>
  <c r="T13" i="48" s="1"/>
  <c r="R366" i="48"/>
  <c r="T366" i="48" s="1"/>
  <c r="R48" i="48"/>
  <c r="T48" i="48" s="1"/>
  <c r="R401" i="48"/>
  <c r="T401" i="48" s="1"/>
  <c r="R83" i="48"/>
  <c r="T83" i="48" s="1"/>
  <c r="R436" i="48"/>
  <c r="T436" i="48" s="1"/>
  <c r="R118" i="48"/>
  <c r="T118" i="48" s="1"/>
  <c r="R471" i="48"/>
  <c r="T471" i="48" s="1"/>
  <c r="R153" i="48"/>
  <c r="T153" i="48" s="1"/>
  <c r="R506" i="48"/>
  <c r="T506" i="48" s="1"/>
  <c r="R188" i="48"/>
  <c r="T188" i="48" s="1"/>
  <c r="R541" i="48"/>
  <c r="T541" i="48" s="1"/>
  <c r="R223" i="48"/>
  <c r="T223" i="48" s="1"/>
  <c r="R576" i="48"/>
  <c r="T576" i="48" s="1"/>
  <c r="R258" i="48"/>
  <c r="T258" i="48" s="1"/>
  <c r="R611" i="48"/>
  <c r="T611" i="48" s="1"/>
  <c r="R350" i="48"/>
  <c r="T350" i="48" s="1"/>
  <c r="R603" i="48"/>
  <c r="T603" i="48" s="1"/>
  <c r="R68" i="48"/>
  <c r="T68" i="48" s="1"/>
  <c r="R389" i="48"/>
  <c r="T389" i="48" s="1"/>
  <c r="R7" i="48"/>
  <c r="T7" i="48" s="1"/>
  <c r="R328" i="48"/>
  <c r="T328" i="48" s="1"/>
  <c r="R10" i="48"/>
  <c r="T10" i="48" s="1"/>
  <c r="R363" i="48"/>
  <c r="T363" i="48" s="1"/>
  <c r="R45" i="48"/>
  <c r="T45" i="48" s="1"/>
  <c r="R398" i="48"/>
  <c r="T398" i="48" s="1"/>
  <c r="R80" i="48"/>
  <c r="T80" i="48" s="1"/>
  <c r="R433" i="48"/>
  <c r="T433" i="48" s="1"/>
  <c r="R115" i="48"/>
  <c r="T115" i="48" s="1"/>
  <c r="R468" i="48"/>
  <c r="T468" i="48" s="1"/>
  <c r="R150" i="48"/>
  <c r="T150" i="48" s="1"/>
  <c r="R503" i="48"/>
  <c r="T503" i="48" s="1"/>
  <c r="R185" i="48"/>
  <c r="T185" i="48" s="1"/>
  <c r="R538" i="48"/>
  <c r="T538" i="48" s="1"/>
  <c r="R220" i="48"/>
  <c r="T220" i="48" s="1"/>
  <c r="R573" i="48"/>
  <c r="T573" i="48" s="1"/>
  <c r="R255" i="48"/>
  <c r="T255" i="48" s="1"/>
  <c r="R608" i="48"/>
  <c r="T608" i="48" s="1"/>
  <c r="R290" i="48"/>
  <c r="T290" i="48" s="1"/>
  <c r="R643" i="48"/>
  <c r="T643" i="48" s="1"/>
  <c r="R33" i="48"/>
  <c r="T33" i="48" s="1"/>
  <c r="R633" i="48"/>
  <c r="T633" i="48" s="1"/>
  <c r="R317" i="48"/>
  <c r="T317" i="48" s="1"/>
  <c r="R100" i="48"/>
  <c r="T100" i="48" s="1"/>
  <c r="R421" i="48"/>
  <c r="T421" i="48" s="1"/>
  <c r="R39" i="48"/>
  <c r="T39" i="48" s="1"/>
  <c r="R360" i="48"/>
  <c r="T360" i="48" s="1"/>
  <c r="R42" i="48"/>
  <c r="T42" i="48" s="1"/>
  <c r="R395" i="48"/>
  <c r="T395" i="48" s="1"/>
  <c r="R77" i="48"/>
  <c r="T77" i="48" s="1"/>
  <c r="R430" i="48"/>
  <c r="T430" i="48" s="1"/>
  <c r="R112" i="48"/>
  <c r="T112" i="48" s="1"/>
  <c r="R465" i="48"/>
  <c r="T465" i="48" s="1"/>
  <c r="R147" i="48"/>
  <c r="T147" i="48" s="1"/>
  <c r="R500" i="48"/>
  <c r="T500" i="48" s="1"/>
  <c r="R182" i="48"/>
  <c r="T182" i="48" s="1"/>
  <c r="R535" i="48"/>
  <c r="T535" i="48" s="1"/>
  <c r="R217" i="48"/>
  <c r="T217" i="48" s="1"/>
  <c r="R570" i="48"/>
  <c r="T570" i="48" s="1"/>
  <c r="R252" i="48"/>
  <c r="T252" i="48" s="1"/>
  <c r="R605" i="48"/>
  <c r="T605" i="48" s="1"/>
  <c r="R287" i="48"/>
  <c r="T287" i="48" s="1"/>
  <c r="R640" i="48"/>
  <c r="T640" i="48" s="1"/>
  <c r="R322" i="48"/>
  <c r="T322" i="48" s="1"/>
  <c r="R386" i="48"/>
  <c r="T386" i="48" s="1"/>
  <c r="R67" i="48"/>
  <c r="T67" i="48" s="1"/>
  <c r="R670" i="48"/>
  <c r="T670" i="48" s="1"/>
  <c r="R132" i="48"/>
  <c r="T132" i="48" s="1"/>
  <c r="R453" i="48"/>
  <c r="T453" i="48" s="1"/>
  <c r="R71" i="48"/>
  <c r="T71" i="48" s="1"/>
  <c r="R392" i="48"/>
  <c r="T392" i="48" s="1"/>
  <c r="R74" i="48"/>
  <c r="T74" i="48" s="1"/>
  <c r="R427" i="48"/>
  <c r="T427" i="48" s="1"/>
  <c r="R109" i="48"/>
  <c r="T109" i="48" s="1"/>
  <c r="R462" i="48"/>
  <c r="T462" i="48" s="1"/>
  <c r="R144" i="48"/>
  <c r="T144" i="48" s="1"/>
  <c r="R497" i="48"/>
  <c r="T497" i="48" s="1"/>
  <c r="R179" i="48"/>
  <c r="T179" i="48" s="1"/>
  <c r="R532" i="48"/>
  <c r="T532" i="48" s="1"/>
  <c r="R214" i="48"/>
  <c r="T214" i="48" s="1"/>
  <c r="R567" i="48"/>
  <c r="T567" i="48" s="1"/>
  <c r="R249" i="48"/>
  <c r="T249" i="48" s="1"/>
  <c r="R602" i="48"/>
  <c r="T602" i="48" s="1"/>
  <c r="R284" i="48"/>
  <c r="T284" i="48" s="1"/>
  <c r="R637" i="48"/>
  <c r="T637" i="48" s="1"/>
  <c r="R319" i="48"/>
  <c r="T319" i="48" s="1"/>
  <c r="R672" i="48"/>
  <c r="T672" i="48" s="1"/>
  <c r="R354" i="48"/>
  <c r="T354" i="48" s="1"/>
  <c r="R482" i="48"/>
  <c r="T482" i="48" s="1"/>
  <c r="R315" i="48"/>
  <c r="T315" i="48" s="1"/>
  <c r="R571" i="48"/>
  <c r="T571" i="48" s="1"/>
  <c r="R164" i="48"/>
  <c r="T164" i="48" s="1"/>
  <c r="R485" i="48"/>
  <c r="T485" i="48" s="1"/>
  <c r="R103" i="48"/>
  <c r="T103" i="48" s="1"/>
  <c r="R424" i="48"/>
  <c r="T424" i="48" s="1"/>
  <c r="R106" i="48"/>
  <c r="T106" i="48" s="1"/>
  <c r="R459" i="48"/>
  <c r="T459" i="48" s="1"/>
  <c r="R141" i="48"/>
  <c r="T141" i="48" s="1"/>
  <c r="R494" i="48"/>
  <c r="T494" i="48" s="1"/>
  <c r="R176" i="48"/>
  <c r="T176" i="48" s="1"/>
  <c r="R529" i="48"/>
  <c r="T529" i="48" s="1"/>
  <c r="R211" i="48"/>
  <c r="T211" i="48" s="1"/>
  <c r="R564" i="48"/>
  <c r="T564" i="48" s="1"/>
  <c r="R246" i="48"/>
  <c r="T246" i="48" s="1"/>
  <c r="R599" i="48"/>
  <c r="T599" i="48" s="1"/>
  <c r="R281" i="48"/>
  <c r="T281" i="48" s="1"/>
  <c r="R634" i="48"/>
  <c r="T634" i="48" s="1"/>
  <c r="R316" i="48"/>
  <c r="T316" i="48" s="1"/>
  <c r="R669" i="48"/>
  <c r="T669" i="48" s="1"/>
  <c r="R351" i="48"/>
  <c r="T351" i="48" s="1"/>
  <c r="R323" i="48"/>
  <c r="T323" i="48" s="1"/>
  <c r="R416" i="48"/>
  <c r="T416" i="48" s="1"/>
  <c r="R196" i="48"/>
  <c r="T196" i="48" s="1"/>
  <c r="R517" i="48"/>
  <c r="T517" i="48" s="1"/>
  <c r="R135" i="48"/>
  <c r="T135" i="48" s="1"/>
  <c r="R456" i="48"/>
  <c r="T456" i="48" s="1"/>
  <c r="R138" i="48"/>
  <c r="T138" i="48" s="1"/>
  <c r="R491" i="48"/>
  <c r="T491" i="48" s="1"/>
  <c r="R173" i="48"/>
  <c r="T173" i="48" s="1"/>
  <c r="R526" i="48"/>
  <c r="T526" i="48" s="1"/>
  <c r="R208" i="48"/>
  <c r="T208" i="48" s="1"/>
  <c r="R561" i="48"/>
  <c r="T561" i="48" s="1"/>
  <c r="R243" i="48"/>
  <c r="T243" i="48" s="1"/>
  <c r="R596" i="48"/>
  <c r="T596" i="48" s="1"/>
  <c r="R278" i="48"/>
  <c r="T278" i="48" s="1"/>
  <c r="R631" i="48"/>
  <c r="T631" i="48" s="1"/>
  <c r="R313" i="48"/>
  <c r="T313" i="48" s="1"/>
  <c r="R666" i="48"/>
  <c r="T666" i="48" s="1"/>
  <c r="R348" i="48"/>
  <c r="T348" i="48" s="1"/>
  <c r="R30" i="48"/>
  <c r="T30" i="48" s="1"/>
  <c r="R383" i="48"/>
  <c r="T383" i="48" s="1"/>
  <c r="R65" i="48"/>
  <c r="T65" i="48" s="1"/>
  <c r="R418" i="48"/>
  <c r="T418" i="48" s="1"/>
  <c r="R129" i="48"/>
  <c r="T129" i="48" s="1"/>
  <c r="R668" i="48"/>
  <c r="T668" i="48" s="1"/>
  <c r="R355" i="48"/>
  <c r="T355" i="48" s="1"/>
  <c r="R228" i="48"/>
  <c r="T228" i="48" s="1"/>
  <c r="R549" i="48"/>
  <c r="T549" i="48" s="1"/>
  <c r="R167" i="48"/>
  <c r="T167" i="48" s="1"/>
  <c r="R488" i="48"/>
  <c r="T488" i="48" s="1"/>
  <c r="R170" i="48"/>
  <c r="T170" i="48" s="1"/>
  <c r="R523" i="48"/>
  <c r="T523" i="48" s="1"/>
  <c r="R205" i="48"/>
  <c r="T205" i="48" s="1"/>
  <c r="R558" i="48"/>
  <c r="T558" i="48" s="1"/>
  <c r="R240" i="48"/>
  <c r="T240" i="48" s="1"/>
  <c r="R593" i="48"/>
  <c r="T593" i="48" s="1"/>
  <c r="R275" i="48"/>
  <c r="T275" i="48" s="1"/>
  <c r="R628" i="48"/>
  <c r="T628" i="48" s="1"/>
  <c r="R310" i="48"/>
  <c r="T310" i="48" s="1"/>
  <c r="R663" i="48"/>
  <c r="T663" i="48" s="1"/>
  <c r="R345" i="48"/>
  <c r="T345" i="48" s="1"/>
  <c r="R27" i="48"/>
  <c r="T27" i="48" s="1"/>
  <c r="R380" i="48"/>
  <c r="T380" i="48" s="1"/>
  <c r="R62" i="48"/>
  <c r="T62" i="48" s="1"/>
  <c r="R415" i="48"/>
  <c r="T415" i="48" s="1"/>
  <c r="R97" i="48"/>
  <c r="T97" i="48" s="1"/>
  <c r="R450" i="48"/>
  <c r="T450" i="48" s="1"/>
  <c r="R32" i="48"/>
  <c r="T32" i="48" s="1"/>
  <c r="R288" i="48"/>
  <c r="T288" i="48" s="1"/>
  <c r="R260" i="48"/>
  <c r="T260" i="48" s="1"/>
  <c r="R581" i="48"/>
  <c r="T581" i="48" s="1"/>
  <c r="R199" i="48"/>
  <c r="T199" i="48" s="1"/>
  <c r="R520" i="48"/>
  <c r="T520" i="48" s="1"/>
  <c r="R202" i="48"/>
  <c r="T202" i="48" s="1"/>
  <c r="R555" i="48"/>
  <c r="T555" i="48" s="1"/>
  <c r="R237" i="48"/>
  <c r="T237" i="48" s="1"/>
  <c r="R590" i="48"/>
  <c r="T590" i="48" s="1"/>
  <c r="R272" i="48"/>
  <c r="T272" i="48" s="1"/>
  <c r="R625" i="48"/>
  <c r="T625" i="48" s="1"/>
  <c r="R307" i="48"/>
  <c r="T307" i="48" s="1"/>
  <c r="R660" i="48"/>
  <c r="T660" i="48" s="1"/>
  <c r="R342" i="48"/>
  <c r="T342" i="48" s="1"/>
  <c r="R24" i="48"/>
  <c r="T24" i="48" s="1"/>
  <c r="R377" i="48"/>
  <c r="T377" i="48" s="1"/>
  <c r="R59" i="48"/>
  <c r="T59" i="48" s="1"/>
  <c r="R412" i="48"/>
  <c r="T412" i="48" s="1"/>
  <c r="R94" i="48"/>
  <c r="T94" i="48" s="1"/>
  <c r="R447" i="48"/>
  <c r="T447" i="48" s="1"/>
  <c r="R385" i="48"/>
  <c r="T385" i="48" s="1"/>
  <c r="R218" i="48"/>
  <c r="T218" i="48" s="1"/>
  <c r="R292" i="48"/>
  <c r="T292" i="48" s="1"/>
  <c r="R613" i="48"/>
  <c r="T613" i="48" s="1"/>
  <c r="R231" i="48"/>
  <c r="T231" i="48" s="1"/>
  <c r="R552" i="48"/>
  <c r="T552" i="48" s="1"/>
  <c r="R234" i="48"/>
  <c r="T234" i="48" s="1"/>
  <c r="R587" i="48"/>
  <c r="T587" i="48" s="1"/>
  <c r="R269" i="48"/>
  <c r="T269" i="48" s="1"/>
  <c r="R622" i="48"/>
  <c r="T622" i="48" s="1"/>
  <c r="R304" i="48"/>
  <c r="T304" i="48" s="1"/>
  <c r="R657" i="48"/>
  <c r="T657" i="48" s="1"/>
  <c r="R339" i="48"/>
  <c r="T339" i="48" s="1"/>
  <c r="R21" i="48"/>
  <c r="T21" i="48" s="1"/>
  <c r="R374" i="48"/>
  <c r="T374" i="48" s="1"/>
  <c r="R56" i="48"/>
  <c r="T56" i="48" s="1"/>
  <c r="R409" i="48"/>
  <c r="T409" i="48" s="1"/>
  <c r="R91" i="48"/>
  <c r="T91" i="48" s="1"/>
  <c r="R444" i="48"/>
  <c r="T444" i="48" s="1"/>
  <c r="R126" i="48"/>
  <c r="T126" i="48" s="1"/>
  <c r="R479" i="48"/>
  <c r="T479" i="48" s="1"/>
  <c r="R161" i="48"/>
  <c r="T161" i="48" s="1"/>
  <c r="R514" i="48"/>
  <c r="T514" i="48" s="1"/>
  <c r="R99" i="48"/>
  <c r="T99" i="48" s="1"/>
  <c r="R34" i="48"/>
  <c r="T34" i="48" s="1"/>
  <c r="R324" i="48"/>
  <c r="T324" i="48" s="1"/>
  <c r="R645" i="48"/>
  <c r="T645" i="48" s="1"/>
  <c r="R263" i="48"/>
  <c r="T263" i="48" s="1"/>
  <c r="R584" i="48"/>
  <c r="T584" i="48" s="1"/>
  <c r="R266" i="48"/>
  <c r="T266" i="48" s="1"/>
  <c r="R619" i="48"/>
  <c r="T619" i="48" s="1"/>
  <c r="R301" i="48"/>
  <c r="T301" i="48" s="1"/>
  <c r="R654" i="48"/>
  <c r="T654" i="48" s="1"/>
  <c r="R336" i="48"/>
  <c r="T336" i="48" s="1"/>
  <c r="R18" i="48"/>
  <c r="T18" i="48" s="1"/>
  <c r="R371" i="48"/>
  <c r="T371" i="48" s="1"/>
  <c r="R53" i="48"/>
  <c r="T53" i="48" s="1"/>
  <c r="R406" i="48"/>
  <c r="T406" i="48" s="1"/>
  <c r="R88" i="48"/>
  <c r="T88" i="48" s="1"/>
  <c r="R441" i="48"/>
  <c r="T441" i="48" s="1"/>
  <c r="R123" i="48"/>
  <c r="T123" i="48" s="1"/>
  <c r="R476" i="48"/>
  <c r="T476" i="48" s="1"/>
  <c r="R158" i="48"/>
  <c r="T158" i="48" s="1"/>
  <c r="R511" i="48"/>
  <c r="T511" i="48" s="1"/>
  <c r="R193" i="48"/>
  <c r="T193" i="48" s="1"/>
  <c r="R546" i="48"/>
  <c r="T546" i="48" s="1"/>
  <c r="R417" i="48"/>
  <c r="T417" i="48" s="1"/>
  <c r="R483" i="48"/>
  <c r="T483" i="48" s="1"/>
  <c r="R356" i="48"/>
  <c r="T356" i="48" s="1"/>
  <c r="R295" i="48"/>
  <c r="T295" i="48" s="1"/>
  <c r="R616" i="48"/>
  <c r="T616" i="48" s="1"/>
  <c r="R298" i="48"/>
  <c r="T298" i="48" s="1"/>
  <c r="R651" i="48"/>
  <c r="T651" i="48" s="1"/>
  <c r="R333" i="48"/>
  <c r="T333" i="48" s="1"/>
  <c r="R15" i="48"/>
  <c r="T15" i="48" s="1"/>
  <c r="R368" i="48"/>
  <c r="T368" i="48" s="1"/>
  <c r="R50" i="48"/>
  <c r="T50" i="48" s="1"/>
  <c r="R403" i="48"/>
  <c r="T403" i="48" s="1"/>
  <c r="R85" i="48"/>
  <c r="T85" i="48" s="1"/>
  <c r="R438" i="48"/>
  <c r="T438" i="48" s="1"/>
  <c r="R120" i="48"/>
  <c r="T120" i="48" s="1"/>
  <c r="R473" i="48"/>
  <c r="T473" i="48" s="1"/>
  <c r="R155" i="48"/>
  <c r="T155" i="48" s="1"/>
  <c r="R508" i="48"/>
  <c r="T508" i="48" s="1"/>
  <c r="R190" i="48"/>
  <c r="T190" i="48" s="1"/>
  <c r="R543" i="48"/>
  <c r="T543" i="48" s="1"/>
  <c r="R225" i="48"/>
  <c r="T225" i="48" s="1"/>
  <c r="R578" i="48"/>
  <c r="T578" i="48" s="1"/>
  <c r="R253" i="48"/>
  <c r="T253" i="48" s="1"/>
  <c r="R388" i="48"/>
  <c r="T388" i="48" s="1"/>
  <c r="R6" i="48"/>
  <c r="T6" i="48" s="1"/>
  <c r="R327" i="48"/>
  <c r="T327" i="48" s="1"/>
  <c r="R648" i="48"/>
  <c r="T648" i="48" s="1"/>
  <c r="R330" i="48"/>
  <c r="T330" i="48" s="1"/>
  <c r="R12" i="48"/>
  <c r="T12" i="48" s="1"/>
  <c r="R365" i="48"/>
  <c r="T365" i="48" s="1"/>
  <c r="R47" i="48"/>
  <c r="T47" i="48" s="1"/>
  <c r="R400" i="48"/>
  <c r="T400" i="48" s="1"/>
  <c r="R82" i="48"/>
  <c r="T82" i="48" s="1"/>
  <c r="R435" i="48"/>
  <c r="T435" i="48" s="1"/>
  <c r="R117" i="48"/>
  <c r="T117" i="48" s="1"/>
  <c r="R470" i="48"/>
  <c r="T470" i="48" s="1"/>
  <c r="R152" i="48"/>
  <c r="T152" i="48" s="1"/>
  <c r="R505" i="48"/>
  <c r="T505" i="48" s="1"/>
  <c r="R187" i="48"/>
  <c r="T187" i="48" s="1"/>
  <c r="R540" i="48"/>
  <c r="T540" i="48" s="1"/>
  <c r="R222" i="48"/>
  <c r="T222" i="48" s="1"/>
  <c r="R575" i="48"/>
  <c r="T575" i="48" s="1"/>
  <c r="R257" i="48"/>
  <c r="T257" i="48" s="1"/>
  <c r="R610" i="48"/>
  <c r="T610" i="48" s="1"/>
  <c r="R130" i="48"/>
  <c r="T130" i="48" s="1"/>
  <c r="R420" i="48"/>
  <c r="T420" i="48" s="1"/>
  <c r="R38" i="48"/>
  <c r="T38" i="48" s="1"/>
  <c r="R359" i="48"/>
  <c r="T359" i="48" s="1"/>
  <c r="R9" i="48"/>
  <c r="T9" i="48" s="1"/>
  <c r="R362" i="48"/>
  <c r="T362" i="48" s="1"/>
  <c r="R44" i="48"/>
  <c r="T44" i="48" s="1"/>
  <c r="R397" i="48"/>
  <c r="T397" i="48" s="1"/>
  <c r="R79" i="48"/>
  <c r="T79" i="48" s="1"/>
  <c r="R432" i="48"/>
  <c r="T432" i="48" s="1"/>
  <c r="R114" i="48"/>
  <c r="T114" i="48" s="1"/>
  <c r="R467" i="48"/>
  <c r="T467" i="48" s="1"/>
  <c r="R149" i="48"/>
  <c r="T149" i="48" s="1"/>
  <c r="R502" i="48"/>
  <c r="T502" i="48" s="1"/>
  <c r="R184" i="48"/>
  <c r="T184" i="48" s="1"/>
  <c r="R537" i="48"/>
  <c r="T537" i="48" s="1"/>
  <c r="R219" i="48"/>
  <c r="T219" i="48" s="1"/>
  <c r="R572" i="48"/>
  <c r="T572" i="48" s="1"/>
  <c r="R254" i="48"/>
  <c r="T254" i="48" s="1"/>
  <c r="R607" i="48"/>
  <c r="T607" i="48" s="1"/>
  <c r="R289" i="48"/>
  <c r="T289" i="48" s="1"/>
  <c r="R642" i="48"/>
  <c r="T642" i="48" s="1"/>
  <c r="R131" i="48"/>
  <c r="T131" i="48" s="1"/>
  <c r="R320" i="48"/>
  <c r="T320" i="48" s="1"/>
  <c r="R512" i="48"/>
  <c r="T512" i="48" s="1"/>
  <c r="R452" i="48"/>
  <c r="T452" i="48" s="1"/>
  <c r="R70" i="48"/>
  <c r="T70" i="48" s="1"/>
  <c r="R391" i="48"/>
  <c r="T391" i="48" s="1"/>
  <c r="R41" i="48"/>
  <c r="T41" i="48" s="1"/>
  <c r="R394" i="48"/>
  <c r="T394" i="48" s="1"/>
  <c r="R76" i="48"/>
  <c r="T76" i="48" s="1"/>
  <c r="R429" i="48"/>
  <c r="T429" i="48" s="1"/>
  <c r="R111" i="48"/>
  <c r="T111" i="48" s="1"/>
  <c r="R464" i="48"/>
  <c r="T464" i="48" s="1"/>
  <c r="R146" i="48"/>
  <c r="T146" i="48" s="1"/>
  <c r="R499" i="48"/>
  <c r="T499" i="48" s="1"/>
  <c r="R181" i="48"/>
  <c r="T181" i="48" s="1"/>
  <c r="R534" i="48"/>
  <c r="T534" i="48" s="1"/>
  <c r="R216" i="48"/>
  <c r="T216" i="48" s="1"/>
  <c r="R569" i="48"/>
  <c r="T569" i="48" s="1"/>
  <c r="R251" i="48"/>
  <c r="T251" i="48" s="1"/>
  <c r="R604" i="48"/>
  <c r="T604" i="48" s="1"/>
  <c r="R286" i="48"/>
  <c r="T286" i="48" s="1"/>
  <c r="R639" i="48"/>
  <c r="T639" i="48" s="1"/>
  <c r="R321" i="48"/>
  <c r="T321" i="48" s="1"/>
  <c r="R163" i="48"/>
  <c r="T163" i="48" s="1"/>
  <c r="R638" i="48"/>
  <c r="T638" i="48" s="1"/>
  <c r="R451" i="48"/>
  <c r="T451" i="48" s="1"/>
  <c r="R484" i="48"/>
  <c r="T484" i="48" s="1"/>
  <c r="R102" i="48"/>
  <c r="T102" i="48" s="1"/>
  <c r="R423" i="48"/>
  <c r="T423" i="48" s="1"/>
  <c r="R73" i="48"/>
  <c r="T73" i="48" s="1"/>
  <c r="R426" i="48"/>
  <c r="T426" i="48" s="1"/>
  <c r="R108" i="48"/>
  <c r="T108" i="48" s="1"/>
  <c r="R461" i="48"/>
  <c r="T461" i="48" s="1"/>
  <c r="R143" i="48"/>
  <c r="T143" i="48" s="1"/>
  <c r="R496" i="48"/>
  <c r="T496" i="48" s="1"/>
  <c r="R178" i="48"/>
  <c r="T178" i="48" s="1"/>
  <c r="R531" i="48"/>
  <c r="T531" i="48" s="1"/>
  <c r="R213" i="48"/>
  <c r="T213" i="48" s="1"/>
  <c r="R566" i="48"/>
  <c r="T566" i="48" s="1"/>
  <c r="R248" i="48"/>
  <c r="T248" i="48" s="1"/>
  <c r="R601" i="48"/>
  <c r="T601" i="48" s="1"/>
  <c r="R283" i="48"/>
  <c r="T283" i="48" s="1"/>
  <c r="R636" i="48"/>
  <c r="T636" i="48" s="1"/>
  <c r="R318" i="48"/>
  <c r="T318" i="48" s="1"/>
  <c r="R671" i="48"/>
  <c r="T671" i="48" s="1"/>
  <c r="R353" i="48"/>
  <c r="T353" i="48" s="1"/>
  <c r="R35" i="48"/>
  <c r="T35" i="48" s="1"/>
  <c r="R387" i="48"/>
  <c r="T387" i="48" s="1"/>
  <c r="R516" i="48"/>
  <c r="T516" i="48" s="1"/>
  <c r="R134" i="48"/>
  <c r="T134" i="48" s="1"/>
  <c r="R455" i="48"/>
  <c r="T455" i="48" s="1"/>
  <c r="R105" i="48"/>
  <c r="T105" i="48" s="1"/>
  <c r="R458" i="48"/>
  <c r="T458" i="48" s="1"/>
  <c r="R140" i="48"/>
  <c r="T140" i="48" s="1"/>
  <c r="R493" i="48"/>
  <c r="T493" i="48" s="1"/>
  <c r="R175" i="48"/>
  <c r="T175" i="48" s="1"/>
  <c r="R528" i="48"/>
  <c r="T528" i="48" s="1"/>
  <c r="R210" i="48"/>
  <c r="T210" i="48" s="1"/>
  <c r="R563" i="48"/>
  <c r="T563" i="48" s="1"/>
  <c r="R245" i="48"/>
  <c r="T245" i="48" s="1"/>
  <c r="R598" i="48"/>
  <c r="T598" i="48" s="1"/>
  <c r="R280" i="48"/>
  <c r="T280" i="48" s="1"/>
  <c r="R352" i="48"/>
  <c r="T352" i="48" s="1"/>
  <c r="R194" i="48"/>
  <c r="T194" i="48" s="1"/>
  <c r="R548" i="48"/>
  <c r="T548" i="48" s="1"/>
  <c r="R166" i="48"/>
  <c r="T166" i="48" s="1"/>
  <c r="R487" i="48"/>
  <c r="T487" i="48" s="1"/>
  <c r="R137" i="48"/>
  <c r="T137" i="48" s="1"/>
  <c r="R490" i="48"/>
  <c r="T490" i="48" s="1"/>
  <c r="R172" i="48"/>
  <c r="T172" i="48" s="1"/>
  <c r="R525" i="48"/>
  <c r="T525" i="48" s="1"/>
  <c r="R207" i="48"/>
  <c r="T207" i="48" s="1"/>
  <c r="R560" i="48"/>
  <c r="T560" i="48" s="1"/>
  <c r="R242" i="48"/>
  <c r="T242" i="48" s="1"/>
  <c r="R595" i="48"/>
  <c r="T595" i="48" s="1"/>
  <c r="R277" i="48"/>
  <c r="T277" i="48" s="1"/>
  <c r="R630" i="48"/>
  <c r="T630" i="48" s="1"/>
  <c r="R312" i="48"/>
  <c r="T312" i="48" s="1"/>
  <c r="R665" i="48"/>
  <c r="T665" i="48" s="1"/>
  <c r="R347" i="48"/>
  <c r="T347" i="48" s="1"/>
  <c r="R29" i="48"/>
  <c r="T29" i="48" s="1"/>
  <c r="R64" i="48"/>
  <c r="T64" i="48" s="1"/>
  <c r="R31" i="48"/>
  <c r="T31" i="48" s="1"/>
  <c r="R580" i="48"/>
  <c r="T580" i="48" s="1"/>
  <c r="R198" i="48"/>
  <c r="T198" i="48" s="1"/>
  <c r="R519" i="48"/>
  <c r="T519" i="48" s="1"/>
  <c r="R169" i="48"/>
  <c r="T169" i="48" s="1"/>
  <c r="R522" i="48"/>
  <c r="T522" i="48" s="1"/>
  <c r="R204" i="48"/>
  <c r="T204" i="48" s="1"/>
  <c r="R557" i="48"/>
  <c r="T557" i="48" s="1"/>
  <c r="R239" i="48"/>
  <c r="T239" i="48" s="1"/>
  <c r="R592" i="48"/>
  <c r="T592" i="48" s="1"/>
  <c r="R274" i="48"/>
  <c r="T274" i="48" s="1"/>
  <c r="R627" i="48"/>
  <c r="T627" i="48" s="1"/>
  <c r="R309" i="48"/>
  <c r="T309" i="48" s="1"/>
  <c r="R662" i="48"/>
  <c r="T662" i="48" s="1"/>
  <c r="R344" i="48"/>
  <c r="T344" i="48" s="1"/>
  <c r="R26" i="48"/>
  <c r="T26" i="48" s="1"/>
  <c r="R379" i="48"/>
  <c r="T379" i="48" s="1"/>
  <c r="R61" i="48"/>
  <c r="T61" i="48" s="1"/>
  <c r="R414" i="48"/>
  <c r="T414" i="48" s="1"/>
  <c r="R96" i="48"/>
  <c r="T96" i="48" s="1"/>
  <c r="R449" i="48"/>
  <c r="T449" i="48" s="1"/>
  <c r="R641" i="48"/>
  <c r="T641" i="48" s="1"/>
  <c r="R612" i="48"/>
  <c r="T612" i="48" s="1"/>
  <c r="R230" i="48"/>
  <c r="T230" i="48" s="1"/>
  <c r="R551" i="48"/>
  <c r="T551" i="48" s="1"/>
  <c r="R201" i="48"/>
  <c r="T201" i="48" s="1"/>
  <c r="R554" i="48"/>
  <c r="T554" i="48" s="1"/>
  <c r="R236" i="48"/>
  <c r="T236" i="48" s="1"/>
  <c r="R589" i="48"/>
  <c r="T589" i="48" s="1"/>
  <c r="R271" i="48"/>
  <c r="T271" i="48" s="1"/>
  <c r="R624" i="48"/>
  <c r="T624" i="48" s="1"/>
  <c r="R306" i="48"/>
  <c r="T306" i="48" s="1"/>
  <c r="R659" i="48"/>
  <c r="T659" i="48" s="1"/>
  <c r="R341" i="48"/>
  <c r="T341" i="48" s="1"/>
  <c r="R23" i="48"/>
  <c r="T23" i="48" s="1"/>
  <c r="R376" i="48"/>
  <c r="T376" i="48" s="1"/>
  <c r="R58" i="48"/>
  <c r="T58" i="48" s="1"/>
  <c r="R411" i="48"/>
  <c r="T411" i="48" s="1"/>
  <c r="R93" i="48"/>
  <c r="T93" i="48" s="1"/>
  <c r="R446" i="48"/>
  <c r="T446" i="48" s="1"/>
  <c r="R128" i="48"/>
  <c r="T128" i="48" s="1"/>
  <c r="R481" i="48"/>
  <c r="T481" i="48" s="1"/>
  <c r="R547" i="48"/>
  <c r="T547" i="48" s="1"/>
  <c r="R644" i="48"/>
  <c r="T644" i="48" s="1"/>
  <c r="R262" i="48"/>
  <c r="T262" i="48" s="1"/>
  <c r="R583" i="48"/>
  <c r="T583" i="48" s="1"/>
  <c r="R233" i="48"/>
  <c r="T233" i="48" s="1"/>
  <c r="R586" i="48"/>
  <c r="T586" i="48" s="1"/>
  <c r="R268" i="48"/>
  <c r="T268" i="48" s="1"/>
  <c r="R621" i="48"/>
  <c r="T621" i="48" s="1"/>
  <c r="R303" i="48"/>
  <c r="T303" i="48" s="1"/>
  <c r="R656" i="48"/>
  <c r="T656" i="48" s="1"/>
  <c r="R338" i="48"/>
  <c r="T338" i="48" s="1"/>
  <c r="R20" i="48"/>
  <c r="T20" i="48" s="1"/>
  <c r="R373" i="48"/>
  <c r="T373" i="48" s="1"/>
  <c r="R55" i="48"/>
  <c r="T55" i="48" s="1"/>
  <c r="R408" i="48"/>
  <c r="T408" i="48" s="1"/>
  <c r="R90" i="48"/>
  <c r="T90" i="48" s="1"/>
  <c r="R443" i="48"/>
  <c r="T443" i="48" s="1"/>
  <c r="R125" i="48"/>
  <c r="T125" i="48" s="1"/>
  <c r="R478" i="48"/>
  <c r="T478" i="48" s="1"/>
  <c r="R160" i="48"/>
  <c r="T160" i="48" s="1"/>
  <c r="R513" i="48"/>
  <c r="T513" i="48" s="1"/>
  <c r="R195" i="48"/>
  <c r="T195" i="48" s="1"/>
  <c r="R419" i="48"/>
  <c r="T419" i="48" s="1"/>
  <c r="R294" i="48"/>
  <c r="T294" i="48" s="1"/>
  <c r="R615" i="48"/>
  <c r="T615" i="48" s="1"/>
  <c r="R265" i="48"/>
  <c r="T265" i="48" s="1"/>
  <c r="R618" i="48"/>
  <c r="T618" i="48" s="1"/>
  <c r="R300" i="48"/>
  <c r="T300" i="48" s="1"/>
  <c r="R653" i="48"/>
  <c r="T653" i="48" s="1"/>
  <c r="R335" i="48"/>
  <c r="T335" i="48" s="1"/>
  <c r="R17" i="48"/>
  <c r="T17" i="48" s="1"/>
  <c r="R370" i="48"/>
  <c r="T370" i="48" s="1"/>
  <c r="R52" i="48"/>
  <c r="T52" i="48" s="1"/>
  <c r="R405" i="48"/>
  <c r="T405" i="48" s="1"/>
  <c r="R87" i="48"/>
  <c r="T87" i="48" s="1"/>
  <c r="R440" i="48"/>
  <c r="T440" i="48" s="1"/>
  <c r="R122" i="48"/>
  <c r="T122" i="48" s="1"/>
  <c r="R475" i="48"/>
  <c r="T475" i="48" s="1"/>
  <c r="R157" i="48"/>
  <c r="T157" i="48" s="1"/>
  <c r="R510" i="48"/>
  <c r="T510" i="48" s="1"/>
  <c r="R192" i="48"/>
  <c r="T192" i="48" s="1"/>
  <c r="R545" i="48"/>
  <c r="T545" i="48" s="1"/>
  <c r="R227" i="48"/>
  <c r="T227" i="48" s="1"/>
  <c r="R285" i="48"/>
  <c r="T285" i="48" s="1"/>
  <c r="R98" i="48"/>
  <c r="T98" i="48" s="1"/>
  <c r="R5" i="48"/>
  <c r="T5" i="48" s="1"/>
  <c r="R326" i="48"/>
  <c r="T326" i="48" s="1"/>
  <c r="R647" i="48"/>
  <c r="T647" i="48" s="1"/>
  <c r="R297" i="48"/>
  <c r="T297" i="48" s="1"/>
  <c r="R650" i="48"/>
  <c r="R332" i="48"/>
  <c r="T332" i="48" s="1"/>
  <c r="R14" i="48"/>
  <c r="T14" i="48" s="1"/>
  <c r="R367" i="48"/>
  <c r="T367" i="48" s="1"/>
  <c r="R49" i="48"/>
  <c r="T49" i="48" s="1"/>
  <c r="R402" i="48"/>
  <c r="T402" i="48" s="1"/>
  <c r="R84" i="48"/>
  <c r="T84" i="48" s="1"/>
  <c r="R437" i="48"/>
  <c r="T437" i="48" s="1"/>
  <c r="R119" i="48"/>
  <c r="T119" i="48" s="1"/>
  <c r="R472" i="48"/>
  <c r="T472" i="48" s="1"/>
  <c r="R154" i="48"/>
  <c r="T154" i="48" s="1"/>
  <c r="R507" i="48"/>
  <c r="T507" i="48" s="1"/>
  <c r="R189" i="48"/>
  <c r="T189" i="48" s="1"/>
  <c r="R542" i="48"/>
  <c r="T542" i="48" s="1"/>
  <c r="R224" i="48"/>
  <c r="T224" i="48" s="1"/>
  <c r="R577" i="48"/>
  <c r="T577" i="48" s="1"/>
  <c r="R259" i="48"/>
  <c r="T259" i="48" s="1"/>
  <c r="R515" i="48"/>
  <c r="T515" i="48" s="1"/>
  <c r="R37" i="48"/>
  <c r="T37" i="48" s="1"/>
  <c r="R358" i="48"/>
  <c r="T358" i="48" s="1"/>
  <c r="R329" i="48"/>
  <c r="T329" i="48" s="1"/>
  <c r="R11" i="48"/>
  <c r="T11" i="48" s="1"/>
  <c r="R364" i="48"/>
  <c r="T364" i="48" s="1"/>
  <c r="R46" i="48"/>
  <c r="T46" i="48" s="1"/>
  <c r="R399" i="48"/>
  <c r="T399" i="48" s="1"/>
  <c r="R81" i="48"/>
  <c r="T81" i="48" s="1"/>
  <c r="R434" i="48"/>
  <c r="T434" i="48" s="1"/>
  <c r="R116" i="48"/>
  <c r="T116" i="48" s="1"/>
  <c r="R469" i="48"/>
  <c r="T469" i="48" s="1"/>
  <c r="R151" i="48"/>
  <c r="T151" i="48" s="1"/>
  <c r="R504" i="48"/>
  <c r="T504" i="48" s="1"/>
  <c r="R186" i="48"/>
  <c r="T186" i="48" s="1"/>
  <c r="R539" i="48"/>
  <c r="T539" i="48" s="1"/>
  <c r="R221" i="48"/>
  <c r="T221" i="48" s="1"/>
  <c r="R574" i="48"/>
  <c r="T574" i="48" s="1"/>
  <c r="R256" i="48"/>
  <c r="T256" i="48" s="1"/>
  <c r="R609" i="48"/>
  <c r="T609" i="48" s="1"/>
  <c r="R291" i="48"/>
  <c r="T291" i="48" s="1"/>
  <c r="R69" i="48"/>
  <c r="T69" i="48" s="1"/>
  <c r="R390" i="48"/>
  <c r="T390" i="48" s="1"/>
  <c r="R8" i="48"/>
  <c r="T8" i="48" s="1"/>
  <c r="R361" i="48"/>
  <c r="T361" i="48" s="1"/>
  <c r="R43" i="48"/>
  <c r="T43" i="48" s="1"/>
  <c r="R396" i="48"/>
  <c r="T396" i="48" s="1"/>
  <c r="R78" i="48"/>
  <c r="T78" i="48" s="1"/>
  <c r="R431" i="48"/>
  <c r="T431" i="48" s="1"/>
  <c r="R113" i="48"/>
  <c r="T113" i="48" s="1"/>
  <c r="R466" i="48"/>
  <c r="T466" i="48" s="1"/>
  <c r="R148" i="48"/>
  <c r="T148" i="48" s="1"/>
  <c r="R501" i="48"/>
  <c r="T501" i="48" s="1"/>
  <c r="R183" i="48"/>
  <c r="T183" i="48" s="1"/>
  <c r="R536" i="48"/>
  <c r="T536" i="48" s="1"/>
  <c r="R606" i="48"/>
  <c r="T606" i="48" s="1"/>
  <c r="R101" i="48"/>
  <c r="T101" i="48" s="1"/>
  <c r="R422" i="48"/>
  <c r="T422" i="48" s="1"/>
  <c r="R40" i="48"/>
  <c r="T40" i="48" s="1"/>
  <c r="R393" i="48"/>
  <c r="T393" i="48" s="1"/>
  <c r="R75" i="48"/>
  <c r="T75" i="48" s="1"/>
  <c r="R428" i="48"/>
  <c r="T428" i="48" s="1"/>
  <c r="R110" i="48"/>
  <c r="T110" i="48" s="1"/>
  <c r="R463" i="48"/>
  <c r="T463" i="48" s="1"/>
  <c r="R145" i="48"/>
  <c r="T145" i="48" s="1"/>
  <c r="R498" i="48"/>
  <c r="T498" i="48" s="1"/>
  <c r="R180" i="48"/>
  <c r="T180" i="48" s="1"/>
  <c r="R533" i="48"/>
  <c r="T533" i="48" s="1"/>
  <c r="R215" i="48"/>
  <c r="T215" i="48" s="1"/>
  <c r="R568" i="48"/>
  <c r="T568" i="48" s="1"/>
  <c r="R250" i="48"/>
  <c r="T250" i="48" s="1"/>
  <c r="R133" i="48"/>
  <c r="T133" i="48" s="1"/>
  <c r="R454" i="48"/>
  <c r="T454" i="48" s="1"/>
  <c r="R72" i="48"/>
  <c r="T72" i="48" s="1"/>
  <c r="R425" i="48"/>
  <c r="T425" i="48" s="1"/>
  <c r="R107" i="48"/>
  <c r="T107" i="48" s="1"/>
  <c r="R460" i="48"/>
  <c r="T460" i="48" s="1"/>
  <c r="R142" i="48"/>
  <c r="T142" i="48" s="1"/>
  <c r="R495" i="48"/>
  <c r="T495" i="48" s="1"/>
  <c r="R177" i="48"/>
  <c r="T177" i="48" s="1"/>
  <c r="R530" i="48"/>
  <c r="T530" i="48" s="1"/>
  <c r="R212" i="48"/>
  <c r="T212" i="48" s="1"/>
  <c r="R565" i="48"/>
  <c r="T565" i="48" s="1"/>
  <c r="R247" i="48"/>
  <c r="T247" i="48" s="1"/>
  <c r="R600" i="48"/>
  <c r="T600" i="48" s="1"/>
  <c r="R282" i="48"/>
  <c r="T282" i="48" s="1"/>
  <c r="R635" i="48"/>
  <c r="T635" i="48" s="1"/>
  <c r="R165" i="48"/>
  <c r="T165" i="48" s="1"/>
  <c r="R486" i="48"/>
  <c r="T486" i="48" s="1"/>
  <c r="R104" i="48"/>
  <c r="T104" i="48" s="1"/>
  <c r="R457" i="48"/>
  <c r="T457" i="48" s="1"/>
  <c r="R139" i="48"/>
  <c r="T139" i="48" s="1"/>
  <c r="R492" i="48"/>
  <c r="T492" i="48" s="1"/>
  <c r="R174" i="48"/>
  <c r="T174" i="48" s="1"/>
  <c r="R527" i="48"/>
  <c r="T527" i="48" s="1"/>
  <c r="R209" i="48"/>
  <c r="T209" i="48" s="1"/>
  <c r="R562" i="48"/>
  <c r="T562" i="48" s="1"/>
  <c r="R244" i="48"/>
  <c r="T244" i="48" s="1"/>
  <c r="R597" i="48"/>
  <c r="T597" i="48" s="1"/>
  <c r="R279" i="48"/>
  <c r="T279" i="48" s="1"/>
  <c r="R632" i="48"/>
  <c r="T632" i="48" s="1"/>
  <c r="R314" i="48"/>
  <c r="T314" i="48" s="1"/>
  <c r="R667" i="48"/>
  <c r="T667" i="48" s="1"/>
  <c r="R349" i="48"/>
  <c r="T349" i="48" s="1"/>
  <c r="R66" i="48"/>
  <c r="T66" i="48" s="1"/>
  <c r="R197" i="48"/>
  <c r="T197" i="48" s="1"/>
  <c r="R518" i="48"/>
  <c r="T518" i="48" s="1"/>
  <c r="R136" i="48"/>
  <c r="T136" i="48" s="1"/>
  <c r="R489" i="48"/>
  <c r="T489" i="48" s="1"/>
  <c r="R171" i="48"/>
  <c r="T171" i="48" s="1"/>
  <c r="R524" i="48"/>
  <c r="T524" i="48" s="1"/>
  <c r="R206" i="48"/>
  <c r="T206" i="48" s="1"/>
  <c r="R559" i="48"/>
  <c r="T559" i="48" s="1"/>
  <c r="R241" i="48"/>
  <c r="T241" i="48" s="1"/>
  <c r="R594" i="48"/>
  <c r="T594" i="48" s="1"/>
  <c r="R276" i="48"/>
  <c r="T276" i="48" s="1"/>
  <c r="R629" i="48"/>
  <c r="T629" i="48" s="1"/>
  <c r="R311" i="48"/>
  <c r="T311" i="48" s="1"/>
  <c r="R664" i="48"/>
  <c r="T664" i="48" s="1"/>
  <c r="R346" i="48"/>
  <c r="T346" i="48" s="1"/>
  <c r="R28" i="48"/>
  <c r="T28" i="48" s="1"/>
  <c r="R381" i="48"/>
  <c r="T381" i="48" s="1"/>
  <c r="R63" i="48"/>
  <c r="T63" i="48" s="1"/>
  <c r="R229" i="48"/>
  <c r="T229" i="48" s="1"/>
  <c r="R550" i="48"/>
  <c r="T550" i="48" s="1"/>
  <c r="R168" i="48"/>
  <c r="T168" i="48" s="1"/>
  <c r="R521" i="48"/>
  <c r="T521" i="48" s="1"/>
  <c r="R203" i="48"/>
  <c r="T203" i="48" s="1"/>
  <c r="R556" i="48"/>
  <c r="T556" i="48" s="1"/>
  <c r="R238" i="48"/>
  <c r="T238" i="48" s="1"/>
  <c r="R591" i="48"/>
  <c r="T591" i="48" s="1"/>
  <c r="R273" i="48"/>
  <c r="T273" i="48" s="1"/>
  <c r="R626" i="48"/>
  <c r="T626" i="48" s="1"/>
  <c r="R308" i="48"/>
  <c r="T308" i="48" s="1"/>
  <c r="R661" i="48"/>
  <c r="T661" i="48" s="1"/>
  <c r="R343" i="48"/>
  <c r="T343" i="48" s="1"/>
  <c r="R25" i="48"/>
  <c r="T25" i="48" s="1"/>
  <c r="R378" i="48"/>
  <c r="T378" i="48" s="1"/>
  <c r="R60" i="48"/>
  <c r="T60" i="48" s="1"/>
  <c r="R413" i="48"/>
  <c r="T413" i="48" s="1"/>
  <c r="R95" i="48"/>
  <c r="T95" i="48" s="1"/>
  <c r="R448" i="48"/>
  <c r="T448" i="48" s="1"/>
  <c r="R261" i="48"/>
  <c r="T261" i="48" s="1"/>
  <c r="R582" i="48"/>
  <c r="T582" i="48" s="1"/>
  <c r="R200" i="48"/>
  <c r="T200" i="48" s="1"/>
  <c r="R553" i="48"/>
  <c r="T553" i="48" s="1"/>
  <c r="R235" i="48"/>
  <c r="T235" i="48" s="1"/>
  <c r="R588" i="48"/>
  <c r="T588" i="48" s="1"/>
  <c r="R270" i="48"/>
  <c r="T270" i="48" s="1"/>
  <c r="R623" i="48"/>
  <c r="T623" i="48" s="1"/>
  <c r="R305" i="48"/>
  <c r="T305" i="48" s="1"/>
  <c r="R658" i="48"/>
  <c r="T658" i="48" s="1"/>
  <c r="R340" i="48"/>
  <c r="T340" i="48" s="1"/>
  <c r="R22" i="48"/>
  <c r="T22" i="48" s="1"/>
  <c r="R375" i="48"/>
  <c r="T375" i="48" s="1"/>
  <c r="R57" i="48"/>
  <c r="T57" i="48" s="1"/>
  <c r="R410" i="48"/>
  <c r="T410" i="48" s="1"/>
  <c r="R92" i="48"/>
  <c r="T92" i="48" s="1"/>
  <c r="R445" i="48"/>
  <c r="T445" i="48" s="1"/>
  <c r="R127" i="48"/>
  <c r="T127" i="48" s="1"/>
  <c r="R480" i="48"/>
  <c r="T480" i="48" s="1"/>
  <c r="R162" i="48"/>
  <c r="T162" i="48" s="1"/>
  <c r="R293" i="48"/>
  <c r="T293" i="48" s="1"/>
  <c r="R614" i="48"/>
  <c r="T614" i="48" s="1"/>
  <c r="R232" i="48"/>
  <c r="T232" i="48" s="1"/>
  <c r="R585" i="48"/>
  <c r="T585" i="48" s="1"/>
  <c r="R267" i="48"/>
  <c r="T267" i="48" s="1"/>
  <c r="R620" i="48"/>
  <c r="T620" i="48" s="1"/>
  <c r="R302" i="48"/>
  <c r="T302" i="48" s="1"/>
  <c r="R655" i="48"/>
  <c r="T655" i="48" s="1"/>
  <c r="R337" i="48"/>
  <c r="T337" i="48" s="1"/>
  <c r="R19" i="48"/>
  <c r="T19" i="48" s="1"/>
  <c r="R372" i="48"/>
  <c r="T372" i="48" s="1"/>
  <c r="R54" i="48"/>
  <c r="T54" i="48" s="1"/>
  <c r="R407" i="48"/>
  <c r="T407" i="48" s="1"/>
  <c r="R89" i="48"/>
  <c r="T89" i="48" s="1"/>
  <c r="R442" i="48"/>
  <c r="T442" i="48" s="1"/>
  <c r="R124" i="48"/>
  <c r="T124" i="48" s="1"/>
  <c r="R477" i="48"/>
  <c r="T477" i="48" s="1"/>
  <c r="R159" i="48"/>
  <c r="T159" i="48" s="1"/>
  <c r="I8" i="35"/>
  <c r="J38" i="36" a="1"/>
  <c r="J38" i="36" s="1"/>
  <c r="CR29" i="40"/>
  <c r="CR61" i="40"/>
  <c r="CR93" i="40"/>
  <c r="CR125" i="40"/>
  <c r="CR157" i="40"/>
  <c r="CR189" i="40"/>
  <c r="CR221" i="40"/>
  <c r="CR253" i="40"/>
  <c r="CR285" i="40"/>
  <c r="CR317" i="40"/>
  <c r="CR349" i="40"/>
  <c r="CR381" i="40"/>
  <c r="CR413" i="40"/>
  <c r="CR445" i="40"/>
  <c r="CR477" i="40"/>
  <c r="CR509" i="40"/>
  <c r="CR541" i="40"/>
  <c r="CR573" i="40"/>
  <c r="CR605" i="40"/>
  <c r="CR637" i="40"/>
  <c r="CR669" i="40"/>
  <c r="CR30" i="40"/>
  <c r="CR62" i="40"/>
  <c r="CR94" i="40"/>
  <c r="CR126" i="40"/>
  <c r="CR158" i="40"/>
  <c r="CR190" i="40"/>
  <c r="CR21" i="40"/>
  <c r="CR53" i="40"/>
  <c r="CR85" i="40"/>
  <c r="CR117" i="40"/>
  <c r="CR149" i="40"/>
  <c r="CR181" i="40"/>
  <c r="CR213" i="40"/>
  <c r="CR245" i="40"/>
  <c r="CR277" i="40"/>
  <c r="CR41" i="40"/>
  <c r="CR76" i="40"/>
  <c r="CR111" i="40"/>
  <c r="CR146" i="40"/>
  <c r="CR182" i="40"/>
  <c r="CR217" i="40"/>
  <c r="CR251" i="40"/>
  <c r="CR286" i="40"/>
  <c r="CR319" i="40"/>
  <c r="CR352" i="40"/>
  <c r="CR385" i="40"/>
  <c r="CR418" i="40"/>
  <c r="CR451" i="40"/>
  <c r="CR484" i="40"/>
  <c r="CR517" i="40"/>
  <c r="CR550" i="40"/>
  <c r="CR583" i="40"/>
  <c r="CR616" i="40"/>
  <c r="CR649" i="40"/>
  <c r="CR42" i="40"/>
  <c r="CR77" i="40"/>
  <c r="CR112" i="40"/>
  <c r="CR147" i="40"/>
  <c r="CR183" i="40"/>
  <c r="CR218" i="40"/>
  <c r="CR252" i="40"/>
  <c r="CR287" i="40"/>
  <c r="CR320" i="40"/>
  <c r="CR353" i="40"/>
  <c r="CR386" i="40"/>
  <c r="CR419" i="40"/>
  <c r="CR452" i="40"/>
  <c r="CR485" i="40"/>
  <c r="CR518" i="40"/>
  <c r="CR551" i="40"/>
  <c r="CR584" i="40"/>
  <c r="CR617" i="40"/>
  <c r="CR650" i="40"/>
  <c r="CR43" i="40"/>
  <c r="CR78" i="40"/>
  <c r="CR113" i="40"/>
  <c r="CR148" i="40"/>
  <c r="CR184" i="40"/>
  <c r="CR219" i="40"/>
  <c r="CR254" i="40"/>
  <c r="CR288" i="40"/>
  <c r="CR321" i="40"/>
  <c r="CR354" i="40"/>
  <c r="CR387" i="40"/>
  <c r="CR420" i="40"/>
  <c r="CR453" i="40"/>
  <c r="CR486" i="40"/>
  <c r="CR519" i="40"/>
  <c r="CR552" i="40"/>
  <c r="CR585" i="40"/>
  <c r="CR618" i="40"/>
  <c r="CR651" i="40"/>
  <c r="CR44" i="40"/>
  <c r="CR79" i="40"/>
  <c r="CR114" i="40"/>
  <c r="CR150" i="40"/>
  <c r="CR185" i="40"/>
  <c r="CR220" i="40"/>
  <c r="CR255" i="40"/>
  <c r="CR289" i="40"/>
  <c r="CR322" i="40"/>
  <c r="CR355" i="40"/>
  <c r="CR388" i="40"/>
  <c r="CR421" i="40"/>
  <c r="CR454" i="40"/>
  <c r="CR487" i="40"/>
  <c r="CR520" i="40"/>
  <c r="CR553" i="40"/>
  <c r="CR586" i="40"/>
  <c r="CR619" i="40"/>
  <c r="CR652" i="40"/>
  <c r="CR45" i="40"/>
  <c r="CR80" i="40"/>
  <c r="CR115" i="40"/>
  <c r="CR151" i="40"/>
  <c r="CR186" i="40"/>
  <c r="CR222" i="40"/>
  <c r="CR256" i="40"/>
  <c r="CR290" i="40"/>
  <c r="CR323" i="40"/>
  <c r="CR356" i="40"/>
  <c r="CR389" i="40"/>
  <c r="CR422" i="40"/>
  <c r="CR455" i="40"/>
  <c r="CR488" i="40"/>
  <c r="CR521" i="40"/>
  <c r="CR554" i="40"/>
  <c r="CR587" i="40"/>
  <c r="CR620" i="40"/>
  <c r="CR653" i="40"/>
  <c r="CR46" i="40"/>
  <c r="CR81" i="40"/>
  <c r="CR116" i="40"/>
  <c r="CR152" i="40"/>
  <c r="CR187" i="40"/>
  <c r="CR223" i="40"/>
  <c r="CR257" i="40"/>
  <c r="CR291" i="40"/>
  <c r="CR324" i="40"/>
  <c r="CR357" i="40"/>
  <c r="CR390" i="40"/>
  <c r="CR423" i="40"/>
  <c r="CR456" i="40"/>
  <c r="CR489" i="40"/>
  <c r="CR522" i="40"/>
  <c r="CR555" i="40"/>
  <c r="CR588" i="40"/>
  <c r="CR621" i="40"/>
  <c r="CR654" i="40"/>
  <c r="CR12" i="40"/>
  <c r="CR47" i="40"/>
  <c r="CR82" i="40"/>
  <c r="CR118" i="40"/>
  <c r="CR153" i="40"/>
  <c r="CR188" i="40"/>
  <c r="CR224" i="40"/>
  <c r="CR258" i="40"/>
  <c r="CR292" i="40"/>
  <c r="CR325" i="40"/>
  <c r="CR358" i="40"/>
  <c r="CR391" i="40"/>
  <c r="CR424" i="40"/>
  <c r="CR457" i="40"/>
  <c r="CR490" i="40"/>
  <c r="CR523" i="40"/>
  <c r="CR556" i="40"/>
  <c r="CR589" i="40"/>
  <c r="CR622" i="40"/>
  <c r="CR655" i="40"/>
  <c r="CR22" i="40"/>
  <c r="CR57" i="40"/>
  <c r="CR92" i="40"/>
  <c r="CR129" i="40"/>
  <c r="CR164" i="40"/>
  <c r="CR199" i="40"/>
  <c r="CR233" i="40"/>
  <c r="CR267" i="40"/>
  <c r="CR301" i="40"/>
  <c r="CR334" i="40"/>
  <c r="CR367" i="40"/>
  <c r="CR400" i="40"/>
  <c r="CR433" i="40"/>
  <c r="CR466" i="40"/>
  <c r="CR499" i="40"/>
  <c r="CR532" i="40"/>
  <c r="CR565" i="40"/>
  <c r="CR598" i="40"/>
  <c r="CR631" i="40"/>
  <c r="CR664" i="40"/>
  <c r="CR23" i="40"/>
  <c r="CR58" i="40"/>
  <c r="CR95" i="40"/>
  <c r="CR130" i="40"/>
  <c r="CR165" i="40"/>
  <c r="CR200" i="40"/>
  <c r="CR234" i="40"/>
  <c r="CR268" i="40"/>
  <c r="CR302" i="40"/>
  <c r="CR335" i="40"/>
  <c r="CR368" i="40"/>
  <c r="CR401" i="40"/>
  <c r="CR434" i="40"/>
  <c r="CR467" i="40"/>
  <c r="CR500" i="40"/>
  <c r="CR533" i="40"/>
  <c r="CR566" i="40"/>
  <c r="CR599" i="40"/>
  <c r="CR632" i="40"/>
  <c r="CR665" i="40"/>
  <c r="CR24" i="40"/>
  <c r="CR59" i="40"/>
  <c r="CR96" i="40"/>
  <c r="CR131" i="40"/>
  <c r="CR166" i="40"/>
  <c r="CR201" i="40"/>
  <c r="CR235" i="40"/>
  <c r="CR269" i="40"/>
  <c r="CR303" i="40"/>
  <c r="CR336" i="40"/>
  <c r="CR369" i="40"/>
  <c r="CR402" i="40"/>
  <c r="CR435" i="40"/>
  <c r="CR468" i="40"/>
  <c r="CR501" i="40"/>
  <c r="CR534" i="40"/>
  <c r="CR567" i="40"/>
  <c r="CR600" i="40"/>
  <c r="CR633" i="40"/>
  <c r="CR666" i="40"/>
  <c r="CR25" i="40"/>
  <c r="CR60" i="40"/>
  <c r="CR97" i="40"/>
  <c r="CR132" i="40"/>
  <c r="CR167" i="40"/>
  <c r="CR202" i="40"/>
  <c r="CR236" i="40"/>
  <c r="CR270" i="40"/>
  <c r="CR304" i="40"/>
  <c r="CR337" i="40"/>
  <c r="CR370" i="40"/>
  <c r="CR403" i="40"/>
  <c r="CR436" i="40"/>
  <c r="CR469" i="40"/>
  <c r="CR502" i="40"/>
  <c r="CR535" i="40"/>
  <c r="CR568" i="40"/>
  <c r="CR601" i="40"/>
  <c r="CR634" i="40"/>
  <c r="CR667" i="40"/>
  <c r="CR26" i="40"/>
  <c r="CR63" i="40"/>
  <c r="CR98" i="40"/>
  <c r="CR133" i="40"/>
  <c r="CR168" i="40"/>
  <c r="CR203" i="40"/>
  <c r="CR237" i="40"/>
  <c r="CR271" i="40"/>
  <c r="CR305" i="40"/>
  <c r="CR338" i="40"/>
  <c r="CR371" i="40"/>
  <c r="CR404" i="40"/>
  <c r="CR437" i="40"/>
  <c r="CR470" i="40"/>
  <c r="CR503" i="40"/>
  <c r="CR536" i="40"/>
  <c r="CR569" i="40"/>
  <c r="CR602" i="40"/>
  <c r="CR635" i="40"/>
  <c r="CR668" i="40"/>
  <c r="CR27" i="40"/>
  <c r="CR64" i="40"/>
  <c r="CR99" i="40"/>
  <c r="CR134" i="40"/>
  <c r="CR169" i="40"/>
  <c r="CR204" i="40"/>
  <c r="CR238" i="40"/>
  <c r="CR272" i="40"/>
  <c r="CR306" i="40"/>
  <c r="CR339" i="40"/>
  <c r="CR372" i="40"/>
  <c r="CR405" i="40"/>
  <c r="CR438" i="40"/>
  <c r="CR471" i="40"/>
  <c r="CR504" i="40"/>
  <c r="CR537" i="40"/>
  <c r="CR570" i="40"/>
  <c r="CR603" i="40"/>
  <c r="CR636" i="40"/>
  <c r="CR670" i="40"/>
  <c r="CR28" i="40"/>
  <c r="CR65" i="40"/>
  <c r="CR100" i="40"/>
  <c r="CR135" i="40"/>
  <c r="CR170" i="40"/>
  <c r="CR205" i="40"/>
  <c r="CR239" i="40"/>
  <c r="CR273" i="40"/>
  <c r="CR307" i="40"/>
  <c r="CR340" i="40"/>
  <c r="CR373" i="40"/>
  <c r="CR406" i="40"/>
  <c r="CR439" i="40"/>
  <c r="CR472" i="40"/>
  <c r="CR505" i="40"/>
  <c r="CR538" i="40"/>
  <c r="CR571" i="40"/>
  <c r="CR604" i="40"/>
  <c r="CR638" i="40"/>
  <c r="CR671" i="40"/>
  <c r="CR31" i="40"/>
  <c r="CR66" i="40"/>
  <c r="CR101" i="40"/>
  <c r="CR136" i="40"/>
  <c r="CR171" i="40"/>
  <c r="CR206" i="40"/>
  <c r="CR240" i="40"/>
  <c r="CR274" i="40"/>
  <c r="CR308" i="40"/>
  <c r="CR341" i="40"/>
  <c r="CR374" i="40"/>
  <c r="CR407" i="40"/>
  <c r="CR440" i="40"/>
  <c r="CR473" i="40"/>
  <c r="CR506" i="40"/>
  <c r="CR539" i="40"/>
  <c r="CR572" i="40"/>
  <c r="CR606" i="40"/>
  <c r="CR639" i="40"/>
  <c r="CR672" i="40"/>
  <c r="CR49" i="40"/>
  <c r="CR110" i="40"/>
  <c r="CR178" i="40"/>
  <c r="CR246" i="40"/>
  <c r="CR311" i="40"/>
  <c r="CR375" i="40"/>
  <c r="CR431" i="40"/>
  <c r="CR495" i="40"/>
  <c r="CR559" i="40"/>
  <c r="CR623" i="40"/>
  <c r="CR680" i="40"/>
  <c r="CR50" i="40"/>
  <c r="CR119" i="40"/>
  <c r="CR179" i="40"/>
  <c r="CR247" i="40"/>
  <c r="CR312" i="40"/>
  <c r="CR376" i="40"/>
  <c r="CR432" i="40"/>
  <c r="CR496" i="40"/>
  <c r="CR560" i="40"/>
  <c r="CR624" i="40"/>
  <c r="CR51" i="40"/>
  <c r="CR120" i="40"/>
  <c r="CR180" i="40"/>
  <c r="CR248" i="40"/>
  <c r="CR313" i="40"/>
  <c r="CR377" i="40"/>
  <c r="CR441" i="40"/>
  <c r="CR497" i="40"/>
  <c r="CR561" i="40"/>
  <c r="CR625" i="40"/>
  <c r="CR52" i="40"/>
  <c r="CR121" i="40"/>
  <c r="CR191" i="40"/>
  <c r="CR249" i="40"/>
  <c r="CR314" i="40"/>
  <c r="CR378" i="40"/>
  <c r="CR442" i="40"/>
  <c r="CR498" i="40"/>
  <c r="CR562" i="40"/>
  <c r="CR626" i="40"/>
  <c r="CR54" i="40"/>
  <c r="CR122" i="40"/>
  <c r="CR192" i="40"/>
  <c r="CR250" i="40"/>
  <c r="CR315" i="40"/>
  <c r="CR379" i="40"/>
  <c r="CR443" i="40"/>
  <c r="CR507" i="40"/>
  <c r="CR563" i="40"/>
  <c r="CR627" i="40"/>
  <c r="CR55" i="40"/>
  <c r="CR123" i="40"/>
  <c r="CR193" i="40"/>
  <c r="CR259" i="40"/>
  <c r="CR316" i="40"/>
  <c r="CR380" i="40"/>
  <c r="CR444" i="40"/>
  <c r="CR508" i="40"/>
  <c r="CR564" i="40"/>
  <c r="CR628" i="40"/>
  <c r="CR56" i="40"/>
  <c r="CR124" i="40"/>
  <c r="CR194" i="40"/>
  <c r="CR260" i="40"/>
  <c r="CR318" i="40"/>
  <c r="CR382" i="40"/>
  <c r="CR446" i="40"/>
  <c r="CR510" i="40"/>
  <c r="CR574" i="40"/>
  <c r="CR629" i="40"/>
  <c r="CR67" i="40"/>
  <c r="CR127" i="40"/>
  <c r="CR195" i="40"/>
  <c r="CR261" i="40"/>
  <c r="CR326" i="40"/>
  <c r="CR383" i="40"/>
  <c r="CR447" i="40"/>
  <c r="CR511" i="40"/>
  <c r="CR575" i="40"/>
  <c r="CR630" i="40"/>
  <c r="CR68" i="40"/>
  <c r="CR128" i="40"/>
  <c r="CR196" i="40"/>
  <c r="CR262" i="40"/>
  <c r="CR327" i="40"/>
  <c r="CR384" i="40"/>
  <c r="CR448" i="40"/>
  <c r="CR512" i="40"/>
  <c r="CR576" i="40"/>
  <c r="CR640" i="40"/>
  <c r="CR69" i="40"/>
  <c r="CR137" i="40"/>
  <c r="CR197" i="40"/>
  <c r="CR263" i="40"/>
  <c r="CR328" i="40"/>
  <c r="CR392" i="40"/>
  <c r="CR449" i="40"/>
  <c r="CR513" i="40"/>
  <c r="CR577" i="40"/>
  <c r="CR641" i="40"/>
  <c r="CR70" i="40"/>
  <c r="CR138" i="40"/>
  <c r="CR198" i="40"/>
  <c r="CR264" i="40"/>
  <c r="CR329" i="40"/>
  <c r="CR393" i="40"/>
  <c r="CR450" i="40"/>
  <c r="CR514" i="40"/>
  <c r="CR578" i="40"/>
  <c r="CR642" i="40"/>
  <c r="CR71" i="40"/>
  <c r="CR139" i="40"/>
  <c r="CR207" i="40"/>
  <c r="CR265" i="40"/>
  <c r="CR330" i="40"/>
  <c r="CR394" i="40"/>
  <c r="CR458" i="40"/>
  <c r="CR515" i="40"/>
  <c r="CR579" i="40"/>
  <c r="CR643" i="40"/>
  <c r="CR72" i="40"/>
  <c r="CR140" i="40"/>
  <c r="CR208" i="40"/>
  <c r="CR266" i="40"/>
  <c r="CR331" i="40"/>
  <c r="CR395" i="40"/>
  <c r="CR459" i="40"/>
  <c r="CR516" i="40"/>
  <c r="CR580" i="40"/>
  <c r="CR644" i="40"/>
  <c r="CR73" i="40"/>
  <c r="CR141" i="40"/>
  <c r="CR209" i="40"/>
  <c r="CR275" i="40"/>
  <c r="CR332" i="40"/>
  <c r="CR396" i="40"/>
  <c r="CR460" i="40"/>
  <c r="CR524" i="40"/>
  <c r="CR581" i="40"/>
  <c r="CR645" i="40"/>
  <c r="CR13" i="40"/>
  <c r="CR74" i="40"/>
  <c r="CR142" i="40"/>
  <c r="CR210" i="40"/>
  <c r="CR276" i="40"/>
  <c r="CR333" i="40"/>
  <c r="CR397" i="40"/>
  <c r="CR461" i="40"/>
  <c r="CR525" i="40"/>
  <c r="CR582" i="40"/>
  <c r="CR646" i="40"/>
  <c r="CR14" i="40"/>
  <c r="CR75" i="40"/>
  <c r="CR143" i="40"/>
  <c r="CR211" i="40"/>
  <c r="CR278" i="40"/>
  <c r="CR342" i="40"/>
  <c r="CR398" i="40"/>
  <c r="CR462" i="40"/>
  <c r="CR526" i="40"/>
  <c r="CR590" i="40"/>
  <c r="CR647" i="40"/>
  <c r="CR15" i="40"/>
  <c r="CR83" i="40"/>
  <c r="CR144" i="40"/>
  <c r="CR212" i="40"/>
  <c r="CR279" i="40"/>
  <c r="CR343" i="40"/>
  <c r="CR399" i="40"/>
  <c r="CR463" i="40"/>
  <c r="CR527" i="40"/>
  <c r="CR591" i="40"/>
  <c r="CR648" i="40"/>
  <c r="CR16" i="40"/>
  <c r="CR84" i="40"/>
  <c r="CR145" i="40"/>
  <c r="CR214" i="40"/>
  <c r="CR280" i="40"/>
  <c r="CR344" i="40"/>
  <c r="CR408" i="40"/>
  <c r="CR464" i="40"/>
  <c r="CR528" i="40"/>
  <c r="CR592" i="40"/>
  <c r="CR656" i="40"/>
  <c r="CR17" i="40"/>
  <c r="CR86" i="40"/>
  <c r="CR154" i="40"/>
  <c r="CR215" i="40"/>
  <c r="CR281" i="40"/>
  <c r="CR345" i="40"/>
  <c r="CR409" i="40"/>
  <c r="CR465" i="40"/>
  <c r="CR529" i="40"/>
  <c r="CR593" i="40"/>
  <c r="CR657" i="40"/>
  <c r="CR18" i="40"/>
  <c r="CR87" i="40"/>
  <c r="CR155" i="40"/>
  <c r="CR216" i="40"/>
  <c r="CR282" i="40"/>
  <c r="CR346" i="40"/>
  <c r="CR410" i="40"/>
  <c r="CR474" i="40"/>
  <c r="CR530" i="40"/>
  <c r="CR594" i="40"/>
  <c r="CR658" i="40"/>
  <c r="CR19" i="40"/>
  <c r="CR88" i="40"/>
  <c r="CR156" i="40"/>
  <c r="CR225" i="40"/>
  <c r="CR283" i="40"/>
  <c r="CR347" i="40"/>
  <c r="CR411" i="40"/>
  <c r="CR475" i="40"/>
  <c r="CR531" i="40"/>
  <c r="CR595" i="40"/>
  <c r="CR659" i="40"/>
  <c r="CR20" i="40"/>
  <c r="CR89" i="40"/>
  <c r="CR159" i="40"/>
  <c r="CR226" i="40"/>
  <c r="CR284" i="40"/>
  <c r="CR348" i="40"/>
  <c r="CR412" i="40"/>
  <c r="CR476" i="40"/>
  <c r="CR540" i="40"/>
  <c r="CR596" i="40"/>
  <c r="CR660" i="40"/>
  <c r="CR48" i="40"/>
  <c r="CR177" i="40"/>
  <c r="CR310" i="40"/>
  <c r="CR430" i="40"/>
  <c r="CR558" i="40"/>
  <c r="CR32" i="40"/>
  <c r="CR90" i="40"/>
  <c r="CR160" i="40"/>
  <c r="CR227" i="40"/>
  <c r="CR293" i="40"/>
  <c r="CR350" i="40"/>
  <c r="CR414" i="40"/>
  <c r="CR478" i="40"/>
  <c r="CR542" i="40"/>
  <c r="CR597" i="40"/>
  <c r="CR661" i="40"/>
  <c r="CR33" i="40"/>
  <c r="CR91" i="40"/>
  <c r="CR161" i="40"/>
  <c r="CR228" i="40"/>
  <c r="CR294" i="40"/>
  <c r="CR351" i="40"/>
  <c r="CR415" i="40"/>
  <c r="CR479" i="40"/>
  <c r="CR543" i="40"/>
  <c r="CR607" i="40"/>
  <c r="CR662" i="40"/>
  <c r="CR34" i="40"/>
  <c r="CR102" i="40"/>
  <c r="CR162" i="40"/>
  <c r="CR229" i="40"/>
  <c r="CR295" i="40"/>
  <c r="CR359" i="40"/>
  <c r="CR416" i="40"/>
  <c r="CR480" i="40"/>
  <c r="CR544" i="40"/>
  <c r="CR608" i="40"/>
  <c r="CR663" i="40"/>
  <c r="CR35" i="40"/>
  <c r="CR103" i="40"/>
  <c r="CR163" i="40"/>
  <c r="CR230" i="40"/>
  <c r="CR296" i="40"/>
  <c r="CR360" i="40"/>
  <c r="CR417" i="40"/>
  <c r="CR481" i="40"/>
  <c r="CR545" i="40"/>
  <c r="CR609" i="40"/>
  <c r="CR673" i="40"/>
  <c r="CR36" i="40"/>
  <c r="CR104" i="40"/>
  <c r="CR172" i="40"/>
  <c r="CR231" i="40"/>
  <c r="CR297" i="40"/>
  <c r="CR361" i="40"/>
  <c r="CR425" i="40"/>
  <c r="CR482" i="40"/>
  <c r="CR546" i="40"/>
  <c r="CR610" i="40"/>
  <c r="CR674" i="40"/>
  <c r="CR37" i="40"/>
  <c r="CR105" i="40"/>
  <c r="CR173" i="40"/>
  <c r="CR232" i="40"/>
  <c r="CR298" i="40"/>
  <c r="CR362" i="40"/>
  <c r="CR426" i="40"/>
  <c r="CR483" i="40"/>
  <c r="CR547" i="40"/>
  <c r="CR611" i="40"/>
  <c r="CR675" i="40"/>
  <c r="CR38" i="40"/>
  <c r="CR106" i="40"/>
  <c r="CR174" i="40"/>
  <c r="CR241" i="40"/>
  <c r="CR299" i="40"/>
  <c r="CR363" i="40"/>
  <c r="CR427" i="40"/>
  <c r="CR491" i="40"/>
  <c r="CR548" i="40"/>
  <c r="CR612" i="40"/>
  <c r="CR676" i="40"/>
  <c r="CR39" i="40"/>
  <c r="CR107" i="40"/>
  <c r="CR175" i="40"/>
  <c r="CR242" i="40"/>
  <c r="CR300" i="40"/>
  <c r="CR364" i="40"/>
  <c r="CR428" i="40"/>
  <c r="CR492" i="40"/>
  <c r="CR549" i="40"/>
  <c r="CR613" i="40"/>
  <c r="CR677" i="40"/>
  <c r="CR109" i="40"/>
  <c r="CR244" i="40"/>
  <c r="CR366" i="40"/>
  <c r="CR494" i="40"/>
  <c r="CR615" i="40"/>
  <c r="CR40" i="40"/>
  <c r="CR108" i="40"/>
  <c r="CR176" i="40"/>
  <c r="CR243" i="40"/>
  <c r="CR309" i="40"/>
  <c r="CR365" i="40"/>
  <c r="CR429" i="40"/>
  <c r="CR493" i="40"/>
  <c r="CR557" i="40"/>
  <c r="CR614" i="40"/>
  <c r="CR678" i="40"/>
  <c r="CR679" i="40"/>
  <c r="DE24" i="40"/>
  <c r="DE56" i="40"/>
  <c r="DE88" i="40"/>
  <c r="DE120" i="40"/>
  <c r="DE152" i="40"/>
  <c r="DE184" i="40"/>
  <c r="DE216" i="40"/>
  <c r="DE248" i="40"/>
  <c r="DE280" i="40"/>
  <c r="DE312" i="40"/>
  <c r="DE344" i="40"/>
  <c r="DE376" i="40"/>
  <c r="DE408" i="40"/>
  <c r="DE440" i="40"/>
  <c r="DE472" i="40"/>
  <c r="DE504" i="40"/>
  <c r="DE536" i="40"/>
  <c r="DE568" i="40"/>
  <c r="DE600" i="40"/>
  <c r="DE632" i="40"/>
  <c r="DE664" i="40"/>
  <c r="DE25" i="40"/>
  <c r="DE57" i="40"/>
  <c r="DE89" i="40"/>
  <c r="DE121" i="40"/>
  <c r="DE153" i="40"/>
  <c r="DE185" i="40"/>
  <c r="DE217" i="40"/>
  <c r="DE249" i="40"/>
  <c r="DE281" i="40"/>
  <c r="DE313" i="40"/>
  <c r="DE345" i="40"/>
  <c r="DE377" i="40"/>
  <c r="DE409" i="40"/>
  <c r="DE441" i="40"/>
  <c r="DE473" i="40"/>
  <c r="DE505" i="40"/>
  <c r="DE537" i="40"/>
  <c r="DE569" i="40"/>
  <c r="DE601" i="40"/>
  <c r="DE633" i="40"/>
  <c r="DE665" i="40"/>
  <c r="DE41" i="40"/>
  <c r="DE73" i="40"/>
  <c r="DE105" i="40"/>
  <c r="DE137" i="40"/>
  <c r="DE169" i="40"/>
  <c r="DE201" i="40"/>
  <c r="DE233" i="40"/>
  <c r="DE265" i="40"/>
  <c r="DE297" i="40"/>
  <c r="DE329" i="40"/>
  <c r="DE361" i="40"/>
  <c r="DE393" i="40"/>
  <c r="DE425" i="40"/>
  <c r="DE457" i="40"/>
  <c r="DE489" i="40"/>
  <c r="DE521" i="40"/>
  <c r="DE42" i="40"/>
  <c r="DE74" i="40"/>
  <c r="DE106" i="40"/>
  <c r="DE14" i="40"/>
  <c r="DE46" i="40"/>
  <c r="DE78" i="40"/>
  <c r="DE110" i="40"/>
  <c r="DE142" i="40"/>
  <c r="DE174" i="40"/>
  <c r="DE206" i="40"/>
  <c r="DE238" i="40"/>
  <c r="DE270" i="40"/>
  <c r="DE302" i="40"/>
  <c r="DE334" i="40"/>
  <c r="DE366" i="40"/>
  <c r="DE398" i="40"/>
  <c r="DE430" i="40"/>
  <c r="DE462" i="40"/>
  <c r="DE494" i="40"/>
  <c r="DE526" i="40"/>
  <c r="DE558" i="40"/>
  <c r="DE590" i="40"/>
  <c r="DE622" i="40"/>
  <c r="DE654" i="40"/>
  <c r="DE16" i="40"/>
  <c r="DE48" i="40"/>
  <c r="DE80" i="40"/>
  <c r="DE112" i="40"/>
  <c r="DE144" i="40"/>
  <c r="DE176" i="40"/>
  <c r="DE208" i="40"/>
  <c r="DE240" i="40"/>
  <c r="DE272" i="40"/>
  <c r="DE304" i="40"/>
  <c r="DE336" i="40"/>
  <c r="DE368" i="40"/>
  <c r="DE400" i="40"/>
  <c r="DE432" i="40"/>
  <c r="DE464" i="40"/>
  <c r="DE496" i="40"/>
  <c r="DE528" i="40"/>
  <c r="DE560" i="40"/>
  <c r="DE592" i="40"/>
  <c r="DE624" i="40"/>
  <c r="DE656" i="40"/>
  <c r="DE28" i="40"/>
  <c r="DE66" i="40"/>
  <c r="DE104" i="40"/>
  <c r="DE145" i="40"/>
  <c r="DE182" i="40"/>
  <c r="DE221" i="40"/>
  <c r="DE258" i="40"/>
  <c r="DE295" i="40"/>
  <c r="DE333" i="40"/>
  <c r="DE372" i="40"/>
  <c r="DE411" i="40"/>
  <c r="DE448" i="40"/>
  <c r="DE485" i="40"/>
  <c r="DE523" i="40"/>
  <c r="DE561" i="40"/>
  <c r="DE597" i="40"/>
  <c r="DE635" i="40"/>
  <c r="DE671" i="40"/>
  <c r="DE29" i="40"/>
  <c r="DE67" i="40"/>
  <c r="DE107" i="40"/>
  <c r="DE146" i="40"/>
  <c r="DE183" i="40"/>
  <c r="DE222" i="40"/>
  <c r="DE259" i="40"/>
  <c r="DE296" i="40"/>
  <c r="DE335" i="40"/>
  <c r="DE373" i="40"/>
  <c r="DE412" i="40"/>
  <c r="DE449" i="40"/>
  <c r="DE486" i="40"/>
  <c r="DE524" i="40"/>
  <c r="DE562" i="40"/>
  <c r="DE598" i="40"/>
  <c r="DE636" i="40"/>
  <c r="DE672" i="40"/>
  <c r="DE30" i="40"/>
  <c r="DE68" i="40"/>
  <c r="DE108" i="40"/>
  <c r="DE147" i="40"/>
  <c r="DE186" i="40"/>
  <c r="DE223" i="40"/>
  <c r="DE260" i="40"/>
  <c r="DE298" i="40"/>
  <c r="DE337" i="40"/>
  <c r="DE374" i="40"/>
  <c r="DE413" i="40"/>
  <c r="DE450" i="40"/>
  <c r="DE487" i="40"/>
  <c r="DE525" i="40"/>
  <c r="DE563" i="40"/>
  <c r="DE599" i="40"/>
  <c r="DE637" i="40"/>
  <c r="DE673" i="40"/>
  <c r="DE31" i="40"/>
  <c r="DE69" i="40"/>
  <c r="DE109" i="40"/>
  <c r="DE148" i="40"/>
  <c r="DE187" i="40"/>
  <c r="DE224" i="40"/>
  <c r="DE261" i="40"/>
  <c r="DE299" i="40"/>
  <c r="DE338" i="40"/>
  <c r="DE375" i="40"/>
  <c r="DE414" i="40"/>
  <c r="DE451" i="40"/>
  <c r="DE488" i="40"/>
  <c r="DE527" i="40"/>
  <c r="DE564" i="40"/>
  <c r="DE602" i="40"/>
  <c r="DE638" i="40"/>
  <c r="DE674" i="40"/>
  <c r="DE32" i="40"/>
  <c r="DE70" i="40"/>
  <c r="DE111" i="40"/>
  <c r="DE149" i="40"/>
  <c r="DE188" i="40"/>
  <c r="DE225" i="40"/>
  <c r="DE262" i="40"/>
  <c r="DE300" i="40"/>
  <c r="DE339" i="40"/>
  <c r="DE378" i="40"/>
  <c r="DE415" i="40"/>
  <c r="DE452" i="40"/>
  <c r="DE490" i="40"/>
  <c r="DE529" i="40"/>
  <c r="DE565" i="40"/>
  <c r="DE603" i="40"/>
  <c r="DE639" i="40"/>
  <c r="DE675" i="40"/>
  <c r="DE33" i="40"/>
  <c r="DE71" i="40"/>
  <c r="DE113" i="40"/>
  <c r="DE150" i="40"/>
  <c r="DE189" i="40"/>
  <c r="DE226" i="40"/>
  <c r="DE263" i="40"/>
  <c r="DE301" i="40"/>
  <c r="DE340" i="40"/>
  <c r="DE379" i="40"/>
  <c r="DE416" i="40"/>
  <c r="DE453" i="40"/>
  <c r="DE491" i="40"/>
  <c r="DE530" i="40"/>
  <c r="DE566" i="40"/>
  <c r="DE604" i="40"/>
  <c r="DE640" i="40"/>
  <c r="DE676" i="40"/>
  <c r="DE34" i="40"/>
  <c r="DE72" i="40"/>
  <c r="DE114" i="40"/>
  <c r="DE151" i="40"/>
  <c r="DE190" i="40"/>
  <c r="DE227" i="40"/>
  <c r="DE264" i="40"/>
  <c r="DE303" i="40"/>
  <c r="DE341" i="40"/>
  <c r="DE380" i="40"/>
  <c r="DE417" i="40"/>
  <c r="DE454" i="40"/>
  <c r="DE492" i="40"/>
  <c r="DE531" i="40"/>
  <c r="DE567" i="40"/>
  <c r="DE605" i="40"/>
  <c r="DE641" i="40"/>
  <c r="DE677" i="40"/>
  <c r="DE35" i="40"/>
  <c r="DE75" i="40"/>
  <c r="DE115" i="40"/>
  <c r="DE154" i="40"/>
  <c r="DE191" i="40"/>
  <c r="DE228" i="40"/>
  <c r="DE266" i="40"/>
  <c r="DE305" i="40"/>
  <c r="DE342" i="40"/>
  <c r="DE381" i="40"/>
  <c r="DE418" i="40"/>
  <c r="DE455" i="40"/>
  <c r="DE493" i="40"/>
  <c r="DE532" i="40"/>
  <c r="DE570" i="40"/>
  <c r="DE606" i="40"/>
  <c r="DE642" i="40"/>
  <c r="DE678" i="40"/>
  <c r="DE36" i="40"/>
  <c r="DE76" i="40"/>
  <c r="DE116" i="40"/>
  <c r="DE155" i="40"/>
  <c r="DE192" i="40"/>
  <c r="DE229" i="40"/>
  <c r="DE267" i="40"/>
  <c r="DE306" i="40"/>
  <c r="DE343" i="40"/>
  <c r="DE382" i="40"/>
  <c r="DE419" i="40"/>
  <c r="DE456" i="40"/>
  <c r="DE495" i="40"/>
  <c r="DE533" i="40"/>
  <c r="DE571" i="40"/>
  <c r="DE607" i="40"/>
  <c r="DE643" i="40"/>
  <c r="DE679" i="40"/>
  <c r="DE37" i="40"/>
  <c r="DE77" i="40"/>
  <c r="DE117" i="40"/>
  <c r="DE156" i="40"/>
  <c r="DE193" i="40"/>
  <c r="DE230" i="40"/>
  <c r="DE268" i="40"/>
  <c r="DE307" i="40"/>
  <c r="DE346" i="40"/>
  <c r="DE383" i="40"/>
  <c r="DE420" i="40"/>
  <c r="DE458" i="40"/>
  <c r="DE497" i="40"/>
  <c r="DE534" i="40"/>
  <c r="DE572" i="40"/>
  <c r="DE608" i="40"/>
  <c r="DE644" i="40"/>
  <c r="DE680" i="40"/>
  <c r="DE38" i="40"/>
  <c r="DE79" i="40"/>
  <c r="DE118" i="40"/>
  <c r="DE157" i="40"/>
  <c r="DE194" i="40"/>
  <c r="DE231" i="40"/>
  <c r="DE269" i="40"/>
  <c r="DE308" i="40"/>
  <c r="DE347" i="40"/>
  <c r="DE384" i="40"/>
  <c r="DE421" i="40"/>
  <c r="DE459" i="40"/>
  <c r="DE498" i="40"/>
  <c r="DE535" i="40"/>
  <c r="DE573" i="40"/>
  <c r="DE609" i="40"/>
  <c r="DE645" i="40"/>
  <c r="DE39" i="40"/>
  <c r="DE81" i="40"/>
  <c r="DE119" i="40"/>
  <c r="DE158" i="40"/>
  <c r="DE195" i="40"/>
  <c r="DE232" i="40"/>
  <c r="DE271" i="40"/>
  <c r="DE309" i="40"/>
  <c r="DE348" i="40"/>
  <c r="DE385" i="40"/>
  <c r="DE422" i="40"/>
  <c r="DE460" i="40"/>
  <c r="DE499" i="40"/>
  <c r="DE538" i="40"/>
  <c r="DE574" i="40"/>
  <c r="DE610" i="40"/>
  <c r="DE646" i="40"/>
  <c r="DE40" i="40"/>
  <c r="DE82" i="40"/>
  <c r="DE122" i="40"/>
  <c r="DE159" i="40"/>
  <c r="DE196" i="40"/>
  <c r="DE234" i="40"/>
  <c r="DE273" i="40"/>
  <c r="DE310" i="40"/>
  <c r="DE349" i="40"/>
  <c r="DE386" i="40"/>
  <c r="DE423" i="40"/>
  <c r="DE461" i="40"/>
  <c r="DE500" i="40"/>
  <c r="DE539" i="40"/>
  <c r="DE575" i="40"/>
  <c r="DE611" i="40"/>
  <c r="DE647" i="40"/>
  <c r="DE43" i="40"/>
  <c r="DE83" i="40"/>
  <c r="DE123" i="40"/>
  <c r="DE160" i="40"/>
  <c r="DE197" i="40"/>
  <c r="DE235" i="40"/>
  <c r="DE274" i="40"/>
  <c r="DE311" i="40"/>
  <c r="DE350" i="40"/>
  <c r="DE387" i="40"/>
  <c r="DE424" i="40"/>
  <c r="DE463" i="40"/>
  <c r="DE501" i="40"/>
  <c r="DE540" i="40"/>
  <c r="DE576" i="40"/>
  <c r="DE612" i="40"/>
  <c r="DE648" i="40"/>
  <c r="DE44" i="40"/>
  <c r="DE84" i="40"/>
  <c r="DE124" i="40"/>
  <c r="DE161" i="40"/>
  <c r="DE198" i="40"/>
  <c r="DE236" i="40"/>
  <c r="DE275" i="40"/>
  <c r="DE314" i="40"/>
  <c r="DE351" i="40"/>
  <c r="DE388" i="40"/>
  <c r="DE426" i="40"/>
  <c r="DE465" i="40"/>
  <c r="DE502" i="40"/>
  <c r="DE541" i="40"/>
  <c r="DE577" i="40"/>
  <c r="DE613" i="40"/>
  <c r="DE649" i="40"/>
  <c r="DE45" i="40"/>
  <c r="DE85" i="40"/>
  <c r="DE125" i="40"/>
  <c r="DE162" i="40"/>
  <c r="DE199" i="40"/>
  <c r="DE237" i="40"/>
  <c r="DE276" i="40"/>
  <c r="DE315" i="40"/>
  <c r="DE352" i="40"/>
  <c r="DE389" i="40"/>
  <c r="DE427" i="40"/>
  <c r="DE466" i="40"/>
  <c r="DE503" i="40"/>
  <c r="DE542" i="40"/>
  <c r="DE578" i="40"/>
  <c r="DE614" i="40"/>
  <c r="DE650" i="40"/>
  <c r="DE47" i="40"/>
  <c r="DE86" i="40"/>
  <c r="DE126" i="40"/>
  <c r="DE163" i="40"/>
  <c r="DE200" i="40"/>
  <c r="DE239" i="40"/>
  <c r="DE277" i="40"/>
  <c r="DE316" i="40"/>
  <c r="DE353" i="40"/>
  <c r="DE390" i="40"/>
  <c r="DE428" i="40"/>
  <c r="DE467" i="40"/>
  <c r="DE506" i="40"/>
  <c r="DE543" i="40"/>
  <c r="DE579" i="40"/>
  <c r="DE615" i="40"/>
  <c r="DE651" i="40"/>
  <c r="DE49" i="40"/>
  <c r="DE87" i="40"/>
  <c r="DE127" i="40"/>
  <c r="DE164" i="40"/>
  <c r="DE202" i="40"/>
  <c r="DE241" i="40"/>
  <c r="DE278" i="40"/>
  <c r="DE317" i="40"/>
  <c r="DE354" i="40"/>
  <c r="DE391" i="40"/>
  <c r="DE429" i="40"/>
  <c r="DE468" i="40"/>
  <c r="DE507" i="40"/>
  <c r="DE544" i="40"/>
  <c r="DE580" i="40"/>
  <c r="DE616" i="40"/>
  <c r="DE652" i="40"/>
  <c r="DE50" i="40"/>
  <c r="DE90" i="40"/>
  <c r="DE128" i="40"/>
  <c r="DE165" i="40"/>
  <c r="DE203" i="40"/>
  <c r="DE242" i="40"/>
  <c r="DE279" i="40"/>
  <c r="DE318" i="40"/>
  <c r="DE355" i="40"/>
  <c r="DE392" i="40"/>
  <c r="DE431" i="40"/>
  <c r="DE469" i="40"/>
  <c r="DE508" i="40"/>
  <c r="DE545" i="40"/>
  <c r="DE581" i="40"/>
  <c r="DE617" i="40"/>
  <c r="DE653" i="40"/>
  <c r="DE51" i="40"/>
  <c r="DE91" i="40"/>
  <c r="DE129" i="40"/>
  <c r="DE166" i="40"/>
  <c r="DE204" i="40"/>
  <c r="DE243" i="40"/>
  <c r="DE282" i="40"/>
  <c r="DE319" i="40"/>
  <c r="DE356" i="40"/>
  <c r="DE394" i="40"/>
  <c r="DE433" i="40"/>
  <c r="DE470" i="40"/>
  <c r="DE509" i="40"/>
  <c r="DE546" i="40"/>
  <c r="DE582" i="40"/>
  <c r="DE618" i="40"/>
  <c r="DE655" i="40"/>
  <c r="DE12" i="40"/>
  <c r="DE52" i="40"/>
  <c r="DE92" i="40"/>
  <c r="DE130" i="40"/>
  <c r="DE167" i="40"/>
  <c r="DE205" i="40"/>
  <c r="DE244" i="40"/>
  <c r="DE283" i="40"/>
  <c r="DE320" i="40"/>
  <c r="DE357" i="40"/>
  <c r="DE395" i="40"/>
  <c r="DE434" i="40"/>
  <c r="DE471" i="40"/>
  <c r="DE510" i="40"/>
  <c r="DE547" i="40"/>
  <c r="DE583" i="40"/>
  <c r="DE619" i="40"/>
  <c r="DE657" i="40"/>
  <c r="DE13" i="40"/>
  <c r="DE53" i="40"/>
  <c r="DE93" i="40"/>
  <c r="DE131" i="40"/>
  <c r="DE168" i="40"/>
  <c r="DE207" i="40"/>
  <c r="DE245" i="40"/>
  <c r="DE284" i="40"/>
  <c r="DE321" i="40"/>
  <c r="DE358" i="40"/>
  <c r="DE396" i="40"/>
  <c r="DE435" i="40"/>
  <c r="DE474" i="40"/>
  <c r="DE511" i="40"/>
  <c r="DE548" i="40"/>
  <c r="DE584" i="40"/>
  <c r="DE620" i="40"/>
  <c r="DE658" i="40"/>
  <c r="DE15" i="40"/>
  <c r="DE54" i="40"/>
  <c r="DE94" i="40"/>
  <c r="DE132" i="40"/>
  <c r="DE170" i="40"/>
  <c r="DE209" i="40"/>
  <c r="DE246" i="40"/>
  <c r="DE285" i="40"/>
  <c r="DE322" i="40"/>
  <c r="DE359" i="40"/>
  <c r="DE397" i="40"/>
  <c r="DE436" i="40"/>
  <c r="DE475" i="40"/>
  <c r="DE512" i="40"/>
  <c r="DE549" i="40"/>
  <c r="DE585" i="40"/>
  <c r="DE621" i="40"/>
  <c r="DE659" i="40"/>
  <c r="DE17" i="40"/>
  <c r="DE55" i="40"/>
  <c r="DE95" i="40"/>
  <c r="DE133" i="40"/>
  <c r="DE171" i="40"/>
  <c r="DE210" i="40"/>
  <c r="DE247" i="40"/>
  <c r="DE286" i="40"/>
  <c r="DE323" i="40"/>
  <c r="DE360" i="40"/>
  <c r="DE399" i="40"/>
  <c r="DE437" i="40"/>
  <c r="DE476" i="40"/>
  <c r="DE513" i="40"/>
  <c r="DE550" i="40"/>
  <c r="DE586" i="40"/>
  <c r="DE623" i="40"/>
  <c r="DE660" i="40"/>
  <c r="DE18" i="40"/>
  <c r="DE58" i="40"/>
  <c r="DE96" i="40"/>
  <c r="DE134" i="40"/>
  <c r="DE172" i="40"/>
  <c r="DE211" i="40"/>
  <c r="DE250" i="40"/>
  <c r="DE287" i="40"/>
  <c r="DE324" i="40"/>
  <c r="DE362" i="40"/>
  <c r="DE401" i="40"/>
  <c r="DE438" i="40"/>
  <c r="DE477" i="40"/>
  <c r="DE514" i="40"/>
  <c r="DE551" i="40"/>
  <c r="DE587" i="40"/>
  <c r="DE625" i="40"/>
  <c r="DE661" i="40"/>
  <c r="DE19" i="40"/>
  <c r="DE59" i="40"/>
  <c r="DE97" i="40"/>
  <c r="DE135" i="40"/>
  <c r="DE173" i="40"/>
  <c r="DE212" i="40"/>
  <c r="DE251" i="40"/>
  <c r="DE288" i="40"/>
  <c r="DE325" i="40"/>
  <c r="DE363" i="40"/>
  <c r="DE402" i="40"/>
  <c r="DE439" i="40"/>
  <c r="DE478" i="40"/>
  <c r="DE515" i="40"/>
  <c r="DE552" i="40"/>
  <c r="DE588" i="40"/>
  <c r="DE626" i="40"/>
  <c r="DE662" i="40"/>
  <c r="DE20" i="40"/>
  <c r="DE60" i="40"/>
  <c r="DE98" i="40"/>
  <c r="DE136" i="40"/>
  <c r="DE175" i="40"/>
  <c r="DE213" i="40"/>
  <c r="DE252" i="40"/>
  <c r="DE289" i="40"/>
  <c r="DE326" i="40"/>
  <c r="DE364" i="40"/>
  <c r="DE403" i="40"/>
  <c r="DE442" i="40"/>
  <c r="DE479" i="40"/>
  <c r="DE516" i="40"/>
  <c r="DE553" i="40"/>
  <c r="DE589" i="40"/>
  <c r="DE627" i="40"/>
  <c r="DE663" i="40"/>
  <c r="DE21" i="40"/>
  <c r="DE61" i="40"/>
  <c r="DE99" i="40"/>
  <c r="DE138" i="40"/>
  <c r="DE177" i="40"/>
  <c r="DE214" i="40"/>
  <c r="DE253" i="40"/>
  <c r="DE290" i="40"/>
  <c r="DE327" i="40"/>
  <c r="DE365" i="40"/>
  <c r="DE404" i="40"/>
  <c r="DE443" i="40"/>
  <c r="DE480" i="40"/>
  <c r="DE517" i="40"/>
  <c r="DE554" i="40"/>
  <c r="DE591" i="40"/>
  <c r="DE628" i="40"/>
  <c r="DE666" i="40"/>
  <c r="DE22" i="40"/>
  <c r="DE62" i="40"/>
  <c r="DE100" i="40"/>
  <c r="DE139" i="40"/>
  <c r="DE178" i="40"/>
  <c r="DE215" i="40"/>
  <c r="DE254" i="40"/>
  <c r="DE291" i="40"/>
  <c r="DE328" i="40"/>
  <c r="DE367" i="40"/>
  <c r="DE405" i="40"/>
  <c r="DE444" i="40"/>
  <c r="DE481" i="40"/>
  <c r="DE518" i="40"/>
  <c r="DE555" i="40"/>
  <c r="DE593" i="40"/>
  <c r="DE629" i="40"/>
  <c r="DE667" i="40"/>
  <c r="DE23" i="40"/>
  <c r="DE63" i="40"/>
  <c r="DE101" i="40"/>
  <c r="DE140" i="40"/>
  <c r="DE179" i="40"/>
  <c r="DE218" i="40"/>
  <c r="DE255" i="40"/>
  <c r="DE292" i="40"/>
  <c r="DE330" i="40"/>
  <c r="DE369" i="40"/>
  <c r="DE406" i="40"/>
  <c r="DE445" i="40"/>
  <c r="DE482" i="40"/>
  <c r="DE519" i="40"/>
  <c r="DE556" i="40"/>
  <c r="DE594" i="40"/>
  <c r="DE630" i="40"/>
  <c r="DE668" i="40"/>
  <c r="DE256" i="40"/>
  <c r="DE257" i="40"/>
  <c r="DE293" i="40"/>
  <c r="DE294" i="40"/>
  <c r="DE331" i="40"/>
  <c r="DE332" i="40"/>
  <c r="DE370" i="40"/>
  <c r="DE371" i="40"/>
  <c r="DE407" i="40"/>
  <c r="DE410" i="40"/>
  <c r="DE446" i="40"/>
  <c r="DE447" i="40"/>
  <c r="DE483" i="40"/>
  <c r="DE484" i="40"/>
  <c r="DE520" i="40"/>
  <c r="DE522" i="40"/>
  <c r="DE557" i="40"/>
  <c r="DE559" i="40"/>
  <c r="DE595" i="40"/>
  <c r="DE596" i="40"/>
  <c r="DE26" i="40"/>
  <c r="DE631" i="40"/>
  <c r="DE27" i="40"/>
  <c r="DE634" i="40"/>
  <c r="DE64" i="40"/>
  <c r="DE669" i="40"/>
  <c r="DE65" i="40"/>
  <c r="DE670" i="40"/>
  <c r="DE102" i="40"/>
  <c r="DE103" i="40"/>
  <c r="DE141" i="40"/>
  <c r="DE143" i="40"/>
  <c r="DE180" i="40"/>
  <c r="DE181" i="40"/>
  <c r="DE220" i="40"/>
  <c r="DE219" i="40"/>
  <c r="CE17" i="40"/>
  <c r="CE33" i="40"/>
  <c r="CE18" i="40"/>
  <c r="CE34" i="40"/>
  <c r="CE50" i="40"/>
  <c r="CE19" i="40"/>
  <c r="CE35" i="40"/>
  <c r="CE51" i="40"/>
  <c r="CE20" i="40"/>
  <c r="CE36" i="40"/>
  <c r="CE52" i="40"/>
  <c r="CE25" i="40"/>
  <c r="CE41" i="40"/>
  <c r="CE26" i="40"/>
  <c r="CE42" i="40"/>
  <c r="CE57" i="40"/>
  <c r="CE75" i="40"/>
  <c r="CE92" i="40"/>
  <c r="CE108" i="40"/>
  <c r="CE124" i="40"/>
  <c r="CE140" i="40"/>
  <c r="CE156" i="40"/>
  <c r="CE172" i="40"/>
  <c r="CE188" i="40"/>
  <c r="CE204" i="40"/>
  <c r="CE220" i="40"/>
  <c r="CE236" i="40"/>
  <c r="CE252" i="40"/>
  <c r="CE268" i="40"/>
  <c r="CE284" i="40"/>
  <c r="CE300" i="40"/>
  <c r="CE316" i="40"/>
  <c r="CE332" i="40"/>
  <c r="CE348" i="40"/>
  <c r="CE364" i="40"/>
  <c r="CE380" i="40"/>
  <c r="CE396" i="40"/>
  <c r="CE412" i="40"/>
  <c r="CE428" i="40"/>
  <c r="CE444" i="40"/>
  <c r="CE460" i="40"/>
  <c r="CE476" i="40"/>
  <c r="CE492" i="40"/>
  <c r="CE508" i="40"/>
  <c r="CE524" i="40"/>
  <c r="CE540" i="40"/>
  <c r="CE556" i="40"/>
  <c r="CE572" i="40"/>
  <c r="CE588" i="40"/>
  <c r="CE604" i="40"/>
  <c r="CE620" i="40"/>
  <c r="CE636" i="40"/>
  <c r="CE652" i="40"/>
  <c r="CE668" i="40"/>
  <c r="CE58" i="40"/>
  <c r="CE37" i="40"/>
  <c r="CE76" i="40"/>
  <c r="CE93" i="40"/>
  <c r="CE109" i="40"/>
  <c r="CE125" i="40"/>
  <c r="CE141" i="40"/>
  <c r="CE157" i="40"/>
  <c r="CE173" i="40"/>
  <c r="CE189" i="40"/>
  <c r="CE205" i="40"/>
  <c r="CE221" i="40"/>
  <c r="CE237" i="40"/>
  <c r="CE253" i="40"/>
  <c r="CE269" i="40"/>
  <c r="CE285" i="40"/>
  <c r="CE301" i="40"/>
  <c r="CE317" i="40"/>
  <c r="CE333" i="40"/>
  <c r="CE349" i="40"/>
  <c r="CE365" i="40"/>
  <c r="CE381" i="40"/>
  <c r="CE397" i="40"/>
  <c r="CE413" i="40"/>
  <c r="CE429" i="40"/>
  <c r="CE445" i="40"/>
  <c r="CE461" i="40"/>
  <c r="CE477" i="40"/>
  <c r="CE493" i="40"/>
  <c r="CE509" i="40"/>
  <c r="CE525" i="40"/>
  <c r="CE541" i="40"/>
  <c r="CE557" i="40"/>
  <c r="CE573" i="40"/>
  <c r="CE589" i="40"/>
  <c r="CE605" i="40"/>
  <c r="CE621" i="40"/>
  <c r="CE637" i="40"/>
  <c r="CE653" i="40"/>
  <c r="CE669" i="40"/>
  <c r="CE12" i="40"/>
  <c r="CE59" i="40"/>
  <c r="CE38" i="40"/>
  <c r="CE60" i="40"/>
  <c r="CE77" i="40"/>
  <c r="CE94" i="40"/>
  <c r="CE110" i="40"/>
  <c r="CE126" i="40"/>
  <c r="CE142" i="40"/>
  <c r="CE158" i="40"/>
  <c r="CE174" i="40"/>
  <c r="CE190" i="40"/>
  <c r="CE206" i="40"/>
  <c r="CE222" i="40"/>
  <c r="CE238" i="40"/>
  <c r="CE254" i="40"/>
  <c r="CE270" i="40"/>
  <c r="CE286" i="40"/>
  <c r="CE302" i="40"/>
  <c r="CE318" i="40"/>
  <c r="CE334" i="40"/>
  <c r="CE350" i="40"/>
  <c r="CE366" i="40"/>
  <c r="CE382" i="40"/>
  <c r="CE398" i="40"/>
  <c r="CE414" i="40"/>
  <c r="CE430" i="40"/>
  <c r="CE446" i="40"/>
  <c r="CE462" i="40"/>
  <c r="CE478" i="40"/>
  <c r="CE494" i="40"/>
  <c r="CE510" i="40"/>
  <c r="CE526" i="40"/>
  <c r="CE542" i="40"/>
  <c r="CE558" i="40"/>
  <c r="CE574" i="40"/>
  <c r="CE590" i="40"/>
  <c r="CE606" i="40"/>
  <c r="CE622" i="40"/>
  <c r="CE638" i="40"/>
  <c r="CE654" i="40"/>
  <c r="CE670" i="40"/>
  <c r="CE13" i="40"/>
  <c r="CE39" i="40"/>
  <c r="CE61" i="40"/>
  <c r="CE78" i="40"/>
  <c r="CE95" i="40"/>
  <c r="CE111" i="40"/>
  <c r="CE127" i="40"/>
  <c r="CE143" i="40"/>
  <c r="CE159" i="40"/>
  <c r="CE175" i="40"/>
  <c r="CE191" i="40"/>
  <c r="CE207" i="40"/>
  <c r="CE223" i="40"/>
  <c r="CE239" i="40"/>
  <c r="CE255" i="40"/>
  <c r="CE271" i="40"/>
  <c r="CE287" i="40"/>
  <c r="CE303" i="40"/>
  <c r="CE319" i="40"/>
  <c r="CE335" i="40"/>
  <c r="CE351" i="40"/>
  <c r="CE367" i="40"/>
  <c r="CE383" i="40"/>
  <c r="CE399" i="40"/>
  <c r="CE415" i="40"/>
  <c r="CE431" i="40"/>
  <c r="CE447" i="40"/>
  <c r="CE463" i="40"/>
  <c r="CE479" i="40"/>
  <c r="CE495" i="40"/>
  <c r="CE511" i="40"/>
  <c r="CE527" i="40"/>
  <c r="CE543" i="40"/>
  <c r="CE559" i="40"/>
  <c r="CE575" i="40"/>
  <c r="CE591" i="40"/>
  <c r="CE607" i="40"/>
  <c r="CE623" i="40"/>
  <c r="CE639" i="40"/>
  <c r="CE655" i="40"/>
  <c r="CE671" i="40"/>
  <c r="CE14" i="40"/>
  <c r="CE40" i="40"/>
  <c r="CE62" i="40"/>
  <c r="CE79" i="40"/>
  <c r="CE96" i="40"/>
  <c r="CE112" i="40"/>
  <c r="CE128" i="40"/>
  <c r="CE144" i="40"/>
  <c r="CE160" i="40"/>
  <c r="CE176" i="40"/>
  <c r="CE192" i="40"/>
  <c r="CE208" i="40"/>
  <c r="CE224" i="40"/>
  <c r="CE240" i="40"/>
  <c r="CE256" i="40"/>
  <c r="CE272" i="40"/>
  <c r="CE288" i="40"/>
  <c r="CE304" i="40"/>
  <c r="CE320" i="40"/>
  <c r="CE336" i="40"/>
  <c r="CE352" i="40"/>
  <c r="CE368" i="40"/>
  <c r="CE384" i="40"/>
  <c r="CE400" i="40"/>
  <c r="CE416" i="40"/>
  <c r="CE432" i="40"/>
  <c r="CE448" i="40"/>
  <c r="CE464" i="40"/>
  <c r="CE480" i="40"/>
  <c r="CE496" i="40"/>
  <c r="CE512" i="40"/>
  <c r="CE528" i="40"/>
  <c r="CE544" i="40"/>
  <c r="CE560" i="40"/>
  <c r="CE576" i="40"/>
  <c r="CE592" i="40"/>
  <c r="CE608" i="40"/>
  <c r="CE624" i="40"/>
  <c r="CE640" i="40"/>
  <c r="CE656" i="40"/>
  <c r="CE672" i="40"/>
  <c r="CE15" i="40"/>
  <c r="CE43" i="40"/>
  <c r="CE44" i="40"/>
  <c r="CE63" i="40"/>
  <c r="CE80" i="40"/>
  <c r="CE97" i="40"/>
  <c r="CE113" i="40"/>
  <c r="CE129" i="40"/>
  <c r="CE145" i="40"/>
  <c r="CE161" i="40"/>
  <c r="CE177" i="40"/>
  <c r="CE193" i="40"/>
  <c r="CE209" i="40"/>
  <c r="CE225" i="40"/>
  <c r="CE241" i="40"/>
  <c r="CE257" i="40"/>
  <c r="CE273" i="40"/>
  <c r="CE289" i="40"/>
  <c r="CE305" i="40"/>
  <c r="CE321" i="40"/>
  <c r="CE337" i="40"/>
  <c r="CE353" i="40"/>
  <c r="CE369" i="40"/>
  <c r="CE385" i="40"/>
  <c r="CE401" i="40"/>
  <c r="CE417" i="40"/>
  <c r="CE433" i="40"/>
  <c r="CE449" i="40"/>
  <c r="CE465" i="40"/>
  <c r="CE481" i="40"/>
  <c r="CE497" i="40"/>
  <c r="CE513" i="40"/>
  <c r="CE529" i="40"/>
  <c r="CE545" i="40"/>
  <c r="CE561" i="40"/>
  <c r="CE577" i="40"/>
  <c r="CE593" i="40"/>
  <c r="CE609" i="40"/>
  <c r="CE625" i="40"/>
  <c r="CE641" i="40"/>
  <c r="CE657" i="40"/>
  <c r="CE673" i="40"/>
  <c r="CE16" i="40"/>
  <c r="CE45" i="40"/>
  <c r="CE64" i="40"/>
  <c r="CE81" i="40"/>
  <c r="CE98" i="40"/>
  <c r="CE114" i="40"/>
  <c r="CE130" i="40"/>
  <c r="CE146" i="40"/>
  <c r="CE162" i="40"/>
  <c r="CE178" i="40"/>
  <c r="CE194" i="40"/>
  <c r="CE210" i="40"/>
  <c r="CE226" i="40"/>
  <c r="CE242" i="40"/>
  <c r="CE258" i="40"/>
  <c r="CE274" i="40"/>
  <c r="CE290" i="40"/>
  <c r="CE306" i="40"/>
  <c r="CE322" i="40"/>
  <c r="CE338" i="40"/>
  <c r="CE354" i="40"/>
  <c r="CE370" i="40"/>
  <c r="CE386" i="40"/>
  <c r="CE402" i="40"/>
  <c r="CE418" i="40"/>
  <c r="CE434" i="40"/>
  <c r="CE450" i="40"/>
  <c r="CE466" i="40"/>
  <c r="CE482" i="40"/>
  <c r="CE498" i="40"/>
  <c r="CE514" i="40"/>
  <c r="CE530" i="40"/>
  <c r="CE546" i="40"/>
  <c r="CE562" i="40"/>
  <c r="CE578" i="40"/>
  <c r="CE594" i="40"/>
  <c r="CE610" i="40"/>
  <c r="CE626" i="40"/>
  <c r="CE642" i="40"/>
  <c r="CE658" i="40"/>
  <c r="CE674" i="40"/>
  <c r="CE21" i="40"/>
  <c r="CE46" i="40"/>
  <c r="CE65" i="40"/>
  <c r="CE82" i="40"/>
  <c r="CE99" i="40"/>
  <c r="CE115" i="40"/>
  <c r="CE131" i="40"/>
  <c r="CE147" i="40"/>
  <c r="CE163" i="40"/>
  <c r="CE179" i="40"/>
  <c r="CE195" i="40"/>
  <c r="CE211" i="40"/>
  <c r="CE227" i="40"/>
  <c r="CE243" i="40"/>
  <c r="CE259" i="40"/>
  <c r="CE275" i="40"/>
  <c r="CE291" i="40"/>
  <c r="CE307" i="40"/>
  <c r="CE323" i="40"/>
  <c r="CE339" i="40"/>
  <c r="CE355" i="40"/>
  <c r="CE371" i="40"/>
  <c r="CE387" i="40"/>
  <c r="CE403" i="40"/>
  <c r="CE419" i="40"/>
  <c r="CE435" i="40"/>
  <c r="CE451" i="40"/>
  <c r="CE467" i="40"/>
  <c r="CE483" i="40"/>
  <c r="CE499" i="40"/>
  <c r="CE515" i="40"/>
  <c r="CE531" i="40"/>
  <c r="CE547" i="40"/>
  <c r="CE563" i="40"/>
  <c r="CE579" i="40"/>
  <c r="CE595" i="40"/>
  <c r="CE611" i="40"/>
  <c r="CE627" i="40"/>
  <c r="CE643" i="40"/>
  <c r="CE659" i="40"/>
  <c r="CE675" i="40"/>
  <c r="CE22" i="40"/>
  <c r="CE47" i="40"/>
  <c r="CE66" i="40"/>
  <c r="CE83" i="40"/>
  <c r="CE100" i="40"/>
  <c r="CE116" i="40"/>
  <c r="CE132" i="40"/>
  <c r="CE148" i="40"/>
  <c r="CE164" i="40"/>
  <c r="CE180" i="40"/>
  <c r="CE196" i="40"/>
  <c r="CE212" i="40"/>
  <c r="CE228" i="40"/>
  <c r="CE244" i="40"/>
  <c r="CE260" i="40"/>
  <c r="CE276" i="40"/>
  <c r="CE292" i="40"/>
  <c r="CE308" i="40"/>
  <c r="CE324" i="40"/>
  <c r="CE340" i="40"/>
  <c r="CE356" i="40"/>
  <c r="CE372" i="40"/>
  <c r="CE388" i="40"/>
  <c r="CE404" i="40"/>
  <c r="CE420" i="40"/>
  <c r="CE436" i="40"/>
  <c r="CE452" i="40"/>
  <c r="CE468" i="40"/>
  <c r="CE484" i="40"/>
  <c r="CE500" i="40"/>
  <c r="CE516" i="40"/>
  <c r="CE532" i="40"/>
  <c r="CE548" i="40"/>
  <c r="CE564" i="40"/>
  <c r="CE580" i="40"/>
  <c r="CE596" i="40"/>
  <c r="CE612" i="40"/>
  <c r="CE628" i="40"/>
  <c r="CE644" i="40"/>
  <c r="CE660" i="40"/>
  <c r="CE676" i="40"/>
  <c r="CE84" i="40"/>
  <c r="CE23" i="40"/>
  <c r="CE48" i="40"/>
  <c r="CE67" i="40"/>
  <c r="CE101" i="40"/>
  <c r="CE117" i="40"/>
  <c r="CE133" i="40"/>
  <c r="CE149" i="40"/>
  <c r="CE165" i="40"/>
  <c r="CE181" i="40"/>
  <c r="CE197" i="40"/>
  <c r="CE213" i="40"/>
  <c r="CE229" i="40"/>
  <c r="CE245" i="40"/>
  <c r="CE261" i="40"/>
  <c r="CE277" i="40"/>
  <c r="CE293" i="40"/>
  <c r="CE309" i="40"/>
  <c r="CE325" i="40"/>
  <c r="CE341" i="40"/>
  <c r="CE357" i="40"/>
  <c r="CE373" i="40"/>
  <c r="CE389" i="40"/>
  <c r="CE405" i="40"/>
  <c r="CE421" i="40"/>
  <c r="CE437" i="40"/>
  <c r="CE453" i="40"/>
  <c r="CE469" i="40"/>
  <c r="CE485" i="40"/>
  <c r="CE501" i="40"/>
  <c r="CE517" i="40"/>
  <c r="CE533" i="40"/>
  <c r="CE549" i="40"/>
  <c r="CE565" i="40"/>
  <c r="CE581" i="40"/>
  <c r="CE597" i="40"/>
  <c r="CE613" i="40"/>
  <c r="CE629" i="40"/>
  <c r="CE645" i="40"/>
  <c r="CE661" i="40"/>
  <c r="CE677" i="40"/>
  <c r="CE68" i="40"/>
  <c r="CE85" i="40"/>
  <c r="CE24" i="40"/>
  <c r="CE49" i="40"/>
  <c r="CE102" i="40"/>
  <c r="CE118" i="40"/>
  <c r="CE134" i="40"/>
  <c r="CE150" i="40"/>
  <c r="CE166" i="40"/>
  <c r="CE182" i="40"/>
  <c r="CE198" i="40"/>
  <c r="CE214" i="40"/>
  <c r="CE230" i="40"/>
  <c r="CE246" i="40"/>
  <c r="CE262" i="40"/>
  <c r="CE278" i="40"/>
  <c r="CE294" i="40"/>
  <c r="CE310" i="40"/>
  <c r="CE326" i="40"/>
  <c r="CE342" i="40"/>
  <c r="CE358" i="40"/>
  <c r="CE374" i="40"/>
  <c r="CE390" i="40"/>
  <c r="CE406" i="40"/>
  <c r="CE422" i="40"/>
  <c r="CE438" i="40"/>
  <c r="CE454" i="40"/>
  <c r="CE470" i="40"/>
  <c r="CE486" i="40"/>
  <c r="CE502" i="40"/>
  <c r="CE518" i="40"/>
  <c r="CE534" i="40"/>
  <c r="CE550" i="40"/>
  <c r="CE566" i="40"/>
  <c r="CE582" i="40"/>
  <c r="CE598" i="40"/>
  <c r="CE614" i="40"/>
  <c r="CE630" i="40"/>
  <c r="CE646" i="40"/>
  <c r="CE662" i="40"/>
  <c r="CE678" i="40"/>
  <c r="CE27" i="40"/>
  <c r="CE69" i="40"/>
  <c r="CE86" i="40"/>
  <c r="CE28" i="40"/>
  <c r="CE103" i="40"/>
  <c r="CE119" i="40"/>
  <c r="CE135" i="40"/>
  <c r="CE151" i="40"/>
  <c r="CE167" i="40"/>
  <c r="CE183" i="40"/>
  <c r="CE199" i="40"/>
  <c r="CE215" i="40"/>
  <c r="CE231" i="40"/>
  <c r="CE247" i="40"/>
  <c r="CE263" i="40"/>
  <c r="CE279" i="40"/>
  <c r="CE295" i="40"/>
  <c r="CE311" i="40"/>
  <c r="CE327" i="40"/>
  <c r="CE343" i="40"/>
  <c r="CE359" i="40"/>
  <c r="CE375" i="40"/>
  <c r="CE391" i="40"/>
  <c r="CE407" i="40"/>
  <c r="CE423" i="40"/>
  <c r="CE439" i="40"/>
  <c r="CE455" i="40"/>
  <c r="CE471" i="40"/>
  <c r="CE487" i="40"/>
  <c r="CE503" i="40"/>
  <c r="CE519" i="40"/>
  <c r="CE535" i="40"/>
  <c r="CE551" i="40"/>
  <c r="CE567" i="40"/>
  <c r="CE583" i="40"/>
  <c r="CE599" i="40"/>
  <c r="CE615" i="40"/>
  <c r="CE631" i="40"/>
  <c r="CE647" i="40"/>
  <c r="CE663" i="40"/>
  <c r="CE679" i="40"/>
  <c r="CE70" i="40"/>
  <c r="CE87" i="40"/>
  <c r="CE29" i="40"/>
  <c r="CE53" i="40"/>
  <c r="CE88" i="40"/>
  <c r="CE104" i="40"/>
  <c r="CE120" i="40"/>
  <c r="CE136" i="40"/>
  <c r="CE152" i="40"/>
  <c r="CE168" i="40"/>
  <c r="CE184" i="40"/>
  <c r="CE200" i="40"/>
  <c r="CE216" i="40"/>
  <c r="CE232" i="40"/>
  <c r="CE248" i="40"/>
  <c r="CE264" i="40"/>
  <c r="CE280" i="40"/>
  <c r="CE296" i="40"/>
  <c r="CE312" i="40"/>
  <c r="CE328" i="40"/>
  <c r="CE344" i="40"/>
  <c r="CE360" i="40"/>
  <c r="CE376" i="40"/>
  <c r="CE392" i="40"/>
  <c r="CE408" i="40"/>
  <c r="CE424" i="40"/>
  <c r="CE440" i="40"/>
  <c r="CE456" i="40"/>
  <c r="CE472" i="40"/>
  <c r="CE488" i="40"/>
  <c r="CE504" i="40"/>
  <c r="CE520" i="40"/>
  <c r="CE536" i="40"/>
  <c r="CE552" i="40"/>
  <c r="CE568" i="40"/>
  <c r="CE584" i="40"/>
  <c r="CE600" i="40"/>
  <c r="CE616" i="40"/>
  <c r="CE632" i="40"/>
  <c r="CE648" i="40"/>
  <c r="CE664" i="40"/>
  <c r="CE680" i="40"/>
  <c r="CE71" i="40"/>
  <c r="CE30" i="40"/>
  <c r="CE54" i="40"/>
  <c r="CE89" i="40"/>
  <c r="CE105" i="40"/>
  <c r="CE121" i="40"/>
  <c r="CE137" i="40"/>
  <c r="CE153" i="40"/>
  <c r="CE169" i="40"/>
  <c r="CE185" i="40"/>
  <c r="CE201" i="40"/>
  <c r="CE217" i="40"/>
  <c r="CE233" i="40"/>
  <c r="CE249" i="40"/>
  <c r="CE265" i="40"/>
  <c r="CE281" i="40"/>
  <c r="CE297" i="40"/>
  <c r="CE313" i="40"/>
  <c r="CE329" i="40"/>
  <c r="CE345" i="40"/>
  <c r="CE361" i="40"/>
  <c r="CE377" i="40"/>
  <c r="CE393" i="40"/>
  <c r="CE409" i="40"/>
  <c r="CE425" i="40"/>
  <c r="CE441" i="40"/>
  <c r="CE457" i="40"/>
  <c r="CE473" i="40"/>
  <c r="CE489" i="40"/>
  <c r="CE505" i="40"/>
  <c r="CE521" i="40"/>
  <c r="CE537" i="40"/>
  <c r="CE553" i="40"/>
  <c r="CE569" i="40"/>
  <c r="CE585" i="40"/>
  <c r="CE601" i="40"/>
  <c r="CE617" i="40"/>
  <c r="CE633" i="40"/>
  <c r="CE649" i="40"/>
  <c r="CE665" i="40"/>
  <c r="CE72" i="40"/>
  <c r="CE31" i="40"/>
  <c r="CE55" i="40"/>
  <c r="CE90" i="40"/>
  <c r="CE106" i="40"/>
  <c r="CE122" i="40"/>
  <c r="CE138" i="40"/>
  <c r="CE154" i="40"/>
  <c r="CE170" i="40"/>
  <c r="CE186" i="40"/>
  <c r="CE202" i="40"/>
  <c r="CE218" i="40"/>
  <c r="CE234" i="40"/>
  <c r="CE250" i="40"/>
  <c r="CE266" i="40"/>
  <c r="CE282" i="40"/>
  <c r="CE298" i="40"/>
  <c r="CE314" i="40"/>
  <c r="CE330" i="40"/>
  <c r="CE346" i="40"/>
  <c r="CE362" i="40"/>
  <c r="CE378" i="40"/>
  <c r="CE394" i="40"/>
  <c r="CE410" i="40"/>
  <c r="CE426" i="40"/>
  <c r="CE442" i="40"/>
  <c r="CE458" i="40"/>
  <c r="CE474" i="40"/>
  <c r="CE490" i="40"/>
  <c r="CE506" i="40"/>
  <c r="CE522" i="40"/>
  <c r="CE538" i="40"/>
  <c r="CE554" i="40"/>
  <c r="CE570" i="40"/>
  <c r="CE586" i="40"/>
  <c r="CE602" i="40"/>
  <c r="CE618" i="40"/>
  <c r="CE634" i="40"/>
  <c r="CE650" i="40"/>
  <c r="CE666" i="40"/>
  <c r="CE73" i="40"/>
  <c r="CE539" i="40"/>
  <c r="CE32" i="40"/>
  <c r="CE555" i="40"/>
  <c r="CE56" i="40"/>
  <c r="CE571" i="40"/>
  <c r="CE74" i="40"/>
  <c r="CE587" i="40"/>
  <c r="CE91" i="40"/>
  <c r="CE603" i="40"/>
  <c r="CE107" i="40"/>
  <c r="CE619" i="40"/>
  <c r="CE123" i="40"/>
  <c r="CE635" i="40"/>
  <c r="CE139" i="40"/>
  <c r="CE651" i="40"/>
  <c r="CE155" i="40"/>
  <c r="CE667" i="40"/>
  <c r="CE171" i="40"/>
  <c r="CE187" i="40"/>
  <c r="CE203" i="40"/>
  <c r="CE219" i="40"/>
  <c r="CE235" i="40"/>
  <c r="CE251" i="40"/>
  <c r="CE267" i="40"/>
  <c r="CE283" i="40"/>
  <c r="CE299" i="40"/>
  <c r="CE315" i="40"/>
  <c r="CE331" i="40"/>
  <c r="CE347" i="40"/>
  <c r="CE363" i="40"/>
  <c r="CE379" i="40"/>
  <c r="CE395" i="40"/>
  <c r="CE411" i="40"/>
  <c r="CE427" i="40"/>
  <c r="CE443" i="40"/>
  <c r="CE459" i="40"/>
  <c r="CE475" i="40"/>
  <c r="CE491" i="40"/>
  <c r="CE507" i="40"/>
  <c r="CE523" i="40"/>
  <c r="E21" i="36" a="1"/>
  <c r="E21" i="36" s="1"/>
  <c r="H31" i="36" a="1"/>
  <c r="H31" i="36" s="1"/>
  <c r="H26" i="36" a="1"/>
  <c r="H26" i="36" s="1"/>
  <c r="G18" i="36" a="1"/>
  <c r="G18" i="36" s="1"/>
  <c r="F40" i="36" a="1"/>
  <c r="F40" i="36" s="1"/>
  <c r="D38" i="36" a="1"/>
  <c r="D38" i="36" s="1"/>
  <c r="I30" i="36" a="1"/>
  <c r="I30" i="36" s="1"/>
  <c r="H17" i="36" a="1"/>
  <c r="H17" i="36" s="1"/>
  <c r="F17" i="36" a="1"/>
  <c r="F17" i="36" s="1"/>
  <c r="D31" i="36" a="1"/>
  <c r="D31" i="36" s="1"/>
  <c r="D27" i="36" a="1"/>
  <c r="D27" i="36" s="1"/>
  <c r="G10" i="36" a="1"/>
  <c r="G10" i="36" s="1"/>
  <c r="D25" i="36" a="1"/>
  <c r="D25" i="36" s="1"/>
  <c r="G8" i="36" a="1"/>
  <c r="G8" i="36" s="1"/>
  <c r="G11" i="36" a="1"/>
  <c r="G11" i="36" s="1"/>
  <c r="I9" i="36" a="1"/>
  <c r="I9" i="36" s="1"/>
  <c r="D32" i="36" a="1"/>
  <c r="D32" i="36" s="1"/>
  <c r="I10" i="36" a="1"/>
  <c r="I10" i="36" s="1"/>
  <c r="H34" i="36" a="1"/>
  <c r="H34" i="36" s="1"/>
  <c r="D28" i="36" a="1"/>
  <c r="D28" i="36" s="1"/>
  <c r="I20" i="36" a="1"/>
  <c r="I20" i="36" s="1"/>
  <c r="E20" i="36" a="1"/>
  <c r="E20" i="36" s="1"/>
  <c r="H18" i="36" a="1"/>
  <c r="H18" i="36" s="1"/>
  <c r="G30" i="36" a="1"/>
  <c r="G30" i="36" s="1"/>
  <c r="I7" i="36" a="1"/>
  <c r="I7" i="36" s="1"/>
  <c r="G29" i="36" a="1"/>
  <c r="G29" i="36" s="1"/>
  <c r="E34" i="36" a="1"/>
  <c r="E34" i="36" s="1"/>
  <c r="H15" i="36" a="1"/>
  <c r="H15" i="36" s="1"/>
  <c r="G12" i="36" a="1"/>
  <c r="G12" i="36" s="1"/>
  <c r="J15" i="36" a="1"/>
  <c r="J15" i="36" s="1"/>
  <c r="J18" i="36" a="1"/>
  <c r="J18" i="36" s="1"/>
  <c r="H10" i="36" a="1"/>
  <c r="H10" i="36" s="1"/>
  <c r="F29" i="36" a="1"/>
  <c r="F29" i="36" s="1"/>
  <c r="G22" i="36" a="1"/>
  <c r="G22" i="36" s="1"/>
  <c r="E11" i="36" a="1"/>
  <c r="E11" i="36" s="1"/>
  <c r="I21" i="36" a="1"/>
  <c r="I21" i="36" s="1"/>
  <c r="E30" i="36" a="1"/>
  <c r="E30" i="36" s="1"/>
  <c r="F10" i="36" a="1"/>
  <c r="F10" i="36" s="1"/>
  <c r="I32" i="36" a="1"/>
  <c r="I32" i="36" s="1"/>
  <c r="J34" i="36" a="1"/>
  <c r="J34" i="36" s="1"/>
  <c r="I23" i="36" a="1"/>
  <c r="I23" i="36" s="1"/>
  <c r="I14" i="36" a="1"/>
  <c r="I14" i="36" s="1"/>
  <c r="F20" i="36" a="1"/>
  <c r="F20" i="36" s="1"/>
  <c r="F18" i="36" a="1"/>
  <c r="F18" i="36" s="1"/>
  <c r="I24" i="36" a="1"/>
  <c r="I24" i="36" s="1"/>
  <c r="J42" i="36" a="1"/>
  <c r="J42" i="36" s="1"/>
  <c r="D5" i="36" a="1"/>
  <c r="D5" i="36" s="1"/>
  <c r="E31" i="36" a="1"/>
  <c r="E31" i="36" s="1"/>
  <c r="I31" i="36" a="1"/>
  <c r="I31" i="36" s="1"/>
  <c r="F13" i="36" a="1"/>
  <c r="F13" i="36" s="1"/>
  <c r="E28" i="36" a="1"/>
  <c r="E28" i="36" s="1"/>
  <c r="E19" i="36" a="1"/>
  <c r="E19" i="36" s="1"/>
  <c r="G38" i="36" a="1"/>
  <c r="G38" i="36" s="1"/>
  <c r="J10" i="36" a="1"/>
  <c r="J10" i="36" s="1"/>
  <c r="G25" i="36" a="1"/>
  <c r="G25" i="36" s="1"/>
  <c r="E29" i="36" a="1"/>
  <c r="E29" i="36" s="1"/>
  <c r="F22" i="36" a="1"/>
  <c r="F22" i="36" s="1"/>
  <c r="J25" i="36" a="1"/>
  <c r="J25" i="36" s="1"/>
  <c r="E33" i="36" a="1"/>
  <c r="E33" i="36" s="1"/>
  <c r="J22" i="36" a="1"/>
  <c r="J22" i="36" s="1"/>
  <c r="I8" i="36" a="1"/>
  <c r="I8" i="36" s="1"/>
  <c r="G36" i="36" a="1"/>
  <c r="G36" i="36" s="1"/>
  <c r="H28" i="36" a="1"/>
  <c r="H28" i="36" s="1"/>
  <c r="E9" i="36" a="1"/>
  <c r="E9" i="36" s="1"/>
  <c r="E38" i="36" a="1"/>
  <c r="E38" i="36" s="1"/>
  <c r="G13" i="36" a="1"/>
  <c r="G13" i="36" s="1"/>
  <c r="D7" i="36" a="1"/>
  <c r="D7" i="36" s="1"/>
  <c r="F16" i="36" a="1"/>
  <c r="F16" i="36" s="1"/>
  <c r="H24" i="36" a="1"/>
  <c r="H24" i="36" s="1"/>
  <c r="J13" i="36" a="1"/>
  <c r="J13" i="36" s="1"/>
  <c r="H27" i="36" a="1"/>
  <c r="H27" i="36" s="1"/>
  <c r="F14" i="36" a="1"/>
  <c r="F14" i="36" s="1"/>
  <c r="F31" i="36" a="1"/>
  <c r="F31" i="36" s="1"/>
  <c r="H7" i="36" a="1"/>
  <c r="H7" i="36" s="1"/>
  <c r="F9" i="36" a="1"/>
  <c r="F9" i="36" s="1"/>
  <c r="F19" i="36" a="1"/>
  <c r="F19" i="36" s="1"/>
  <c r="H12" i="36" a="1"/>
  <c r="H12" i="36" s="1"/>
  <c r="I11" i="36" a="1"/>
  <c r="I11" i="36" s="1"/>
  <c r="H5" i="36" a="1"/>
  <c r="H5" i="36" s="1"/>
  <c r="J5" i="36" a="1"/>
  <c r="J5" i="36" s="1"/>
  <c r="J27" i="36" a="1"/>
  <c r="J27" i="36" s="1"/>
  <c r="F15" i="36" a="1"/>
  <c r="F15" i="36" s="1"/>
  <c r="I18" i="36" a="1"/>
  <c r="I18" i="36" s="1"/>
  <c r="D23" i="36" a="1"/>
  <c r="D23" i="36" s="1"/>
  <c r="E32" i="36" a="1"/>
  <c r="E32" i="36" s="1"/>
  <c r="F5" i="36" a="1"/>
  <c r="F5" i="36" s="1"/>
  <c r="G21" i="36" a="1"/>
  <c r="G21" i="36" s="1"/>
  <c r="G23" i="36" a="1"/>
  <c r="G23" i="36" s="1"/>
  <c r="G16" i="36" a="1"/>
  <c r="G16" i="36" s="1"/>
  <c r="J32" i="36" a="1"/>
  <c r="J32" i="36" s="1"/>
  <c r="I38" i="36" a="1"/>
  <c r="I38" i="36" s="1"/>
  <c r="G33" i="36" a="1"/>
  <c r="G33" i="36" s="1"/>
  <c r="H29" i="36" a="1"/>
  <c r="H29" i="36" s="1"/>
  <c r="H20" i="36" a="1"/>
  <c r="H20" i="36" s="1"/>
  <c r="F23" i="36" a="1"/>
  <c r="F23" i="36" s="1"/>
  <c r="F28" i="36" a="1"/>
  <c r="F28" i="36" s="1"/>
  <c r="E10" i="36" a="1"/>
  <c r="E10" i="36" s="1"/>
  <c r="J31" i="36" a="1"/>
  <c r="J31" i="36" s="1"/>
  <c r="H42" i="36" a="1"/>
  <c r="H42" i="36" s="1"/>
  <c r="F36" i="36" a="1"/>
  <c r="F36" i="36" s="1"/>
  <c r="J24" i="36" a="1"/>
  <c r="J24" i="36" s="1"/>
  <c r="I25" i="36" a="1"/>
  <c r="I25" i="36" s="1"/>
  <c r="D24" i="36" a="1"/>
  <c r="D24" i="36" s="1"/>
  <c r="I36" i="36" a="1"/>
  <c r="I36" i="36" s="1"/>
  <c r="G34" i="36" a="1"/>
  <c r="G34" i="36" s="1"/>
  <c r="J12" i="36" a="1"/>
  <c r="J12" i="36" s="1"/>
  <c r="G32" i="36" a="1"/>
  <c r="G32" i="36" s="1"/>
  <c r="H40" i="36" a="1"/>
  <c r="H40" i="36" s="1"/>
  <c r="H8" i="36" a="1"/>
  <c r="H8" i="36" s="1"/>
  <c r="J11" i="36" a="1"/>
  <c r="J11" i="36" s="1"/>
  <c r="D34" i="36" a="1"/>
  <c r="D34" i="36" s="1"/>
  <c r="I26" i="36" a="1"/>
  <c r="I26" i="36" s="1"/>
  <c r="J14" i="36" a="1"/>
  <c r="J14" i="36" s="1"/>
  <c r="F11" i="36" a="1"/>
  <c r="F11" i="36" s="1"/>
  <c r="J21" i="36" a="1"/>
  <c r="J21" i="36" s="1"/>
  <c r="D21" i="36" a="1"/>
  <c r="D21" i="36" s="1"/>
  <c r="E16" i="36" a="1"/>
  <c r="E16" i="36" s="1"/>
  <c r="G31" i="36" a="1"/>
  <c r="G31" i="36" s="1"/>
  <c r="H25" i="36" a="1"/>
  <c r="H25" i="36" s="1"/>
  <c r="E12" i="36" a="1"/>
  <c r="E12" i="36" s="1"/>
  <c r="D29" i="36" a="1"/>
  <c r="D29" i="36" s="1"/>
  <c r="F33" i="36" a="1"/>
  <c r="F33" i="36" s="1"/>
  <c r="F32" i="36" a="1"/>
  <c r="F32" i="36" s="1"/>
  <c r="E18" i="36" a="1"/>
  <c r="E18" i="36" s="1"/>
  <c r="I40" i="36" a="1"/>
  <c r="I40" i="36" s="1"/>
  <c r="J36" i="36" a="1"/>
  <c r="J36" i="36" s="1"/>
  <c r="G19" i="36" a="1"/>
  <c r="G19" i="36" s="1"/>
  <c r="G24" i="36" a="1"/>
  <c r="G24" i="36" s="1"/>
  <c r="H14" i="36" a="1"/>
  <c r="H14" i="36" s="1"/>
  <c r="J20" i="36" a="1"/>
  <c r="J20" i="36" s="1"/>
  <c r="E22" i="36" a="1"/>
  <c r="E22" i="36" s="1"/>
  <c r="H13" i="36" a="1"/>
  <c r="H13" i="36" s="1"/>
  <c r="J19" i="36" a="1"/>
  <c r="J19" i="36" s="1"/>
  <c r="J30" i="36" a="1"/>
  <c r="J30" i="36" s="1"/>
  <c r="G26" i="36" a="1"/>
  <c r="G26" i="36" s="1"/>
  <c r="F21" i="36" a="1"/>
  <c r="F21" i="36" s="1"/>
  <c r="F24" i="36" a="1"/>
  <c r="F24" i="36" s="1"/>
  <c r="H30" i="36" a="1"/>
  <c r="H30" i="36" s="1"/>
  <c r="J16" i="36" a="1"/>
  <c r="J16" i="36" s="1"/>
  <c r="D30" i="36" a="1"/>
  <c r="D30" i="36" s="1"/>
  <c r="D18" i="36" a="1"/>
  <c r="D18" i="36" s="1"/>
  <c r="H11" i="36" a="1"/>
  <c r="H11" i="36" s="1"/>
  <c r="F30" i="36" a="1"/>
  <c r="F30" i="36" s="1"/>
  <c r="F27" i="36" a="1"/>
  <c r="F27" i="36" s="1"/>
  <c r="J17" i="36" a="1"/>
  <c r="J17" i="36" s="1"/>
  <c r="E27" i="36" a="1"/>
  <c r="E27" i="36" s="1"/>
  <c r="E24" i="36" a="1"/>
  <c r="E24" i="36" s="1"/>
  <c r="D40" i="36" a="1"/>
  <c r="D40" i="36" s="1"/>
  <c r="H36" i="36" a="1"/>
  <c r="H36" i="36" s="1"/>
  <c r="D33" i="36" a="1"/>
  <c r="D33" i="36" s="1"/>
  <c r="G20" i="36" a="1"/>
  <c r="G20" i="36" s="1"/>
  <c r="D8" i="36" a="1"/>
  <c r="D8" i="36" s="1"/>
  <c r="H16" i="36" a="1"/>
  <c r="H16" i="36" s="1"/>
  <c r="J26" i="36" a="1"/>
  <c r="J26" i="36" s="1"/>
  <c r="H33" i="36" a="1"/>
  <c r="H33" i="36" s="1"/>
  <c r="G15" i="36" a="1"/>
  <c r="G15" i="36" s="1"/>
  <c r="I34" i="36" a="1"/>
  <c r="I34" i="36" s="1"/>
  <c r="D26" i="36" a="1"/>
  <c r="D26" i="36" s="1"/>
  <c r="G14" i="36" a="1"/>
  <c r="G14" i="36" s="1"/>
  <c r="I16" i="36" a="1"/>
  <c r="I16" i="36" s="1"/>
  <c r="E17" i="36" a="1"/>
  <c r="E17" i="36" s="1"/>
  <c r="E15" i="36" a="1"/>
  <c r="E15" i="36" s="1"/>
  <c r="J40" i="36" a="1"/>
  <c r="J40" i="36" s="1"/>
  <c r="F42" i="36" a="1"/>
  <c r="F42" i="36" s="1"/>
  <c r="D36" i="36" a="1"/>
  <c r="D36" i="36" s="1"/>
  <c r="I29" i="36" a="1"/>
  <c r="I29" i="36" s="1"/>
  <c r="I22" i="36" a="1"/>
  <c r="I22" i="36" s="1"/>
  <c r="J28" i="36" a="1"/>
  <c r="J28" i="36" s="1"/>
  <c r="E7" i="36" a="1"/>
  <c r="E7" i="36" s="1"/>
  <c r="D10" i="36" a="1"/>
  <c r="D10" i="36" s="1"/>
  <c r="F7" i="36" a="1"/>
  <c r="F7" i="36" s="1"/>
  <c r="F12" i="36" a="1"/>
  <c r="F12" i="36" s="1"/>
  <c r="J9" i="36" a="1"/>
  <c r="J9" i="36" s="1"/>
  <c r="D13" i="36" a="1"/>
  <c r="D13" i="36" s="1"/>
  <c r="I19" i="36" a="1"/>
  <c r="I19" i="36" s="1"/>
  <c r="G17" i="36" a="1"/>
  <c r="G17" i="36" s="1"/>
  <c r="I27" i="36" a="1"/>
  <c r="I27" i="36" s="1"/>
  <c r="D19" i="36" a="1"/>
  <c r="D19" i="36" s="1"/>
  <c r="G28" i="36" a="1"/>
  <c r="G28" i="36" s="1"/>
  <c r="H9" i="36" a="1"/>
  <c r="H9" i="36" s="1"/>
  <c r="I5" i="36" a="1"/>
  <c r="I5" i="36" s="1"/>
  <c r="E8" i="36" a="1"/>
  <c r="E8" i="36" s="1"/>
  <c r="D14" i="36" a="1"/>
  <c r="D14" i="36" s="1"/>
  <c r="D17" i="36" a="1"/>
  <c r="D17" i="36" s="1"/>
  <c r="H38" i="36" a="1"/>
  <c r="H38" i="36" s="1"/>
  <c r="G9" i="36" a="1"/>
  <c r="G9" i="36" s="1"/>
  <c r="D9" i="36" a="1"/>
  <c r="D9" i="36" s="1"/>
  <c r="J8" i="36" a="1"/>
  <c r="J8" i="36" s="1"/>
  <c r="D12" i="36" a="1"/>
  <c r="D12" i="36" s="1"/>
  <c r="D20" i="36" a="1"/>
  <c r="D20" i="36" s="1"/>
  <c r="D16" i="36" a="1"/>
  <c r="D16" i="36" s="1"/>
  <c r="E40" i="36" a="1"/>
  <c r="E40" i="36" s="1"/>
  <c r="F26" i="36" a="1"/>
  <c r="F26" i="36" s="1"/>
  <c r="H32" i="36" a="1"/>
  <c r="H32" i="36" s="1"/>
  <c r="H21" i="36" a="1"/>
  <c r="H21" i="36" s="1"/>
  <c r="E14" i="36" a="1"/>
  <c r="E14" i="36" s="1"/>
  <c r="E26" i="36" a="1"/>
  <c r="E26" i="36" s="1"/>
  <c r="F38" i="36" a="1"/>
  <c r="F38" i="36" s="1"/>
  <c r="D11" i="36" a="1"/>
  <c r="D11" i="36" s="1"/>
  <c r="F34" i="36" a="1"/>
  <c r="F34" i="36" s="1"/>
  <c r="J33" i="36" a="1"/>
  <c r="J33" i="36" s="1"/>
  <c r="I15" i="36" a="1"/>
  <c r="I15" i="36" s="1"/>
  <c r="H19" i="36" a="1"/>
  <c r="H19" i="36" s="1"/>
  <c r="G42" i="36" a="1"/>
  <c r="G42" i="36" s="1"/>
  <c r="I42" i="36" a="1"/>
  <c r="I42" i="36" s="1"/>
  <c r="J7" i="36" a="1"/>
  <c r="J7" i="36" s="1"/>
  <c r="E25" i="36" a="1"/>
  <c r="E25" i="36" s="1"/>
  <c r="J23" i="36" a="1"/>
  <c r="J23" i="36" s="1"/>
  <c r="F25" i="36" a="1"/>
  <c r="F25" i="36" s="1"/>
  <c r="D15" i="36" a="1"/>
  <c r="D15" i="36" s="1"/>
  <c r="I33" i="36" a="1"/>
  <c r="I33" i="36" s="1"/>
  <c r="J29" i="36" a="1"/>
  <c r="J29" i="36" s="1"/>
  <c r="E42" i="36" a="1"/>
  <c r="E42" i="36" s="1"/>
  <c r="H22" i="36" a="1"/>
  <c r="H22" i="36" s="1"/>
  <c r="D42" i="36" a="1"/>
  <c r="D42" i="36" s="1"/>
  <c r="E23" i="36" a="1"/>
  <c r="E23" i="36" s="1"/>
  <c r="I28" i="36" a="1"/>
  <c r="I28" i="36" s="1"/>
  <c r="H23" i="36" a="1"/>
  <c r="H23" i="36" s="1"/>
  <c r="G40" i="36" a="1"/>
  <c r="G40" i="36" s="1"/>
  <c r="G27" i="36" a="1"/>
  <c r="G27" i="36" s="1"/>
  <c r="E36" i="36" a="1"/>
  <c r="E36" i="36" s="1"/>
  <c r="G7" i="36" a="1"/>
  <c r="G7" i="36" s="1"/>
  <c r="F8" i="36" a="1"/>
  <c r="F8" i="36" s="1"/>
  <c r="I17" i="36" a="1"/>
  <c r="I17" i="36" s="1"/>
  <c r="I13" i="36" a="1"/>
  <c r="I13" i="36" s="1"/>
  <c r="E13" i="36" a="1"/>
  <c r="E13" i="36" s="1"/>
  <c r="DB12" i="40"/>
  <c r="DD12" i="40" s="1"/>
  <c r="DB44" i="40"/>
  <c r="DD44" i="40" s="1"/>
  <c r="DB76" i="40"/>
  <c r="DD76" i="40" s="1"/>
  <c r="DB108" i="40"/>
  <c r="DD108" i="40" s="1"/>
  <c r="DB140" i="40"/>
  <c r="DD140" i="40" s="1"/>
  <c r="DB172" i="40"/>
  <c r="DD172" i="40" s="1"/>
  <c r="DB204" i="40"/>
  <c r="DD204" i="40" s="1"/>
  <c r="DB236" i="40"/>
  <c r="DD236" i="40" s="1"/>
  <c r="DB268" i="40"/>
  <c r="DD268" i="40" s="1"/>
  <c r="DB300" i="40"/>
  <c r="DD300" i="40" s="1"/>
  <c r="DB332" i="40"/>
  <c r="DD332" i="40" s="1"/>
  <c r="DB364" i="40"/>
  <c r="DD364" i="40" s="1"/>
  <c r="DB396" i="40"/>
  <c r="DD396" i="40" s="1"/>
  <c r="DB428" i="40"/>
  <c r="DD428" i="40" s="1"/>
  <c r="DB460" i="40"/>
  <c r="DD460" i="40" s="1"/>
  <c r="DB492" i="40"/>
  <c r="DD492" i="40" s="1"/>
  <c r="DB524" i="40"/>
  <c r="DD524" i="40" s="1"/>
  <c r="DB556" i="40"/>
  <c r="DD556" i="40" s="1"/>
  <c r="DB588" i="40"/>
  <c r="DD588" i="40" s="1"/>
  <c r="DB620" i="40"/>
  <c r="DD620" i="40" s="1"/>
  <c r="DB652" i="40"/>
  <c r="DD652" i="40" s="1"/>
  <c r="DB13" i="40"/>
  <c r="DD13" i="40" s="1"/>
  <c r="DB45" i="40"/>
  <c r="DD45" i="40" s="1"/>
  <c r="DB77" i="40"/>
  <c r="DD77" i="40" s="1"/>
  <c r="DB109" i="40"/>
  <c r="DD109" i="40" s="1"/>
  <c r="DB141" i="40"/>
  <c r="DD141" i="40" s="1"/>
  <c r="DB173" i="40"/>
  <c r="DD173" i="40" s="1"/>
  <c r="DB205" i="40"/>
  <c r="DD205" i="40" s="1"/>
  <c r="DB237" i="40"/>
  <c r="DD237" i="40" s="1"/>
  <c r="DB269" i="40"/>
  <c r="DD269" i="40" s="1"/>
  <c r="DB301" i="40"/>
  <c r="DD301" i="40" s="1"/>
  <c r="DB333" i="40"/>
  <c r="DD333" i="40" s="1"/>
  <c r="DB365" i="40"/>
  <c r="DD365" i="40" s="1"/>
  <c r="DB397" i="40"/>
  <c r="DD397" i="40" s="1"/>
  <c r="DB429" i="40"/>
  <c r="DD429" i="40" s="1"/>
  <c r="DB461" i="40"/>
  <c r="DD461" i="40" s="1"/>
  <c r="DB493" i="40"/>
  <c r="DD493" i="40" s="1"/>
  <c r="DB525" i="40"/>
  <c r="DD525" i="40" s="1"/>
  <c r="DB557" i="40"/>
  <c r="DD557" i="40" s="1"/>
  <c r="DB589" i="40"/>
  <c r="DD589" i="40" s="1"/>
  <c r="DB621" i="40"/>
  <c r="DD621" i="40" s="1"/>
  <c r="DB653" i="40"/>
  <c r="DD653" i="40" s="1"/>
  <c r="DB14" i="40"/>
  <c r="DD14" i="40" s="1"/>
  <c r="DB46" i="40"/>
  <c r="DD46" i="40" s="1"/>
  <c r="DB78" i="40"/>
  <c r="DD78" i="40" s="1"/>
  <c r="DB110" i="40"/>
  <c r="DD110" i="40" s="1"/>
  <c r="DB142" i="40"/>
  <c r="DD142" i="40" s="1"/>
  <c r="DB174" i="40"/>
  <c r="DD174" i="40" s="1"/>
  <c r="DB206" i="40"/>
  <c r="DD206" i="40" s="1"/>
  <c r="DB238" i="40"/>
  <c r="DD238" i="40" s="1"/>
  <c r="DB270" i="40"/>
  <c r="DD270" i="40" s="1"/>
  <c r="DB302" i="40"/>
  <c r="DD302" i="40" s="1"/>
  <c r="DB334" i="40"/>
  <c r="DD334" i="40" s="1"/>
  <c r="DB366" i="40"/>
  <c r="DD366" i="40" s="1"/>
  <c r="DB398" i="40"/>
  <c r="DD398" i="40" s="1"/>
  <c r="DB430" i="40"/>
  <c r="DD430" i="40" s="1"/>
  <c r="DB462" i="40"/>
  <c r="DD462" i="40" s="1"/>
  <c r="DB494" i="40"/>
  <c r="DD494" i="40" s="1"/>
  <c r="DB526" i="40"/>
  <c r="DD526" i="40" s="1"/>
  <c r="DB558" i="40"/>
  <c r="DD558" i="40" s="1"/>
  <c r="DB590" i="40"/>
  <c r="DD590" i="40" s="1"/>
  <c r="DB622" i="40"/>
  <c r="DD622" i="40" s="1"/>
  <c r="DB654" i="40"/>
  <c r="DD654" i="40" s="1"/>
  <c r="DB15" i="40"/>
  <c r="DD15" i="40" s="1"/>
  <c r="DB47" i="40"/>
  <c r="DD47" i="40" s="1"/>
  <c r="DB79" i="40"/>
  <c r="DD79" i="40" s="1"/>
  <c r="DB111" i="40"/>
  <c r="DD111" i="40" s="1"/>
  <c r="DB143" i="40"/>
  <c r="DD143" i="40" s="1"/>
  <c r="DB175" i="40"/>
  <c r="DD175" i="40" s="1"/>
  <c r="DB207" i="40"/>
  <c r="DD207" i="40" s="1"/>
  <c r="DB239" i="40"/>
  <c r="DD239" i="40" s="1"/>
  <c r="DB271" i="40"/>
  <c r="DD271" i="40" s="1"/>
  <c r="DB303" i="40"/>
  <c r="DD303" i="40" s="1"/>
  <c r="DB335" i="40"/>
  <c r="DD335" i="40" s="1"/>
  <c r="DB367" i="40"/>
  <c r="DD367" i="40" s="1"/>
  <c r="DB399" i="40"/>
  <c r="DD399" i="40" s="1"/>
  <c r="DB431" i="40"/>
  <c r="DD431" i="40" s="1"/>
  <c r="DB463" i="40"/>
  <c r="DD463" i="40" s="1"/>
  <c r="DB495" i="40"/>
  <c r="DD495" i="40" s="1"/>
  <c r="DB527" i="40"/>
  <c r="DD527" i="40" s="1"/>
  <c r="DB559" i="40"/>
  <c r="DD559" i="40" s="1"/>
  <c r="DB591" i="40"/>
  <c r="DD591" i="40" s="1"/>
  <c r="DB623" i="40"/>
  <c r="DD623" i="40" s="1"/>
  <c r="DB655" i="40"/>
  <c r="DD655" i="40" s="1"/>
  <c r="DB16" i="40"/>
  <c r="DD16" i="40" s="1"/>
  <c r="DB48" i="40"/>
  <c r="DD48" i="40" s="1"/>
  <c r="DB80" i="40"/>
  <c r="DD80" i="40" s="1"/>
  <c r="DB112" i="40"/>
  <c r="DD112" i="40" s="1"/>
  <c r="DB144" i="40"/>
  <c r="DD144" i="40" s="1"/>
  <c r="DB176" i="40"/>
  <c r="DD176" i="40" s="1"/>
  <c r="DB208" i="40"/>
  <c r="DD208" i="40" s="1"/>
  <c r="DB240" i="40"/>
  <c r="DD240" i="40" s="1"/>
  <c r="DB272" i="40"/>
  <c r="DD272" i="40" s="1"/>
  <c r="DB304" i="40"/>
  <c r="DD304" i="40" s="1"/>
  <c r="DB336" i="40"/>
  <c r="DD336" i="40" s="1"/>
  <c r="DB368" i="40"/>
  <c r="DD368" i="40" s="1"/>
  <c r="DB400" i="40"/>
  <c r="DD400" i="40" s="1"/>
  <c r="DB432" i="40"/>
  <c r="DD432" i="40" s="1"/>
  <c r="DB464" i="40"/>
  <c r="DD464" i="40" s="1"/>
  <c r="DB496" i="40"/>
  <c r="DD496" i="40" s="1"/>
  <c r="DB528" i="40"/>
  <c r="DD528" i="40" s="1"/>
  <c r="DB560" i="40"/>
  <c r="DD560" i="40" s="1"/>
  <c r="DB592" i="40"/>
  <c r="DD592" i="40" s="1"/>
  <c r="DB624" i="40"/>
  <c r="DD624" i="40" s="1"/>
  <c r="DB656" i="40"/>
  <c r="DD656" i="40" s="1"/>
  <c r="DB17" i="40"/>
  <c r="DD17" i="40" s="1"/>
  <c r="DB49" i="40"/>
  <c r="DD49" i="40" s="1"/>
  <c r="DB81" i="40"/>
  <c r="DD81" i="40" s="1"/>
  <c r="DB113" i="40"/>
  <c r="DD113" i="40" s="1"/>
  <c r="DB145" i="40"/>
  <c r="DD145" i="40" s="1"/>
  <c r="DB177" i="40"/>
  <c r="DD177" i="40" s="1"/>
  <c r="DB209" i="40"/>
  <c r="DD209" i="40" s="1"/>
  <c r="DB241" i="40"/>
  <c r="DD241" i="40" s="1"/>
  <c r="DB273" i="40"/>
  <c r="DD273" i="40" s="1"/>
  <c r="DB305" i="40"/>
  <c r="DD305" i="40" s="1"/>
  <c r="DB337" i="40"/>
  <c r="DD337" i="40" s="1"/>
  <c r="DB369" i="40"/>
  <c r="DD369" i="40" s="1"/>
  <c r="DB401" i="40"/>
  <c r="DD401" i="40" s="1"/>
  <c r="DB433" i="40"/>
  <c r="DD433" i="40" s="1"/>
  <c r="DB465" i="40"/>
  <c r="DD465" i="40" s="1"/>
  <c r="DB497" i="40"/>
  <c r="DD497" i="40" s="1"/>
  <c r="DB529" i="40"/>
  <c r="DD529" i="40" s="1"/>
  <c r="DB561" i="40"/>
  <c r="DD561" i="40" s="1"/>
  <c r="DB593" i="40"/>
  <c r="DD593" i="40" s="1"/>
  <c r="DB625" i="40"/>
  <c r="DD625" i="40" s="1"/>
  <c r="DB657" i="40"/>
  <c r="DD657" i="40" s="1"/>
  <c r="DB50" i="40"/>
  <c r="DD50" i="40" s="1"/>
  <c r="DB82" i="40"/>
  <c r="DD82" i="40" s="1"/>
  <c r="DB114" i="40"/>
  <c r="DD114" i="40" s="1"/>
  <c r="DB146" i="40"/>
  <c r="DD146" i="40" s="1"/>
  <c r="DB178" i="40"/>
  <c r="DD178" i="40" s="1"/>
  <c r="DB210" i="40"/>
  <c r="DD210" i="40" s="1"/>
  <c r="DB242" i="40"/>
  <c r="DD242" i="40" s="1"/>
  <c r="DB274" i="40"/>
  <c r="DD274" i="40" s="1"/>
  <c r="DB306" i="40"/>
  <c r="DD306" i="40" s="1"/>
  <c r="DB338" i="40"/>
  <c r="DD338" i="40" s="1"/>
  <c r="DB370" i="40"/>
  <c r="DD370" i="40" s="1"/>
  <c r="DB402" i="40"/>
  <c r="DD402" i="40" s="1"/>
  <c r="DB434" i="40"/>
  <c r="DD434" i="40" s="1"/>
  <c r="DB466" i="40"/>
  <c r="DD466" i="40" s="1"/>
  <c r="DB498" i="40"/>
  <c r="DD498" i="40" s="1"/>
  <c r="DB530" i="40"/>
  <c r="DD530" i="40" s="1"/>
  <c r="DB562" i="40"/>
  <c r="DD562" i="40" s="1"/>
  <c r="DB594" i="40"/>
  <c r="DD594" i="40" s="1"/>
  <c r="DB626" i="40"/>
  <c r="DD626" i="40" s="1"/>
  <c r="DB658" i="40"/>
  <c r="DD658" i="40" s="1"/>
  <c r="DB19" i="40"/>
  <c r="DD19" i="40" s="1"/>
  <c r="DB51" i="40"/>
  <c r="DD51" i="40" s="1"/>
  <c r="DB83" i="40"/>
  <c r="DD83" i="40" s="1"/>
  <c r="DB115" i="40"/>
  <c r="DD115" i="40" s="1"/>
  <c r="DB147" i="40"/>
  <c r="DD147" i="40" s="1"/>
  <c r="DB179" i="40"/>
  <c r="DD179" i="40" s="1"/>
  <c r="DB211" i="40"/>
  <c r="DD211" i="40" s="1"/>
  <c r="DB243" i="40"/>
  <c r="DD243" i="40" s="1"/>
  <c r="DB275" i="40"/>
  <c r="DD275" i="40" s="1"/>
  <c r="DB307" i="40"/>
  <c r="DD307" i="40" s="1"/>
  <c r="DB339" i="40"/>
  <c r="DD339" i="40" s="1"/>
  <c r="DB371" i="40"/>
  <c r="DD371" i="40" s="1"/>
  <c r="DB403" i="40"/>
  <c r="DD403" i="40" s="1"/>
  <c r="DB435" i="40"/>
  <c r="DD435" i="40" s="1"/>
  <c r="DB467" i="40"/>
  <c r="DD467" i="40" s="1"/>
  <c r="DB499" i="40"/>
  <c r="DD499" i="40" s="1"/>
  <c r="DB531" i="40"/>
  <c r="DD531" i="40" s="1"/>
  <c r="DB563" i="40"/>
  <c r="DD563" i="40" s="1"/>
  <c r="DB595" i="40"/>
  <c r="DD595" i="40" s="1"/>
  <c r="DB627" i="40"/>
  <c r="DD627" i="40" s="1"/>
  <c r="DB659" i="40"/>
  <c r="DD659" i="40" s="1"/>
  <c r="DB20" i="40"/>
  <c r="DD20" i="40" s="1"/>
  <c r="DB52" i="40"/>
  <c r="DD52" i="40" s="1"/>
  <c r="DB84" i="40"/>
  <c r="DD84" i="40" s="1"/>
  <c r="DB116" i="40"/>
  <c r="DD116" i="40" s="1"/>
  <c r="DB148" i="40"/>
  <c r="DD148" i="40" s="1"/>
  <c r="DB180" i="40"/>
  <c r="DD180" i="40" s="1"/>
  <c r="DB212" i="40"/>
  <c r="DD212" i="40" s="1"/>
  <c r="DB244" i="40"/>
  <c r="DD244" i="40" s="1"/>
  <c r="DB276" i="40"/>
  <c r="DD276" i="40" s="1"/>
  <c r="DB308" i="40"/>
  <c r="DD308" i="40" s="1"/>
  <c r="DB340" i="40"/>
  <c r="DD340" i="40" s="1"/>
  <c r="DB372" i="40"/>
  <c r="DD372" i="40" s="1"/>
  <c r="DB404" i="40"/>
  <c r="DD404" i="40" s="1"/>
  <c r="DB436" i="40"/>
  <c r="DD436" i="40" s="1"/>
  <c r="DB468" i="40"/>
  <c r="DD468" i="40" s="1"/>
  <c r="DB500" i="40"/>
  <c r="DD500" i="40" s="1"/>
  <c r="DB532" i="40"/>
  <c r="DD532" i="40" s="1"/>
  <c r="DB564" i="40"/>
  <c r="DD564" i="40" s="1"/>
  <c r="DB596" i="40"/>
  <c r="DD596" i="40" s="1"/>
  <c r="DB628" i="40"/>
  <c r="DD628" i="40" s="1"/>
  <c r="DB660" i="40"/>
  <c r="DD660" i="40" s="1"/>
  <c r="DB21" i="40"/>
  <c r="DD21" i="40" s="1"/>
  <c r="DB53" i="40"/>
  <c r="DD53" i="40" s="1"/>
  <c r="DB85" i="40"/>
  <c r="DD85" i="40" s="1"/>
  <c r="DB117" i="40"/>
  <c r="DD117" i="40" s="1"/>
  <c r="DB149" i="40"/>
  <c r="DD149" i="40" s="1"/>
  <c r="DB181" i="40"/>
  <c r="DD181" i="40" s="1"/>
  <c r="DB213" i="40"/>
  <c r="DD213" i="40" s="1"/>
  <c r="DB245" i="40"/>
  <c r="DD245" i="40" s="1"/>
  <c r="DB277" i="40"/>
  <c r="DD277" i="40" s="1"/>
  <c r="DB309" i="40"/>
  <c r="DD309" i="40" s="1"/>
  <c r="DB341" i="40"/>
  <c r="DD341" i="40" s="1"/>
  <c r="DB373" i="40"/>
  <c r="DD373" i="40" s="1"/>
  <c r="DB405" i="40"/>
  <c r="DD405" i="40" s="1"/>
  <c r="DB437" i="40"/>
  <c r="DD437" i="40" s="1"/>
  <c r="DB469" i="40"/>
  <c r="DD469" i="40" s="1"/>
  <c r="DB501" i="40"/>
  <c r="DD501" i="40" s="1"/>
  <c r="DB533" i="40"/>
  <c r="DD533" i="40" s="1"/>
  <c r="DB565" i="40"/>
  <c r="DD565" i="40" s="1"/>
  <c r="DB597" i="40"/>
  <c r="DD597" i="40" s="1"/>
  <c r="DB629" i="40"/>
  <c r="DD629" i="40" s="1"/>
  <c r="DB661" i="40"/>
  <c r="DD661" i="40" s="1"/>
  <c r="DB22" i="40"/>
  <c r="DD22" i="40" s="1"/>
  <c r="DB54" i="40"/>
  <c r="DD54" i="40" s="1"/>
  <c r="DB86" i="40"/>
  <c r="DD86" i="40" s="1"/>
  <c r="DB118" i="40"/>
  <c r="DD118" i="40" s="1"/>
  <c r="DB150" i="40"/>
  <c r="DD150" i="40" s="1"/>
  <c r="DB182" i="40"/>
  <c r="DD182" i="40" s="1"/>
  <c r="DB214" i="40"/>
  <c r="DD214" i="40" s="1"/>
  <c r="DB246" i="40"/>
  <c r="DD246" i="40" s="1"/>
  <c r="DB278" i="40"/>
  <c r="DD278" i="40" s="1"/>
  <c r="DB310" i="40"/>
  <c r="DD310" i="40" s="1"/>
  <c r="DB342" i="40"/>
  <c r="DD342" i="40" s="1"/>
  <c r="DB374" i="40"/>
  <c r="DD374" i="40" s="1"/>
  <c r="DB406" i="40"/>
  <c r="DD406" i="40" s="1"/>
  <c r="DB438" i="40"/>
  <c r="DD438" i="40" s="1"/>
  <c r="DB470" i="40"/>
  <c r="DD470" i="40" s="1"/>
  <c r="DB502" i="40"/>
  <c r="DD502" i="40" s="1"/>
  <c r="DB534" i="40"/>
  <c r="DD534" i="40" s="1"/>
  <c r="DB566" i="40"/>
  <c r="DD566" i="40" s="1"/>
  <c r="DB598" i="40"/>
  <c r="DD598" i="40" s="1"/>
  <c r="DB630" i="40"/>
  <c r="DD630" i="40" s="1"/>
  <c r="DB662" i="40"/>
  <c r="DD662" i="40" s="1"/>
  <c r="DB23" i="40"/>
  <c r="DD23" i="40" s="1"/>
  <c r="DB55" i="40"/>
  <c r="DD55" i="40" s="1"/>
  <c r="DB87" i="40"/>
  <c r="DD87" i="40" s="1"/>
  <c r="DB119" i="40"/>
  <c r="DD119" i="40" s="1"/>
  <c r="DB151" i="40"/>
  <c r="DD151" i="40" s="1"/>
  <c r="DB183" i="40"/>
  <c r="DD183" i="40" s="1"/>
  <c r="DB215" i="40"/>
  <c r="DD215" i="40" s="1"/>
  <c r="DB247" i="40"/>
  <c r="DD247" i="40" s="1"/>
  <c r="DB279" i="40"/>
  <c r="DD279" i="40" s="1"/>
  <c r="DB311" i="40"/>
  <c r="DD311" i="40" s="1"/>
  <c r="DB343" i="40"/>
  <c r="DD343" i="40" s="1"/>
  <c r="DB375" i="40"/>
  <c r="DD375" i="40" s="1"/>
  <c r="DB407" i="40"/>
  <c r="DD407" i="40" s="1"/>
  <c r="DB439" i="40"/>
  <c r="DD439" i="40" s="1"/>
  <c r="DB471" i="40"/>
  <c r="DD471" i="40" s="1"/>
  <c r="DB503" i="40"/>
  <c r="DD503" i="40" s="1"/>
  <c r="DB535" i="40"/>
  <c r="DD535" i="40" s="1"/>
  <c r="DB567" i="40"/>
  <c r="DD567" i="40" s="1"/>
  <c r="DB599" i="40"/>
  <c r="DD599" i="40" s="1"/>
  <c r="DB631" i="40"/>
  <c r="DD631" i="40" s="1"/>
  <c r="DB663" i="40"/>
  <c r="DD663" i="40" s="1"/>
  <c r="DB24" i="40"/>
  <c r="DD24" i="40" s="1"/>
  <c r="DB56" i="40"/>
  <c r="DD56" i="40" s="1"/>
  <c r="DB88" i="40"/>
  <c r="DD88" i="40" s="1"/>
  <c r="DB120" i="40"/>
  <c r="DD120" i="40" s="1"/>
  <c r="DB152" i="40"/>
  <c r="DD152" i="40" s="1"/>
  <c r="DB184" i="40"/>
  <c r="DD184" i="40" s="1"/>
  <c r="DB216" i="40"/>
  <c r="DD216" i="40" s="1"/>
  <c r="DB248" i="40"/>
  <c r="DD248" i="40" s="1"/>
  <c r="DB280" i="40"/>
  <c r="DD280" i="40" s="1"/>
  <c r="DB312" i="40"/>
  <c r="DD312" i="40" s="1"/>
  <c r="DB344" i="40"/>
  <c r="DD344" i="40" s="1"/>
  <c r="DB376" i="40"/>
  <c r="DD376" i="40" s="1"/>
  <c r="DB408" i="40"/>
  <c r="DD408" i="40" s="1"/>
  <c r="DB440" i="40"/>
  <c r="DD440" i="40" s="1"/>
  <c r="DB472" i="40"/>
  <c r="DD472" i="40" s="1"/>
  <c r="DB504" i="40"/>
  <c r="DD504" i="40" s="1"/>
  <c r="DB536" i="40"/>
  <c r="DD536" i="40" s="1"/>
  <c r="DB568" i="40"/>
  <c r="DD568" i="40" s="1"/>
  <c r="DB600" i="40"/>
  <c r="DD600" i="40" s="1"/>
  <c r="DB632" i="40"/>
  <c r="DD632" i="40" s="1"/>
  <c r="DB664" i="40"/>
  <c r="DD664" i="40" s="1"/>
  <c r="DB25" i="40"/>
  <c r="DD25" i="40" s="1"/>
  <c r="DB57" i="40"/>
  <c r="DD57" i="40" s="1"/>
  <c r="DB89" i="40"/>
  <c r="DD89" i="40" s="1"/>
  <c r="DB121" i="40"/>
  <c r="DD121" i="40" s="1"/>
  <c r="DB153" i="40"/>
  <c r="DD153" i="40" s="1"/>
  <c r="DB185" i="40"/>
  <c r="DD185" i="40" s="1"/>
  <c r="DB217" i="40"/>
  <c r="DD217" i="40" s="1"/>
  <c r="DB249" i="40"/>
  <c r="DD249" i="40" s="1"/>
  <c r="DB281" i="40"/>
  <c r="DD281" i="40" s="1"/>
  <c r="DB313" i="40"/>
  <c r="DD313" i="40" s="1"/>
  <c r="DB345" i="40"/>
  <c r="DD345" i="40" s="1"/>
  <c r="DB377" i="40"/>
  <c r="DD377" i="40" s="1"/>
  <c r="DB409" i="40"/>
  <c r="DD409" i="40" s="1"/>
  <c r="DB441" i="40"/>
  <c r="DD441" i="40" s="1"/>
  <c r="DB473" i="40"/>
  <c r="DD473" i="40" s="1"/>
  <c r="DB505" i="40"/>
  <c r="DD505" i="40" s="1"/>
  <c r="DB537" i="40"/>
  <c r="DD537" i="40" s="1"/>
  <c r="DB569" i="40"/>
  <c r="DD569" i="40" s="1"/>
  <c r="DB601" i="40"/>
  <c r="DD601" i="40" s="1"/>
  <c r="DB633" i="40"/>
  <c r="DD633" i="40" s="1"/>
  <c r="DB665" i="40"/>
  <c r="DD665" i="40" s="1"/>
  <c r="DB26" i="40"/>
  <c r="DD26" i="40" s="1"/>
  <c r="DB58" i="40"/>
  <c r="DD58" i="40" s="1"/>
  <c r="DB90" i="40"/>
  <c r="DD90" i="40" s="1"/>
  <c r="DB122" i="40"/>
  <c r="DD122" i="40" s="1"/>
  <c r="DB154" i="40"/>
  <c r="DD154" i="40" s="1"/>
  <c r="DB186" i="40"/>
  <c r="DD186" i="40" s="1"/>
  <c r="DB218" i="40"/>
  <c r="DD218" i="40" s="1"/>
  <c r="DB250" i="40"/>
  <c r="DD250" i="40" s="1"/>
  <c r="DB282" i="40"/>
  <c r="DD282" i="40" s="1"/>
  <c r="DB314" i="40"/>
  <c r="DD314" i="40" s="1"/>
  <c r="DB346" i="40"/>
  <c r="DD346" i="40" s="1"/>
  <c r="DB378" i="40"/>
  <c r="DD378" i="40" s="1"/>
  <c r="DB410" i="40"/>
  <c r="DD410" i="40" s="1"/>
  <c r="DB442" i="40"/>
  <c r="DD442" i="40" s="1"/>
  <c r="DB474" i="40"/>
  <c r="DD474" i="40" s="1"/>
  <c r="DB506" i="40"/>
  <c r="DD506" i="40" s="1"/>
  <c r="DB538" i="40"/>
  <c r="DD538" i="40" s="1"/>
  <c r="DB570" i="40"/>
  <c r="DD570" i="40" s="1"/>
  <c r="DB602" i="40"/>
  <c r="DD602" i="40" s="1"/>
  <c r="DB634" i="40"/>
  <c r="DD634" i="40" s="1"/>
  <c r="DB666" i="40"/>
  <c r="DD666" i="40" s="1"/>
  <c r="DB59" i="40"/>
  <c r="DD59" i="40" s="1"/>
  <c r="DB91" i="40"/>
  <c r="DD91" i="40" s="1"/>
  <c r="DB123" i="40"/>
  <c r="DD123" i="40" s="1"/>
  <c r="DB155" i="40"/>
  <c r="DD155" i="40" s="1"/>
  <c r="DB187" i="40"/>
  <c r="DD187" i="40" s="1"/>
  <c r="DB219" i="40"/>
  <c r="DD219" i="40" s="1"/>
  <c r="DB251" i="40"/>
  <c r="DD251" i="40" s="1"/>
  <c r="DB283" i="40"/>
  <c r="DD283" i="40" s="1"/>
  <c r="DB315" i="40"/>
  <c r="DD315" i="40" s="1"/>
  <c r="DB347" i="40"/>
  <c r="DD347" i="40" s="1"/>
  <c r="DB379" i="40"/>
  <c r="DD379" i="40" s="1"/>
  <c r="DB411" i="40"/>
  <c r="DD411" i="40" s="1"/>
  <c r="DB443" i="40"/>
  <c r="DD443" i="40" s="1"/>
  <c r="DB475" i="40"/>
  <c r="DD475" i="40" s="1"/>
  <c r="DB507" i="40"/>
  <c r="DD507" i="40" s="1"/>
  <c r="DB539" i="40"/>
  <c r="DD539" i="40" s="1"/>
  <c r="DB571" i="40"/>
  <c r="DD571" i="40" s="1"/>
  <c r="DB603" i="40"/>
  <c r="DD603" i="40" s="1"/>
  <c r="DB635" i="40"/>
  <c r="DD635" i="40" s="1"/>
  <c r="DB667" i="40"/>
  <c r="DD667" i="40" s="1"/>
  <c r="DB28" i="40"/>
  <c r="DD28" i="40" s="1"/>
  <c r="DB60" i="40"/>
  <c r="DD60" i="40" s="1"/>
  <c r="DB92" i="40"/>
  <c r="DD92" i="40" s="1"/>
  <c r="DB124" i="40"/>
  <c r="DD124" i="40" s="1"/>
  <c r="DB156" i="40"/>
  <c r="DD156" i="40" s="1"/>
  <c r="DB188" i="40"/>
  <c r="DD188" i="40" s="1"/>
  <c r="DB220" i="40"/>
  <c r="DD220" i="40" s="1"/>
  <c r="DB252" i="40"/>
  <c r="DD252" i="40" s="1"/>
  <c r="DB284" i="40"/>
  <c r="DD284" i="40" s="1"/>
  <c r="DB316" i="40"/>
  <c r="DD316" i="40" s="1"/>
  <c r="DB348" i="40"/>
  <c r="DD348" i="40" s="1"/>
  <c r="DB380" i="40"/>
  <c r="DD380" i="40" s="1"/>
  <c r="DB412" i="40"/>
  <c r="DD412" i="40" s="1"/>
  <c r="DB444" i="40"/>
  <c r="DD444" i="40" s="1"/>
  <c r="DB476" i="40"/>
  <c r="DD476" i="40" s="1"/>
  <c r="DB508" i="40"/>
  <c r="DD508" i="40" s="1"/>
  <c r="DB540" i="40"/>
  <c r="DD540" i="40" s="1"/>
  <c r="DB572" i="40"/>
  <c r="DD572" i="40" s="1"/>
  <c r="DB604" i="40"/>
  <c r="DD604" i="40" s="1"/>
  <c r="DB636" i="40"/>
  <c r="DD636" i="40" s="1"/>
  <c r="DB668" i="40"/>
  <c r="DD668" i="40" s="1"/>
  <c r="DB29" i="40"/>
  <c r="DD29" i="40" s="1"/>
  <c r="DB61" i="40"/>
  <c r="DD61" i="40" s="1"/>
  <c r="DB93" i="40"/>
  <c r="DD93" i="40" s="1"/>
  <c r="DB125" i="40"/>
  <c r="DD125" i="40" s="1"/>
  <c r="DB157" i="40"/>
  <c r="DD157" i="40" s="1"/>
  <c r="DB189" i="40"/>
  <c r="DD189" i="40" s="1"/>
  <c r="DB221" i="40"/>
  <c r="DD221" i="40" s="1"/>
  <c r="DB253" i="40"/>
  <c r="DD253" i="40" s="1"/>
  <c r="DB285" i="40"/>
  <c r="DD285" i="40" s="1"/>
  <c r="DB317" i="40"/>
  <c r="DD317" i="40" s="1"/>
  <c r="DB349" i="40"/>
  <c r="DD349" i="40" s="1"/>
  <c r="DB381" i="40"/>
  <c r="DD381" i="40" s="1"/>
  <c r="DB413" i="40"/>
  <c r="DD413" i="40" s="1"/>
  <c r="DB445" i="40"/>
  <c r="DD445" i="40" s="1"/>
  <c r="DB477" i="40"/>
  <c r="DD477" i="40" s="1"/>
  <c r="DB509" i="40"/>
  <c r="DD509" i="40" s="1"/>
  <c r="DB541" i="40"/>
  <c r="DD541" i="40" s="1"/>
  <c r="DB573" i="40"/>
  <c r="DD573" i="40" s="1"/>
  <c r="DB605" i="40"/>
  <c r="DD605" i="40" s="1"/>
  <c r="DB637" i="40"/>
  <c r="DD637" i="40" s="1"/>
  <c r="DB669" i="40"/>
  <c r="DD669" i="40" s="1"/>
  <c r="DB30" i="40"/>
  <c r="DD30" i="40" s="1"/>
  <c r="DB62" i="40"/>
  <c r="DD62" i="40" s="1"/>
  <c r="DB94" i="40"/>
  <c r="DD94" i="40" s="1"/>
  <c r="DB126" i="40"/>
  <c r="DD126" i="40" s="1"/>
  <c r="DB158" i="40"/>
  <c r="DD158" i="40" s="1"/>
  <c r="DB190" i="40"/>
  <c r="DD190" i="40" s="1"/>
  <c r="DB222" i="40"/>
  <c r="DD222" i="40" s="1"/>
  <c r="DB254" i="40"/>
  <c r="DD254" i="40" s="1"/>
  <c r="DB286" i="40"/>
  <c r="DD286" i="40" s="1"/>
  <c r="DB318" i="40"/>
  <c r="DD318" i="40" s="1"/>
  <c r="DB350" i="40"/>
  <c r="DD350" i="40" s="1"/>
  <c r="DB382" i="40"/>
  <c r="DD382" i="40" s="1"/>
  <c r="DB414" i="40"/>
  <c r="DD414" i="40" s="1"/>
  <c r="DB446" i="40"/>
  <c r="DD446" i="40" s="1"/>
  <c r="DB478" i="40"/>
  <c r="DD478" i="40" s="1"/>
  <c r="DB510" i="40"/>
  <c r="DD510" i="40" s="1"/>
  <c r="DB542" i="40"/>
  <c r="DD542" i="40" s="1"/>
  <c r="DB574" i="40"/>
  <c r="DD574" i="40" s="1"/>
  <c r="DB606" i="40"/>
  <c r="DD606" i="40" s="1"/>
  <c r="DB638" i="40"/>
  <c r="DD638" i="40" s="1"/>
  <c r="DB670" i="40"/>
  <c r="DD670" i="40" s="1"/>
  <c r="DB31" i="40"/>
  <c r="DD31" i="40" s="1"/>
  <c r="DB63" i="40"/>
  <c r="DD63" i="40" s="1"/>
  <c r="DB95" i="40"/>
  <c r="DD95" i="40" s="1"/>
  <c r="DB127" i="40"/>
  <c r="DD127" i="40" s="1"/>
  <c r="DB159" i="40"/>
  <c r="DD159" i="40" s="1"/>
  <c r="DB191" i="40"/>
  <c r="DD191" i="40" s="1"/>
  <c r="DB223" i="40"/>
  <c r="DD223" i="40" s="1"/>
  <c r="DB255" i="40"/>
  <c r="DD255" i="40" s="1"/>
  <c r="DB287" i="40"/>
  <c r="DD287" i="40" s="1"/>
  <c r="DB319" i="40"/>
  <c r="DD319" i="40" s="1"/>
  <c r="DB351" i="40"/>
  <c r="DD351" i="40" s="1"/>
  <c r="DB383" i="40"/>
  <c r="DD383" i="40" s="1"/>
  <c r="DB415" i="40"/>
  <c r="DD415" i="40" s="1"/>
  <c r="DB447" i="40"/>
  <c r="DD447" i="40" s="1"/>
  <c r="DB479" i="40"/>
  <c r="DD479" i="40" s="1"/>
  <c r="DB511" i="40"/>
  <c r="DD511" i="40" s="1"/>
  <c r="DB543" i="40"/>
  <c r="DD543" i="40" s="1"/>
  <c r="DB575" i="40"/>
  <c r="DD575" i="40" s="1"/>
  <c r="DB607" i="40"/>
  <c r="DD607" i="40" s="1"/>
  <c r="DB639" i="40"/>
  <c r="DD639" i="40" s="1"/>
  <c r="DB671" i="40"/>
  <c r="DD671" i="40" s="1"/>
  <c r="DB32" i="40"/>
  <c r="DD32" i="40" s="1"/>
  <c r="DB64" i="40"/>
  <c r="DD64" i="40" s="1"/>
  <c r="DB96" i="40"/>
  <c r="DD96" i="40" s="1"/>
  <c r="DB128" i="40"/>
  <c r="DD128" i="40" s="1"/>
  <c r="DB160" i="40"/>
  <c r="DD160" i="40" s="1"/>
  <c r="DB192" i="40"/>
  <c r="DD192" i="40" s="1"/>
  <c r="DB224" i="40"/>
  <c r="DD224" i="40" s="1"/>
  <c r="DB256" i="40"/>
  <c r="DD256" i="40" s="1"/>
  <c r="DB288" i="40"/>
  <c r="DD288" i="40" s="1"/>
  <c r="DB320" i="40"/>
  <c r="DD320" i="40" s="1"/>
  <c r="DB352" i="40"/>
  <c r="DD352" i="40" s="1"/>
  <c r="DB384" i="40"/>
  <c r="DD384" i="40" s="1"/>
  <c r="DB416" i="40"/>
  <c r="DD416" i="40" s="1"/>
  <c r="DB448" i="40"/>
  <c r="DD448" i="40" s="1"/>
  <c r="DB480" i="40"/>
  <c r="DD480" i="40" s="1"/>
  <c r="DB512" i="40"/>
  <c r="DD512" i="40" s="1"/>
  <c r="DB544" i="40"/>
  <c r="DD544" i="40" s="1"/>
  <c r="DB576" i="40"/>
  <c r="DD576" i="40" s="1"/>
  <c r="DB608" i="40"/>
  <c r="DD608" i="40" s="1"/>
  <c r="DB640" i="40"/>
  <c r="DD640" i="40" s="1"/>
  <c r="DB672" i="40"/>
  <c r="DD672" i="40" s="1"/>
  <c r="DB33" i="40"/>
  <c r="DD33" i="40" s="1"/>
  <c r="DB65" i="40"/>
  <c r="DD65" i="40" s="1"/>
  <c r="DB97" i="40"/>
  <c r="DD97" i="40" s="1"/>
  <c r="DB129" i="40"/>
  <c r="DD129" i="40" s="1"/>
  <c r="DB161" i="40"/>
  <c r="DD161" i="40" s="1"/>
  <c r="DB193" i="40"/>
  <c r="DD193" i="40" s="1"/>
  <c r="DB225" i="40"/>
  <c r="DD225" i="40" s="1"/>
  <c r="DB257" i="40"/>
  <c r="DD257" i="40" s="1"/>
  <c r="DB289" i="40"/>
  <c r="DD289" i="40" s="1"/>
  <c r="DB321" i="40"/>
  <c r="DD321" i="40" s="1"/>
  <c r="DB353" i="40"/>
  <c r="DD353" i="40" s="1"/>
  <c r="DB385" i="40"/>
  <c r="DD385" i="40" s="1"/>
  <c r="DB417" i="40"/>
  <c r="DD417" i="40" s="1"/>
  <c r="DB449" i="40"/>
  <c r="DD449" i="40" s="1"/>
  <c r="DB481" i="40"/>
  <c r="DD481" i="40" s="1"/>
  <c r="DB513" i="40"/>
  <c r="DD513" i="40" s="1"/>
  <c r="DB545" i="40"/>
  <c r="DD545" i="40" s="1"/>
  <c r="DB577" i="40"/>
  <c r="DD577" i="40" s="1"/>
  <c r="DB609" i="40"/>
  <c r="DD609" i="40" s="1"/>
  <c r="DB641" i="40"/>
  <c r="DD641" i="40" s="1"/>
  <c r="DB673" i="40"/>
  <c r="DD673" i="40" s="1"/>
  <c r="DB34" i="40"/>
  <c r="DD34" i="40" s="1"/>
  <c r="DB66" i="40"/>
  <c r="DD66" i="40" s="1"/>
  <c r="DB98" i="40"/>
  <c r="DD98" i="40" s="1"/>
  <c r="DB130" i="40"/>
  <c r="DD130" i="40" s="1"/>
  <c r="DB162" i="40"/>
  <c r="DD162" i="40" s="1"/>
  <c r="DB194" i="40"/>
  <c r="DD194" i="40" s="1"/>
  <c r="DB226" i="40"/>
  <c r="DD226" i="40" s="1"/>
  <c r="DB258" i="40"/>
  <c r="DD258" i="40" s="1"/>
  <c r="DB290" i="40"/>
  <c r="DD290" i="40" s="1"/>
  <c r="DB322" i="40"/>
  <c r="DD322" i="40" s="1"/>
  <c r="DB354" i="40"/>
  <c r="DD354" i="40" s="1"/>
  <c r="DB386" i="40"/>
  <c r="DD386" i="40" s="1"/>
  <c r="DB418" i="40"/>
  <c r="DD418" i="40" s="1"/>
  <c r="DB450" i="40"/>
  <c r="DD450" i="40" s="1"/>
  <c r="DB482" i="40"/>
  <c r="DD482" i="40" s="1"/>
  <c r="DB514" i="40"/>
  <c r="DD514" i="40" s="1"/>
  <c r="DB546" i="40"/>
  <c r="DD546" i="40" s="1"/>
  <c r="DB578" i="40"/>
  <c r="DD578" i="40" s="1"/>
  <c r="DB610" i="40"/>
  <c r="DD610" i="40" s="1"/>
  <c r="DB642" i="40"/>
  <c r="DD642" i="40" s="1"/>
  <c r="DB674" i="40"/>
  <c r="DD674" i="40" s="1"/>
  <c r="DB35" i="40"/>
  <c r="DD35" i="40" s="1"/>
  <c r="DB67" i="40"/>
  <c r="DD67" i="40" s="1"/>
  <c r="DB99" i="40"/>
  <c r="DD99" i="40" s="1"/>
  <c r="DB131" i="40"/>
  <c r="DD131" i="40" s="1"/>
  <c r="DB163" i="40"/>
  <c r="DD163" i="40" s="1"/>
  <c r="DB195" i="40"/>
  <c r="DD195" i="40" s="1"/>
  <c r="DB227" i="40"/>
  <c r="DD227" i="40" s="1"/>
  <c r="DB259" i="40"/>
  <c r="DD259" i="40" s="1"/>
  <c r="DB291" i="40"/>
  <c r="DD291" i="40" s="1"/>
  <c r="DB323" i="40"/>
  <c r="DD323" i="40" s="1"/>
  <c r="DB355" i="40"/>
  <c r="DD355" i="40" s="1"/>
  <c r="DB387" i="40"/>
  <c r="DD387" i="40" s="1"/>
  <c r="DB419" i="40"/>
  <c r="DD419" i="40" s="1"/>
  <c r="DB451" i="40"/>
  <c r="DD451" i="40" s="1"/>
  <c r="DB483" i="40"/>
  <c r="DD483" i="40" s="1"/>
  <c r="DB515" i="40"/>
  <c r="DD515" i="40" s="1"/>
  <c r="DB547" i="40"/>
  <c r="DD547" i="40" s="1"/>
  <c r="DB579" i="40"/>
  <c r="DD579" i="40" s="1"/>
  <c r="DB611" i="40"/>
  <c r="DD611" i="40" s="1"/>
  <c r="DB643" i="40"/>
  <c r="DD643" i="40" s="1"/>
  <c r="DB675" i="40"/>
  <c r="DD675" i="40" s="1"/>
  <c r="DB36" i="40"/>
  <c r="DD36" i="40" s="1"/>
  <c r="DB68" i="40"/>
  <c r="DD68" i="40" s="1"/>
  <c r="DB100" i="40"/>
  <c r="DD100" i="40" s="1"/>
  <c r="DB132" i="40"/>
  <c r="DD132" i="40" s="1"/>
  <c r="DB164" i="40"/>
  <c r="DD164" i="40" s="1"/>
  <c r="DB196" i="40"/>
  <c r="DD196" i="40" s="1"/>
  <c r="DB228" i="40"/>
  <c r="DD228" i="40" s="1"/>
  <c r="DB260" i="40"/>
  <c r="DD260" i="40" s="1"/>
  <c r="DB292" i="40"/>
  <c r="DD292" i="40" s="1"/>
  <c r="DB324" i="40"/>
  <c r="DD324" i="40" s="1"/>
  <c r="DB356" i="40"/>
  <c r="DD356" i="40" s="1"/>
  <c r="DB388" i="40"/>
  <c r="DD388" i="40" s="1"/>
  <c r="DB420" i="40"/>
  <c r="DD420" i="40" s="1"/>
  <c r="DB452" i="40"/>
  <c r="DD452" i="40" s="1"/>
  <c r="DB484" i="40"/>
  <c r="DD484" i="40" s="1"/>
  <c r="DB516" i="40"/>
  <c r="DD516" i="40" s="1"/>
  <c r="DB548" i="40"/>
  <c r="DD548" i="40" s="1"/>
  <c r="DB580" i="40"/>
  <c r="DD580" i="40" s="1"/>
  <c r="DB612" i="40"/>
  <c r="DD612" i="40" s="1"/>
  <c r="DB644" i="40"/>
  <c r="DD644" i="40" s="1"/>
  <c r="DB676" i="40"/>
  <c r="DD676" i="40" s="1"/>
  <c r="DB37" i="40"/>
  <c r="DD37" i="40" s="1"/>
  <c r="DB69" i="40"/>
  <c r="DD69" i="40" s="1"/>
  <c r="DB101" i="40"/>
  <c r="DD101" i="40" s="1"/>
  <c r="DB133" i="40"/>
  <c r="DD133" i="40" s="1"/>
  <c r="DB165" i="40"/>
  <c r="DD165" i="40" s="1"/>
  <c r="DB197" i="40"/>
  <c r="DD197" i="40" s="1"/>
  <c r="DB229" i="40"/>
  <c r="DD229" i="40" s="1"/>
  <c r="DB261" i="40"/>
  <c r="DD261" i="40" s="1"/>
  <c r="DB293" i="40"/>
  <c r="DD293" i="40" s="1"/>
  <c r="DB325" i="40"/>
  <c r="DD325" i="40" s="1"/>
  <c r="DB357" i="40"/>
  <c r="DD357" i="40" s="1"/>
  <c r="DB389" i="40"/>
  <c r="DD389" i="40" s="1"/>
  <c r="DB421" i="40"/>
  <c r="DD421" i="40" s="1"/>
  <c r="DB453" i="40"/>
  <c r="DD453" i="40" s="1"/>
  <c r="DB485" i="40"/>
  <c r="DD485" i="40" s="1"/>
  <c r="DB517" i="40"/>
  <c r="DD517" i="40" s="1"/>
  <c r="DB549" i="40"/>
  <c r="DD549" i="40" s="1"/>
  <c r="DB581" i="40"/>
  <c r="DD581" i="40" s="1"/>
  <c r="DB613" i="40"/>
  <c r="DD613" i="40" s="1"/>
  <c r="DB645" i="40"/>
  <c r="DD645" i="40" s="1"/>
  <c r="DB677" i="40"/>
  <c r="DD677" i="40" s="1"/>
  <c r="DB38" i="40"/>
  <c r="DD38" i="40" s="1"/>
  <c r="DB70" i="40"/>
  <c r="DD70" i="40" s="1"/>
  <c r="DB102" i="40"/>
  <c r="DD102" i="40" s="1"/>
  <c r="DB134" i="40"/>
  <c r="DD134" i="40" s="1"/>
  <c r="DB166" i="40"/>
  <c r="DD166" i="40" s="1"/>
  <c r="DB198" i="40"/>
  <c r="DD198" i="40" s="1"/>
  <c r="DB230" i="40"/>
  <c r="DD230" i="40" s="1"/>
  <c r="DB262" i="40"/>
  <c r="DD262" i="40" s="1"/>
  <c r="DB294" i="40"/>
  <c r="DD294" i="40" s="1"/>
  <c r="DB326" i="40"/>
  <c r="DD326" i="40" s="1"/>
  <c r="DB358" i="40"/>
  <c r="DD358" i="40" s="1"/>
  <c r="DB390" i="40"/>
  <c r="DD390" i="40" s="1"/>
  <c r="DB422" i="40"/>
  <c r="DD422" i="40" s="1"/>
  <c r="DB454" i="40"/>
  <c r="DD454" i="40" s="1"/>
  <c r="DB486" i="40"/>
  <c r="DD486" i="40" s="1"/>
  <c r="DB518" i="40"/>
  <c r="DD518" i="40" s="1"/>
  <c r="DB550" i="40"/>
  <c r="DD550" i="40" s="1"/>
  <c r="DB582" i="40"/>
  <c r="DD582" i="40" s="1"/>
  <c r="DB614" i="40"/>
  <c r="DD614" i="40" s="1"/>
  <c r="DB646" i="40"/>
  <c r="DD646" i="40" s="1"/>
  <c r="DB678" i="40"/>
  <c r="DD678" i="40" s="1"/>
  <c r="DB71" i="40"/>
  <c r="DD71" i="40" s="1"/>
  <c r="DB103" i="40"/>
  <c r="DD103" i="40" s="1"/>
  <c r="DB135" i="40"/>
  <c r="DD135" i="40" s="1"/>
  <c r="DB167" i="40"/>
  <c r="DD167" i="40" s="1"/>
  <c r="DB199" i="40"/>
  <c r="DD199" i="40" s="1"/>
  <c r="DB231" i="40"/>
  <c r="DD231" i="40" s="1"/>
  <c r="DB263" i="40"/>
  <c r="DD263" i="40" s="1"/>
  <c r="DB295" i="40"/>
  <c r="DD295" i="40" s="1"/>
  <c r="DB327" i="40"/>
  <c r="DD327" i="40" s="1"/>
  <c r="DB359" i="40"/>
  <c r="DD359" i="40" s="1"/>
  <c r="DB391" i="40"/>
  <c r="DD391" i="40" s="1"/>
  <c r="DB423" i="40"/>
  <c r="DD423" i="40" s="1"/>
  <c r="DB455" i="40"/>
  <c r="DD455" i="40" s="1"/>
  <c r="DB487" i="40"/>
  <c r="DD487" i="40" s="1"/>
  <c r="DB519" i="40"/>
  <c r="DD519" i="40" s="1"/>
  <c r="DB551" i="40"/>
  <c r="DD551" i="40" s="1"/>
  <c r="DB583" i="40"/>
  <c r="DD583" i="40" s="1"/>
  <c r="DB615" i="40"/>
  <c r="DD615" i="40" s="1"/>
  <c r="DB647" i="40"/>
  <c r="DD647" i="40" s="1"/>
  <c r="DB679" i="40"/>
  <c r="DD679" i="40" s="1"/>
  <c r="DB40" i="40"/>
  <c r="DB72" i="40"/>
  <c r="DD72" i="40" s="1"/>
  <c r="DB104" i="40"/>
  <c r="DD104" i="40" s="1"/>
  <c r="DB136" i="40"/>
  <c r="DD136" i="40" s="1"/>
  <c r="DB168" i="40"/>
  <c r="DD168" i="40" s="1"/>
  <c r="DB200" i="40"/>
  <c r="DD200" i="40" s="1"/>
  <c r="DB232" i="40"/>
  <c r="DD232" i="40" s="1"/>
  <c r="DB264" i="40"/>
  <c r="DD264" i="40" s="1"/>
  <c r="DB296" i="40"/>
  <c r="DD296" i="40" s="1"/>
  <c r="DB328" i="40"/>
  <c r="DD328" i="40" s="1"/>
  <c r="DB360" i="40"/>
  <c r="DD360" i="40" s="1"/>
  <c r="DB392" i="40"/>
  <c r="DD392" i="40" s="1"/>
  <c r="DB424" i="40"/>
  <c r="DD424" i="40" s="1"/>
  <c r="DB456" i="40"/>
  <c r="DD456" i="40" s="1"/>
  <c r="DB488" i="40"/>
  <c r="DD488" i="40" s="1"/>
  <c r="DB520" i="40"/>
  <c r="DD520" i="40" s="1"/>
  <c r="DB552" i="40"/>
  <c r="DD552" i="40" s="1"/>
  <c r="DB584" i="40"/>
  <c r="DD584" i="40" s="1"/>
  <c r="DB616" i="40"/>
  <c r="DD616" i="40" s="1"/>
  <c r="DB648" i="40"/>
  <c r="DD648" i="40" s="1"/>
  <c r="DB680" i="40"/>
  <c r="DD680" i="40" s="1"/>
  <c r="DB41" i="40"/>
  <c r="DD41" i="40" s="1"/>
  <c r="DB73" i="40"/>
  <c r="DD73" i="40" s="1"/>
  <c r="DB105" i="40"/>
  <c r="DD105" i="40" s="1"/>
  <c r="DB137" i="40"/>
  <c r="DD137" i="40" s="1"/>
  <c r="DB169" i="40"/>
  <c r="DD169" i="40" s="1"/>
  <c r="DB201" i="40"/>
  <c r="DD201" i="40" s="1"/>
  <c r="DB233" i="40"/>
  <c r="DD233" i="40" s="1"/>
  <c r="DB265" i="40"/>
  <c r="DD265" i="40" s="1"/>
  <c r="DB297" i="40"/>
  <c r="DD297" i="40" s="1"/>
  <c r="DB329" i="40"/>
  <c r="DD329" i="40" s="1"/>
  <c r="DB361" i="40"/>
  <c r="DD361" i="40" s="1"/>
  <c r="DB393" i="40"/>
  <c r="DD393" i="40" s="1"/>
  <c r="DB425" i="40"/>
  <c r="DD425" i="40" s="1"/>
  <c r="DB457" i="40"/>
  <c r="DD457" i="40" s="1"/>
  <c r="DB489" i="40"/>
  <c r="DD489" i="40" s="1"/>
  <c r="DB521" i="40"/>
  <c r="DD521" i="40" s="1"/>
  <c r="DB553" i="40"/>
  <c r="DD553" i="40" s="1"/>
  <c r="DB585" i="40"/>
  <c r="DD585" i="40" s="1"/>
  <c r="DB617" i="40"/>
  <c r="DD617" i="40" s="1"/>
  <c r="DB649" i="40"/>
  <c r="DD649" i="40" s="1"/>
  <c r="DB42" i="40"/>
  <c r="DD42" i="40" s="1"/>
  <c r="DB74" i="40"/>
  <c r="DD74" i="40" s="1"/>
  <c r="DB106" i="40"/>
  <c r="DD106" i="40" s="1"/>
  <c r="DB138" i="40"/>
  <c r="DD138" i="40" s="1"/>
  <c r="DB170" i="40"/>
  <c r="DD170" i="40" s="1"/>
  <c r="DB202" i="40"/>
  <c r="DD202" i="40" s="1"/>
  <c r="DB234" i="40"/>
  <c r="DD234" i="40" s="1"/>
  <c r="DB266" i="40"/>
  <c r="DD266" i="40" s="1"/>
  <c r="DB298" i="40"/>
  <c r="DD298" i="40" s="1"/>
  <c r="DB330" i="40"/>
  <c r="DD330" i="40" s="1"/>
  <c r="DB362" i="40"/>
  <c r="DD362" i="40" s="1"/>
  <c r="DB394" i="40"/>
  <c r="DD394" i="40" s="1"/>
  <c r="DB426" i="40"/>
  <c r="DD426" i="40" s="1"/>
  <c r="DB458" i="40"/>
  <c r="DD458" i="40" s="1"/>
  <c r="DB490" i="40"/>
  <c r="DD490" i="40" s="1"/>
  <c r="DB522" i="40"/>
  <c r="DD522" i="40" s="1"/>
  <c r="DB554" i="40"/>
  <c r="DD554" i="40" s="1"/>
  <c r="DB586" i="40"/>
  <c r="DD586" i="40" s="1"/>
  <c r="DB618" i="40"/>
  <c r="DD618" i="40" s="1"/>
  <c r="DB650" i="40"/>
  <c r="DD650" i="40" s="1"/>
  <c r="DB43" i="40"/>
  <c r="DD43" i="40" s="1"/>
  <c r="DB75" i="40"/>
  <c r="DD75" i="40" s="1"/>
  <c r="DB107" i="40"/>
  <c r="DD107" i="40" s="1"/>
  <c r="DB139" i="40"/>
  <c r="DD139" i="40" s="1"/>
  <c r="DB171" i="40"/>
  <c r="DD171" i="40" s="1"/>
  <c r="DB203" i="40"/>
  <c r="DD203" i="40" s="1"/>
  <c r="DB235" i="40"/>
  <c r="DD235" i="40" s="1"/>
  <c r="DB267" i="40"/>
  <c r="DD267" i="40" s="1"/>
  <c r="DB299" i="40"/>
  <c r="DD299" i="40" s="1"/>
  <c r="DB331" i="40"/>
  <c r="DD331" i="40" s="1"/>
  <c r="DB363" i="40"/>
  <c r="DD363" i="40" s="1"/>
  <c r="DB395" i="40"/>
  <c r="DD395" i="40" s="1"/>
  <c r="DB427" i="40"/>
  <c r="DD427" i="40" s="1"/>
  <c r="DB459" i="40"/>
  <c r="DD459" i="40" s="1"/>
  <c r="DB491" i="40"/>
  <c r="DD491" i="40" s="1"/>
  <c r="DB523" i="40"/>
  <c r="DD523" i="40" s="1"/>
  <c r="DB555" i="40"/>
  <c r="DD555" i="40" s="1"/>
  <c r="DB587" i="40"/>
  <c r="DD587" i="40" s="1"/>
  <c r="DB619" i="40"/>
  <c r="DD619" i="40" s="1"/>
  <c r="DB651" i="40"/>
  <c r="DD651" i="40" s="1"/>
  <c r="CO15" i="40"/>
  <c r="CQ15" i="40" s="1"/>
  <c r="CO47" i="40"/>
  <c r="CQ47" i="40" s="1"/>
  <c r="CO79" i="40"/>
  <c r="CQ79" i="40" s="1"/>
  <c r="CO111" i="40"/>
  <c r="CQ111" i="40" s="1"/>
  <c r="CO143" i="40"/>
  <c r="CQ143" i="40" s="1"/>
  <c r="CO175" i="40"/>
  <c r="CQ175" i="40" s="1"/>
  <c r="CO207" i="40"/>
  <c r="CQ207" i="40" s="1"/>
  <c r="CO239" i="40"/>
  <c r="CQ239" i="40" s="1"/>
  <c r="CO271" i="40"/>
  <c r="CQ271" i="40" s="1"/>
  <c r="CO303" i="40"/>
  <c r="CQ303" i="40" s="1"/>
  <c r="CO335" i="40"/>
  <c r="CQ335" i="40" s="1"/>
  <c r="CO367" i="40"/>
  <c r="CQ367" i="40" s="1"/>
  <c r="CO399" i="40"/>
  <c r="CQ399" i="40" s="1"/>
  <c r="CO431" i="40"/>
  <c r="CQ431" i="40" s="1"/>
  <c r="CO463" i="40"/>
  <c r="CQ463" i="40" s="1"/>
  <c r="CO495" i="40"/>
  <c r="CQ495" i="40" s="1"/>
  <c r="CO527" i="40"/>
  <c r="CQ527" i="40" s="1"/>
  <c r="CO559" i="40"/>
  <c r="CQ559" i="40" s="1"/>
  <c r="CO591" i="40"/>
  <c r="CQ591" i="40" s="1"/>
  <c r="CO623" i="40"/>
  <c r="CQ623" i="40" s="1"/>
  <c r="CO655" i="40"/>
  <c r="CQ655" i="40" s="1"/>
  <c r="CO16" i="40"/>
  <c r="CQ16" i="40" s="1"/>
  <c r="CO48" i="40"/>
  <c r="CQ48" i="40" s="1"/>
  <c r="CO80" i="40"/>
  <c r="CQ80" i="40" s="1"/>
  <c r="CO112" i="40"/>
  <c r="CQ112" i="40" s="1"/>
  <c r="CO144" i="40"/>
  <c r="CQ144" i="40" s="1"/>
  <c r="CO176" i="40"/>
  <c r="CQ176" i="40" s="1"/>
  <c r="CO208" i="40"/>
  <c r="CQ208" i="40" s="1"/>
  <c r="CO240" i="40"/>
  <c r="CQ240" i="40" s="1"/>
  <c r="CO272" i="40"/>
  <c r="CQ272" i="40" s="1"/>
  <c r="CO304" i="40"/>
  <c r="CQ304" i="40" s="1"/>
  <c r="CO336" i="40"/>
  <c r="CQ336" i="40" s="1"/>
  <c r="CO368" i="40"/>
  <c r="CQ368" i="40" s="1"/>
  <c r="CO400" i="40"/>
  <c r="CQ400" i="40" s="1"/>
  <c r="CO432" i="40"/>
  <c r="CQ432" i="40" s="1"/>
  <c r="CO464" i="40"/>
  <c r="CQ464" i="40" s="1"/>
  <c r="CO496" i="40"/>
  <c r="CQ496" i="40" s="1"/>
  <c r="CO528" i="40"/>
  <c r="CQ528" i="40" s="1"/>
  <c r="CO560" i="40"/>
  <c r="CQ560" i="40" s="1"/>
  <c r="CO592" i="40"/>
  <c r="CQ592" i="40" s="1"/>
  <c r="CO624" i="40"/>
  <c r="CQ624" i="40" s="1"/>
  <c r="CO656" i="40"/>
  <c r="CQ656" i="40" s="1"/>
  <c r="CO17" i="40"/>
  <c r="CQ17" i="40" s="1"/>
  <c r="CO49" i="40"/>
  <c r="CQ49" i="40" s="1"/>
  <c r="CO81" i="40"/>
  <c r="CQ81" i="40" s="1"/>
  <c r="CO113" i="40"/>
  <c r="CQ113" i="40" s="1"/>
  <c r="CO145" i="40"/>
  <c r="CQ145" i="40" s="1"/>
  <c r="CO177" i="40"/>
  <c r="CQ177" i="40" s="1"/>
  <c r="CO209" i="40"/>
  <c r="CQ209" i="40" s="1"/>
  <c r="CO241" i="40"/>
  <c r="CQ241" i="40" s="1"/>
  <c r="CO273" i="40"/>
  <c r="CQ273" i="40" s="1"/>
  <c r="CO305" i="40"/>
  <c r="CQ305" i="40" s="1"/>
  <c r="CO337" i="40"/>
  <c r="CQ337" i="40" s="1"/>
  <c r="CO369" i="40"/>
  <c r="CQ369" i="40" s="1"/>
  <c r="CO401" i="40"/>
  <c r="CQ401" i="40" s="1"/>
  <c r="CO433" i="40"/>
  <c r="CQ433" i="40" s="1"/>
  <c r="CO465" i="40"/>
  <c r="CQ465" i="40" s="1"/>
  <c r="CO497" i="40"/>
  <c r="CQ497" i="40" s="1"/>
  <c r="CO529" i="40"/>
  <c r="CQ529" i="40" s="1"/>
  <c r="CO561" i="40"/>
  <c r="CQ561" i="40" s="1"/>
  <c r="CO593" i="40"/>
  <c r="CQ593" i="40" s="1"/>
  <c r="CO625" i="40"/>
  <c r="CQ625" i="40" s="1"/>
  <c r="CO657" i="40"/>
  <c r="CQ657" i="40" s="1"/>
  <c r="CO18" i="40"/>
  <c r="CQ18" i="40" s="1"/>
  <c r="CO50" i="40"/>
  <c r="CQ50" i="40" s="1"/>
  <c r="CO82" i="40"/>
  <c r="CQ82" i="40" s="1"/>
  <c r="CO114" i="40"/>
  <c r="CQ114" i="40" s="1"/>
  <c r="CO146" i="40"/>
  <c r="CQ146" i="40" s="1"/>
  <c r="CO178" i="40"/>
  <c r="CQ178" i="40" s="1"/>
  <c r="CO210" i="40"/>
  <c r="CQ210" i="40" s="1"/>
  <c r="CO242" i="40"/>
  <c r="CQ242" i="40" s="1"/>
  <c r="CO274" i="40"/>
  <c r="CQ274" i="40" s="1"/>
  <c r="CO306" i="40"/>
  <c r="CQ306" i="40" s="1"/>
  <c r="CO338" i="40"/>
  <c r="CQ338" i="40" s="1"/>
  <c r="CO370" i="40"/>
  <c r="CQ370" i="40" s="1"/>
  <c r="CO402" i="40"/>
  <c r="CQ402" i="40" s="1"/>
  <c r="CO434" i="40"/>
  <c r="CQ434" i="40" s="1"/>
  <c r="CO466" i="40"/>
  <c r="CQ466" i="40" s="1"/>
  <c r="CO498" i="40"/>
  <c r="CQ498" i="40" s="1"/>
  <c r="CO530" i="40"/>
  <c r="CQ530" i="40" s="1"/>
  <c r="CO562" i="40"/>
  <c r="CQ562" i="40" s="1"/>
  <c r="CO594" i="40"/>
  <c r="CQ594" i="40" s="1"/>
  <c r="CO626" i="40"/>
  <c r="CQ626" i="40" s="1"/>
  <c r="CO658" i="40"/>
  <c r="CQ658" i="40" s="1"/>
  <c r="CO19" i="40"/>
  <c r="CQ19" i="40" s="1"/>
  <c r="CO51" i="40"/>
  <c r="CQ51" i="40" s="1"/>
  <c r="CO83" i="40"/>
  <c r="CQ83" i="40" s="1"/>
  <c r="CO115" i="40"/>
  <c r="CQ115" i="40" s="1"/>
  <c r="CO147" i="40"/>
  <c r="CQ147" i="40" s="1"/>
  <c r="CO179" i="40"/>
  <c r="CQ179" i="40" s="1"/>
  <c r="CO211" i="40"/>
  <c r="CQ211" i="40" s="1"/>
  <c r="CO243" i="40"/>
  <c r="CQ243" i="40" s="1"/>
  <c r="CO275" i="40"/>
  <c r="CQ275" i="40" s="1"/>
  <c r="CO307" i="40"/>
  <c r="CQ307" i="40" s="1"/>
  <c r="CO339" i="40"/>
  <c r="CQ339" i="40" s="1"/>
  <c r="CO371" i="40"/>
  <c r="CQ371" i="40" s="1"/>
  <c r="CO403" i="40"/>
  <c r="CQ403" i="40" s="1"/>
  <c r="CO435" i="40"/>
  <c r="CQ435" i="40" s="1"/>
  <c r="CO467" i="40"/>
  <c r="CQ467" i="40" s="1"/>
  <c r="CO499" i="40"/>
  <c r="CQ499" i="40" s="1"/>
  <c r="CO531" i="40"/>
  <c r="CQ531" i="40" s="1"/>
  <c r="CO563" i="40"/>
  <c r="CQ563" i="40" s="1"/>
  <c r="CO595" i="40"/>
  <c r="CQ595" i="40" s="1"/>
  <c r="CO627" i="40"/>
  <c r="CQ627" i="40" s="1"/>
  <c r="CO659" i="40"/>
  <c r="CQ659" i="40" s="1"/>
  <c r="CO20" i="40"/>
  <c r="CQ20" i="40" s="1"/>
  <c r="CO52" i="40"/>
  <c r="CQ52" i="40" s="1"/>
  <c r="CO84" i="40"/>
  <c r="CQ84" i="40" s="1"/>
  <c r="CO116" i="40"/>
  <c r="CQ116" i="40" s="1"/>
  <c r="CO148" i="40"/>
  <c r="CQ148" i="40" s="1"/>
  <c r="CO180" i="40"/>
  <c r="CQ180" i="40" s="1"/>
  <c r="CO212" i="40"/>
  <c r="CQ212" i="40" s="1"/>
  <c r="CO244" i="40"/>
  <c r="CQ244" i="40" s="1"/>
  <c r="CO276" i="40"/>
  <c r="CQ276" i="40" s="1"/>
  <c r="CO308" i="40"/>
  <c r="CQ308" i="40" s="1"/>
  <c r="CO340" i="40"/>
  <c r="CQ340" i="40" s="1"/>
  <c r="CO372" i="40"/>
  <c r="CQ372" i="40" s="1"/>
  <c r="CO404" i="40"/>
  <c r="CQ404" i="40" s="1"/>
  <c r="CO436" i="40"/>
  <c r="CQ436" i="40" s="1"/>
  <c r="CO468" i="40"/>
  <c r="CQ468" i="40" s="1"/>
  <c r="CO500" i="40"/>
  <c r="CQ500" i="40" s="1"/>
  <c r="CO532" i="40"/>
  <c r="CQ532" i="40" s="1"/>
  <c r="CO564" i="40"/>
  <c r="CQ564" i="40" s="1"/>
  <c r="CO596" i="40"/>
  <c r="CQ596" i="40" s="1"/>
  <c r="CO628" i="40"/>
  <c r="CQ628" i="40" s="1"/>
  <c r="CO660" i="40"/>
  <c r="CQ660" i="40" s="1"/>
  <c r="CO21" i="40"/>
  <c r="CQ21" i="40" s="1"/>
  <c r="CO53" i="40"/>
  <c r="CQ53" i="40" s="1"/>
  <c r="CO85" i="40"/>
  <c r="CQ85" i="40" s="1"/>
  <c r="CO117" i="40"/>
  <c r="CQ117" i="40" s="1"/>
  <c r="CO149" i="40"/>
  <c r="CQ149" i="40" s="1"/>
  <c r="CO181" i="40"/>
  <c r="CQ181" i="40" s="1"/>
  <c r="CO213" i="40"/>
  <c r="CQ213" i="40" s="1"/>
  <c r="CO245" i="40"/>
  <c r="CQ245" i="40" s="1"/>
  <c r="CO277" i="40"/>
  <c r="CQ277" i="40" s="1"/>
  <c r="CO309" i="40"/>
  <c r="CQ309" i="40" s="1"/>
  <c r="CO341" i="40"/>
  <c r="CQ341" i="40" s="1"/>
  <c r="CO373" i="40"/>
  <c r="CQ373" i="40" s="1"/>
  <c r="CO405" i="40"/>
  <c r="CQ405" i="40" s="1"/>
  <c r="CO437" i="40"/>
  <c r="CQ437" i="40" s="1"/>
  <c r="CO469" i="40"/>
  <c r="CQ469" i="40" s="1"/>
  <c r="CO501" i="40"/>
  <c r="CQ501" i="40" s="1"/>
  <c r="CO533" i="40"/>
  <c r="CQ533" i="40" s="1"/>
  <c r="CO565" i="40"/>
  <c r="CQ565" i="40" s="1"/>
  <c r="CO597" i="40"/>
  <c r="CQ597" i="40" s="1"/>
  <c r="CO629" i="40"/>
  <c r="CQ629" i="40" s="1"/>
  <c r="CO661" i="40"/>
  <c r="CQ661" i="40" s="1"/>
  <c r="CO22" i="40"/>
  <c r="CQ22" i="40" s="1"/>
  <c r="CO54" i="40"/>
  <c r="CQ54" i="40" s="1"/>
  <c r="CO86" i="40"/>
  <c r="CQ86" i="40" s="1"/>
  <c r="CO118" i="40"/>
  <c r="CQ118" i="40" s="1"/>
  <c r="CO150" i="40"/>
  <c r="CQ150" i="40" s="1"/>
  <c r="CO182" i="40"/>
  <c r="CQ182" i="40" s="1"/>
  <c r="CO214" i="40"/>
  <c r="CQ214" i="40" s="1"/>
  <c r="CO246" i="40"/>
  <c r="CQ246" i="40" s="1"/>
  <c r="CO278" i="40"/>
  <c r="CQ278" i="40" s="1"/>
  <c r="CO310" i="40"/>
  <c r="CQ310" i="40" s="1"/>
  <c r="CO342" i="40"/>
  <c r="CQ342" i="40" s="1"/>
  <c r="CO374" i="40"/>
  <c r="CQ374" i="40" s="1"/>
  <c r="CO406" i="40"/>
  <c r="CQ406" i="40" s="1"/>
  <c r="CO438" i="40"/>
  <c r="CQ438" i="40" s="1"/>
  <c r="CO470" i="40"/>
  <c r="CQ470" i="40" s="1"/>
  <c r="CO502" i="40"/>
  <c r="CQ502" i="40" s="1"/>
  <c r="CO534" i="40"/>
  <c r="CQ534" i="40" s="1"/>
  <c r="CO566" i="40"/>
  <c r="CQ566" i="40" s="1"/>
  <c r="CO598" i="40"/>
  <c r="CQ598" i="40" s="1"/>
  <c r="CO630" i="40"/>
  <c r="CQ630" i="40" s="1"/>
  <c r="CO662" i="40"/>
  <c r="CQ662" i="40" s="1"/>
  <c r="CO23" i="40"/>
  <c r="CQ23" i="40" s="1"/>
  <c r="CO55" i="40"/>
  <c r="CQ55" i="40" s="1"/>
  <c r="CO87" i="40"/>
  <c r="CQ87" i="40" s="1"/>
  <c r="CO119" i="40"/>
  <c r="CQ119" i="40" s="1"/>
  <c r="CO151" i="40"/>
  <c r="CQ151" i="40" s="1"/>
  <c r="CO183" i="40"/>
  <c r="CQ183" i="40" s="1"/>
  <c r="CO215" i="40"/>
  <c r="CQ215" i="40" s="1"/>
  <c r="CO247" i="40"/>
  <c r="CQ247" i="40" s="1"/>
  <c r="CO279" i="40"/>
  <c r="CQ279" i="40" s="1"/>
  <c r="CO311" i="40"/>
  <c r="CQ311" i="40" s="1"/>
  <c r="CO343" i="40"/>
  <c r="CQ343" i="40" s="1"/>
  <c r="CO375" i="40"/>
  <c r="CQ375" i="40" s="1"/>
  <c r="CO407" i="40"/>
  <c r="CQ407" i="40" s="1"/>
  <c r="CO439" i="40"/>
  <c r="CQ439" i="40" s="1"/>
  <c r="CO471" i="40"/>
  <c r="CQ471" i="40" s="1"/>
  <c r="CO503" i="40"/>
  <c r="CQ503" i="40" s="1"/>
  <c r="CO535" i="40"/>
  <c r="CQ535" i="40" s="1"/>
  <c r="CO567" i="40"/>
  <c r="CQ567" i="40" s="1"/>
  <c r="CO599" i="40"/>
  <c r="CQ599" i="40" s="1"/>
  <c r="CO631" i="40"/>
  <c r="CQ631" i="40" s="1"/>
  <c r="CO663" i="40"/>
  <c r="CQ663" i="40" s="1"/>
  <c r="CO56" i="40"/>
  <c r="CQ56" i="40" s="1"/>
  <c r="CO88" i="40"/>
  <c r="CQ88" i="40" s="1"/>
  <c r="CO120" i="40"/>
  <c r="CQ120" i="40" s="1"/>
  <c r="CO152" i="40"/>
  <c r="CQ152" i="40" s="1"/>
  <c r="CO184" i="40"/>
  <c r="CQ184" i="40" s="1"/>
  <c r="CO216" i="40"/>
  <c r="CQ216" i="40" s="1"/>
  <c r="CO248" i="40"/>
  <c r="CQ248" i="40" s="1"/>
  <c r="CO280" i="40"/>
  <c r="CQ280" i="40" s="1"/>
  <c r="CO312" i="40"/>
  <c r="CQ312" i="40" s="1"/>
  <c r="CO344" i="40"/>
  <c r="CQ344" i="40" s="1"/>
  <c r="CO376" i="40"/>
  <c r="CQ376" i="40" s="1"/>
  <c r="CO408" i="40"/>
  <c r="CQ408" i="40" s="1"/>
  <c r="CO440" i="40"/>
  <c r="CQ440" i="40" s="1"/>
  <c r="CO472" i="40"/>
  <c r="CQ472" i="40" s="1"/>
  <c r="CO504" i="40"/>
  <c r="CQ504" i="40" s="1"/>
  <c r="CO536" i="40"/>
  <c r="CQ536" i="40" s="1"/>
  <c r="CO568" i="40"/>
  <c r="CQ568" i="40" s="1"/>
  <c r="CO600" i="40"/>
  <c r="CQ600" i="40" s="1"/>
  <c r="CO632" i="40"/>
  <c r="CQ632" i="40" s="1"/>
  <c r="CO664" i="40"/>
  <c r="CQ664" i="40" s="1"/>
  <c r="CO25" i="40"/>
  <c r="CQ25" i="40" s="1"/>
  <c r="CO57" i="40"/>
  <c r="CQ57" i="40" s="1"/>
  <c r="CO89" i="40"/>
  <c r="CQ89" i="40" s="1"/>
  <c r="CO121" i="40"/>
  <c r="CQ121" i="40" s="1"/>
  <c r="CO153" i="40"/>
  <c r="CQ153" i="40" s="1"/>
  <c r="CO185" i="40"/>
  <c r="CQ185" i="40" s="1"/>
  <c r="CO217" i="40"/>
  <c r="CQ217" i="40" s="1"/>
  <c r="CO249" i="40"/>
  <c r="CQ249" i="40" s="1"/>
  <c r="CO281" i="40"/>
  <c r="CQ281" i="40" s="1"/>
  <c r="CO313" i="40"/>
  <c r="CQ313" i="40" s="1"/>
  <c r="CO345" i="40"/>
  <c r="CQ345" i="40" s="1"/>
  <c r="CO377" i="40"/>
  <c r="CQ377" i="40" s="1"/>
  <c r="CO409" i="40"/>
  <c r="CQ409" i="40" s="1"/>
  <c r="CO441" i="40"/>
  <c r="CQ441" i="40" s="1"/>
  <c r="CO473" i="40"/>
  <c r="CQ473" i="40" s="1"/>
  <c r="CO505" i="40"/>
  <c r="CQ505" i="40" s="1"/>
  <c r="CO537" i="40"/>
  <c r="CQ537" i="40" s="1"/>
  <c r="CO569" i="40"/>
  <c r="CQ569" i="40" s="1"/>
  <c r="CO601" i="40"/>
  <c r="CQ601" i="40" s="1"/>
  <c r="CO633" i="40"/>
  <c r="CQ633" i="40" s="1"/>
  <c r="CO665" i="40"/>
  <c r="CQ665" i="40" s="1"/>
  <c r="CO26" i="40"/>
  <c r="CQ26" i="40" s="1"/>
  <c r="CO58" i="40"/>
  <c r="CQ58" i="40" s="1"/>
  <c r="CO90" i="40"/>
  <c r="CQ90" i="40" s="1"/>
  <c r="CO122" i="40"/>
  <c r="CQ122" i="40" s="1"/>
  <c r="CO154" i="40"/>
  <c r="CQ154" i="40" s="1"/>
  <c r="CO186" i="40"/>
  <c r="CQ186" i="40" s="1"/>
  <c r="CO218" i="40"/>
  <c r="CQ218" i="40" s="1"/>
  <c r="CO250" i="40"/>
  <c r="CQ250" i="40" s="1"/>
  <c r="CO282" i="40"/>
  <c r="CQ282" i="40" s="1"/>
  <c r="CO314" i="40"/>
  <c r="CQ314" i="40" s="1"/>
  <c r="CO346" i="40"/>
  <c r="CQ346" i="40" s="1"/>
  <c r="CO378" i="40"/>
  <c r="CQ378" i="40" s="1"/>
  <c r="CO410" i="40"/>
  <c r="CQ410" i="40" s="1"/>
  <c r="CO442" i="40"/>
  <c r="CQ442" i="40" s="1"/>
  <c r="CO474" i="40"/>
  <c r="CQ474" i="40" s="1"/>
  <c r="CO506" i="40"/>
  <c r="CQ506" i="40" s="1"/>
  <c r="CO538" i="40"/>
  <c r="CQ538" i="40" s="1"/>
  <c r="CO570" i="40"/>
  <c r="CQ570" i="40" s="1"/>
  <c r="CO602" i="40"/>
  <c r="CQ602" i="40" s="1"/>
  <c r="CO634" i="40"/>
  <c r="CQ634" i="40" s="1"/>
  <c r="CO666" i="40"/>
  <c r="CQ666" i="40" s="1"/>
  <c r="CO59" i="40"/>
  <c r="CQ59" i="40" s="1"/>
  <c r="CO91" i="40"/>
  <c r="CQ91" i="40" s="1"/>
  <c r="CO123" i="40"/>
  <c r="CQ123" i="40" s="1"/>
  <c r="CO155" i="40"/>
  <c r="CQ155" i="40" s="1"/>
  <c r="CO187" i="40"/>
  <c r="CQ187" i="40" s="1"/>
  <c r="CO219" i="40"/>
  <c r="CQ219" i="40" s="1"/>
  <c r="CO251" i="40"/>
  <c r="CQ251" i="40" s="1"/>
  <c r="CO283" i="40"/>
  <c r="CQ283" i="40" s="1"/>
  <c r="CO315" i="40"/>
  <c r="CQ315" i="40" s="1"/>
  <c r="CO347" i="40"/>
  <c r="CQ347" i="40" s="1"/>
  <c r="CO379" i="40"/>
  <c r="CQ379" i="40" s="1"/>
  <c r="CO411" i="40"/>
  <c r="CQ411" i="40" s="1"/>
  <c r="CO443" i="40"/>
  <c r="CQ443" i="40" s="1"/>
  <c r="CO475" i="40"/>
  <c r="CQ475" i="40" s="1"/>
  <c r="CO507" i="40"/>
  <c r="CQ507" i="40" s="1"/>
  <c r="CO539" i="40"/>
  <c r="CQ539" i="40" s="1"/>
  <c r="CO571" i="40"/>
  <c r="CQ571" i="40" s="1"/>
  <c r="CO603" i="40"/>
  <c r="CQ603" i="40" s="1"/>
  <c r="CO635" i="40"/>
  <c r="CQ635" i="40" s="1"/>
  <c r="CO667" i="40"/>
  <c r="CQ667" i="40" s="1"/>
  <c r="CO28" i="40"/>
  <c r="CQ28" i="40" s="1"/>
  <c r="CO60" i="40"/>
  <c r="CQ60" i="40" s="1"/>
  <c r="CO92" i="40"/>
  <c r="CQ92" i="40" s="1"/>
  <c r="CO124" i="40"/>
  <c r="CQ124" i="40" s="1"/>
  <c r="CO156" i="40"/>
  <c r="CQ156" i="40" s="1"/>
  <c r="CO188" i="40"/>
  <c r="CQ188" i="40" s="1"/>
  <c r="CO220" i="40"/>
  <c r="CQ220" i="40" s="1"/>
  <c r="CO252" i="40"/>
  <c r="CQ252" i="40" s="1"/>
  <c r="CO284" i="40"/>
  <c r="CQ284" i="40" s="1"/>
  <c r="CO316" i="40"/>
  <c r="CQ316" i="40" s="1"/>
  <c r="CO348" i="40"/>
  <c r="CQ348" i="40" s="1"/>
  <c r="CO380" i="40"/>
  <c r="CQ380" i="40" s="1"/>
  <c r="CO412" i="40"/>
  <c r="CQ412" i="40" s="1"/>
  <c r="CO444" i="40"/>
  <c r="CQ444" i="40" s="1"/>
  <c r="CO476" i="40"/>
  <c r="CQ476" i="40" s="1"/>
  <c r="CO508" i="40"/>
  <c r="CQ508" i="40" s="1"/>
  <c r="CO540" i="40"/>
  <c r="CQ540" i="40" s="1"/>
  <c r="CO572" i="40"/>
  <c r="CQ572" i="40" s="1"/>
  <c r="CO604" i="40"/>
  <c r="CQ604" i="40" s="1"/>
  <c r="CO636" i="40"/>
  <c r="CQ636" i="40" s="1"/>
  <c r="CO668" i="40"/>
  <c r="CQ668" i="40" s="1"/>
  <c r="CO29" i="40"/>
  <c r="CQ29" i="40" s="1"/>
  <c r="CO61" i="40"/>
  <c r="CQ61" i="40" s="1"/>
  <c r="CO93" i="40"/>
  <c r="CQ93" i="40" s="1"/>
  <c r="CO125" i="40"/>
  <c r="CQ125" i="40" s="1"/>
  <c r="CO157" i="40"/>
  <c r="CQ157" i="40" s="1"/>
  <c r="CO189" i="40"/>
  <c r="CQ189" i="40" s="1"/>
  <c r="CO221" i="40"/>
  <c r="CQ221" i="40" s="1"/>
  <c r="CO253" i="40"/>
  <c r="CQ253" i="40" s="1"/>
  <c r="CO285" i="40"/>
  <c r="CQ285" i="40" s="1"/>
  <c r="CO317" i="40"/>
  <c r="CQ317" i="40" s="1"/>
  <c r="CO349" i="40"/>
  <c r="CQ349" i="40" s="1"/>
  <c r="CO381" i="40"/>
  <c r="CQ381" i="40" s="1"/>
  <c r="CO413" i="40"/>
  <c r="CQ413" i="40" s="1"/>
  <c r="CO445" i="40"/>
  <c r="CQ445" i="40" s="1"/>
  <c r="CO477" i="40"/>
  <c r="CQ477" i="40" s="1"/>
  <c r="CO509" i="40"/>
  <c r="CQ509" i="40" s="1"/>
  <c r="CO541" i="40"/>
  <c r="CQ541" i="40" s="1"/>
  <c r="CO573" i="40"/>
  <c r="CQ573" i="40" s="1"/>
  <c r="CO605" i="40"/>
  <c r="CQ605" i="40" s="1"/>
  <c r="CO637" i="40"/>
  <c r="CQ637" i="40" s="1"/>
  <c r="CO669" i="40"/>
  <c r="CQ669" i="40" s="1"/>
  <c r="CO30" i="40"/>
  <c r="CQ30" i="40" s="1"/>
  <c r="CO62" i="40"/>
  <c r="CQ62" i="40" s="1"/>
  <c r="CO94" i="40"/>
  <c r="CQ94" i="40" s="1"/>
  <c r="CO126" i="40"/>
  <c r="CQ126" i="40" s="1"/>
  <c r="CO158" i="40"/>
  <c r="CQ158" i="40" s="1"/>
  <c r="CO190" i="40"/>
  <c r="CQ190" i="40" s="1"/>
  <c r="CO222" i="40"/>
  <c r="CQ222" i="40" s="1"/>
  <c r="CO254" i="40"/>
  <c r="CQ254" i="40" s="1"/>
  <c r="CO286" i="40"/>
  <c r="CQ286" i="40" s="1"/>
  <c r="CO318" i="40"/>
  <c r="CQ318" i="40" s="1"/>
  <c r="CO350" i="40"/>
  <c r="CQ350" i="40" s="1"/>
  <c r="CO382" i="40"/>
  <c r="CQ382" i="40" s="1"/>
  <c r="CO414" i="40"/>
  <c r="CQ414" i="40" s="1"/>
  <c r="CO446" i="40"/>
  <c r="CQ446" i="40" s="1"/>
  <c r="CO478" i="40"/>
  <c r="CQ478" i="40" s="1"/>
  <c r="CO510" i="40"/>
  <c r="CQ510" i="40" s="1"/>
  <c r="CO542" i="40"/>
  <c r="CQ542" i="40" s="1"/>
  <c r="CO574" i="40"/>
  <c r="CQ574" i="40" s="1"/>
  <c r="CO606" i="40"/>
  <c r="CQ606" i="40" s="1"/>
  <c r="CO638" i="40"/>
  <c r="CQ638" i="40" s="1"/>
  <c r="CO670" i="40"/>
  <c r="CQ670" i="40" s="1"/>
  <c r="CO31" i="40"/>
  <c r="CQ31" i="40" s="1"/>
  <c r="CO63" i="40"/>
  <c r="CQ63" i="40" s="1"/>
  <c r="CO95" i="40"/>
  <c r="CQ95" i="40" s="1"/>
  <c r="CO127" i="40"/>
  <c r="CQ127" i="40" s="1"/>
  <c r="CO159" i="40"/>
  <c r="CQ159" i="40" s="1"/>
  <c r="CO191" i="40"/>
  <c r="CQ191" i="40" s="1"/>
  <c r="CO223" i="40"/>
  <c r="CQ223" i="40" s="1"/>
  <c r="CO255" i="40"/>
  <c r="CQ255" i="40" s="1"/>
  <c r="CO287" i="40"/>
  <c r="CQ287" i="40" s="1"/>
  <c r="CO319" i="40"/>
  <c r="CQ319" i="40" s="1"/>
  <c r="CO351" i="40"/>
  <c r="CQ351" i="40" s="1"/>
  <c r="CO383" i="40"/>
  <c r="CQ383" i="40" s="1"/>
  <c r="CO415" i="40"/>
  <c r="CQ415" i="40" s="1"/>
  <c r="CO447" i="40"/>
  <c r="CQ447" i="40" s="1"/>
  <c r="CO479" i="40"/>
  <c r="CQ479" i="40" s="1"/>
  <c r="CO511" i="40"/>
  <c r="CQ511" i="40" s="1"/>
  <c r="CO543" i="40"/>
  <c r="CQ543" i="40" s="1"/>
  <c r="CO575" i="40"/>
  <c r="CQ575" i="40" s="1"/>
  <c r="CO607" i="40"/>
  <c r="CQ607" i="40" s="1"/>
  <c r="CO639" i="40"/>
  <c r="CQ639" i="40" s="1"/>
  <c r="CO671" i="40"/>
  <c r="CQ671" i="40" s="1"/>
  <c r="CO64" i="40"/>
  <c r="CQ64" i="40" s="1"/>
  <c r="CO96" i="40"/>
  <c r="CQ96" i="40" s="1"/>
  <c r="CO128" i="40"/>
  <c r="CQ128" i="40" s="1"/>
  <c r="CO160" i="40"/>
  <c r="CQ160" i="40" s="1"/>
  <c r="CO192" i="40"/>
  <c r="CQ192" i="40" s="1"/>
  <c r="CO224" i="40"/>
  <c r="CQ224" i="40" s="1"/>
  <c r="CO256" i="40"/>
  <c r="CQ256" i="40" s="1"/>
  <c r="CO288" i="40"/>
  <c r="CQ288" i="40" s="1"/>
  <c r="CO320" i="40"/>
  <c r="CQ320" i="40" s="1"/>
  <c r="CO352" i="40"/>
  <c r="CQ352" i="40" s="1"/>
  <c r="CO384" i="40"/>
  <c r="CQ384" i="40" s="1"/>
  <c r="CO416" i="40"/>
  <c r="CQ416" i="40" s="1"/>
  <c r="CO448" i="40"/>
  <c r="CQ448" i="40" s="1"/>
  <c r="CO480" i="40"/>
  <c r="CQ480" i="40" s="1"/>
  <c r="CO512" i="40"/>
  <c r="CQ512" i="40" s="1"/>
  <c r="CO544" i="40"/>
  <c r="CQ544" i="40" s="1"/>
  <c r="CO576" i="40"/>
  <c r="CQ576" i="40" s="1"/>
  <c r="CO608" i="40"/>
  <c r="CQ608" i="40" s="1"/>
  <c r="CO640" i="40"/>
  <c r="CQ640" i="40" s="1"/>
  <c r="CO672" i="40"/>
  <c r="CQ672" i="40" s="1"/>
  <c r="CO33" i="40"/>
  <c r="CQ33" i="40" s="1"/>
  <c r="CO65" i="40"/>
  <c r="CO97" i="40"/>
  <c r="CQ97" i="40" s="1"/>
  <c r="CO129" i="40"/>
  <c r="CQ129" i="40" s="1"/>
  <c r="CO161" i="40"/>
  <c r="CQ161" i="40" s="1"/>
  <c r="CO193" i="40"/>
  <c r="CQ193" i="40" s="1"/>
  <c r="CO225" i="40"/>
  <c r="CQ225" i="40" s="1"/>
  <c r="CO257" i="40"/>
  <c r="CQ257" i="40" s="1"/>
  <c r="CO289" i="40"/>
  <c r="CQ289" i="40" s="1"/>
  <c r="CO321" i="40"/>
  <c r="CQ321" i="40" s="1"/>
  <c r="CO353" i="40"/>
  <c r="CQ353" i="40" s="1"/>
  <c r="CO385" i="40"/>
  <c r="CQ385" i="40" s="1"/>
  <c r="CO417" i="40"/>
  <c r="CQ417" i="40" s="1"/>
  <c r="CO449" i="40"/>
  <c r="CQ449" i="40" s="1"/>
  <c r="CO481" i="40"/>
  <c r="CQ481" i="40" s="1"/>
  <c r="CO513" i="40"/>
  <c r="CQ513" i="40" s="1"/>
  <c r="CO545" i="40"/>
  <c r="CQ545" i="40" s="1"/>
  <c r="CO577" i="40"/>
  <c r="CQ577" i="40" s="1"/>
  <c r="CO609" i="40"/>
  <c r="CQ609" i="40" s="1"/>
  <c r="CO641" i="40"/>
  <c r="CQ641" i="40" s="1"/>
  <c r="CO673" i="40"/>
  <c r="CQ673" i="40" s="1"/>
  <c r="CO34" i="40"/>
  <c r="CQ34" i="40" s="1"/>
  <c r="CO66" i="40"/>
  <c r="CQ66" i="40" s="1"/>
  <c r="CO98" i="40"/>
  <c r="CQ98" i="40" s="1"/>
  <c r="CO130" i="40"/>
  <c r="CQ130" i="40" s="1"/>
  <c r="CO162" i="40"/>
  <c r="CQ162" i="40" s="1"/>
  <c r="CO194" i="40"/>
  <c r="CQ194" i="40" s="1"/>
  <c r="CO226" i="40"/>
  <c r="CQ226" i="40" s="1"/>
  <c r="CO258" i="40"/>
  <c r="CQ258" i="40" s="1"/>
  <c r="CO290" i="40"/>
  <c r="CQ290" i="40" s="1"/>
  <c r="CO322" i="40"/>
  <c r="CQ322" i="40" s="1"/>
  <c r="CO354" i="40"/>
  <c r="CQ354" i="40" s="1"/>
  <c r="CO386" i="40"/>
  <c r="CQ386" i="40" s="1"/>
  <c r="CO418" i="40"/>
  <c r="CQ418" i="40" s="1"/>
  <c r="CO450" i="40"/>
  <c r="CQ450" i="40" s="1"/>
  <c r="CO482" i="40"/>
  <c r="CQ482" i="40" s="1"/>
  <c r="CO514" i="40"/>
  <c r="CQ514" i="40" s="1"/>
  <c r="CO546" i="40"/>
  <c r="CQ546" i="40" s="1"/>
  <c r="CO578" i="40"/>
  <c r="CQ578" i="40" s="1"/>
  <c r="CO610" i="40"/>
  <c r="CQ610" i="40" s="1"/>
  <c r="CO642" i="40"/>
  <c r="CQ642" i="40" s="1"/>
  <c r="CO674" i="40"/>
  <c r="CQ674" i="40" s="1"/>
  <c r="CO35" i="40"/>
  <c r="CQ35" i="40" s="1"/>
  <c r="CO67" i="40"/>
  <c r="CQ67" i="40" s="1"/>
  <c r="CO99" i="40"/>
  <c r="CQ99" i="40" s="1"/>
  <c r="CO131" i="40"/>
  <c r="CQ131" i="40" s="1"/>
  <c r="CO163" i="40"/>
  <c r="CQ163" i="40" s="1"/>
  <c r="CO195" i="40"/>
  <c r="CQ195" i="40" s="1"/>
  <c r="CO227" i="40"/>
  <c r="CQ227" i="40" s="1"/>
  <c r="CO259" i="40"/>
  <c r="CQ259" i="40" s="1"/>
  <c r="CO291" i="40"/>
  <c r="CQ291" i="40" s="1"/>
  <c r="CO323" i="40"/>
  <c r="CQ323" i="40" s="1"/>
  <c r="CO355" i="40"/>
  <c r="CQ355" i="40" s="1"/>
  <c r="CO387" i="40"/>
  <c r="CQ387" i="40" s="1"/>
  <c r="CO419" i="40"/>
  <c r="CQ419" i="40" s="1"/>
  <c r="CO451" i="40"/>
  <c r="CQ451" i="40" s="1"/>
  <c r="CO483" i="40"/>
  <c r="CQ483" i="40" s="1"/>
  <c r="CO515" i="40"/>
  <c r="CQ515" i="40" s="1"/>
  <c r="CO547" i="40"/>
  <c r="CQ547" i="40" s="1"/>
  <c r="CO579" i="40"/>
  <c r="CQ579" i="40" s="1"/>
  <c r="CO611" i="40"/>
  <c r="CQ611" i="40" s="1"/>
  <c r="CO643" i="40"/>
  <c r="CQ643" i="40" s="1"/>
  <c r="CO675" i="40"/>
  <c r="CQ675" i="40" s="1"/>
  <c r="CO36" i="40"/>
  <c r="CQ36" i="40" s="1"/>
  <c r="CO68" i="40"/>
  <c r="CQ68" i="40" s="1"/>
  <c r="CO100" i="40"/>
  <c r="CQ100" i="40" s="1"/>
  <c r="CO132" i="40"/>
  <c r="CQ132" i="40" s="1"/>
  <c r="CO164" i="40"/>
  <c r="CQ164" i="40" s="1"/>
  <c r="CO196" i="40"/>
  <c r="CQ196" i="40" s="1"/>
  <c r="CO228" i="40"/>
  <c r="CQ228" i="40" s="1"/>
  <c r="CO260" i="40"/>
  <c r="CQ260" i="40" s="1"/>
  <c r="CO292" i="40"/>
  <c r="CQ292" i="40" s="1"/>
  <c r="CO324" i="40"/>
  <c r="CQ324" i="40" s="1"/>
  <c r="CO356" i="40"/>
  <c r="CQ356" i="40" s="1"/>
  <c r="CO388" i="40"/>
  <c r="CQ388" i="40" s="1"/>
  <c r="CO420" i="40"/>
  <c r="CQ420" i="40" s="1"/>
  <c r="CO452" i="40"/>
  <c r="CQ452" i="40" s="1"/>
  <c r="CO484" i="40"/>
  <c r="CQ484" i="40" s="1"/>
  <c r="CO516" i="40"/>
  <c r="CQ516" i="40" s="1"/>
  <c r="CO548" i="40"/>
  <c r="CQ548" i="40" s="1"/>
  <c r="CO580" i="40"/>
  <c r="CQ580" i="40" s="1"/>
  <c r="CO612" i="40"/>
  <c r="CQ612" i="40" s="1"/>
  <c r="CO644" i="40"/>
  <c r="CQ644" i="40" s="1"/>
  <c r="CO676" i="40"/>
  <c r="CQ676" i="40" s="1"/>
  <c r="CO37" i="40"/>
  <c r="CQ37" i="40" s="1"/>
  <c r="CO69" i="40"/>
  <c r="CQ69" i="40" s="1"/>
  <c r="CO101" i="40"/>
  <c r="CQ101" i="40" s="1"/>
  <c r="CO133" i="40"/>
  <c r="CQ133" i="40" s="1"/>
  <c r="CO165" i="40"/>
  <c r="CQ165" i="40" s="1"/>
  <c r="CO197" i="40"/>
  <c r="CQ197" i="40" s="1"/>
  <c r="CO229" i="40"/>
  <c r="CQ229" i="40" s="1"/>
  <c r="CO261" i="40"/>
  <c r="CQ261" i="40" s="1"/>
  <c r="CO293" i="40"/>
  <c r="CQ293" i="40" s="1"/>
  <c r="CO325" i="40"/>
  <c r="CQ325" i="40" s="1"/>
  <c r="CO357" i="40"/>
  <c r="CQ357" i="40" s="1"/>
  <c r="CO389" i="40"/>
  <c r="CQ389" i="40" s="1"/>
  <c r="CO421" i="40"/>
  <c r="CQ421" i="40" s="1"/>
  <c r="CO453" i="40"/>
  <c r="CQ453" i="40" s="1"/>
  <c r="CO485" i="40"/>
  <c r="CQ485" i="40" s="1"/>
  <c r="CO517" i="40"/>
  <c r="CQ517" i="40" s="1"/>
  <c r="CO549" i="40"/>
  <c r="CQ549" i="40" s="1"/>
  <c r="CO581" i="40"/>
  <c r="CQ581" i="40" s="1"/>
  <c r="CO613" i="40"/>
  <c r="CQ613" i="40" s="1"/>
  <c r="CO645" i="40"/>
  <c r="CQ645" i="40" s="1"/>
  <c r="CO677" i="40"/>
  <c r="CQ677" i="40" s="1"/>
  <c r="CO70" i="40"/>
  <c r="CQ70" i="40" s="1"/>
  <c r="CO102" i="40"/>
  <c r="CQ102" i="40" s="1"/>
  <c r="CO134" i="40"/>
  <c r="CQ134" i="40" s="1"/>
  <c r="CO166" i="40"/>
  <c r="CQ166" i="40" s="1"/>
  <c r="CO198" i="40"/>
  <c r="CQ198" i="40" s="1"/>
  <c r="CO230" i="40"/>
  <c r="CQ230" i="40" s="1"/>
  <c r="CO262" i="40"/>
  <c r="CQ262" i="40" s="1"/>
  <c r="CO294" i="40"/>
  <c r="CQ294" i="40" s="1"/>
  <c r="CO326" i="40"/>
  <c r="CQ326" i="40" s="1"/>
  <c r="CO358" i="40"/>
  <c r="CQ358" i="40" s="1"/>
  <c r="CO390" i="40"/>
  <c r="CQ390" i="40" s="1"/>
  <c r="CO422" i="40"/>
  <c r="CQ422" i="40" s="1"/>
  <c r="CO454" i="40"/>
  <c r="CQ454" i="40" s="1"/>
  <c r="CO486" i="40"/>
  <c r="CQ486" i="40" s="1"/>
  <c r="CO518" i="40"/>
  <c r="CQ518" i="40" s="1"/>
  <c r="CO550" i="40"/>
  <c r="CQ550" i="40" s="1"/>
  <c r="CO582" i="40"/>
  <c r="CQ582" i="40" s="1"/>
  <c r="CO614" i="40"/>
  <c r="CQ614" i="40" s="1"/>
  <c r="CO646" i="40"/>
  <c r="CQ646" i="40" s="1"/>
  <c r="CO678" i="40"/>
  <c r="CQ678" i="40" s="1"/>
  <c r="CO39" i="40"/>
  <c r="CQ39" i="40" s="1"/>
  <c r="CO71" i="40"/>
  <c r="CQ71" i="40" s="1"/>
  <c r="CO103" i="40"/>
  <c r="CQ103" i="40" s="1"/>
  <c r="CO135" i="40"/>
  <c r="CQ135" i="40" s="1"/>
  <c r="CO167" i="40"/>
  <c r="CQ167" i="40" s="1"/>
  <c r="CO199" i="40"/>
  <c r="CQ199" i="40" s="1"/>
  <c r="CO231" i="40"/>
  <c r="CQ231" i="40" s="1"/>
  <c r="CO263" i="40"/>
  <c r="CQ263" i="40" s="1"/>
  <c r="CO295" i="40"/>
  <c r="CQ295" i="40" s="1"/>
  <c r="CO327" i="40"/>
  <c r="CQ327" i="40" s="1"/>
  <c r="CO359" i="40"/>
  <c r="CQ359" i="40" s="1"/>
  <c r="CO391" i="40"/>
  <c r="CQ391" i="40" s="1"/>
  <c r="CO423" i="40"/>
  <c r="CQ423" i="40" s="1"/>
  <c r="CO455" i="40"/>
  <c r="CQ455" i="40" s="1"/>
  <c r="CO487" i="40"/>
  <c r="CQ487" i="40" s="1"/>
  <c r="CO519" i="40"/>
  <c r="CQ519" i="40" s="1"/>
  <c r="CO551" i="40"/>
  <c r="CQ551" i="40" s="1"/>
  <c r="CO583" i="40"/>
  <c r="CQ583" i="40" s="1"/>
  <c r="CO615" i="40"/>
  <c r="CQ615" i="40" s="1"/>
  <c r="CO647" i="40"/>
  <c r="CQ647" i="40" s="1"/>
  <c r="CO679" i="40"/>
  <c r="CQ679" i="40" s="1"/>
  <c r="CO40" i="40"/>
  <c r="CQ40" i="40" s="1"/>
  <c r="CO72" i="40"/>
  <c r="CQ72" i="40" s="1"/>
  <c r="CO104" i="40"/>
  <c r="CQ104" i="40" s="1"/>
  <c r="CO136" i="40"/>
  <c r="CQ136" i="40" s="1"/>
  <c r="CO168" i="40"/>
  <c r="CQ168" i="40" s="1"/>
  <c r="CO200" i="40"/>
  <c r="CQ200" i="40" s="1"/>
  <c r="CO232" i="40"/>
  <c r="CQ232" i="40" s="1"/>
  <c r="CO264" i="40"/>
  <c r="CQ264" i="40" s="1"/>
  <c r="CO296" i="40"/>
  <c r="CQ296" i="40" s="1"/>
  <c r="CO328" i="40"/>
  <c r="CQ328" i="40" s="1"/>
  <c r="CO360" i="40"/>
  <c r="CQ360" i="40" s="1"/>
  <c r="CO392" i="40"/>
  <c r="CQ392" i="40" s="1"/>
  <c r="CO424" i="40"/>
  <c r="CQ424" i="40" s="1"/>
  <c r="CO456" i="40"/>
  <c r="CQ456" i="40" s="1"/>
  <c r="CO488" i="40"/>
  <c r="CQ488" i="40" s="1"/>
  <c r="CO520" i="40"/>
  <c r="CQ520" i="40" s="1"/>
  <c r="CO552" i="40"/>
  <c r="CQ552" i="40" s="1"/>
  <c r="CO584" i="40"/>
  <c r="CQ584" i="40" s="1"/>
  <c r="CO616" i="40"/>
  <c r="CQ616" i="40" s="1"/>
  <c r="CO648" i="40"/>
  <c r="CQ648" i="40" s="1"/>
  <c r="CO680" i="40"/>
  <c r="CQ680" i="40" s="1"/>
  <c r="CO41" i="40"/>
  <c r="CQ41" i="40" s="1"/>
  <c r="CO73" i="40"/>
  <c r="CQ73" i="40" s="1"/>
  <c r="CO105" i="40"/>
  <c r="CQ105" i="40" s="1"/>
  <c r="CO137" i="40"/>
  <c r="CQ137" i="40" s="1"/>
  <c r="CO169" i="40"/>
  <c r="CQ169" i="40" s="1"/>
  <c r="CO201" i="40"/>
  <c r="CQ201" i="40" s="1"/>
  <c r="CO233" i="40"/>
  <c r="CQ233" i="40" s="1"/>
  <c r="CO265" i="40"/>
  <c r="CQ265" i="40" s="1"/>
  <c r="CO297" i="40"/>
  <c r="CQ297" i="40" s="1"/>
  <c r="CO329" i="40"/>
  <c r="CQ329" i="40" s="1"/>
  <c r="CO361" i="40"/>
  <c r="CQ361" i="40" s="1"/>
  <c r="CO393" i="40"/>
  <c r="CQ393" i="40" s="1"/>
  <c r="CO425" i="40"/>
  <c r="CQ425" i="40" s="1"/>
  <c r="CO457" i="40"/>
  <c r="CQ457" i="40" s="1"/>
  <c r="CO489" i="40"/>
  <c r="CQ489" i="40" s="1"/>
  <c r="CO521" i="40"/>
  <c r="CQ521" i="40" s="1"/>
  <c r="CO553" i="40"/>
  <c r="CQ553" i="40" s="1"/>
  <c r="CO585" i="40"/>
  <c r="CQ585" i="40" s="1"/>
  <c r="CO617" i="40"/>
  <c r="CQ617" i="40" s="1"/>
  <c r="CO649" i="40"/>
  <c r="CQ649" i="40" s="1"/>
  <c r="CO42" i="40"/>
  <c r="CQ42" i="40" s="1"/>
  <c r="CO74" i="40"/>
  <c r="CQ74" i="40" s="1"/>
  <c r="CO106" i="40"/>
  <c r="CQ106" i="40" s="1"/>
  <c r="CO138" i="40"/>
  <c r="CQ138" i="40" s="1"/>
  <c r="CO170" i="40"/>
  <c r="CQ170" i="40" s="1"/>
  <c r="CO202" i="40"/>
  <c r="CQ202" i="40" s="1"/>
  <c r="CO234" i="40"/>
  <c r="CQ234" i="40" s="1"/>
  <c r="CO266" i="40"/>
  <c r="CQ266" i="40" s="1"/>
  <c r="CO298" i="40"/>
  <c r="CQ298" i="40" s="1"/>
  <c r="CO330" i="40"/>
  <c r="CQ330" i="40" s="1"/>
  <c r="CO362" i="40"/>
  <c r="CQ362" i="40" s="1"/>
  <c r="CO394" i="40"/>
  <c r="CQ394" i="40" s="1"/>
  <c r="CO426" i="40"/>
  <c r="CQ426" i="40" s="1"/>
  <c r="CO458" i="40"/>
  <c r="CQ458" i="40" s="1"/>
  <c r="CO490" i="40"/>
  <c r="CQ490" i="40" s="1"/>
  <c r="CO522" i="40"/>
  <c r="CQ522" i="40" s="1"/>
  <c r="CO554" i="40"/>
  <c r="CQ554" i="40" s="1"/>
  <c r="CO586" i="40"/>
  <c r="CQ586" i="40" s="1"/>
  <c r="CO618" i="40"/>
  <c r="CQ618" i="40" s="1"/>
  <c r="CO650" i="40"/>
  <c r="CQ650" i="40" s="1"/>
  <c r="CO43" i="40"/>
  <c r="CQ43" i="40" s="1"/>
  <c r="CO75" i="40"/>
  <c r="CQ75" i="40" s="1"/>
  <c r="CO107" i="40"/>
  <c r="CQ107" i="40" s="1"/>
  <c r="CO139" i="40"/>
  <c r="CQ139" i="40" s="1"/>
  <c r="CO171" i="40"/>
  <c r="CQ171" i="40" s="1"/>
  <c r="CO203" i="40"/>
  <c r="CQ203" i="40" s="1"/>
  <c r="CO235" i="40"/>
  <c r="CQ235" i="40" s="1"/>
  <c r="CO267" i="40"/>
  <c r="CQ267" i="40" s="1"/>
  <c r="CO299" i="40"/>
  <c r="CQ299" i="40" s="1"/>
  <c r="CO331" i="40"/>
  <c r="CQ331" i="40" s="1"/>
  <c r="CO363" i="40"/>
  <c r="CQ363" i="40" s="1"/>
  <c r="CO395" i="40"/>
  <c r="CQ395" i="40" s="1"/>
  <c r="CO427" i="40"/>
  <c r="CQ427" i="40" s="1"/>
  <c r="CO459" i="40"/>
  <c r="CQ459" i="40" s="1"/>
  <c r="CO491" i="40"/>
  <c r="CQ491" i="40" s="1"/>
  <c r="CO523" i="40"/>
  <c r="CQ523" i="40" s="1"/>
  <c r="CO555" i="40"/>
  <c r="CQ555" i="40" s="1"/>
  <c r="CO587" i="40"/>
  <c r="CQ587" i="40" s="1"/>
  <c r="CO619" i="40"/>
  <c r="CQ619" i="40" s="1"/>
  <c r="CO651" i="40"/>
  <c r="CQ651" i="40" s="1"/>
  <c r="CO44" i="40"/>
  <c r="CQ44" i="40" s="1"/>
  <c r="CO76" i="40"/>
  <c r="CQ76" i="40" s="1"/>
  <c r="CO108" i="40"/>
  <c r="CQ108" i="40" s="1"/>
  <c r="CO140" i="40"/>
  <c r="CQ140" i="40" s="1"/>
  <c r="CO172" i="40"/>
  <c r="CQ172" i="40" s="1"/>
  <c r="CO204" i="40"/>
  <c r="CQ204" i="40" s="1"/>
  <c r="CO236" i="40"/>
  <c r="CQ236" i="40" s="1"/>
  <c r="CO268" i="40"/>
  <c r="CQ268" i="40" s="1"/>
  <c r="CO300" i="40"/>
  <c r="CQ300" i="40" s="1"/>
  <c r="CO332" i="40"/>
  <c r="CQ332" i="40" s="1"/>
  <c r="CO364" i="40"/>
  <c r="CQ364" i="40" s="1"/>
  <c r="CO396" i="40"/>
  <c r="CQ396" i="40" s="1"/>
  <c r="CO428" i="40"/>
  <c r="CQ428" i="40" s="1"/>
  <c r="CO460" i="40"/>
  <c r="CQ460" i="40" s="1"/>
  <c r="CO492" i="40"/>
  <c r="CQ492" i="40" s="1"/>
  <c r="CO524" i="40"/>
  <c r="CQ524" i="40" s="1"/>
  <c r="CO556" i="40"/>
  <c r="CQ556" i="40" s="1"/>
  <c r="CO588" i="40"/>
  <c r="CQ588" i="40" s="1"/>
  <c r="CO620" i="40"/>
  <c r="CQ620" i="40" s="1"/>
  <c r="CO652" i="40"/>
  <c r="CQ652" i="40" s="1"/>
  <c r="CO13" i="40"/>
  <c r="CQ13" i="40" s="1"/>
  <c r="CO45" i="40"/>
  <c r="CQ45" i="40" s="1"/>
  <c r="CO77" i="40"/>
  <c r="CQ77" i="40" s="1"/>
  <c r="CO109" i="40"/>
  <c r="CQ109" i="40" s="1"/>
  <c r="CO141" i="40"/>
  <c r="CQ141" i="40" s="1"/>
  <c r="CO173" i="40"/>
  <c r="CQ173" i="40" s="1"/>
  <c r="CO205" i="40"/>
  <c r="CQ205" i="40" s="1"/>
  <c r="CO237" i="40"/>
  <c r="CQ237" i="40" s="1"/>
  <c r="CO269" i="40"/>
  <c r="CQ269" i="40" s="1"/>
  <c r="CO301" i="40"/>
  <c r="CQ301" i="40" s="1"/>
  <c r="CO333" i="40"/>
  <c r="CQ333" i="40" s="1"/>
  <c r="CO365" i="40"/>
  <c r="CQ365" i="40" s="1"/>
  <c r="CO397" i="40"/>
  <c r="CQ397" i="40" s="1"/>
  <c r="CO429" i="40"/>
  <c r="CQ429" i="40" s="1"/>
  <c r="CO461" i="40"/>
  <c r="CQ461" i="40" s="1"/>
  <c r="CO493" i="40"/>
  <c r="CQ493" i="40" s="1"/>
  <c r="CO525" i="40"/>
  <c r="CQ525" i="40" s="1"/>
  <c r="CO557" i="40"/>
  <c r="CQ557" i="40" s="1"/>
  <c r="CO589" i="40"/>
  <c r="CQ589" i="40" s="1"/>
  <c r="CO621" i="40"/>
  <c r="CQ621" i="40" s="1"/>
  <c r="CO653" i="40"/>
  <c r="CQ653" i="40" s="1"/>
  <c r="CO334" i="40"/>
  <c r="CQ334" i="40" s="1"/>
  <c r="CO366" i="40"/>
  <c r="CQ366" i="40" s="1"/>
  <c r="CO398" i="40"/>
  <c r="CQ398" i="40" s="1"/>
  <c r="CO430" i="40"/>
  <c r="CQ430" i="40" s="1"/>
  <c r="CO462" i="40"/>
  <c r="CQ462" i="40" s="1"/>
  <c r="CO494" i="40"/>
  <c r="CQ494" i="40" s="1"/>
  <c r="CO526" i="40"/>
  <c r="CQ526" i="40" s="1"/>
  <c r="CO558" i="40"/>
  <c r="CQ558" i="40" s="1"/>
  <c r="CO590" i="40"/>
  <c r="CQ590" i="40" s="1"/>
  <c r="CO622" i="40"/>
  <c r="CQ622" i="40" s="1"/>
  <c r="CO654" i="40"/>
  <c r="CQ654" i="40" s="1"/>
  <c r="CO14" i="40"/>
  <c r="CQ14" i="40" s="1"/>
  <c r="CO46" i="40"/>
  <c r="CQ46" i="40" s="1"/>
  <c r="CO78" i="40"/>
  <c r="CQ78" i="40" s="1"/>
  <c r="CO110" i="40"/>
  <c r="CQ110" i="40" s="1"/>
  <c r="CO142" i="40"/>
  <c r="CQ142" i="40" s="1"/>
  <c r="CO174" i="40"/>
  <c r="CQ174" i="40" s="1"/>
  <c r="CO206" i="40"/>
  <c r="CQ206" i="40" s="1"/>
  <c r="CO238" i="40"/>
  <c r="CQ238" i="40" s="1"/>
  <c r="CO270" i="40"/>
  <c r="CQ270" i="40" s="1"/>
  <c r="CO302" i="40"/>
  <c r="CQ302" i="40" s="1"/>
  <c r="CB16" i="40"/>
  <c r="CD16" i="40" s="1"/>
  <c r="CB48" i="40"/>
  <c r="CD48" i="40" s="1"/>
  <c r="CB112" i="40"/>
  <c r="CD112" i="40" s="1"/>
  <c r="CB144" i="40"/>
  <c r="CD144" i="40" s="1"/>
  <c r="CB176" i="40"/>
  <c r="CD176" i="40" s="1"/>
  <c r="CB208" i="40"/>
  <c r="CD208" i="40" s="1"/>
  <c r="CB240" i="40"/>
  <c r="CD240" i="40" s="1"/>
  <c r="CB272" i="40"/>
  <c r="CD272" i="40" s="1"/>
  <c r="CB304" i="40"/>
  <c r="CD304" i="40" s="1"/>
  <c r="CB336" i="40"/>
  <c r="CD336" i="40" s="1"/>
  <c r="CB368" i="40"/>
  <c r="CD368" i="40" s="1"/>
  <c r="CB400" i="40"/>
  <c r="CD400" i="40" s="1"/>
  <c r="CB432" i="40"/>
  <c r="CD432" i="40" s="1"/>
  <c r="CB464" i="40"/>
  <c r="CD464" i="40" s="1"/>
  <c r="CB496" i="40"/>
  <c r="CD496" i="40" s="1"/>
  <c r="CB528" i="40"/>
  <c r="CD528" i="40" s="1"/>
  <c r="CB560" i="40"/>
  <c r="CD560" i="40" s="1"/>
  <c r="CB592" i="40"/>
  <c r="CD592" i="40" s="1"/>
  <c r="CB624" i="40"/>
  <c r="CD624" i="40" s="1"/>
  <c r="CB656" i="40"/>
  <c r="CD656" i="40" s="1"/>
  <c r="CB17" i="40"/>
  <c r="CD17" i="40" s="1"/>
  <c r="CB49" i="40"/>
  <c r="CD49" i="40" s="1"/>
  <c r="CB81" i="40"/>
  <c r="CD81" i="40" s="1"/>
  <c r="CB113" i="40"/>
  <c r="CD113" i="40" s="1"/>
  <c r="CB145" i="40"/>
  <c r="CD145" i="40" s="1"/>
  <c r="CB177" i="40"/>
  <c r="CD177" i="40" s="1"/>
  <c r="CB209" i="40"/>
  <c r="CD209" i="40" s="1"/>
  <c r="CB241" i="40"/>
  <c r="CD241" i="40" s="1"/>
  <c r="CB273" i="40"/>
  <c r="CD273" i="40" s="1"/>
  <c r="CB305" i="40"/>
  <c r="CD305" i="40" s="1"/>
  <c r="CB337" i="40"/>
  <c r="CD337" i="40" s="1"/>
  <c r="CB369" i="40"/>
  <c r="CD369" i="40" s="1"/>
  <c r="CB401" i="40"/>
  <c r="CD401" i="40" s="1"/>
  <c r="CB433" i="40"/>
  <c r="CD433" i="40" s="1"/>
  <c r="CB465" i="40"/>
  <c r="CD465" i="40" s="1"/>
  <c r="CB497" i="40"/>
  <c r="CD497" i="40" s="1"/>
  <c r="CB529" i="40"/>
  <c r="CD529" i="40" s="1"/>
  <c r="CB561" i="40"/>
  <c r="CD561" i="40" s="1"/>
  <c r="CB593" i="40"/>
  <c r="CD593" i="40" s="1"/>
  <c r="CB625" i="40"/>
  <c r="CD625" i="40" s="1"/>
  <c r="CB657" i="40"/>
  <c r="CD657" i="40" s="1"/>
  <c r="CB18" i="40"/>
  <c r="CD18" i="40" s="1"/>
  <c r="CB50" i="40"/>
  <c r="CD50" i="40" s="1"/>
  <c r="CB82" i="40"/>
  <c r="CD82" i="40" s="1"/>
  <c r="CB114" i="40"/>
  <c r="CD114" i="40" s="1"/>
  <c r="CB146" i="40"/>
  <c r="CD146" i="40" s="1"/>
  <c r="CB178" i="40"/>
  <c r="CD178" i="40" s="1"/>
  <c r="CB210" i="40"/>
  <c r="CD210" i="40" s="1"/>
  <c r="CB242" i="40"/>
  <c r="CD242" i="40" s="1"/>
  <c r="CB274" i="40"/>
  <c r="CD274" i="40" s="1"/>
  <c r="CB306" i="40"/>
  <c r="CD306" i="40" s="1"/>
  <c r="CB338" i="40"/>
  <c r="CD338" i="40" s="1"/>
  <c r="CB370" i="40"/>
  <c r="CD370" i="40" s="1"/>
  <c r="CB402" i="40"/>
  <c r="CD402" i="40" s="1"/>
  <c r="CB434" i="40"/>
  <c r="CD434" i="40" s="1"/>
  <c r="CB466" i="40"/>
  <c r="CD466" i="40" s="1"/>
  <c r="CB498" i="40"/>
  <c r="CD498" i="40" s="1"/>
  <c r="CB530" i="40"/>
  <c r="CD530" i="40" s="1"/>
  <c r="CB562" i="40"/>
  <c r="CD562" i="40" s="1"/>
  <c r="CB594" i="40"/>
  <c r="CD594" i="40" s="1"/>
  <c r="CB626" i="40"/>
  <c r="CD626" i="40" s="1"/>
  <c r="CB658" i="40"/>
  <c r="CD658" i="40" s="1"/>
  <c r="CB51" i="40"/>
  <c r="CD51" i="40" s="1"/>
  <c r="CB83" i="40"/>
  <c r="CD83" i="40" s="1"/>
  <c r="CB115" i="40"/>
  <c r="CD115" i="40" s="1"/>
  <c r="CB147" i="40"/>
  <c r="CD147" i="40" s="1"/>
  <c r="CB179" i="40"/>
  <c r="CD179" i="40" s="1"/>
  <c r="CB211" i="40"/>
  <c r="CD211" i="40" s="1"/>
  <c r="CB243" i="40"/>
  <c r="CD243" i="40" s="1"/>
  <c r="CB275" i="40"/>
  <c r="CD275" i="40" s="1"/>
  <c r="CB307" i="40"/>
  <c r="CD307" i="40" s="1"/>
  <c r="CB339" i="40"/>
  <c r="CD339" i="40" s="1"/>
  <c r="CB371" i="40"/>
  <c r="CD371" i="40" s="1"/>
  <c r="CB403" i="40"/>
  <c r="CD403" i="40" s="1"/>
  <c r="CB435" i="40"/>
  <c r="CD435" i="40" s="1"/>
  <c r="CB467" i="40"/>
  <c r="CD467" i="40" s="1"/>
  <c r="CB499" i="40"/>
  <c r="CD499" i="40" s="1"/>
  <c r="CB531" i="40"/>
  <c r="CD531" i="40" s="1"/>
  <c r="CB563" i="40"/>
  <c r="CD563" i="40" s="1"/>
  <c r="CB595" i="40"/>
  <c r="CD595" i="40" s="1"/>
  <c r="CB627" i="40"/>
  <c r="CD627" i="40" s="1"/>
  <c r="CB659" i="40"/>
  <c r="CD659" i="40" s="1"/>
  <c r="CB20" i="40"/>
  <c r="CD20" i="40" s="1"/>
  <c r="CB52" i="40"/>
  <c r="CD52" i="40" s="1"/>
  <c r="CB116" i="40"/>
  <c r="CD116" i="40" s="1"/>
  <c r="CB148" i="40"/>
  <c r="CD148" i="40" s="1"/>
  <c r="CB180" i="40"/>
  <c r="CD180" i="40" s="1"/>
  <c r="CB212" i="40"/>
  <c r="CD212" i="40" s="1"/>
  <c r="CB244" i="40"/>
  <c r="CD244" i="40" s="1"/>
  <c r="CB276" i="40"/>
  <c r="CD276" i="40" s="1"/>
  <c r="CB308" i="40"/>
  <c r="CD308" i="40" s="1"/>
  <c r="CB340" i="40"/>
  <c r="CD340" i="40" s="1"/>
  <c r="CB372" i="40"/>
  <c r="CD372" i="40" s="1"/>
  <c r="CB404" i="40"/>
  <c r="CD404" i="40" s="1"/>
  <c r="CB436" i="40"/>
  <c r="CD436" i="40" s="1"/>
  <c r="CB468" i="40"/>
  <c r="CD468" i="40" s="1"/>
  <c r="CB500" i="40"/>
  <c r="CD500" i="40" s="1"/>
  <c r="CB532" i="40"/>
  <c r="CD532" i="40" s="1"/>
  <c r="CB564" i="40"/>
  <c r="CD564" i="40" s="1"/>
  <c r="CB596" i="40"/>
  <c r="CD596" i="40" s="1"/>
  <c r="CB628" i="40"/>
  <c r="CD628" i="40" s="1"/>
  <c r="CB660" i="40"/>
  <c r="CD660" i="40" s="1"/>
  <c r="CB21" i="40"/>
  <c r="CD21" i="40" s="1"/>
  <c r="CB53" i="40"/>
  <c r="CD53" i="40" s="1"/>
  <c r="CB117" i="40"/>
  <c r="CD117" i="40" s="1"/>
  <c r="CB149" i="40"/>
  <c r="CD149" i="40" s="1"/>
  <c r="CB181" i="40"/>
  <c r="CD181" i="40" s="1"/>
  <c r="CB213" i="40"/>
  <c r="CD213" i="40" s="1"/>
  <c r="CB245" i="40"/>
  <c r="CD245" i="40" s="1"/>
  <c r="CB277" i="40"/>
  <c r="CD277" i="40" s="1"/>
  <c r="CB309" i="40"/>
  <c r="CD309" i="40" s="1"/>
  <c r="CB341" i="40"/>
  <c r="CD341" i="40" s="1"/>
  <c r="CB373" i="40"/>
  <c r="CD373" i="40" s="1"/>
  <c r="CB405" i="40"/>
  <c r="CD405" i="40" s="1"/>
  <c r="CB437" i="40"/>
  <c r="CD437" i="40" s="1"/>
  <c r="CB469" i="40"/>
  <c r="CD469" i="40" s="1"/>
  <c r="CB501" i="40"/>
  <c r="CD501" i="40" s="1"/>
  <c r="CB533" i="40"/>
  <c r="CD533" i="40" s="1"/>
  <c r="CB565" i="40"/>
  <c r="CD565" i="40" s="1"/>
  <c r="CB597" i="40"/>
  <c r="CD597" i="40" s="1"/>
  <c r="CB629" i="40"/>
  <c r="CD629" i="40" s="1"/>
  <c r="CB661" i="40"/>
  <c r="CD661" i="40" s="1"/>
  <c r="CB22" i="40"/>
  <c r="CD22" i="40" s="1"/>
  <c r="CB54" i="40"/>
  <c r="CD54" i="40" s="1"/>
  <c r="CB86" i="40"/>
  <c r="CD86" i="40" s="1"/>
  <c r="CB118" i="40"/>
  <c r="CD118" i="40" s="1"/>
  <c r="CB150" i="40"/>
  <c r="CD150" i="40" s="1"/>
  <c r="CB182" i="40"/>
  <c r="CD182" i="40" s="1"/>
  <c r="CB214" i="40"/>
  <c r="CD214" i="40" s="1"/>
  <c r="CB246" i="40"/>
  <c r="CD246" i="40" s="1"/>
  <c r="CB278" i="40"/>
  <c r="CD278" i="40" s="1"/>
  <c r="CB310" i="40"/>
  <c r="CD310" i="40" s="1"/>
  <c r="CB342" i="40"/>
  <c r="CD342" i="40" s="1"/>
  <c r="CB374" i="40"/>
  <c r="CD374" i="40" s="1"/>
  <c r="CB406" i="40"/>
  <c r="CD406" i="40" s="1"/>
  <c r="CB438" i="40"/>
  <c r="CD438" i="40" s="1"/>
  <c r="CB470" i="40"/>
  <c r="CD470" i="40" s="1"/>
  <c r="CB502" i="40"/>
  <c r="CD502" i="40" s="1"/>
  <c r="CB534" i="40"/>
  <c r="CD534" i="40" s="1"/>
  <c r="CB566" i="40"/>
  <c r="CD566" i="40" s="1"/>
  <c r="CB598" i="40"/>
  <c r="CD598" i="40" s="1"/>
  <c r="CB630" i="40"/>
  <c r="CD630" i="40" s="1"/>
  <c r="CB662" i="40"/>
  <c r="CD662" i="40" s="1"/>
  <c r="CB23" i="40"/>
  <c r="CD23" i="40" s="1"/>
  <c r="CB55" i="40"/>
  <c r="CD55" i="40" s="1"/>
  <c r="CB119" i="40"/>
  <c r="CD119" i="40" s="1"/>
  <c r="CB151" i="40"/>
  <c r="CD151" i="40" s="1"/>
  <c r="CB183" i="40"/>
  <c r="CD183" i="40" s="1"/>
  <c r="CB215" i="40"/>
  <c r="CD215" i="40" s="1"/>
  <c r="CB247" i="40"/>
  <c r="CD247" i="40" s="1"/>
  <c r="CB279" i="40"/>
  <c r="CD279" i="40" s="1"/>
  <c r="CB311" i="40"/>
  <c r="CD311" i="40" s="1"/>
  <c r="CB343" i="40"/>
  <c r="CD343" i="40" s="1"/>
  <c r="CB375" i="40"/>
  <c r="CD375" i="40" s="1"/>
  <c r="CB407" i="40"/>
  <c r="CD407" i="40" s="1"/>
  <c r="CB439" i="40"/>
  <c r="CD439" i="40" s="1"/>
  <c r="CB471" i="40"/>
  <c r="CD471" i="40" s="1"/>
  <c r="CB503" i="40"/>
  <c r="CD503" i="40" s="1"/>
  <c r="CB535" i="40"/>
  <c r="CD535" i="40" s="1"/>
  <c r="CB567" i="40"/>
  <c r="CD567" i="40" s="1"/>
  <c r="CB599" i="40"/>
  <c r="CD599" i="40" s="1"/>
  <c r="CB631" i="40"/>
  <c r="CD631" i="40" s="1"/>
  <c r="CB663" i="40"/>
  <c r="CD663" i="40" s="1"/>
  <c r="CB24" i="40"/>
  <c r="CD24" i="40" s="1"/>
  <c r="CB56" i="40"/>
  <c r="CD56" i="40" s="1"/>
  <c r="CB88" i="40"/>
  <c r="CB120" i="40"/>
  <c r="CD120" i="40" s="1"/>
  <c r="CB152" i="40"/>
  <c r="CD152" i="40" s="1"/>
  <c r="CB184" i="40"/>
  <c r="CD184" i="40" s="1"/>
  <c r="CB216" i="40"/>
  <c r="CD216" i="40" s="1"/>
  <c r="CB248" i="40"/>
  <c r="CD248" i="40" s="1"/>
  <c r="CB280" i="40"/>
  <c r="CD280" i="40" s="1"/>
  <c r="CB312" i="40"/>
  <c r="CD312" i="40" s="1"/>
  <c r="CB344" i="40"/>
  <c r="CD344" i="40" s="1"/>
  <c r="CB376" i="40"/>
  <c r="CD376" i="40" s="1"/>
  <c r="CB408" i="40"/>
  <c r="CD408" i="40" s="1"/>
  <c r="CB440" i="40"/>
  <c r="CD440" i="40" s="1"/>
  <c r="CB472" i="40"/>
  <c r="CD472" i="40" s="1"/>
  <c r="CB504" i="40"/>
  <c r="CD504" i="40" s="1"/>
  <c r="CB536" i="40"/>
  <c r="CD536" i="40" s="1"/>
  <c r="CB568" i="40"/>
  <c r="CD568" i="40" s="1"/>
  <c r="CB600" i="40"/>
  <c r="CD600" i="40" s="1"/>
  <c r="CB632" i="40"/>
  <c r="CD632" i="40" s="1"/>
  <c r="CB664" i="40"/>
  <c r="CD664" i="40" s="1"/>
  <c r="CB25" i="40"/>
  <c r="CD25" i="40" s="1"/>
  <c r="CB89" i="40"/>
  <c r="CD89" i="40" s="1"/>
  <c r="CB121" i="40"/>
  <c r="CD121" i="40" s="1"/>
  <c r="CB153" i="40"/>
  <c r="CD153" i="40" s="1"/>
  <c r="CB185" i="40"/>
  <c r="CD185" i="40" s="1"/>
  <c r="CB217" i="40"/>
  <c r="CD217" i="40" s="1"/>
  <c r="CB249" i="40"/>
  <c r="CD249" i="40" s="1"/>
  <c r="CB281" i="40"/>
  <c r="CD281" i="40" s="1"/>
  <c r="CB313" i="40"/>
  <c r="CD313" i="40" s="1"/>
  <c r="CB345" i="40"/>
  <c r="CD345" i="40" s="1"/>
  <c r="CB377" i="40"/>
  <c r="CD377" i="40" s="1"/>
  <c r="CB409" i="40"/>
  <c r="CD409" i="40" s="1"/>
  <c r="CB441" i="40"/>
  <c r="CD441" i="40" s="1"/>
  <c r="CB473" i="40"/>
  <c r="CD473" i="40" s="1"/>
  <c r="CB505" i="40"/>
  <c r="CD505" i="40" s="1"/>
  <c r="CB537" i="40"/>
  <c r="CD537" i="40" s="1"/>
  <c r="CB569" i="40"/>
  <c r="CD569" i="40" s="1"/>
  <c r="CB601" i="40"/>
  <c r="CD601" i="40" s="1"/>
  <c r="CB633" i="40"/>
  <c r="CD633" i="40" s="1"/>
  <c r="CB665" i="40"/>
  <c r="CD665" i="40" s="1"/>
  <c r="CB26" i="40"/>
  <c r="CD26" i="40" s="1"/>
  <c r="CB58" i="40"/>
  <c r="CD58" i="40" s="1"/>
  <c r="CB90" i="40"/>
  <c r="CD90" i="40" s="1"/>
  <c r="CB122" i="40"/>
  <c r="CD122" i="40" s="1"/>
  <c r="CB154" i="40"/>
  <c r="CD154" i="40" s="1"/>
  <c r="CB186" i="40"/>
  <c r="CD186" i="40" s="1"/>
  <c r="CB218" i="40"/>
  <c r="CD218" i="40" s="1"/>
  <c r="CB250" i="40"/>
  <c r="CD250" i="40" s="1"/>
  <c r="CB282" i="40"/>
  <c r="CD282" i="40" s="1"/>
  <c r="CB314" i="40"/>
  <c r="CD314" i="40" s="1"/>
  <c r="CB346" i="40"/>
  <c r="CD346" i="40" s="1"/>
  <c r="CB378" i="40"/>
  <c r="CD378" i="40" s="1"/>
  <c r="CB410" i="40"/>
  <c r="CD410" i="40" s="1"/>
  <c r="CB442" i="40"/>
  <c r="CD442" i="40" s="1"/>
  <c r="CB474" i="40"/>
  <c r="CD474" i="40" s="1"/>
  <c r="CB506" i="40"/>
  <c r="CD506" i="40" s="1"/>
  <c r="CB538" i="40"/>
  <c r="CD538" i="40" s="1"/>
  <c r="CB570" i="40"/>
  <c r="CD570" i="40" s="1"/>
  <c r="CB602" i="40"/>
  <c r="CD602" i="40" s="1"/>
  <c r="CB634" i="40"/>
  <c r="CD634" i="40" s="1"/>
  <c r="CB666" i="40"/>
  <c r="CD666" i="40" s="1"/>
  <c r="CB27" i="40"/>
  <c r="CD27" i="40" s="1"/>
  <c r="CB59" i="40"/>
  <c r="CD59" i="40" s="1"/>
  <c r="CB91" i="40"/>
  <c r="CD91" i="40" s="1"/>
  <c r="CB123" i="40"/>
  <c r="CD123" i="40" s="1"/>
  <c r="CB155" i="40"/>
  <c r="CD155" i="40" s="1"/>
  <c r="CB187" i="40"/>
  <c r="CD187" i="40" s="1"/>
  <c r="CB219" i="40"/>
  <c r="CD219" i="40" s="1"/>
  <c r="CB251" i="40"/>
  <c r="CD251" i="40" s="1"/>
  <c r="CB283" i="40"/>
  <c r="CD283" i="40" s="1"/>
  <c r="CB315" i="40"/>
  <c r="CD315" i="40" s="1"/>
  <c r="CB347" i="40"/>
  <c r="CD347" i="40" s="1"/>
  <c r="CB379" i="40"/>
  <c r="CD379" i="40" s="1"/>
  <c r="CB411" i="40"/>
  <c r="CD411" i="40" s="1"/>
  <c r="CB443" i="40"/>
  <c r="CD443" i="40" s="1"/>
  <c r="CB475" i="40"/>
  <c r="CD475" i="40" s="1"/>
  <c r="CB507" i="40"/>
  <c r="CD507" i="40" s="1"/>
  <c r="CB539" i="40"/>
  <c r="CD539" i="40" s="1"/>
  <c r="CB571" i="40"/>
  <c r="CD571" i="40" s="1"/>
  <c r="CB603" i="40"/>
  <c r="CD603" i="40" s="1"/>
  <c r="CB635" i="40"/>
  <c r="CD635" i="40" s="1"/>
  <c r="CB667" i="40"/>
  <c r="CD667" i="40" s="1"/>
  <c r="CB28" i="40"/>
  <c r="CD28" i="40" s="1"/>
  <c r="CB60" i="40"/>
  <c r="CD60" i="40" s="1"/>
  <c r="CB92" i="40"/>
  <c r="CD92" i="40" s="1"/>
  <c r="CB124" i="40"/>
  <c r="CD124" i="40" s="1"/>
  <c r="CB156" i="40"/>
  <c r="CD156" i="40" s="1"/>
  <c r="CB188" i="40"/>
  <c r="CD188" i="40" s="1"/>
  <c r="CB220" i="40"/>
  <c r="CD220" i="40" s="1"/>
  <c r="CB252" i="40"/>
  <c r="CD252" i="40" s="1"/>
  <c r="CB284" i="40"/>
  <c r="CD284" i="40" s="1"/>
  <c r="CB316" i="40"/>
  <c r="CD316" i="40" s="1"/>
  <c r="CB348" i="40"/>
  <c r="CD348" i="40" s="1"/>
  <c r="CB380" i="40"/>
  <c r="CD380" i="40" s="1"/>
  <c r="CB412" i="40"/>
  <c r="CD412" i="40" s="1"/>
  <c r="CB444" i="40"/>
  <c r="CD444" i="40" s="1"/>
  <c r="CB476" i="40"/>
  <c r="CD476" i="40" s="1"/>
  <c r="CB508" i="40"/>
  <c r="CD508" i="40" s="1"/>
  <c r="CB540" i="40"/>
  <c r="CD540" i="40" s="1"/>
  <c r="CB572" i="40"/>
  <c r="CD572" i="40" s="1"/>
  <c r="CB604" i="40"/>
  <c r="CD604" i="40" s="1"/>
  <c r="CB636" i="40"/>
  <c r="CD636" i="40" s="1"/>
  <c r="CB668" i="40"/>
  <c r="CD668" i="40" s="1"/>
  <c r="CB29" i="40"/>
  <c r="CD29" i="40" s="1"/>
  <c r="CB93" i="40"/>
  <c r="CD93" i="40" s="1"/>
  <c r="CB125" i="40"/>
  <c r="CD125" i="40" s="1"/>
  <c r="CB157" i="40"/>
  <c r="CD157" i="40" s="1"/>
  <c r="CB189" i="40"/>
  <c r="CD189" i="40" s="1"/>
  <c r="CB221" i="40"/>
  <c r="CD221" i="40" s="1"/>
  <c r="CB253" i="40"/>
  <c r="CD253" i="40" s="1"/>
  <c r="CB285" i="40"/>
  <c r="CD285" i="40" s="1"/>
  <c r="CB317" i="40"/>
  <c r="CD317" i="40" s="1"/>
  <c r="CB349" i="40"/>
  <c r="CD349" i="40" s="1"/>
  <c r="CB381" i="40"/>
  <c r="CD381" i="40" s="1"/>
  <c r="CB413" i="40"/>
  <c r="CD413" i="40" s="1"/>
  <c r="CB445" i="40"/>
  <c r="CD445" i="40" s="1"/>
  <c r="CB477" i="40"/>
  <c r="CD477" i="40" s="1"/>
  <c r="CB509" i="40"/>
  <c r="CD509" i="40" s="1"/>
  <c r="CB541" i="40"/>
  <c r="CD541" i="40" s="1"/>
  <c r="CB573" i="40"/>
  <c r="CD573" i="40" s="1"/>
  <c r="CB605" i="40"/>
  <c r="CD605" i="40" s="1"/>
  <c r="CB637" i="40"/>
  <c r="CD637" i="40" s="1"/>
  <c r="CB669" i="40"/>
  <c r="CD669" i="40" s="1"/>
  <c r="CB30" i="40"/>
  <c r="CD30" i="40" s="1"/>
  <c r="CB62" i="40"/>
  <c r="CD62" i="40" s="1"/>
  <c r="CB94" i="40"/>
  <c r="CD94" i="40" s="1"/>
  <c r="CB126" i="40"/>
  <c r="CD126" i="40" s="1"/>
  <c r="CB158" i="40"/>
  <c r="CD158" i="40" s="1"/>
  <c r="CB190" i="40"/>
  <c r="CD190" i="40" s="1"/>
  <c r="CB222" i="40"/>
  <c r="CD222" i="40" s="1"/>
  <c r="CB254" i="40"/>
  <c r="CD254" i="40" s="1"/>
  <c r="CB286" i="40"/>
  <c r="CD286" i="40" s="1"/>
  <c r="CB318" i="40"/>
  <c r="CD318" i="40" s="1"/>
  <c r="CB350" i="40"/>
  <c r="CD350" i="40" s="1"/>
  <c r="CB382" i="40"/>
  <c r="CD382" i="40" s="1"/>
  <c r="CB414" i="40"/>
  <c r="CD414" i="40" s="1"/>
  <c r="CB446" i="40"/>
  <c r="CD446" i="40" s="1"/>
  <c r="CB478" i="40"/>
  <c r="CD478" i="40" s="1"/>
  <c r="CB510" i="40"/>
  <c r="CD510" i="40" s="1"/>
  <c r="CB542" i="40"/>
  <c r="CD542" i="40" s="1"/>
  <c r="CB574" i="40"/>
  <c r="CD574" i="40" s="1"/>
  <c r="CB606" i="40"/>
  <c r="CD606" i="40" s="1"/>
  <c r="CB638" i="40"/>
  <c r="CD638" i="40" s="1"/>
  <c r="CB670" i="40"/>
  <c r="CD670" i="40" s="1"/>
  <c r="CB63" i="40"/>
  <c r="CD63" i="40" s="1"/>
  <c r="CB95" i="40"/>
  <c r="CD95" i="40" s="1"/>
  <c r="CB127" i="40"/>
  <c r="CD127" i="40" s="1"/>
  <c r="CB159" i="40"/>
  <c r="CD159" i="40" s="1"/>
  <c r="CB191" i="40"/>
  <c r="CD191" i="40" s="1"/>
  <c r="CB223" i="40"/>
  <c r="CD223" i="40" s="1"/>
  <c r="CB255" i="40"/>
  <c r="CD255" i="40" s="1"/>
  <c r="CB287" i="40"/>
  <c r="CD287" i="40" s="1"/>
  <c r="CB319" i="40"/>
  <c r="CD319" i="40" s="1"/>
  <c r="CB351" i="40"/>
  <c r="CD351" i="40" s="1"/>
  <c r="CB383" i="40"/>
  <c r="CD383" i="40" s="1"/>
  <c r="CB415" i="40"/>
  <c r="CD415" i="40" s="1"/>
  <c r="CB447" i="40"/>
  <c r="CD447" i="40" s="1"/>
  <c r="CB479" i="40"/>
  <c r="CD479" i="40" s="1"/>
  <c r="CB511" i="40"/>
  <c r="CD511" i="40" s="1"/>
  <c r="CB543" i="40"/>
  <c r="CD543" i="40" s="1"/>
  <c r="CB575" i="40"/>
  <c r="CD575" i="40" s="1"/>
  <c r="CB607" i="40"/>
  <c r="CD607" i="40" s="1"/>
  <c r="CB639" i="40"/>
  <c r="CD639" i="40" s="1"/>
  <c r="CB671" i="40"/>
  <c r="CD671" i="40" s="1"/>
  <c r="CB32" i="40"/>
  <c r="CD32" i="40" s="1"/>
  <c r="CB64" i="40"/>
  <c r="CD64" i="40" s="1"/>
  <c r="CB96" i="40"/>
  <c r="CD96" i="40" s="1"/>
  <c r="CB128" i="40"/>
  <c r="CD128" i="40" s="1"/>
  <c r="CB160" i="40"/>
  <c r="CD160" i="40" s="1"/>
  <c r="CB192" i="40"/>
  <c r="CD192" i="40" s="1"/>
  <c r="CB224" i="40"/>
  <c r="CD224" i="40" s="1"/>
  <c r="CB256" i="40"/>
  <c r="CD256" i="40" s="1"/>
  <c r="CB288" i="40"/>
  <c r="CD288" i="40" s="1"/>
  <c r="CB320" i="40"/>
  <c r="CD320" i="40" s="1"/>
  <c r="CB352" i="40"/>
  <c r="CD352" i="40" s="1"/>
  <c r="CB384" i="40"/>
  <c r="CD384" i="40" s="1"/>
  <c r="CB416" i="40"/>
  <c r="CD416" i="40" s="1"/>
  <c r="CB448" i="40"/>
  <c r="CD448" i="40" s="1"/>
  <c r="CB480" i="40"/>
  <c r="CD480" i="40" s="1"/>
  <c r="CB512" i="40"/>
  <c r="CD512" i="40" s="1"/>
  <c r="CB544" i="40"/>
  <c r="CD544" i="40" s="1"/>
  <c r="CB576" i="40"/>
  <c r="CD576" i="40" s="1"/>
  <c r="CB608" i="40"/>
  <c r="CD608" i="40" s="1"/>
  <c r="CB640" i="40"/>
  <c r="CD640" i="40" s="1"/>
  <c r="CB672" i="40"/>
  <c r="CD672" i="40" s="1"/>
  <c r="CB33" i="40"/>
  <c r="CD33" i="40" s="1"/>
  <c r="CB65" i="40"/>
  <c r="CD65" i="40" s="1"/>
  <c r="CB97" i="40"/>
  <c r="CD97" i="40" s="1"/>
  <c r="CB129" i="40"/>
  <c r="CD129" i="40" s="1"/>
  <c r="CB161" i="40"/>
  <c r="CD161" i="40" s="1"/>
  <c r="CB193" i="40"/>
  <c r="CD193" i="40" s="1"/>
  <c r="CB225" i="40"/>
  <c r="CD225" i="40" s="1"/>
  <c r="CB257" i="40"/>
  <c r="CD257" i="40" s="1"/>
  <c r="CB289" i="40"/>
  <c r="CD289" i="40" s="1"/>
  <c r="CB321" i="40"/>
  <c r="CD321" i="40" s="1"/>
  <c r="CB353" i="40"/>
  <c r="CD353" i="40" s="1"/>
  <c r="CB385" i="40"/>
  <c r="CD385" i="40" s="1"/>
  <c r="CB417" i="40"/>
  <c r="CD417" i="40" s="1"/>
  <c r="CB449" i="40"/>
  <c r="CD449" i="40" s="1"/>
  <c r="CB481" i="40"/>
  <c r="CD481" i="40" s="1"/>
  <c r="CB513" i="40"/>
  <c r="CD513" i="40" s="1"/>
  <c r="CB545" i="40"/>
  <c r="CD545" i="40" s="1"/>
  <c r="CB577" i="40"/>
  <c r="CD577" i="40" s="1"/>
  <c r="CB609" i="40"/>
  <c r="CD609" i="40" s="1"/>
  <c r="CB641" i="40"/>
  <c r="CD641" i="40" s="1"/>
  <c r="CB673" i="40"/>
  <c r="CD673" i="40" s="1"/>
  <c r="CB34" i="40"/>
  <c r="CD34" i="40" s="1"/>
  <c r="CB66" i="40"/>
  <c r="CD66" i="40" s="1"/>
  <c r="CB98" i="40"/>
  <c r="CD98" i="40" s="1"/>
  <c r="CB130" i="40"/>
  <c r="CD130" i="40" s="1"/>
  <c r="CB162" i="40"/>
  <c r="CD162" i="40" s="1"/>
  <c r="CB194" i="40"/>
  <c r="CD194" i="40" s="1"/>
  <c r="CB226" i="40"/>
  <c r="CD226" i="40" s="1"/>
  <c r="CB258" i="40"/>
  <c r="CD258" i="40" s="1"/>
  <c r="CB290" i="40"/>
  <c r="CD290" i="40" s="1"/>
  <c r="CB322" i="40"/>
  <c r="CD322" i="40" s="1"/>
  <c r="CB354" i="40"/>
  <c r="CD354" i="40" s="1"/>
  <c r="CB386" i="40"/>
  <c r="CD386" i="40" s="1"/>
  <c r="CB418" i="40"/>
  <c r="CD418" i="40" s="1"/>
  <c r="CB450" i="40"/>
  <c r="CD450" i="40" s="1"/>
  <c r="CB482" i="40"/>
  <c r="CD482" i="40" s="1"/>
  <c r="CB514" i="40"/>
  <c r="CD514" i="40" s="1"/>
  <c r="CB546" i="40"/>
  <c r="CD546" i="40" s="1"/>
  <c r="CB578" i="40"/>
  <c r="CD578" i="40" s="1"/>
  <c r="CB610" i="40"/>
  <c r="CD610" i="40" s="1"/>
  <c r="CB642" i="40"/>
  <c r="CD642" i="40" s="1"/>
  <c r="CB674" i="40"/>
  <c r="CD674" i="40" s="1"/>
  <c r="CB35" i="40"/>
  <c r="CD35" i="40" s="1"/>
  <c r="CB67" i="40"/>
  <c r="CD67" i="40" s="1"/>
  <c r="CB99" i="40"/>
  <c r="CD99" i="40" s="1"/>
  <c r="CB131" i="40"/>
  <c r="CD131" i="40" s="1"/>
  <c r="CB163" i="40"/>
  <c r="CD163" i="40" s="1"/>
  <c r="CB195" i="40"/>
  <c r="CD195" i="40" s="1"/>
  <c r="CB227" i="40"/>
  <c r="CD227" i="40" s="1"/>
  <c r="CB259" i="40"/>
  <c r="CD259" i="40" s="1"/>
  <c r="CB291" i="40"/>
  <c r="CD291" i="40" s="1"/>
  <c r="CB323" i="40"/>
  <c r="CD323" i="40" s="1"/>
  <c r="CB355" i="40"/>
  <c r="CD355" i="40" s="1"/>
  <c r="CB387" i="40"/>
  <c r="CD387" i="40" s="1"/>
  <c r="CB419" i="40"/>
  <c r="CD419" i="40" s="1"/>
  <c r="CB451" i="40"/>
  <c r="CD451" i="40" s="1"/>
  <c r="CB483" i="40"/>
  <c r="CD483" i="40" s="1"/>
  <c r="CB515" i="40"/>
  <c r="CD515" i="40" s="1"/>
  <c r="CB547" i="40"/>
  <c r="CD547" i="40" s="1"/>
  <c r="CB579" i="40"/>
  <c r="CD579" i="40" s="1"/>
  <c r="CB611" i="40"/>
  <c r="CD611" i="40" s="1"/>
  <c r="CB643" i="40"/>
  <c r="CD643" i="40" s="1"/>
  <c r="CB675" i="40"/>
  <c r="CD675" i="40" s="1"/>
  <c r="CB36" i="40"/>
  <c r="CD36" i="40" s="1"/>
  <c r="CB68" i="40"/>
  <c r="CD68" i="40" s="1"/>
  <c r="CB100" i="40"/>
  <c r="CD100" i="40" s="1"/>
  <c r="CB132" i="40"/>
  <c r="CD132" i="40" s="1"/>
  <c r="CB164" i="40"/>
  <c r="CD164" i="40" s="1"/>
  <c r="CB196" i="40"/>
  <c r="CD196" i="40" s="1"/>
  <c r="CB228" i="40"/>
  <c r="CD228" i="40" s="1"/>
  <c r="CB260" i="40"/>
  <c r="CD260" i="40" s="1"/>
  <c r="CB292" i="40"/>
  <c r="CD292" i="40" s="1"/>
  <c r="CB324" i="40"/>
  <c r="CD324" i="40" s="1"/>
  <c r="CB356" i="40"/>
  <c r="CD356" i="40" s="1"/>
  <c r="CB388" i="40"/>
  <c r="CD388" i="40" s="1"/>
  <c r="CB420" i="40"/>
  <c r="CD420" i="40" s="1"/>
  <c r="CB452" i="40"/>
  <c r="CD452" i="40" s="1"/>
  <c r="CB484" i="40"/>
  <c r="CD484" i="40" s="1"/>
  <c r="CB516" i="40"/>
  <c r="CD516" i="40" s="1"/>
  <c r="CB548" i="40"/>
  <c r="CD548" i="40" s="1"/>
  <c r="CB580" i="40"/>
  <c r="CD580" i="40" s="1"/>
  <c r="CB612" i="40"/>
  <c r="CD612" i="40" s="1"/>
  <c r="CB644" i="40"/>
  <c r="CD644" i="40" s="1"/>
  <c r="CB676" i="40"/>
  <c r="CD676" i="40" s="1"/>
  <c r="CB37" i="40"/>
  <c r="CD37" i="40" s="1"/>
  <c r="CB69" i="40"/>
  <c r="CD69" i="40" s="1"/>
  <c r="CB101" i="40"/>
  <c r="CD101" i="40" s="1"/>
  <c r="CB133" i="40"/>
  <c r="CD133" i="40" s="1"/>
  <c r="CB165" i="40"/>
  <c r="CD165" i="40" s="1"/>
  <c r="CB197" i="40"/>
  <c r="CD197" i="40" s="1"/>
  <c r="CB229" i="40"/>
  <c r="CD229" i="40" s="1"/>
  <c r="CB261" i="40"/>
  <c r="CD261" i="40" s="1"/>
  <c r="CB293" i="40"/>
  <c r="CD293" i="40" s="1"/>
  <c r="CB325" i="40"/>
  <c r="CD325" i="40" s="1"/>
  <c r="CB357" i="40"/>
  <c r="CD357" i="40" s="1"/>
  <c r="CB389" i="40"/>
  <c r="CD389" i="40" s="1"/>
  <c r="CB421" i="40"/>
  <c r="CD421" i="40" s="1"/>
  <c r="CB453" i="40"/>
  <c r="CD453" i="40" s="1"/>
  <c r="CB485" i="40"/>
  <c r="CD485" i="40" s="1"/>
  <c r="CB517" i="40"/>
  <c r="CD517" i="40" s="1"/>
  <c r="CB549" i="40"/>
  <c r="CD549" i="40" s="1"/>
  <c r="CB581" i="40"/>
  <c r="CD581" i="40" s="1"/>
  <c r="CB613" i="40"/>
  <c r="CD613" i="40" s="1"/>
  <c r="CB645" i="40"/>
  <c r="CD645" i="40" s="1"/>
  <c r="CB677" i="40"/>
  <c r="CD677" i="40" s="1"/>
  <c r="CB38" i="40"/>
  <c r="CD38" i="40" s="1"/>
  <c r="CB70" i="40"/>
  <c r="CD70" i="40" s="1"/>
  <c r="CB102" i="40"/>
  <c r="CD102" i="40" s="1"/>
  <c r="CB134" i="40"/>
  <c r="CD134" i="40" s="1"/>
  <c r="CB166" i="40"/>
  <c r="CD166" i="40" s="1"/>
  <c r="CB198" i="40"/>
  <c r="CD198" i="40" s="1"/>
  <c r="CB230" i="40"/>
  <c r="CD230" i="40" s="1"/>
  <c r="CB262" i="40"/>
  <c r="CD262" i="40" s="1"/>
  <c r="CB294" i="40"/>
  <c r="CD294" i="40" s="1"/>
  <c r="CB326" i="40"/>
  <c r="CD326" i="40" s="1"/>
  <c r="CB358" i="40"/>
  <c r="CD358" i="40" s="1"/>
  <c r="CB390" i="40"/>
  <c r="CD390" i="40" s="1"/>
  <c r="CB422" i="40"/>
  <c r="CD422" i="40" s="1"/>
  <c r="CB454" i="40"/>
  <c r="CD454" i="40" s="1"/>
  <c r="CB486" i="40"/>
  <c r="CD486" i="40" s="1"/>
  <c r="CB518" i="40"/>
  <c r="CD518" i="40" s="1"/>
  <c r="CB550" i="40"/>
  <c r="CD550" i="40" s="1"/>
  <c r="CB582" i="40"/>
  <c r="CD582" i="40" s="1"/>
  <c r="CB614" i="40"/>
  <c r="CD614" i="40" s="1"/>
  <c r="CB646" i="40"/>
  <c r="CD646" i="40" s="1"/>
  <c r="CB678" i="40"/>
  <c r="CD678" i="40" s="1"/>
  <c r="CB39" i="40"/>
  <c r="CD39" i="40" s="1"/>
  <c r="CB71" i="40"/>
  <c r="CD71" i="40" s="1"/>
  <c r="CB103" i="40"/>
  <c r="CD103" i="40" s="1"/>
  <c r="CB135" i="40"/>
  <c r="CD135" i="40" s="1"/>
  <c r="CB167" i="40"/>
  <c r="CD167" i="40" s="1"/>
  <c r="CB199" i="40"/>
  <c r="CD199" i="40" s="1"/>
  <c r="CB231" i="40"/>
  <c r="CD231" i="40" s="1"/>
  <c r="CB263" i="40"/>
  <c r="CD263" i="40" s="1"/>
  <c r="CB295" i="40"/>
  <c r="CD295" i="40" s="1"/>
  <c r="CB327" i="40"/>
  <c r="CD327" i="40" s="1"/>
  <c r="CB359" i="40"/>
  <c r="CD359" i="40" s="1"/>
  <c r="CB391" i="40"/>
  <c r="CD391" i="40" s="1"/>
  <c r="CB423" i="40"/>
  <c r="CD423" i="40" s="1"/>
  <c r="CB455" i="40"/>
  <c r="CD455" i="40" s="1"/>
  <c r="CB487" i="40"/>
  <c r="CD487" i="40" s="1"/>
  <c r="CB519" i="40"/>
  <c r="CD519" i="40" s="1"/>
  <c r="CB551" i="40"/>
  <c r="CD551" i="40" s="1"/>
  <c r="CB583" i="40"/>
  <c r="CD583" i="40" s="1"/>
  <c r="CB615" i="40"/>
  <c r="CD615" i="40" s="1"/>
  <c r="CB647" i="40"/>
  <c r="CD647" i="40" s="1"/>
  <c r="CB679" i="40"/>
  <c r="CD679" i="40" s="1"/>
  <c r="CB40" i="40"/>
  <c r="CD40" i="40" s="1"/>
  <c r="CB72" i="40"/>
  <c r="CD72" i="40" s="1"/>
  <c r="CB104" i="40"/>
  <c r="CD104" i="40" s="1"/>
  <c r="CB136" i="40"/>
  <c r="CD136" i="40" s="1"/>
  <c r="CB168" i="40"/>
  <c r="CD168" i="40" s="1"/>
  <c r="CB200" i="40"/>
  <c r="CD200" i="40" s="1"/>
  <c r="CB232" i="40"/>
  <c r="CD232" i="40" s="1"/>
  <c r="CB264" i="40"/>
  <c r="CD264" i="40" s="1"/>
  <c r="CB296" i="40"/>
  <c r="CD296" i="40" s="1"/>
  <c r="CB328" i="40"/>
  <c r="CD328" i="40" s="1"/>
  <c r="CB360" i="40"/>
  <c r="CD360" i="40" s="1"/>
  <c r="CB392" i="40"/>
  <c r="CD392" i="40" s="1"/>
  <c r="CB424" i="40"/>
  <c r="CD424" i="40" s="1"/>
  <c r="CB456" i="40"/>
  <c r="CD456" i="40" s="1"/>
  <c r="CB488" i="40"/>
  <c r="CD488" i="40" s="1"/>
  <c r="CB520" i="40"/>
  <c r="CD520" i="40" s="1"/>
  <c r="CB552" i="40"/>
  <c r="CD552" i="40" s="1"/>
  <c r="CB584" i="40"/>
  <c r="CD584" i="40" s="1"/>
  <c r="CB616" i="40"/>
  <c r="CD616" i="40" s="1"/>
  <c r="CB648" i="40"/>
  <c r="CD648" i="40" s="1"/>
  <c r="CB680" i="40"/>
  <c r="CD680" i="40" s="1"/>
  <c r="CB41" i="40"/>
  <c r="CD41" i="40" s="1"/>
  <c r="CB73" i="40"/>
  <c r="CD73" i="40" s="1"/>
  <c r="CB105" i="40"/>
  <c r="CD105" i="40" s="1"/>
  <c r="CB137" i="40"/>
  <c r="CD137" i="40" s="1"/>
  <c r="CB169" i="40"/>
  <c r="CD169" i="40" s="1"/>
  <c r="CB201" i="40"/>
  <c r="CD201" i="40" s="1"/>
  <c r="CB233" i="40"/>
  <c r="CD233" i="40" s="1"/>
  <c r="CB265" i="40"/>
  <c r="CD265" i="40" s="1"/>
  <c r="CB297" i="40"/>
  <c r="CD297" i="40" s="1"/>
  <c r="CB329" i="40"/>
  <c r="CD329" i="40" s="1"/>
  <c r="CB361" i="40"/>
  <c r="CD361" i="40" s="1"/>
  <c r="CB393" i="40"/>
  <c r="CD393" i="40" s="1"/>
  <c r="CB425" i="40"/>
  <c r="CD425" i="40" s="1"/>
  <c r="CB457" i="40"/>
  <c r="CD457" i="40" s="1"/>
  <c r="CB489" i="40"/>
  <c r="CD489" i="40" s="1"/>
  <c r="CB521" i="40"/>
  <c r="CD521" i="40" s="1"/>
  <c r="CB553" i="40"/>
  <c r="CD553" i="40" s="1"/>
  <c r="CB585" i="40"/>
  <c r="CD585" i="40" s="1"/>
  <c r="CB617" i="40"/>
  <c r="CD617" i="40" s="1"/>
  <c r="CB649" i="40"/>
  <c r="CD649" i="40" s="1"/>
  <c r="CB42" i="40"/>
  <c r="CD42" i="40" s="1"/>
  <c r="CB74" i="40"/>
  <c r="CD74" i="40" s="1"/>
  <c r="CB106" i="40"/>
  <c r="CD106" i="40" s="1"/>
  <c r="CB138" i="40"/>
  <c r="CD138" i="40" s="1"/>
  <c r="CB170" i="40"/>
  <c r="CD170" i="40" s="1"/>
  <c r="CB202" i="40"/>
  <c r="CD202" i="40" s="1"/>
  <c r="CB234" i="40"/>
  <c r="CD234" i="40" s="1"/>
  <c r="CB266" i="40"/>
  <c r="CD266" i="40" s="1"/>
  <c r="CB298" i="40"/>
  <c r="CD298" i="40" s="1"/>
  <c r="CB330" i="40"/>
  <c r="CD330" i="40" s="1"/>
  <c r="CB362" i="40"/>
  <c r="CD362" i="40" s="1"/>
  <c r="CB394" i="40"/>
  <c r="CD394" i="40" s="1"/>
  <c r="CB426" i="40"/>
  <c r="CD426" i="40" s="1"/>
  <c r="CB458" i="40"/>
  <c r="CD458" i="40" s="1"/>
  <c r="CB490" i="40"/>
  <c r="CD490" i="40" s="1"/>
  <c r="CB522" i="40"/>
  <c r="CD522" i="40" s="1"/>
  <c r="CB554" i="40"/>
  <c r="CD554" i="40" s="1"/>
  <c r="CB586" i="40"/>
  <c r="CD586" i="40" s="1"/>
  <c r="CB618" i="40"/>
  <c r="CD618" i="40" s="1"/>
  <c r="CB650" i="40"/>
  <c r="CD650" i="40" s="1"/>
  <c r="CB43" i="40"/>
  <c r="CD43" i="40" s="1"/>
  <c r="CB75" i="40"/>
  <c r="CD75" i="40" s="1"/>
  <c r="CB107" i="40"/>
  <c r="CD107" i="40" s="1"/>
  <c r="CB139" i="40"/>
  <c r="CD139" i="40" s="1"/>
  <c r="CB171" i="40"/>
  <c r="CD171" i="40" s="1"/>
  <c r="CB203" i="40"/>
  <c r="CD203" i="40" s="1"/>
  <c r="CB235" i="40"/>
  <c r="CD235" i="40" s="1"/>
  <c r="CB267" i="40"/>
  <c r="CD267" i="40" s="1"/>
  <c r="CB299" i="40"/>
  <c r="CD299" i="40" s="1"/>
  <c r="CB331" i="40"/>
  <c r="CD331" i="40" s="1"/>
  <c r="CB363" i="40"/>
  <c r="CD363" i="40" s="1"/>
  <c r="CB395" i="40"/>
  <c r="CD395" i="40" s="1"/>
  <c r="CB427" i="40"/>
  <c r="CD427" i="40" s="1"/>
  <c r="CB459" i="40"/>
  <c r="CD459" i="40" s="1"/>
  <c r="CB491" i="40"/>
  <c r="CD491" i="40" s="1"/>
  <c r="CB523" i="40"/>
  <c r="CD523" i="40" s="1"/>
  <c r="CB555" i="40"/>
  <c r="CD555" i="40" s="1"/>
  <c r="CB587" i="40"/>
  <c r="CD587" i="40" s="1"/>
  <c r="CB619" i="40"/>
  <c r="CD619" i="40" s="1"/>
  <c r="CB651" i="40"/>
  <c r="CD651" i="40" s="1"/>
  <c r="CB12" i="40"/>
  <c r="CD12" i="40" s="1"/>
  <c r="CB44" i="40"/>
  <c r="CD44" i="40" s="1"/>
  <c r="CB76" i="40"/>
  <c r="CD76" i="40" s="1"/>
  <c r="CB108" i="40"/>
  <c r="CD108" i="40" s="1"/>
  <c r="CB140" i="40"/>
  <c r="CD140" i="40" s="1"/>
  <c r="CB172" i="40"/>
  <c r="CD172" i="40" s="1"/>
  <c r="CB204" i="40"/>
  <c r="CD204" i="40" s="1"/>
  <c r="CB236" i="40"/>
  <c r="CD236" i="40" s="1"/>
  <c r="CB268" i="40"/>
  <c r="CD268" i="40" s="1"/>
  <c r="CB300" i="40"/>
  <c r="CD300" i="40" s="1"/>
  <c r="CB332" i="40"/>
  <c r="CD332" i="40" s="1"/>
  <c r="CB364" i="40"/>
  <c r="CD364" i="40" s="1"/>
  <c r="CB396" i="40"/>
  <c r="CD396" i="40" s="1"/>
  <c r="CB428" i="40"/>
  <c r="CD428" i="40" s="1"/>
  <c r="CB460" i="40"/>
  <c r="CD460" i="40" s="1"/>
  <c r="CB492" i="40"/>
  <c r="CD492" i="40" s="1"/>
  <c r="CB524" i="40"/>
  <c r="CD524" i="40" s="1"/>
  <c r="CB556" i="40"/>
  <c r="CD556" i="40" s="1"/>
  <c r="CB588" i="40"/>
  <c r="CD588" i="40" s="1"/>
  <c r="CB620" i="40"/>
  <c r="CD620" i="40" s="1"/>
  <c r="CB652" i="40"/>
  <c r="CD652" i="40" s="1"/>
  <c r="CB45" i="40"/>
  <c r="CD45" i="40" s="1"/>
  <c r="CB77" i="40"/>
  <c r="CD77" i="40" s="1"/>
  <c r="CB109" i="40"/>
  <c r="CD109" i="40" s="1"/>
  <c r="CB141" i="40"/>
  <c r="CD141" i="40" s="1"/>
  <c r="CB173" i="40"/>
  <c r="CD173" i="40" s="1"/>
  <c r="CB205" i="40"/>
  <c r="CD205" i="40" s="1"/>
  <c r="CB237" i="40"/>
  <c r="CD237" i="40" s="1"/>
  <c r="CB269" i="40"/>
  <c r="CD269" i="40" s="1"/>
  <c r="CB301" i="40"/>
  <c r="CD301" i="40" s="1"/>
  <c r="CB333" i="40"/>
  <c r="CD333" i="40" s="1"/>
  <c r="CB365" i="40"/>
  <c r="CD365" i="40" s="1"/>
  <c r="CB397" i="40"/>
  <c r="CD397" i="40" s="1"/>
  <c r="CB429" i="40"/>
  <c r="CD429" i="40" s="1"/>
  <c r="CB461" i="40"/>
  <c r="CD461" i="40" s="1"/>
  <c r="CB493" i="40"/>
  <c r="CD493" i="40" s="1"/>
  <c r="CB525" i="40"/>
  <c r="CD525" i="40" s="1"/>
  <c r="CB557" i="40"/>
  <c r="CD557" i="40" s="1"/>
  <c r="CB589" i="40"/>
  <c r="CD589" i="40" s="1"/>
  <c r="CB621" i="40"/>
  <c r="CD621" i="40" s="1"/>
  <c r="CB653" i="40"/>
  <c r="CD653" i="40" s="1"/>
  <c r="CB14" i="40"/>
  <c r="CD14" i="40" s="1"/>
  <c r="CB46" i="40"/>
  <c r="CD46" i="40" s="1"/>
  <c r="CB78" i="40"/>
  <c r="CD78" i="40" s="1"/>
  <c r="CB110" i="40"/>
  <c r="CD110" i="40" s="1"/>
  <c r="CB142" i="40"/>
  <c r="CD142" i="40" s="1"/>
  <c r="CB174" i="40"/>
  <c r="CD174" i="40" s="1"/>
  <c r="CB206" i="40"/>
  <c r="CD206" i="40" s="1"/>
  <c r="CB238" i="40"/>
  <c r="CD238" i="40" s="1"/>
  <c r="CB270" i="40"/>
  <c r="CD270" i="40" s="1"/>
  <c r="CB302" i="40"/>
  <c r="CD302" i="40" s="1"/>
  <c r="CB334" i="40"/>
  <c r="CD334" i="40" s="1"/>
  <c r="CB366" i="40"/>
  <c r="CD366" i="40" s="1"/>
  <c r="CB398" i="40"/>
  <c r="CD398" i="40" s="1"/>
  <c r="CB430" i="40"/>
  <c r="CD430" i="40" s="1"/>
  <c r="CB462" i="40"/>
  <c r="CD462" i="40" s="1"/>
  <c r="CB494" i="40"/>
  <c r="CD494" i="40" s="1"/>
  <c r="CB526" i="40"/>
  <c r="CD526" i="40" s="1"/>
  <c r="CB558" i="40"/>
  <c r="CD558" i="40" s="1"/>
  <c r="CB590" i="40"/>
  <c r="CD590" i="40" s="1"/>
  <c r="CB622" i="40"/>
  <c r="CD622" i="40" s="1"/>
  <c r="CB654" i="40"/>
  <c r="CD654" i="40" s="1"/>
  <c r="CB79" i="40"/>
  <c r="CD79" i="40" s="1"/>
  <c r="CB111" i="40"/>
  <c r="CD111" i="40" s="1"/>
  <c r="CB143" i="40"/>
  <c r="CD143" i="40" s="1"/>
  <c r="CB175" i="40"/>
  <c r="CD175" i="40" s="1"/>
  <c r="CB207" i="40"/>
  <c r="CD207" i="40" s="1"/>
  <c r="CB303" i="40"/>
  <c r="CD303" i="40" s="1"/>
  <c r="CB335" i="40"/>
  <c r="CD335" i="40" s="1"/>
  <c r="CB367" i="40"/>
  <c r="CD367" i="40" s="1"/>
  <c r="CB399" i="40"/>
  <c r="CD399" i="40" s="1"/>
  <c r="CB431" i="40"/>
  <c r="CD431" i="40" s="1"/>
  <c r="CB463" i="40"/>
  <c r="CD463" i="40" s="1"/>
  <c r="CB495" i="40"/>
  <c r="CD495" i="40" s="1"/>
  <c r="CB527" i="40"/>
  <c r="CD527" i="40" s="1"/>
  <c r="CB559" i="40"/>
  <c r="CD559" i="40" s="1"/>
  <c r="CB591" i="40"/>
  <c r="CD591" i="40" s="1"/>
  <c r="CB623" i="40"/>
  <c r="CD623" i="40" s="1"/>
  <c r="CB655" i="40"/>
  <c r="CD655" i="40" s="1"/>
  <c r="CB239" i="40"/>
  <c r="CD239" i="40" s="1"/>
  <c r="CB271" i="40"/>
  <c r="CD271" i="40" s="1"/>
  <c r="I24" i="38"/>
  <c r="I32" i="38" s="1"/>
  <c r="BQ10" i="40"/>
  <c r="BQ272" i="40" s="1"/>
  <c r="CA651" i="40" a="1"/>
  <c r="CA651" i="40" s="1"/>
  <c r="CA639" i="40" a="1"/>
  <c r="CA639" i="40" s="1"/>
  <c r="CA598" i="40" a="1"/>
  <c r="CA598" i="40" s="1"/>
  <c r="CA631" i="40" a="1"/>
  <c r="CA631" i="40" s="1"/>
  <c r="CA576" i="40" a="1"/>
  <c r="CA576" i="40" s="1"/>
  <c r="CA461" i="40" a="1"/>
  <c r="CA461" i="40" s="1"/>
  <c r="CA513" i="40" a="1"/>
  <c r="CA513" i="40" s="1"/>
  <c r="CA427" i="40" a="1"/>
  <c r="CA427" i="40" s="1"/>
  <c r="CA551" i="40" a="1"/>
  <c r="CA551" i="40" s="1"/>
  <c r="CA337" i="40" a="1"/>
  <c r="CA337" i="40" s="1"/>
  <c r="CA217" i="40" a="1"/>
  <c r="CA217" i="40" s="1"/>
  <c r="CA397" i="40" a="1"/>
  <c r="CA397" i="40" s="1"/>
  <c r="CA313" i="40" a="1"/>
  <c r="CA313" i="40" s="1"/>
  <c r="CA272" i="40" a="1"/>
  <c r="CA272" i="40" s="1"/>
  <c r="CA266" i="40" a="1"/>
  <c r="CA266" i="40" s="1"/>
  <c r="CA215" i="40" a="1"/>
  <c r="CA215" i="40" s="1"/>
  <c r="CA635" i="40" a="1"/>
  <c r="CA635" i="40" s="1"/>
  <c r="CA623" i="40" a="1"/>
  <c r="CA623" i="40" s="1"/>
  <c r="CA582" i="40" a="1"/>
  <c r="CA582" i="40" s="1"/>
  <c r="CA615" i="40" a="1"/>
  <c r="CA615" i="40" s="1"/>
  <c r="CA564" i="40" a="1"/>
  <c r="CA564" i="40" s="1"/>
  <c r="CA583" i="40" a="1"/>
  <c r="CA583" i="40" s="1"/>
  <c r="CA497" i="40" a="1"/>
  <c r="CA497" i="40" s="1"/>
  <c r="CA411" i="40" a="1"/>
  <c r="CA411" i="40" s="1"/>
  <c r="CA511" i="40" a="1"/>
  <c r="CA511" i="40" s="1"/>
  <c r="CA321" i="40" a="1"/>
  <c r="CA321" i="40" s="1"/>
  <c r="CA405" i="40" a="1"/>
  <c r="CA405" i="40" s="1"/>
  <c r="CA382" i="40" a="1"/>
  <c r="CA382" i="40" s="1"/>
  <c r="CA297" i="40" a="1"/>
  <c r="CA297" i="40" s="1"/>
  <c r="CA437" i="40" a="1"/>
  <c r="CA437" i="40" s="1"/>
  <c r="CA256" i="40" a="1"/>
  <c r="CA256" i="40" s="1"/>
  <c r="CA209" i="40" a="1"/>
  <c r="CA209" i="40" s="1"/>
  <c r="CA619" i="40" a="1"/>
  <c r="CA619" i="40" s="1"/>
  <c r="CA607" i="40" a="1"/>
  <c r="CA607" i="40" s="1"/>
  <c r="CA566" i="40" a="1"/>
  <c r="CA566" i="40" s="1"/>
  <c r="CA599" i="40" a="1"/>
  <c r="CA599" i="40" s="1"/>
  <c r="CA515" i="40" a="1"/>
  <c r="CA515" i="40" s="1"/>
  <c r="CA540" i="40" a="1"/>
  <c r="CA540" i="40" s="1"/>
  <c r="CA481" i="40" a="1"/>
  <c r="CA481" i="40" s="1"/>
  <c r="CA395" i="40" a="1"/>
  <c r="CA395" i="40" s="1"/>
  <c r="CA495" i="40" a="1"/>
  <c r="CA495" i="40" s="1"/>
  <c r="CA305" i="40" a="1"/>
  <c r="CA305" i="40" s="1"/>
  <c r="CA386" i="40" a="1"/>
  <c r="CA386" i="40" s="1"/>
  <c r="CA367" i="40" a="1"/>
  <c r="CA367" i="40" s="1"/>
  <c r="CA281" i="40" a="1"/>
  <c r="CA281" i="40" s="1"/>
  <c r="CA402" i="40" a="1"/>
  <c r="CA402" i="40" s="1"/>
  <c r="CA220" i="40" a="1"/>
  <c r="CA220" i="40" s="1"/>
  <c r="CA205" i="40" a="1"/>
  <c r="CA205" i="40" s="1"/>
  <c r="CA603" i="40" a="1"/>
  <c r="CA603" i="40" s="1"/>
  <c r="CA591" i="40" a="1"/>
  <c r="CA591" i="40" s="1"/>
  <c r="CA550" i="40" a="1"/>
  <c r="CA550" i="40" s="1"/>
  <c r="CA499" i="40" a="1"/>
  <c r="CA499" i="40" s="1"/>
  <c r="CA527" i="40" a="1"/>
  <c r="CA527" i="40" s="1"/>
  <c r="CA465" i="40" a="1"/>
  <c r="CA465" i="40" s="1"/>
  <c r="CA379" i="40" a="1"/>
  <c r="CA379" i="40" s="1"/>
  <c r="CA479" i="40" a="1"/>
  <c r="CA479" i="40" s="1"/>
  <c r="CA289" i="40" a="1"/>
  <c r="CA289" i="40" s="1"/>
  <c r="CA375" i="40" a="1"/>
  <c r="CA375" i="40" s="1"/>
  <c r="CA351" i="40" a="1"/>
  <c r="CA351" i="40" s="1"/>
  <c r="CA265" i="40" a="1"/>
  <c r="CA265" i="40" s="1"/>
  <c r="CA445" i="40" a="1"/>
  <c r="CA445" i="40" s="1"/>
  <c r="CA231" i="40" a="1"/>
  <c r="CA231" i="40" s="1"/>
  <c r="CA201" i="40" a="1"/>
  <c r="CA201" i="40" s="1"/>
  <c r="CA587" i="40" a="1"/>
  <c r="CA587" i="40" s="1"/>
  <c r="CA575" i="40" a="1"/>
  <c r="CA575" i="40" s="1"/>
  <c r="CA574" i="40" a="1"/>
  <c r="CA574" i="40" s="1"/>
  <c r="CA483" i="40" a="1"/>
  <c r="CA483" i="40" s="1"/>
  <c r="CA506" i="40" a="1"/>
  <c r="CA506" i="40" s="1"/>
  <c r="CA449" i="40" a="1"/>
  <c r="CA449" i="40" s="1"/>
  <c r="CA664" i="40" a="1"/>
  <c r="CA664" i="40" s="1"/>
  <c r="CA463" i="40" a="1"/>
  <c r="CA463" i="40" s="1"/>
  <c r="CA273" i="40" a="1"/>
  <c r="CA273" i="40" s="1"/>
  <c r="CA360" i="40" a="1"/>
  <c r="CA360" i="40" s="1"/>
  <c r="CA335" i="40" a="1"/>
  <c r="CA335" i="40" s="1"/>
  <c r="CA249" i="40" a="1"/>
  <c r="CA249" i="40" s="1"/>
  <c r="CA412" i="40" a="1"/>
  <c r="CA412" i="40" s="1"/>
  <c r="CA258" i="40" a="1"/>
  <c r="CA258" i="40" s="1"/>
  <c r="CA197" i="40" a="1"/>
  <c r="CA197" i="40" s="1"/>
  <c r="CA571" i="40" a="1"/>
  <c r="CA571" i="40" s="1"/>
  <c r="CA559" i="40" a="1"/>
  <c r="CA559" i="40" s="1"/>
  <c r="CA549" i="40" a="1"/>
  <c r="CA549" i="40" s="1"/>
  <c r="CA467" i="40" a="1"/>
  <c r="CA467" i="40" s="1"/>
  <c r="CA490" i="40" a="1"/>
  <c r="CA490" i="40" s="1"/>
  <c r="CA433" i="40" a="1"/>
  <c r="CA433" i="40" s="1"/>
  <c r="CA616" i="40" a="1"/>
  <c r="CA616" i="40" s="1"/>
  <c r="CA568" i="40" a="1"/>
  <c r="CA568" i="40" s="1"/>
  <c r="CA257" i="40" a="1"/>
  <c r="CA257" i="40" s="1"/>
  <c r="CA344" i="40" a="1"/>
  <c r="CA344" i="40" s="1"/>
  <c r="CA319" i="40" a="1"/>
  <c r="CA319" i="40" s="1"/>
  <c r="CA233" i="40" a="1"/>
  <c r="CA233" i="40" s="1"/>
  <c r="CA365" i="40" a="1"/>
  <c r="CA365" i="40" s="1"/>
  <c r="CA248" i="40" a="1"/>
  <c r="CA248" i="40" s="1"/>
  <c r="CA245" i="40" a="1"/>
  <c r="CA245" i="40" s="1"/>
  <c r="CA555" i="40" a="1"/>
  <c r="CA555" i="40" s="1"/>
  <c r="CA543" i="40" a="1"/>
  <c r="CA543" i="40" s="1"/>
  <c r="CA672" i="40" a="1"/>
  <c r="CA672" i="40" s="1"/>
  <c r="CA505" i="40" a="1"/>
  <c r="CA505" i="40" s="1"/>
  <c r="CA451" i="40" a="1"/>
  <c r="CA451" i="40" s="1"/>
  <c r="CA474" i="40" a="1"/>
  <c r="CA474" i="40" s="1"/>
  <c r="CA417" i="40" a="1"/>
  <c r="CA417" i="40" s="1"/>
  <c r="CA541" i="40" a="1"/>
  <c r="CA541" i="40" s="1"/>
  <c r="CA544" i="40" a="1"/>
  <c r="CA544" i="40" s="1"/>
  <c r="CA241" i="40" a="1"/>
  <c r="CA241" i="40" s="1"/>
  <c r="CA328" i="40" a="1"/>
  <c r="CA328" i="40" s="1"/>
  <c r="CA303" i="40" a="1"/>
  <c r="CA303" i="40" s="1"/>
  <c r="CA428" i="40" a="1"/>
  <c r="CA428" i="40" s="1"/>
  <c r="CA349" i="40" a="1"/>
  <c r="CA349" i="40" s="1"/>
  <c r="CA246" i="40" a="1"/>
  <c r="CA246" i="40" s="1"/>
  <c r="CA224" i="40" a="1"/>
  <c r="CA224" i="40" s="1"/>
  <c r="CA656" i="40" a="1"/>
  <c r="CA656" i="40" s="1"/>
  <c r="CA489" i="40" a="1"/>
  <c r="CA489" i="40" s="1"/>
  <c r="CA435" i="40" a="1"/>
  <c r="CA435" i="40" s="1"/>
  <c r="CA458" i="40" a="1"/>
  <c r="CA458" i="40" s="1"/>
  <c r="CA401" i="40" a="1"/>
  <c r="CA401" i="40" s="1"/>
  <c r="CA504" i="40" a="1"/>
  <c r="CA504" i="40" s="1"/>
  <c r="CA526" i="40" a="1"/>
  <c r="CA526" i="40" s="1"/>
  <c r="CA394" i="40" a="1"/>
  <c r="CA394" i="40" s="1"/>
  <c r="CA312" i="40" a="1"/>
  <c r="CA312" i="40" s="1"/>
  <c r="CA287" i="40" a="1"/>
  <c r="CA287" i="40" s="1"/>
  <c r="CA376" i="40" a="1"/>
  <c r="CA376" i="40" s="1"/>
  <c r="CA333" i="40" a="1"/>
  <c r="CA333" i="40" s="1"/>
  <c r="CA211" i="40" a="1"/>
  <c r="CA211" i="40" s="1"/>
  <c r="CA247" i="40" a="1"/>
  <c r="CA247" i="40" s="1"/>
  <c r="CA593" i="40" a="1"/>
  <c r="CA593" i="40" s="1"/>
  <c r="CA581" i="40" a="1"/>
  <c r="CA581" i="40" s="1"/>
  <c r="CA556" i="40" a="1"/>
  <c r="CA556" i="40" s="1"/>
  <c r="CA637" i="40" a="1"/>
  <c r="CA637" i="40" s="1"/>
  <c r="CA596" i="40" a="1"/>
  <c r="CA596" i="40" s="1"/>
  <c r="CA496" i="40" a="1"/>
  <c r="CA496" i="40" s="1"/>
  <c r="CA628" i="40" a="1"/>
  <c r="CA628" i="40" s="1"/>
  <c r="CA494" i="40" a="1"/>
  <c r="CA494" i="40" s="1"/>
  <c r="CA517" i="40" a="1"/>
  <c r="CA517" i="40" s="1"/>
  <c r="CA421" i="40" a="1"/>
  <c r="CA421" i="40" s="1"/>
  <c r="CA286" i="40" a="1"/>
  <c r="CA286" i="40" s="1"/>
  <c r="CA341" i="40" a="1"/>
  <c r="CA341" i="40" s="1"/>
  <c r="CA426" i="40" a="1"/>
  <c r="CA426" i="40" s="1"/>
  <c r="CA371" i="40" a="1"/>
  <c r="CA371" i="40" s="1"/>
  <c r="CA346" i="40" a="1"/>
  <c r="CA346" i="40" s="1"/>
  <c r="CA216" i="40" a="1"/>
  <c r="CA216" i="40" s="1"/>
  <c r="CA478" i="40" a="1"/>
  <c r="CA478" i="40" s="1"/>
  <c r="CA270" i="40" a="1"/>
  <c r="CA270" i="40" s="1"/>
  <c r="CA325" i="40" a="1"/>
  <c r="CA325" i="40" s="1"/>
  <c r="CA355" i="40" a="1"/>
  <c r="CA355" i="40" s="1"/>
  <c r="CA278" i="40" a="1"/>
  <c r="CA278" i="40" s="1"/>
  <c r="CA577" i="40" a="1"/>
  <c r="CA577" i="40" s="1"/>
  <c r="CA621" i="40" a="1"/>
  <c r="CA621" i="40" s="1"/>
  <c r="CA558" i="40" a="1"/>
  <c r="CA558" i="40" s="1"/>
  <c r="CA480" i="40" a="1"/>
  <c r="CA480" i="40" s="1"/>
  <c r="CA595" i="40" a="1"/>
  <c r="CA595" i="40" s="1"/>
  <c r="CA501" i="40" a="1"/>
  <c r="CA501" i="40" s="1"/>
  <c r="CA398" i="40" a="1"/>
  <c r="CA398" i="40" s="1"/>
  <c r="CA364" i="40" a="1"/>
  <c r="CA364" i="40" s="1"/>
  <c r="CA330" i="40" a="1"/>
  <c r="CA330" i="40" s="1"/>
  <c r="CA561" i="40" a="1"/>
  <c r="CA561" i="40" s="1"/>
  <c r="CA605" i="40" a="1"/>
  <c r="CA605" i="40" s="1"/>
  <c r="CA542" i="40" a="1"/>
  <c r="CA542" i="40" s="1"/>
  <c r="CA464" i="40" a="1"/>
  <c r="CA464" i="40" s="1"/>
  <c r="CA519" i="40" a="1"/>
  <c r="CA519" i="40" s="1"/>
  <c r="CA462" i="40" a="1"/>
  <c r="CA462" i="40" s="1"/>
  <c r="CA485" i="40" a="1"/>
  <c r="CA485" i="40" s="1"/>
  <c r="CA372" i="40" a="1"/>
  <c r="CA372" i="40" s="1"/>
  <c r="CA254" i="40" a="1"/>
  <c r="CA254" i="40" s="1"/>
  <c r="CA309" i="40" a="1"/>
  <c r="CA309" i="40" s="1"/>
  <c r="CA348" i="40" a="1"/>
  <c r="CA348" i="40" s="1"/>
  <c r="CA339" i="40" a="1"/>
  <c r="CA339" i="40" s="1"/>
  <c r="CA314" i="40" a="1"/>
  <c r="CA314" i="40" s="1"/>
  <c r="CA232" i="40" a="1"/>
  <c r="CA232" i="40" s="1"/>
  <c r="CA545" i="40" a="1"/>
  <c r="CA545" i="40" s="1"/>
  <c r="CA674" i="40" a="1"/>
  <c r="CA674" i="40" s="1"/>
  <c r="CA665" i="40" a="1"/>
  <c r="CA665" i="40" s="1"/>
  <c r="CA589" i="40" a="1"/>
  <c r="CA589" i="40" s="1"/>
  <c r="CA537" i="40" a="1"/>
  <c r="CA537" i="40" s="1"/>
  <c r="CA448" i="40" a="1"/>
  <c r="CA448" i="40" s="1"/>
  <c r="CA516" i="40" a="1"/>
  <c r="CA516" i="40" s="1"/>
  <c r="CA446" i="40" a="1"/>
  <c r="CA446" i="40" s="1"/>
  <c r="CA469" i="40" a="1"/>
  <c r="CA469" i="40" s="1"/>
  <c r="CA356" i="40" a="1"/>
  <c r="CA356" i="40" s="1"/>
  <c r="CA238" i="40" a="1"/>
  <c r="CA238" i="40" s="1"/>
  <c r="CA293" i="40" a="1"/>
  <c r="CA293" i="40" s="1"/>
  <c r="CA332" i="40" a="1"/>
  <c r="CA332" i="40" s="1"/>
  <c r="CA323" i="40" a="1"/>
  <c r="CA323" i="40" s="1"/>
  <c r="CA298" i="40" a="1"/>
  <c r="CA298" i="40" s="1"/>
  <c r="CA230" i="40" a="1"/>
  <c r="CA230" i="40" s="1"/>
  <c r="CA529" i="40" a="1"/>
  <c r="CA529" i="40" s="1"/>
  <c r="CA658" i="40" a="1"/>
  <c r="CA658" i="40" s="1"/>
  <c r="CA649" i="40" a="1"/>
  <c r="CA649" i="40" s="1"/>
  <c r="CA518" i="40" a="1"/>
  <c r="CA518" i="40" s="1"/>
  <c r="CA432" i="40" a="1"/>
  <c r="CA432" i="40" s="1"/>
  <c r="CA500" i="40" a="1"/>
  <c r="CA500" i="40" s="1"/>
  <c r="CA430" i="40" a="1"/>
  <c r="CA430" i="40" s="1"/>
  <c r="CA453" i="40" a="1"/>
  <c r="CA453" i="40" s="1"/>
  <c r="CA340" i="40" a="1"/>
  <c r="CA340" i="40" s="1"/>
  <c r="CA415" i="40" a="1"/>
  <c r="CA415" i="40" s="1"/>
  <c r="CA277" i="40" a="1"/>
  <c r="CA277" i="40" s="1"/>
  <c r="CA316" i="40" a="1"/>
  <c r="CA316" i="40" s="1"/>
  <c r="CA307" i="40" a="1"/>
  <c r="CA307" i="40" s="1"/>
  <c r="CA282" i="40" a="1"/>
  <c r="CA282" i="40" s="1"/>
  <c r="CA208" i="40" a="1"/>
  <c r="CA208" i="40" s="1"/>
  <c r="CA642" i="40" a="1"/>
  <c r="CA642" i="40" s="1"/>
  <c r="CA633" i="40" a="1"/>
  <c r="CA633" i="40" s="1"/>
  <c r="CA502" i="40" a="1"/>
  <c r="CA502" i="40" s="1"/>
  <c r="CA416" i="40" a="1"/>
  <c r="CA416" i="40" s="1"/>
  <c r="CA484" i="40" a="1"/>
  <c r="CA484" i="40" s="1"/>
  <c r="CA414" i="40" a="1"/>
  <c r="CA414" i="40" s="1"/>
  <c r="CA523" i="40" a="1"/>
  <c r="CA523" i="40" s="1"/>
  <c r="CA324" i="40" a="1"/>
  <c r="CA324" i="40" s="1"/>
  <c r="CA363" i="40" a="1"/>
  <c r="CA363" i="40" s="1"/>
  <c r="CA434" i="40" a="1"/>
  <c r="CA434" i="40" s="1"/>
  <c r="CA300" i="40" a="1"/>
  <c r="CA300" i="40" s="1"/>
  <c r="CA291" i="40" a="1"/>
  <c r="CA291" i="40" s="1"/>
  <c r="CA429" i="40" a="1"/>
  <c r="CA429" i="40" s="1"/>
  <c r="CA204" i="40" a="1"/>
  <c r="CA204" i="40" s="1"/>
  <c r="CA626" i="40" a="1"/>
  <c r="CA626" i="40" s="1"/>
  <c r="CA617" i="40" a="1"/>
  <c r="CA617" i="40" s="1"/>
  <c r="CA666" i="40" a="1"/>
  <c r="CA666" i="40" s="1"/>
  <c r="CA486" i="40" a="1"/>
  <c r="CA486" i="40" s="1"/>
  <c r="CA400" i="40" a="1"/>
  <c r="CA400" i="40" s="1"/>
  <c r="CA468" i="40" a="1"/>
  <c r="CA468" i="40" s="1"/>
  <c r="CA611" i="40" a="1"/>
  <c r="CA611" i="40" s="1"/>
  <c r="CA514" i="40" a="1"/>
  <c r="CA514" i="40" s="1"/>
  <c r="CA308" i="40" a="1"/>
  <c r="CA308" i="40" s="1"/>
  <c r="CA347" i="40" a="1"/>
  <c r="CA347" i="40" s="1"/>
  <c r="CA370" i="40" a="1"/>
  <c r="CA370" i="40" s="1"/>
  <c r="CA284" i="40" a="1"/>
  <c r="CA284" i="40" s="1"/>
  <c r="CA275" i="40" a="1"/>
  <c r="CA275" i="40" s="1"/>
  <c r="CA383" i="40" a="1"/>
  <c r="CA383" i="40" s="1"/>
  <c r="CA200" i="40" a="1"/>
  <c r="CA200" i="40" s="1"/>
  <c r="CA630" i="40" a="1"/>
  <c r="CA630" i="40" s="1"/>
  <c r="CA390" i="40" a="1"/>
  <c r="CA390" i="40" s="1"/>
  <c r="CA538" i="40" a="1"/>
  <c r="CA538" i="40" s="1"/>
  <c r="CA482" i="40" a="1"/>
  <c r="CA482" i="40" s="1"/>
  <c r="CA614" i="40" a="1"/>
  <c r="CA614" i="40" s="1"/>
  <c r="CA374" i="40" a="1"/>
  <c r="CA374" i="40" s="1"/>
  <c r="CA533" i="40" a="1"/>
  <c r="CA533" i="40" s="1"/>
  <c r="CA466" i="40" a="1"/>
  <c r="CA466" i="40" s="1"/>
  <c r="CA331" i="40" a="1"/>
  <c r="CA331" i="40" s="1"/>
  <c r="CA214" i="40" a="1"/>
  <c r="CA214" i="40" s="1"/>
  <c r="CA439" i="40" a="1"/>
  <c r="CA439" i="40" s="1"/>
  <c r="CA210" i="40" a="1"/>
  <c r="CA210" i="40" s="1"/>
  <c r="CA206" i="40" a="1"/>
  <c r="CA206" i="40" s="1"/>
  <c r="CA592" i="40" a="1"/>
  <c r="CA592" i="40" s="1"/>
  <c r="CA267" i="40" a="1"/>
  <c r="CA267" i="40" s="1"/>
  <c r="CA565" i="40" a="1"/>
  <c r="CA565" i="40" s="1"/>
  <c r="CA578" i="40" a="1"/>
  <c r="CA578" i="40" s="1"/>
  <c r="CA279" i="40" a="1"/>
  <c r="CA279" i="40" s="1"/>
  <c r="CA229" i="40" a="1"/>
  <c r="CA229" i="40" s="1"/>
  <c r="CA388" i="40" a="1"/>
  <c r="CA388" i="40" s="1"/>
  <c r="CA310" i="40" a="1"/>
  <c r="CA310" i="40" s="1"/>
  <c r="CA354" i="40" a="1"/>
  <c r="CA354" i="40" s="1"/>
  <c r="CA352" i="40" a="1"/>
  <c r="CA352" i="40" s="1"/>
  <c r="CA487" i="40" a="1"/>
  <c r="CA487" i="40" s="1"/>
  <c r="CA662" i="40" a="1"/>
  <c r="CA662" i="40" s="1"/>
  <c r="CA498" i="40" a="1"/>
  <c r="CA498" i="40" s="1"/>
  <c r="CA218" i="40" a="1"/>
  <c r="CA218" i="40" s="1"/>
  <c r="CA237" i="40" a="1"/>
  <c r="CA237" i="40" s="1"/>
  <c r="CA677" i="40" a="1"/>
  <c r="CA677" i="40" s="1"/>
  <c r="CA640" i="40" a="1"/>
  <c r="CA640" i="40" s="1"/>
  <c r="CA680" i="40" a="1"/>
  <c r="CA680" i="40" s="1"/>
  <c r="CA600" i="40" a="1"/>
  <c r="CA600" i="40" s="1"/>
  <c r="CA450" i="40" a="1"/>
  <c r="CA450" i="40" s="1"/>
  <c r="CA315" i="40" a="1"/>
  <c r="CA315" i="40" s="1"/>
  <c r="CA424" i="40" a="1"/>
  <c r="CA424" i="40" s="1"/>
  <c r="CA404" i="40" a="1"/>
  <c r="CA404" i="40" s="1"/>
  <c r="CA539" i="40" a="1"/>
  <c r="CA539" i="40" s="1"/>
  <c r="CA227" i="40" a="1"/>
  <c r="CA227" i="40" s="1"/>
  <c r="CA653" i="40" a="1"/>
  <c r="CA653" i="40" s="1"/>
  <c r="CA295" i="40" a="1"/>
  <c r="CA295" i="40" s="1"/>
  <c r="CA643" i="40" a="1"/>
  <c r="CA643" i="40" s="1"/>
  <c r="CA562" i="40" a="1"/>
  <c r="CA562" i="40" s="1"/>
  <c r="CA264" i="40" a="1"/>
  <c r="CA264" i="40" s="1"/>
  <c r="CA525" i="40" a="1"/>
  <c r="CA525" i="40" s="1"/>
  <c r="CA262" i="40" a="1"/>
  <c r="CA262" i="40" s="1"/>
  <c r="CA510" i="40" a="1"/>
  <c r="CA510" i="40" s="1"/>
  <c r="CA557" i="40" a="1"/>
  <c r="CA557" i="40" s="1"/>
  <c r="CA207" i="40" a="1"/>
  <c r="CA207" i="40" s="1"/>
  <c r="CA612" i="40" a="1"/>
  <c r="CA612" i="40" s="1"/>
  <c r="CA294" i="40" a="1"/>
  <c r="CA294" i="40" s="1"/>
  <c r="CA409" i="40" a="1"/>
  <c r="CA409" i="40" s="1"/>
  <c r="CA585" i="40" a="1"/>
  <c r="CA585" i="40" s="1"/>
  <c r="CA553" i="40" a="1"/>
  <c r="CA553" i="40" s="1"/>
  <c r="CA406" i="40" a="1"/>
  <c r="CA406" i="40" s="1"/>
  <c r="CA661" i="40" a="1"/>
  <c r="CA661" i="40" s="1"/>
  <c r="CA624" i="40" a="1"/>
  <c r="CA624" i="40" s="1"/>
  <c r="CA660" i="40" a="1"/>
  <c r="CA660" i="40" s="1"/>
  <c r="CA580" i="40" a="1"/>
  <c r="CA580" i="40" s="1"/>
  <c r="CA644" i="40" a="1"/>
  <c r="CA644" i="40" s="1"/>
  <c r="CA299" i="40" a="1"/>
  <c r="CA299" i="40" s="1"/>
  <c r="CA268" i="40" a="1"/>
  <c r="CA268" i="40" s="1"/>
  <c r="CA381" i="40" a="1"/>
  <c r="CA381" i="40" s="1"/>
  <c r="CA202" i="40" a="1"/>
  <c r="CA202" i="40" s="1"/>
  <c r="CA522" i="40" a="1"/>
  <c r="CA522" i="40" s="1"/>
  <c r="CA359" i="40" a="1"/>
  <c r="CA359" i="40" s="1"/>
  <c r="CA361" i="40" a="1"/>
  <c r="CA361" i="40" s="1"/>
  <c r="CA280" i="40" a="1"/>
  <c r="CA280" i="40" s="1"/>
  <c r="CA632" i="40" a="1"/>
  <c r="CA632" i="40" s="1"/>
  <c r="CA554" i="40" a="1"/>
  <c r="CA554" i="40" s="1"/>
  <c r="CA535" i="40" a="1"/>
  <c r="CA535" i="40" s="1"/>
  <c r="CA431" i="40" a="1"/>
  <c r="CA431" i="40" s="1"/>
  <c r="CA301" i="40" a="1"/>
  <c r="CA301" i="40" s="1"/>
  <c r="CA569" i="40" a="1"/>
  <c r="CA569" i="40" s="1"/>
  <c r="CA645" i="40" a="1"/>
  <c r="CA645" i="40" s="1"/>
  <c r="CA608" i="40" a="1"/>
  <c r="CA608" i="40" s="1"/>
  <c r="CA419" i="40" a="1"/>
  <c r="CA419" i="40" s="1"/>
  <c r="CA573" i="40" a="1"/>
  <c r="CA573" i="40" s="1"/>
  <c r="CA579" i="40" a="1"/>
  <c r="CA579" i="40" s="1"/>
  <c r="CA283" i="40" a="1"/>
  <c r="CA283" i="40" s="1"/>
  <c r="CA252" i="40" a="1"/>
  <c r="CA252" i="40" s="1"/>
  <c r="CA362" i="40" a="1"/>
  <c r="CA362" i="40" s="1"/>
  <c r="CA198" i="40" a="1"/>
  <c r="CA198" i="40" s="1"/>
  <c r="CA403" i="40" a="1"/>
  <c r="CA403" i="40" s="1"/>
  <c r="CA236" i="40" a="1"/>
  <c r="CA236" i="40" s="1"/>
  <c r="CA221" i="40" a="1"/>
  <c r="CA221" i="40" s="1"/>
  <c r="CA296" i="40" a="1"/>
  <c r="CA296" i="40" s="1"/>
  <c r="CA634" i="40" a="1"/>
  <c r="CA634" i="40" s="1"/>
  <c r="CA329" i="40" a="1"/>
  <c r="CA329" i="40" s="1"/>
  <c r="CA618" i="40" a="1"/>
  <c r="CA618" i="40" s="1"/>
  <c r="CA420" i="40" a="1"/>
  <c r="CA420" i="40" s="1"/>
  <c r="CA586" i="40" a="1"/>
  <c r="CA586" i="40" s="1"/>
  <c r="CA373" i="40" a="1"/>
  <c r="CA373" i="40" s="1"/>
  <c r="CA456" i="40" a="1"/>
  <c r="CA456" i="40" s="1"/>
  <c r="CA472" i="40" a="1"/>
  <c r="CA472" i="40" s="1"/>
  <c r="CA336" i="40" a="1"/>
  <c r="CA336" i="40" s="1"/>
  <c r="CA320" i="40" a="1"/>
  <c r="CA320" i="40" s="1"/>
  <c r="CA531" i="40" a="1"/>
  <c r="CA531" i="40" s="1"/>
  <c r="CA452" i="40" a="1"/>
  <c r="CA452" i="40" s="1"/>
  <c r="CA243" i="40" a="1"/>
  <c r="CA243" i="40" s="1"/>
  <c r="CA629" i="40" a="1"/>
  <c r="CA629" i="40" s="1"/>
  <c r="CA613" i="40" a="1"/>
  <c r="CA613" i="40" s="1"/>
  <c r="CA387" i="40" a="1"/>
  <c r="CA387" i="40" s="1"/>
  <c r="CA385" i="40" a="1"/>
  <c r="CA385" i="40" s="1"/>
  <c r="CA534" i="40" a="1"/>
  <c r="CA534" i="40" s="1"/>
  <c r="CA251" i="40" a="1"/>
  <c r="CA251" i="40" s="1"/>
  <c r="CA418" i="40" a="1"/>
  <c r="CA418" i="40" s="1"/>
  <c r="CA343" i="40" a="1"/>
  <c r="CA343" i="40" s="1"/>
  <c r="CE11" i="40"/>
  <c r="CA378" i="40" a="1"/>
  <c r="CA378" i="40" s="1"/>
  <c r="CA492" i="40" a="1"/>
  <c r="CA492" i="40" s="1"/>
  <c r="CA563" i="40" a="1"/>
  <c r="CA563" i="40" s="1"/>
  <c r="CA384" i="40" a="1"/>
  <c r="CA384" i="40" s="1"/>
  <c r="CA442" i="40" a="1"/>
  <c r="CA442" i="40" s="1"/>
  <c r="CA570" i="40" a="1"/>
  <c r="CA570" i="40" s="1"/>
  <c r="CA548" i="40" a="1"/>
  <c r="CA548" i="40" s="1"/>
  <c r="CA670" i="40" a="1"/>
  <c r="CA670" i="40" s="1"/>
  <c r="CA304" i="40" a="1"/>
  <c r="CA304" i="40" s="1"/>
  <c r="CA288" i="40" a="1"/>
  <c r="CA288" i="40" s="1"/>
  <c r="CA350" i="40" a="1"/>
  <c r="CA350" i="40" s="1"/>
  <c r="CA334" i="40" a="1"/>
  <c r="CA334" i="40" s="1"/>
  <c r="CA597" i="40" a="1"/>
  <c r="CA597" i="40" s="1"/>
  <c r="CA547" i="40" a="1"/>
  <c r="CA547" i="40" s="1"/>
  <c r="CA676" i="40" a="1"/>
  <c r="CA676" i="40" s="1"/>
  <c r="CA675" i="40" a="1"/>
  <c r="CA675" i="40" s="1"/>
  <c r="CA235" i="40" a="1"/>
  <c r="CA235" i="40" s="1"/>
  <c r="CA380" i="40" a="1"/>
  <c r="CA380" i="40" s="1"/>
  <c r="CA327" i="40" a="1"/>
  <c r="CA327" i="40" s="1"/>
  <c r="CA225" i="40" a="1"/>
  <c r="CA225" i="40" s="1"/>
  <c r="CA311" i="40" a="1"/>
  <c r="CA311" i="40" s="1"/>
  <c r="CA521" i="40" a="1"/>
  <c r="CA521" i="40" s="1"/>
  <c r="CA650" i="40" a="1"/>
  <c r="CA650" i="40" s="1"/>
  <c r="CA345" i="40" a="1"/>
  <c r="CA345" i="40" s="1"/>
  <c r="CA460" i="40" a="1"/>
  <c r="CA460" i="40" s="1"/>
  <c r="CA546" i="40" a="1"/>
  <c r="CA546" i="40" s="1"/>
  <c r="CA602" i="40" a="1"/>
  <c r="CA602" i="40" s="1"/>
  <c r="CA358" i="40" a="1"/>
  <c r="CA358" i="40" s="1"/>
  <c r="CA342" i="40" a="1"/>
  <c r="CA342" i="40" s="1"/>
  <c r="CA671" i="40" a="1"/>
  <c r="CA671" i="40" s="1"/>
  <c r="CA203" i="40" a="1"/>
  <c r="CA203" i="40" s="1"/>
  <c r="CA223" i="40" a="1"/>
  <c r="CA223" i="40" s="1"/>
  <c r="CA488" i="40" a="1"/>
  <c r="CA488" i="40" s="1"/>
  <c r="CA413" i="40" a="1"/>
  <c r="CA413" i="40" s="1"/>
  <c r="CA606" i="40" a="1"/>
  <c r="CA606" i="40" s="1"/>
  <c r="CA253" i="40" a="1"/>
  <c r="CA253" i="40" s="1"/>
  <c r="CA659" i="40" a="1"/>
  <c r="CA659" i="40" s="1"/>
  <c r="CA646" i="40" a="1"/>
  <c r="CA646" i="40" s="1"/>
  <c r="CA610" i="40" a="1"/>
  <c r="CA610" i="40" s="1"/>
  <c r="CA669" i="40" a="1"/>
  <c r="CA669" i="40" s="1"/>
  <c r="CA532" i="40" a="1"/>
  <c r="CA532" i="40" s="1"/>
  <c r="CA567" i="40" a="1"/>
  <c r="CA567" i="40" s="1"/>
  <c r="CA508" i="40" a="1"/>
  <c r="CA508" i="40" s="1"/>
  <c r="CA594" i="40" a="1"/>
  <c r="CA594" i="40" s="1"/>
  <c r="CA476" i="40" a="1"/>
  <c r="CA476" i="40" s="1"/>
  <c r="CA440" i="40" a="1"/>
  <c r="CA440" i="40" s="1"/>
  <c r="CA407" i="40" a="1"/>
  <c r="CA407" i="40" s="1"/>
  <c r="CA242" i="40" a="1"/>
  <c r="CA242" i="40" s="1"/>
  <c r="CA353" i="40" a="1"/>
  <c r="CA353" i="40" s="1"/>
  <c r="CA622" i="40" a="1"/>
  <c r="CA622" i="40" s="1"/>
  <c r="CA438" i="40" a="1"/>
  <c r="CA438" i="40" s="1"/>
  <c r="CA213" i="40" a="1"/>
  <c r="CA213" i="40" s="1"/>
  <c r="CA512" i="40" a="1"/>
  <c r="CA512" i="40" s="1"/>
  <c r="CA326" i="40" a="1"/>
  <c r="CA326" i="40" s="1"/>
  <c r="CA655" i="40" a="1"/>
  <c r="CA655" i="40" s="1"/>
  <c r="CA679" i="40" a="1"/>
  <c r="CA679" i="40" s="1"/>
  <c r="CA552" i="40" a="1"/>
  <c r="CA552" i="40" s="1"/>
  <c r="CA536" i="40" a="1"/>
  <c r="CA536" i="40" s="1"/>
  <c r="CA292" i="40" a="1"/>
  <c r="CA292" i="40" s="1"/>
  <c r="CA199" i="40" a="1"/>
  <c r="CA199" i="40" s="1"/>
  <c r="CA234" i="40" a="1"/>
  <c r="CA234" i="40" s="1"/>
  <c r="CA638" i="40" a="1"/>
  <c r="CA638" i="40" s="1"/>
  <c r="CA454" i="40" a="1"/>
  <c r="CA454" i="40" s="1"/>
  <c r="CA422" i="40" a="1"/>
  <c r="CA422" i="40" s="1"/>
  <c r="CA663" i="40" a="1"/>
  <c r="CA663" i="40" s="1"/>
  <c r="CA524" i="40" a="1"/>
  <c r="CA524" i="40" s="1"/>
  <c r="CA528" i="40" a="1"/>
  <c r="CA528" i="40" s="1"/>
  <c r="CA276" i="40" a="1"/>
  <c r="CA276" i="40" s="1"/>
  <c r="CA357" i="40" a="1"/>
  <c r="CA357" i="40" s="1"/>
  <c r="CA195" i="40" a="1"/>
  <c r="CA195" i="40" s="1"/>
  <c r="CA368" i="40" a="1"/>
  <c r="CA368" i="40" s="1"/>
  <c r="CA601" i="40" a="1"/>
  <c r="CA601" i="40" s="1"/>
  <c r="CA470" i="40" a="1"/>
  <c r="CA470" i="40" s="1"/>
  <c r="CA678" i="40" a="1"/>
  <c r="CA678" i="40" s="1"/>
  <c r="CA673" i="40" a="1"/>
  <c r="CA673" i="40" s="1"/>
  <c r="CA668" i="40" a="1"/>
  <c r="CA668" i="40" s="1"/>
  <c r="CA647" i="40" a="1"/>
  <c r="CA647" i="40" s="1"/>
  <c r="CA509" i="40" a="1"/>
  <c r="CA509" i="40" s="1"/>
  <c r="CA507" i="40" a="1"/>
  <c r="CA507" i="40" s="1"/>
  <c r="CA260" i="40" a="1"/>
  <c r="CA260" i="40" s="1"/>
  <c r="CA657" i="40" a="1"/>
  <c r="CA657" i="40" s="1"/>
  <c r="CA652" i="40" a="1"/>
  <c r="CA652" i="40" s="1"/>
  <c r="CA473" i="40" a="1"/>
  <c r="CA473" i="40" s="1"/>
  <c r="CA493" i="40" a="1"/>
  <c r="CA493" i="40" s="1"/>
  <c r="CA491" i="40" a="1"/>
  <c r="CA491" i="40" s="1"/>
  <c r="CA244" i="40" a="1"/>
  <c r="CA244" i="40" s="1"/>
  <c r="CA338" i="40" a="1"/>
  <c r="CA338" i="40" s="1"/>
  <c r="CA389" i="40" a="1"/>
  <c r="CA389" i="40" s="1"/>
  <c r="CA250" i="40" a="1"/>
  <c r="CA250" i="40" s="1"/>
  <c r="CA369" i="40" a="1"/>
  <c r="CA369" i="40" s="1"/>
  <c r="CA259" i="40" a="1"/>
  <c r="CA259" i="40" s="1"/>
  <c r="CA399" i="40" a="1"/>
  <c r="CA399" i="40" s="1"/>
  <c r="CA392" i="40" a="1"/>
  <c r="CA392" i="40" s="1"/>
  <c r="CA255" i="40" a="1"/>
  <c r="CA255" i="40" s="1"/>
  <c r="CA239" i="40" a="1"/>
  <c r="CA239" i="40" s="1"/>
  <c r="CA226" i="40" a="1"/>
  <c r="CA226" i="40" s="1"/>
  <c r="CA641" i="40" a="1"/>
  <c r="CA641" i="40" s="1"/>
  <c r="CA636" i="40" a="1"/>
  <c r="CA636" i="40" s="1"/>
  <c r="CA457" i="40" a="1"/>
  <c r="CA457" i="40" s="1"/>
  <c r="CA477" i="40" a="1"/>
  <c r="CA477" i="40" s="1"/>
  <c r="CA475" i="40" a="1"/>
  <c r="CA475" i="40" s="1"/>
  <c r="CA228" i="40" a="1"/>
  <c r="CA228" i="40" s="1"/>
  <c r="CA322" i="40" a="1"/>
  <c r="CA322" i="40" s="1"/>
  <c r="CA408" i="40" a="1"/>
  <c r="CA408" i="40" s="1"/>
  <c r="CA240" i="40" a="1"/>
  <c r="CA240" i="40" s="1"/>
  <c r="CA530" i="40" a="1"/>
  <c r="CA530" i="40" s="1"/>
  <c r="CA471" i="40" a="1"/>
  <c r="CA471" i="40" s="1"/>
  <c r="CA590" i="40" a="1"/>
  <c r="CA590" i="40" s="1"/>
  <c r="CA625" i="40" a="1"/>
  <c r="CA625" i="40" s="1"/>
  <c r="CA620" i="40" a="1"/>
  <c r="CA620" i="40" s="1"/>
  <c r="CA441" i="40" a="1"/>
  <c r="CA441" i="40" s="1"/>
  <c r="CA459" i="40" a="1"/>
  <c r="CA459" i="40" s="1"/>
  <c r="CA447" i="40" a="1"/>
  <c r="CA447" i="40" s="1"/>
  <c r="CA306" i="40" a="1"/>
  <c r="CA306" i="40" s="1"/>
  <c r="CA391" i="40" a="1"/>
  <c r="CA391" i="40" s="1"/>
  <c r="CA274" i="40" a="1"/>
  <c r="CA274" i="40" s="1"/>
  <c r="CA261" i="40" a="1"/>
  <c r="CA261" i="40" s="1"/>
  <c r="CA455" i="40" a="1"/>
  <c r="CA455" i="40" s="1"/>
  <c r="CA318" i="40" a="1"/>
  <c r="CA318" i="40" s="1"/>
  <c r="CA609" i="40" a="1"/>
  <c r="CA609" i="40" s="1"/>
  <c r="CA604" i="40" a="1"/>
  <c r="CA604" i="40" s="1"/>
  <c r="CA425" i="40" a="1"/>
  <c r="CA425" i="40" s="1"/>
  <c r="CA648" i="40" a="1"/>
  <c r="CA648" i="40" s="1"/>
  <c r="CA443" i="40" a="1"/>
  <c r="CA443" i="40" s="1"/>
  <c r="CA423" i="40" a="1"/>
  <c r="CA423" i="40" s="1"/>
  <c r="CA290" i="40" a="1"/>
  <c r="CA290" i="40" s="1"/>
  <c r="CA410" i="40" a="1"/>
  <c r="CA410" i="40" s="1"/>
  <c r="CA196" i="40" a="1"/>
  <c r="CA196" i="40" s="1"/>
  <c r="CA444" i="40" a="1"/>
  <c r="CA444" i="40" s="1"/>
  <c r="CA436" i="40" a="1"/>
  <c r="CA436" i="40" s="1"/>
  <c r="CA584" i="40" a="1"/>
  <c r="CA584" i="40" s="1"/>
  <c r="CA212" i="40" a="1"/>
  <c r="CA212" i="40" s="1"/>
  <c r="CA366" i="40" a="1"/>
  <c r="CA366" i="40" s="1"/>
  <c r="CA667" i="40" a="1"/>
  <c r="CA667" i="40" s="1"/>
  <c r="CA269" i="40" a="1"/>
  <c r="CA269" i="40" s="1"/>
  <c r="CA588" i="40" a="1"/>
  <c r="CA588" i="40" s="1"/>
  <c r="CA654" i="40" a="1"/>
  <c r="CA654" i="40" s="1"/>
  <c r="CA572" i="40" a="1"/>
  <c r="CA572" i="40" s="1"/>
  <c r="CA393" i="40" a="1"/>
  <c r="CA393" i="40" s="1"/>
  <c r="CA503" i="40" a="1"/>
  <c r="CA503" i="40" s="1"/>
  <c r="CA219" i="40" a="1"/>
  <c r="CA219" i="40" s="1"/>
  <c r="CA396" i="40" a="1"/>
  <c r="CA396" i="40" s="1"/>
  <c r="CA271" i="40" a="1"/>
  <c r="CA271" i="40" s="1"/>
  <c r="CA263" i="40" a="1"/>
  <c r="CA263" i="40" s="1"/>
  <c r="CA627" i="40" a="1"/>
  <c r="CA627" i="40" s="1"/>
  <c r="CA222" i="40" a="1"/>
  <c r="CA222" i="40" s="1"/>
  <c r="CA377" i="40" a="1"/>
  <c r="CA377" i="40" s="1"/>
  <c r="CA560" i="40" a="1"/>
  <c r="CA560" i="40" s="1"/>
  <c r="CA520" i="40" a="1"/>
  <c r="CA520" i="40" s="1"/>
  <c r="CA317" i="40" a="1"/>
  <c r="CA317" i="40" s="1"/>
  <c r="CA285" i="40" a="1"/>
  <c r="CA285" i="40" s="1"/>
  <c r="CA302" i="40" a="1"/>
  <c r="CA302" i="40" s="1"/>
  <c r="CA135" i="40" a="1"/>
  <c r="CA135" i="40" s="1"/>
  <c r="CA155" i="40" a="1"/>
  <c r="CA155" i="40" s="1"/>
  <c r="CA103" i="40" a="1"/>
  <c r="CA103" i="40" s="1"/>
  <c r="CA166" i="40" a="1"/>
  <c r="CA166" i="40" s="1"/>
  <c r="CA117" i="40" a="1"/>
  <c r="CA117" i="40" s="1"/>
  <c r="CA130" i="40" a="1"/>
  <c r="CA130" i="40" s="1"/>
  <c r="CA181" i="40" a="1"/>
  <c r="CA181" i="40" s="1"/>
  <c r="CA190" i="40" a="1"/>
  <c r="CA190" i="40" s="1"/>
  <c r="CA108" i="40" a="1"/>
  <c r="CA108" i="40" s="1"/>
  <c r="CA118" i="40" a="1"/>
  <c r="CA118" i="40" s="1"/>
  <c r="CA189" i="40" a="1"/>
  <c r="CA189" i="40" s="1"/>
  <c r="CA176" i="40" a="1"/>
  <c r="CA176" i="40" s="1"/>
  <c r="CA96" i="40" a="1"/>
  <c r="CA96" i="40" s="1"/>
  <c r="CA133" i="40" a="1"/>
  <c r="CA133" i="40" s="1"/>
  <c r="CA153" i="40" a="1"/>
  <c r="CA153" i="40" s="1"/>
  <c r="CA112" i="40" a="1"/>
  <c r="CA112" i="40" s="1"/>
  <c r="CA158" i="40" a="1"/>
  <c r="CA158" i="40" s="1"/>
  <c r="CA110" i="40" a="1"/>
  <c r="CA110" i="40" s="1"/>
  <c r="CA165" i="40" a="1"/>
  <c r="CA165" i="40" s="1"/>
  <c r="CA188" i="40" a="1"/>
  <c r="CA188" i="40" s="1"/>
  <c r="CA114" i="40" a="1"/>
  <c r="CA114" i="40" s="1"/>
  <c r="CA134" i="40" a="1"/>
  <c r="CA134" i="40" s="1"/>
  <c r="CA143" i="40" a="1"/>
  <c r="CA143" i="40" s="1"/>
  <c r="CA120" i="40" a="1"/>
  <c r="CA120" i="40" s="1"/>
  <c r="CA187" i="40" a="1"/>
  <c r="CA187" i="40" s="1"/>
  <c r="CA95" i="40" a="1"/>
  <c r="CA95" i="40" s="1"/>
  <c r="CA109" i="40" a="1"/>
  <c r="CA109" i="40" s="1"/>
  <c r="CA105" i="40" a="1"/>
  <c r="CA105" i="40" s="1"/>
  <c r="CA34" i="40" a="1"/>
  <c r="CA34" i="40" s="1"/>
  <c r="CA137" i="40" a="1"/>
  <c r="CA137" i="40" s="1"/>
  <c r="CA136" i="40" a="1"/>
  <c r="CA136" i="40" s="1"/>
  <c r="CA106" i="40" a="1"/>
  <c r="CA106" i="40" s="1"/>
  <c r="CA180" i="40" a="1"/>
  <c r="CA180" i="40" s="1"/>
  <c r="CA161" i="40" a="1"/>
  <c r="CA161" i="40" s="1"/>
  <c r="CA119" i="40" a="1"/>
  <c r="CA119" i="40" s="1"/>
  <c r="CA173" i="40" a="1"/>
  <c r="CA173" i="40" s="1"/>
  <c r="CA193" i="40" a="1"/>
  <c r="CA193" i="40" s="1"/>
  <c r="CA192" i="40" a="1"/>
  <c r="CA192" i="40" s="1"/>
  <c r="CA123" i="40" a="1"/>
  <c r="CA123" i="40" s="1"/>
  <c r="CA157" i="40" a="1"/>
  <c r="CA157" i="40" s="1"/>
  <c r="CA101" i="40" a="1"/>
  <c r="CA101" i="40" s="1"/>
  <c r="CA194" i="40" a="1"/>
  <c r="CA194" i="40" s="1"/>
  <c r="CA152" i="40" a="1"/>
  <c r="CA152" i="40" s="1"/>
  <c r="CA172" i="40" a="1"/>
  <c r="CA172" i="40" s="1"/>
  <c r="CA162" i="40" a="1"/>
  <c r="CA162" i="40" s="1"/>
  <c r="CA98" i="40" a="1"/>
  <c r="CA98" i="40" s="1"/>
  <c r="CA129" i="40" a="1"/>
  <c r="CA129" i="40" s="1"/>
  <c r="CA140" i="40" a="1"/>
  <c r="CA140" i="40" s="1"/>
  <c r="CA168" i="40" a="1"/>
  <c r="CA168" i="40" s="1"/>
  <c r="CA175" i="40" a="1"/>
  <c r="CA175" i="40" s="1"/>
  <c r="CA145" i="40" a="1"/>
  <c r="CA145" i="40" s="1"/>
  <c r="CA132" i="40" a="1"/>
  <c r="CA132" i="40" s="1"/>
  <c r="CA159" i="40" a="1"/>
  <c r="CA159" i="40" s="1"/>
  <c r="CA179" i="40" a="1"/>
  <c r="CA179" i="40" s="1"/>
  <c r="CA111" i="40" a="1"/>
  <c r="CA111" i="40" s="1"/>
  <c r="CA177" i="40" a="1"/>
  <c r="CA177" i="40" s="1"/>
  <c r="CA163" i="40" a="1"/>
  <c r="CA163" i="40" s="1"/>
  <c r="CA183" i="40" a="1"/>
  <c r="CA183" i="40" s="1"/>
  <c r="CA94" i="40" a="1"/>
  <c r="CA94" i="40" s="1"/>
  <c r="CA142" i="40" a="1"/>
  <c r="CA142" i="40" s="1"/>
  <c r="CA121" i="40" a="1"/>
  <c r="CA121" i="40" s="1"/>
  <c r="CA139" i="40" a="1"/>
  <c r="CA139" i="40" s="1"/>
  <c r="CA122" i="40" a="1"/>
  <c r="CA122" i="40" s="1"/>
  <c r="CA156" i="40" a="1"/>
  <c r="CA156" i="40" s="1"/>
  <c r="CA149" i="40" a="1"/>
  <c r="CA149" i="40" s="1"/>
  <c r="CA92" i="40" a="1"/>
  <c r="CA92" i="40" s="1"/>
  <c r="CA186" i="40" a="1"/>
  <c r="CA186" i="40" s="1"/>
  <c r="CA171" i="40" a="1"/>
  <c r="CA171" i="40" s="1"/>
  <c r="CA146" i="40" a="1"/>
  <c r="CA146" i="40" s="1"/>
  <c r="CA141" i="40" a="1"/>
  <c r="CA141" i="40" s="1"/>
  <c r="CA182" i="40" a="1"/>
  <c r="CA182" i="40" s="1"/>
  <c r="CA91" i="40" a="1"/>
  <c r="CA91" i="40" s="1"/>
  <c r="CA93" i="40" a="1"/>
  <c r="CA93" i="40" s="1"/>
  <c r="CA178" i="40" a="1"/>
  <c r="CA178" i="40" s="1"/>
  <c r="CA100" i="40" a="1"/>
  <c r="CA100" i="40" s="1"/>
  <c r="CA113" i="40" a="1"/>
  <c r="CA113" i="40" s="1"/>
  <c r="CA148" i="40" a="1"/>
  <c r="CA148" i="40" s="1"/>
  <c r="CA154" i="40" a="1"/>
  <c r="CA154" i="40" s="1"/>
  <c r="CA127" i="40" a="1"/>
  <c r="CA127" i="40" s="1"/>
  <c r="CA160" i="40" a="1"/>
  <c r="CA160" i="40" s="1"/>
  <c r="CA164" i="40" a="1"/>
  <c r="CA164" i="40" s="1"/>
  <c r="CA131" i="40" a="1"/>
  <c r="CA131" i="40" s="1"/>
  <c r="CA97" i="40" a="1"/>
  <c r="CA97" i="40" s="1"/>
  <c r="CA151" i="40" a="1"/>
  <c r="CA151" i="40" s="1"/>
  <c r="CA184" i="40" a="1"/>
  <c r="CA184" i="40" s="1"/>
  <c r="CA107" i="40" a="1"/>
  <c r="CA107" i="40" s="1"/>
  <c r="CA169" i="40" a="1"/>
  <c r="CA169" i="40" s="1"/>
  <c r="CA138" i="40" a="1"/>
  <c r="CA138" i="40" s="1"/>
  <c r="CA167" i="40" a="1"/>
  <c r="CA167" i="40" s="1"/>
  <c r="CA170" i="40" a="1"/>
  <c r="CA170" i="40" s="1"/>
  <c r="CA174" i="40" a="1"/>
  <c r="CA174" i="40" s="1"/>
  <c r="CA99" i="40" a="1"/>
  <c r="CA99" i="40" s="1"/>
  <c r="CA90" i="40" a="1"/>
  <c r="CA90" i="40" s="1"/>
  <c r="CA150" i="40" a="1"/>
  <c r="CA150" i="40" s="1"/>
  <c r="CA125" i="40" a="1"/>
  <c r="CA125" i="40" s="1"/>
  <c r="CA147" i="40" a="1"/>
  <c r="CA147" i="40" s="1"/>
  <c r="CA89" i="40" a="1"/>
  <c r="CA89" i="40" s="1"/>
  <c r="CA115" i="40" a="1"/>
  <c r="CA115" i="40" s="1"/>
  <c r="CA124" i="40" a="1"/>
  <c r="CA124" i="40" s="1"/>
  <c r="CA104" i="40" a="1"/>
  <c r="CA104" i="40" s="1"/>
  <c r="CA128" i="40" a="1"/>
  <c r="CA128" i="40" s="1"/>
  <c r="CA102" i="40" a="1"/>
  <c r="CA102" i="40" s="1"/>
  <c r="CA144" i="40" a="1"/>
  <c r="CA144" i="40" s="1"/>
  <c r="CA185" i="40" a="1"/>
  <c r="CA185" i="40" s="1"/>
  <c r="CA191" i="40" a="1"/>
  <c r="CA191" i="40" s="1"/>
  <c r="CA126" i="40" a="1"/>
  <c r="CA126" i="40" s="1"/>
  <c r="CA116" i="40" a="1"/>
  <c r="CA116" i="40" s="1"/>
  <c r="BH10" i="40"/>
  <c r="DA674" i="40" a="1"/>
  <c r="DA674" i="40" s="1"/>
  <c r="DA646" i="40" a="1"/>
  <c r="DA646" i="40" s="1"/>
  <c r="DA605" i="40" a="1"/>
  <c r="DA605" i="40" s="1"/>
  <c r="DA638" i="40" a="1"/>
  <c r="DA638" i="40" s="1"/>
  <c r="DA490" i="40" a="1"/>
  <c r="DA490" i="40" s="1"/>
  <c r="DA513" i="40" a="1"/>
  <c r="DA513" i="40" s="1"/>
  <c r="DA456" i="40" a="1"/>
  <c r="DA456" i="40" s="1"/>
  <c r="DA534" i="40" a="1"/>
  <c r="DA534" i="40" s="1"/>
  <c r="DA574" i="40" a="1"/>
  <c r="DA574" i="40" s="1"/>
  <c r="DA377" i="40" a="1"/>
  <c r="DA377" i="40" s="1"/>
  <c r="DA242" i="40" a="1"/>
  <c r="DA242" i="40" s="1"/>
  <c r="DA430" i="40" a="1"/>
  <c r="DA430" i="40" s="1"/>
  <c r="DA320" i="40" a="1"/>
  <c r="DA320" i="40" s="1"/>
  <c r="DA443" i="40" a="1"/>
  <c r="DA443" i="40" s="1"/>
  <c r="DA203" i="40" a="1"/>
  <c r="DA203" i="40" s="1"/>
  <c r="DA75" i="40" a="1"/>
  <c r="DA75" i="40" s="1"/>
  <c r="DA116" i="40" a="1"/>
  <c r="DA116" i="40" s="1"/>
  <c r="DA125" i="40" a="1"/>
  <c r="DA125" i="40" s="1"/>
  <c r="DA170" i="40" a="1"/>
  <c r="DA170" i="40" s="1"/>
  <c r="DA50" i="40" a="1"/>
  <c r="DA50" i="40" s="1"/>
  <c r="DA73" i="40" a="1"/>
  <c r="DA73" i="40" s="1"/>
  <c r="DA603" i="40" a="1"/>
  <c r="DA603" i="40" s="1"/>
  <c r="DA658" i="40" a="1"/>
  <c r="DA658" i="40" s="1"/>
  <c r="DA630" i="40" a="1"/>
  <c r="DA630" i="40" s="1"/>
  <c r="DA589" i="40" a="1"/>
  <c r="DA589" i="40" s="1"/>
  <c r="DA622" i="40" a="1"/>
  <c r="DA622" i="40" s="1"/>
  <c r="DA474" i="40" a="1"/>
  <c r="DA474" i="40" s="1"/>
  <c r="DA497" i="40" a="1"/>
  <c r="DA497" i="40" s="1"/>
  <c r="DA440" i="40" a="1"/>
  <c r="DA440" i="40" s="1"/>
  <c r="DA551" i="40" a="1"/>
  <c r="DA551" i="40" s="1"/>
  <c r="DA560" i="40" a="1"/>
  <c r="DA560" i="40" s="1"/>
  <c r="DA360" i="40" a="1"/>
  <c r="DA360" i="40" s="1"/>
  <c r="DA444" i="40" a="1"/>
  <c r="DA444" i="40" s="1"/>
  <c r="DA428" i="40" a="1"/>
  <c r="DA428" i="40" s="1"/>
  <c r="DA304" i="40" a="1"/>
  <c r="DA304" i="40" s="1"/>
  <c r="DA441" i="40" a="1"/>
  <c r="DA441" i="40" s="1"/>
  <c r="DA199" i="40" a="1"/>
  <c r="DA199" i="40" s="1"/>
  <c r="DA218" i="40" a="1"/>
  <c r="DA218" i="40" s="1"/>
  <c r="DA112" i="40" a="1"/>
  <c r="DA112" i="40" s="1"/>
  <c r="DA121" i="40" a="1"/>
  <c r="DA121" i="40" s="1"/>
  <c r="DA166" i="40" a="1"/>
  <c r="DA166" i="40" s="1"/>
  <c r="DA46" i="40" a="1"/>
  <c r="DA46" i="40" s="1"/>
  <c r="DA69" i="40" a="1"/>
  <c r="DA69" i="40" s="1"/>
  <c r="DA642" i="40" a="1"/>
  <c r="DA642" i="40" s="1"/>
  <c r="DA614" i="40" a="1"/>
  <c r="DA614" i="40" s="1"/>
  <c r="DA573" i="40" a="1"/>
  <c r="DA573" i="40" s="1"/>
  <c r="DA606" i="40" a="1"/>
  <c r="DA606" i="40" s="1"/>
  <c r="DA458" i="40" a="1"/>
  <c r="DA458" i="40" s="1"/>
  <c r="DA481" i="40" a="1"/>
  <c r="DA481" i="40" s="1"/>
  <c r="DA424" i="40" a="1"/>
  <c r="DA424" i="40" s="1"/>
  <c r="DA511" i="40" a="1"/>
  <c r="DA511" i="40" s="1"/>
  <c r="DA618" i="40" a="1"/>
  <c r="DA618" i="40" s="1"/>
  <c r="DA344" i="40" a="1"/>
  <c r="DA344" i="40" s="1"/>
  <c r="DA409" i="40" a="1"/>
  <c r="DA409" i="40" s="1"/>
  <c r="DA420" i="40" a="1"/>
  <c r="DA420" i="40" s="1"/>
  <c r="DA288" i="40" a="1"/>
  <c r="DA288" i="40" s="1"/>
  <c r="DA435" i="40" a="1"/>
  <c r="DA435" i="40" s="1"/>
  <c r="DA195" i="40" a="1"/>
  <c r="DA195" i="40" s="1"/>
  <c r="DA211" i="40" a="1"/>
  <c r="DA211" i="40" s="1"/>
  <c r="DA108" i="40" a="1"/>
  <c r="DA108" i="40" s="1"/>
  <c r="DA117" i="40" a="1"/>
  <c r="DA117" i="40" s="1"/>
  <c r="DA162" i="40" a="1"/>
  <c r="DA162" i="40" s="1"/>
  <c r="DA42" i="40" a="1"/>
  <c r="DA42" i="40" s="1"/>
  <c r="DA65" i="40" a="1"/>
  <c r="DA65" i="40" s="1"/>
  <c r="DA626" i="40" a="1"/>
  <c r="DA626" i="40" s="1"/>
  <c r="DA598" i="40" a="1"/>
  <c r="DA598" i="40" s="1"/>
  <c r="DA557" i="40" a="1"/>
  <c r="DA557" i="40" s="1"/>
  <c r="DA590" i="40" a="1"/>
  <c r="DA590" i="40" s="1"/>
  <c r="DA442" i="40" a="1"/>
  <c r="DA442" i="40" s="1"/>
  <c r="DA465" i="40" a="1"/>
  <c r="DA465" i="40" s="1"/>
  <c r="DA408" i="40" a="1"/>
  <c r="DA408" i="40" s="1"/>
  <c r="DA495" i="40" a="1"/>
  <c r="DA495" i="40" s="1"/>
  <c r="DA607" i="40" a="1"/>
  <c r="DA607" i="40" s="1"/>
  <c r="DA328" i="40" a="1"/>
  <c r="DA328" i="40" s="1"/>
  <c r="DA403" i="40" a="1"/>
  <c r="DA403" i="40" s="1"/>
  <c r="DA358" i="40" a="1"/>
  <c r="DA358" i="40" s="1"/>
  <c r="DA272" i="40" a="1"/>
  <c r="DA272" i="40" s="1"/>
  <c r="DA431" i="40" a="1"/>
  <c r="DA431" i="40" s="1"/>
  <c r="DA191" i="40" a="1"/>
  <c r="DA191" i="40" s="1"/>
  <c r="DA254" i="40" a="1"/>
  <c r="DA254" i="40" s="1"/>
  <c r="DA238" i="40" a="1"/>
  <c r="DA238" i="40" s="1"/>
  <c r="DA113" i="40" a="1"/>
  <c r="DA113" i="40" s="1"/>
  <c r="DA158" i="40" a="1"/>
  <c r="DA158" i="40" s="1"/>
  <c r="DA86" i="40" a="1"/>
  <c r="DA86" i="40" s="1"/>
  <c r="DA61" i="40" a="1"/>
  <c r="DA61" i="40" s="1"/>
  <c r="DA480" i="40" a="1"/>
  <c r="DA480" i="40" s="1"/>
  <c r="DA248" i="40" a="1"/>
  <c r="DA248" i="40" s="1"/>
  <c r="DA610" i="40" a="1"/>
  <c r="DA610" i="40" s="1"/>
  <c r="DA582" i="40" a="1"/>
  <c r="DA582" i="40" s="1"/>
  <c r="DA426" i="40" a="1"/>
  <c r="DA426" i="40" s="1"/>
  <c r="DA449" i="40" a="1"/>
  <c r="DA449" i="40" s="1"/>
  <c r="DA392" i="40" a="1"/>
  <c r="DA392" i="40" s="1"/>
  <c r="DA479" i="40" a="1"/>
  <c r="DA479" i="40" s="1"/>
  <c r="DA564" i="40" a="1"/>
  <c r="DA564" i="40" s="1"/>
  <c r="DA312" i="40" a="1"/>
  <c r="DA312" i="40" s="1"/>
  <c r="DA436" i="40" a="1"/>
  <c r="DA436" i="40" s="1"/>
  <c r="DA342" i="40" a="1"/>
  <c r="DA342" i="40" s="1"/>
  <c r="DA256" i="40" a="1"/>
  <c r="DA256" i="40" s="1"/>
  <c r="DA372" i="40" a="1"/>
  <c r="DA372" i="40" s="1"/>
  <c r="DA187" i="40" a="1"/>
  <c r="DA187" i="40" s="1"/>
  <c r="DA250" i="40" a="1"/>
  <c r="DA250" i="40" s="1"/>
  <c r="DA234" i="40" a="1"/>
  <c r="DA234" i="40" s="1"/>
  <c r="DA109" i="40" a="1"/>
  <c r="DA109" i="40" s="1"/>
  <c r="DA154" i="40" a="1"/>
  <c r="DA154" i="40" s="1"/>
  <c r="DA104" i="40" a="1"/>
  <c r="DA104" i="40" s="1"/>
  <c r="DA57" i="40" a="1"/>
  <c r="DA57" i="40" s="1"/>
  <c r="DA671" i="40" a="1"/>
  <c r="DA671" i="40" s="1"/>
  <c r="DA594" i="40" a="1"/>
  <c r="DA594" i="40" s="1"/>
  <c r="DA566" i="40" a="1"/>
  <c r="DA566" i="40" s="1"/>
  <c r="DA410" i="40" a="1"/>
  <c r="DA410" i="40" s="1"/>
  <c r="DA376" i="40" a="1"/>
  <c r="DA376" i="40" s="1"/>
  <c r="DA463" i="40" a="1"/>
  <c r="DA463" i="40" s="1"/>
  <c r="DA515" i="40" a="1"/>
  <c r="DA515" i="40" s="1"/>
  <c r="DA296" i="40" a="1"/>
  <c r="DA296" i="40" s="1"/>
  <c r="DA399" i="40" a="1"/>
  <c r="DA399" i="40" s="1"/>
  <c r="DA326" i="40" a="1"/>
  <c r="DA326" i="40" s="1"/>
  <c r="DA240" i="40" a="1"/>
  <c r="DA240" i="40" s="1"/>
  <c r="DA356" i="40" a="1"/>
  <c r="DA356" i="40" s="1"/>
  <c r="DA183" i="40" a="1"/>
  <c r="DA183" i="40" s="1"/>
  <c r="DA252" i="40" a="1"/>
  <c r="DA252" i="40" s="1"/>
  <c r="DA236" i="40" a="1"/>
  <c r="DA236" i="40" s="1"/>
  <c r="DA105" i="40" a="1"/>
  <c r="DA105" i="40" s="1"/>
  <c r="DA150" i="40" a="1"/>
  <c r="DA150" i="40" s="1"/>
  <c r="DA102" i="40" a="1"/>
  <c r="DA102" i="40" s="1"/>
  <c r="DA53" i="40" a="1"/>
  <c r="DA53" i="40" s="1"/>
  <c r="DA575" i="40" a="1"/>
  <c r="DA575" i="40" s="1"/>
  <c r="DA578" i="40" a="1"/>
  <c r="DA578" i="40" s="1"/>
  <c r="DA550" i="40" a="1"/>
  <c r="DA550" i="40" s="1"/>
  <c r="DA679" i="40" a="1"/>
  <c r="DA679" i="40" s="1"/>
  <c r="DA512" i="40" a="1"/>
  <c r="DA512" i="40" s="1"/>
  <c r="DA394" i="40" a="1"/>
  <c r="DA394" i="40" s="1"/>
  <c r="DA571" i="40" a="1"/>
  <c r="DA571" i="40" s="1"/>
  <c r="DA531" i="40" a="1"/>
  <c r="DA531" i="40" s="1"/>
  <c r="DA602" i="40" a="1"/>
  <c r="DA602" i="40" s="1"/>
  <c r="DA499" i="40" a="1"/>
  <c r="DA499" i="40" s="1"/>
  <c r="DA280" i="40" a="1"/>
  <c r="DA280" i="40" s="1"/>
  <c r="DA367" i="40" a="1"/>
  <c r="DA367" i="40" s="1"/>
  <c r="DA310" i="40" a="1"/>
  <c r="DA310" i="40" s="1"/>
  <c r="DA414" i="40" a="1"/>
  <c r="DA414" i="40" s="1"/>
  <c r="DA340" i="40" a="1"/>
  <c r="DA340" i="40" s="1"/>
  <c r="DA179" i="40" a="1"/>
  <c r="DA179" i="40" s="1"/>
  <c r="DA216" i="40" a="1"/>
  <c r="DA216" i="40" s="1"/>
  <c r="DA212" i="40" a="1"/>
  <c r="DA212" i="40" s="1"/>
  <c r="DA101" i="40" a="1"/>
  <c r="DA101" i="40" s="1"/>
  <c r="DA146" i="40" a="1"/>
  <c r="DA146" i="40" s="1"/>
  <c r="DA100" i="40" a="1"/>
  <c r="DA100" i="40" s="1"/>
  <c r="DA49" i="40" a="1"/>
  <c r="DA49" i="40" s="1"/>
  <c r="DA647" i="40" a="1"/>
  <c r="DA647" i="40" s="1"/>
  <c r="DA562" i="40" a="1"/>
  <c r="DA562" i="40" s="1"/>
  <c r="DA663" i="40" a="1"/>
  <c r="DA663" i="40" s="1"/>
  <c r="DA496" i="40" a="1"/>
  <c r="DA496" i="40" s="1"/>
  <c r="DA378" i="40" a="1"/>
  <c r="DA378" i="40" s="1"/>
  <c r="DA567" i="40" a="1"/>
  <c r="DA567" i="40" s="1"/>
  <c r="DA667" i="40" a="1"/>
  <c r="DA667" i="40" s="1"/>
  <c r="DA544" i="40" a="1"/>
  <c r="DA544" i="40" s="1"/>
  <c r="DA483" i="40" a="1"/>
  <c r="DA483" i="40" s="1"/>
  <c r="DA264" i="40" a="1"/>
  <c r="DA264" i="40" s="1"/>
  <c r="DA351" i="40" a="1"/>
  <c r="DA351" i="40" s="1"/>
  <c r="DA294" i="40" a="1"/>
  <c r="DA294" i="40" s="1"/>
  <c r="DA412" i="40" a="1"/>
  <c r="DA412" i="40" s="1"/>
  <c r="DA324" i="40" a="1"/>
  <c r="DA324" i="40" s="1"/>
  <c r="DA175" i="40" a="1"/>
  <c r="DA175" i="40" s="1"/>
  <c r="DA244" i="40" a="1"/>
  <c r="DA244" i="40" s="1"/>
  <c r="DA265" i="40" a="1"/>
  <c r="DA265" i="40" s="1"/>
  <c r="DA97" i="40" a="1"/>
  <c r="DA97" i="40" s="1"/>
  <c r="DA142" i="40" a="1"/>
  <c r="DA142" i="40" s="1"/>
  <c r="DA84" i="40" a="1"/>
  <c r="DA84" i="40" s="1"/>
  <c r="DA45" i="40" a="1"/>
  <c r="DA45" i="40" s="1"/>
  <c r="DA675" i="40" a="1"/>
  <c r="DA675" i="40" s="1"/>
  <c r="DA631" i="40" a="1"/>
  <c r="DA631" i="40" s="1"/>
  <c r="DA680" i="40" a="1"/>
  <c r="DA680" i="40" s="1"/>
  <c r="DA668" i="40" a="1"/>
  <c r="DA668" i="40" s="1"/>
  <c r="DA659" i="40" a="1"/>
  <c r="DA659" i="40" s="1"/>
  <c r="DA615" i="40" a="1"/>
  <c r="DA615" i="40" s="1"/>
  <c r="DA664" i="40" a="1"/>
  <c r="DA664" i="40" s="1"/>
  <c r="DA652" i="40" a="1"/>
  <c r="DA652" i="40" s="1"/>
  <c r="DA643" i="40" a="1"/>
  <c r="DA643" i="40" s="1"/>
  <c r="DA599" i="40" a="1"/>
  <c r="DA599" i="40" s="1"/>
  <c r="DA648" i="40" a="1"/>
  <c r="DA648" i="40" s="1"/>
  <c r="DA636" i="40" a="1"/>
  <c r="DA636" i="40" s="1"/>
  <c r="DA627" i="40" a="1"/>
  <c r="DA627" i="40" s="1"/>
  <c r="DA632" i="40" a="1"/>
  <c r="DA632" i="40" s="1"/>
  <c r="DA620" i="40" a="1"/>
  <c r="DA620" i="40" s="1"/>
  <c r="DA611" i="40" a="1"/>
  <c r="DA611" i="40" s="1"/>
  <c r="DA616" i="40" a="1"/>
  <c r="DA616" i="40" s="1"/>
  <c r="DA604" i="40" a="1"/>
  <c r="DA604" i="40" s="1"/>
  <c r="DA595" i="40" a="1"/>
  <c r="DA595" i="40" s="1"/>
  <c r="DA600" i="40" a="1"/>
  <c r="DA600" i="40" s="1"/>
  <c r="DA588" i="40" a="1"/>
  <c r="DA588" i="40" s="1"/>
  <c r="DA579" i="40" a="1"/>
  <c r="DA579" i="40" s="1"/>
  <c r="DA584" i="40" a="1"/>
  <c r="DA584" i="40" s="1"/>
  <c r="DA572" i="40" a="1"/>
  <c r="DA572" i="40" s="1"/>
  <c r="DA563" i="40" a="1"/>
  <c r="DA563" i="40" s="1"/>
  <c r="DA644" i="40" a="1"/>
  <c r="DA644" i="40" s="1"/>
  <c r="DA535" i="40" a="1"/>
  <c r="DA535" i="40" s="1"/>
  <c r="DA439" i="40" a="1"/>
  <c r="DA439" i="40" s="1"/>
  <c r="DA587" i="40" a="1"/>
  <c r="DA587" i="40" s="1"/>
  <c r="DA421" i="40" a="1"/>
  <c r="DA421" i="40" s="1"/>
  <c r="DA655" i="40" a="1"/>
  <c r="DA655" i="40" s="1"/>
  <c r="DA419" i="40" a="1"/>
  <c r="DA419" i="40" s="1"/>
  <c r="DA325" i="40" a="1"/>
  <c r="DA325" i="40" s="1"/>
  <c r="DA348" i="40" a="1"/>
  <c r="DA348" i="40" s="1"/>
  <c r="DA339" i="40" a="1"/>
  <c r="DA339" i="40" s="1"/>
  <c r="DA387" i="40" a="1"/>
  <c r="DA387" i="40" s="1"/>
  <c r="DA321" i="40" a="1"/>
  <c r="DA321" i="40" s="1"/>
  <c r="DA139" i="40" a="1"/>
  <c r="DA139" i="40" s="1"/>
  <c r="DA180" i="40" a="1"/>
  <c r="DA180" i="40" s="1"/>
  <c r="DA189" i="40" a="1"/>
  <c r="DA189" i="40" s="1"/>
  <c r="DA255" i="40" a="1"/>
  <c r="DA255" i="40" s="1"/>
  <c r="DA106" i="40" a="1"/>
  <c r="DA106" i="40" s="1"/>
  <c r="DA568" i="40" a="1"/>
  <c r="DA568" i="40" s="1"/>
  <c r="DA628" i="40" a="1"/>
  <c r="DA628" i="40" s="1"/>
  <c r="DA524" i="40" a="1"/>
  <c r="DA524" i="40" s="1"/>
  <c r="DA423" i="40" a="1"/>
  <c r="DA423" i="40" s="1"/>
  <c r="DA548" i="40" a="1"/>
  <c r="DA548" i="40" s="1"/>
  <c r="DA405" i="40" a="1"/>
  <c r="DA405" i="40" s="1"/>
  <c r="DA591" i="40" a="1"/>
  <c r="DA591" i="40" s="1"/>
  <c r="DA415" i="40" a="1"/>
  <c r="DA415" i="40" s="1"/>
  <c r="DA309" i="40" a="1"/>
  <c r="DA309" i="40" s="1"/>
  <c r="DA332" i="40" a="1"/>
  <c r="DA332" i="40" s="1"/>
  <c r="DA323" i="40" a="1"/>
  <c r="DA323" i="40" s="1"/>
  <c r="DA362" i="40" a="1"/>
  <c r="DA362" i="40" s="1"/>
  <c r="DA305" i="40" a="1"/>
  <c r="DA305" i="40" s="1"/>
  <c r="DA135" i="40" a="1"/>
  <c r="DA135" i="40" s="1"/>
  <c r="DA176" i="40" a="1"/>
  <c r="DA176" i="40" s="1"/>
  <c r="DA185" i="40" a="1"/>
  <c r="DA185" i="40" s="1"/>
  <c r="DA224" i="40" a="1"/>
  <c r="DA224" i="40" s="1"/>
  <c r="DA239" i="40" a="1"/>
  <c r="DA239" i="40" s="1"/>
  <c r="DA98" i="40" a="1"/>
  <c r="DA98" i="40" s="1"/>
  <c r="DA552" i="40" a="1"/>
  <c r="DA552" i="40" s="1"/>
  <c r="DA612" i="40" a="1"/>
  <c r="DA612" i="40" s="1"/>
  <c r="DA509" i="40" a="1"/>
  <c r="DA509" i="40" s="1"/>
  <c r="DA407" i="40" a="1"/>
  <c r="DA407" i="40" s="1"/>
  <c r="DA565" i="40" a="1"/>
  <c r="DA565" i="40" s="1"/>
  <c r="DA619" i="40" a="1"/>
  <c r="DA619" i="40" s="1"/>
  <c r="DA586" i="40" a="1"/>
  <c r="DA586" i="40" s="1"/>
  <c r="DA363" i="40" a="1"/>
  <c r="DA363" i="40" s="1"/>
  <c r="DA293" i="40" a="1"/>
  <c r="DA293" i="40" s="1"/>
  <c r="DA316" i="40" a="1"/>
  <c r="DA316" i="40" s="1"/>
  <c r="DA307" i="40" a="1"/>
  <c r="DA307" i="40" s="1"/>
  <c r="DA346" i="40" a="1"/>
  <c r="DA346" i="40" s="1"/>
  <c r="DA289" i="40" a="1"/>
  <c r="DA289" i="40" s="1"/>
  <c r="DA131" i="40" a="1"/>
  <c r="DA131" i="40" s="1"/>
  <c r="DA172" i="40" a="1"/>
  <c r="DA172" i="40" s="1"/>
  <c r="DA181" i="40" a="1"/>
  <c r="DA181" i="40" s="1"/>
  <c r="DA249" i="40" a="1"/>
  <c r="DA249" i="40" s="1"/>
  <c r="DA222" i="40" a="1"/>
  <c r="DA222" i="40" s="1"/>
  <c r="DA82" i="40" a="1"/>
  <c r="DA82" i="40" s="1"/>
  <c r="DA536" i="40" a="1"/>
  <c r="DA536" i="40" s="1"/>
  <c r="DA665" i="40" a="1"/>
  <c r="DA665" i="40" s="1"/>
  <c r="DA672" i="40" a="1"/>
  <c r="DA672" i="40" s="1"/>
  <c r="DA596" i="40" a="1"/>
  <c r="DA596" i="40" s="1"/>
  <c r="DA493" i="40" a="1"/>
  <c r="DA493" i="40" s="1"/>
  <c r="DA391" i="40" a="1"/>
  <c r="DA391" i="40" s="1"/>
  <c r="DA561" i="40" a="1"/>
  <c r="DA561" i="40" s="1"/>
  <c r="DA526" i="40" a="1"/>
  <c r="DA526" i="40" s="1"/>
  <c r="DA347" i="40" a="1"/>
  <c r="DA347" i="40" s="1"/>
  <c r="DA277" i="40" a="1"/>
  <c r="DA277" i="40" s="1"/>
  <c r="DA300" i="40" a="1"/>
  <c r="DA300" i="40" s="1"/>
  <c r="DA291" i="40" a="1"/>
  <c r="DA291" i="40" s="1"/>
  <c r="DA330" i="40" a="1"/>
  <c r="DA330" i="40" s="1"/>
  <c r="DA273" i="40" a="1"/>
  <c r="DA273" i="40" s="1"/>
  <c r="DA127" i="40" a="1"/>
  <c r="DA127" i="40" s="1"/>
  <c r="DA168" i="40" a="1"/>
  <c r="DA168" i="40" s="1"/>
  <c r="DA177" i="40" a="1"/>
  <c r="DA177" i="40" s="1"/>
  <c r="DA247" i="40" a="1"/>
  <c r="DA247" i="40" s="1"/>
  <c r="DA266" i="40" a="1"/>
  <c r="DA266" i="40" s="1"/>
  <c r="DA96" i="40" a="1"/>
  <c r="DA96" i="40" s="1"/>
  <c r="DA657" i="40" a="1"/>
  <c r="DA657" i="40" s="1"/>
  <c r="DA520" i="40" a="1"/>
  <c r="DA520" i="40" s="1"/>
  <c r="DA649" i="40" a="1"/>
  <c r="DA649" i="40" s="1"/>
  <c r="DA656" i="40" a="1"/>
  <c r="DA656" i="40" s="1"/>
  <c r="DA477" i="40" a="1"/>
  <c r="DA477" i="40" s="1"/>
  <c r="DA634" i="40" a="1"/>
  <c r="DA634" i="40" s="1"/>
  <c r="DA528" i="40" a="1"/>
  <c r="DA528" i="40" s="1"/>
  <c r="DA650" i="40" a="1"/>
  <c r="DA650" i="40" s="1"/>
  <c r="DA505" i="40" a="1"/>
  <c r="DA505" i="40" s="1"/>
  <c r="DA331" i="40" a="1"/>
  <c r="DA331" i="40" s="1"/>
  <c r="DA261" i="40" a="1"/>
  <c r="DA261" i="40" s="1"/>
  <c r="DA284" i="40" a="1"/>
  <c r="DA284" i="40" s="1"/>
  <c r="DA275" i="40" a="1"/>
  <c r="DA275" i="40" s="1"/>
  <c r="DA314" i="40" a="1"/>
  <c r="DA314" i="40" s="1"/>
  <c r="DA447" i="40" a="1"/>
  <c r="DA447" i="40" s="1"/>
  <c r="DA123" i="40" a="1"/>
  <c r="DA123" i="40" s="1"/>
  <c r="DA164" i="40" a="1"/>
  <c r="DA164" i="40" s="1"/>
  <c r="DA173" i="40" a="1"/>
  <c r="DA173" i="40" s="1"/>
  <c r="DA237" i="40" a="1"/>
  <c r="DA237" i="40" s="1"/>
  <c r="DA233" i="40" a="1"/>
  <c r="DA233" i="40" s="1"/>
  <c r="DA80" i="40" a="1"/>
  <c r="DA80" i="40" s="1"/>
  <c r="DA500" i="40" a="1"/>
  <c r="DA500" i="40" s="1"/>
  <c r="DA633" i="40" a="1"/>
  <c r="DA633" i="40" s="1"/>
  <c r="DA640" i="40" a="1"/>
  <c r="DA640" i="40" s="1"/>
  <c r="DA461" i="40" a="1"/>
  <c r="DA461" i="40" s="1"/>
  <c r="DA519" i="40" a="1"/>
  <c r="DA519" i="40" s="1"/>
  <c r="DA507" i="40" a="1"/>
  <c r="DA507" i="40" s="1"/>
  <c r="DA546" i="40" a="1"/>
  <c r="DA546" i="40" s="1"/>
  <c r="DA489" i="40" a="1"/>
  <c r="DA489" i="40" s="1"/>
  <c r="DA315" i="40" a="1"/>
  <c r="DA315" i="40" s="1"/>
  <c r="DA245" i="40" a="1"/>
  <c r="DA245" i="40" s="1"/>
  <c r="DA268" i="40" a="1"/>
  <c r="DA268" i="40" s="1"/>
  <c r="DA259" i="40" a="1"/>
  <c r="DA259" i="40" s="1"/>
  <c r="DA298" i="40" a="1"/>
  <c r="DA298" i="40" s="1"/>
  <c r="DA396" i="40" a="1"/>
  <c r="DA396" i="40" s="1"/>
  <c r="DA119" i="40" a="1"/>
  <c r="DA119" i="40" s="1"/>
  <c r="DA160" i="40" a="1"/>
  <c r="DA160" i="40" s="1"/>
  <c r="DA169" i="40" a="1"/>
  <c r="DA169" i="40" s="1"/>
  <c r="DA241" i="40" a="1"/>
  <c r="DA241" i="40" s="1"/>
  <c r="DA220" i="40" a="1"/>
  <c r="DA220" i="40" s="1"/>
  <c r="DA72" i="40" a="1"/>
  <c r="DA72" i="40" s="1"/>
  <c r="DA429" i="40" a="1"/>
  <c r="DA429" i="40" s="1"/>
  <c r="DA617" i="40" a="1"/>
  <c r="DA617" i="40" s="1"/>
  <c r="DA624" i="40" a="1"/>
  <c r="DA624" i="40" s="1"/>
  <c r="DA673" i="40" a="1"/>
  <c r="DA673" i="40" s="1"/>
  <c r="DA445" i="40" a="1"/>
  <c r="DA445" i="40" s="1"/>
  <c r="DA516" i="40" a="1"/>
  <c r="DA516" i="40" s="1"/>
  <c r="DA491" i="40" a="1"/>
  <c r="DA491" i="40" s="1"/>
  <c r="DA514" i="40" a="1"/>
  <c r="DA514" i="40" s="1"/>
  <c r="DA473" i="40" a="1"/>
  <c r="DA473" i="40" s="1"/>
  <c r="DA299" i="40" a="1"/>
  <c r="DA299" i="40" s="1"/>
  <c r="DA229" i="40" a="1"/>
  <c r="DA229" i="40" s="1"/>
  <c r="DA454" i="40" a="1"/>
  <c r="DA454" i="40" s="1"/>
  <c r="DA243" i="40" a="1"/>
  <c r="DA243" i="40" s="1"/>
  <c r="DA282" i="40" a="1"/>
  <c r="DA282" i="40" s="1"/>
  <c r="DA379" i="40" a="1"/>
  <c r="DA379" i="40" s="1"/>
  <c r="DA115" i="40" a="1"/>
  <c r="DA115" i="40" s="1"/>
  <c r="DA156" i="40" a="1"/>
  <c r="DA156" i="40" s="1"/>
  <c r="DA165" i="40" a="1"/>
  <c r="DA165" i="40" s="1"/>
  <c r="DA210" i="40" a="1"/>
  <c r="DA210" i="40" s="1"/>
  <c r="DA231" i="40" a="1"/>
  <c r="DA231" i="40" s="1"/>
  <c r="DA68" i="40" a="1"/>
  <c r="DA68" i="40" s="1"/>
  <c r="DA475" i="40" a="1"/>
  <c r="DA475" i="40" s="1"/>
  <c r="DA677" i="40" a="1"/>
  <c r="DA677" i="40" s="1"/>
  <c r="DA608" i="40" a="1"/>
  <c r="DA608" i="40" s="1"/>
  <c r="DA661" i="40" a="1"/>
  <c r="DA661" i="40" s="1"/>
  <c r="DA585" i="40" a="1"/>
  <c r="DA585" i="40" s="1"/>
  <c r="DA592" i="40" a="1"/>
  <c r="DA592" i="40" s="1"/>
  <c r="DA645" i="40" a="1"/>
  <c r="DA645" i="40" s="1"/>
  <c r="DA569" i="40" a="1"/>
  <c r="DA569" i="40" s="1"/>
  <c r="DA576" i="40" a="1"/>
  <c r="DA576" i="40" s="1"/>
  <c r="DA629" i="40" a="1"/>
  <c r="DA629" i="40" s="1"/>
  <c r="DA553" i="40" a="1"/>
  <c r="DA553" i="40" s="1"/>
  <c r="DA613" i="40" a="1"/>
  <c r="DA613" i="40" s="1"/>
  <c r="DA537" i="40" a="1"/>
  <c r="DA537" i="40" s="1"/>
  <c r="DA597" i="40" a="1"/>
  <c r="DA597" i="40" s="1"/>
  <c r="DA669" i="40" a="1"/>
  <c r="DA669" i="40" s="1"/>
  <c r="DA581" i="40" a="1"/>
  <c r="DA581" i="40" s="1"/>
  <c r="DA653" i="40" a="1"/>
  <c r="DA653" i="40" s="1"/>
  <c r="DA678" i="40" a="1"/>
  <c r="DA678" i="40" s="1"/>
  <c r="DA637" i="40" a="1"/>
  <c r="DA637" i="40" s="1"/>
  <c r="DA662" i="40" a="1"/>
  <c r="DA662" i="40" s="1"/>
  <c r="DA621" i="40" a="1"/>
  <c r="DA621" i="40" s="1"/>
  <c r="DA623" i="40" a="1"/>
  <c r="DA623" i="40" s="1"/>
  <c r="DA504" i="40" a="1"/>
  <c r="DA504" i="40" s="1"/>
  <c r="DA502" i="40" a="1"/>
  <c r="DA502" i="40" s="1"/>
  <c r="DA322" i="40" a="1"/>
  <c r="DA322" i="40" s="1"/>
  <c r="DA219" i="40" a="1"/>
  <c r="DA219" i="40" s="1"/>
  <c r="DA366" i="40" a="1"/>
  <c r="DA366" i="40" s="1"/>
  <c r="DA188" i="40" a="1"/>
  <c r="DA188" i="40" s="1"/>
  <c r="DA77" i="40" a="1"/>
  <c r="DA77" i="40" s="1"/>
  <c r="DA63" i="40" a="1"/>
  <c r="DA63" i="40" s="1"/>
  <c r="DA583" i="40" a="1"/>
  <c r="DA583" i="40" s="1"/>
  <c r="DA488" i="40" a="1"/>
  <c r="DA488" i="40" s="1"/>
  <c r="DA486" i="40" a="1"/>
  <c r="DA486" i="40" s="1"/>
  <c r="DA306" i="40" a="1"/>
  <c r="DA306" i="40" s="1"/>
  <c r="DA215" i="40" a="1"/>
  <c r="DA215" i="40" s="1"/>
  <c r="DA350" i="40" a="1"/>
  <c r="DA350" i="40" s="1"/>
  <c r="DA184" i="40" a="1"/>
  <c r="DA184" i="40" s="1"/>
  <c r="DA257" i="40" a="1"/>
  <c r="DA257" i="40" s="1"/>
  <c r="DA59" i="40" a="1"/>
  <c r="DA59" i="40" s="1"/>
  <c r="DA140" i="40" a="1"/>
  <c r="DA140" i="40" s="1"/>
  <c r="DA94" i="40" a="1"/>
  <c r="DA94" i="40" s="1"/>
  <c r="DA62" i="40" a="1"/>
  <c r="DA62" i="40" s="1"/>
  <c r="DA337" i="40" a="1"/>
  <c r="DA337" i="40" s="1"/>
  <c r="DA81" i="40" a="1"/>
  <c r="DA81" i="40" s="1"/>
  <c r="DA556" i="40" a="1"/>
  <c r="DA556" i="40" s="1"/>
  <c r="DA472" i="40" a="1"/>
  <c r="DA472" i="40" s="1"/>
  <c r="DA470" i="40" a="1"/>
  <c r="DA470" i="40" s="1"/>
  <c r="DA290" i="40" a="1"/>
  <c r="DA290" i="40" s="1"/>
  <c r="DA389" i="40" a="1"/>
  <c r="DA389" i="40" s="1"/>
  <c r="DA334" i="40" a="1"/>
  <c r="DA334" i="40" s="1"/>
  <c r="DA152" i="40" a="1"/>
  <c r="DA152" i="40" s="1"/>
  <c r="DA226" i="40" a="1"/>
  <c r="DA226" i="40" s="1"/>
  <c r="DA55" i="40" a="1"/>
  <c r="DA55" i="40" s="1"/>
  <c r="DA43" i="40" a="1"/>
  <c r="DA43" i="40" s="1"/>
  <c r="DA338" i="40" a="1"/>
  <c r="DA338" i="40" s="1"/>
  <c r="DA527" i="40" a="1"/>
  <c r="DA527" i="40" s="1"/>
  <c r="DA555" i="40" a="1"/>
  <c r="DA555" i="40" s="1"/>
  <c r="DA666" i="40" a="1"/>
  <c r="DA666" i="40" s="1"/>
  <c r="DA274" i="40" a="1"/>
  <c r="DA274" i="40" s="1"/>
  <c r="DA393" i="40" a="1"/>
  <c r="DA393" i="40" s="1"/>
  <c r="DA318" i="40" a="1"/>
  <c r="DA318" i="40" s="1"/>
  <c r="DA148" i="40" a="1"/>
  <c r="DA148" i="40" s="1"/>
  <c r="DA269" i="40" a="1"/>
  <c r="DA269" i="40" s="1"/>
  <c r="DA51" i="40" a="1"/>
  <c r="DA51" i="40" s="1"/>
  <c r="DA202" i="40" a="1"/>
  <c r="DA202" i="40" s="1"/>
  <c r="DA182" i="40" a="1"/>
  <c r="DA182" i="40" s="1"/>
  <c r="DA88" i="40" a="1"/>
  <c r="DA88" i="40" s="1"/>
  <c r="DA506" i="40" a="1"/>
  <c r="DA506" i="40" s="1"/>
  <c r="DA517" i="40" a="1"/>
  <c r="DA517" i="40" s="1"/>
  <c r="DA467" i="40" a="1"/>
  <c r="DA467" i="40" s="1"/>
  <c r="DA258" i="40" a="1"/>
  <c r="DA258" i="40" s="1"/>
  <c r="DA368" i="40" a="1"/>
  <c r="DA368" i="40" s="1"/>
  <c r="DA302" i="40" a="1"/>
  <c r="DA302" i="40" s="1"/>
  <c r="DA144" i="40" a="1"/>
  <c r="DA144" i="40" s="1"/>
  <c r="DA206" i="40" a="1"/>
  <c r="DA206" i="40" s="1"/>
  <c r="DA47" i="40" a="1"/>
  <c r="DA47" i="40" s="1"/>
  <c r="DA286" i="40" a="1"/>
  <c r="DA286" i="40" s="1"/>
  <c r="DA48" i="40" a="1"/>
  <c r="DA48" i="40" s="1"/>
  <c r="DA545" i="40" a="1"/>
  <c r="DA545" i="40" s="1"/>
  <c r="DA501" i="40" a="1"/>
  <c r="DA501" i="40" s="1"/>
  <c r="DA558" i="40" a="1"/>
  <c r="DA558" i="40" s="1"/>
  <c r="DA335" i="40" a="1"/>
  <c r="DA335" i="40" s="1"/>
  <c r="DA352" i="40" a="1"/>
  <c r="DA352" i="40" s="1"/>
  <c r="DA540" i="40" a="1"/>
  <c r="DA540" i="40" s="1"/>
  <c r="DA485" i="40" a="1"/>
  <c r="DA485" i="40" s="1"/>
  <c r="DA547" i="40" a="1"/>
  <c r="DA547" i="40" s="1"/>
  <c r="DA319" i="40" a="1"/>
  <c r="DA319" i="40" s="1"/>
  <c r="DA336" i="40" a="1"/>
  <c r="DA336" i="40" s="1"/>
  <c r="DA270" i="40" a="1"/>
  <c r="DA270" i="40" s="1"/>
  <c r="DA136" i="40" a="1"/>
  <c r="DA136" i="40" s="1"/>
  <c r="DA198" i="40" a="1"/>
  <c r="DA198" i="40" s="1"/>
  <c r="DA64" i="40" a="1"/>
  <c r="DA64" i="40" s="1"/>
  <c r="DA124" i="40" a="1"/>
  <c r="DA124" i="40" s="1"/>
  <c r="DA44" i="40" a="1"/>
  <c r="DA44" i="40" s="1"/>
  <c r="DA530" i="40" a="1"/>
  <c r="DA530" i="40" s="1"/>
  <c r="DA469" i="40" a="1"/>
  <c r="DA469" i="40" s="1"/>
  <c r="DA542" i="40" a="1"/>
  <c r="DA542" i="40" s="1"/>
  <c r="DA303" i="40" a="1"/>
  <c r="DA303" i="40" s="1"/>
  <c r="DA365" i="40" a="1"/>
  <c r="DA365" i="40" s="1"/>
  <c r="DA260" i="40" a="1"/>
  <c r="DA260" i="40" s="1"/>
  <c r="DA132" i="40" a="1"/>
  <c r="DA132" i="40" s="1"/>
  <c r="DA194" i="40" a="1"/>
  <c r="DA194" i="40" s="1"/>
  <c r="DA60" i="40" a="1"/>
  <c r="DA60" i="40" s="1"/>
  <c r="DA186" i="40" a="1"/>
  <c r="DA186" i="40" s="1"/>
  <c r="DA518" i="40" a="1"/>
  <c r="DA518" i="40" s="1"/>
  <c r="DA503" i="40" a="1"/>
  <c r="DA503" i="40" s="1"/>
  <c r="DA453" i="40" a="1"/>
  <c r="DA453" i="40" s="1"/>
  <c r="DA532" i="40" a="1"/>
  <c r="DA532" i="40" s="1"/>
  <c r="DA287" i="40" a="1"/>
  <c r="DA287" i="40" s="1"/>
  <c r="DA349" i="40" a="1"/>
  <c r="DA349" i="40" s="1"/>
  <c r="DA207" i="40" a="1"/>
  <c r="DA207" i="40" s="1"/>
  <c r="DA128" i="40" a="1"/>
  <c r="DA128" i="40" s="1"/>
  <c r="DA190" i="40" a="1"/>
  <c r="DA190" i="40" s="1"/>
  <c r="DA56" i="40" a="1"/>
  <c r="DA56" i="40" s="1"/>
  <c r="DA178" i="40" a="1"/>
  <c r="DA178" i="40" s="1"/>
  <c r="DA487" i="40" a="1"/>
  <c r="DA487" i="40" s="1"/>
  <c r="DA437" i="40" a="1"/>
  <c r="DA437" i="40" s="1"/>
  <c r="DA521" i="40" a="1"/>
  <c r="DA521" i="40" s="1"/>
  <c r="DA271" i="40" a="1"/>
  <c r="DA271" i="40" s="1"/>
  <c r="DA333" i="40" a="1"/>
  <c r="DA333" i="40" s="1"/>
  <c r="DA171" i="40" a="1"/>
  <c r="DA171" i="40" s="1"/>
  <c r="DA52" i="40" a="1"/>
  <c r="DA52" i="40" s="1"/>
  <c r="DA601" i="40" a="1"/>
  <c r="DA601" i="40" s="1"/>
  <c r="DA471" i="40" a="1"/>
  <c r="DA471" i="40" s="1"/>
  <c r="DA498" i="40" a="1"/>
  <c r="DA498" i="40" s="1"/>
  <c r="DA427" i="40" a="1"/>
  <c r="DA427" i="40" s="1"/>
  <c r="DA438" i="40" a="1"/>
  <c r="DA438" i="40" s="1"/>
  <c r="DA317" i="40" a="1"/>
  <c r="DA317" i="40" s="1"/>
  <c r="DA167" i="40" a="1"/>
  <c r="DA167" i="40" s="1"/>
  <c r="DA120" i="40" a="1"/>
  <c r="DA120" i="40" s="1"/>
  <c r="DA455" i="40" a="1"/>
  <c r="DA455" i="40" s="1"/>
  <c r="DA482" i="40" a="1"/>
  <c r="DA482" i="40" s="1"/>
  <c r="DA425" i="40" a="1"/>
  <c r="DA425" i="40" s="1"/>
  <c r="DA401" i="40" a="1"/>
  <c r="DA401" i="40" s="1"/>
  <c r="DA301" i="40" a="1"/>
  <c r="DA301" i="40" s="1"/>
  <c r="DA163" i="40" a="1"/>
  <c r="DA163" i="40" s="1"/>
  <c r="DA228" i="40" a="1"/>
  <c r="DA228" i="40" s="1"/>
  <c r="DA676" i="40" a="1"/>
  <c r="DA676" i="40" s="1"/>
  <c r="DA484" i="40" a="1"/>
  <c r="DA484" i="40" s="1"/>
  <c r="DA466" i="40" a="1"/>
  <c r="DA466" i="40" s="1"/>
  <c r="DA283" i="40" a="1"/>
  <c r="DA283" i="40" s="1"/>
  <c r="DA364" i="40" a="1"/>
  <c r="DA364" i="40" s="1"/>
  <c r="DA285" i="40" a="1"/>
  <c r="DA285" i="40" s="1"/>
  <c r="DA159" i="40" a="1"/>
  <c r="DA159" i="40" s="1"/>
  <c r="DA263" i="40" a="1"/>
  <c r="DA263" i="40" s="1"/>
  <c r="DA174" i="40" a="1"/>
  <c r="DA174" i="40" s="1"/>
  <c r="DA660" i="40" a="1"/>
  <c r="DA660" i="40" s="1"/>
  <c r="DA468" i="40" a="1"/>
  <c r="DA468" i="40" s="1"/>
  <c r="DA450" i="40" a="1"/>
  <c r="DA450" i="40" s="1"/>
  <c r="DA267" i="40" a="1"/>
  <c r="DA267" i="40" s="1"/>
  <c r="DA451" i="40" a="1"/>
  <c r="DA451" i="40" s="1"/>
  <c r="DA374" i="40" a="1"/>
  <c r="DA374" i="40" s="1"/>
  <c r="DA155" i="40" a="1"/>
  <c r="DA155" i="40" s="1"/>
  <c r="DA253" i="40" a="1"/>
  <c r="DA253" i="40" s="1"/>
  <c r="DA138" i="40" a="1"/>
  <c r="DA138" i="40" s="1"/>
  <c r="DA78" i="40" a="1"/>
  <c r="DA78" i="40" s="1"/>
  <c r="DA641" i="40" a="1"/>
  <c r="DA641" i="40" s="1"/>
  <c r="DA452" i="40" a="1"/>
  <c r="DA452" i="40" s="1"/>
  <c r="DA434" i="40" a="1"/>
  <c r="DA434" i="40" s="1"/>
  <c r="DA251" i="40" a="1"/>
  <c r="DA251" i="40" s="1"/>
  <c r="DA382" i="40" a="1"/>
  <c r="DA382" i="40" s="1"/>
  <c r="DA404" i="40" a="1"/>
  <c r="DA404" i="40" s="1"/>
  <c r="DA151" i="40" a="1"/>
  <c r="DA151" i="40" s="1"/>
  <c r="DA209" i="40" a="1"/>
  <c r="DA209" i="40" s="1"/>
  <c r="DA134" i="40" a="1"/>
  <c r="DA134" i="40" s="1"/>
  <c r="DA92" i="40" a="1"/>
  <c r="DA92" i="40" s="1"/>
  <c r="DA625" i="40" a="1"/>
  <c r="DA625" i="40" s="1"/>
  <c r="DA651" i="40" a="1"/>
  <c r="DA651" i="40" s="1"/>
  <c r="DA418" i="40" a="1"/>
  <c r="DA418" i="40" s="1"/>
  <c r="DA235" i="40" a="1"/>
  <c r="DA235" i="40" s="1"/>
  <c r="DA380" i="40" a="1"/>
  <c r="DA380" i="40" s="1"/>
  <c r="DA406" i="40" a="1"/>
  <c r="DA406" i="40" s="1"/>
  <c r="DA147" i="40" a="1"/>
  <c r="DA147" i="40" s="1"/>
  <c r="DA205" i="40" a="1"/>
  <c r="DA205" i="40" s="1"/>
  <c r="DA130" i="40" a="1"/>
  <c r="DA130" i="40" s="1"/>
  <c r="DA41" i="40" a="1"/>
  <c r="DA41" i="40" s="1"/>
  <c r="DA609" i="40" a="1"/>
  <c r="DA609" i="40" s="1"/>
  <c r="DA538" i="40" a="1"/>
  <c r="DA538" i="40" s="1"/>
  <c r="DA402" i="40" a="1"/>
  <c r="DA402" i="40" s="1"/>
  <c r="DA225" i="40" a="1"/>
  <c r="DA225" i="40" s="1"/>
  <c r="DA361" i="40" a="1"/>
  <c r="DA361" i="40" s="1"/>
  <c r="DA383" i="40" a="1"/>
  <c r="DA383" i="40" s="1"/>
  <c r="DA143" i="40" a="1"/>
  <c r="DA143" i="40" s="1"/>
  <c r="DA201" i="40" a="1"/>
  <c r="DA201" i="40" s="1"/>
  <c r="DA126" i="40" a="1"/>
  <c r="DA126" i="40" s="1"/>
  <c r="DA223" i="40" a="1"/>
  <c r="DA223" i="40" s="1"/>
  <c r="DA67" i="40" a="1"/>
  <c r="DA67" i="40" s="1"/>
  <c r="DA593" i="40" a="1"/>
  <c r="DA593" i="40" s="1"/>
  <c r="DA580" i="40" a="1"/>
  <c r="DA580" i="40" s="1"/>
  <c r="DA386" i="40" a="1"/>
  <c r="DA386" i="40" s="1"/>
  <c r="DA221" i="40" a="1"/>
  <c r="DA221" i="40" s="1"/>
  <c r="DA345" i="40" a="1"/>
  <c r="DA345" i="40" s="1"/>
  <c r="DA385" i="40" a="1"/>
  <c r="DA385" i="40" s="1"/>
  <c r="DA111" i="40" a="1"/>
  <c r="DA111" i="40" s="1"/>
  <c r="DA197" i="40" a="1"/>
  <c r="DA197" i="40" s="1"/>
  <c r="DA122" i="40" a="1"/>
  <c r="DA122" i="40" s="1"/>
  <c r="DA533" i="40" a="1"/>
  <c r="DA533" i="40" s="1"/>
  <c r="DA577" i="40" a="1"/>
  <c r="DA577" i="40" s="1"/>
  <c r="DA217" i="40" a="1"/>
  <c r="DA217" i="40" s="1"/>
  <c r="DA329" i="40" a="1"/>
  <c r="DA329" i="40" s="1"/>
  <c r="DA359" i="40" a="1"/>
  <c r="DA359" i="40" s="1"/>
  <c r="DA107" i="40" a="1"/>
  <c r="DA107" i="40" s="1"/>
  <c r="DA193" i="40" a="1"/>
  <c r="DA193" i="40" s="1"/>
  <c r="DA118" i="40" a="1"/>
  <c r="DA118" i="40" s="1"/>
  <c r="DA522" i="40" a="1"/>
  <c r="DA522" i="40" s="1"/>
  <c r="DA523" i="40" a="1"/>
  <c r="DA523" i="40" s="1"/>
  <c r="DA213" i="40" a="1"/>
  <c r="DA213" i="40" s="1"/>
  <c r="DA313" i="40" a="1"/>
  <c r="DA313" i="40" s="1"/>
  <c r="DA343" i="40" a="1"/>
  <c r="DA343" i="40" s="1"/>
  <c r="DA103" i="40" a="1"/>
  <c r="DA103" i="40" s="1"/>
  <c r="DA161" i="40" a="1"/>
  <c r="DA161" i="40" s="1"/>
  <c r="DA114" i="40" a="1"/>
  <c r="DA114" i="40" s="1"/>
  <c r="DA541" i="40" a="1"/>
  <c r="DA541" i="40" s="1"/>
  <c r="DA670" i="40" a="1"/>
  <c r="DA670" i="40" s="1"/>
  <c r="DA543" i="40" a="1"/>
  <c r="DA543" i="40" s="1"/>
  <c r="DA508" i="40" a="1"/>
  <c r="DA508" i="40" s="1"/>
  <c r="DA417" i="40" a="1"/>
  <c r="DA417" i="40" s="1"/>
  <c r="DA297" i="40" a="1"/>
  <c r="DA297" i="40" s="1"/>
  <c r="DA327" i="40" a="1"/>
  <c r="DA327" i="40" s="1"/>
  <c r="DA99" i="40" a="1"/>
  <c r="DA99" i="40" s="1"/>
  <c r="DA157" i="40" a="1"/>
  <c r="DA157" i="40" s="1"/>
  <c r="DA110" i="40" a="1"/>
  <c r="DA110" i="40" s="1"/>
  <c r="DA654" i="40" a="1"/>
  <c r="DA654" i="40" s="1"/>
  <c r="DA525" i="40" a="1"/>
  <c r="DA525" i="40" s="1"/>
  <c r="DA492" i="40" a="1"/>
  <c r="DA492" i="40" s="1"/>
  <c r="DA232" i="40" a="1"/>
  <c r="DA232" i="40" s="1"/>
  <c r="DA281" i="40" a="1"/>
  <c r="DA281" i="40" s="1"/>
  <c r="DA311" i="40" a="1"/>
  <c r="DA311" i="40" s="1"/>
  <c r="DA95" i="40" a="1"/>
  <c r="DA95" i="40" s="1"/>
  <c r="DA153" i="40" a="1"/>
  <c r="DA153" i="40" s="1"/>
  <c r="DA76" i="40" a="1"/>
  <c r="DA76" i="40" s="1"/>
  <c r="DA381" i="40" a="1"/>
  <c r="DA381" i="40" s="1"/>
  <c r="DA464" i="40" a="1"/>
  <c r="DA464" i="40" s="1"/>
  <c r="DA510" i="40" a="1"/>
  <c r="DA510" i="40" s="1"/>
  <c r="DA476" i="40" a="1"/>
  <c r="DA476" i="40" s="1"/>
  <c r="DA375" i="40" a="1"/>
  <c r="DA375" i="40" s="1"/>
  <c r="DA278" i="40" a="1"/>
  <c r="DA278" i="40" s="1"/>
  <c r="DA295" i="40" a="1"/>
  <c r="DA295" i="40" s="1"/>
  <c r="DA91" i="40" a="1"/>
  <c r="DA91" i="40" s="1"/>
  <c r="DA149" i="40" a="1"/>
  <c r="DA149" i="40" s="1"/>
  <c r="DA90" i="40" a="1"/>
  <c r="DA90" i="40" s="1"/>
  <c r="DA192" i="40" a="1"/>
  <c r="DA192" i="40" s="1"/>
  <c r="DA448" i="40" a="1"/>
  <c r="DA448" i="40" s="1"/>
  <c r="DA494" i="40" a="1"/>
  <c r="DA494" i="40" s="1"/>
  <c r="DA460" i="40" a="1"/>
  <c r="DA460" i="40" s="1"/>
  <c r="DA390" i="40" a="1"/>
  <c r="DA390" i="40" s="1"/>
  <c r="DA262" i="40" a="1"/>
  <c r="DA262" i="40" s="1"/>
  <c r="DA279" i="40" a="1"/>
  <c r="DA279" i="40" s="1"/>
  <c r="DA87" i="40" a="1"/>
  <c r="DA87" i="40" s="1"/>
  <c r="DA145" i="40" a="1"/>
  <c r="DA145" i="40" s="1"/>
  <c r="DA432" i="40" a="1"/>
  <c r="DA432" i="40" s="1"/>
  <c r="DA478" i="40" a="1"/>
  <c r="DA478" i="40" s="1"/>
  <c r="DA570" i="40" a="1"/>
  <c r="DA570" i="40" s="1"/>
  <c r="DA388" i="40" a="1"/>
  <c r="DA388" i="40" s="1"/>
  <c r="DA246" i="40" a="1"/>
  <c r="DA246" i="40" s="1"/>
  <c r="DA308" i="40" a="1"/>
  <c r="DA308" i="40" s="1"/>
  <c r="DA83" i="40" a="1"/>
  <c r="DA83" i="40" s="1"/>
  <c r="DA141" i="40" a="1"/>
  <c r="DA141" i="40" s="1"/>
  <c r="DA74" i="40" a="1"/>
  <c r="DA74" i="40" s="1"/>
  <c r="DA416" i="40" a="1"/>
  <c r="DA416" i="40" s="1"/>
  <c r="DA462" i="40" a="1"/>
  <c r="DA462" i="40" s="1"/>
  <c r="DA539" i="40" a="1"/>
  <c r="DA539" i="40" s="1"/>
  <c r="DA373" i="40" a="1"/>
  <c r="DA373" i="40" s="1"/>
  <c r="DA230" i="40" a="1"/>
  <c r="DA230" i="40" s="1"/>
  <c r="DA292" i="40" a="1"/>
  <c r="DA292" i="40" s="1"/>
  <c r="DA79" i="40" a="1"/>
  <c r="DA79" i="40" s="1"/>
  <c r="DA137" i="40" a="1"/>
  <c r="DA137" i="40" s="1"/>
  <c r="DA70" i="40" a="1"/>
  <c r="DA70" i="40" s="1"/>
  <c r="DA400" i="40" a="1"/>
  <c r="DA400" i="40" s="1"/>
  <c r="DA446" i="40" a="1"/>
  <c r="DA446" i="40" s="1"/>
  <c r="DA357" i="40" a="1"/>
  <c r="DA357" i="40" s="1"/>
  <c r="DA422" i="40" a="1"/>
  <c r="DA422" i="40" s="1"/>
  <c r="DA276" i="40" a="1"/>
  <c r="DA276" i="40" s="1"/>
  <c r="DA214" i="40" a="1"/>
  <c r="DA214" i="40" s="1"/>
  <c r="DA133" i="40" a="1"/>
  <c r="DA133" i="40" s="1"/>
  <c r="DA66" i="40" a="1"/>
  <c r="DA66" i="40" s="1"/>
  <c r="DA384" i="40" a="1"/>
  <c r="DA384" i="40" s="1"/>
  <c r="DA459" i="40" a="1"/>
  <c r="DA459" i="40" s="1"/>
  <c r="DA457" i="40" a="1"/>
  <c r="DA457" i="40" s="1"/>
  <c r="DA341" i="40" a="1"/>
  <c r="DA341" i="40" s="1"/>
  <c r="DA395" i="40" a="1"/>
  <c r="DA395" i="40" s="1"/>
  <c r="DA433" i="40" a="1"/>
  <c r="DA433" i="40" s="1"/>
  <c r="DA208" i="40" a="1"/>
  <c r="DA208" i="40" s="1"/>
  <c r="DA129" i="40" a="1"/>
  <c r="DA129" i="40" s="1"/>
  <c r="DA554" i="40" a="1"/>
  <c r="DA554" i="40" s="1"/>
  <c r="DA635" i="40" a="1"/>
  <c r="DA635" i="40" s="1"/>
  <c r="DA411" i="40" a="1"/>
  <c r="DA411" i="40" s="1"/>
  <c r="DA371" i="40" a="1"/>
  <c r="DA371" i="40" s="1"/>
  <c r="DA398" i="40" a="1"/>
  <c r="DA398" i="40" s="1"/>
  <c r="DA204" i="40" a="1"/>
  <c r="DA204" i="40" s="1"/>
  <c r="DA93" i="40" a="1"/>
  <c r="DA93" i="40" s="1"/>
  <c r="DA58" i="40" a="1"/>
  <c r="DA58" i="40" s="1"/>
  <c r="DA413" i="40" a="1"/>
  <c r="DA413" i="40" s="1"/>
  <c r="DA639" i="40" a="1"/>
  <c r="DA639" i="40" s="1"/>
  <c r="DA549" i="40" a="1"/>
  <c r="DA549" i="40" s="1"/>
  <c r="DA370" i="40" a="1"/>
  <c r="DA370" i="40" s="1"/>
  <c r="DA355" i="40" a="1"/>
  <c r="DA355" i="40" s="1"/>
  <c r="DA369" i="40" a="1"/>
  <c r="DA369" i="40" s="1"/>
  <c r="DA200" i="40" a="1"/>
  <c r="DA200" i="40" s="1"/>
  <c r="DA89" i="40" a="1"/>
  <c r="DA89" i="40" s="1"/>
  <c r="DA54" i="40" a="1"/>
  <c r="DA54" i="40" s="1"/>
  <c r="DA397" i="40" a="1"/>
  <c r="DA397" i="40" s="1"/>
  <c r="DA559" i="40" a="1"/>
  <c r="DA559" i="40" s="1"/>
  <c r="DA529" i="40" a="1"/>
  <c r="DA529" i="40" s="1"/>
  <c r="DA354" i="40" a="1"/>
  <c r="DA354" i="40" s="1"/>
  <c r="DA227" i="40" a="1"/>
  <c r="DA227" i="40" s="1"/>
  <c r="DA353" i="40" a="1"/>
  <c r="DA353" i="40" s="1"/>
  <c r="DA196" i="40" a="1"/>
  <c r="DA196" i="40" s="1"/>
  <c r="DA85" i="40" a="1"/>
  <c r="DA85" i="40" s="1"/>
  <c r="DA71" i="40" a="1"/>
  <c r="DA71" i="40" s="1"/>
  <c r="I26" i="38"/>
  <c r="I25" i="38"/>
  <c r="AY10" i="40"/>
  <c r="BZ14" i="42"/>
  <c r="CB14" i="42" s="1"/>
  <c r="CC611" i="42"/>
  <c r="BZ577" i="42"/>
  <c r="CB577" i="42" s="1"/>
  <c r="BZ161" i="42"/>
  <c r="CB161" i="42" s="1"/>
  <c r="BZ582" i="42"/>
  <c r="CB582" i="42" s="1"/>
  <c r="CC568" i="42"/>
  <c r="CC533" i="42"/>
  <c r="CC677" i="42"/>
  <c r="CC653" i="42"/>
  <c r="BZ112" i="42"/>
  <c r="CB112" i="42" s="1"/>
  <c r="BZ630" i="42"/>
  <c r="CB630" i="42" s="1"/>
  <c r="BZ673" i="42"/>
  <c r="CB673" i="42" s="1"/>
  <c r="CC251" i="42"/>
  <c r="BZ249" i="42"/>
  <c r="CB249" i="42" s="1"/>
  <c r="CC203" i="42"/>
  <c r="CC648" i="42"/>
  <c r="CC624" i="42"/>
  <c r="BZ622" i="42"/>
  <c r="CB622" i="42" s="1"/>
  <c r="BZ587" i="42"/>
  <c r="CB587" i="42" s="1"/>
  <c r="CC670" i="42"/>
  <c r="CC654" i="42"/>
  <c r="CC630" i="42"/>
  <c r="BZ212" i="42"/>
  <c r="CB212" i="42" s="1"/>
  <c r="BZ220" i="42"/>
  <c r="CB220" i="42" s="1"/>
  <c r="BZ196" i="42"/>
  <c r="CB196" i="42" s="1"/>
  <c r="BZ172" i="42"/>
  <c r="CB172" i="42" s="1"/>
  <c r="BZ297" i="42"/>
  <c r="CB297" i="42" s="1"/>
  <c r="CC252" i="42"/>
  <c r="CC204" i="42"/>
  <c r="CC329" i="42"/>
  <c r="CC337" i="42"/>
  <c r="BZ335" i="42"/>
  <c r="CB335" i="42" s="1"/>
  <c r="BZ311" i="42"/>
  <c r="CB311" i="42" s="1"/>
  <c r="BZ15" i="42"/>
  <c r="CB15" i="42" s="1"/>
  <c r="BZ21" i="42"/>
  <c r="CB21" i="42" s="1"/>
  <c r="BZ405" i="42"/>
  <c r="CB405" i="42" s="1"/>
  <c r="CC399" i="42"/>
  <c r="BZ397" i="42"/>
  <c r="CB397" i="42" s="1"/>
  <c r="CC47" i="42"/>
  <c r="CC69" i="42"/>
  <c r="CC51" i="42"/>
  <c r="CC41" i="42"/>
  <c r="BZ330" i="42"/>
  <c r="CB330" i="42" s="1"/>
  <c r="CC544" i="42"/>
  <c r="BZ312" i="42"/>
  <c r="CB312" i="42" s="1"/>
  <c r="BZ352" i="42"/>
  <c r="CB352" i="42" s="1"/>
  <c r="BZ392" i="42"/>
  <c r="CB392" i="42" s="1"/>
  <c r="BZ368" i="42"/>
  <c r="CB368" i="42" s="1"/>
  <c r="CC354" i="42"/>
  <c r="CC447" i="42"/>
  <c r="CC487" i="42"/>
  <c r="BZ402" i="42"/>
  <c r="CB402" i="42" s="1"/>
  <c r="BZ354" i="42"/>
  <c r="CB354" i="42" s="1"/>
  <c r="BZ534" i="42"/>
  <c r="CB534" i="42" s="1"/>
  <c r="BZ76" i="42"/>
  <c r="CB76" i="42" s="1"/>
  <c r="BZ66" i="42"/>
  <c r="CB66" i="42" s="1"/>
  <c r="BZ24" i="42"/>
  <c r="CB24" i="42" s="1"/>
  <c r="BZ102" i="42"/>
  <c r="CB102" i="42" s="1"/>
  <c r="BZ100" i="42"/>
  <c r="CB100" i="42" s="1"/>
  <c r="CC495" i="42"/>
  <c r="CC95" i="42"/>
  <c r="CC117" i="42"/>
  <c r="CC99" i="42"/>
  <c r="CC89" i="42"/>
  <c r="BZ214" i="42"/>
  <c r="CB214" i="42" s="1"/>
  <c r="CC193" i="42"/>
  <c r="CC606" i="42"/>
  <c r="CC190" i="42"/>
  <c r="CC174" i="42"/>
  <c r="CC275" i="42"/>
  <c r="CC283" i="42"/>
  <c r="BZ281" i="42"/>
  <c r="CB281" i="42" s="1"/>
  <c r="CC235" i="42"/>
  <c r="CC680" i="42"/>
  <c r="CC160" i="42"/>
  <c r="CC613" i="42"/>
  <c r="BZ273" i="42"/>
  <c r="CB273" i="42" s="1"/>
  <c r="BZ156" i="42"/>
  <c r="CB156" i="42" s="1"/>
  <c r="CC527" i="42"/>
  <c r="BZ646" i="42"/>
  <c r="CB646" i="42" s="1"/>
  <c r="BZ528" i="42"/>
  <c r="CB528" i="42" s="1"/>
  <c r="CC514" i="42"/>
  <c r="CC607" i="42"/>
  <c r="BZ263" i="42"/>
  <c r="CB263" i="42" s="1"/>
  <c r="BZ486" i="42"/>
  <c r="CB486" i="42" s="1"/>
  <c r="CC305" i="42"/>
  <c r="CC187" i="42"/>
  <c r="CC581" i="42"/>
  <c r="CC560" i="42"/>
  <c r="BZ140" i="42"/>
  <c r="CB140" i="42" s="1"/>
  <c r="CC230" i="42"/>
  <c r="CC570" i="42"/>
  <c r="BZ661" i="42"/>
  <c r="CB661" i="42" s="1"/>
  <c r="CC655" i="42"/>
  <c r="BZ653" i="42"/>
  <c r="CB653" i="42" s="1"/>
  <c r="CC191" i="42"/>
  <c r="CC231" i="42"/>
  <c r="BZ197" i="42"/>
  <c r="CB197" i="42" s="1"/>
  <c r="CC183" i="42"/>
  <c r="CC485" i="42"/>
  <c r="CC233" i="42"/>
  <c r="BZ341" i="42"/>
  <c r="CB341" i="42" s="1"/>
  <c r="CC640" i="42"/>
  <c r="CC220" i="42"/>
  <c r="CC614" i="42"/>
  <c r="CC156" i="42"/>
  <c r="BZ274" i="42"/>
  <c r="CB274" i="42" s="1"/>
  <c r="BZ284" i="42"/>
  <c r="CB284" i="42" s="1"/>
  <c r="CC253" i="42"/>
  <c r="BZ251" i="42"/>
  <c r="CB251" i="42" s="1"/>
  <c r="BZ227" i="42"/>
  <c r="CB227" i="42" s="1"/>
  <c r="BZ608" i="42"/>
  <c r="CB608" i="42" s="1"/>
  <c r="BZ648" i="42"/>
  <c r="CB648" i="42" s="1"/>
  <c r="BZ624" i="42"/>
  <c r="CB624" i="42" s="1"/>
  <c r="CC610" i="42"/>
  <c r="BZ499" i="42"/>
  <c r="CB499" i="42" s="1"/>
  <c r="CC258" i="42"/>
  <c r="CC576" i="42"/>
  <c r="CC29" i="42"/>
  <c r="BZ242" i="42"/>
  <c r="CB242" i="42" s="1"/>
  <c r="CC45" i="42"/>
  <c r="CC53" i="42"/>
  <c r="BZ327" i="42"/>
  <c r="CB327" i="42" s="1"/>
  <c r="CC656" i="42"/>
  <c r="BZ619" i="42"/>
  <c r="CB619" i="42" s="1"/>
  <c r="BZ222" i="42"/>
  <c r="CB222" i="42" s="1"/>
  <c r="BZ198" i="42"/>
  <c r="CB198" i="42" s="1"/>
  <c r="CC184" i="42"/>
  <c r="BZ152" i="42"/>
  <c r="CB152" i="42" s="1"/>
  <c r="BZ307" i="42"/>
  <c r="CB307" i="42" s="1"/>
  <c r="CC293" i="42"/>
  <c r="CC365" i="42"/>
  <c r="CC445" i="42"/>
  <c r="BZ390" i="42"/>
  <c r="CB390" i="42" s="1"/>
  <c r="BZ363" i="42"/>
  <c r="CB363" i="42" s="1"/>
  <c r="CC595" i="42"/>
  <c r="CC164" i="42"/>
  <c r="BZ272" i="42"/>
  <c r="CB272" i="42" s="1"/>
  <c r="CC512" i="42"/>
  <c r="CC369" i="42"/>
  <c r="BZ370" i="42"/>
  <c r="CB370" i="42" s="1"/>
  <c r="BZ37" i="42"/>
  <c r="CB37" i="42" s="1"/>
  <c r="CC583" i="42"/>
  <c r="BZ455" i="42"/>
  <c r="CB455" i="42" s="1"/>
  <c r="BZ337" i="42"/>
  <c r="CB337" i="42" s="1"/>
  <c r="CC323" i="42"/>
  <c r="BZ289" i="42"/>
  <c r="CB289" i="42" s="1"/>
  <c r="BZ347" i="42"/>
  <c r="CB347" i="42" s="1"/>
  <c r="BZ22" i="42"/>
  <c r="CB22" i="42" s="1"/>
  <c r="CC389" i="42"/>
  <c r="BZ334" i="42"/>
  <c r="CB334" i="42" s="1"/>
  <c r="CC64" i="42"/>
  <c r="BZ414" i="42"/>
  <c r="CB414" i="42" s="1"/>
  <c r="CC108" i="42"/>
  <c r="BZ398" i="42"/>
  <c r="CB398" i="42" s="1"/>
  <c r="CC402" i="42"/>
  <c r="CC605" i="42"/>
  <c r="BZ509" i="42"/>
  <c r="CB509" i="42" s="1"/>
  <c r="BZ338" i="42"/>
  <c r="CB338" i="42" s="1"/>
  <c r="BZ150" i="42"/>
  <c r="CB150" i="42" s="1"/>
  <c r="CC101" i="42"/>
  <c r="BZ423" i="42"/>
  <c r="CB423" i="42" s="1"/>
  <c r="CC530" i="42"/>
  <c r="CC331" i="42"/>
  <c r="CC36" i="42"/>
  <c r="CC34" i="42"/>
  <c r="CC16" i="42"/>
  <c r="BZ318" i="42"/>
  <c r="CB318" i="42" s="1"/>
  <c r="BZ294" i="42"/>
  <c r="CB294" i="42" s="1"/>
  <c r="CC280" i="42"/>
  <c r="CC245" i="42"/>
  <c r="BZ516" i="42"/>
  <c r="CB516" i="42" s="1"/>
  <c r="CC351" i="42"/>
  <c r="CC480" i="42"/>
  <c r="BZ86" i="42"/>
  <c r="CB86" i="42" s="1"/>
  <c r="CC370" i="42"/>
  <c r="BZ169" i="42"/>
  <c r="CB169" i="42" s="1"/>
  <c r="BZ110" i="42"/>
  <c r="CB110" i="42" s="1"/>
  <c r="BZ477" i="42"/>
  <c r="CB477" i="42" s="1"/>
  <c r="CC125" i="42"/>
  <c r="BZ51" i="42"/>
  <c r="CB51" i="42" s="1"/>
  <c r="BZ41" i="42"/>
  <c r="CB41" i="42" s="1"/>
  <c r="BZ340" i="42"/>
  <c r="CB340" i="42" s="1"/>
  <c r="BZ348" i="42"/>
  <c r="CB348" i="42" s="1"/>
  <c r="BZ324" i="42"/>
  <c r="CB324" i="42" s="1"/>
  <c r="BZ300" i="42"/>
  <c r="CB300" i="42" s="1"/>
  <c r="BZ425" i="42"/>
  <c r="CB425" i="42" s="1"/>
  <c r="CC211" i="42"/>
  <c r="CC519" i="42"/>
  <c r="CC616" i="42"/>
  <c r="CC498" i="42"/>
  <c r="CC109" i="42"/>
  <c r="BZ605" i="42"/>
  <c r="CB605" i="42" s="1"/>
  <c r="CC465" i="42"/>
  <c r="BZ463" i="42"/>
  <c r="CB463" i="42" s="1"/>
  <c r="CC366" i="42"/>
  <c r="CC467" i="42"/>
  <c r="CC475" i="42"/>
  <c r="BZ473" i="42"/>
  <c r="CB473" i="42" s="1"/>
  <c r="CC427" i="42"/>
  <c r="CC86" i="42"/>
  <c r="BZ529" i="42"/>
  <c r="CB529" i="42" s="1"/>
  <c r="CC462" i="42"/>
  <c r="CC448" i="42"/>
  <c r="CC541" i="42"/>
  <c r="CC638" i="42"/>
  <c r="BZ542" i="42"/>
  <c r="CB542" i="42" s="1"/>
  <c r="BZ118" i="42"/>
  <c r="CB118" i="42" s="1"/>
  <c r="BZ180" i="42"/>
  <c r="CB180" i="42" s="1"/>
  <c r="BZ627" i="42"/>
  <c r="CB627" i="42" s="1"/>
  <c r="CC466" i="42"/>
  <c r="BZ386" i="42"/>
  <c r="CB386" i="42" s="1"/>
  <c r="BZ519" i="42"/>
  <c r="CB519" i="42" s="1"/>
  <c r="CC505" i="42"/>
  <c r="CC481" i="42"/>
  <c r="BZ103" i="42"/>
  <c r="CB103" i="42" s="1"/>
  <c r="BZ109" i="42"/>
  <c r="CB109" i="42" s="1"/>
  <c r="BZ438" i="42"/>
  <c r="CB438" i="42" s="1"/>
  <c r="CC150" i="42"/>
  <c r="CC669" i="42"/>
  <c r="CC307" i="42"/>
  <c r="BZ211" i="42"/>
  <c r="CB211" i="42" s="1"/>
  <c r="CC133" i="42"/>
  <c r="CC115" i="42"/>
  <c r="CC105" i="42"/>
  <c r="BZ458" i="42"/>
  <c r="CB458" i="42" s="1"/>
  <c r="CC476" i="42"/>
  <c r="CC244" i="42"/>
  <c r="BZ351" i="42"/>
  <c r="CB351" i="42" s="1"/>
  <c r="BZ233" i="42"/>
  <c r="CB233" i="42" s="1"/>
  <c r="CC637" i="42"/>
  <c r="BZ23" i="42"/>
  <c r="CB23" i="42" s="1"/>
  <c r="BZ638" i="42"/>
  <c r="CB638" i="42" s="1"/>
  <c r="BZ179" i="42"/>
  <c r="CB179" i="42" s="1"/>
  <c r="BZ276" i="42"/>
  <c r="CB276" i="42" s="1"/>
  <c r="CC129" i="42"/>
  <c r="BZ530" i="42"/>
  <c r="CB530" i="42" s="1"/>
  <c r="CC516" i="42"/>
  <c r="BZ482" i="42"/>
  <c r="CB482" i="42" s="1"/>
  <c r="BZ607" i="42"/>
  <c r="CB607" i="42" s="1"/>
  <c r="BZ615" i="42"/>
  <c r="CB615" i="42" s="1"/>
  <c r="CC601" i="42"/>
  <c r="CC577" i="42"/>
  <c r="CC526" i="42"/>
  <c r="BZ373" i="42"/>
  <c r="CB373" i="42" s="1"/>
  <c r="BZ406" i="42"/>
  <c r="CB406" i="42" s="1"/>
  <c r="CC265" i="42"/>
  <c r="CC23" i="42"/>
  <c r="CC31" i="42"/>
  <c r="BZ319" i="42"/>
  <c r="CB319" i="42" s="1"/>
  <c r="CC276" i="42"/>
  <c r="CC562" i="42"/>
  <c r="BZ536" i="42"/>
  <c r="CB536" i="42" s="1"/>
  <c r="BZ629" i="42"/>
  <c r="CB629" i="42" s="1"/>
  <c r="BZ669" i="42"/>
  <c r="CB669" i="42" s="1"/>
  <c r="CC623" i="42"/>
  <c r="BZ621" i="42"/>
  <c r="CB621" i="42" s="1"/>
  <c r="CC159" i="42"/>
  <c r="CC199" i="42"/>
  <c r="CC361" i="42"/>
  <c r="CC340" i="42"/>
  <c r="BZ31" i="42"/>
  <c r="CB31" i="42" s="1"/>
  <c r="CC543" i="42"/>
  <c r="BZ447" i="42"/>
  <c r="CB447" i="42" s="1"/>
  <c r="CC286" i="42"/>
  <c r="CC221" i="42"/>
  <c r="BZ219" i="42"/>
  <c r="CB219" i="42" s="1"/>
  <c r="CC15" i="42"/>
  <c r="CC362" i="42"/>
  <c r="CC39" i="42"/>
  <c r="BZ459" i="42"/>
  <c r="CB459" i="42" s="1"/>
  <c r="BZ469" i="42"/>
  <c r="CB469" i="42" s="1"/>
  <c r="CC308" i="42"/>
  <c r="BZ72" i="42"/>
  <c r="CB72" i="42" s="1"/>
  <c r="CC79" i="42"/>
  <c r="BZ275" i="42"/>
  <c r="CB275" i="42" s="1"/>
  <c r="CC237" i="42"/>
  <c r="CC618" i="42"/>
  <c r="BZ374" i="42"/>
  <c r="CB374" i="42" s="1"/>
  <c r="CC383" i="42"/>
  <c r="CC587" i="42"/>
  <c r="BZ32" i="42"/>
  <c r="CB32" i="42" s="1"/>
  <c r="BZ437" i="42"/>
  <c r="CB437" i="42" s="1"/>
  <c r="CC103" i="42"/>
  <c r="BZ678" i="42"/>
  <c r="CB678" i="42" s="1"/>
  <c r="CC664" i="42"/>
  <c r="CC629" i="42"/>
  <c r="CC232" i="42"/>
  <c r="CC208" i="42"/>
  <c r="BZ206" i="42"/>
  <c r="CB206" i="42" s="1"/>
  <c r="BZ171" i="42"/>
  <c r="CB171" i="42" s="1"/>
  <c r="BZ411" i="42"/>
  <c r="CB411" i="42" s="1"/>
  <c r="CC72" i="42"/>
  <c r="CC424" i="42"/>
  <c r="CC432" i="42"/>
  <c r="BZ548" i="42"/>
  <c r="CB548" i="42" s="1"/>
  <c r="BZ642" i="42"/>
  <c r="CB642" i="42" s="1"/>
  <c r="BZ328" i="42"/>
  <c r="CB328" i="42" s="1"/>
  <c r="CC373" i="42"/>
  <c r="CC171" i="42"/>
  <c r="CC87" i="42"/>
  <c r="BZ555" i="42"/>
  <c r="CB555" i="42" s="1"/>
  <c r="BZ565" i="42"/>
  <c r="CB565" i="42" s="1"/>
  <c r="CC404" i="42"/>
  <c r="CC339" i="42"/>
  <c r="CC347" i="42"/>
  <c r="BZ345" i="42"/>
  <c r="CB345" i="42" s="1"/>
  <c r="CC213" i="42"/>
  <c r="CC357" i="42"/>
  <c r="CC333" i="42"/>
  <c r="BZ267" i="42"/>
  <c r="CB267" i="42" s="1"/>
  <c r="CC413" i="42"/>
  <c r="BZ358" i="42"/>
  <c r="CB358" i="42" s="1"/>
  <c r="CC90" i="42"/>
  <c r="CC491" i="42"/>
  <c r="CC225" i="42"/>
  <c r="BZ40" i="42"/>
  <c r="CB40" i="42" s="1"/>
  <c r="CC598" i="42"/>
  <c r="CC469" i="42"/>
  <c r="CC426" i="42"/>
  <c r="BZ80" i="42"/>
  <c r="CB80" i="42" s="1"/>
  <c r="BZ533" i="42"/>
  <c r="CB533" i="42" s="1"/>
  <c r="BZ225" i="42"/>
  <c r="CB225" i="42" s="1"/>
  <c r="BZ401" i="42"/>
  <c r="CB401" i="42" s="1"/>
  <c r="BZ353" i="42"/>
  <c r="CB353" i="42" s="1"/>
  <c r="CC46" i="42"/>
  <c r="CC44" i="42"/>
  <c r="CC42" i="42"/>
  <c r="CC24" i="42"/>
  <c r="CC328" i="42"/>
  <c r="CC304" i="42"/>
  <c r="CC96" i="42"/>
  <c r="BZ42" i="42"/>
  <c r="CB42" i="42" s="1"/>
  <c r="CC555" i="42"/>
  <c r="BZ395" i="42"/>
  <c r="CB395" i="42" s="1"/>
  <c r="CC172" i="42"/>
  <c r="BZ609" i="42"/>
  <c r="CB609" i="42" s="1"/>
  <c r="CC437" i="42"/>
  <c r="BZ279" i="42"/>
  <c r="CB279" i="42" s="1"/>
  <c r="CC575" i="42"/>
  <c r="BZ69" i="42"/>
  <c r="CB69" i="42" s="1"/>
  <c r="BZ59" i="42"/>
  <c r="CB59" i="42" s="1"/>
  <c r="BZ49" i="42"/>
  <c r="CB49" i="42" s="1"/>
  <c r="CC350" i="42"/>
  <c r="CC358" i="42"/>
  <c r="CC334" i="42"/>
  <c r="CC310" i="42"/>
  <c r="CC112" i="42"/>
  <c r="CC136" i="42"/>
  <c r="BZ226" i="42"/>
  <c r="CB226" i="42" s="1"/>
  <c r="CC651" i="42"/>
  <c r="BZ491" i="42"/>
  <c r="CB491" i="42" s="1"/>
  <c r="CC321" i="42"/>
  <c r="BZ193" i="42"/>
  <c r="CB193" i="42" s="1"/>
  <c r="BZ88" i="42"/>
  <c r="CB88" i="42" s="1"/>
  <c r="BZ93" i="42"/>
  <c r="CB93" i="42" s="1"/>
  <c r="BZ73" i="42"/>
  <c r="CB73" i="42" s="1"/>
  <c r="BZ404" i="42"/>
  <c r="CB404" i="42" s="1"/>
  <c r="BZ412" i="42"/>
  <c r="CB412" i="42" s="1"/>
  <c r="BZ388" i="42"/>
  <c r="CB388" i="42" s="1"/>
  <c r="BZ364" i="42"/>
  <c r="CB364" i="42" s="1"/>
  <c r="BZ489" i="42"/>
  <c r="CB489" i="42" s="1"/>
  <c r="BZ497" i="42"/>
  <c r="CB497" i="42" s="1"/>
  <c r="CC116" i="42"/>
  <c r="CC279" i="42"/>
  <c r="CC338" i="42"/>
  <c r="BZ342" i="42"/>
  <c r="CB342" i="42" s="1"/>
  <c r="BZ674" i="42"/>
  <c r="CB674" i="42" s="1"/>
  <c r="BZ365" i="42"/>
  <c r="CB365" i="42" s="1"/>
  <c r="BZ194" i="42"/>
  <c r="CB194" i="42" s="1"/>
  <c r="CC17" i="42"/>
  <c r="BZ204" i="42"/>
  <c r="CB204" i="42" s="1"/>
  <c r="BZ426" i="42"/>
  <c r="CB426" i="42" s="1"/>
  <c r="CC444" i="42"/>
  <c r="BZ442" i="42"/>
  <c r="CB442" i="42" s="1"/>
  <c r="CC396" i="42"/>
  <c r="CC521" i="42"/>
  <c r="CC529" i="42"/>
  <c r="BZ527" i="42"/>
  <c r="CB527" i="42" s="1"/>
  <c r="CC430" i="42"/>
  <c r="BZ500" i="42"/>
  <c r="CB500" i="42" s="1"/>
  <c r="BZ167" i="42"/>
  <c r="CB167" i="42" s="1"/>
  <c r="CC665" i="42"/>
  <c r="CC588" i="42"/>
  <c r="BZ478" i="42"/>
  <c r="CB478" i="42" s="1"/>
  <c r="CC185" i="42"/>
  <c r="CC298" i="42"/>
  <c r="BZ114" i="42"/>
  <c r="CB114" i="42" s="1"/>
  <c r="BZ343" i="42"/>
  <c r="CB343" i="42" s="1"/>
  <c r="CC450" i="42"/>
  <c r="BZ322" i="42"/>
  <c r="CB322" i="42" s="1"/>
  <c r="BZ17" i="42"/>
  <c r="CB17" i="42" s="1"/>
  <c r="CC535" i="42"/>
  <c r="CC119" i="42"/>
  <c r="CC141" i="42"/>
  <c r="BZ333" i="42"/>
  <c r="CB333" i="42" s="1"/>
  <c r="BZ74" i="42"/>
  <c r="CB74" i="42" s="1"/>
  <c r="CC375" i="42"/>
  <c r="BZ494" i="42"/>
  <c r="CB494" i="42" s="1"/>
  <c r="BZ376" i="42"/>
  <c r="CB376" i="42" s="1"/>
  <c r="CC33" i="42"/>
  <c r="BZ579" i="42"/>
  <c r="CB579" i="42" s="1"/>
  <c r="BZ461" i="42"/>
  <c r="CB461" i="42" s="1"/>
  <c r="CC591" i="42"/>
  <c r="CC143" i="42"/>
  <c r="CC167" i="42"/>
  <c r="CC147" i="42"/>
  <c r="CC137" i="42"/>
  <c r="CC288" i="42"/>
  <c r="CC290" i="42"/>
  <c r="CC138" i="42"/>
  <c r="CC57" i="42"/>
  <c r="CC503" i="42"/>
  <c r="CC332" i="42"/>
  <c r="BZ163" i="42"/>
  <c r="CB163" i="42" s="1"/>
  <c r="BZ544" i="42"/>
  <c r="CB544" i="42" s="1"/>
  <c r="BZ584" i="42"/>
  <c r="CB584" i="42" s="1"/>
  <c r="BZ560" i="42"/>
  <c r="CB560" i="42" s="1"/>
  <c r="CC546" i="42"/>
  <c r="BZ462" i="42"/>
  <c r="CB462" i="42" s="1"/>
  <c r="CC675" i="42"/>
  <c r="BZ547" i="42"/>
  <c r="CB547" i="42" s="1"/>
  <c r="CC386" i="42"/>
  <c r="BZ217" i="42"/>
  <c r="CB217" i="42" s="1"/>
  <c r="BZ122" i="42"/>
  <c r="CB122" i="42" s="1"/>
  <c r="CC471" i="42"/>
  <c r="BZ590" i="42"/>
  <c r="CB590" i="42" s="1"/>
  <c r="CC586" i="42"/>
  <c r="CC602" i="42"/>
  <c r="BZ600" i="42"/>
  <c r="CB600" i="42" s="1"/>
  <c r="BZ168" i="42"/>
  <c r="CB168" i="42" s="1"/>
  <c r="CC223" i="42"/>
  <c r="CC263" i="42"/>
  <c r="BZ229" i="42"/>
  <c r="CB229" i="42" s="1"/>
  <c r="BZ184" i="42"/>
  <c r="CB184" i="42" s="1"/>
  <c r="CC303" i="42"/>
  <c r="CC461" i="42"/>
  <c r="BZ580" i="42"/>
  <c r="CB580" i="42" s="1"/>
  <c r="CC146" i="42"/>
  <c r="BZ515" i="42"/>
  <c r="CB515" i="42" s="1"/>
  <c r="CC622" i="42"/>
  <c r="CC504" i="42"/>
  <c r="BZ106" i="42"/>
  <c r="CB106" i="42" s="1"/>
  <c r="CC597" i="42"/>
  <c r="CC176" i="42"/>
  <c r="BZ174" i="42"/>
  <c r="CB174" i="42" s="1"/>
  <c r="BZ144" i="42"/>
  <c r="CB144" i="42" s="1"/>
  <c r="CC285" i="42"/>
  <c r="BZ283" i="42"/>
  <c r="CB283" i="42" s="1"/>
  <c r="BZ259" i="42"/>
  <c r="CB259" i="42" s="1"/>
  <c r="BZ640" i="42"/>
  <c r="CB640" i="42" s="1"/>
  <c r="BZ38" i="42"/>
  <c r="CB38" i="42" s="1"/>
  <c r="BZ366" i="42"/>
  <c r="CB366" i="42" s="1"/>
  <c r="CC453" i="42"/>
  <c r="CC523" i="42"/>
  <c r="CC209" i="42"/>
  <c r="CC21" i="42"/>
  <c r="BZ246" i="42"/>
  <c r="CB246" i="42" s="1"/>
  <c r="BZ430" i="42"/>
  <c r="CB430" i="42" s="1"/>
  <c r="BZ558" i="42"/>
  <c r="CB558" i="42" s="1"/>
  <c r="CC206" i="42"/>
  <c r="BZ643" i="42"/>
  <c r="CB643" i="42" s="1"/>
  <c r="CC482" i="42"/>
  <c r="BZ313" i="42"/>
  <c r="CB313" i="42" s="1"/>
  <c r="CC267" i="42"/>
  <c r="BZ651" i="42"/>
  <c r="CB651" i="42" s="1"/>
  <c r="BZ254" i="42"/>
  <c r="CB254" i="42" s="1"/>
  <c r="CC260" i="42"/>
  <c r="CC345" i="42"/>
  <c r="CC227" i="42"/>
  <c r="BZ611" i="42"/>
  <c r="CB611" i="42" s="1"/>
  <c r="BZ19" i="42"/>
  <c r="CB19" i="42" s="1"/>
  <c r="CC600" i="42"/>
  <c r="BZ154" i="42"/>
  <c r="CB154" i="42" s="1"/>
  <c r="BZ260" i="42"/>
  <c r="CB260" i="42" s="1"/>
  <c r="CC26" i="42"/>
  <c r="CC228" i="42"/>
  <c r="CC27" i="42"/>
  <c r="CC35" i="42"/>
  <c r="CC313" i="42"/>
  <c r="CC292" i="42"/>
  <c r="BZ314" i="42"/>
  <c r="CB314" i="42" s="1"/>
  <c r="CC377" i="42"/>
  <c r="CC302" i="42"/>
  <c r="CC403" i="42"/>
  <c r="CC411" i="42"/>
  <c r="BZ409" i="42"/>
  <c r="CB409" i="42" s="1"/>
  <c r="CC192" i="42"/>
  <c r="BZ507" i="42"/>
  <c r="CB507" i="42" s="1"/>
  <c r="BZ336" i="42"/>
  <c r="CB336" i="42" s="1"/>
  <c r="CC19" i="42"/>
  <c r="CC356" i="42"/>
  <c r="BZ549" i="42"/>
  <c r="CB549" i="42" s="1"/>
  <c r="CC441" i="42"/>
  <c r="CC417" i="42"/>
  <c r="BZ71" i="42"/>
  <c r="CB71" i="42" s="1"/>
  <c r="BZ77" i="42"/>
  <c r="CB77" i="42" s="1"/>
  <c r="BZ67" i="42"/>
  <c r="CB67" i="42" s="1"/>
  <c r="BZ57" i="42"/>
  <c r="CB57" i="42" s="1"/>
  <c r="CC378" i="42"/>
  <c r="BZ603" i="42"/>
  <c r="CB603" i="42" s="1"/>
  <c r="CC463" i="42"/>
  <c r="CC324" i="42"/>
  <c r="BZ148" i="42"/>
  <c r="CB148" i="42" s="1"/>
  <c r="CC83" i="42"/>
  <c r="CC409" i="42"/>
  <c r="CC506" i="42"/>
  <c r="BZ101" i="42"/>
  <c r="CB101" i="42" s="1"/>
  <c r="BZ182" i="42"/>
  <c r="CB182" i="42" s="1"/>
  <c r="CC140" i="42"/>
  <c r="CC517" i="42"/>
  <c r="CC346" i="42"/>
  <c r="BZ177" i="42"/>
  <c r="CB177" i="42" s="1"/>
  <c r="BZ108" i="42"/>
  <c r="CB108" i="42" s="1"/>
  <c r="CC431" i="42"/>
  <c r="CC107" i="42"/>
  <c r="CC635" i="42"/>
  <c r="CC464" i="42"/>
  <c r="BZ92" i="42"/>
  <c r="CB92" i="42" s="1"/>
  <c r="BZ571" i="42"/>
  <c r="CB571" i="42" s="1"/>
  <c r="BZ400" i="42"/>
  <c r="CB400" i="42" s="1"/>
  <c r="CC219" i="42"/>
  <c r="BZ132" i="42"/>
  <c r="CB132" i="42" s="1"/>
  <c r="CC149" i="42"/>
  <c r="CC121" i="42"/>
  <c r="BZ490" i="42"/>
  <c r="CB490" i="42" s="1"/>
  <c r="CC508" i="42"/>
  <c r="BZ506" i="42"/>
  <c r="CB506" i="42" s="1"/>
  <c r="BZ559" i="42"/>
  <c r="CB559" i="42" s="1"/>
  <c r="CC62" i="42"/>
  <c r="BZ567" i="42"/>
  <c r="CB567" i="42" s="1"/>
  <c r="BZ514" i="42"/>
  <c r="CB514" i="42" s="1"/>
  <c r="CC277" i="42"/>
  <c r="BZ484" i="42"/>
  <c r="CB484" i="42" s="1"/>
  <c r="CC668" i="42"/>
  <c r="CC142" i="42"/>
  <c r="BZ325" i="42"/>
  <c r="CB325" i="42" s="1"/>
  <c r="BZ677" i="42"/>
  <c r="CB677" i="42" s="1"/>
  <c r="BZ127" i="42"/>
  <c r="CB127" i="42" s="1"/>
  <c r="CC634" i="42"/>
  <c r="BZ420" i="42"/>
  <c r="CB420" i="42" s="1"/>
  <c r="BZ149" i="42"/>
  <c r="CB149" i="42" s="1"/>
  <c r="CC459" i="42"/>
  <c r="CC271" i="42"/>
  <c r="BZ54" i="42"/>
  <c r="CB54" i="42" s="1"/>
  <c r="BZ625" i="42"/>
  <c r="CB625" i="42" s="1"/>
  <c r="BZ583" i="42"/>
  <c r="CB583" i="42" s="1"/>
  <c r="BZ248" i="42"/>
  <c r="CB248" i="42" s="1"/>
  <c r="BZ160" i="42"/>
  <c r="CB160" i="42" s="1"/>
  <c r="BZ570" i="42"/>
  <c r="CB570" i="42" s="1"/>
  <c r="CC360" i="42"/>
  <c r="BZ129" i="42"/>
  <c r="CB129" i="42" s="1"/>
  <c r="CC368" i="42"/>
  <c r="CC542" i="42"/>
  <c r="CC502" i="42"/>
  <c r="CC660" i="42"/>
  <c r="BZ381" i="42"/>
  <c r="CB381" i="42" s="1"/>
  <c r="BZ339" i="42"/>
  <c r="CB339" i="42" s="1"/>
  <c r="CC492" i="42"/>
  <c r="BZ176" i="42"/>
  <c r="CB176" i="42" s="1"/>
  <c r="CC478" i="42"/>
  <c r="CC556" i="42"/>
  <c r="BZ561" i="42"/>
  <c r="CB561" i="42" s="1"/>
  <c r="BZ237" i="42"/>
  <c r="CB237" i="42" s="1"/>
  <c r="CC266" i="42"/>
  <c r="BZ153" i="42"/>
  <c r="CB153" i="42" s="1"/>
  <c r="CC282" i="42"/>
  <c r="CC54" i="42"/>
  <c r="CC301" i="42"/>
  <c r="CC625" i="42"/>
  <c r="CC596" i="42"/>
  <c r="BZ270" i="42"/>
  <c r="CB270" i="42" s="1"/>
  <c r="CC255" i="42"/>
  <c r="BZ147" i="42"/>
  <c r="BZ331" i="42"/>
  <c r="CB331" i="42" s="1"/>
  <c r="CC582" i="42"/>
  <c r="BZ68" i="42"/>
  <c r="CB68" i="42" s="1"/>
  <c r="CC436" i="42"/>
  <c r="CC414" i="42"/>
  <c r="BZ466" i="42"/>
  <c r="CB466" i="42" s="1"/>
  <c r="CC451" i="42"/>
  <c r="CC381" i="42"/>
  <c r="BZ599" i="42"/>
  <c r="CB599" i="42" s="1"/>
  <c r="BZ261" i="42"/>
  <c r="CB261" i="42" s="1"/>
  <c r="CC327" i="42"/>
  <c r="BZ475" i="42"/>
  <c r="CB475" i="42" s="1"/>
  <c r="BZ183" i="42"/>
  <c r="CB183" i="42" s="1"/>
  <c r="CC563" i="42"/>
  <c r="BZ596" i="42"/>
  <c r="CB596" i="42" s="1"/>
  <c r="BZ52" i="42"/>
  <c r="CB52" i="42" s="1"/>
  <c r="BZ418" i="42"/>
  <c r="CB418" i="42" s="1"/>
  <c r="CC532" i="42"/>
  <c r="BZ115" i="42"/>
  <c r="CB115" i="42" s="1"/>
  <c r="CC78" i="42"/>
  <c r="CC215" i="42"/>
  <c r="BZ591" i="42"/>
  <c r="CB591" i="42" s="1"/>
  <c r="BZ355" i="42"/>
  <c r="CB355" i="42" s="1"/>
  <c r="CC539" i="42"/>
  <c r="CC341" i="42"/>
  <c r="CC217" i="42"/>
  <c r="BZ551" i="42"/>
  <c r="CB551" i="42" s="1"/>
  <c r="BZ89" i="42"/>
  <c r="CB89" i="42" s="1"/>
  <c r="CC548" i="42"/>
  <c r="BZ535" i="42"/>
  <c r="CB535" i="42" s="1"/>
  <c r="BZ143" i="42"/>
  <c r="CB143" i="42" s="1"/>
  <c r="CC74" i="42"/>
  <c r="CC636" i="42"/>
  <c r="BZ256" i="42"/>
  <c r="CB256" i="42" s="1"/>
  <c r="CC509" i="42"/>
  <c r="BZ223" i="42"/>
  <c r="CB223" i="42" s="1"/>
  <c r="CC658" i="42"/>
  <c r="CC673" i="42"/>
  <c r="CC663" i="42"/>
  <c r="BZ133" i="42"/>
  <c r="CB133" i="42" s="1"/>
  <c r="CC40" i="42"/>
  <c r="BZ452" i="42"/>
  <c r="CB452" i="42" s="1"/>
  <c r="BZ435" i="42"/>
  <c r="CB435" i="42" s="1"/>
  <c r="BZ145" i="42"/>
  <c r="CB145" i="42" s="1"/>
  <c r="CC408" i="42"/>
  <c r="BZ446" i="42"/>
  <c r="CB446" i="42" s="1"/>
  <c r="BZ181" i="42"/>
  <c r="CB181" i="42" s="1"/>
  <c r="CC569" i="42"/>
  <c r="BZ253" i="42"/>
  <c r="CB253" i="42" s="1"/>
  <c r="BZ113" i="42"/>
  <c r="CB113" i="42" s="1"/>
  <c r="CC633" i="42"/>
  <c r="CC102" i="42"/>
  <c r="CC226" i="42"/>
  <c r="BZ553" i="42"/>
  <c r="CB553" i="42" s="1"/>
  <c r="CC106" i="42"/>
  <c r="CC188" i="42"/>
  <c r="CC175" i="42"/>
  <c r="BZ135" i="42"/>
  <c r="CB135" i="42" s="1"/>
  <c r="BZ205" i="42"/>
  <c r="CB205" i="42" s="1"/>
  <c r="CC84" i="42"/>
  <c r="CC510" i="42"/>
  <c r="CC486" i="42"/>
  <c r="CC547" i="42"/>
  <c r="BZ513" i="42"/>
  <c r="CB513" i="42" s="1"/>
  <c r="BZ666" i="42"/>
  <c r="CB666" i="42" s="1"/>
  <c r="BZ332" i="42"/>
  <c r="CB332" i="42" s="1"/>
  <c r="CC272" i="42"/>
  <c r="CC564" i="42"/>
  <c r="CC66" i="42"/>
  <c r="CC682" i="42"/>
  <c r="BZ626" i="42"/>
  <c r="CB626" i="42" s="1"/>
  <c r="CC628" i="42"/>
  <c r="BZ175" i="42"/>
  <c r="CB175" i="42" s="1"/>
  <c r="CC124" i="42"/>
  <c r="CC180" i="42"/>
  <c r="CC513" i="42"/>
  <c r="BZ465" i="42"/>
  <c r="CB465" i="42" s="1"/>
  <c r="CC422" i="42"/>
  <c r="CC580" i="42"/>
  <c r="CC242" i="42"/>
  <c r="BZ631" i="42"/>
  <c r="CB631" i="42" s="1"/>
  <c r="CC644" i="42"/>
  <c r="CC132" i="42"/>
  <c r="CC145" i="42"/>
  <c r="BZ125" i="42"/>
  <c r="CB125" i="42" s="1"/>
  <c r="CC593" i="42"/>
  <c r="BZ379" i="42"/>
  <c r="CB379" i="42" s="1"/>
  <c r="BZ159" i="42"/>
  <c r="CB159" i="42" s="1"/>
  <c r="BZ216" i="42"/>
  <c r="CB216" i="42" s="1"/>
  <c r="CC250" i="42"/>
  <c r="BZ545" i="42"/>
  <c r="CB545" i="42" s="1"/>
  <c r="BZ301" i="42"/>
  <c r="CB301" i="42" s="1"/>
  <c r="BZ99" i="42"/>
  <c r="CB99" i="42" s="1"/>
  <c r="CN291" i="40" a="1"/>
  <c r="CN291" i="40" s="1"/>
  <c r="CN623" i="40" a="1"/>
  <c r="CN623" i="40" s="1"/>
  <c r="CN504" i="40" a="1"/>
  <c r="CN504" i="40" s="1"/>
  <c r="CN137" i="40" a="1"/>
  <c r="CN137" i="40" s="1"/>
  <c r="CN493" i="40" a="1"/>
  <c r="CN493" i="40" s="1"/>
  <c r="CN422" i="40" a="1"/>
  <c r="CN422" i="40" s="1"/>
  <c r="CN154" i="40" a="1"/>
  <c r="CN154" i="40" s="1"/>
  <c r="CN556" i="40" a="1"/>
  <c r="CN556" i="40" s="1"/>
  <c r="CN412" i="40" a="1"/>
  <c r="CN412" i="40" s="1"/>
  <c r="CN321" i="40" a="1"/>
  <c r="CN321" i="40" s="1"/>
  <c r="CN189" i="40" a="1"/>
  <c r="CN189" i="40" s="1"/>
  <c r="CN480" i="40" a="1"/>
  <c r="CN480" i="40" s="1"/>
  <c r="CN295" i="40" a="1"/>
  <c r="CN295" i="40" s="1"/>
  <c r="CN595" i="40" a="1"/>
  <c r="CN595" i="40" s="1"/>
  <c r="CN391" i="40" a="1"/>
  <c r="CN391" i="40" s="1"/>
  <c r="CN345" i="40" a="1"/>
  <c r="CN345" i="40" s="1"/>
  <c r="CN670" i="40" a="1"/>
  <c r="CN670" i="40" s="1"/>
  <c r="CN424" i="40" a="1"/>
  <c r="CN424" i="40" s="1"/>
  <c r="CN515" i="40" a="1"/>
  <c r="CN515" i="40" s="1"/>
  <c r="CN121" i="40" a="1"/>
  <c r="CN121" i="40" s="1"/>
  <c r="CN580" i="40" a="1"/>
  <c r="CN580" i="40" s="1"/>
  <c r="CN124" i="40" a="1"/>
  <c r="CN124" i="40" s="1"/>
  <c r="CN657" i="40" a="1"/>
  <c r="CN657" i="40" s="1"/>
  <c r="CN287" i="40" a="1"/>
  <c r="CN287" i="40" s="1"/>
  <c r="CN157" i="40" a="1"/>
  <c r="CN157" i="40" s="1"/>
  <c r="CN612" i="40" a="1"/>
  <c r="CN612" i="40" s="1"/>
  <c r="CN294" i="40" a="1"/>
  <c r="CN294" i="40" s="1"/>
  <c r="CN635" i="40" a="1"/>
  <c r="CN635" i="40" s="1"/>
  <c r="CN466" i="40" a="1"/>
  <c r="CN466" i="40" s="1"/>
  <c r="CN176" i="40" a="1"/>
  <c r="CN176" i="40" s="1"/>
  <c r="CN615" i="40" a="1"/>
  <c r="CN615" i="40" s="1"/>
  <c r="CN352" i="40" a="1"/>
  <c r="CN352" i="40" s="1"/>
  <c r="CN636" i="40" a="1"/>
  <c r="CN636" i="40" s="1"/>
  <c r="CN297" i="40" a="1"/>
  <c r="CN297" i="40" s="1"/>
  <c r="CN293" i="40" a="1"/>
  <c r="CN293" i="40" s="1"/>
  <c r="CN102" i="40" a="1"/>
  <c r="CN102" i="40" s="1"/>
  <c r="CN465" i="40" a="1"/>
  <c r="CN465" i="40" s="1"/>
  <c r="CN307" i="40" a="1"/>
  <c r="CN307" i="40" s="1"/>
  <c r="CN238" i="40" a="1"/>
  <c r="CN238" i="40" s="1"/>
  <c r="CN445" i="40" a="1"/>
  <c r="CN445" i="40" s="1"/>
  <c r="CN83" i="40" a="1"/>
  <c r="CN83" i="40" s="1"/>
  <c r="CN637" i="40" a="1"/>
  <c r="CN637" i="40" s="1"/>
  <c r="CN296" i="40" a="1"/>
  <c r="CN296" i="40" s="1"/>
  <c r="CN144" i="40" a="1"/>
  <c r="CN144" i="40" s="1"/>
  <c r="CN576" i="40" a="1"/>
  <c r="CN576" i="40" s="1"/>
  <c r="CN367" i="40" a="1"/>
  <c r="CN367" i="40" s="1"/>
  <c r="CN109" i="40" a="1"/>
  <c r="CN109" i="40" s="1"/>
  <c r="CN548" i="40" a="1"/>
  <c r="CN548" i="40" s="1"/>
  <c r="CN135" i="40" a="1"/>
  <c r="CN135" i="40" s="1"/>
  <c r="CN249" i="40" a="1"/>
  <c r="CN249" i="40" s="1"/>
  <c r="CN661" i="40" a="1"/>
  <c r="CN661" i="40" s="1"/>
  <c r="CN370" i="40" a="1"/>
  <c r="CN370" i="40" s="1"/>
  <c r="CN622" i="40" a="1"/>
  <c r="CN622" i="40" s="1"/>
  <c r="CN315" i="40" a="1"/>
  <c r="CN315" i="40" s="1"/>
  <c r="CN255" i="40" a="1"/>
  <c r="CN255" i="40" s="1"/>
  <c r="CN583" i="40" a="1"/>
  <c r="CN583" i="40" s="1"/>
  <c r="CN562" i="40" a="1"/>
  <c r="CN562" i="40" s="1"/>
  <c r="CN639" i="40" a="1"/>
  <c r="CN639" i="40" s="1"/>
  <c r="CN564" i="40" a="1"/>
  <c r="CN564" i="40" s="1"/>
  <c r="CN260" i="40" a="1"/>
  <c r="CN260" i="40" s="1"/>
  <c r="CN678" i="40" a="1"/>
  <c r="CN678" i="40" s="1"/>
  <c r="CN350" i="40" a="1"/>
  <c r="CN350" i="40" s="1"/>
  <c r="CN103" i="40" a="1"/>
  <c r="CN103" i="40" s="1"/>
  <c r="CN601" i="40" a="1"/>
  <c r="CN601" i="40" s="1"/>
  <c r="CN375" i="40" a="1"/>
  <c r="CN375" i="40" s="1"/>
  <c r="CN174" i="40" a="1"/>
  <c r="CN174" i="40" s="1"/>
  <c r="CN530" i="40" a="1"/>
  <c r="CN530" i="40" s="1"/>
  <c r="CN431" i="40" a="1"/>
  <c r="CN431" i="40" s="1"/>
  <c r="CN588" i="40" a="1"/>
  <c r="CN588" i="40" s="1"/>
  <c r="CN322" i="40" a="1"/>
  <c r="CN322" i="40" s="1"/>
  <c r="CN574" i="40" a="1"/>
  <c r="CN574" i="40" s="1"/>
  <c r="CN267" i="40" a="1"/>
  <c r="CN267" i="40" s="1"/>
  <c r="CN537" i="40" a="1"/>
  <c r="CN537" i="40" s="1"/>
  <c r="CN261" i="40" a="1"/>
  <c r="CN261" i="40" s="1"/>
  <c r="CN467" i="40" a="1"/>
  <c r="CN467" i="40" s="1"/>
  <c r="CN252" i="40" a="1"/>
  <c r="CN252" i="40" s="1"/>
  <c r="CN284" i="40" a="1"/>
  <c r="CN284" i="40" s="1"/>
  <c r="CN125" i="40" a="1"/>
  <c r="CN125" i="40" s="1"/>
  <c r="CN589" i="40" a="1"/>
  <c r="CN589" i="40" s="1"/>
  <c r="CN374" i="40" a="1"/>
  <c r="CN374" i="40" s="1"/>
  <c r="CN578" i="40" a="1"/>
  <c r="CN578" i="40" s="1"/>
  <c r="CN463" i="40" a="1"/>
  <c r="CN463" i="40" s="1"/>
  <c r="CN433" i="40" a="1"/>
  <c r="CN433" i="40" s="1"/>
  <c r="CN658" i="40" a="1"/>
  <c r="CN658" i="40" s="1"/>
  <c r="CN273" i="40" a="1"/>
  <c r="CN273" i="40" s="1"/>
  <c r="CN177" i="40" a="1"/>
  <c r="CN177" i="40" s="1"/>
  <c r="CN432" i="40" a="1"/>
  <c r="CN432" i="40" s="1"/>
  <c r="CN304" i="40" a="1"/>
  <c r="CN304" i="40" s="1"/>
  <c r="CN613" i="40" a="1"/>
  <c r="CN613" i="40" s="1"/>
  <c r="CN225" i="40" a="1"/>
  <c r="CN225" i="40" s="1"/>
  <c r="CN96" i="40" a="1"/>
  <c r="CN96" i="40" s="1"/>
  <c r="CN502" i="40" a="1"/>
  <c r="CN502" i="40" s="1"/>
  <c r="CN229" i="40" a="1"/>
  <c r="CN229" i="40" s="1"/>
  <c r="CN376" i="40" a="1"/>
  <c r="CN376" i="40" s="1"/>
  <c r="CN216" i="40" a="1"/>
  <c r="CN216" i="40" s="1"/>
  <c r="CN650" i="40" a="1"/>
  <c r="CN650" i="40" s="1"/>
  <c r="CN240" i="40" a="1"/>
  <c r="CN240" i="40" s="1"/>
  <c r="CN666" i="40" a="1"/>
  <c r="CN666" i="40" s="1"/>
  <c r="CN254" i="40" a="1"/>
  <c r="CN254" i="40" s="1"/>
  <c r="CN630" i="40" a="1"/>
  <c r="CN630" i="40" s="1"/>
  <c r="CN355" i="40" a="1"/>
  <c r="CN355" i="40" s="1"/>
  <c r="CN427" i="40" a="1"/>
  <c r="CN427" i="40" s="1"/>
  <c r="CN333" i="40" a="1"/>
  <c r="CN333" i="40" s="1"/>
  <c r="CN587" i="40" a="1"/>
  <c r="CN587" i="40" s="1"/>
  <c r="CN534" i="40" a="1"/>
  <c r="CN534" i="40" s="1"/>
  <c r="CN164" i="40" a="1"/>
  <c r="CN164" i="40" s="1"/>
  <c r="CN420" i="40" a="1"/>
  <c r="CN420" i="40" s="1"/>
  <c r="CN526" i="40" a="1"/>
  <c r="CN526" i="40" s="1"/>
  <c r="CN454" i="40" a="1"/>
  <c r="CN454" i="40" s="1"/>
  <c r="CN220" i="40" a="1"/>
  <c r="CN220" i="40" s="1"/>
  <c r="CN501" i="40" a="1"/>
  <c r="CN501" i="40" s="1"/>
  <c r="CN247" i="40" a="1"/>
  <c r="CN247" i="40" s="1"/>
  <c r="CN525" i="40" a="1"/>
  <c r="CN525" i="40" s="1"/>
  <c r="CN179" i="40" a="1"/>
  <c r="CN179" i="40" s="1"/>
  <c r="CN550" i="40" a="1"/>
  <c r="CN550" i="40" s="1"/>
  <c r="CN250" i="40" a="1"/>
  <c r="CN250" i="40" s="1"/>
  <c r="CN105" i="40" a="1"/>
  <c r="CN105" i="40" s="1"/>
  <c r="CN655" i="40" a="1"/>
  <c r="CN655" i="40" s="1"/>
  <c r="CN671" i="40" a="1"/>
  <c r="CN671" i="40" s="1"/>
  <c r="CN401" i="40" a="1"/>
  <c r="CN401" i="40" s="1"/>
  <c r="CN93" i="40" a="1"/>
  <c r="CN93" i="40" s="1"/>
  <c r="CN484" i="40" a="1"/>
  <c r="CN484" i="40" s="1"/>
  <c r="CN246" i="40" a="1"/>
  <c r="CN246" i="40" s="1"/>
  <c r="CN70" i="40" a="1"/>
  <c r="CN70" i="40" s="1"/>
  <c r="CN507" i="40" a="1"/>
  <c r="CN507" i="40" s="1"/>
  <c r="CN123" i="40" a="1"/>
  <c r="CN123" i="40" s="1"/>
  <c r="CN656" i="40" a="1"/>
  <c r="CN656" i="40" s="1"/>
  <c r="CN274" i="40" a="1"/>
  <c r="CN274" i="40" s="1"/>
  <c r="CN69" i="40" a="1"/>
  <c r="CN69" i="40" s="1"/>
  <c r="CN553" i="40" a="1"/>
  <c r="CN553" i="40" s="1"/>
  <c r="CN206" i="40" a="1"/>
  <c r="CN206" i="40" s="1"/>
  <c r="CN478" i="40" a="1"/>
  <c r="CN478" i="40" s="1"/>
  <c r="CN228" i="40" a="1"/>
  <c r="CN228" i="40" s="1"/>
  <c r="CN506" i="40" a="1"/>
  <c r="CN506" i="40" s="1"/>
  <c r="CN282" i="40" a="1"/>
  <c r="CN282" i="40" s="1"/>
  <c r="CN591" i="40" a="1"/>
  <c r="CN591" i="40" s="1"/>
  <c r="CN218" i="40" a="1"/>
  <c r="CN218" i="40" s="1"/>
  <c r="CN300" i="40" a="1"/>
  <c r="CN300" i="40" s="1"/>
  <c r="CN234" i="40" a="1"/>
  <c r="CN234" i="40" s="1"/>
  <c r="CN664" i="40" a="1"/>
  <c r="CN664" i="40" s="1"/>
  <c r="CN248" i="40" a="1"/>
  <c r="CN248" i="40" s="1"/>
  <c r="CN142" i="40" a="1"/>
  <c r="CN142" i="40" s="1"/>
  <c r="CN524" i="40" a="1"/>
  <c r="CN524" i="40" s="1"/>
  <c r="CN319" i="40" a="1"/>
  <c r="CN319" i="40" s="1"/>
  <c r="CN162" i="40" a="1"/>
  <c r="CN162" i="40" s="1"/>
  <c r="CN471" i="40" a="1"/>
  <c r="CN471" i="40" s="1"/>
  <c r="CN356" i="40" a="1"/>
  <c r="CN356" i="40" s="1"/>
  <c r="CN213" i="40" a="1"/>
  <c r="CN213" i="40" s="1"/>
  <c r="CN194" i="40" a="1"/>
  <c r="CN194" i="40" s="1"/>
  <c r="CN430" i="40" a="1"/>
  <c r="CN430" i="40" s="1"/>
  <c r="CN209" i="40" a="1"/>
  <c r="CN209" i="40" s="1"/>
  <c r="CN458" i="40" a="1"/>
  <c r="CN458" i="40" s="1"/>
  <c r="CN208" i="40" a="1"/>
  <c r="CN208" i="40" s="1"/>
  <c r="CN419" i="40" a="1"/>
  <c r="CN419" i="40" s="1"/>
  <c r="CN227" i="40" a="1"/>
  <c r="CN227" i="40" s="1"/>
  <c r="CN584" i="40" a="1"/>
  <c r="CN584" i="40" s="1"/>
  <c r="CN440" i="40" a="1"/>
  <c r="CN440" i="40" s="1"/>
  <c r="CN489" i="40" a="1"/>
  <c r="CN489" i="40" s="1"/>
  <c r="CN85" i="40" a="1"/>
  <c r="CN85" i="40" s="1"/>
  <c r="CN302" i="40" a="1"/>
  <c r="CN302" i="40" s="1"/>
  <c r="CN145" i="40" a="1"/>
  <c r="CN145" i="40" s="1"/>
  <c r="CN328" i="40" a="1"/>
  <c r="CN328" i="40" s="1"/>
  <c r="CN165" i="40" a="1"/>
  <c r="CN165" i="40" s="1"/>
  <c r="CN384" i="40" a="1"/>
  <c r="CN384" i="40" s="1"/>
  <c r="CN437" i="40" a="1"/>
  <c r="CN437" i="40" s="1"/>
  <c r="CN565" i="40" a="1"/>
  <c r="CN565" i="40" s="1"/>
  <c r="CN353" i="40" a="1"/>
  <c r="CN353" i="40" s="1"/>
  <c r="CN197" i="40" a="1"/>
  <c r="CN197" i="40" s="1"/>
  <c r="CN410" i="40" a="1"/>
  <c r="CN410" i="40" s="1"/>
  <c r="CN196" i="40" a="1"/>
  <c r="CN196" i="40" s="1"/>
  <c r="CN547" i="40" a="1"/>
  <c r="CN547" i="40" s="1"/>
  <c r="CN167" i="40" a="1"/>
  <c r="CN167" i="40" s="1"/>
  <c r="CN602" i="40" a="1"/>
  <c r="CN602" i="40" s="1"/>
  <c r="CN380" i="40" a="1"/>
  <c r="CN380" i="40" s="1"/>
  <c r="CN456" i="40" a="1"/>
  <c r="CN456" i="40" s="1"/>
  <c r="CN78" i="40" a="1"/>
  <c r="CN78" i="40" s="1"/>
  <c r="CN600" i="40" a="1"/>
  <c r="CN600" i="40" s="1"/>
  <c r="CN100" i="40" a="1"/>
  <c r="CN100" i="40" s="1"/>
  <c r="CN508" i="40" a="1"/>
  <c r="CN508" i="40" s="1"/>
  <c r="CN132" i="40" a="1"/>
  <c r="CN132" i="40" s="1"/>
  <c r="CN669" i="40" a="1"/>
  <c r="CN669" i="40" s="1"/>
  <c r="CN396" i="40" a="1"/>
  <c r="CN396" i="40" s="1"/>
  <c r="CN152" i="40" a="1"/>
  <c r="CN152" i="40" s="1"/>
  <c r="CN644" i="40" a="1"/>
  <c r="CN644" i="40" s="1"/>
  <c r="CN326" i="40" a="1"/>
  <c r="CN326" i="40" s="1"/>
  <c r="CN667" i="40" a="1"/>
  <c r="CN667" i="40" s="1"/>
  <c r="CN498" i="40" a="1"/>
  <c r="CN498" i="40" s="1"/>
  <c r="CN184" i="40" a="1"/>
  <c r="CN184" i="40" s="1"/>
  <c r="CN512" i="40" a="1"/>
  <c r="CN512" i="40" s="1"/>
  <c r="CN155" i="40" a="1"/>
  <c r="CN155" i="40" s="1"/>
  <c r="CN385" i="40" a="1"/>
  <c r="CN385" i="40" s="1"/>
  <c r="CN675" i="40" a="1"/>
  <c r="CN675" i="40" s="1"/>
  <c r="CN325" i="40" a="1"/>
  <c r="CN325" i="40" s="1"/>
  <c r="CN472" i="40" a="1"/>
  <c r="CN472" i="40" s="1"/>
  <c r="CN316" i="40" a="1"/>
  <c r="CN316" i="40" s="1"/>
  <c r="CN104" i="40" a="1"/>
  <c r="CN104" i="40" s="1"/>
  <c r="CN130" i="40" a="1"/>
  <c r="CN130" i="40" s="1"/>
  <c r="CN379" i="40" a="1"/>
  <c r="CN379" i="40" s="1"/>
  <c r="CN91" i="40" a="1"/>
  <c r="CN91" i="40" s="1"/>
  <c r="CN495" i="40" a="1"/>
  <c r="CN495" i="40" s="1"/>
  <c r="CN111" i="40" a="1"/>
  <c r="CN111" i="40" s="1"/>
  <c r="CN608" i="40" a="1"/>
  <c r="CN608" i="40" s="1"/>
  <c r="CN436" i="40" a="1"/>
  <c r="CN436" i="40" s="1"/>
  <c r="CN81" i="40" a="1"/>
  <c r="CN81" i="40" s="1"/>
  <c r="CN382" i="40" a="1"/>
  <c r="CN382" i="40" s="1"/>
  <c r="CN143" i="40" a="1"/>
  <c r="CN143" i="40" s="1"/>
  <c r="CN647" i="40" a="1"/>
  <c r="CN647" i="40" s="1"/>
  <c r="CN327" i="40" a="1"/>
  <c r="CN327" i="40" s="1"/>
  <c r="CN627" i="40" a="1"/>
  <c r="CN627" i="40" s="1"/>
  <c r="CN215" i="40" a="1"/>
  <c r="CN215" i="40" s="1"/>
  <c r="CN543" i="40" a="1"/>
  <c r="CN543" i="40" s="1"/>
  <c r="CN347" i="40" a="1"/>
  <c r="CN347" i="40" s="1"/>
  <c r="CN488" i="40" a="1"/>
  <c r="CN488" i="40" s="1"/>
  <c r="CN505" i="40" a="1"/>
  <c r="CN505" i="40" s="1"/>
  <c r="CN133" i="40" a="1"/>
  <c r="CN133" i="40" s="1"/>
  <c r="CN538" i="40" a="1"/>
  <c r="CN538" i="40" s="1"/>
  <c r="CN276" i="40" a="1"/>
  <c r="CN276" i="40" s="1"/>
  <c r="CN610" i="40" a="1"/>
  <c r="CN610" i="40" s="1"/>
  <c r="CN459" i="40" a="1"/>
  <c r="CN459" i="40" s="1"/>
  <c r="CN308" i="40" a="1"/>
  <c r="CN308" i="40" s="1"/>
  <c r="CN633" i="40" a="1"/>
  <c r="CN633" i="40" s="1"/>
  <c r="CN377" i="40" a="1"/>
  <c r="CN377" i="40" s="1"/>
  <c r="CN182" i="40" a="1"/>
  <c r="CN182" i="40" s="1"/>
  <c r="CN609" i="40" a="1"/>
  <c r="CN609" i="40" s="1"/>
  <c r="CN279" i="40" a="1"/>
  <c r="CN279" i="40" s="1"/>
  <c r="CN579" i="40" a="1"/>
  <c r="CN579" i="40" s="1"/>
  <c r="CN393" i="40" a="1"/>
  <c r="CN393" i="40" s="1"/>
  <c r="CN668" i="40" a="1"/>
  <c r="CN668" i="40" s="1"/>
  <c r="CN329" i="40" a="1"/>
  <c r="CN329" i="40" s="1"/>
  <c r="CN536" i="40" a="1"/>
  <c r="CN536" i="40" s="1"/>
  <c r="CN457" i="40" a="1"/>
  <c r="CN457" i="40" s="1"/>
  <c r="CN187" i="40" a="1"/>
  <c r="CN187" i="40" s="1"/>
  <c r="CN71" i="40" a="1"/>
  <c r="CN71" i="40" s="1"/>
  <c r="CN616" i="40" a="1"/>
  <c r="CN616" i="40" s="1"/>
  <c r="CN120" i="40" a="1"/>
  <c r="CN120" i="40" s="1"/>
  <c r="CN477" i="40" a="1"/>
  <c r="CN477" i="40" s="1"/>
  <c r="CN285" i="40" a="1"/>
  <c r="CN285" i="40" s="1"/>
  <c r="CN539" i="40" a="1"/>
  <c r="CN539" i="40" s="1"/>
  <c r="CN516" i="40" a="1"/>
  <c r="CN516" i="40" s="1"/>
  <c r="CN365" i="40" a="1"/>
  <c r="CN365" i="40" s="1"/>
  <c r="CN305" i="40" a="1"/>
  <c r="CN305" i="40" s="1"/>
  <c r="CN185" i="40" a="1"/>
  <c r="CN185" i="40" s="1"/>
  <c r="CN464" i="40" a="1"/>
  <c r="CN464" i="40" s="1"/>
  <c r="CN336" i="40" a="1"/>
  <c r="CN336" i="40" s="1"/>
  <c r="CN620" i="40" a="1"/>
  <c r="CN620" i="40" s="1"/>
  <c r="CN281" i="40" a="1"/>
  <c r="CN281" i="40" s="1"/>
  <c r="CN277" i="40" a="1"/>
  <c r="CN277" i="40" s="1"/>
  <c r="CN654" i="40" a="1"/>
  <c r="CN654" i="40" s="1"/>
  <c r="CN408" i="40" a="1"/>
  <c r="CN408" i="40" s="1"/>
  <c r="CN481" i="40" a="1"/>
  <c r="CN481" i="40" s="1"/>
  <c r="CN332" i="40" a="1"/>
  <c r="CN332" i="40" s="1"/>
  <c r="CN108" i="40" a="1"/>
  <c r="CN108" i="40" s="1"/>
  <c r="CN79" i="40" a="1"/>
  <c r="CN79" i="40" s="1"/>
  <c r="CN641" i="40" a="1"/>
  <c r="CN641" i="40" s="1"/>
  <c r="CN389" i="40" a="1"/>
  <c r="CN389" i="40" s="1"/>
  <c r="CN150" i="40" a="1"/>
  <c r="CN150" i="40" s="1"/>
  <c r="CN554" i="40" a="1"/>
  <c r="CN554" i="40" s="1"/>
  <c r="CN278" i="40" a="1"/>
  <c r="CN278" i="40" s="1"/>
  <c r="CN619" i="40" a="1"/>
  <c r="CN619" i="40" s="1"/>
  <c r="CN450" i="40" a="1"/>
  <c r="CN450" i="40" s="1"/>
  <c r="CN172" i="40" a="1"/>
  <c r="CN172" i="40" s="1"/>
  <c r="CN599" i="40" a="1"/>
  <c r="CN599" i="40" s="1"/>
  <c r="CN233" i="40" a="1"/>
  <c r="CN233" i="40" s="1"/>
  <c r="CN645" i="40" a="1"/>
  <c r="CN645" i="40" s="1"/>
  <c r="CN354" i="40" a="1"/>
  <c r="CN354" i="40" s="1"/>
  <c r="CN606" i="40" a="1"/>
  <c r="CN606" i="40" s="1"/>
  <c r="CN299" i="40" a="1"/>
  <c r="CN299" i="40" s="1"/>
  <c r="CN239" i="40" a="1"/>
  <c r="CN239" i="40" s="1"/>
  <c r="CN449" i="40" a="1"/>
  <c r="CN449" i="40" s="1"/>
  <c r="CN191" i="40" a="1"/>
  <c r="CN191" i="40" s="1"/>
  <c r="CN573" i="40" a="1"/>
  <c r="CN573" i="40" s="1"/>
  <c r="CN570" i="40" a="1"/>
  <c r="CN570" i="40" s="1"/>
  <c r="CN207" i="40" a="1"/>
  <c r="CN207" i="40" s="1"/>
  <c r="CN621" i="40" a="1"/>
  <c r="CN621" i="40" s="1"/>
  <c r="CN271" i="40" a="1"/>
  <c r="CN271" i="40" s="1"/>
  <c r="CN153" i="40" a="1"/>
  <c r="CN153" i="40" s="1"/>
  <c r="CN596" i="40" a="1"/>
  <c r="CN596" i="40" s="1"/>
  <c r="CN351" i="40" a="1"/>
  <c r="CN351" i="40" s="1"/>
  <c r="CN88" i="40" a="1"/>
  <c r="CN88" i="40" s="1"/>
  <c r="CN561" i="40" a="1"/>
  <c r="CN561" i="40" s="1"/>
  <c r="CN131" i="40" a="1"/>
  <c r="CN131" i="40" s="1"/>
  <c r="CN306" i="40" a="1"/>
  <c r="CN306" i="40" s="1"/>
  <c r="CN558" i="40" a="1"/>
  <c r="CN558" i="40" s="1"/>
  <c r="CN251" i="40" a="1"/>
  <c r="CN251" i="40" s="1"/>
  <c r="CN98" i="40" a="1"/>
  <c r="CN98" i="40" s="1"/>
  <c r="CN529" i="40" a="1"/>
  <c r="CN529" i="40" s="1"/>
  <c r="CN245" i="40" a="1"/>
  <c r="CN245" i="40" s="1"/>
  <c r="CN540" i="40" a="1"/>
  <c r="CN540" i="40" s="1"/>
  <c r="CN497" i="40" a="1"/>
  <c r="CN497" i="40" s="1"/>
  <c r="CN110" i="40" a="1"/>
  <c r="CN110" i="40" s="1"/>
  <c r="CN632" i="40" a="1"/>
  <c r="CN632" i="40" s="1"/>
  <c r="CN439" i="40" a="1"/>
  <c r="CN439" i="40" s="1"/>
  <c r="CN662" i="40" a="1"/>
  <c r="CN662" i="40" s="1"/>
  <c r="CN280" i="40" a="1"/>
  <c r="CN280" i="40" s="1"/>
  <c r="CN140" i="40" a="1"/>
  <c r="CN140" i="40" s="1"/>
  <c r="CN360" i="40" a="1"/>
  <c r="CN360" i="40" s="1"/>
  <c r="CN170" i="40" a="1"/>
  <c r="CN170" i="40" s="1"/>
  <c r="CN503" i="40" a="1"/>
  <c r="CN503" i="40" s="1"/>
  <c r="CN421" i="40" a="1"/>
  <c r="CN421" i="40" s="1"/>
  <c r="CN572" i="40" a="1"/>
  <c r="CN572" i="40" s="1"/>
  <c r="CN221" i="40" a="1"/>
  <c r="CN221" i="40" s="1"/>
  <c r="CN80" i="40" a="1"/>
  <c r="CN80" i="40" s="1"/>
  <c r="CN486" i="40" a="1"/>
  <c r="CN486" i="40" s="1"/>
  <c r="CN266" i="40" a="1"/>
  <c r="CN266" i="40" s="1"/>
  <c r="CN531" i="40" a="1"/>
  <c r="CN531" i="40" s="1"/>
  <c r="CN272" i="40" a="1"/>
  <c r="CN272" i="40" s="1"/>
  <c r="CN451" i="40" a="1"/>
  <c r="CN451" i="40" s="1"/>
  <c r="CN195" i="40" a="1"/>
  <c r="CN195" i="40" s="1"/>
  <c r="CN357" i="40" a="1"/>
  <c r="CN357" i="40" s="1"/>
  <c r="CN112" i="40" a="1"/>
  <c r="CN112" i="40" s="1"/>
  <c r="CN339" i="40" a="1"/>
  <c r="CN339" i="40" s="1"/>
  <c r="CN334" i="40" a="1"/>
  <c r="CN334" i="40" s="1"/>
  <c r="CN99" i="40" a="1"/>
  <c r="CN99" i="40" s="1"/>
  <c r="CN585" i="40" a="1"/>
  <c r="CN585" i="40" s="1"/>
  <c r="CN257" i="40" a="1"/>
  <c r="CN257" i="40" s="1"/>
  <c r="CN173" i="40" a="1"/>
  <c r="CN173" i="40" s="1"/>
  <c r="CN416" i="40" a="1"/>
  <c r="CN416" i="40" s="1"/>
  <c r="CN288" i="40" a="1"/>
  <c r="CN288" i="40" s="1"/>
  <c r="CN597" i="40" a="1"/>
  <c r="CN597" i="40" s="1"/>
  <c r="CN423" i="40" a="1"/>
  <c r="CN423" i="40" s="1"/>
  <c r="CN92" i="40" a="1"/>
  <c r="CN92" i="40" s="1"/>
  <c r="CN485" i="40" a="1"/>
  <c r="CN485" i="40" s="1"/>
  <c r="CN237" i="40" a="1"/>
  <c r="CN237" i="40" s="1"/>
  <c r="CN510" i="40" a="1"/>
  <c r="CN510" i="40" s="1"/>
  <c r="CN244" i="40" a="1"/>
  <c r="CN244" i="40" s="1"/>
  <c r="CN634" i="40" a="1"/>
  <c r="CN634" i="40" s="1"/>
  <c r="CN513" i="40" a="1"/>
  <c r="CN513" i="40" s="1"/>
  <c r="CN566" i="40" a="1"/>
  <c r="CN566" i="40" s="1"/>
  <c r="CN460" i="40" a="1"/>
  <c r="CN460" i="40" s="1"/>
  <c r="CN364" i="40" a="1"/>
  <c r="CN364" i="40" s="1"/>
  <c r="CN447" i="40" a="1"/>
  <c r="CN447" i="40" s="1"/>
  <c r="CN231" i="40" a="1"/>
  <c r="CN231" i="40" s="1"/>
  <c r="CN642" i="40" a="1"/>
  <c r="CN642" i="40" s="1"/>
  <c r="CN551" i="40" a="1"/>
  <c r="CN551" i="40" s="1"/>
  <c r="CN160" i="40" a="1"/>
  <c r="CN160" i="40" s="1"/>
  <c r="CN676" i="40" a="1"/>
  <c r="CN676" i="40" s="1"/>
  <c r="CN358" i="40" a="1"/>
  <c r="CN358" i="40" s="1"/>
  <c r="CN546" i="40" a="1"/>
  <c r="CN546" i="40" s="1"/>
  <c r="CN202" i="40" a="1"/>
  <c r="CN202" i="40" s="1"/>
  <c r="CN462" i="40" a="1"/>
  <c r="CN462" i="40" s="1"/>
  <c r="CN263" i="40" a="1"/>
  <c r="CN263" i="40" s="1"/>
  <c r="CN490" i="40" a="1"/>
  <c r="CN490" i="40" s="1"/>
  <c r="CN175" i="40" a="1"/>
  <c r="CN175" i="40" s="1"/>
  <c r="CN199" i="40" a="1"/>
  <c r="CN199" i="40" s="1"/>
  <c r="CN114" i="40" a="1"/>
  <c r="CN114" i="40" s="1"/>
  <c r="CN648" i="40" a="1"/>
  <c r="CN648" i="40" s="1"/>
  <c r="CN232" i="40" a="1"/>
  <c r="CN232" i="40" s="1"/>
  <c r="CN77" i="40" a="1"/>
  <c r="CN77" i="40" s="1"/>
  <c r="CN411" i="40" a="1"/>
  <c r="CN411" i="40" s="1"/>
  <c r="CN317" i="40" a="1"/>
  <c r="CN317" i="40" s="1"/>
  <c r="CN571" i="40" a="1"/>
  <c r="CN571" i="40" s="1"/>
  <c r="CN491" i="40" a="1"/>
  <c r="CN491" i="40" s="1"/>
  <c r="CN119" i="40" a="1"/>
  <c r="CN119" i="40" s="1"/>
  <c r="CN640" i="40" a="1"/>
  <c r="CN640" i="40" s="1"/>
  <c r="CN444" i="40" a="1"/>
  <c r="CN444" i="40" s="1"/>
  <c r="CN76" i="40" a="1"/>
  <c r="CN76" i="40" s="1"/>
  <c r="CN414" i="40" a="1"/>
  <c r="CN414" i="40" s="1"/>
  <c r="CN205" i="40" a="1"/>
  <c r="CN205" i="40" s="1"/>
  <c r="CN442" i="40" a="1"/>
  <c r="CN442" i="40" s="1"/>
  <c r="CN204" i="40" a="1"/>
  <c r="CN204" i="40" s="1"/>
  <c r="CN403" i="40" a="1"/>
  <c r="CN403" i="40" s="1"/>
  <c r="CN406" i="40" a="1"/>
  <c r="CN406" i="40" s="1"/>
  <c r="CN575" i="40" a="1"/>
  <c r="CN575" i="40" s="1"/>
  <c r="CN522" i="40" a="1"/>
  <c r="CN522" i="40" s="1"/>
  <c r="CN373" i="40" a="1"/>
  <c r="CN373" i="40" s="1"/>
  <c r="CN94" i="40" a="1"/>
  <c r="CN94" i="40" s="1"/>
  <c r="CN286" i="40" a="1"/>
  <c r="CN286" i="40" s="1"/>
  <c r="CN138" i="40" a="1"/>
  <c r="CN138" i="40" s="1"/>
  <c r="CN468" i="40" a="1"/>
  <c r="CN468" i="40" s="1"/>
  <c r="CN230" i="40" a="1"/>
  <c r="CN230" i="40" s="1"/>
  <c r="CN158" i="40" a="1"/>
  <c r="CN158" i="40" s="1"/>
  <c r="CN455" i="40" a="1"/>
  <c r="CN455" i="40" s="1"/>
  <c r="CN340" i="40" a="1"/>
  <c r="CN340" i="40" s="1"/>
  <c r="CN665" i="40" a="1"/>
  <c r="CN665" i="40" s="1"/>
  <c r="CN417" i="40" a="1"/>
  <c r="CN417" i="40" s="1"/>
  <c r="CN190" i="40" a="1"/>
  <c r="CN190" i="40" s="1"/>
  <c r="CN394" i="40" a="1"/>
  <c r="CN394" i="40" s="1"/>
  <c r="CN192" i="40" a="1"/>
  <c r="CN192" i="40" s="1"/>
  <c r="CN532" i="40" a="1"/>
  <c r="CN532" i="40" s="1"/>
  <c r="CN163" i="40" a="1"/>
  <c r="CN163" i="40" s="1"/>
  <c r="CN586" i="40" a="1"/>
  <c r="CN586" i="40" s="1"/>
  <c r="CN223" i="40" a="1"/>
  <c r="CN223" i="40" s="1"/>
  <c r="CN568" i="40" a="1"/>
  <c r="CN568" i="40" s="1"/>
  <c r="CN314" i="40" a="1"/>
  <c r="CN314" i="40" s="1"/>
  <c r="CN582" i="40" a="1"/>
  <c r="CN582" i="40" s="1"/>
  <c r="CN84" i="40" a="1"/>
  <c r="CN84" i="40" s="1"/>
  <c r="CN492" i="40" a="1"/>
  <c r="CN492" i="40" s="1"/>
  <c r="CN141" i="40" a="1"/>
  <c r="CN141" i="40" s="1"/>
  <c r="CN509" i="40" a="1"/>
  <c r="CN509" i="40" s="1"/>
  <c r="CN303" i="40" a="1"/>
  <c r="CN303" i="40" s="1"/>
  <c r="CN161" i="40" a="1"/>
  <c r="CN161" i="40" s="1"/>
  <c r="CN593" i="40" a="1"/>
  <c r="CN593" i="40" s="1"/>
  <c r="CN402" i="40" a="1"/>
  <c r="CN402" i="40" s="1"/>
  <c r="CN549" i="40" a="1"/>
  <c r="CN549" i="40" s="1"/>
  <c r="CN337" i="40" a="1"/>
  <c r="CN337" i="40" s="1"/>
  <c r="CN193" i="40" a="1"/>
  <c r="CN193" i="40" s="1"/>
  <c r="CN496" i="40" a="1"/>
  <c r="CN496" i="40" s="1"/>
  <c r="CN151" i="40" a="1"/>
  <c r="CN151" i="40" s="1"/>
  <c r="CN679" i="40" a="1"/>
  <c r="CN679" i="40" s="1"/>
  <c r="CN359" i="40" a="1"/>
  <c r="CN359" i="40" s="1"/>
  <c r="CN659" i="40" a="1"/>
  <c r="CN659" i="40" s="1"/>
  <c r="CN361" i="40" a="1"/>
  <c r="CN361" i="40" s="1"/>
  <c r="CN381" i="40" a="1"/>
  <c r="CN381" i="40" s="1"/>
  <c r="CN118" i="40" a="1"/>
  <c r="CN118" i="40" s="1"/>
  <c r="CN126" i="40" a="1"/>
  <c r="CN126" i="40" s="1"/>
  <c r="CN541" i="40" a="1"/>
  <c r="CN541" i="40" s="1"/>
  <c r="CN128" i="40" a="1"/>
  <c r="CN128" i="40" s="1"/>
  <c r="CN673" i="40" a="1"/>
  <c r="CN673" i="40" s="1"/>
  <c r="CN312" i="40" a="1"/>
  <c r="CN312" i="40" s="1"/>
  <c r="CN148" i="40" a="1"/>
  <c r="CN148" i="40" s="1"/>
  <c r="CN628" i="40" a="1"/>
  <c r="CN628" i="40" s="1"/>
  <c r="CN310" i="40" a="1"/>
  <c r="CN310" i="40" s="1"/>
  <c r="CN651" i="40" a="1"/>
  <c r="CN651" i="40" s="1"/>
  <c r="CN482" i="40" a="1"/>
  <c r="CN482" i="40" s="1"/>
  <c r="CN180" i="40" a="1"/>
  <c r="CN180" i="40" s="1"/>
  <c r="CN631" i="40" a="1"/>
  <c r="CN631" i="40" s="1"/>
  <c r="CN311" i="40" a="1"/>
  <c r="CN311" i="40" s="1"/>
  <c r="CN611" i="40" a="1"/>
  <c r="CN611" i="40" s="1"/>
  <c r="CN211" i="40" a="1"/>
  <c r="CN211" i="40" s="1"/>
  <c r="CN309" i="40" a="1"/>
  <c r="CN309" i="40" s="1"/>
  <c r="CN106" i="40" a="1"/>
  <c r="CN106" i="40" s="1"/>
  <c r="CN330" i="40" a="1"/>
  <c r="CN330" i="40" s="1"/>
  <c r="CN388" i="40" a="1"/>
  <c r="CN388" i="40" s="1"/>
  <c r="CN129" i="40" a="1"/>
  <c r="CN129" i="40" s="1"/>
  <c r="CN533" i="40" a="1"/>
  <c r="CN533" i="40" s="1"/>
  <c r="CN87" i="40" a="1"/>
  <c r="CN87" i="40" s="1"/>
  <c r="CN653" i="40" a="1"/>
  <c r="CN653" i="40" s="1"/>
  <c r="CN366" i="40" a="1"/>
  <c r="CN366" i="40" s="1"/>
  <c r="CN107" i="40" a="1"/>
  <c r="CN107" i="40" s="1"/>
  <c r="CN592" i="40" a="1"/>
  <c r="CN592" i="40" s="1"/>
  <c r="CN399" i="40" a="1"/>
  <c r="CN399" i="40" s="1"/>
  <c r="CN90" i="40" a="1"/>
  <c r="CN90" i="40" s="1"/>
  <c r="CN557" i="40" a="1"/>
  <c r="CN557" i="40" s="1"/>
  <c r="CN139" i="40" a="1"/>
  <c r="CN139" i="40" s="1"/>
  <c r="CN563" i="40" a="1"/>
  <c r="CN563" i="40" s="1"/>
  <c r="CN368" i="40" a="1"/>
  <c r="CN368" i="40" s="1"/>
  <c r="CN652" i="40" a="1"/>
  <c r="CN652" i="40" s="1"/>
  <c r="CN313" i="40" a="1"/>
  <c r="CN313" i="40" s="1"/>
  <c r="CN520" i="40" a="1"/>
  <c r="CN520" i="40" s="1"/>
  <c r="CN331" i="40" a="1"/>
  <c r="CN331" i="40" s="1"/>
  <c r="CN226" i="40" a="1"/>
  <c r="CN226" i="40" s="1"/>
  <c r="CN397" i="40" a="1"/>
  <c r="CN397" i="40" s="1"/>
  <c r="CN598" i="40" a="1"/>
  <c r="CN598" i="40" s="1"/>
  <c r="CN116" i="40" a="1"/>
  <c r="CN116" i="40" s="1"/>
  <c r="CN461" i="40" a="1"/>
  <c r="CN461" i="40" s="1"/>
  <c r="CN268" i="40" a="1"/>
  <c r="CN268" i="40" s="1"/>
  <c r="CN479" i="40" a="1"/>
  <c r="CN479" i="40" s="1"/>
  <c r="CN292" i="40" a="1"/>
  <c r="CN292" i="40" s="1"/>
  <c r="CN617" i="40" a="1"/>
  <c r="CN617" i="40" s="1"/>
  <c r="CN386" i="40" a="1"/>
  <c r="CN386" i="40" s="1"/>
  <c r="CN178" i="40" a="1"/>
  <c r="CN178" i="40" s="1"/>
  <c r="CN545" i="40" a="1"/>
  <c r="CN545" i="40" s="1"/>
  <c r="CN441" i="40" a="1"/>
  <c r="CN441" i="40" s="1"/>
  <c r="CN604" i="40" a="1"/>
  <c r="CN604" i="40" s="1"/>
  <c r="CN265" i="40" a="1"/>
  <c r="CN265" i="40" s="1"/>
  <c r="CN677" i="40" a="1"/>
  <c r="CN677" i="40" s="1"/>
  <c r="CN434" i="40" a="1"/>
  <c r="CN434" i="40" s="1"/>
  <c r="CN638" i="40" a="1"/>
  <c r="CN638" i="40" s="1"/>
  <c r="CN560" i="40" a="1"/>
  <c r="CN560" i="40" s="1"/>
  <c r="CN236" i="40" a="1"/>
  <c r="CN236" i="40" s="1"/>
  <c r="CN346" i="40" a="1"/>
  <c r="CN346" i="40" s="1"/>
  <c r="CN122" i="40" a="1"/>
  <c r="CN122" i="40" s="1"/>
  <c r="CN75" i="40" a="1"/>
  <c r="CN75" i="40" s="1"/>
  <c r="CN625" i="40" a="1"/>
  <c r="CN625" i="40" s="1"/>
  <c r="CN269" i="40" a="1"/>
  <c r="CN269" i="40" s="1"/>
  <c r="CN594" i="40" a="1"/>
  <c r="CN594" i="40" s="1"/>
  <c r="CN443" i="40" a="1"/>
  <c r="CN443" i="40" s="1"/>
  <c r="CN349" i="40" a="1"/>
  <c r="CN349" i="40" s="1"/>
  <c r="CN674" i="40" a="1"/>
  <c r="CN674" i="40" s="1"/>
  <c r="CN289" i="40" a="1"/>
  <c r="CN289" i="40" s="1"/>
  <c r="CN181" i="40" a="1"/>
  <c r="CN181" i="40" s="1"/>
  <c r="CN448" i="40" a="1"/>
  <c r="CN448" i="40" s="1"/>
  <c r="CN320" i="40" a="1"/>
  <c r="CN320" i="40" s="1"/>
  <c r="CN629" i="40" a="1"/>
  <c r="CN629" i="40" s="1"/>
  <c r="CN338" i="40" a="1"/>
  <c r="CN338" i="40" s="1"/>
  <c r="CN590" i="40" a="1"/>
  <c r="CN590" i="40" s="1"/>
  <c r="CN283" i="40" a="1"/>
  <c r="CN283" i="40" s="1"/>
  <c r="CN89" i="40" a="1"/>
  <c r="CN89" i="40" s="1"/>
  <c r="CN392" i="40" a="1"/>
  <c r="CN392" i="40" s="1"/>
  <c r="CN242" i="40" a="1"/>
  <c r="CN242" i="40" s="1"/>
  <c r="CN413" i="40" a="1"/>
  <c r="CN413" i="40" s="1"/>
  <c r="CN390" i="40" a="1"/>
  <c r="CN390" i="40" s="1"/>
  <c r="CN203" i="40" a="1"/>
  <c r="CN203" i="40" s="1"/>
  <c r="CN605" i="40" a="1"/>
  <c r="CN605" i="40" s="1"/>
  <c r="CN371" i="40" a="1"/>
  <c r="CN371" i="40" s="1"/>
  <c r="CN523" i="40" a="1"/>
  <c r="CN523" i="40" s="1"/>
  <c r="CN500" i="40" a="1"/>
  <c r="CN500" i="40" s="1"/>
  <c r="CN262" i="40" a="1"/>
  <c r="CN262" i="40" s="1"/>
  <c r="CN603" i="40" a="1"/>
  <c r="CN603" i="40" s="1"/>
  <c r="CN577" i="40" a="1"/>
  <c r="CN577" i="40" s="1"/>
  <c r="CN168" i="40" a="1"/>
  <c r="CN168" i="40" s="1"/>
  <c r="CN428" i="40" a="1"/>
  <c r="CN428" i="40" s="1"/>
  <c r="CN542" i="40" a="1"/>
  <c r="CN542" i="40" s="1"/>
  <c r="CN235" i="40" a="1"/>
  <c r="CN235" i="40" s="1"/>
  <c r="CN82" i="40" a="1"/>
  <c r="CN82" i="40" s="1"/>
  <c r="CN518" i="40" a="1"/>
  <c r="CN518" i="40" s="1"/>
  <c r="CN222" i="40" a="1"/>
  <c r="CN222" i="40" s="1"/>
  <c r="CN567" i="40" a="1"/>
  <c r="CN567" i="40" s="1"/>
  <c r="CN183" i="40" a="1"/>
  <c r="CN183" i="40" s="1"/>
  <c r="CN362" i="40" a="1"/>
  <c r="CN362" i="40" s="1"/>
  <c r="CN614" i="40" a="1"/>
  <c r="CN614" i="40" s="1"/>
  <c r="CN404" i="40" a="1"/>
  <c r="CN404" i="40" s="1"/>
  <c r="CN646" i="40" a="1"/>
  <c r="CN646" i="40" s="1"/>
  <c r="CN438" i="40" a="1"/>
  <c r="CN438" i="40" s="1"/>
  <c r="CN146" i="40" a="1"/>
  <c r="CN146" i="40" s="1"/>
  <c r="CN535" i="40" a="1"/>
  <c r="CN535" i="40" s="1"/>
  <c r="CN335" i="40" a="1"/>
  <c r="CN335" i="40" s="1"/>
  <c r="CN74" i="40" a="1"/>
  <c r="CN74" i="40" s="1"/>
  <c r="CN528" i="40" a="1"/>
  <c r="CN528" i="40" s="1"/>
  <c r="CN127" i="40" a="1"/>
  <c r="CN127" i="40" s="1"/>
  <c r="CN672" i="40" a="1"/>
  <c r="CN672" i="40" s="1"/>
  <c r="CN290" i="40" a="1"/>
  <c r="CN290" i="40" s="1"/>
  <c r="CN72" i="40" a="1"/>
  <c r="CN72" i="40" s="1"/>
  <c r="CN470" i="40" a="1"/>
  <c r="CN470" i="40" s="1"/>
  <c r="CN256" i="40" a="1"/>
  <c r="CN256" i="40" s="1"/>
  <c r="CN517" i="40" a="1"/>
  <c r="CN517" i="40" s="1"/>
  <c r="CN224" i="40" a="1"/>
  <c r="CN224" i="40" s="1"/>
  <c r="CN527" i="40" a="1"/>
  <c r="CN527" i="40" s="1"/>
  <c r="CN298" i="40" a="1"/>
  <c r="CN298" i="40" s="1"/>
  <c r="CN429" i="40" a="1"/>
  <c r="CN429" i="40" s="1"/>
  <c r="CN113" i="40" a="1"/>
  <c r="CN113" i="40" s="1"/>
  <c r="CN323" i="40" a="1"/>
  <c r="CN323" i="40" s="1"/>
  <c r="CN264" i="40" a="1"/>
  <c r="CN264" i="40" s="1"/>
  <c r="CN149" i="40" a="1"/>
  <c r="CN149" i="40" s="1"/>
  <c r="CN344" i="40" a="1"/>
  <c r="CN344" i="40" s="1"/>
  <c r="CN166" i="40" a="1"/>
  <c r="CN166" i="40" s="1"/>
  <c r="CN487" i="40" a="1"/>
  <c r="CN487" i="40" s="1"/>
  <c r="CN372" i="40" a="1"/>
  <c r="CN372" i="40" s="1"/>
  <c r="CN217" i="40" a="1"/>
  <c r="CN217" i="40" s="1"/>
  <c r="CN73" i="40" a="1"/>
  <c r="CN73" i="40" s="1"/>
  <c r="CN469" i="40" a="1"/>
  <c r="CN469" i="40" s="1"/>
  <c r="CN210" i="40" a="1"/>
  <c r="CN210" i="40" s="1"/>
  <c r="CN494" i="40" a="1"/>
  <c r="CN494" i="40" s="1"/>
  <c r="CN212" i="40" a="1"/>
  <c r="CN212" i="40" s="1"/>
  <c r="CN435" i="40" a="1"/>
  <c r="CN435" i="40" s="1"/>
  <c r="CN243" i="40" a="1"/>
  <c r="CN243" i="40" s="1"/>
  <c r="CN259" i="40" a="1"/>
  <c r="CN259" i="40" s="1"/>
  <c r="CN415" i="40" a="1"/>
  <c r="CN415" i="40" s="1"/>
  <c r="CN348" i="40" a="1"/>
  <c r="CN348" i="40" s="1"/>
  <c r="CN680" i="40" a="1"/>
  <c r="CN680" i="40" s="1"/>
  <c r="CN318" i="40" a="1"/>
  <c r="CN318" i="40" s="1"/>
  <c r="CN136" i="40" a="1"/>
  <c r="CN136" i="40" s="1"/>
  <c r="CN241" i="40" a="1"/>
  <c r="CN241" i="40" s="1"/>
  <c r="CN169" i="40" a="1"/>
  <c r="CN169" i="40" s="1"/>
  <c r="CN400" i="40" a="1"/>
  <c r="CN400" i="40" s="1"/>
  <c r="CN453" i="40" a="1"/>
  <c r="CN453" i="40" s="1"/>
  <c r="CN581" i="40" a="1"/>
  <c r="CN581" i="40" s="1"/>
  <c r="CN369" i="40" a="1"/>
  <c r="CN369" i="40" s="1"/>
  <c r="CN198" i="40" a="1"/>
  <c r="CN198" i="40" s="1"/>
  <c r="CN446" i="40" a="1"/>
  <c r="CN446" i="40" s="1"/>
  <c r="CN253" i="40" a="1"/>
  <c r="CN253" i="40" s="1"/>
  <c r="CN474" i="40" a="1"/>
  <c r="CN474" i="40" s="1"/>
  <c r="CN214" i="40" a="1"/>
  <c r="CN214" i="40" s="1"/>
  <c r="CN618" i="40" a="1"/>
  <c r="CN618" i="40" s="1"/>
  <c r="CN418" i="40" a="1"/>
  <c r="CN418" i="40" s="1"/>
  <c r="CN483" i="40" a="1"/>
  <c r="CN483" i="40" s="1"/>
  <c r="CN607" i="40" a="1"/>
  <c r="CN607" i="40" s="1"/>
  <c r="CN407" i="40" a="1"/>
  <c r="CN407" i="40" s="1"/>
  <c r="CN101" i="40" a="1"/>
  <c r="CN101" i="40" s="1"/>
  <c r="CN544" i="40" a="1"/>
  <c r="CN544" i="40" s="1"/>
  <c r="CN95" i="40" a="1"/>
  <c r="CN95" i="40" s="1"/>
  <c r="CN569" i="40" a="1"/>
  <c r="CN569" i="40" s="1"/>
  <c r="CN511" i="40" a="1"/>
  <c r="CN511" i="40" s="1"/>
  <c r="CN156" i="40" a="1"/>
  <c r="CN156" i="40" s="1"/>
  <c r="CN660" i="40" a="1"/>
  <c r="CN660" i="40" s="1"/>
  <c r="CN342" i="40" a="1"/>
  <c r="CN342" i="40" s="1"/>
  <c r="CN514" i="40" a="1"/>
  <c r="CN514" i="40" s="1"/>
  <c r="CN201" i="40" a="1"/>
  <c r="CN201" i="40" s="1"/>
  <c r="CN426" i="40" a="1"/>
  <c r="CN426" i="40" s="1"/>
  <c r="CN200" i="40" a="1"/>
  <c r="CN200" i="40" s="1"/>
  <c r="CN387" i="40" a="1"/>
  <c r="CN387" i="40" s="1"/>
  <c r="CN171" i="40" a="1"/>
  <c r="CN171" i="40" s="1"/>
  <c r="CN341" i="40" a="1"/>
  <c r="CN341" i="40" s="1"/>
  <c r="CN275" i="40" a="1"/>
  <c r="CN275" i="40" s="1"/>
  <c r="CN117" i="40" a="1"/>
  <c r="CN117" i="40" s="1"/>
  <c r="CN270" i="40" a="1"/>
  <c r="CN270" i="40" s="1"/>
  <c r="CN86" i="40" a="1"/>
  <c r="CN86" i="40" s="1"/>
  <c r="CN395" i="40" a="1"/>
  <c r="CN395" i="40" s="1"/>
  <c r="CN258" i="40" a="1"/>
  <c r="CN258" i="40" s="1"/>
  <c r="CN626" i="40" a="1"/>
  <c r="CN626" i="40" s="1"/>
  <c r="CN475" i="40" a="1"/>
  <c r="CN475" i="40" s="1"/>
  <c r="CN115" i="40" a="1"/>
  <c r="CN115" i="40" s="1"/>
  <c r="CN624" i="40" a="1"/>
  <c r="CN624" i="40" s="1"/>
  <c r="CN409" i="40" a="1"/>
  <c r="CN409" i="40" s="1"/>
  <c r="CN97" i="40" a="1"/>
  <c r="CN97" i="40" s="1"/>
  <c r="CN398" i="40" a="1"/>
  <c r="CN398" i="40" s="1"/>
  <c r="CN188" i="40" a="1"/>
  <c r="CN188" i="40" s="1"/>
  <c r="CN521" i="40" a="1"/>
  <c r="CN521" i="40" s="1"/>
  <c r="CN159" i="40" a="1"/>
  <c r="CN159" i="40" s="1"/>
  <c r="CN383" i="40" a="1"/>
  <c r="CN383" i="40" s="1"/>
  <c r="CN559" i="40" a="1"/>
  <c r="CN559" i="40" s="1"/>
  <c r="CN363" i="40" a="1"/>
  <c r="CN363" i="40" s="1"/>
  <c r="CN499" i="40" a="1"/>
  <c r="CN499" i="40" s="1"/>
  <c r="CN425" i="40" a="1"/>
  <c r="CN425" i="40" s="1"/>
  <c r="CN476" i="40" a="1"/>
  <c r="CN476" i="40" s="1"/>
  <c r="CN134" i="40" a="1"/>
  <c r="CN134" i="40" s="1"/>
  <c r="CN452" i="40" a="1"/>
  <c r="CN452" i="40" s="1"/>
  <c r="CN301" i="40" a="1"/>
  <c r="CN301" i="40" s="1"/>
  <c r="CN555" i="40" a="1"/>
  <c r="CN555" i="40" s="1"/>
  <c r="CN519" i="40" a="1"/>
  <c r="CN519" i="40" s="1"/>
  <c r="CN324" i="40" a="1"/>
  <c r="CN324" i="40" s="1"/>
  <c r="CN649" i="40" a="1"/>
  <c r="CN649" i="40" s="1"/>
  <c r="CN405" i="40" a="1"/>
  <c r="CN405" i="40" s="1"/>
  <c r="CN186" i="40" a="1"/>
  <c r="CN186" i="40" s="1"/>
  <c r="CN378" i="40" a="1"/>
  <c r="CN378" i="40" s="1"/>
  <c r="CN147" i="40" a="1"/>
  <c r="CN147" i="40" s="1"/>
  <c r="CN663" i="40" a="1"/>
  <c r="CN663" i="40" s="1"/>
  <c r="CN343" i="40" a="1"/>
  <c r="CN343" i="40" s="1"/>
  <c r="CN643" i="40" a="1"/>
  <c r="CN643" i="40" s="1"/>
  <c r="CN219" i="40" a="1"/>
  <c r="CN219" i="40" s="1"/>
  <c r="CN552" i="40" a="1"/>
  <c r="CN552" i="40" s="1"/>
  <c r="CN473" i="40" a="1"/>
  <c r="CN473" i="40" s="1"/>
  <c r="CN66" i="40" a="1"/>
  <c r="CN66" i="40" s="1"/>
  <c r="CN68" i="40" a="1"/>
  <c r="CN68" i="40" s="1"/>
  <c r="CN67" i="40" a="1"/>
  <c r="CN67" i="40" s="1"/>
  <c r="Z329" i="42"/>
  <c r="AB329" i="42" s="1"/>
  <c r="Z650" i="42"/>
  <c r="AB650" i="42" s="1"/>
  <c r="Z470" i="42"/>
  <c r="AB470" i="42" s="1"/>
  <c r="Z88" i="42"/>
  <c r="AB88" i="42" s="1"/>
  <c r="Z281" i="42"/>
  <c r="AB281" i="42" s="1"/>
  <c r="Z442" i="42"/>
  <c r="AB442" i="42" s="1"/>
  <c r="Z571" i="42"/>
  <c r="AB571" i="42" s="1"/>
  <c r="Z445" i="42"/>
  <c r="AB445" i="42" s="1"/>
  <c r="Z287" i="42"/>
  <c r="AB287" i="42" s="1"/>
  <c r="Z608" i="42"/>
  <c r="AB608" i="42" s="1"/>
  <c r="Z226" i="42"/>
  <c r="AB226" i="42" s="1"/>
  <c r="Z303" i="42"/>
  <c r="AB303" i="42" s="1"/>
  <c r="Z624" i="42"/>
  <c r="AB624" i="42" s="1"/>
  <c r="Z242" i="42"/>
  <c r="AB242" i="42" s="1"/>
  <c r="Z563" i="42"/>
  <c r="AB563" i="42" s="1"/>
  <c r="Z181" i="42"/>
  <c r="AB181" i="42" s="1"/>
  <c r="Z502" i="42"/>
  <c r="AB502" i="42" s="1"/>
  <c r="Z120" i="42"/>
  <c r="AB120" i="42" s="1"/>
  <c r="Z313" i="42"/>
  <c r="AB313" i="42" s="1"/>
  <c r="Z474" i="42"/>
  <c r="AB474" i="42" s="1"/>
  <c r="Z518" i="42"/>
  <c r="AB518" i="42" s="1"/>
  <c r="Z136" i="42"/>
  <c r="AB136" i="42" s="1"/>
  <c r="Z393" i="42"/>
  <c r="AB393" i="42" s="1"/>
  <c r="Z364" i="42"/>
  <c r="AB364" i="42" s="1"/>
  <c r="Z14" i="42"/>
  <c r="AB14" i="42" s="1"/>
  <c r="Z335" i="42"/>
  <c r="AB335" i="42" s="1"/>
  <c r="Z656" i="42"/>
  <c r="AB656" i="42" s="1"/>
  <c r="Z274" i="42"/>
  <c r="AB274" i="42" s="1"/>
  <c r="Z595" i="42"/>
  <c r="AB595" i="42" s="1"/>
  <c r="Z351" i="42"/>
  <c r="AB351" i="42" s="1"/>
  <c r="Z672" i="42"/>
  <c r="AB672" i="42" s="1"/>
  <c r="Z290" i="42"/>
  <c r="AB290" i="42" s="1"/>
  <c r="Z611" i="42"/>
  <c r="AB611" i="42" s="1"/>
  <c r="Z229" i="42"/>
  <c r="AB229" i="42" s="1"/>
  <c r="Z550" i="42"/>
  <c r="AB550" i="42" s="1"/>
  <c r="Z168" i="42"/>
  <c r="AB168" i="42" s="1"/>
  <c r="Z425" i="42"/>
  <c r="AB425" i="42" s="1"/>
  <c r="Z43" i="42"/>
  <c r="AB43" i="42" s="1"/>
  <c r="Z184" i="42"/>
  <c r="AB184" i="42" s="1"/>
  <c r="Z377" i="42"/>
  <c r="AB377" i="42" s="1"/>
  <c r="Z538" i="42"/>
  <c r="AB538" i="42" s="1"/>
  <c r="Z667" i="42"/>
  <c r="AB667" i="42" s="1"/>
  <c r="Z62" i="42"/>
  <c r="AB62" i="42" s="1"/>
  <c r="Z383" i="42"/>
  <c r="AB383" i="42" s="1"/>
  <c r="Z322" i="42"/>
  <c r="AB322" i="42" s="1"/>
  <c r="Z643" i="42"/>
  <c r="AB643" i="42" s="1"/>
  <c r="Z261" i="42"/>
  <c r="AB261" i="42" s="1"/>
  <c r="Z17" i="42"/>
  <c r="AB17" i="42" s="1"/>
  <c r="Z338" i="42"/>
  <c r="AB338" i="42" s="1"/>
  <c r="Z659" i="42"/>
  <c r="AB659" i="42" s="1"/>
  <c r="Z277" i="42"/>
  <c r="AB277" i="42" s="1"/>
  <c r="Z598" i="42"/>
  <c r="AB598" i="42" s="1"/>
  <c r="Z216" i="42"/>
  <c r="AB216" i="42" s="1"/>
  <c r="Z409" i="42"/>
  <c r="AB409" i="42" s="1"/>
  <c r="Z570" i="42"/>
  <c r="AB570" i="42" s="1"/>
  <c r="Z94" i="42"/>
  <c r="AB94" i="42" s="1"/>
  <c r="Z489" i="42"/>
  <c r="AB489" i="42" s="1"/>
  <c r="Z107" i="42"/>
  <c r="AB107" i="42" s="1"/>
  <c r="Z460" i="42"/>
  <c r="AB460" i="42" s="1"/>
  <c r="Z110" i="42"/>
  <c r="AB110" i="42" s="1"/>
  <c r="Z431" i="42"/>
  <c r="AB431" i="42" s="1"/>
  <c r="Z49" i="42"/>
  <c r="AB49" i="42" s="1"/>
  <c r="Z370" i="42"/>
  <c r="AB370" i="42" s="1"/>
  <c r="Z309" i="42"/>
  <c r="AB309" i="42" s="1"/>
  <c r="Z630" i="42"/>
  <c r="AB630" i="42" s="1"/>
  <c r="Z386" i="42"/>
  <c r="AB386" i="42" s="1"/>
  <c r="Z325" i="42"/>
  <c r="AB325" i="42" s="1"/>
  <c r="Z646" i="42"/>
  <c r="AB646" i="42" s="1"/>
  <c r="Z264" i="42"/>
  <c r="AB264" i="42" s="1"/>
  <c r="Z521" i="42"/>
  <c r="AB521" i="42" s="1"/>
  <c r="Z139" i="42"/>
  <c r="AB139" i="42" s="1"/>
  <c r="Z492" i="42"/>
  <c r="AB492" i="42" s="1"/>
  <c r="Z142" i="42"/>
  <c r="AB142" i="42" s="1"/>
  <c r="Z463" i="42"/>
  <c r="AB463" i="42" s="1"/>
  <c r="Z634" i="42"/>
  <c r="AB634" i="42" s="1"/>
  <c r="Z381" i="42"/>
  <c r="AB381" i="42" s="1"/>
  <c r="Z158" i="42"/>
  <c r="AB158" i="42" s="1"/>
  <c r="Z479" i="42"/>
  <c r="AB479" i="42" s="1"/>
  <c r="Z97" i="42"/>
  <c r="AB97" i="42" s="1"/>
  <c r="Z418" i="42"/>
  <c r="AB418" i="42" s="1"/>
  <c r="Z36" i="42"/>
  <c r="AB36" i="42" s="1"/>
  <c r="Z357" i="42"/>
  <c r="AB357" i="42" s="1"/>
  <c r="Z678" i="42"/>
  <c r="AB678" i="42" s="1"/>
  <c r="Z434" i="42"/>
  <c r="AB434" i="42" s="1"/>
  <c r="Z52" i="42"/>
  <c r="AB52" i="42" s="1"/>
  <c r="Z373" i="42"/>
  <c r="AB373" i="42" s="1"/>
  <c r="Z312" i="42"/>
  <c r="AB312" i="42" s="1"/>
  <c r="Z505" i="42"/>
  <c r="AB505" i="42" s="1"/>
  <c r="Z666" i="42"/>
  <c r="AB666" i="42" s="1"/>
  <c r="Z605" i="42"/>
  <c r="AB605" i="42" s="1"/>
  <c r="Z190" i="42"/>
  <c r="AB190" i="42" s="1"/>
  <c r="Z511" i="42"/>
  <c r="AB511" i="42" s="1"/>
  <c r="Z556" i="42"/>
  <c r="AB556" i="42" s="1"/>
  <c r="Z206" i="42"/>
  <c r="AB206" i="42" s="1"/>
  <c r="Z527" i="42"/>
  <c r="AB527" i="42" s="1"/>
  <c r="Z145" i="42"/>
  <c r="AB145" i="42" s="1"/>
  <c r="Z466" i="42"/>
  <c r="AB466" i="42" s="1"/>
  <c r="Z84" i="42"/>
  <c r="AB84" i="42" s="1"/>
  <c r="Z405" i="42"/>
  <c r="AB405" i="42" s="1"/>
  <c r="Z23" i="42"/>
  <c r="AB23" i="42" s="1"/>
  <c r="Z344" i="42"/>
  <c r="AB344" i="42" s="1"/>
  <c r="Z421" i="42"/>
  <c r="AB421" i="42" s="1"/>
  <c r="Z39" i="42"/>
  <c r="AB39" i="42" s="1"/>
  <c r="Z360" i="42"/>
  <c r="AB360" i="42" s="1"/>
  <c r="Z617" i="42"/>
  <c r="AB617" i="42" s="1"/>
  <c r="Z235" i="42"/>
  <c r="AB235" i="42" s="1"/>
  <c r="Z588" i="42"/>
  <c r="AB588" i="42" s="1"/>
  <c r="Z238" i="42"/>
  <c r="AB238" i="42" s="1"/>
  <c r="Z559" i="42"/>
  <c r="AB559" i="42" s="1"/>
  <c r="Z177" i="42"/>
  <c r="AB177" i="42" s="1"/>
  <c r="Z60" i="42"/>
  <c r="AB60" i="42" s="1"/>
  <c r="Z254" i="42"/>
  <c r="AB254" i="42" s="1"/>
  <c r="Z575" i="42"/>
  <c r="AB575" i="42" s="1"/>
  <c r="Z193" i="42"/>
  <c r="AB193" i="42" s="1"/>
  <c r="Z514" i="42"/>
  <c r="AB514" i="42" s="1"/>
  <c r="Z132" i="42"/>
  <c r="AB132" i="42" s="1"/>
  <c r="Z453" i="42"/>
  <c r="AB453" i="42" s="1"/>
  <c r="Z71" i="42"/>
  <c r="AB71" i="42" s="1"/>
  <c r="Z392" i="42"/>
  <c r="AB392" i="42" s="1"/>
  <c r="Z148" i="42"/>
  <c r="AB148" i="42" s="1"/>
  <c r="Z469" i="42"/>
  <c r="AB469" i="42" s="1"/>
  <c r="Z87" i="42"/>
  <c r="AB87" i="42" s="1"/>
  <c r="Z408" i="42"/>
  <c r="AB408" i="42" s="1"/>
  <c r="Z601" i="42"/>
  <c r="AB601" i="42" s="1"/>
  <c r="Z189" i="42"/>
  <c r="AB189" i="42" s="1"/>
  <c r="Z92" i="42"/>
  <c r="AB92" i="42" s="1"/>
  <c r="Z286" i="42"/>
  <c r="AB286" i="42" s="1"/>
  <c r="Z607" i="42"/>
  <c r="AB607" i="42" s="1"/>
  <c r="Z299" i="42"/>
  <c r="AB299" i="42" s="1"/>
  <c r="Z652" i="42"/>
  <c r="AB652" i="42" s="1"/>
  <c r="Z302" i="42"/>
  <c r="AB302" i="42" s="1"/>
  <c r="Z623" i="42"/>
  <c r="AB623" i="42" s="1"/>
  <c r="Z241" i="42"/>
  <c r="AB241" i="42" s="1"/>
  <c r="Z562" i="42"/>
  <c r="AB562" i="42" s="1"/>
  <c r="Z180" i="42"/>
  <c r="AB180" i="42" s="1"/>
  <c r="Z501" i="42"/>
  <c r="AB501" i="42" s="1"/>
  <c r="Z119" i="42"/>
  <c r="AB119" i="42" s="1"/>
  <c r="Z578" i="42"/>
  <c r="AB578" i="42" s="1"/>
  <c r="Z196" i="42"/>
  <c r="AB196" i="42" s="1"/>
  <c r="Z517" i="42"/>
  <c r="AB517" i="42" s="1"/>
  <c r="Z135" i="42"/>
  <c r="AB135" i="42" s="1"/>
  <c r="Z456" i="42"/>
  <c r="AB456" i="42" s="1"/>
  <c r="Z331" i="42"/>
  <c r="AB331" i="42" s="1"/>
  <c r="Z334" i="42"/>
  <c r="AB334" i="42" s="1"/>
  <c r="Z655" i="42"/>
  <c r="AB655" i="42" s="1"/>
  <c r="Z273" i="42"/>
  <c r="AB273" i="42" s="1"/>
  <c r="Z156" i="42"/>
  <c r="AB156" i="42" s="1"/>
  <c r="Z350" i="42"/>
  <c r="AB350" i="42" s="1"/>
  <c r="Z671" i="42"/>
  <c r="AB671" i="42" s="1"/>
  <c r="Z289" i="42"/>
  <c r="AB289" i="42" s="1"/>
  <c r="Z610" i="42"/>
  <c r="AB610" i="42" s="1"/>
  <c r="Z228" i="42"/>
  <c r="AB228" i="42" s="1"/>
  <c r="Z549" i="42"/>
  <c r="AB549" i="42" s="1"/>
  <c r="Z167" i="42"/>
  <c r="AB167" i="42" s="1"/>
  <c r="Z488" i="42"/>
  <c r="AB488" i="42" s="1"/>
  <c r="Z42" i="42"/>
  <c r="AB42" i="42" s="1"/>
  <c r="Z45" i="42"/>
  <c r="AB45" i="42" s="1"/>
  <c r="Z565" i="42"/>
  <c r="AB565" i="42" s="1"/>
  <c r="Z183" i="42"/>
  <c r="AB183" i="42" s="1"/>
  <c r="Z504" i="42"/>
  <c r="AB504" i="42" s="1"/>
  <c r="Z477" i="42"/>
  <c r="AB477" i="42" s="1"/>
  <c r="Z188" i="42"/>
  <c r="AB188" i="42" s="1"/>
  <c r="Z382" i="42"/>
  <c r="AB382" i="42" s="1"/>
  <c r="Z321" i="42"/>
  <c r="AB321" i="42" s="1"/>
  <c r="Z642" i="42"/>
  <c r="AB642" i="42" s="1"/>
  <c r="Z260" i="42"/>
  <c r="AB260" i="42" s="1"/>
  <c r="Z581" i="42"/>
  <c r="AB581" i="42" s="1"/>
  <c r="Z564" i="42"/>
  <c r="AB564" i="42" s="1"/>
  <c r="Z182" i="42"/>
  <c r="AB182" i="42" s="1"/>
  <c r="Z503" i="42"/>
  <c r="AB503" i="42" s="1"/>
  <c r="Z669" i="42"/>
  <c r="AB669" i="42" s="1"/>
  <c r="Z154" i="42"/>
  <c r="AB154" i="42" s="1"/>
  <c r="Z283" i="42"/>
  <c r="AB283" i="42" s="1"/>
  <c r="Z508" i="42"/>
  <c r="AB508" i="42" s="1"/>
  <c r="Z320" i="42"/>
  <c r="AB320" i="42" s="1"/>
  <c r="Z641" i="42"/>
  <c r="AB641" i="42" s="1"/>
  <c r="Z259" i="42"/>
  <c r="AB259" i="42" s="1"/>
  <c r="Z44" i="42"/>
  <c r="AB44" i="42" s="1"/>
  <c r="Z397" i="42"/>
  <c r="AB397" i="42" s="1"/>
  <c r="Z15" i="42"/>
  <c r="AB15" i="42" s="1"/>
  <c r="Z336" i="42"/>
  <c r="AB336" i="42" s="1"/>
  <c r="Z657" i="42"/>
  <c r="AB657" i="42" s="1"/>
  <c r="Z275" i="42"/>
  <c r="AB275" i="42" s="1"/>
  <c r="Z596" i="42"/>
  <c r="AB596" i="42" s="1"/>
  <c r="Z214" i="42"/>
  <c r="AB214" i="42" s="1"/>
  <c r="Z535" i="42"/>
  <c r="AB535" i="42" s="1"/>
  <c r="Z25" i="42"/>
  <c r="AB25" i="42" s="1"/>
  <c r="Z186" i="42"/>
  <c r="AB186" i="42" s="1"/>
  <c r="Z31" i="42"/>
  <c r="AB31" i="42" s="1"/>
  <c r="Z612" i="42"/>
  <c r="AB612" i="42" s="1"/>
  <c r="Z230" i="42"/>
  <c r="AB230" i="42" s="1"/>
  <c r="Z551" i="42"/>
  <c r="AB551" i="42" s="1"/>
  <c r="Z105" i="42"/>
  <c r="AB105" i="42" s="1"/>
  <c r="Z426" i="42"/>
  <c r="AB426" i="42" s="1"/>
  <c r="Z76" i="42"/>
  <c r="AB76" i="42" s="1"/>
  <c r="Z429" i="42"/>
  <c r="AB429" i="42" s="1"/>
  <c r="Z47" i="42"/>
  <c r="AB47" i="42" s="1"/>
  <c r="Z368" i="42"/>
  <c r="AB368" i="42" s="1"/>
  <c r="Z307" i="42"/>
  <c r="AB307" i="42" s="1"/>
  <c r="Z246" i="42"/>
  <c r="AB246" i="42" s="1"/>
  <c r="Z572" i="42"/>
  <c r="AB572" i="42" s="1"/>
  <c r="Z63" i="42"/>
  <c r="AB63" i="42" s="1"/>
  <c r="Z384" i="42"/>
  <c r="AB384" i="42" s="1"/>
  <c r="Z323" i="42"/>
  <c r="AB323" i="42" s="1"/>
  <c r="Z644" i="42"/>
  <c r="AB644" i="42" s="1"/>
  <c r="Z262" i="42"/>
  <c r="AB262" i="42" s="1"/>
  <c r="Z583" i="42"/>
  <c r="AB583" i="42" s="1"/>
  <c r="Z137" i="42"/>
  <c r="AB137" i="42" s="1"/>
  <c r="Z458" i="42"/>
  <c r="AB458" i="42" s="1"/>
  <c r="Z108" i="42"/>
  <c r="AB108" i="42" s="1"/>
  <c r="Z79" i="42"/>
  <c r="AB79" i="42" s="1"/>
  <c r="Z278" i="42"/>
  <c r="AB278" i="42" s="1"/>
  <c r="Z599" i="42"/>
  <c r="AB599" i="42" s="1"/>
  <c r="Z89" i="42"/>
  <c r="AB89" i="42" s="1"/>
  <c r="Z250" i="42"/>
  <c r="AB250" i="42" s="1"/>
  <c r="Z379" i="42"/>
  <c r="AB379" i="42" s="1"/>
  <c r="Z604" i="42"/>
  <c r="AB604" i="42" s="1"/>
  <c r="Z95" i="42"/>
  <c r="AB95" i="42" s="1"/>
  <c r="Z416" i="42"/>
  <c r="AB416" i="42" s="1"/>
  <c r="Z34" i="42"/>
  <c r="AB34" i="42" s="1"/>
  <c r="Z355" i="42"/>
  <c r="AB355" i="42" s="1"/>
  <c r="Z294" i="42"/>
  <c r="AB294" i="42" s="1"/>
  <c r="Z140" i="42"/>
  <c r="AB140" i="42" s="1"/>
  <c r="Z493" i="42"/>
  <c r="AB493" i="42" s="1"/>
  <c r="Z111" i="42"/>
  <c r="AB111" i="42" s="1"/>
  <c r="Z432" i="42"/>
  <c r="AB432" i="42" s="1"/>
  <c r="Z50" i="42"/>
  <c r="AB50" i="42" s="1"/>
  <c r="Z371" i="42"/>
  <c r="AB371" i="42" s="1"/>
  <c r="Z310" i="42"/>
  <c r="AB310" i="42" s="1"/>
  <c r="Z631" i="42"/>
  <c r="AB631" i="42" s="1"/>
  <c r="Z121" i="42"/>
  <c r="AB121" i="42" s="1"/>
  <c r="Z282" i="42"/>
  <c r="AB282" i="42" s="1"/>
  <c r="Z411" i="42"/>
  <c r="AB411" i="42" s="1"/>
  <c r="Z127" i="42"/>
  <c r="AB127" i="42" s="1"/>
  <c r="Z326" i="42"/>
  <c r="AB326" i="42" s="1"/>
  <c r="Z647" i="42"/>
  <c r="AB647" i="42" s="1"/>
  <c r="Z201" i="42"/>
  <c r="AB201" i="42" s="1"/>
  <c r="Z522" i="42"/>
  <c r="AB522" i="42" s="1"/>
  <c r="Z172" i="42"/>
  <c r="AB172" i="42" s="1"/>
  <c r="Z525" i="42"/>
  <c r="AB525" i="42" s="1"/>
  <c r="Z143" i="42"/>
  <c r="AB143" i="42" s="1"/>
  <c r="Z464" i="42"/>
  <c r="AB464" i="42" s="1"/>
  <c r="Z82" i="42"/>
  <c r="AB82" i="42" s="1"/>
  <c r="Z403" i="42"/>
  <c r="AB403" i="42" s="1"/>
  <c r="Z21" i="42"/>
  <c r="AB21" i="42" s="1"/>
  <c r="Z663" i="42"/>
  <c r="AB663" i="42" s="1"/>
  <c r="Z668" i="42"/>
  <c r="AB668" i="42" s="1"/>
  <c r="Z159" i="42"/>
  <c r="AB159" i="42" s="1"/>
  <c r="Z480" i="42"/>
  <c r="AB480" i="42" s="1"/>
  <c r="Z98" i="42"/>
  <c r="AB98" i="42" s="1"/>
  <c r="Z419" i="42"/>
  <c r="AB419" i="42" s="1"/>
  <c r="Z37" i="42"/>
  <c r="AB37" i="42" s="1"/>
  <c r="Z358" i="42"/>
  <c r="AB358" i="42" s="1"/>
  <c r="Z679" i="42"/>
  <c r="AB679" i="42" s="1"/>
  <c r="Z233" i="42"/>
  <c r="AB233" i="42" s="1"/>
  <c r="Z554" i="42"/>
  <c r="AB554" i="42" s="1"/>
  <c r="Z204" i="42"/>
  <c r="AB204" i="42" s="1"/>
  <c r="Z175" i="42"/>
  <c r="Z53" i="42"/>
  <c r="AB53" i="42" s="1"/>
  <c r="Z374" i="42"/>
  <c r="AB374" i="42" s="1"/>
  <c r="Z185" i="42"/>
  <c r="AB185" i="42" s="1"/>
  <c r="Z346" i="42"/>
  <c r="AB346" i="42" s="1"/>
  <c r="Z475" i="42"/>
  <c r="AB475" i="42" s="1"/>
  <c r="Z191" i="42"/>
  <c r="AB191" i="42" s="1"/>
  <c r="Z512" i="42"/>
  <c r="AB512" i="42" s="1"/>
  <c r="Z130" i="42"/>
  <c r="AB130" i="42" s="1"/>
  <c r="Z451" i="42"/>
  <c r="AB451" i="42" s="1"/>
  <c r="Z69" i="42"/>
  <c r="AB69" i="42" s="1"/>
  <c r="Z390" i="42"/>
  <c r="AB390" i="42" s="1"/>
  <c r="Z586" i="42"/>
  <c r="AB586" i="42" s="1"/>
  <c r="Z528" i="42"/>
  <c r="AB528" i="42" s="1"/>
  <c r="Z146" i="42"/>
  <c r="AB146" i="42" s="1"/>
  <c r="Z467" i="42"/>
  <c r="AB467" i="42" s="1"/>
  <c r="Z85" i="42"/>
  <c r="AB85" i="42" s="1"/>
  <c r="Z406" i="42"/>
  <c r="AB406" i="42" s="1"/>
  <c r="Z24" i="42"/>
  <c r="AB24" i="42" s="1"/>
  <c r="Z217" i="42"/>
  <c r="AB217" i="42" s="1"/>
  <c r="Z378" i="42"/>
  <c r="AB378" i="42" s="1"/>
  <c r="Z507" i="42"/>
  <c r="AB507" i="42" s="1"/>
  <c r="Z61" i="42"/>
  <c r="AB61" i="42" s="1"/>
  <c r="Z223" i="42"/>
  <c r="AB223" i="42" s="1"/>
  <c r="Z162" i="42"/>
  <c r="AB162" i="42" s="1"/>
  <c r="Z40" i="42"/>
  <c r="AB40" i="42" s="1"/>
  <c r="Z297" i="42"/>
  <c r="AB297" i="42" s="1"/>
  <c r="Z618" i="42"/>
  <c r="AB618" i="42" s="1"/>
  <c r="Z268" i="42"/>
  <c r="AB268" i="42" s="1"/>
  <c r="Z621" i="42"/>
  <c r="AB621" i="42" s="1"/>
  <c r="Z239" i="42"/>
  <c r="AB239" i="42" s="1"/>
  <c r="Z560" i="42"/>
  <c r="AB560" i="42" s="1"/>
  <c r="Z178" i="42"/>
  <c r="AB178" i="42" s="1"/>
  <c r="Z499" i="42"/>
  <c r="AB499" i="42" s="1"/>
  <c r="Z117" i="42"/>
  <c r="AB117" i="42" s="1"/>
  <c r="Z438" i="42"/>
  <c r="AB438" i="42" s="1"/>
  <c r="Z249" i="42"/>
  <c r="AB249" i="42" s="1"/>
  <c r="Z255" i="42"/>
  <c r="AB255" i="42" s="1"/>
  <c r="Z576" i="42"/>
  <c r="AB576" i="42" s="1"/>
  <c r="Z194" i="42"/>
  <c r="AB194" i="42" s="1"/>
  <c r="Z515" i="42"/>
  <c r="AB515" i="42" s="1"/>
  <c r="Z133" i="42"/>
  <c r="AB133" i="42" s="1"/>
  <c r="Z454" i="42"/>
  <c r="AB454" i="42" s="1"/>
  <c r="Z72" i="42"/>
  <c r="AB72" i="42" s="1"/>
  <c r="Z205" i="42"/>
  <c r="AB205" i="42" s="1"/>
  <c r="Z658" i="42"/>
  <c r="AB658" i="42" s="1"/>
  <c r="Z375" i="42"/>
  <c r="AB375" i="42" s="1"/>
  <c r="Z252" i="42"/>
  <c r="AB252" i="42" s="1"/>
  <c r="Z263" i="42"/>
  <c r="AB263" i="42" s="1"/>
  <c r="Z237" i="42"/>
  <c r="AB237" i="42" s="1"/>
  <c r="Z577" i="42"/>
  <c r="AB577" i="42" s="1"/>
  <c r="Z295" i="42"/>
  <c r="AB295" i="42" s="1"/>
  <c r="Z269" i="42"/>
  <c r="AB269" i="42" s="1"/>
  <c r="Z19" i="42"/>
  <c r="AB19" i="42" s="1"/>
  <c r="Z439" i="42"/>
  <c r="AB439" i="42" s="1"/>
  <c r="Z316" i="42"/>
  <c r="AB316" i="42" s="1"/>
  <c r="Z609" i="42"/>
  <c r="AB609" i="42" s="1"/>
  <c r="Z327" i="42"/>
  <c r="AB327" i="42" s="1"/>
  <c r="Z301" i="42"/>
  <c r="AB301" i="42" s="1"/>
  <c r="Z51" i="42"/>
  <c r="AB51" i="42" s="1"/>
  <c r="Z471" i="42"/>
  <c r="AB471" i="42" s="1"/>
  <c r="Z674" i="42"/>
  <c r="AB674" i="42" s="1"/>
  <c r="Z359" i="42"/>
  <c r="AB359" i="42" s="1"/>
  <c r="Z536" i="42"/>
  <c r="AB536" i="42" s="1"/>
  <c r="Z380" i="42"/>
  <c r="AB380" i="42" s="1"/>
  <c r="Z391" i="42"/>
  <c r="AB391" i="42" s="1"/>
  <c r="Z398" i="42"/>
  <c r="AB398" i="42" s="1"/>
  <c r="Z115" i="42"/>
  <c r="AB115" i="42" s="1"/>
  <c r="Z568" i="42"/>
  <c r="AB568" i="42" s="1"/>
  <c r="Z412" i="42"/>
  <c r="AB412" i="42" s="1"/>
  <c r="Z35" i="42"/>
  <c r="AB35" i="42" s="1"/>
  <c r="Z423" i="42"/>
  <c r="AB423" i="42" s="1"/>
  <c r="Z430" i="42"/>
  <c r="AB430" i="42" s="1"/>
  <c r="Z147" i="42"/>
  <c r="AB147" i="42" s="1"/>
  <c r="Z444" i="42"/>
  <c r="AB444" i="42" s="1"/>
  <c r="Z67" i="42"/>
  <c r="AB67" i="42" s="1"/>
  <c r="Z179" i="42"/>
  <c r="AB179" i="42" s="1"/>
  <c r="Z632" i="42"/>
  <c r="AB632" i="42" s="1"/>
  <c r="Z476" i="42"/>
  <c r="AB476" i="42" s="1"/>
  <c r="Z99" i="42"/>
  <c r="AB99" i="42" s="1"/>
  <c r="Z487" i="42"/>
  <c r="AB487" i="42" s="1"/>
  <c r="Z494" i="42"/>
  <c r="AB494" i="42" s="1"/>
  <c r="Z211" i="42"/>
  <c r="AB211" i="42" s="1"/>
  <c r="Z664" i="42"/>
  <c r="AB664" i="42" s="1"/>
  <c r="Z414" i="42"/>
  <c r="AB414" i="42" s="1"/>
  <c r="Z131" i="42"/>
  <c r="AB131" i="42" s="1"/>
  <c r="Z520" i="42"/>
  <c r="AB520" i="42" s="1"/>
  <c r="Z276" i="42"/>
  <c r="AB276" i="42" s="1"/>
  <c r="Z446" i="42"/>
  <c r="AB446" i="42" s="1"/>
  <c r="Z74" i="42"/>
  <c r="AB74" i="42" s="1"/>
  <c r="Z558" i="42"/>
  <c r="AB558" i="42" s="1"/>
  <c r="Z308" i="42"/>
  <c r="AB308" i="42" s="1"/>
  <c r="Z93" i="42"/>
  <c r="AB93" i="42" s="1"/>
  <c r="Z478" i="42"/>
  <c r="AB478" i="42" s="1"/>
  <c r="Z195" i="42"/>
  <c r="AB195" i="42" s="1"/>
  <c r="Z584" i="42"/>
  <c r="AB584" i="42" s="1"/>
  <c r="Z106" i="42"/>
  <c r="AB106" i="42" s="1"/>
  <c r="Z590" i="42"/>
  <c r="AB590" i="42" s="1"/>
  <c r="Z340" i="42"/>
  <c r="AB340" i="42" s="1"/>
  <c r="Z317" i="42"/>
  <c r="AB317" i="42" s="1"/>
  <c r="Z227" i="42"/>
  <c r="AB227" i="42" s="1"/>
  <c r="Z616" i="42"/>
  <c r="AB616" i="42" s="1"/>
  <c r="Z372" i="42"/>
  <c r="AB372" i="42" s="1"/>
  <c r="Z509" i="42"/>
  <c r="AB509" i="42" s="1"/>
  <c r="Z542" i="42"/>
  <c r="AB542" i="42" s="1"/>
  <c r="Z292" i="42"/>
  <c r="AB292" i="42" s="1"/>
  <c r="Z648" i="42"/>
  <c r="AB648" i="42" s="1"/>
  <c r="Z170" i="42"/>
  <c r="AB170" i="42" s="1"/>
  <c r="Z654" i="42"/>
  <c r="AB654" i="42" s="1"/>
  <c r="Z404" i="42"/>
  <c r="AB404" i="42" s="1"/>
  <c r="Z125" i="42"/>
  <c r="AB125" i="42" s="1"/>
  <c r="Z574" i="42"/>
  <c r="AB574" i="42" s="1"/>
  <c r="Z324" i="42"/>
  <c r="AB324" i="42" s="1"/>
  <c r="Z202" i="42"/>
  <c r="AB202" i="42" s="1"/>
  <c r="Z16" i="42"/>
  <c r="AB16" i="42" s="1"/>
  <c r="Z606" i="42"/>
  <c r="AB606" i="42" s="1"/>
  <c r="Z356" i="42"/>
  <c r="AB356" i="42" s="1"/>
  <c r="Z234" i="42"/>
  <c r="AB234" i="42" s="1"/>
  <c r="Z48" i="42"/>
  <c r="AB48" i="42" s="1"/>
  <c r="Z468" i="42"/>
  <c r="AB468" i="42" s="1"/>
  <c r="Z413" i="42"/>
  <c r="AB413" i="42" s="1"/>
  <c r="Z638" i="42"/>
  <c r="AB638" i="42" s="1"/>
  <c r="Z388" i="42"/>
  <c r="AB388" i="42" s="1"/>
  <c r="Z266" i="42"/>
  <c r="AB266" i="42" s="1"/>
  <c r="Z80" i="42"/>
  <c r="AB80" i="42" s="1"/>
  <c r="Z500" i="42"/>
  <c r="AB500" i="42" s="1"/>
  <c r="Z670" i="42"/>
  <c r="AB670" i="42" s="1"/>
  <c r="Z420" i="42"/>
  <c r="AB420" i="42" s="1"/>
  <c r="Z532" i="42"/>
  <c r="AB532" i="42" s="1"/>
  <c r="Z32" i="42"/>
  <c r="AB32" i="42" s="1"/>
  <c r="Z452" i="42"/>
  <c r="AB452" i="42" s="1"/>
  <c r="Z330" i="42"/>
  <c r="AB330" i="42" s="1"/>
  <c r="Z144" i="42"/>
  <c r="AB144" i="42" s="1"/>
  <c r="Z597" i="42"/>
  <c r="AB597" i="42" s="1"/>
  <c r="Z26" i="42"/>
  <c r="AB26" i="42" s="1"/>
  <c r="Z64" i="42"/>
  <c r="AB64" i="42" s="1"/>
  <c r="Z484" i="42"/>
  <c r="AB484" i="42" s="1"/>
  <c r="Z395" i="42"/>
  <c r="AB395" i="42" s="1"/>
  <c r="Z176" i="42"/>
  <c r="AB176" i="42" s="1"/>
  <c r="Z629" i="42"/>
  <c r="AB629" i="42" s="1"/>
  <c r="Z58" i="42"/>
  <c r="AB58" i="42" s="1"/>
  <c r="Z96" i="42"/>
  <c r="AB96" i="42" s="1"/>
  <c r="Z208" i="42"/>
  <c r="AB208" i="42" s="1"/>
  <c r="Z661" i="42"/>
  <c r="AB661" i="42" s="1"/>
  <c r="Z90" i="42"/>
  <c r="AB90" i="42" s="1"/>
  <c r="Z128" i="42"/>
  <c r="AB128" i="42" s="1"/>
  <c r="Z548" i="42"/>
  <c r="AB548" i="42" s="1"/>
  <c r="Z459" i="42"/>
  <c r="AB459" i="42" s="1"/>
  <c r="Z240" i="42"/>
  <c r="AB240" i="42" s="1"/>
  <c r="Z122" i="42"/>
  <c r="AB122" i="42" s="1"/>
  <c r="Z160" i="42"/>
  <c r="AB160" i="42" s="1"/>
  <c r="Z613" i="42"/>
  <c r="AB613" i="42" s="1"/>
  <c r="Z491" i="42"/>
  <c r="AB491" i="42" s="1"/>
  <c r="Z272" i="42"/>
  <c r="AB272" i="42" s="1"/>
  <c r="Z22" i="42"/>
  <c r="AB22" i="42" s="1"/>
  <c r="Z637" i="42"/>
  <c r="AB637" i="42" s="1"/>
  <c r="Z523" i="42"/>
  <c r="AB523" i="42" s="1"/>
  <c r="Z337" i="42"/>
  <c r="AB337" i="42" s="1"/>
  <c r="Z54" i="42"/>
  <c r="AB54" i="42" s="1"/>
  <c r="Z27" i="42"/>
  <c r="AB27" i="42" s="1"/>
  <c r="Z224" i="42"/>
  <c r="AB224" i="42" s="1"/>
  <c r="Z677" i="42"/>
  <c r="AB677" i="42" s="1"/>
  <c r="Z555" i="42"/>
  <c r="AB555" i="42" s="1"/>
  <c r="Z369" i="42"/>
  <c r="AB369" i="42" s="1"/>
  <c r="Z86" i="42"/>
  <c r="AB86" i="42" s="1"/>
  <c r="Z59" i="42"/>
  <c r="AB59" i="42" s="1"/>
  <c r="Z256" i="42"/>
  <c r="AB256" i="42" s="1"/>
  <c r="Z587" i="42"/>
  <c r="AB587" i="42" s="1"/>
  <c r="Z401" i="42"/>
  <c r="AB401" i="42" s="1"/>
  <c r="Z118" i="42"/>
  <c r="AB118" i="42" s="1"/>
  <c r="Z38" i="42"/>
  <c r="AB38" i="42" s="1"/>
  <c r="Z619" i="42"/>
  <c r="AB619" i="42" s="1"/>
  <c r="Z433" i="42"/>
  <c r="AB433" i="42" s="1"/>
  <c r="Z150" i="42"/>
  <c r="AB150" i="42" s="1"/>
  <c r="Z123" i="42"/>
  <c r="AB123" i="42" s="1"/>
  <c r="Z353" i="42"/>
  <c r="AB353" i="42" s="1"/>
  <c r="Z70" i="42"/>
  <c r="AB70" i="42" s="1"/>
  <c r="Z651" i="42"/>
  <c r="AB651" i="42" s="1"/>
  <c r="Z465" i="42"/>
  <c r="AB465" i="42" s="1"/>
  <c r="Z215" i="42"/>
  <c r="AB215" i="42" s="1"/>
  <c r="Z155" i="42"/>
  <c r="AB155" i="42" s="1"/>
  <c r="Z385" i="42"/>
  <c r="AB385" i="42" s="1"/>
  <c r="Z102" i="42"/>
  <c r="AB102" i="42" s="1"/>
  <c r="Z77" i="42"/>
  <c r="AB77" i="42" s="1"/>
  <c r="Z497" i="42"/>
  <c r="AB497" i="42" s="1"/>
  <c r="Z187" i="42"/>
  <c r="AB187" i="42" s="1"/>
  <c r="Z417" i="42"/>
  <c r="AB417" i="42" s="1"/>
  <c r="Z134" i="42"/>
  <c r="AB134" i="42" s="1"/>
  <c r="Z109" i="42"/>
  <c r="AB109" i="42" s="1"/>
  <c r="Z529" i="42"/>
  <c r="AB529" i="42" s="1"/>
  <c r="Z279" i="42"/>
  <c r="AB279" i="42" s="1"/>
  <c r="Z219" i="42"/>
  <c r="AB219" i="42" s="1"/>
  <c r="Z449" i="42"/>
  <c r="AB449" i="42" s="1"/>
  <c r="Z166" i="42"/>
  <c r="AB166" i="42" s="1"/>
  <c r="Z141" i="42"/>
  <c r="AB141" i="42" s="1"/>
  <c r="Z561" i="42"/>
  <c r="AB561" i="42" s="1"/>
  <c r="Z311" i="42"/>
  <c r="AB311" i="42" s="1"/>
  <c r="Z251" i="42"/>
  <c r="AB251" i="42" s="1"/>
  <c r="Z481" i="42"/>
  <c r="AB481" i="42" s="1"/>
  <c r="Z199" i="42"/>
  <c r="AB199" i="42" s="1"/>
  <c r="Z173" i="42"/>
  <c r="AB173" i="42" s="1"/>
  <c r="Z593" i="42"/>
  <c r="AB593" i="42" s="1"/>
  <c r="Z343" i="42"/>
  <c r="AB343" i="42" s="1"/>
  <c r="Z220" i="42"/>
  <c r="AB220" i="42" s="1"/>
  <c r="Z513" i="42"/>
  <c r="AB513" i="42" s="1"/>
  <c r="Z231" i="42"/>
  <c r="AB231" i="42" s="1"/>
  <c r="AC416" i="42"/>
  <c r="AC193" i="42"/>
  <c r="AC482" i="42"/>
  <c r="AC259" i="42"/>
  <c r="AC287" i="42"/>
  <c r="AC548" i="42"/>
  <c r="AC325" i="42"/>
  <c r="AC102" i="42"/>
  <c r="AC614" i="42"/>
  <c r="AC391" i="42"/>
  <c r="AC168" i="42"/>
  <c r="AC680" i="42"/>
  <c r="AC457" i="42"/>
  <c r="AC234" i="42"/>
  <c r="AC415" i="42"/>
  <c r="AC523" i="42"/>
  <c r="AC140" i="42"/>
  <c r="AC652" i="42"/>
  <c r="AC413" i="42"/>
  <c r="AC206" i="42"/>
  <c r="AC19" i="42"/>
  <c r="AC432" i="42"/>
  <c r="AC209" i="42"/>
  <c r="AC25" i="42"/>
  <c r="AC498" i="42"/>
  <c r="AC275" i="42"/>
  <c r="AC52" i="42"/>
  <c r="AC564" i="42"/>
  <c r="AC341" i="42"/>
  <c r="AC118" i="42"/>
  <c r="AC630" i="42"/>
  <c r="AC407" i="42"/>
  <c r="AC184" i="42"/>
  <c r="AC473" i="42"/>
  <c r="AC250" i="42"/>
  <c r="AC44" i="42"/>
  <c r="AC539" i="42"/>
  <c r="AC156" i="42"/>
  <c r="AC668" i="42"/>
  <c r="AC429" i="42"/>
  <c r="AC222" i="42"/>
  <c r="AC95" i="42"/>
  <c r="AC448" i="42"/>
  <c r="AC225" i="42"/>
  <c r="AC255" i="42"/>
  <c r="AC514" i="42"/>
  <c r="AC291" i="42"/>
  <c r="AC68" i="42"/>
  <c r="AC580" i="42"/>
  <c r="AC357" i="42"/>
  <c r="AC134" i="42"/>
  <c r="AC646" i="42"/>
  <c r="AC423" i="42"/>
  <c r="AC200" i="42"/>
  <c r="AC489" i="42"/>
  <c r="AC266" i="42"/>
  <c r="AC351" i="42"/>
  <c r="AC555" i="42"/>
  <c r="AC172" i="42"/>
  <c r="AC445" i="42"/>
  <c r="AC238" i="42"/>
  <c r="AC20" i="42"/>
  <c r="AC464" i="42"/>
  <c r="AC241" i="42"/>
  <c r="AC26" i="42"/>
  <c r="AC530" i="42"/>
  <c r="AC307" i="42"/>
  <c r="AC84" i="42"/>
  <c r="AC596" i="42"/>
  <c r="AC373" i="42"/>
  <c r="AC150" i="42"/>
  <c r="AC662" i="42"/>
  <c r="AC439" i="42"/>
  <c r="AC216" i="42"/>
  <c r="AC39" i="42"/>
  <c r="AC505" i="42"/>
  <c r="AC282" i="42"/>
  <c r="AC59" i="42"/>
  <c r="AC571" i="42"/>
  <c r="AC188" i="42"/>
  <c r="AC461" i="42"/>
  <c r="AC254" i="42"/>
  <c r="AC319" i="42"/>
  <c r="AC480" i="42"/>
  <c r="AC257" i="42"/>
  <c r="AC207" i="42"/>
  <c r="AC546" i="42"/>
  <c r="AC323" i="42"/>
  <c r="AC100" i="42"/>
  <c r="AC612" i="42"/>
  <c r="AC389" i="42"/>
  <c r="AC166" i="42"/>
  <c r="AC678" i="42"/>
  <c r="AC455" i="42"/>
  <c r="AC232" i="42"/>
  <c r="AC335" i="42"/>
  <c r="AC521" i="42"/>
  <c r="AC298" i="42"/>
  <c r="AC75" i="42"/>
  <c r="AC587" i="42"/>
  <c r="AC204" i="42"/>
  <c r="AC15" i="42"/>
  <c r="AC477" i="42"/>
  <c r="AC270" i="42"/>
  <c r="AC496" i="42"/>
  <c r="AC273" i="42"/>
  <c r="AC50" i="42"/>
  <c r="AC562" i="42"/>
  <c r="AC339" i="42"/>
  <c r="AC116" i="42"/>
  <c r="AC628" i="42"/>
  <c r="AC405" i="42"/>
  <c r="AC182" i="42"/>
  <c r="AC471" i="42"/>
  <c r="AC248" i="42"/>
  <c r="AC40" i="42"/>
  <c r="AC537" i="42"/>
  <c r="AC314" i="42"/>
  <c r="AC91" i="42"/>
  <c r="AC603" i="42"/>
  <c r="AC220" i="42"/>
  <c r="AC47" i="42"/>
  <c r="AC493" i="42"/>
  <c r="AC286" i="42"/>
  <c r="AC512" i="42"/>
  <c r="AC289" i="42"/>
  <c r="AC66" i="42"/>
  <c r="AC578" i="42"/>
  <c r="AC355" i="42"/>
  <c r="AC132" i="42"/>
  <c r="AC644" i="42"/>
  <c r="AC421" i="42"/>
  <c r="AC198" i="42"/>
  <c r="AC487" i="42"/>
  <c r="AC264" i="42"/>
  <c r="AC399" i="42"/>
  <c r="AC553" i="42"/>
  <c r="AC330" i="42"/>
  <c r="AC107" i="42"/>
  <c r="AC619" i="42"/>
  <c r="AC236" i="42"/>
  <c r="AC111" i="42"/>
  <c r="AC509" i="42"/>
  <c r="AC302" i="42"/>
  <c r="AC22" i="42"/>
  <c r="AC528" i="42"/>
  <c r="AC305" i="42"/>
  <c r="AC82" i="42"/>
  <c r="AC594" i="42"/>
  <c r="AC371" i="42"/>
  <c r="AC148" i="42"/>
  <c r="AC660" i="42"/>
  <c r="AC437" i="42"/>
  <c r="AC214" i="42"/>
  <c r="AC35" i="42"/>
  <c r="AC503" i="42"/>
  <c r="AC280" i="42"/>
  <c r="AC57" i="42"/>
  <c r="AC569" i="42"/>
  <c r="AC346" i="42"/>
  <c r="AC123" i="42"/>
  <c r="AC635" i="42"/>
  <c r="AC252" i="42"/>
  <c r="AC16" i="42"/>
  <c r="AC525" i="42"/>
  <c r="AC318" i="42"/>
  <c r="AC160" i="42"/>
  <c r="AC672" i="42"/>
  <c r="AC449" i="42"/>
  <c r="AC226" i="42"/>
  <c r="AC495" i="42"/>
  <c r="AC515" i="42"/>
  <c r="AC292" i="42"/>
  <c r="AC69" i="42"/>
  <c r="AC581" i="42"/>
  <c r="AC358" i="42"/>
  <c r="AC135" i="42"/>
  <c r="AC647" i="42"/>
  <c r="AC424" i="42"/>
  <c r="AC201" i="42"/>
  <c r="AC490" i="42"/>
  <c r="AC267" i="42"/>
  <c r="AC591" i="42"/>
  <c r="AC396" i="42"/>
  <c r="AC157" i="42"/>
  <c r="AC669" i="42"/>
  <c r="AC462" i="42"/>
  <c r="AC176" i="42"/>
  <c r="AC465" i="42"/>
  <c r="AC242" i="42"/>
  <c r="AC28" i="42"/>
  <c r="AC531" i="42"/>
  <c r="AC308" i="42"/>
  <c r="AC85" i="42"/>
  <c r="AC597" i="42"/>
  <c r="AC374" i="42"/>
  <c r="AC151" i="42"/>
  <c r="AC663" i="42"/>
  <c r="AC440" i="42"/>
  <c r="AC217" i="42"/>
  <c r="AC41" i="42"/>
  <c r="AC506" i="42"/>
  <c r="AC283" i="42"/>
  <c r="AC607" i="42"/>
  <c r="AC412" i="42"/>
  <c r="AC173" i="42"/>
  <c r="AC478" i="42"/>
  <c r="AC192" i="42"/>
  <c r="AC481" i="42"/>
  <c r="AC258" i="42"/>
  <c r="AC511" i="42"/>
  <c r="AC547" i="42"/>
  <c r="AC324" i="42"/>
  <c r="AC101" i="42"/>
  <c r="AC613" i="42"/>
  <c r="AC390" i="42"/>
  <c r="AC167" i="42"/>
  <c r="AC679" i="42"/>
  <c r="AC456" i="42"/>
  <c r="AC233" i="42"/>
  <c r="AC383" i="42"/>
  <c r="AC522" i="42"/>
  <c r="AC299" i="42"/>
  <c r="AC623" i="42"/>
  <c r="AC428" i="42"/>
  <c r="AC189" i="42"/>
  <c r="AC494" i="42"/>
  <c r="AC208" i="42"/>
  <c r="AC23" i="42"/>
  <c r="AC497" i="42"/>
  <c r="AC274" i="42"/>
  <c r="AC51" i="42"/>
  <c r="AC563" i="42"/>
  <c r="AC340" i="42"/>
  <c r="AC117" i="42"/>
  <c r="AC629" i="42"/>
  <c r="AC406" i="42"/>
  <c r="AC183" i="42"/>
  <c r="AC472" i="42"/>
  <c r="AC249" i="42"/>
  <c r="AC42" i="42"/>
  <c r="AC538" i="42"/>
  <c r="AC315" i="42"/>
  <c r="AC639" i="42"/>
  <c r="AC444" i="42"/>
  <c r="AC205" i="42"/>
  <c r="AC17" i="42"/>
  <c r="AC510" i="42"/>
  <c r="AC224" i="42"/>
  <c r="AC527" i="42"/>
  <c r="AC513" i="42"/>
  <c r="AC290" i="42"/>
  <c r="AC67" i="42"/>
  <c r="AC579" i="42"/>
  <c r="AC356" i="42"/>
  <c r="AC133" i="42"/>
  <c r="AC645" i="42"/>
  <c r="AC422" i="42"/>
  <c r="AC199" i="42"/>
  <c r="AC488" i="42"/>
  <c r="AC265" i="42"/>
  <c r="AC175" i="42"/>
  <c r="AC554" i="42"/>
  <c r="AC331" i="42"/>
  <c r="AC655" i="42"/>
  <c r="AC460" i="42"/>
  <c r="AC221" i="42"/>
  <c r="AC127" i="42"/>
  <c r="AC526" i="42"/>
  <c r="AC240" i="42"/>
  <c r="AC24" i="42"/>
  <c r="AC529" i="42"/>
  <c r="AC306" i="42"/>
  <c r="AC83" i="42"/>
  <c r="AC595" i="42"/>
  <c r="AC372" i="42"/>
  <c r="AC149" i="42"/>
  <c r="AC661" i="42"/>
  <c r="AC438" i="42"/>
  <c r="AC215" i="42"/>
  <c r="AC37" i="42"/>
  <c r="AC504" i="42"/>
  <c r="AC281" i="42"/>
  <c r="AC58" i="42"/>
  <c r="AC570" i="42"/>
  <c r="AC347" i="42"/>
  <c r="AC671" i="42"/>
  <c r="AC476" i="42"/>
  <c r="AC237" i="42"/>
  <c r="AC18" i="42"/>
  <c r="AC542" i="42"/>
  <c r="AC256" i="42"/>
  <c r="AC463" i="42"/>
  <c r="AC545" i="42"/>
  <c r="AC322" i="42"/>
  <c r="AC99" i="42"/>
  <c r="AC611" i="42"/>
  <c r="AC388" i="42"/>
  <c r="AC165" i="42"/>
  <c r="AC677" i="42"/>
  <c r="AC454" i="42"/>
  <c r="AC231" i="42"/>
  <c r="AC431" i="42"/>
  <c r="AC520" i="42"/>
  <c r="AC297" i="42"/>
  <c r="AC74" i="42"/>
  <c r="AC586" i="42"/>
  <c r="AC363" i="42"/>
  <c r="AC492" i="42"/>
  <c r="AC253" i="42"/>
  <c r="AC143" i="42"/>
  <c r="AC558" i="42"/>
  <c r="AC624" i="42"/>
  <c r="AC146" i="42"/>
  <c r="AC403" i="42"/>
  <c r="AC532" i="42"/>
  <c r="AC54" i="42"/>
  <c r="AC311" i="42"/>
  <c r="AC568" i="42"/>
  <c r="AC90" i="42"/>
  <c r="AC235" i="42"/>
  <c r="AC332" i="42"/>
  <c r="AC573" i="42"/>
  <c r="AC640" i="42"/>
  <c r="AC162" i="42"/>
  <c r="AC419" i="42"/>
  <c r="AC676" i="42"/>
  <c r="AC70" i="42"/>
  <c r="AC327" i="42"/>
  <c r="AC584" i="42"/>
  <c r="AC106" i="42"/>
  <c r="AC251" i="42"/>
  <c r="AC348" i="42"/>
  <c r="AC589" i="42"/>
  <c r="AC656" i="42"/>
  <c r="AC178" i="42"/>
  <c r="AC435" i="42"/>
  <c r="AC86" i="42"/>
  <c r="AC343" i="42"/>
  <c r="AC600" i="42"/>
  <c r="AC122" i="42"/>
  <c r="AC379" i="42"/>
  <c r="AC364" i="42"/>
  <c r="AC605" i="42"/>
  <c r="AC49" i="42"/>
  <c r="AC194" i="42"/>
  <c r="AC451" i="42"/>
  <c r="AC230" i="42"/>
  <c r="AC359" i="42"/>
  <c r="AC616" i="42"/>
  <c r="AC138" i="42"/>
  <c r="AC395" i="42"/>
  <c r="AC380" i="42"/>
  <c r="AC621" i="42"/>
  <c r="AC65" i="42"/>
  <c r="AC210" i="42"/>
  <c r="AC467" i="42"/>
  <c r="AC31" i="42"/>
  <c r="AC246" i="42"/>
  <c r="AC375" i="42"/>
  <c r="AC632" i="42"/>
  <c r="AC154" i="42"/>
  <c r="AC411" i="42"/>
  <c r="AC508" i="42"/>
  <c r="AC637" i="42"/>
  <c r="AC81" i="42"/>
  <c r="AC338" i="42"/>
  <c r="AC483" i="42"/>
  <c r="AC303" i="42"/>
  <c r="AC262" i="42"/>
  <c r="AC519" i="42"/>
  <c r="AC648" i="42"/>
  <c r="AC170" i="42"/>
  <c r="AC427" i="42"/>
  <c r="AC524" i="42"/>
  <c r="AC653" i="42"/>
  <c r="AC97" i="42"/>
  <c r="AC354" i="42"/>
  <c r="AC499" i="42"/>
  <c r="AC32" i="42"/>
  <c r="AC278" i="42"/>
  <c r="AC535" i="42"/>
  <c r="AC664" i="42"/>
  <c r="AC186" i="42"/>
  <c r="AC443" i="42"/>
  <c r="AC540" i="42"/>
  <c r="AC62" i="42"/>
  <c r="AC113" i="42"/>
  <c r="AC370" i="42"/>
  <c r="AC627" i="42"/>
  <c r="AC239" i="42"/>
  <c r="AC294" i="42"/>
  <c r="AC551" i="42"/>
  <c r="AC73" i="42"/>
  <c r="AC202" i="42"/>
  <c r="AC459" i="42"/>
  <c r="AC556" i="42"/>
  <c r="AC78" i="42"/>
  <c r="AC129" i="42"/>
  <c r="AC386" i="42"/>
  <c r="AC643" i="42"/>
  <c r="AC53" i="42"/>
  <c r="AC310" i="42"/>
  <c r="AC567" i="42"/>
  <c r="AC89" i="42"/>
  <c r="AC218" i="42"/>
  <c r="AC475" i="42"/>
  <c r="AC572" i="42"/>
  <c r="AC94" i="42"/>
  <c r="AC145" i="42"/>
  <c r="AC402" i="42"/>
  <c r="AC659" i="42"/>
  <c r="AC181" i="42"/>
  <c r="AC326" i="42"/>
  <c r="AC583" i="42"/>
  <c r="AC105" i="42"/>
  <c r="AC362" i="42"/>
  <c r="AC491" i="42"/>
  <c r="AC588" i="42"/>
  <c r="AC110" i="42"/>
  <c r="AC479" i="42"/>
  <c r="AC161" i="42"/>
  <c r="AC418" i="42"/>
  <c r="AC675" i="42"/>
  <c r="AC197" i="42"/>
  <c r="AC342" i="42"/>
  <c r="AC599" i="42"/>
  <c r="AC121" i="42"/>
  <c r="AC378" i="42"/>
  <c r="AC507" i="42"/>
  <c r="AC604" i="42"/>
  <c r="AC126" i="42"/>
  <c r="AC48" i="42"/>
  <c r="AC177" i="42"/>
  <c r="AC434" i="42"/>
  <c r="AC213" i="42"/>
  <c r="AC470" i="42"/>
  <c r="AC615" i="42"/>
  <c r="AC137" i="42"/>
  <c r="AC394" i="42"/>
  <c r="AC651" i="42"/>
  <c r="AC620" i="42"/>
  <c r="AC142" i="42"/>
  <c r="AC64" i="42"/>
  <c r="AC321" i="42"/>
  <c r="AC450" i="42"/>
  <c r="AC229" i="42"/>
  <c r="AC486" i="42"/>
  <c r="AC631" i="42"/>
  <c r="AC153" i="42"/>
  <c r="AC410" i="42"/>
  <c r="AC667" i="42"/>
  <c r="AC636" i="42"/>
  <c r="AC158" i="42"/>
  <c r="AC80" i="42"/>
  <c r="AC337" i="42"/>
  <c r="AC466" i="42"/>
  <c r="AC29" i="42"/>
  <c r="AC245" i="42"/>
  <c r="AC502" i="42"/>
  <c r="AC38" i="42"/>
  <c r="AC169" i="42"/>
  <c r="AC426" i="42"/>
  <c r="AC14" i="42"/>
  <c r="AC174" i="42"/>
  <c r="AC96" i="42"/>
  <c r="AC353" i="42"/>
  <c r="AC610" i="42"/>
  <c r="AC543" i="42"/>
  <c r="AC261" i="42"/>
  <c r="AC518" i="42"/>
  <c r="AC367" i="42"/>
  <c r="AC185" i="42"/>
  <c r="AC442" i="42"/>
  <c r="AC159" i="42"/>
  <c r="AC190" i="42"/>
  <c r="AC112" i="42"/>
  <c r="AC369" i="42"/>
  <c r="AC626" i="42"/>
  <c r="AC30" i="42"/>
  <c r="AC277" i="42"/>
  <c r="AC534" i="42"/>
  <c r="AC56" i="42"/>
  <c r="AC313" i="42"/>
  <c r="AC458" i="42"/>
  <c r="AC45" i="42"/>
  <c r="AC61" i="42"/>
  <c r="AC334" i="42"/>
  <c r="AC128" i="42"/>
  <c r="AC385" i="42"/>
  <c r="AC642" i="42"/>
  <c r="AC164" i="42"/>
  <c r="AC293" i="42"/>
  <c r="AC550" i="42"/>
  <c r="AC72" i="42"/>
  <c r="AC329" i="42"/>
  <c r="AC474" i="42"/>
  <c r="AC63" i="42"/>
  <c r="AC77" i="42"/>
  <c r="AC350" i="42"/>
  <c r="AC144" i="42"/>
  <c r="AC401" i="42"/>
  <c r="AC658" i="42"/>
  <c r="AC180" i="42"/>
  <c r="AC309" i="42"/>
  <c r="AC566" i="42"/>
  <c r="AC88" i="42"/>
  <c r="AC345" i="42"/>
  <c r="AC602" i="42"/>
  <c r="AC559" i="42"/>
  <c r="AC93" i="42"/>
  <c r="AC366" i="42"/>
  <c r="AC272" i="42"/>
  <c r="AC417" i="42"/>
  <c r="AC674" i="42"/>
  <c r="AC196" i="42"/>
  <c r="AC453" i="42"/>
  <c r="AC582" i="42"/>
  <c r="AC104" i="42"/>
  <c r="AC361" i="42"/>
  <c r="AC618" i="42"/>
  <c r="AC575" i="42"/>
  <c r="AC109" i="42"/>
  <c r="AC382" i="42"/>
  <c r="AC288" i="42"/>
  <c r="AC433" i="42"/>
  <c r="AC212" i="42"/>
  <c r="AC469" i="42"/>
  <c r="AC598" i="42"/>
  <c r="AC120" i="42"/>
  <c r="AC377" i="42"/>
  <c r="AC634" i="42"/>
  <c r="AC125" i="42"/>
  <c r="AC398" i="42"/>
  <c r="AC304" i="42"/>
  <c r="AC561" i="42"/>
  <c r="AC228" i="42"/>
  <c r="AC485" i="42"/>
  <c r="AC191" i="42"/>
  <c r="AC136" i="42"/>
  <c r="AC393" i="42"/>
  <c r="AC650" i="42"/>
  <c r="AC21" i="42"/>
  <c r="AC141" i="42"/>
  <c r="AC414" i="42"/>
  <c r="AC320" i="42"/>
  <c r="AC577" i="42"/>
  <c r="AC27" i="42"/>
  <c r="AC244" i="42"/>
  <c r="AC501" i="42"/>
  <c r="AC36" i="42"/>
  <c r="AC152" i="42"/>
  <c r="AC409" i="42"/>
  <c r="AC666" i="42"/>
  <c r="AC46" i="42"/>
  <c r="AC269" i="42"/>
  <c r="AC430" i="42"/>
  <c r="AC336" i="42"/>
  <c r="AC593" i="42"/>
  <c r="AC115" i="42"/>
  <c r="AC260" i="42"/>
  <c r="AC517" i="42"/>
  <c r="AC447" i="42"/>
  <c r="AC296" i="42"/>
  <c r="AC425" i="42"/>
  <c r="AC682" i="42"/>
  <c r="AC79" i="42"/>
  <c r="AC285" i="42"/>
  <c r="AC446" i="42"/>
  <c r="AC352" i="42"/>
  <c r="AC609" i="42"/>
  <c r="AC131" i="42"/>
  <c r="AC276" i="42"/>
  <c r="AC533" i="42"/>
  <c r="AC55" i="42"/>
  <c r="AC312" i="42"/>
  <c r="AC441" i="42"/>
  <c r="AC60" i="42"/>
  <c r="AC301" i="42"/>
  <c r="AC574" i="42"/>
  <c r="AC368" i="42"/>
  <c r="AC625" i="42"/>
  <c r="AC147" i="42"/>
  <c r="AC404" i="42"/>
  <c r="AC549" i="42"/>
  <c r="AC71" i="42"/>
  <c r="AC328" i="42"/>
  <c r="AC585" i="42"/>
  <c r="AC76" i="42"/>
  <c r="AC317" i="42"/>
  <c r="AC590" i="42"/>
  <c r="AC384" i="42"/>
  <c r="AC641" i="42"/>
  <c r="AC163" i="42"/>
  <c r="AC420" i="42"/>
  <c r="AC565" i="42"/>
  <c r="AC87" i="42"/>
  <c r="AC344" i="42"/>
  <c r="AC601" i="42"/>
  <c r="AC43" i="42"/>
  <c r="AC92" i="42"/>
  <c r="AC333" i="42"/>
  <c r="AC606" i="42"/>
  <c r="AC400" i="42"/>
  <c r="AC657" i="42"/>
  <c r="AC179" i="42"/>
  <c r="AC436" i="42"/>
  <c r="AC103" i="42"/>
  <c r="AC360" i="42"/>
  <c r="AC617" i="42"/>
  <c r="AC139" i="42"/>
  <c r="AC108" i="42"/>
  <c r="AC349" i="42"/>
  <c r="AC622" i="42"/>
  <c r="AC544" i="42"/>
  <c r="AC673" i="42"/>
  <c r="AC195" i="42"/>
  <c r="AC452" i="42"/>
  <c r="AC119" i="42"/>
  <c r="AC376" i="42"/>
  <c r="AC633" i="42"/>
  <c r="AC155" i="42"/>
  <c r="AC124" i="42"/>
  <c r="AC365" i="42"/>
  <c r="AC638" i="42"/>
  <c r="AC560" i="42"/>
  <c r="AC211" i="42"/>
  <c r="AC468" i="42"/>
  <c r="AC33" i="42"/>
  <c r="AC247" i="42"/>
  <c r="AC392" i="42"/>
  <c r="AC649" i="42"/>
  <c r="AC171" i="42"/>
  <c r="AC268" i="42"/>
  <c r="AC381" i="42"/>
  <c r="AC654" i="42"/>
  <c r="AC576" i="42"/>
  <c r="AC98" i="42"/>
  <c r="AC227" i="42"/>
  <c r="AC484" i="42"/>
  <c r="AC271" i="42"/>
  <c r="AC263" i="42"/>
  <c r="AC408" i="42"/>
  <c r="AC665" i="42"/>
  <c r="AC187" i="42"/>
  <c r="AC284" i="42"/>
  <c r="AC397" i="42"/>
  <c r="AC670" i="42"/>
  <c r="AC592" i="42"/>
  <c r="AC114" i="42"/>
  <c r="AC243" i="42"/>
  <c r="AC500" i="42"/>
  <c r="AC34" i="42"/>
  <c r="AC279" i="42"/>
  <c r="AC536" i="42"/>
  <c r="AC681" i="42"/>
  <c r="AC203" i="42"/>
  <c r="AC300" i="42"/>
  <c r="AC541" i="42"/>
  <c r="AC608" i="42"/>
  <c r="AC130" i="42"/>
  <c r="AC387" i="42"/>
  <c r="AC516" i="42"/>
  <c r="AC223" i="42"/>
  <c r="AC295" i="42"/>
  <c r="AC552" i="42"/>
  <c r="AC219" i="42"/>
  <c r="AC316" i="42"/>
  <c r="AC557" i="42"/>
  <c r="BI632" i="42"/>
  <c r="BK632" i="42" s="1"/>
  <c r="BL53" i="42"/>
  <c r="BL75" i="42"/>
  <c r="BL519" i="42"/>
  <c r="BI496" i="42"/>
  <c r="BK496" i="42" s="1"/>
  <c r="BI158" i="42"/>
  <c r="BK158" i="42" s="1"/>
  <c r="BI116" i="42"/>
  <c r="BK116" i="42" s="1"/>
  <c r="BI179" i="42"/>
  <c r="BK179" i="42" s="1"/>
  <c r="BI463" i="42"/>
  <c r="BK463" i="42" s="1"/>
  <c r="BI407" i="42"/>
  <c r="BK407" i="42" s="1"/>
  <c r="BI148" i="42"/>
  <c r="BK148" i="42" s="1"/>
  <c r="BI243" i="42"/>
  <c r="BK243" i="42" s="1"/>
  <c r="BI89" i="42"/>
  <c r="BK89" i="42" s="1"/>
  <c r="BI624" i="42"/>
  <c r="BK624" i="42" s="1"/>
  <c r="BI388" i="42"/>
  <c r="BK388" i="42" s="1"/>
  <c r="BL149" i="42"/>
  <c r="BL171" i="42"/>
  <c r="BL333" i="42"/>
  <c r="BL610" i="42"/>
  <c r="BL439" i="42"/>
  <c r="BL479" i="42"/>
  <c r="BI488" i="42"/>
  <c r="BK488" i="42" s="1"/>
  <c r="BI160" i="42"/>
  <c r="BK160" i="42" s="1"/>
  <c r="BL653" i="42"/>
  <c r="BL565" i="42"/>
  <c r="BI678" i="42"/>
  <c r="BK678" i="42" s="1"/>
  <c r="BI442" i="42"/>
  <c r="BK442" i="42" s="1"/>
  <c r="BI386" i="42"/>
  <c r="BK386" i="42" s="1"/>
  <c r="BL629" i="42"/>
  <c r="BI222" i="42"/>
  <c r="BK222" i="42" s="1"/>
  <c r="BI519" i="42"/>
  <c r="BK519" i="42" s="1"/>
  <c r="BI283" i="42"/>
  <c r="BK283" i="42" s="1"/>
  <c r="BI103" i="42"/>
  <c r="BK103" i="42" s="1"/>
  <c r="BL631" i="42"/>
  <c r="BL671" i="42"/>
  <c r="BI680" i="42"/>
  <c r="BK680" i="42" s="1"/>
  <c r="BI347" i="42"/>
  <c r="BK347" i="42" s="1"/>
  <c r="BL312" i="42"/>
  <c r="BI600" i="42"/>
  <c r="BK600" i="42" s="1"/>
  <c r="BI134" i="42"/>
  <c r="BK134" i="42" s="1"/>
  <c r="BI92" i="42"/>
  <c r="BK92" i="42" s="1"/>
  <c r="BI154" i="42"/>
  <c r="BK154" i="42" s="1"/>
  <c r="BI667" i="42"/>
  <c r="BK667" i="42" s="1"/>
  <c r="BL632" i="42"/>
  <c r="BL544" i="42"/>
  <c r="BI670" i="42"/>
  <c r="BK670" i="42" s="1"/>
  <c r="BL315" i="42"/>
  <c r="BL127" i="42"/>
  <c r="BL109" i="42"/>
  <c r="BL608" i="42"/>
  <c r="BL18" i="42"/>
  <c r="BL476" i="42"/>
  <c r="BL240" i="42"/>
  <c r="BL537" i="42"/>
  <c r="BI291" i="42"/>
  <c r="BK291" i="42" s="1"/>
  <c r="BI203" i="42"/>
  <c r="BK203" i="42" s="1"/>
  <c r="BL317" i="42"/>
  <c r="BL304" i="42"/>
  <c r="BL70" i="42"/>
  <c r="BL578" i="42"/>
  <c r="BI611" i="42"/>
  <c r="BK611" i="42" s="1"/>
  <c r="BI523" i="42"/>
  <c r="BK523" i="42" s="1"/>
  <c r="BL637" i="42"/>
  <c r="BL624" i="42"/>
  <c r="BI281" i="42"/>
  <c r="BK281" i="42" s="1"/>
  <c r="BL203" i="42"/>
  <c r="BL307" i="42"/>
  <c r="BL294" i="42"/>
  <c r="BL591" i="42"/>
  <c r="BI557" i="42"/>
  <c r="BK557" i="42" s="1"/>
  <c r="BL267" i="42"/>
  <c r="BL371" i="42"/>
  <c r="BL153" i="42"/>
  <c r="BL32" i="42"/>
  <c r="BL516" i="42"/>
  <c r="BI270" i="42"/>
  <c r="BK270" i="42" s="1"/>
  <c r="BI182" i="42"/>
  <c r="BK182" i="42" s="1"/>
  <c r="BL296" i="42"/>
  <c r="BL64" i="42"/>
  <c r="BI473" i="42"/>
  <c r="BK473" i="42" s="1"/>
  <c r="BL258" i="42"/>
  <c r="BI590" i="42"/>
  <c r="BK590" i="42" s="1"/>
  <c r="BI502" i="42"/>
  <c r="BK502" i="42" s="1"/>
  <c r="BL616" i="42"/>
  <c r="BI273" i="42"/>
  <c r="BK273" i="42" s="1"/>
  <c r="BI260" i="42"/>
  <c r="BK260" i="42" s="1"/>
  <c r="BL182" i="42"/>
  <c r="BI276" i="42"/>
  <c r="BK276" i="42" s="1"/>
  <c r="BI57" i="42"/>
  <c r="BK57" i="42" s="1"/>
  <c r="BI560" i="42"/>
  <c r="BK560" i="42" s="1"/>
  <c r="BL205" i="42"/>
  <c r="BL246" i="42"/>
  <c r="BI340" i="42"/>
  <c r="BK340" i="42" s="1"/>
  <c r="BL647" i="42"/>
  <c r="BI401" i="42"/>
  <c r="BK401" i="42" s="1"/>
  <c r="BL167" i="42"/>
  <c r="BL46" i="42"/>
  <c r="BL58" i="42"/>
  <c r="BI465" i="42"/>
  <c r="BK465" i="42" s="1"/>
  <c r="BI452" i="42"/>
  <c r="BK452" i="42" s="1"/>
  <c r="BL546" i="42"/>
  <c r="BL206" i="42"/>
  <c r="BI673" i="42"/>
  <c r="BK673" i="42" s="1"/>
  <c r="BL222" i="42"/>
  <c r="BI33" i="42"/>
  <c r="BK33" i="42" s="1"/>
  <c r="BL409" i="42"/>
  <c r="BL353" i="42"/>
  <c r="BI447" i="42"/>
  <c r="BK447" i="42" s="1"/>
  <c r="BL412" i="42"/>
  <c r="BL176" i="42"/>
  <c r="BL417" i="42"/>
  <c r="BI156" i="42"/>
  <c r="BK156" i="42" s="1"/>
  <c r="BL253" i="42"/>
  <c r="BI97" i="42"/>
  <c r="BK97" i="42" s="1"/>
  <c r="BL634" i="42"/>
  <c r="BL398" i="42"/>
  <c r="BI332" i="42"/>
  <c r="BK332" i="42" s="1"/>
  <c r="BL414" i="42"/>
  <c r="BI129" i="42"/>
  <c r="BK129" i="42" s="1"/>
  <c r="BL601" i="42"/>
  <c r="BI504" i="42"/>
  <c r="BK504" i="42" s="1"/>
  <c r="BI346" i="42"/>
  <c r="BK346" i="42" s="1"/>
  <c r="BI290" i="42"/>
  <c r="BK290" i="42" s="1"/>
  <c r="BI362" i="42"/>
  <c r="BK362" i="42" s="1"/>
  <c r="BL97" i="42"/>
  <c r="BI549" i="42"/>
  <c r="BK549" i="42" s="1"/>
  <c r="BL503" i="42"/>
  <c r="BL543" i="42"/>
  <c r="BI552" i="42"/>
  <c r="BK552" i="42" s="1"/>
  <c r="BI316" i="42"/>
  <c r="BK316" i="42" s="1"/>
  <c r="BI71" i="42"/>
  <c r="BK71" i="42" s="1"/>
  <c r="BL567" i="42"/>
  <c r="BI289" i="42"/>
  <c r="BK289" i="42" s="1"/>
  <c r="BI393" i="42"/>
  <c r="BK393" i="42" s="1"/>
  <c r="BL161" i="42"/>
  <c r="BL40" i="42"/>
  <c r="BI538" i="42"/>
  <c r="BK538" i="42" s="1"/>
  <c r="BI482" i="42"/>
  <c r="BK482" i="42" s="1"/>
  <c r="BI554" i="42"/>
  <c r="BK554" i="42" s="1"/>
  <c r="BI221" i="42"/>
  <c r="BK221" i="42" s="1"/>
  <c r="BI440" i="42"/>
  <c r="BK440" i="42" s="1"/>
  <c r="BI144" i="42"/>
  <c r="BK144" i="42" s="1"/>
  <c r="BL621" i="42"/>
  <c r="BL533" i="42"/>
  <c r="BI659" i="42"/>
  <c r="BK659" i="42" s="1"/>
  <c r="BI646" i="42"/>
  <c r="BK646" i="42" s="1"/>
  <c r="BL291" i="42"/>
  <c r="BI225" i="42"/>
  <c r="BK225" i="42" s="1"/>
  <c r="BI329" i="42"/>
  <c r="BK329" i="42" s="1"/>
  <c r="BL129" i="42"/>
  <c r="BI613" i="42"/>
  <c r="BK613" i="42" s="1"/>
  <c r="BL355" i="42"/>
  <c r="BI418" i="42"/>
  <c r="BK418" i="42" s="1"/>
  <c r="BL661" i="42"/>
  <c r="BI254" i="42"/>
  <c r="BK254" i="42" s="1"/>
  <c r="BI551" i="42"/>
  <c r="BK551" i="42" s="1"/>
  <c r="BI315" i="42"/>
  <c r="BK315" i="42" s="1"/>
  <c r="BL280" i="42"/>
  <c r="BL192" i="42"/>
  <c r="BI318" i="42"/>
  <c r="BK318" i="42" s="1"/>
  <c r="BL72" i="42"/>
  <c r="BL418" i="42"/>
  <c r="BI635" i="42"/>
  <c r="BK635" i="42" s="1"/>
  <c r="BL600" i="42"/>
  <c r="BL512" i="42"/>
  <c r="BI638" i="42"/>
  <c r="BK638" i="42" s="1"/>
  <c r="BL283" i="42"/>
  <c r="BL270" i="42"/>
  <c r="BI204" i="42"/>
  <c r="BK204" i="42" s="1"/>
  <c r="BL286" i="42"/>
  <c r="BI605" i="42"/>
  <c r="BK605" i="42" s="1"/>
  <c r="BL570" i="42"/>
  <c r="BL334" i="42"/>
  <c r="BL125" i="42"/>
  <c r="BL640" i="42"/>
  <c r="BL34" i="42"/>
  <c r="BL508" i="42"/>
  <c r="BL272" i="42"/>
  <c r="BL54" i="42"/>
  <c r="BL66" i="42"/>
  <c r="BL475" i="42"/>
  <c r="BI408" i="42"/>
  <c r="BK408" i="42" s="1"/>
  <c r="BL592" i="42"/>
  <c r="BI249" i="42"/>
  <c r="BK249" i="42" s="1"/>
  <c r="BL172" i="42"/>
  <c r="BL275" i="42"/>
  <c r="BL262" i="42"/>
  <c r="BI47" i="42"/>
  <c r="BK47" i="42" s="1"/>
  <c r="BI21" i="42"/>
  <c r="BK21" i="42" s="1"/>
  <c r="BI59" i="42"/>
  <c r="BK59" i="42" s="1"/>
  <c r="BL562" i="42"/>
  <c r="BL229" i="42"/>
  <c r="BI79" i="42"/>
  <c r="BK79" i="42" s="1"/>
  <c r="BI589" i="42"/>
  <c r="BK589" i="42" s="1"/>
  <c r="BL299" i="42"/>
  <c r="BL403" i="42"/>
  <c r="BL169" i="42"/>
  <c r="BL48" i="42"/>
  <c r="BI441" i="42"/>
  <c r="BK441" i="42" s="1"/>
  <c r="BL363" i="42"/>
  <c r="BL467" i="42"/>
  <c r="BL454" i="42"/>
  <c r="BI376" i="42"/>
  <c r="BK376" i="42" s="1"/>
  <c r="BI220" i="42"/>
  <c r="BK220" i="42" s="1"/>
  <c r="BI23" i="42"/>
  <c r="BK23" i="42" s="1"/>
  <c r="BL662" i="42"/>
  <c r="BI35" i="42"/>
  <c r="BK35" i="42" s="1"/>
  <c r="BI423" i="42"/>
  <c r="BK423" i="42" s="1"/>
  <c r="BI410" i="42"/>
  <c r="BK410" i="42" s="1"/>
  <c r="BI354" i="42"/>
  <c r="BK354" i="42" s="1"/>
  <c r="BL597" i="42"/>
  <c r="BI190" i="42"/>
  <c r="BK190" i="42" s="1"/>
  <c r="BI474" i="42"/>
  <c r="BK474" i="42" s="1"/>
  <c r="BL216" i="42"/>
  <c r="BI61" i="42"/>
  <c r="BK61" i="42" s="1"/>
  <c r="BI99" i="42"/>
  <c r="BK99" i="42" s="1"/>
  <c r="BI648" i="42"/>
  <c r="BK648" i="42" s="1"/>
  <c r="BI412" i="42"/>
  <c r="BK412" i="42" s="1"/>
  <c r="BI119" i="42"/>
  <c r="BK119" i="42" s="1"/>
  <c r="BI93" i="42"/>
  <c r="BK93" i="42" s="1"/>
  <c r="BI131" i="42"/>
  <c r="BK131" i="42" s="1"/>
  <c r="BL354" i="42"/>
  <c r="BI17" i="42"/>
  <c r="BK17" i="42" s="1"/>
  <c r="BL377" i="42"/>
  <c r="BL321" i="42"/>
  <c r="BI415" i="42"/>
  <c r="BK415" i="42" s="1"/>
  <c r="BL380" i="42"/>
  <c r="BL111" i="42"/>
  <c r="BL93" i="42"/>
  <c r="BL576" i="42"/>
  <c r="BL347" i="42"/>
  <c r="BL143" i="42"/>
  <c r="BL22" i="42"/>
  <c r="BL449" i="42"/>
  <c r="BI172" i="42"/>
  <c r="BK172" i="42" s="1"/>
  <c r="BL285" i="42"/>
  <c r="BI113" i="42"/>
  <c r="BK113" i="42" s="1"/>
  <c r="BL569" i="42"/>
  <c r="BL513" i="42"/>
  <c r="BI607" i="42"/>
  <c r="BK607" i="42" s="1"/>
  <c r="BL226" i="42"/>
  <c r="BL290" i="42"/>
  <c r="BI509" i="42"/>
  <c r="BK509" i="42" s="1"/>
  <c r="BL474" i="42"/>
  <c r="BI150" i="42"/>
  <c r="BK150" i="42" s="1"/>
  <c r="BI108" i="42"/>
  <c r="BK108" i="42" s="1"/>
  <c r="BI170" i="42"/>
  <c r="BK170" i="42" s="1"/>
  <c r="BL664" i="42"/>
  <c r="BL385" i="42"/>
  <c r="BI479" i="42"/>
  <c r="BK479" i="42" s="1"/>
  <c r="BL444" i="42"/>
  <c r="BL208" i="42"/>
  <c r="BL505" i="42"/>
  <c r="BI259" i="42"/>
  <c r="BK259" i="42" s="1"/>
  <c r="BI300" i="42"/>
  <c r="BK300" i="42" s="1"/>
  <c r="BL382" i="42"/>
  <c r="BL666" i="42"/>
  <c r="BI323" i="42"/>
  <c r="BK323" i="42" s="1"/>
  <c r="BI235" i="42"/>
  <c r="BK235" i="42" s="1"/>
  <c r="BI216" i="42"/>
  <c r="BK216" i="42" s="1"/>
  <c r="BI280" i="42"/>
  <c r="BK280" i="42" s="1"/>
  <c r="BL466" i="42"/>
  <c r="BI152" i="42"/>
  <c r="BK152" i="42" s="1"/>
  <c r="BI643" i="42"/>
  <c r="BK643" i="42" s="1"/>
  <c r="BI555" i="42"/>
  <c r="BK555" i="42" s="1"/>
  <c r="BL669" i="42"/>
  <c r="BL656" i="42"/>
  <c r="BI313" i="42"/>
  <c r="BK313" i="42" s="1"/>
  <c r="BL364" i="42"/>
  <c r="BL436" i="42"/>
  <c r="BL137" i="42"/>
  <c r="BL16" i="42"/>
  <c r="BL484" i="42"/>
  <c r="BI238" i="42"/>
  <c r="BK238" i="42" s="1"/>
  <c r="BI69" i="42"/>
  <c r="BK69" i="42" s="1"/>
  <c r="BI107" i="42"/>
  <c r="BK107" i="42" s="1"/>
  <c r="BL658" i="42"/>
  <c r="BL325" i="42"/>
  <c r="BI302" i="42"/>
  <c r="BK302" i="42" s="1"/>
  <c r="BI214" i="42"/>
  <c r="BK214" i="42" s="1"/>
  <c r="BI344" i="42"/>
  <c r="BK344" i="42" s="1"/>
  <c r="BL61" i="42"/>
  <c r="BL527" i="42"/>
  <c r="BI43" i="42"/>
  <c r="BK43" i="42" s="1"/>
  <c r="BI434" i="42"/>
  <c r="BK434" i="42" s="1"/>
  <c r="BL396" i="42"/>
  <c r="BL24" i="42"/>
  <c r="BI450" i="42"/>
  <c r="BK450" i="42" s="1"/>
  <c r="BL561" i="42"/>
  <c r="BI181" i="42"/>
  <c r="BK181" i="42" s="1"/>
  <c r="BL183" i="42"/>
  <c r="BL223" i="42"/>
  <c r="BI232" i="42"/>
  <c r="BK232" i="42" s="1"/>
  <c r="BI32" i="42"/>
  <c r="BK32" i="42" s="1"/>
  <c r="BL397" i="42"/>
  <c r="BL309" i="42"/>
  <c r="BI435" i="42"/>
  <c r="BK435" i="42" s="1"/>
  <c r="BI199" i="42"/>
  <c r="BK199" i="42" s="1"/>
  <c r="BI64" i="42"/>
  <c r="BK64" i="42" s="1"/>
  <c r="BL217" i="42"/>
  <c r="BL311" i="42"/>
  <c r="BL100" i="42"/>
  <c r="BL154" i="42"/>
  <c r="BL33" i="42"/>
  <c r="BL646" i="42"/>
  <c r="BL654" i="42"/>
  <c r="BI579" i="42"/>
  <c r="BK579" i="42" s="1"/>
  <c r="BL552" i="42"/>
  <c r="BI608" i="42"/>
  <c r="BK608" i="42" s="1"/>
  <c r="BL298" i="42"/>
  <c r="BI110" i="42"/>
  <c r="BK110" i="42" s="1"/>
  <c r="BL322" i="42"/>
  <c r="BI461" i="42"/>
  <c r="BK461" i="42" s="1"/>
  <c r="BI252" i="42"/>
  <c r="BK252" i="42" s="1"/>
  <c r="BL425" i="42"/>
  <c r="BI292" i="42"/>
  <c r="BK292" i="42" s="1"/>
  <c r="BI211" i="42"/>
  <c r="BK211" i="42" s="1"/>
  <c r="BL117" i="42"/>
  <c r="BL379" i="42"/>
  <c r="BL141" i="42"/>
  <c r="BI530" i="42"/>
  <c r="BK530" i="42" s="1"/>
  <c r="BI135" i="42"/>
  <c r="BK135" i="42" s="1"/>
  <c r="BL202" i="42"/>
  <c r="BI26" i="42"/>
  <c r="BK26" i="42" s="1"/>
  <c r="BI411" i="42"/>
  <c r="BK411" i="42" s="1"/>
  <c r="BL376" i="42"/>
  <c r="BL288" i="42"/>
  <c r="BI414" i="42"/>
  <c r="BK414" i="42" s="1"/>
  <c r="BI475" i="42"/>
  <c r="BK475" i="42" s="1"/>
  <c r="BL196" i="42"/>
  <c r="BI70" i="42"/>
  <c r="BK70" i="42" s="1"/>
  <c r="BI545" i="42"/>
  <c r="BK545" i="42" s="1"/>
  <c r="BI649" i="42"/>
  <c r="BK649" i="42" s="1"/>
  <c r="BI413" i="42"/>
  <c r="BK413" i="42" s="1"/>
  <c r="BI295" i="42"/>
  <c r="BK295" i="42" s="1"/>
  <c r="BI303" i="42"/>
  <c r="BK303" i="42" s="1"/>
  <c r="BL581" i="42"/>
  <c r="BI202" i="42"/>
  <c r="BK202" i="42" s="1"/>
  <c r="BI118" i="42"/>
  <c r="BK118" i="42" s="1"/>
  <c r="BI180" i="42"/>
  <c r="BK180" i="42" s="1"/>
  <c r="BI522" i="42"/>
  <c r="BK522" i="42" s="1"/>
  <c r="BL37" i="42"/>
  <c r="BL442" i="42"/>
  <c r="BI312" i="42"/>
  <c r="BK312" i="42" s="1"/>
  <c r="BI142" i="42"/>
  <c r="BK142" i="42" s="1"/>
  <c r="BL401" i="42"/>
  <c r="BI394" i="42"/>
  <c r="BK394" i="42" s="1"/>
  <c r="BI55" i="42"/>
  <c r="BK55" i="42" s="1"/>
  <c r="BL339" i="42"/>
  <c r="BI227" i="42"/>
  <c r="BK227" i="42" s="1"/>
  <c r="BL358" i="42"/>
  <c r="BI621" i="42"/>
  <c r="BK621" i="42" s="1"/>
  <c r="BI189" i="42"/>
  <c r="BK189" i="42" s="1"/>
  <c r="BL213" i="42"/>
  <c r="BL580" i="42"/>
  <c r="BI355" i="42"/>
  <c r="BK355" i="42" s="1"/>
  <c r="BI267" i="42"/>
  <c r="BK267" i="42" s="1"/>
  <c r="BL381" i="42"/>
  <c r="BL368" i="42"/>
  <c r="BL102" i="42"/>
  <c r="BL60" i="42"/>
  <c r="BL114" i="42"/>
  <c r="BL668" i="42"/>
  <c r="BL432" i="42"/>
  <c r="BI483" i="42"/>
  <c r="BK483" i="42" s="1"/>
  <c r="BI524" i="42"/>
  <c r="BK524" i="42" s="1"/>
  <c r="BL606" i="42"/>
  <c r="BL370" i="42"/>
  <c r="BL252" i="42"/>
  <c r="BI282" i="42"/>
  <c r="BK282" i="42" s="1"/>
  <c r="BI138" i="42"/>
  <c r="BK138" i="42" s="1"/>
  <c r="BI309" i="42"/>
  <c r="BK309" i="42" s="1"/>
  <c r="BL148" i="42"/>
  <c r="BI458" i="42"/>
  <c r="BK458" i="42" s="1"/>
  <c r="BI629" i="42"/>
  <c r="BK629" i="42" s="1"/>
  <c r="BI453" i="42"/>
  <c r="BK453" i="42" s="1"/>
  <c r="BL434" i="42"/>
  <c r="BI84" i="42"/>
  <c r="BK84" i="42" s="1"/>
  <c r="BI228" i="42"/>
  <c r="BK228" i="42" s="1"/>
  <c r="BI370" i="42"/>
  <c r="BK370" i="42" s="1"/>
  <c r="BL99" i="42"/>
  <c r="BL441" i="42"/>
  <c r="BI308" i="42"/>
  <c r="BK308" i="42" s="1"/>
  <c r="BI206" i="42"/>
  <c r="BK206" i="42" s="1"/>
  <c r="BI616" i="42"/>
  <c r="BK616" i="42" s="1"/>
  <c r="BL269" i="42"/>
  <c r="BI307" i="42"/>
  <c r="BK307" i="42" s="1"/>
  <c r="BL342" i="42"/>
  <c r="BI229" i="42"/>
  <c r="BK229" i="42" s="1"/>
  <c r="BI334" i="42"/>
  <c r="BK334" i="42" s="1"/>
  <c r="BI246" i="42"/>
  <c r="BK246" i="42" s="1"/>
  <c r="BL360" i="42"/>
  <c r="BL96" i="42"/>
  <c r="BI537" i="42"/>
  <c r="BK537" i="42" s="1"/>
  <c r="BL459" i="42"/>
  <c r="BL563" i="42"/>
  <c r="BL327" i="42"/>
  <c r="BL128" i="42"/>
  <c r="BI357" i="42"/>
  <c r="BK357" i="42" s="1"/>
  <c r="BI462" i="42"/>
  <c r="BK462" i="42" s="1"/>
  <c r="BI183" i="42"/>
  <c r="BK183" i="42" s="1"/>
  <c r="BI36" i="42"/>
  <c r="BK36" i="42" s="1"/>
  <c r="BI98" i="42"/>
  <c r="BK98" i="42" s="1"/>
  <c r="BL41" i="42"/>
  <c r="BL47" i="42"/>
  <c r="BL553" i="42"/>
  <c r="BI544" i="42"/>
  <c r="BK544" i="42" s="1"/>
  <c r="BI469" i="42"/>
  <c r="BK469" i="42" s="1"/>
  <c r="BI279" i="42"/>
  <c r="BK279" i="42" s="1"/>
  <c r="BL73" i="42"/>
  <c r="BL489" i="42"/>
  <c r="BL501" i="42"/>
  <c r="BL356" i="42"/>
  <c r="BI541" i="42"/>
  <c r="BK541" i="42" s="1"/>
  <c r="BI533" i="42"/>
  <c r="BK533" i="42" s="1"/>
  <c r="BL420" i="42"/>
  <c r="BI67" i="42"/>
  <c r="BK67" i="42" s="1"/>
  <c r="BL14" i="42"/>
  <c r="BL232" i="42"/>
  <c r="BL248" i="42"/>
  <c r="BI286" i="42"/>
  <c r="BK286" i="42" s="1"/>
  <c r="BL492" i="42"/>
  <c r="BL186" i="42"/>
  <c r="BL78" i="42"/>
  <c r="BL36" i="42"/>
  <c r="BL90" i="42"/>
  <c r="BI529" i="42"/>
  <c r="BK529" i="42" s="1"/>
  <c r="BI516" i="42"/>
  <c r="BK516" i="42" s="1"/>
  <c r="BL438" i="42"/>
  <c r="BI532" i="42"/>
  <c r="BK532" i="42" s="1"/>
  <c r="BI296" i="42"/>
  <c r="BK296" i="42" s="1"/>
  <c r="BI593" i="42"/>
  <c r="BK593" i="42" s="1"/>
  <c r="BL314" i="42"/>
  <c r="BL142" i="42"/>
  <c r="BL405" i="42"/>
  <c r="BI531" i="42"/>
  <c r="BK531" i="42" s="1"/>
  <c r="BL423" i="42"/>
  <c r="BL431" i="42"/>
  <c r="BL147" i="42"/>
  <c r="BL448" i="42"/>
  <c r="BL682" i="42"/>
  <c r="BI314" i="42"/>
  <c r="BK314" i="42" s="1"/>
  <c r="BI319" i="42"/>
  <c r="BK319" i="42" s="1"/>
  <c r="BL67" i="42"/>
  <c r="BL480" i="42"/>
  <c r="BL87" i="42"/>
  <c r="BL498" i="42"/>
  <c r="BL119" i="42"/>
  <c r="BL123" i="42"/>
  <c r="BI495" i="42"/>
  <c r="BK495" i="42" s="1"/>
  <c r="BL26" i="42"/>
  <c r="BL38" i="42"/>
  <c r="BL50" i="42"/>
  <c r="BL165" i="42"/>
  <c r="BL483" i="42"/>
  <c r="BI417" i="42"/>
  <c r="BK417" i="42" s="1"/>
  <c r="BI521" i="42"/>
  <c r="BK521" i="42" s="1"/>
  <c r="BI508" i="42"/>
  <c r="BK508" i="42" s="1"/>
  <c r="BI167" i="42"/>
  <c r="BK167" i="42" s="1"/>
  <c r="BI141" i="42"/>
  <c r="BK141" i="42" s="1"/>
  <c r="BI191" i="42"/>
  <c r="BK191" i="42" s="1"/>
  <c r="BI58" i="42"/>
  <c r="BK58" i="42" s="1"/>
  <c r="BI572" i="42"/>
  <c r="BK572" i="42" s="1"/>
  <c r="BI72" i="42"/>
  <c r="BK72" i="42" s="1"/>
  <c r="BL611" i="42"/>
  <c r="BI674" i="42"/>
  <c r="BK674" i="42" s="1"/>
  <c r="BL384" i="42"/>
  <c r="BI510" i="42"/>
  <c r="BK510" i="42" s="1"/>
  <c r="BI392" i="42"/>
  <c r="BK392" i="42" s="1"/>
  <c r="BI400" i="42"/>
  <c r="BK400" i="42" s="1"/>
  <c r="BI480" i="42"/>
  <c r="BK480" i="42" s="1"/>
  <c r="BI185" i="42"/>
  <c r="BK185" i="42" s="1"/>
  <c r="BL211" i="42"/>
  <c r="BL115" i="42"/>
  <c r="BL284" i="42"/>
  <c r="BL19" i="42"/>
  <c r="BI416" i="42"/>
  <c r="BK416" i="42" s="1"/>
  <c r="BL156" i="42"/>
  <c r="BI517" i="42"/>
  <c r="BK517" i="42" s="1"/>
  <c r="BI162" i="42"/>
  <c r="BK162" i="42" s="1"/>
  <c r="BL332" i="42"/>
  <c r="BI581" i="42"/>
  <c r="BK581" i="42" s="1"/>
  <c r="BL575" i="42"/>
  <c r="BL623" i="42"/>
  <c r="BL350" i="42"/>
  <c r="BI409" i="42"/>
  <c r="BK409" i="42" s="1"/>
  <c r="BL435" i="42"/>
  <c r="BL663" i="42"/>
  <c r="BL357" i="42"/>
  <c r="BL462" i="42"/>
  <c r="BI396" i="42"/>
  <c r="BK396" i="42" s="1"/>
  <c r="BL478" i="42"/>
  <c r="BI161" i="42"/>
  <c r="BK161" i="42" s="1"/>
  <c r="BL665" i="42"/>
  <c r="BL609" i="42"/>
  <c r="BI331" i="42"/>
  <c r="BK331" i="42" s="1"/>
  <c r="BL445" i="42"/>
  <c r="BL209" i="42"/>
  <c r="BL485" i="42"/>
  <c r="BL590" i="42"/>
  <c r="BI333" i="42"/>
  <c r="BK333" i="42" s="1"/>
  <c r="BL108" i="42"/>
  <c r="BI44" i="42"/>
  <c r="BK44" i="42" s="1"/>
  <c r="BI106" i="42"/>
  <c r="BK106" i="42" s="1"/>
  <c r="BI112" i="42"/>
  <c r="BK112" i="42" s="1"/>
  <c r="BI459" i="42"/>
  <c r="BK459" i="42" s="1"/>
  <c r="BI582" i="42"/>
  <c r="BK582" i="42" s="1"/>
  <c r="BI298" i="42"/>
  <c r="BK298" i="42" s="1"/>
  <c r="BL598" i="42"/>
  <c r="BI320" i="42"/>
  <c r="BK320" i="42" s="1"/>
  <c r="BL521" i="42"/>
  <c r="BL651" i="42"/>
  <c r="BL645" i="42"/>
  <c r="BI244" i="42"/>
  <c r="BK244" i="42" s="1"/>
  <c r="BL85" i="42"/>
  <c r="BL538" i="42"/>
  <c r="BI140" i="42"/>
  <c r="BK140" i="42" s="1"/>
  <c r="BI592" i="42"/>
  <c r="BK592" i="42" s="1"/>
  <c r="BI91" i="42"/>
  <c r="BK91" i="42" s="1"/>
  <c r="BI677" i="42"/>
  <c r="BK677" i="42" s="1"/>
  <c r="BI404" i="42"/>
  <c r="BK404" i="42" s="1"/>
  <c r="BL62" i="42"/>
  <c r="BI326" i="42"/>
  <c r="BK326" i="42" s="1"/>
  <c r="BI143" i="42"/>
  <c r="BK143" i="42" s="1"/>
  <c r="BI117" i="42"/>
  <c r="BK117" i="42" s="1"/>
  <c r="BI155" i="42"/>
  <c r="BK155" i="42" s="1"/>
  <c r="BL657" i="42"/>
  <c r="BL644" i="42"/>
  <c r="BL588" i="42"/>
  <c r="BI310" i="42"/>
  <c r="BK310" i="42" s="1"/>
  <c r="BL424" i="42"/>
  <c r="BI178" i="42"/>
  <c r="BK178" i="42" s="1"/>
  <c r="BI454" i="42"/>
  <c r="BK454" i="42" s="1"/>
  <c r="BI239" i="42"/>
  <c r="BK239" i="42" s="1"/>
  <c r="BI78" i="42"/>
  <c r="BK78" i="42" s="1"/>
  <c r="BL555" i="42"/>
  <c r="BI427" i="42"/>
  <c r="BK427" i="42" s="1"/>
  <c r="BL541" i="42"/>
  <c r="BI571" i="42"/>
  <c r="BK571" i="42" s="1"/>
  <c r="BL589" i="42"/>
  <c r="BI574" i="42"/>
  <c r="BK574" i="42" s="1"/>
  <c r="BL383" i="42"/>
  <c r="BL313" i="42"/>
  <c r="BL660" i="42"/>
  <c r="BL45" i="42"/>
  <c r="BL630" i="42"/>
  <c r="BI614" i="42"/>
  <c r="BK614" i="42" s="1"/>
  <c r="BL372" i="42"/>
  <c r="BI166" i="42"/>
  <c r="BK166" i="42" s="1"/>
  <c r="BL197" i="42"/>
  <c r="BI619" i="42"/>
  <c r="BK619" i="42" s="1"/>
  <c r="BI251" i="42"/>
  <c r="BK251" i="42" s="1"/>
  <c r="BI164" i="42"/>
  <c r="BK164" i="42" s="1"/>
  <c r="BL293" i="42"/>
  <c r="BI115" i="42"/>
  <c r="BK115" i="42" s="1"/>
  <c r="BL451" i="42"/>
  <c r="BI137" i="42"/>
  <c r="BK137" i="42" s="1"/>
  <c r="BI623" i="42"/>
  <c r="BK623" i="42" s="1"/>
  <c r="BI567" i="42"/>
  <c r="BK567" i="42" s="1"/>
  <c r="BL649" i="42"/>
  <c r="BI626" i="42"/>
  <c r="BK626" i="42" s="1"/>
  <c r="BI293" i="42"/>
  <c r="BK293" i="42" s="1"/>
  <c r="BL247" i="42"/>
  <c r="BL68" i="42"/>
  <c r="BL122" i="42"/>
  <c r="BL136" i="42"/>
  <c r="BI218" i="42"/>
  <c r="BK218" i="42" s="1"/>
  <c r="BL493" i="42"/>
  <c r="BL534" i="42"/>
  <c r="BI406" i="42"/>
  <c r="BK406" i="42" s="1"/>
  <c r="BL520" i="42"/>
  <c r="BL528" i="42"/>
  <c r="BI603" i="42"/>
  <c r="BK603" i="42" s="1"/>
  <c r="BL212" i="42"/>
  <c r="BL618" i="42"/>
  <c r="BL289" i="42"/>
  <c r="BL251" i="42"/>
  <c r="BL91" i="42"/>
  <c r="BI675" i="42"/>
  <c r="BK675" i="42" s="1"/>
  <c r="BI455" i="42"/>
  <c r="BK455" i="42" s="1"/>
  <c r="BI598" i="42"/>
  <c r="BK598" i="42" s="1"/>
  <c r="BI369" i="42"/>
  <c r="BK369" i="42" s="1"/>
  <c r="BL278" i="42"/>
  <c r="BI262" i="42"/>
  <c r="BK262" i="42" s="1"/>
  <c r="BI575" i="42"/>
  <c r="BK575" i="42" s="1"/>
  <c r="BL430" i="42"/>
  <c r="BI615" i="42"/>
  <c r="BK615" i="42" s="1"/>
  <c r="BI602" i="42"/>
  <c r="BK602" i="42" s="1"/>
  <c r="BI546" i="42"/>
  <c r="BK546" i="42" s="1"/>
  <c r="BI618" i="42"/>
  <c r="BK618" i="42" s="1"/>
  <c r="BI285" i="42"/>
  <c r="BK285" i="42" s="1"/>
  <c r="BL250" i="42"/>
  <c r="BI38" i="42"/>
  <c r="BK38" i="42" s="1"/>
  <c r="BI481" i="42"/>
  <c r="BK481" i="42" s="1"/>
  <c r="BI585" i="42"/>
  <c r="BK585" i="42" s="1"/>
  <c r="BI349" i="42"/>
  <c r="BK349" i="42" s="1"/>
  <c r="BL603" i="42"/>
  <c r="BL15" i="42"/>
  <c r="BL472" i="42"/>
  <c r="BL193" i="42"/>
  <c r="BL116" i="42"/>
  <c r="BL170" i="42"/>
  <c r="BI177" i="42"/>
  <c r="BK177" i="42" s="1"/>
  <c r="BL573" i="42"/>
  <c r="BL319" i="42"/>
  <c r="BI609" i="42"/>
  <c r="BK609" i="42" s="1"/>
  <c r="BL268" i="42"/>
  <c r="BL230" i="42"/>
  <c r="BL511" i="42"/>
  <c r="BI654" i="42"/>
  <c r="BK654" i="42" s="1"/>
  <c r="BL121" i="42"/>
  <c r="BI257" i="42"/>
  <c r="BK257" i="42" s="1"/>
  <c r="BI348" i="42"/>
  <c r="BK348" i="42" s="1"/>
  <c r="BL428" i="42"/>
  <c r="BL411" i="42"/>
  <c r="BL532" i="42"/>
  <c r="BI127" i="42"/>
  <c r="BK127" i="42" s="1"/>
  <c r="BL572" i="42"/>
  <c r="BL239" i="42"/>
  <c r="BI205" i="42"/>
  <c r="BK205" i="42" s="1"/>
  <c r="BI245" i="42"/>
  <c r="BK245" i="42" s="1"/>
  <c r="BL242" i="42"/>
  <c r="BI40" i="42"/>
  <c r="BK40" i="42" s="1"/>
  <c r="BI419" i="42"/>
  <c r="BK419" i="42" s="1"/>
  <c r="BI460" i="42"/>
  <c r="BK460" i="42" s="1"/>
  <c r="BL542" i="42"/>
  <c r="BL306" i="42"/>
  <c r="BL582" i="42"/>
  <c r="BL367" i="42"/>
  <c r="BL150" i="42"/>
  <c r="BI577" i="42"/>
  <c r="BK577" i="42" s="1"/>
  <c r="BI681" i="42"/>
  <c r="BK681" i="42" s="1"/>
  <c r="BL554" i="42"/>
  <c r="BI196" i="42"/>
  <c r="BK196" i="42" s="1"/>
  <c r="BL227" i="42"/>
  <c r="BI25" i="42"/>
  <c r="BK25" i="42" s="1"/>
  <c r="BI534" i="42"/>
  <c r="BK534" i="42" s="1"/>
  <c r="BI431" i="42"/>
  <c r="BK431" i="42" s="1"/>
  <c r="BL583" i="42"/>
  <c r="BI236" i="42"/>
  <c r="BK236" i="42" s="1"/>
  <c r="BI81" i="42"/>
  <c r="BK81" i="42" s="1"/>
  <c r="BL133" i="42"/>
  <c r="BL390" i="42"/>
  <c r="BI353" i="42"/>
  <c r="BK353" i="42" s="1"/>
  <c r="BI591" i="42"/>
  <c r="BK591" i="42" s="1"/>
  <c r="BL231" i="42"/>
  <c r="BI208" i="42"/>
  <c r="BK208" i="42" s="1"/>
  <c r="BI14" i="42"/>
  <c r="BK14" i="42" s="1"/>
  <c r="BI224" i="42"/>
  <c r="BK224" i="42" s="1"/>
  <c r="BI34" i="42"/>
  <c r="BK34" i="42" s="1"/>
  <c r="BL421" i="42"/>
  <c r="BI398" i="42"/>
  <c r="BK398" i="42" s="1"/>
  <c r="BI149" i="42"/>
  <c r="BK149" i="42" s="1"/>
  <c r="BL201" i="42"/>
  <c r="BI66" i="42"/>
  <c r="BK66" i="42" s="1"/>
  <c r="BI231" i="42"/>
  <c r="BK231" i="42" s="1"/>
  <c r="BI336" i="42"/>
  <c r="BK336" i="42" s="1"/>
  <c r="BI633" i="42"/>
  <c r="BK633" i="42" s="1"/>
  <c r="BI556" i="42"/>
  <c r="BK556" i="42" s="1"/>
  <c r="BL638" i="42"/>
  <c r="BI668" i="42"/>
  <c r="BK668" i="42" s="1"/>
  <c r="BL155" i="42"/>
  <c r="BI511" i="42"/>
  <c r="BK511" i="42" s="1"/>
  <c r="BI188" i="42"/>
  <c r="BK188" i="42" s="1"/>
  <c r="BI15" i="42"/>
  <c r="BK15" i="42" s="1"/>
  <c r="BI391" i="42"/>
  <c r="BK391" i="42" s="1"/>
  <c r="BI193" i="42"/>
  <c r="BK193" i="42" s="1"/>
  <c r="BL559" i="42"/>
  <c r="BL189" i="42"/>
  <c r="BI37" i="42"/>
  <c r="BK37" i="42" s="1"/>
  <c r="BL497" i="42"/>
  <c r="BL599" i="42"/>
  <c r="BI105" i="42"/>
  <c r="BK105" i="42" s="1"/>
  <c r="BI85" i="42"/>
  <c r="BK85" i="42" s="1"/>
  <c r="BI570" i="42"/>
  <c r="BK570" i="42" s="1"/>
  <c r="BI200" i="42"/>
  <c r="BK200" i="42" s="1"/>
  <c r="BI16" i="42"/>
  <c r="BK16" i="42" s="1"/>
  <c r="BL365" i="42"/>
  <c r="BL277" i="42"/>
  <c r="BI403" i="42"/>
  <c r="BK403" i="42" s="1"/>
  <c r="BI390" i="42"/>
  <c r="BK390" i="42" s="1"/>
  <c r="BL110" i="42"/>
  <c r="BI631" i="42"/>
  <c r="BK631" i="42" s="1"/>
  <c r="BL341" i="42"/>
  <c r="BI467" i="42"/>
  <c r="BK467" i="42" s="1"/>
  <c r="BL188" i="42"/>
  <c r="BI80" i="42"/>
  <c r="BK80" i="42" s="1"/>
  <c r="BI612" i="42"/>
  <c r="BK612" i="42" s="1"/>
  <c r="BL343" i="42"/>
  <c r="BI215" i="42"/>
  <c r="BK215" i="42" s="1"/>
  <c r="BL297" i="42"/>
  <c r="BL305" i="42"/>
  <c r="BL490" i="42"/>
  <c r="BI470" i="42"/>
  <c r="BK470" i="42" s="1"/>
  <c r="BI367" i="42"/>
  <c r="BK367" i="42" s="1"/>
  <c r="BL348" i="42"/>
  <c r="BI528" i="42"/>
  <c r="BK528" i="42" s="1"/>
  <c r="BL184" i="42"/>
  <c r="BI466" i="42"/>
  <c r="BK466" i="42" s="1"/>
  <c r="BL30" i="42"/>
  <c r="BL679" i="42"/>
  <c r="BI503" i="42"/>
  <c r="BK503" i="42" s="1"/>
  <c r="BL207" i="42"/>
  <c r="BI379" i="42"/>
  <c r="BK379" i="42" s="1"/>
  <c r="BL344" i="42"/>
  <c r="BL256" i="42"/>
  <c r="BI382" i="42"/>
  <c r="BK382" i="42" s="1"/>
  <c r="BL104" i="42"/>
  <c r="BL547" i="42"/>
  <c r="BI610" i="42"/>
  <c r="BK610" i="42" s="1"/>
  <c r="BL320" i="42"/>
  <c r="BI446" i="42"/>
  <c r="BK446" i="42" s="1"/>
  <c r="BI507" i="42"/>
  <c r="BK507" i="42" s="1"/>
  <c r="BL249" i="42"/>
  <c r="BI86" i="42"/>
  <c r="BK86" i="42" s="1"/>
  <c r="BI194" i="42"/>
  <c r="BK194" i="42" s="1"/>
  <c r="BI266" i="42"/>
  <c r="BK266" i="42" s="1"/>
  <c r="BI274" i="42"/>
  <c r="BK274" i="42" s="1"/>
  <c r="BI60" i="42"/>
  <c r="BK60" i="42" s="1"/>
  <c r="BL195" i="42"/>
  <c r="BL79" i="42"/>
  <c r="BL89" i="42"/>
  <c r="BI187" i="42"/>
  <c r="BK187" i="42" s="1"/>
  <c r="BL680" i="42"/>
  <c r="BI345" i="42"/>
  <c r="BK345" i="42" s="1"/>
  <c r="BL145" i="42"/>
  <c r="BL387" i="42"/>
  <c r="BL264" i="42"/>
  <c r="BL157" i="42"/>
  <c r="BI176" i="42"/>
  <c r="BK176" i="42" s="1"/>
  <c r="BL349" i="42"/>
  <c r="BL336" i="42"/>
  <c r="BL86" i="42"/>
  <c r="BL44" i="42"/>
  <c r="BL98" i="42"/>
  <c r="BL539" i="42"/>
  <c r="BL526" i="42"/>
  <c r="BI269" i="42"/>
  <c r="BK269" i="42" s="1"/>
  <c r="BL76" i="42"/>
  <c r="BL130" i="42"/>
  <c r="BL359" i="42"/>
  <c r="BL464" i="42"/>
  <c r="BL228" i="42"/>
  <c r="BI515" i="42"/>
  <c r="BK515" i="42" s="1"/>
  <c r="BL35" i="42"/>
  <c r="BL49" i="42"/>
  <c r="BL469" i="42"/>
  <c r="BL187" i="42"/>
  <c r="BL495" i="42"/>
  <c r="BI265" i="42"/>
  <c r="BK265" i="42" s="1"/>
  <c r="BI343" i="42"/>
  <c r="BK343" i="42" s="1"/>
  <c r="BI305" i="42"/>
  <c r="BK305" i="42" s="1"/>
  <c r="BI132" i="42"/>
  <c r="BK132" i="42" s="1"/>
  <c r="BI324" i="42"/>
  <c r="BK324" i="42" s="1"/>
  <c r="BI637" i="42"/>
  <c r="BK637" i="42" s="1"/>
  <c r="BL366" i="42"/>
  <c r="BL42" i="42"/>
  <c r="BI653" i="42"/>
  <c r="BK653" i="42" s="1"/>
  <c r="BI444" i="42"/>
  <c r="BK444" i="42" s="1"/>
  <c r="BL328" i="42"/>
  <c r="BL80" i="42"/>
  <c r="BI505" i="42"/>
  <c r="BK505" i="42" s="1"/>
  <c r="BL427" i="42"/>
  <c r="BL531" i="42"/>
  <c r="BL518" i="42"/>
  <c r="BI175" i="42"/>
  <c r="BK175" i="42" s="1"/>
  <c r="BI46" i="42"/>
  <c r="BK46" i="42" s="1"/>
  <c r="BL491" i="42"/>
  <c r="BL595" i="42"/>
  <c r="BI328" i="42"/>
  <c r="BK328" i="42" s="1"/>
  <c r="BL144" i="42"/>
  <c r="BL23" i="42"/>
  <c r="BI494" i="42"/>
  <c r="BK494" i="42" s="1"/>
  <c r="BI365" i="42"/>
  <c r="BK365" i="42" s="1"/>
  <c r="BI405" i="42"/>
  <c r="BK405" i="42" s="1"/>
  <c r="BI445" i="42"/>
  <c r="BK445" i="42" s="1"/>
  <c r="BL536" i="42"/>
  <c r="BL584" i="42"/>
  <c r="BI248" i="42"/>
  <c r="BK248" i="42" s="1"/>
  <c r="BI464" i="42"/>
  <c r="BK464" i="42" s="1"/>
  <c r="BI27" i="42"/>
  <c r="BK27" i="42" s="1"/>
  <c r="BI322" i="42"/>
  <c r="BK322" i="42" s="1"/>
  <c r="BI284" i="42"/>
  <c r="BK284" i="42" s="1"/>
  <c r="BL235" i="42"/>
  <c r="BL473" i="42"/>
  <c r="BL594" i="42"/>
  <c r="BI95" i="42"/>
  <c r="BK95" i="42" s="1"/>
  <c r="BI425" i="42"/>
  <c r="BK425" i="42" s="1"/>
  <c r="BL301" i="42"/>
  <c r="BL593" i="42"/>
  <c r="BL74" i="42"/>
  <c r="BI497" i="42"/>
  <c r="BK497" i="42" s="1"/>
  <c r="BI484" i="42"/>
  <c r="BK484" i="42" s="1"/>
  <c r="BL406" i="42"/>
  <c r="BI500" i="42"/>
  <c r="BK500" i="42" s="1"/>
  <c r="BI169" i="42"/>
  <c r="BK169" i="42" s="1"/>
  <c r="BL429" i="42"/>
  <c r="BL470" i="42"/>
  <c r="BI564" i="42"/>
  <c r="BK564" i="42" s="1"/>
  <c r="BI74" i="42"/>
  <c r="BK74" i="42" s="1"/>
  <c r="BI625" i="42"/>
  <c r="BK625" i="42" s="1"/>
  <c r="BI389" i="42"/>
  <c r="BK389" i="42" s="1"/>
  <c r="BL158" i="42"/>
  <c r="BI94" i="42"/>
  <c r="BK94" i="42" s="1"/>
  <c r="BI384" i="42"/>
  <c r="BK384" i="42" s="1"/>
  <c r="BL402" i="42"/>
  <c r="BL613" i="42"/>
  <c r="BI234" i="42"/>
  <c r="BK234" i="42" s="1"/>
  <c r="BL619" i="42"/>
  <c r="BI628" i="42"/>
  <c r="BK628" i="42" s="1"/>
  <c r="BL55" i="42"/>
  <c r="BI351" i="42"/>
  <c r="BK351" i="42" s="1"/>
  <c r="BI241" i="42"/>
  <c r="BK241" i="42" s="1"/>
  <c r="BL393" i="42"/>
  <c r="BL77" i="42"/>
  <c r="BI49" i="42"/>
  <c r="BK49" i="42" s="1"/>
  <c r="BL214" i="42"/>
  <c r="BL452" i="42"/>
  <c r="BI83" i="42"/>
  <c r="BK83" i="42" s="1"/>
  <c r="BI527" i="42"/>
  <c r="BK527" i="42" s="1"/>
  <c r="BL181" i="42"/>
  <c r="BI420" i="42"/>
  <c r="BK420" i="42" s="1"/>
  <c r="BI562" i="42"/>
  <c r="BK562" i="42" s="1"/>
  <c r="BI489" i="42"/>
  <c r="BK489" i="42" s="1"/>
  <c r="BI476" i="42"/>
  <c r="BK476" i="42" s="1"/>
  <c r="BI151" i="42"/>
  <c r="BK151" i="42" s="1"/>
  <c r="BI125" i="42"/>
  <c r="BK125" i="42" s="1"/>
  <c r="BI163" i="42"/>
  <c r="BK163" i="42" s="1"/>
  <c r="BI679" i="42"/>
  <c r="BK679" i="42" s="1"/>
  <c r="BI666" i="42"/>
  <c r="BK666" i="42" s="1"/>
  <c r="BL408" i="42"/>
  <c r="BI157" i="42"/>
  <c r="BK157" i="42" s="1"/>
  <c r="BI363" i="42"/>
  <c r="BK363" i="42" s="1"/>
  <c r="BL477" i="42"/>
  <c r="BI604" i="42"/>
  <c r="BK604" i="42" s="1"/>
  <c r="BL346" i="42"/>
  <c r="BL643" i="42"/>
  <c r="BL525" i="42"/>
  <c r="BI52" i="42"/>
  <c r="BK52" i="42" s="1"/>
  <c r="BI114" i="42"/>
  <c r="BK114" i="42" s="1"/>
  <c r="BI595" i="42"/>
  <c r="BK595" i="42" s="1"/>
  <c r="BI341" i="42"/>
  <c r="BK341" i="42" s="1"/>
  <c r="BI676" i="42"/>
  <c r="BK676" i="42" s="1"/>
  <c r="BI490" i="42"/>
  <c r="BK490" i="42" s="1"/>
  <c r="BL316" i="42"/>
  <c r="BL43" i="42"/>
  <c r="BL194" i="42"/>
  <c r="BL369" i="42"/>
  <c r="BL83" i="42"/>
  <c r="BI493" i="42"/>
  <c r="BK493" i="42" s="1"/>
  <c r="BL433" i="42"/>
  <c r="BI29" i="42"/>
  <c r="BK29" i="42" s="1"/>
  <c r="BL135" i="42"/>
  <c r="BI651" i="42"/>
  <c r="BK651" i="42" s="1"/>
  <c r="BI506" i="42"/>
  <c r="BK506" i="42" s="1"/>
  <c r="BL548" i="42"/>
  <c r="BL178" i="42"/>
  <c r="BL446" i="42"/>
  <c r="BI145" i="42"/>
  <c r="BK145" i="42" s="1"/>
  <c r="BL633" i="42"/>
  <c r="BL577" i="42"/>
  <c r="BI671" i="42"/>
  <c r="BK671" i="42" s="1"/>
  <c r="BL636" i="42"/>
  <c r="BL303" i="42"/>
  <c r="BL118" i="42"/>
  <c r="BL641" i="42"/>
  <c r="BI342" i="42"/>
  <c r="BK342" i="42" s="1"/>
  <c r="BL456" i="42"/>
  <c r="BL241" i="42"/>
  <c r="BI88" i="42"/>
  <c r="BK88" i="42" s="1"/>
  <c r="BL622" i="42"/>
  <c r="BL504" i="42"/>
  <c r="BL437" i="42"/>
  <c r="BI563" i="42"/>
  <c r="BK563" i="42" s="1"/>
  <c r="BI576" i="42"/>
  <c r="BK576" i="42" s="1"/>
  <c r="BL198" i="42"/>
  <c r="BI597" i="42"/>
  <c r="BK597" i="42" s="1"/>
  <c r="BI255" i="42"/>
  <c r="BK255" i="42" s="1"/>
  <c r="BI352" i="42"/>
  <c r="BK352" i="42" s="1"/>
  <c r="BI338" i="42"/>
  <c r="BK338" i="42" s="1"/>
  <c r="BI501" i="42"/>
  <c r="BK501" i="42" s="1"/>
  <c r="BI39" i="42"/>
  <c r="BK39" i="42" s="1"/>
  <c r="BI402" i="42"/>
  <c r="BK402" i="42" s="1"/>
  <c r="BL101" i="42"/>
  <c r="BI198" i="42"/>
  <c r="BK198" i="42" s="1"/>
  <c r="BI630" i="42"/>
  <c r="BK630" i="42" s="1"/>
  <c r="BL159" i="42"/>
  <c r="BL672" i="42"/>
  <c r="BI197" i="42"/>
  <c r="BK197" i="42" s="1"/>
  <c r="BI139" i="42"/>
  <c r="BK139" i="42" s="1"/>
  <c r="BL625" i="42"/>
  <c r="BL612" i="42"/>
  <c r="BL556" i="42"/>
  <c r="BL628" i="42"/>
  <c r="BL295" i="42"/>
  <c r="BI272" i="42"/>
  <c r="BK272" i="42" s="1"/>
  <c r="BI569" i="42"/>
  <c r="BK569" i="42" s="1"/>
  <c r="BL620" i="42"/>
  <c r="BL84" i="42"/>
  <c r="BL138" i="42"/>
  <c r="BI210" i="42"/>
  <c r="BK210" i="42" s="1"/>
  <c r="BL517" i="42"/>
  <c r="BI271" i="42"/>
  <c r="BK271" i="42" s="1"/>
  <c r="BL166" i="42"/>
  <c r="BL416" i="42"/>
  <c r="BI542" i="42"/>
  <c r="BK542" i="42" s="1"/>
  <c r="BL163" i="42"/>
  <c r="BL132" i="42"/>
  <c r="BL659" i="42"/>
  <c r="BI456" i="42"/>
  <c r="BK456" i="42" s="1"/>
  <c r="BL407" i="42"/>
  <c r="BI184" i="42"/>
  <c r="BK184" i="42" s="1"/>
  <c r="BL81" i="42"/>
  <c r="BI100" i="42"/>
  <c r="BK100" i="42" s="1"/>
  <c r="BL388" i="42"/>
  <c r="BL113" i="42"/>
  <c r="BL535" i="42"/>
  <c r="BL326" i="42"/>
  <c r="BI268" i="42"/>
  <c r="BK268" i="42" s="1"/>
  <c r="BL655" i="42"/>
  <c r="BL331" i="42"/>
  <c r="BI339" i="42"/>
  <c r="BK339" i="42" s="1"/>
  <c r="BL617" i="42"/>
  <c r="BI594" i="42"/>
  <c r="BK594" i="42" s="1"/>
  <c r="BI261" i="42"/>
  <c r="BK261" i="42" s="1"/>
  <c r="BL215" i="42"/>
  <c r="BL255" i="42"/>
  <c r="BI264" i="42"/>
  <c r="BK264" i="42" s="1"/>
  <c r="BI48" i="42"/>
  <c r="BK48" i="42" s="1"/>
  <c r="BI548" i="42"/>
  <c r="BK548" i="42" s="1"/>
  <c r="BL279" i="42"/>
  <c r="BI513" i="42"/>
  <c r="BK513" i="42" s="1"/>
  <c r="BI617" i="42"/>
  <c r="BK617" i="42" s="1"/>
  <c r="BL17" i="42"/>
  <c r="BI486" i="42"/>
  <c r="BK486" i="42" s="1"/>
  <c r="BI250" i="42"/>
  <c r="BK250" i="42" s="1"/>
  <c r="BI665" i="42"/>
  <c r="BK665" i="42" s="1"/>
  <c r="BL124" i="42"/>
  <c r="BL179" i="42"/>
  <c r="BI512" i="42"/>
  <c r="BK512" i="42" s="1"/>
  <c r="BI217" i="42"/>
  <c r="BK217" i="42" s="1"/>
  <c r="BI330" i="42"/>
  <c r="BK330" i="42" s="1"/>
  <c r="BI126" i="42"/>
  <c r="BK126" i="42" s="1"/>
  <c r="BL266" i="42"/>
  <c r="BL410" i="42"/>
  <c r="BL674" i="42"/>
  <c r="BI146" i="42"/>
  <c r="BK146" i="42" s="1"/>
  <c r="BL103" i="42"/>
  <c r="BI573" i="42"/>
  <c r="BK573" i="42" s="1"/>
  <c r="BI195" i="42"/>
  <c r="BK195" i="42" s="1"/>
  <c r="BI73" i="42"/>
  <c r="BK73" i="42" s="1"/>
  <c r="BI53" i="42"/>
  <c r="BK53" i="42" s="1"/>
  <c r="BI380" i="42"/>
  <c r="BK380" i="42" s="1"/>
  <c r="BL310" i="42"/>
  <c r="BI294" i="42"/>
  <c r="BK294" i="42" s="1"/>
  <c r="BI436" i="42"/>
  <c r="BK436" i="42" s="1"/>
  <c r="BI586" i="42"/>
  <c r="BK586" i="42" s="1"/>
  <c r="BI253" i="42"/>
  <c r="BK253" i="42" s="1"/>
  <c r="BL218" i="42"/>
  <c r="BI22" i="42"/>
  <c r="BK22" i="42" s="1"/>
  <c r="BL234" i="42"/>
  <c r="BI42" i="42"/>
  <c r="BK42" i="42" s="1"/>
  <c r="BI443" i="42"/>
  <c r="BK443" i="42" s="1"/>
  <c r="BL185" i="42"/>
  <c r="BI54" i="42"/>
  <c r="BK54" i="42" s="1"/>
  <c r="BI492" i="42"/>
  <c r="BK492" i="42" s="1"/>
  <c r="BL574" i="42"/>
  <c r="BI381" i="42"/>
  <c r="BK381" i="42" s="1"/>
  <c r="BL152" i="42"/>
  <c r="BL31" i="42"/>
  <c r="BI644" i="42"/>
  <c r="BK644" i="42" s="1"/>
  <c r="BL587" i="42"/>
  <c r="BI491" i="42"/>
  <c r="BK491" i="42" s="1"/>
  <c r="BI209" i="42"/>
  <c r="BK209" i="42" s="1"/>
  <c r="BI437" i="42"/>
  <c r="BK437" i="42" s="1"/>
  <c r="BI247" i="42"/>
  <c r="BK247" i="42" s="1"/>
  <c r="BI258" i="42"/>
  <c r="BK258" i="42" s="1"/>
  <c r="BL487" i="42"/>
  <c r="BI627" i="42"/>
  <c r="BK627" i="42" s="1"/>
  <c r="BL300" i="42"/>
  <c r="BL506" i="42"/>
  <c r="BL530" i="42"/>
  <c r="BI487" i="42"/>
  <c r="BK487" i="42" s="1"/>
  <c r="BI439" i="42"/>
  <c r="BK439" i="42" s="1"/>
  <c r="BL529" i="42"/>
  <c r="BI77" i="42"/>
  <c r="BK77" i="42" s="1"/>
  <c r="BL56" i="42"/>
  <c r="BL564" i="42"/>
  <c r="BI213" i="42"/>
  <c r="BK213" i="42" s="1"/>
  <c r="BL210" i="42"/>
  <c r="BI24" i="42"/>
  <c r="BK24" i="42" s="1"/>
  <c r="BI387" i="42"/>
  <c r="BK387" i="42" s="1"/>
  <c r="BI299" i="42"/>
  <c r="BK299" i="42" s="1"/>
  <c r="BL413" i="42"/>
  <c r="BL400" i="42"/>
  <c r="BI451" i="42"/>
  <c r="BK451" i="42" s="1"/>
  <c r="BI165" i="42"/>
  <c r="BK165" i="42" s="1"/>
  <c r="BL233" i="42"/>
  <c r="BL338" i="42"/>
  <c r="BL635" i="42"/>
  <c r="BL399" i="42"/>
  <c r="BL281" i="42"/>
  <c r="BL566" i="42"/>
  <c r="BI660" i="42"/>
  <c r="BK660" i="42" s="1"/>
  <c r="BI558" i="42"/>
  <c r="BK558" i="42" s="1"/>
  <c r="BL162" i="42"/>
  <c r="BL650" i="42"/>
  <c r="BL345" i="42"/>
  <c r="BL63" i="42"/>
  <c r="BL361" i="42"/>
  <c r="BI664" i="42"/>
  <c r="BK664" i="42" s="1"/>
  <c r="BI606" i="42"/>
  <c r="BK606" i="42" s="1"/>
  <c r="BL69" i="42"/>
  <c r="BI168" i="42"/>
  <c r="BK168" i="42" s="1"/>
  <c r="BI51" i="42"/>
  <c r="BK51" i="42" s="1"/>
  <c r="BL615" i="42"/>
  <c r="BL237" i="42"/>
  <c r="BI498" i="42"/>
  <c r="BK498" i="42" s="1"/>
  <c r="BL481" i="42"/>
  <c r="BL443" i="42"/>
  <c r="BL191" i="42"/>
  <c r="BI192" i="42"/>
  <c r="BK192" i="42" s="1"/>
  <c r="BI18" i="42"/>
  <c r="BK18" i="42" s="1"/>
  <c r="BL389" i="42"/>
  <c r="BI366" i="42"/>
  <c r="BK366" i="42" s="1"/>
  <c r="BI278" i="42"/>
  <c r="BK278" i="42" s="1"/>
  <c r="BL392" i="42"/>
  <c r="BL112" i="42"/>
  <c r="BL676" i="42"/>
  <c r="BI430" i="42"/>
  <c r="BK430" i="42" s="1"/>
  <c r="BI663" i="42"/>
  <c r="BK663" i="42" s="1"/>
  <c r="BI20" i="42"/>
  <c r="BK20" i="42" s="1"/>
  <c r="BI82" i="42"/>
  <c r="BK82" i="42" s="1"/>
  <c r="BL614" i="42"/>
  <c r="BI368" i="42"/>
  <c r="BK368" i="42" s="1"/>
  <c r="BL260" i="42"/>
  <c r="BL225" i="42"/>
  <c r="BI68" i="42"/>
  <c r="BK68" i="42" s="1"/>
  <c r="BI550" i="42"/>
  <c r="BK550" i="42" s="1"/>
  <c r="BL244" i="42"/>
  <c r="BL642" i="42"/>
  <c r="BL243" i="42"/>
  <c r="BL471" i="42"/>
  <c r="BL677" i="42"/>
  <c r="BL404" i="42"/>
  <c r="BL323" i="42"/>
  <c r="BI584" i="42"/>
  <c r="BK584" i="42" s="1"/>
  <c r="BI377" i="42"/>
  <c r="BK377" i="42" s="1"/>
  <c r="BI669" i="42"/>
  <c r="BK669" i="42" s="1"/>
  <c r="BL460" i="42"/>
  <c r="BL422" i="42"/>
  <c r="BL245" i="42"/>
  <c r="BI371" i="42"/>
  <c r="BK371" i="42" s="1"/>
  <c r="BI358" i="42"/>
  <c r="BK358" i="42" s="1"/>
  <c r="BL94" i="42"/>
  <c r="BL52" i="42"/>
  <c r="BL106" i="42"/>
  <c r="BI561" i="42"/>
  <c r="BK561" i="42" s="1"/>
  <c r="BI325" i="42"/>
  <c r="BK325" i="42" s="1"/>
  <c r="BL126" i="42"/>
  <c r="BI642" i="42"/>
  <c r="BK642" i="42" s="1"/>
  <c r="BL373" i="42"/>
  <c r="BI499" i="42"/>
  <c r="BK499" i="42" s="1"/>
  <c r="BI263" i="42"/>
  <c r="BK263" i="42" s="1"/>
  <c r="BI96" i="42"/>
  <c r="BK96" i="42" s="1"/>
  <c r="BL39" i="42"/>
  <c r="BL204" i="42"/>
  <c r="BL557" i="42"/>
  <c r="BL605" i="42"/>
  <c r="BL351" i="42"/>
  <c r="BI568" i="42"/>
  <c r="BK568" i="42" s="1"/>
  <c r="BI212" i="42"/>
  <c r="BK212" i="42" s="1"/>
  <c r="BI622" i="42"/>
  <c r="BK622" i="42" s="1"/>
  <c r="BI41" i="42"/>
  <c r="BK41" i="42" s="1"/>
  <c r="BL107" i="42"/>
  <c r="BL302" i="42"/>
  <c r="BL221" i="42"/>
  <c r="BI356" i="42"/>
  <c r="BK356" i="42" s="1"/>
  <c r="BL626" i="42"/>
  <c r="BL419" i="42"/>
  <c r="BI121" i="42"/>
  <c r="BK121" i="42" s="1"/>
  <c r="BL20" i="42"/>
  <c r="BL224" i="42"/>
  <c r="BI350" i="42"/>
  <c r="BK350" i="42" s="1"/>
  <c r="BL88" i="42"/>
  <c r="BL515" i="42"/>
  <c r="BI449" i="42"/>
  <c r="BK449" i="42" s="1"/>
  <c r="BI553" i="42"/>
  <c r="BK553" i="42" s="1"/>
  <c r="BI540" i="42"/>
  <c r="BK540" i="42" s="1"/>
  <c r="BL282" i="42"/>
  <c r="BL579" i="42"/>
  <c r="BI301" i="42"/>
  <c r="BK301" i="42" s="1"/>
  <c r="BL352" i="42"/>
  <c r="BI478" i="42"/>
  <c r="BK478" i="42" s="1"/>
  <c r="BL220" i="42"/>
  <c r="BI539" i="42"/>
  <c r="BK539" i="42" s="1"/>
  <c r="BI421" i="42"/>
  <c r="BK421" i="42" s="1"/>
  <c r="BL21" i="42"/>
  <c r="BI136" i="42"/>
  <c r="BK136" i="42" s="1"/>
  <c r="BL180" i="42"/>
  <c r="BL586" i="42"/>
  <c r="BI536" i="42"/>
  <c r="BK536" i="42" s="1"/>
  <c r="BI19" i="42"/>
  <c r="BK19" i="42" s="1"/>
  <c r="BL259" i="42"/>
  <c r="BL105" i="42"/>
  <c r="BI124" i="42"/>
  <c r="BK124" i="42" s="1"/>
  <c r="BI63" i="42"/>
  <c r="BK63" i="42" s="1"/>
  <c r="BL200" i="42"/>
  <c r="BI87" i="42"/>
  <c r="BK87" i="42" s="1"/>
  <c r="BI275" i="42"/>
  <c r="BK275" i="42" s="1"/>
  <c r="BI111" i="42"/>
  <c r="BK111" i="42" s="1"/>
  <c r="BI583" i="42"/>
  <c r="BK583" i="42" s="1"/>
  <c r="BI385" i="42"/>
  <c r="BK385" i="42" s="1"/>
  <c r="BL28" i="42"/>
  <c r="BL82" i="42"/>
  <c r="BL507" i="42"/>
  <c r="BL494" i="42"/>
  <c r="BI428" i="42"/>
  <c r="BK428" i="42" s="1"/>
  <c r="BL510" i="42"/>
  <c r="BL177" i="42"/>
  <c r="BI56" i="42"/>
  <c r="BK56" i="42" s="1"/>
  <c r="BL558" i="42"/>
  <c r="BI62" i="42"/>
  <c r="BK62" i="42" s="1"/>
  <c r="BL92" i="42"/>
  <c r="BL146" i="42"/>
  <c r="BL25" i="42"/>
  <c r="BL496" i="42"/>
  <c r="BL378" i="42"/>
  <c r="BL375" i="42"/>
  <c r="BI130" i="42"/>
  <c r="BK130" i="42" s="1"/>
  <c r="BL287" i="42"/>
  <c r="BL140" i="42"/>
  <c r="BL514" i="42"/>
  <c r="BI383" i="42"/>
  <c r="BK383" i="42" s="1"/>
  <c r="BL238" i="42"/>
  <c r="BL551" i="42"/>
  <c r="BI587" i="42"/>
  <c r="BK587" i="42" s="1"/>
  <c r="BI219" i="42"/>
  <c r="BK219" i="42" s="1"/>
  <c r="BL151" i="42"/>
  <c r="BI372" i="42"/>
  <c r="BK372" i="42" s="1"/>
  <c r="BI559" i="42"/>
  <c r="BK559" i="42" s="1"/>
  <c r="BL540" i="42"/>
  <c r="BI364" i="42"/>
  <c r="BK364" i="42" s="1"/>
  <c r="BL395" i="42"/>
  <c r="BL499" i="42"/>
  <c r="BL486" i="42"/>
  <c r="BI159" i="42"/>
  <c r="BI133" i="42"/>
  <c r="BK133" i="42" s="1"/>
  <c r="BI171" i="42"/>
  <c r="BK171" i="42" s="1"/>
  <c r="BL453" i="42"/>
  <c r="BI207" i="42"/>
  <c r="BK207" i="42" s="1"/>
  <c r="BL461" i="42"/>
  <c r="BL523" i="42"/>
  <c r="BL627" i="42"/>
  <c r="BL391" i="42"/>
  <c r="BL160" i="42"/>
  <c r="BI104" i="42"/>
  <c r="BK104" i="42" s="1"/>
  <c r="BI102" i="42"/>
  <c r="BK102" i="42" s="1"/>
  <c r="BI543" i="42"/>
  <c r="BK543" i="42" s="1"/>
  <c r="BL522" i="42"/>
  <c r="BL482" i="42"/>
  <c r="BL340" i="42"/>
  <c r="BI31" i="42"/>
  <c r="BK31" i="42" s="1"/>
  <c r="BI520" i="42"/>
  <c r="BK520" i="42" s="1"/>
  <c r="BI566" i="42"/>
  <c r="BK566" i="42" s="1"/>
  <c r="BI361" i="42"/>
  <c r="BK361" i="42" s="1"/>
  <c r="BI645" i="42"/>
  <c r="BK645" i="42" s="1"/>
  <c r="BL175" i="42"/>
  <c r="BL199" i="42"/>
  <c r="BI101" i="42"/>
  <c r="BK101" i="42" s="1"/>
  <c r="BL374" i="42"/>
  <c r="BI468" i="42"/>
  <c r="BK468" i="42" s="1"/>
  <c r="BI153" i="42"/>
  <c r="BK153" i="42" s="1"/>
  <c r="BI655" i="42"/>
  <c r="BK655" i="42" s="1"/>
  <c r="BI599" i="42"/>
  <c r="BK599" i="42" s="1"/>
  <c r="BL681" i="42"/>
  <c r="BI658" i="42"/>
  <c r="BK658" i="42" s="1"/>
  <c r="BI422" i="42"/>
  <c r="BK422" i="42" s="1"/>
  <c r="BI186" i="42"/>
  <c r="BK186" i="42" s="1"/>
  <c r="BL440" i="42"/>
  <c r="BL502" i="42"/>
  <c r="BI596" i="42"/>
  <c r="BK596" i="42" s="1"/>
  <c r="BI360" i="42"/>
  <c r="BK360" i="42" s="1"/>
  <c r="BI657" i="42"/>
  <c r="BK657" i="42" s="1"/>
  <c r="BL549" i="42"/>
  <c r="BI547" i="42"/>
  <c r="BK547" i="42" s="1"/>
  <c r="BL139" i="42"/>
  <c r="BI122" i="42"/>
  <c r="BK122" i="42" s="1"/>
  <c r="BL219" i="42"/>
  <c r="BI472" i="42"/>
  <c r="BK472" i="42" s="1"/>
  <c r="BL164" i="42"/>
  <c r="BI399" i="42"/>
  <c r="BK399" i="42" s="1"/>
  <c r="BL648" i="42"/>
  <c r="BI375" i="42"/>
  <c r="BK375" i="42" s="1"/>
  <c r="BI337" i="42"/>
  <c r="BK337" i="42" s="1"/>
  <c r="BL318" i="42"/>
  <c r="BL602" i="42"/>
  <c r="BI662" i="42"/>
  <c r="BK662" i="42" s="1"/>
  <c r="BI457" i="42"/>
  <c r="BK457" i="42" s="1"/>
  <c r="BI535" i="42"/>
  <c r="BK535" i="42" s="1"/>
  <c r="BI109" i="42"/>
  <c r="BK109" i="42" s="1"/>
  <c r="BI147" i="42"/>
  <c r="BK147" i="42" s="1"/>
  <c r="BI647" i="42"/>
  <c r="BK647" i="42" s="1"/>
  <c r="BI634" i="42"/>
  <c r="BK634" i="42" s="1"/>
  <c r="BI578" i="42"/>
  <c r="BK578" i="42" s="1"/>
  <c r="BI650" i="42"/>
  <c r="BK650" i="42" s="1"/>
  <c r="BI317" i="42"/>
  <c r="BK317" i="42" s="1"/>
  <c r="BL120" i="42"/>
  <c r="BL134" i="42"/>
  <c r="BI173" i="42"/>
  <c r="BK173" i="42" s="1"/>
  <c r="BI28" i="42"/>
  <c r="BK28" i="42" s="1"/>
  <c r="BI90" i="42"/>
  <c r="BK90" i="42" s="1"/>
  <c r="BI636" i="42"/>
  <c r="BK636" i="42" s="1"/>
  <c r="BI518" i="42"/>
  <c r="BK518" i="42" s="1"/>
  <c r="BI526" i="42"/>
  <c r="BK526" i="42" s="1"/>
  <c r="BL458" i="42"/>
  <c r="BI438" i="42"/>
  <c r="BK438" i="42" s="1"/>
  <c r="BI201" i="42"/>
  <c r="BK201" i="42" s="1"/>
  <c r="BL450" i="42"/>
  <c r="BI652" i="42"/>
  <c r="BK652" i="42" s="1"/>
  <c r="BI378" i="42"/>
  <c r="BK378" i="42" s="1"/>
  <c r="BI297" i="42"/>
  <c r="BK297" i="42" s="1"/>
  <c r="BI525" i="42"/>
  <c r="BK525" i="42" s="1"/>
  <c r="BI65" i="42"/>
  <c r="BK65" i="42" s="1"/>
  <c r="BI75" i="42"/>
  <c r="BK75" i="42" s="1"/>
  <c r="BL261" i="42"/>
  <c r="BI321" i="42"/>
  <c r="BK321" i="42" s="1"/>
  <c r="BI656" i="42"/>
  <c r="BK656" i="42" s="1"/>
  <c r="BI123" i="42"/>
  <c r="BK123" i="42" s="1"/>
  <c r="BI514" i="42"/>
  <c r="BK514" i="42" s="1"/>
  <c r="BL545" i="42"/>
  <c r="BI639" i="42"/>
  <c r="BK639" i="42" s="1"/>
  <c r="BL604" i="42"/>
  <c r="BL271" i="42"/>
  <c r="BI237" i="42"/>
  <c r="BK237" i="42" s="1"/>
  <c r="BI277" i="42"/>
  <c r="BK277" i="42" s="1"/>
  <c r="BL274" i="42"/>
  <c r="BL571" i="42"/>
  <c r="BL335" i="42"/>
  <c r="BI601" i="42"/>
  <c r="BK601" i="42" s="1"/>
  <c r="BL673" i="42"/>
  <c r="BI395" i="42"/>
  <c r="BK395" i="42" s="1"/>
  <c r="BL509" i="42"/>
  <c r="BL273" i="42"/>
  <c r="BL168" i="42"/>
  <c r="BL174" i="42"/>
  <c r="BI128" i="42"/>
  <c r="BK128" i="42" s="1"/>
  <c r="BL568" i="42"/>
  <c r="BL276" i="42"/>
  <c r="BL386" i="42"/>
  <c r="BI311" i="42"/>
  <c r="BK311" i="42" s="1"/>
  <c r="BL95" i="42"/>
  <c r="BL254" i="42"/>
  <c r="BI174" i="42"/>
  <c r="BK174" i="42" s="1"/>
  <c r="BL465" i="42"/>
  <c r="BI45" i="42"/>
  <c r="BK45" i="42" s="1"/>
  <c r="BI230" i="42"/>
  <c r="BK230" i="42" s="1"/>
  <c r="BI471" i="42"/>
  <c r="BK471" i="42" s="1"/>
  <c r="BI433" i="42"/>
  <c r="BK433" i="42" s="1"/>
  <c r="BL585" i="42"/>
  <c r="BL173" i="42"/>
  <c r="BL524" i="42"/>
  <c r="BL596" i="42"/>
  <c r="BL263" i="42"/>
  <c r="BI240" i="42"/>
  <c r="BK240" i="42" s="1"/>
  <c r="BI30" i="42"/>
  <c r="BK30" i="42" s="1"/>
  <c r="BI256" i="42"/>
  <c r="BK256" i="42" s="1"/>
  <c r="BI50" i="42"/>
  <c r="BK50" i="42" s="1"/>
  <c r="BL550" i="42"/>
  <c r="BI304" i="42"/>
  <c r="BK304" i="42" s="1"/>
  <c r="BI580" i="42"/>
  <c r="BK580" i="42" s="1"/>
  <c r="BL652" i="42"/>
  <c r="BI374" i="42"/>
  <c r="BK374" i="42" s="1"/>
  <c r="BL488" i="42"/>
  <c r="BI242" i="42"/>
  <c r="BK242" i="42" s="1"/>
  <c r="BL667" i="42"/>
  <c r="BL675" i="42"/>
  <c r="BI76" i="42"/>
  <c r="BK76" i="42" s="1"/>
  <c r="BL560" i="42"/>
  <c r="BI373" i="42"/>
  <c r="BK373" i="42" s="1"/>
  <c r="BL670" i="42"/>
  <c r="BI477" i="42"/>
  <c r="BK477" i="42" s="1"/>
  <c r="BL500" i="42"/>
  <c r="BL51" i="42"/>
  <c r="BL607" i="42"/>
  <c r="BL362" i="42"/>
  <c r="BL426" i="42"/>
  <c r="BI429" i="42"/>
  <c r="BK429" i="42" s="1"/>
  <c r="BL131" i="42"/>
  <c r="BI432" i="42"/>
  <c r="BK432" i="42" s="1"/>
  <c r="BL257" i="42"/>
  <c r="BI424" i="42"/>
  <c r="BK424" i="42" s="1"/>
  <c r="BL292" i="42"/>
  <c r="BL457" i="42"/>
  <c r="BI359" i="42"/>
  <c r="BK359" i="42" s="1"/>
  <c r="BL59" i="42"/>
  <c r="BL639" i="42"/>
  <c r="BL394" i="42"/>
  <c r="BI226" i="42"/>
  <c r="BK226" i="42" s="1"/>
  <c r="BI448" i="42"/>
  <c r="BK448" i="42" s="1"/>
  <c r="BI233" i="42"/>
  <c r="BK233" i="42" s="1"/>
  <c r="BL324" i="42"/>
  <c r="BL308" i="42"/>
  <c r="BI306" i="42"/>
  <c r="BK306" i="42" s="1"/>
  <c r="BL415" i="42"/>
  <c r="BI223" i="42"/>
  <c r="BK223" i="42" s="1"/>
  <c r="BI640" i="42"/>
  <c r="BK640" i="42" s="1"/>
  <c r="BI682" i="42"/>
  <c r="BK682" i="42" s="1"/>
  <c r="BI641" i="42"/>
  <c r="BK641" i="42" s="1"/>
  <c r="BI661" i="42"/>
  <c r="BK661" i="42" s="1"/>
  <c r="BL236" i="42"/>
  <c r="BL678" i="42"/>
  <c r="BL57" i="42"/>
  <c r="BL265" i="42"/>
  <c r="BI426" i="42"/>
  <c r="BK426" i="42" s="1"/>
  <c r="BL447" i="42"/>
  <c r="BI288" i="42"/>
  <c r="BK288" i="42" s="1"/>
  <c r="BI672" i="42"/>
  <c r="BK672" i="42" s="1"/>
  <c r="BI120" i="42"/>
  <c r="BK120" i="42" s="1"/>
  <c r="BI588" i="42"/>
  <c r="BK588" i="42" s="1"/>
  <c r="BL29" i="42"/>
  <c r="BL71" i="42"/>
  <c r="BL65" i="42"/>
  <c r="BL190" i="42"/>
  <c r="BI287" i="42"/>
  <c r="BK287" i="42" s="1"/>
  <c r="BL468" i="42"/>
  <c r="BL463" i="42"/>
  <c r="BI565" i="42"/>
  <c r="BK565" i="42" s="1"/>
  <c r="BL455" i="42"/>
  <c r="BL329" i="42"/>
  <c r="BI620" i="42"/>
  <c r="BK620" i="42" s="1"/>
  <c r="BL27" i="42"/>
  <c r="BI335" i="42"/>
  <c r="BK335" i="42" s="1"/>
  <c r="BL330" i="42"/>
  <c r="BI327" i="42"/>
  <c r="BK327" i="42" s="1"/>
  <c r="BI397" i="42"/>
  <c r="BK397" i="42" s="1"/>
  <c r="BL337" i="42"/>
  <c r="BI485" i="42"/>
  <c r="BK485" i="42" s="1"/>
  <c r="AR36" i="42"/>
  <c r="AT36" i="42" s="1"/>
  <c r="AR20" i="42"/>
  <c r="AT20" i="42" s="1"/>
  <c r="AU549" i="42"/>
  <c r="AU386" i="42"/>
  <c r="AU415" i="42"/>
  <c r="AU455" i="42"/>
  <c r="AU63" i="42"/>
  <c r="AR290" i="42"/>
  <c r="AT290" i="42" s="1"/>
  <c r="AU361" i="42"/>
  <c r="AR220" i="42"/>
  <c r="AT220" i="42" s="1"/>
  <c r="AR249" i="42"/>
  <c r="AT249" i="42" s="1"/>
  <c r="AU544" i="42"/>
  <c r="AR659" i="42"/>
  <c r="AT659" i="42" s="1"/>
  <c r="AR168" i="42"/>
  <c r="AT168" i="42" s="1"/>
  <c r="AU514" i="42"/>
  <c r="AU543" i="42"/>
  <c r="AU583" i="42"/>
  <c r="AU127" i="42"/>
  <c r="AR418" i="42"/>
  <c r="AT418" i="42" s="1"/>
  <c r="AU489" i="42"/>
  <c r="AR81" i="42"/>
  <c r="AT81" i="42" s="1"/>
  <c r="AR356" i="42"/>
  <c r="AT356" i="42" s="1"/>
  <c r="AU331" i="42"/>
  <c r="AU34" i="42"/>
  <c r="AU293" i="42"/>
  <c r="AU663" i="42"/>
  <c r="AU171" i="42"/>
  <c r="AR121" i="42"/>
  <c r="AT121" i="42" s="1"/>
  <c r="AU451" i="42"/>
  <c r="AR246" i="42"/>
  <c r="AT246" i="42" s="1"/>
  <c r="AU349" i="42"/>
  <c r="AR208" i="42"/>
  <c r="AT208" i="42" s="1"/>
  <c r="AU213" i="42"/>
  <c r="AU437" i="42"/>
  <c r="AR518" i="42"/>
  <c r="AT518" i="42" s="1"/>
  <c r="AR102" i="42"/>
  <c r="AT102" i="42" s="1"/>
  <c r="AU394" i="42"/>
  <c r="AR424" i="42"/>
  <c r="AT424" i="42" s="1"/>
  <c r="AU463" i="42"/>
  <c r="AU61" i="42"/>
  <c r="AR330" i="42"/>
  <c r="AT330" i="42" s="1"/>
  <c r="AR17" i="42"/>
  <c r="AT17" i="42" s="1"/>
  <c r="AR228" i="42"/>
  <c r="AT228" i="42" s="1"/>
  <c r="AU203" i="42"/>
  <c r="AR638" i="42"/>
  <c r="AT638" i="42" s="1"/>
  <c r="AU677" i="42"/>
  <c r="AR166" i="42"/>
  <c r="AT166" i="42" s="1"/>
  <c r="AU522" i="42"/>
  <c r="AR552" i="42"/>
  <c r="AT552" i="42" s="1"/>
  <c r="AU591" i="42"/>
  <c r="AU125" i="42"/>
  <c r="AR458" i="42"/>
  <c r="AT458" i="42" s="1"/>
  <c r="AU497" i="42"/>
  <c r="AR87" i="42"/>
  <c r="AT87" i="42" s="1"/>
  <c r="AU310" i="42"/>
  <c r="AU403" i="42"/>
  <c r="AR262" i="42"/>
  <c r="AT262" i="42" s="1"/>
  <c r="AU642" i="42"/>
  <c r="AU671" i="42"/>
  <c r="AR583" i="42"/>
  <c r="AT583" i="42" s="1"/>
  <c r="AU430" i="42"/>
  <c r="AU36" i="42"/>
  <c r="AU328" i="42"/>
  <c r="AR16" i="42"/>
  <c r="AT16" i="42" s="1"/>
  <c r="AR216" i="42"/>
  <c r="AT216" i="42" s="1"/>
  <c r="AR245" i="42"/>
  <c r="AT245" i="42" s="1"/>
  <c r="AR285" i="42"/>
  <c r="AT285" i="42" s="1"/>
  <c r="AU644" i="42"/>
  <c r="AU641" i="42"/>
  <c r="AR191" i="42"/>
  <c r="AT191" i="42" s="1"/>
  <c r="AU550" i="42"/>
  <c r="AU579" i="42"/>
  <c r="AU100" i="42"/>
  <c r="AU456" i="42"/>
  <c r="AR336" i="42"/>
  <c r="AT336" i="42" s="1"/>
  <c r="AR360" i="42"/>
  <c r="AT360" i="42" s="1"/>
  <c r="AR92" i="42"/>
  <c r="AT92" i="42" s="1"/>
  <c r="AR76" i="42"/>
  <c r="AT76" i="42" s="1"/>
  <c r="AU168" i="42"/>
  <c r="AR547" i="42"/>
  <c r="AT547" i="42" s="1"/>
  <c r="AR515" i="42"/>
  <c r="AT515" i="42" s="1"/>
  <c r="AR122" i="42"/>
  <c r="AT122" i="42" s="1"/>
  <c r="AR432" i="42"/>
  <c r="AT432" i="42" s="1"/>
  <c r="AR461" i="42"/>
  <c r="AT461" i="42" s="1"/>
  <c r="AU67" i="42"/>
  <c r="AU369" i="42"/>
  <c r="AR23" i="42"/>
  <c r="AT23" i="42" s="1"/>
  <c r="AU182" i="42"/>
  <c r="AU275" i="42"/>
  <c r="AR646" i="42"/>
  <c r="AT646" i="42" s="1"/>
  <c r="AR675" i="42"/>
  <c r="AT675" i="42" s="1"/>
  <c r="AR368" i="42"/>
  <c r="AT368" i="42" s="1"/>
  <c r="AU189" i="42"/>
  <c r="AR560" i="42"/>
  <c r="AT560" i="42" s="1"/>
  <c r="AR589" i="42"/>
  <c r="AT589" i="42" s="1"/>
  <c r="AU131" i="42"/>
  <c r="AR466" i="42"/>
  <c r="AT466" i="42" s="1"/>
  <c r="AU505" i="42"/>
  <c r="AR77" i="42"/>
  <c r="AT77" i="42" s="1"/>
  <c r="AR372" i="42"/>
  <c r="AT372" i="42" s="1"/>
  <c r="AU40" i="42"/>
  <c r="AR291" i="42"/>
  <c r="AT291" i="42" s="1"/>
  <c r="AU650" i="42"/>
  <c r="AU540" i="42"/>
  <c r="AR127" i="42"/>
  <c r="AT127" i="42" s="1"/>
  <c r="AR417" i="42"/>
  <c r="AT417" i="42" s="1"/>
  <c r="AU74" i="42"/>
  <c r="AR379" i="42"/>
  <c r="AT379" i="42" s="1"/>
  <c r="AR14" i="42"/>
  <c r="AT14" i="42" s="1"/>
  <c r="AR224" i="42"/>
  <c r="AT224" i="42" s="1"/>
  <c r="AU242" i="42"/>
  <c r="AR293" i="42"/>
  <c r="AT293" i="42" s="1"/>
  <c r="AU620" i="42"/>
  <c r="AR199" i="42"/>
  <c r="AT199" i="42" s="1"/>
  <c r="AU558" i="42"/>
  <c r="AR545" i="42"/>
  <c r="AT545" i="42" s="1"/>
  <c r="AU138" i="42"/>
  <c r="AR80" i="42"/>
  <c r="AT80" i="42" s="1"/>
  <c r="AR90" i="42"/>
  <c r="AT90" i="42" s="1"/>
  <c r="AR203" i="42"/>
  <c r="AT203" i="42" s="1"/>
  <c r="AR427" i="42"/>
  <c r="AT427" i="42" s="1"/>
  <c r="AU667" i="42"/>
  <c r="AR526" i="42"/>
  <c r="AT526" i="42" s="1"/>
  <c r="AR470" i="42"/>
  <c r="AT470" i="42" s="1"/>
  <c r="AU573" i="42"/>
  <c r="AR128" i="42"/>
  <c r="AT128" i="42" s="1"/>
  <c r="AR440" i="42"/>
  <c r="AT440" i="42" s="1"/>
  <c r="AR469" i="42"/>
  <c r="AT469" i="42" s="1"/>
  <c r="AR338" i="42"/>
  <c r="AT338" i="42" s="1"/>
  <c r="AU377" i="42"/>
  <c r="AR244" i="42"/>
  <c r="AT244" i="42" s="1"/>
  <c r="AU283" i="42"/>
  <c r="AR654" i="42"/>
  <c r="AT654" i="42" s="1"/>
  <c r="AR598" i="42"/>
  <c r="AT598" i="42" s="1"/>
  <c r="AR219" i="42"/>
  <c r="AT219" i="42" s="1"/>
  <c r="AR568" i="42"/>
  <c r="AT568" i="42" s="1"/>
  <c r="AR597" i="42"/>
  <c r="AT597" i="42" s="1"/>
  <c r="AU145" i="42"/>
  <c r="AU484" i="42"/>
  <c r="AU481" i="42"/>
  <c r="AR99" i="42"/>
  <c r="AT99" i="42" s="1"/>
  <c r="AU411" i="42"/>
  <c r="AR270" i="42"/>
  <c r="AT270" i="42" s="1"/>
  <c r="AR539" i="42"/>
  <c r="AT539" i="42" s="1"/>
  <c r="AU199" i="42"/>
  <c r="AR591" i="42"/>
  <c r="AT591" i="42" s="1"/>
  <c r="AR396" i="42"/>
  <c r="AT396" i="42" s="1"/>
  <c r="AR489" i="42"/>
  <c r="AT489" i="42" s="1"/>
  <c r="AU336" i="42"/>
  <c r="AU365" i="42"/>
  <c r="AU399" i="42"/>
  <c r="AR34" i="42"/>
  <c r="AT34" i="42" s="1"/>
  <c r="AU250" i="42"/>
  <c r="AU279" i="42"/>
  <c r="AU660" i="42"/>
  <c r="AR207" i="42"/>
  <c r="AT207" i="42" s="1"/>
  <c r="AR524" i="42"/>
  <c r="AT524" i="42" s="1"/>
  <c r="AR617" i="42"/>
  <c r="AT617" i="42" s="1"/>
  <c r="AR507" i="42"/>
  <c r="AT507" i="42" s="1"/>
  <c r="AU509" i="42"/>
  <c r="AR148" i="42"/>
  <c r="AT148" i="42" s="1"/>
  <c r="AR132" i="42"/>
  <c r="AT132" i="42" s="1"/>
  <c r="AU646" i="42"/>
  <c r="AU174" i="42"/>
  <c r="AU148" i="42"/>
  <c r="AU552" i="42"/>
  <c r="AR603" i="42"/>
  <c r="AT603" i="42" s="1"/>
  <c r="AR126" i="42"/>
  <c r="AT126" i="42" s="1"/>
  <c r="AR448" i="42"/>
  <c r="AT448" i="42" s="1"/>
  <c r="AU81" i="42"/>
  <c r="AU356" i="42"/>
  <c r="AU353" i="42"/>
  <c r="AR35" i="42"/>
  <c r="AT35" i="42" s="1"/>
  <c r="AU262" i="42"/>
  <c r="AU291" i="42"/>
  <c r="AR257" i="42"/>
  <c r="AT257" i="42" s="1"/>
  <c r="AU680" i="42"/>
  <c r="AU176" i="42"/>
  <c r="AU205" i="42"/>
  <c r="AR576" i="42"/>
  <c r="AT576" i="42" s="1"/>
  <c r="AR637" i="42"/>
  <c r="AT637" i="42" s="1"/>
  <c r="AU151" i="42"/>
  <c r="AU460" i="42"/>
  <c r="AR543" i="42"/>
  <c r="AT543" i="42" s="1"/>
  <c r="AU390" i="42"/>
  <c r="AU46" i="42"/>
  <c r="AR510" i="42"/>
  <c r="AT510" i="42" s="1"/>
  <c r="AR570" i="42"/>
  <c r="AT570" i="42" s="1"/>
  <c r="AR117" i="42"/>
  <c r="AT117" i="42" s="1"/>
  <c r="AU446" i="42"/>
  <c r="AU80" i="42"/>
  <c r="AU344" i="42"/>
  <c r="AU288" i="42"/>
  <c r="AR403" i="42"/>
  <c r="AT403" i="42" s="1"/>
  <c r="AR40" i="42"/>
  <c r="AT40" i="42" s="1"/>
  <c r="AU258" i="42"/>
  <c r="AU287" i="42"/>
  <c r="AU668" i="42"/>
  <c r="AR186" i="42"/>
  <c r="AT186" i="42" s="1"/>
  <c r="AR183" i="42"/>
  <c r="AT183" i="42" s="1"/>
  <c r="AU574" i="42"/>
  <c r="AU464" i="42"/>
  <c r="AU488" i="42"/>
  <c r="AU405" i="42"/>
  <c r="AR295" i="42"/>
  <c r="AT295" i="42" s="1"/>
  <c r="AU675" i="42"/>
  <c r="AR641" i="42"/>
  <c r="AT641" i="42" s="1"/>
  <c r="AR201" i="42"/>
  <c r="AT201" i="42" s="1"/>
  <c r="AU560" i="42"/>
  <c r="AU589" i="42"/>
  <c r="AU346" i="42"/>
  <c r="AR509" i="42"/>
  <c r="AT509" i="42" s="1"/>
  <c r="AU87" i="42"/>
  <c r="AU332" i="42"/>
  <c r="AR415" i="42"/>
  <c r="AT415" i="42" s="1"/>
  <c r="AR41" i="42"/>
  <c r="AT41" i="42" s="1"/>
  <c r="AU270" i="42"/>
  <c r="AR236" i="42"/>
  <c r="AT236" i="42" s="1"/>
  <c r="AR329" i="42"/>
  <c r="AT329" i="42" s="1"/>
  <c r="AU184" i="42"/>
  <c r="AU249" i="42"/>
  <c r="AU594" i="42"/>
  <c r="AR645" i="42"/>
  <c r="AT645" i="42" s="1"/>
  <c r="AU149" i="42"/>
  <c r="AU500" i="42"/>
  <c r="AR105" i="42"/>
  <c r="AT105" i="42" s="1"/>
  <c r="AU419" i="42"/>
  <c r="AU244" i="42"/>
  <c r="AR680" i="42"/>
  <c r="AT680" i="42" s="1"/>
  <c r="AU207" i="42"/>
  <c r="AR567" i="42"/>
  <c r="AT567" i="42" s="1"/>
  <c r="AR139" i="42"/>
  <c r="AT139" i="42" s="1"/>
  <c r="AR497" i="42"/>
  <c r="AT497" i="42" s="1"/>
  <c r="AU181" i="42"/>
  <c r="AR395" i="42"/>
  <c r="AT395" i="42" s="1"/>
  <c r="AU252" i="42"/>
  <c r="AU654" i="42"/>
  <c r="AR620" i="42"/>
  <c r="AT620" i="42" s="1"/>
  <c r="AR209" i="42"/>
  <c r="AT209" i="42" s="1"/>
  <c r="AU568" i="42"/>
  <c r="AR657" i="42"/>
  <c r="AT657" i="42" s="1"/>
  <c r="AU466" i="42"/>
  <c r="AR517" i="42"/>
  <c r="AT517" i="42" s="1"/>
  <c r="AU85" i="42"/>
  <c r="AU372" i="42"/>
  <c r="AR423" i="42"/>
  <c r="AT423" i="42" s="1"/>
  <c r="AR47" i="42"/>
  <c r="AT47" i="42" s="1"/>
  <c r="AR37" i="42"/>
  <c r="AT37" i="42" s="1"/>
  <c r="AU286" i="42"/>
  <c r="AR337" i="42"/>
  <c r="AT337" i="42" s="1"/>
  <c r="AU643" i="42"/>
  <c r="AR243" i="42"/>
  <c r="AT243" i="42" s="1"/>
  <c r="AU602" i="42"/>
  <c r="AU631" i="42"/>
  <c r="AU155" i="42"/>
  <c r="AR551" i="42"/>
  <c r="AT551" i="42" s="1"/>
  <c r="AU398" i="42"/>
  <c r="AR214" i="42"/>
  <c r="AT214" i="42" s="1"/>
  <c r="AU317" i="42"/>
  <c r="AR176" i="42"/>
  <c r="AT176" i="42" s="1"/>
  <c r="AR546" i="42"/>
  <c r="AT546" i="42" s="1"/>
  <c r="AU617" i="42"/>
  <c r="AR476" i="42"/>
  <c r="AT476" i="42" s="1"/>
  <c r="AR505" i="42"/>
  <c r="AT505" i="42" s="1"/>
  <c r="AU459" i="42"/>
  <c r="AU98" i="42"/>
  <c r="AR390" i="42"/>
  <c r="AT390" i="42" s="1"/>
  <c r="AR419" i="42"/>
  <c r="AT419" i="42" s="1"/>
  <c r="AU493" i="42"/>
  <c r="AR296" i="42"/>
  <c r="AT296" i="42" s="1"/>
  <c r="AU335" i="42"/>
  <c r="AR674" i="42"/>
  <c r="AT674" i="42" s="1"/>
  <c r="AR202" i="42"/>
  <c r="AT202" i="42" s="1"/>
  <c r="AR625" i="42"/>
  <c r="AT625" i="42" s="1"/>
  <c r="AR649" i="42"/>
  <c r="AT649" i="42" s="1"/>
  <c r="AU373" i="42"/>
  <c r="AU41" i="42"/>
  <c r="AR303" i="42"/>
  <c r="AT303" i="42" s="1"/>
  <c r="AR279" i="42"/>
  <c r="AT279" i="42" s="1"/>
  <c r="AU670" i="42"/>
  <c r="AR188" i="42"/>
  <c r="AT188" i="42" s="1"/>
  <c r="AR217" i="42"/>
  <c r="AT217" i="42" s="1"/>
  <c r="AU383" i="42"/>
  <c r="AR146" i="42"/>
  <c r="AT146" i="42" s="1"/>
  <c r="AU474" i="42"/>
  <c r="AU503" i="42"/>
  <c r="AU91" i="42"/>
  <c r="AU380" i="42"/>
  <c r="AR431" i="42"/>
  <c r="AT431" i="42" s="1"/>
  <c r="AR407" i="42"/>
  <c r="AT407" i="42" s="1"/>
  <c r="AR59" i="42"/>
  <c r="AT59" i="42" s="1"/>
  <c r="AR316" i="42"/>
  <c r="AT316" i="42" s="1"/>
  <c r="AR345" i="42"/>
  <c r="AT345" i="42" s="1"/>
  <c r="AU640" i="42"/>
  <c r="AR222" i="42"/>
  <c r="AT222" i="42" s="1"/>
  <c r="AU261" i="42"/>
  <c r="AU610" i="42"/>
  <c r="AU639" i="42"/>
  <c r="AU508" i="42"/>
  <c r="AR111" i="42"/>
  <c r="AT111" i="42" s="1"/>
  <c r="AU20" i="42"/>
  <c r="AU296" i="42"/>
  <c r="AR205" i="42"/>
  <c r="AT205" i="42" s="1"/>
  <c r="AR586" i="42"/>
  <c r="AT586" i="42" s="1"/>
  <c r="AR145" i="42"/>
  <c r="AT145" i="42" s="1"/>
  <c r="AR484" i="42"/>
  <c r="AT484" i="42" s="1"/>
  <c r="AU438" i="42"/>
  <c r="AU531" i="42"/>
  <c r="AU104" i="42"/>
  <c r="AR398" i="42"/>
  <c r="AT398" i="42" s="1"/>
  <c r="AR86" i="42"/>
  <c r="AT86" i="42" s="1"/>
  <c r="AR58" i="42"/>
  <c r="AT58" i="42" s="1"/>
  <c r="AR304" i="42"/>
  <c r="AT304" i="42" s="1"/>
  <c r="AR333" i="42"/>
  <c r="AT333" i="42" s="1"/>
  <c r="AR604" i="42"/>
  <c r="AT604" i="42" s="1"/>
  <c r="AU606" i="42"/>
  <c r="AU661" i="42"/>
  <c r="AR44" i="42"/>
  <c r="AT44" i="42" s="1"/>
  <c r="AU423" i="42"/>
  <c r="AR282" i="42"/>
  <c r="AT282" i="42" s="1"/>
  <c r="AR258" i="42"/>
  <c r="AT258" i="42" s="1"/>
  <c r="AU329" i="42"/>
  <c r="AR196" i="42"/>
  <c r="AT196" i="42" s="1"/>
  <c r="AU512" i="42"/>
  <c r="AR627" i="42"/>
  <c r="AT627" i="42" s="1"/>
  <c r="AR152" i="42"/>
  <c r="AT152" i="42" s="1"/>
  <c r="AU482" i="42"/>
  <c r="AU511" i="42"/>
  <c r="AU105" i="42"/>
  <c r="AR410" i="42"/>
  <c r="AT410" i="42" s="1"/>
  <c r="AR386" i="42"/>
  <c r="AT386" i="42" s="1"/>
  <c r="AU457" i="42"/>
  <c r="AR65" i="42"/>
  <c r="AT65" i="42" s="1"/>
  <c r="AR324" i="42"/>
  <c r="AT324" i="42" s="1"/>
  <c r="AU299" i="42"/>
  <c r="AU18" i="42"/>
  <c r="AR230" i="42"/>
  <c r="AT230" i="42" s="1"/>
  <c r="AR259" i="42"/>
  <c r="AT259" i="42" s="1"/>
  <c r="AU618" i="42"/>
  <c r="AU169" i="42"/>
  <c r="AR559" i="42"/>
  <c r="AT559" i="42" s="1"/>
  <c r="AR385" i="42"/>
  <c r="AT385" i="42" s="1"/>
  <c r="AU58" i="42"/>
  <c r="AR347" i="42"/>
  <c r="AT347" i="42" s="1"/>
  <c r="AR184" i="42"/>
  <c r="AT184" i="42" s="1"/>
  <c r="AR213" i="42"/>
  <c r="AT213" i="42" s="1"/>
  <c r="AU625" i="42"/>
  <c r="AR151" i="42"/>
  <c r="AT151" i="42" s="1"/>
  <c r="AR141" i="42"/>
  <c r="AT141" i="42" s="1"/>
  <c r="AR500" i="42"/>
  <c r="AT500" i="42" s="1"/>
  <c r="AU539" i="42"/>
  <c r="AU110" i="42"/>
  <c r="AR342" i="42"/>
  <c r="AT342" i="42" s="1"/>
  <c r="AU445" i="42"/>
  <c r="AR64" i="42"/>
  <c r="AT64" i="42" s="1"/>
  <c r="AR312" i="42"/>
  <c r="AT312" i="42" s="1"/>
  <c r="AR341" i="42"/>
  <c r="AT341" i="42" s="1"/>
  <c r="AU241" i="42"/>
  <c r="AU265" i="42"/>
  <c r="AR60" i="42"/>
  <c r="AT60" i="42" s="1"/>
  <c r="AR363" i="42"/>
  <c r="AT363" i="42" s="1"/>
  <c r="AR392" i="42"/>
  <c r="AT392" i="42" s="1"/>
  <c r="AU47" i="42"/>
  <c r="AU45" i="42"/>
  <c r="AR298" i="42"/>
  <c r="AT298" i="42" s="1"/>
  <c r="AU337" i="42"/>
  <c r="AU172" i="42"/>
  <c r="AR606" i="42"/>
  <c r="AT606" i="42" s="1"/>
  <c r="AU645" i="42"/>
  <c r="AR150" i="42"/>
  <c r="AT150" i="42" s="1"/>
  <c r="AU490" i="42"/>
  <c r="AU551" i="42"/>
  <c r="AU111" i="42"/>
  <c r="AU109" i="42"/>
  <c r="AR426" i="42"/>
  <c r="AT426" i="42" s="1"/>
  <c r="AU465" i="42"/>
  <c r="AR71" i="42"/>
  <c r="AT71" i="42" s="1"/>
  <c r="AU278" i="42"/>
  <c r="AU371" i="42"/>
  <c r="AU24" i="42"/>
  <c r="AR238" i="42"/>
  <c r="AT238" i="42" s="1"/>
  <c r="AU228" i="42"/>
  <c r="AU679" i="42"/>
  <c r="AR538" i="42"/>
  <c r="AT538" i="42" s="1"/>
  <c r="AR364" i="42"/>
  <c r="AT364" i="42" s="1"/>
  <c r="AR457" i="42"/>
  <c r="AT457" i="42" s="1"/>
  <c r="AU304" i="42"/>
  <c r="AR192" i="42"/>
  <c r="AT192" i="42" s="1"/>
  <c r="AR594" i="42"/>
  <c r="AT594" i="42" s="1"/>
  <c r="AR651" i="42"/>
  <c r="AT651" i="42" s="1"/>
  <c r="AR100" i="42"/>
  <c r="AT100" i="42" s="1"/>
  <c r="AR106" i="42"/>
  <c r="AT106" i="42" s="1"/>
  <c r="AU431" i="42"/>
  <c r="AR429" i="42"/>
  <c r="AT429" i="42" s="1"/>
  <c r="AU51" i="42"/>
  <c r="AR306" i="42"/>
  <c r="AT306" i="42" s="1"/>
  <c r="AU345" i="42"/>
  <c r="AU243" i="42"/>
  <c r="AR614" i="42"/>
  <c r="AT614" i="42" s="1"/>
  <c r="AR643" i="42"/>
  <c r="AT643" i="42" s="1"/>
  <c r="AR577" i="42"/>
  <c r="AT577" i="42" s="1"/>
  <c r="AR520" i="42"/>
  <c r="AT520" i="42" s="1"/>
  <c r="AU559" i="42"/>
  <c r="AR557" i="42"/>
  <c r="AT557" i="42" s="1"/>
  <c r="AU115" i="42"/>
  <c r="AR434" i="42"/>
  <c r="AT434" i="42" s="1"/>
  <c r="AU473" i="42"/>
  <c r="AR61" i="42"/>
  <c r="AT61" i="42" s="1"/>
  <c r="AR340" i="42"/>
  <c r="AT340" i="42" s="1"/>
  <c r="AU379" i="42"/>
  <c r="AU30" i="42"/>
  <c r="AU225" i="42"/>
  <c r="AR648" i="42"/>
  <c r="AT648" i="42" s="1"/>
  <c r="AU175" i="42"/>
  <c r="AR101" i="42"/>
  <c r="AT101" i="42" s="1"/>
  <c r="AU414" i="42"/>
  <c r="AU64" i="42"/>
  <c r="AU333" i="42"/>
  <c r="AR253" i="42"/>
  <c r="AT253" i="42" s="1"/>
  <c r="AR116" i="42"/>
  <c r="AT116" i="42" s="1"/>
  <c r="AR438" i="42"/>
  <c r="AT438" i="42" s="1"/>
  <c r="AU541" i="42"/>
  <c r="AR400" i="42"/>
  <c r="AT400" i="42" s="1"/>
  <c r="AR408" i="42"/>
  <c r="AT408" i="42" s="1"/>
  <c r="AR437" i="42"/>
  <c r="AT437" i="42" s="1"/>
  <c r="AU65" i="42"/>
  <c r="AU324" i="42"/>
  <c r="AU662" i="42"/>
  <c r="AR212" i="42"/>
  <c r="AT212" i="42" s="1"/>
  <c r="AU251" i="42"/>
  <c r="AR622" i="42"/>
  <c r="AT622" i="42" s="1"/>
  <c r="AU158" i="42"/>
  <c r="AR170" i="42"/>
  <c r="AT170" i="42" s="1"/>
  <c r="AR528" i="42"/>
  <c r="AT528" i="42" s="1"/>
  <c r="AR536" i="42"/>
  <c r="AT536" i="42" s="1"/>
  <c r="AR565" i="42"/>
  <c r="AT565" i="42" s="1"/>
  <c r="AU129" i="42"/>
  <c r="AU452" i="42"/>
  <c r="AU449" i="42"/>
  <c r="AR83" i="42"/>
  <c r="AT83" i="42" s="1"/>
  <c r="AU358" i="42"/>
  <c r="AU387" i="42"/>
  <c r="AR182" i="42"/>
  <c r="AT182" i="42" s="1"/>
  <c r="AU285" i="42"/>
  <c r="AR535" i="42"/>
  <c r="AT535" i="42" s="1"/>
  <c r="AR123" i="42"/>
  <c r="AT123" i="42" s="1"/>
  <c r="AR465" i="42"/>
  <c r="AT465" i="42" s="1"/>
  <c r="AU312" i="42"/>
  <c r="AU23" i="42"/>
  <c r="AU210" i="42"/>
  <c r="AU629" i="42"/>
  <c r="AU132" i="42"/>
  <c r="AU520" i="42"/>
  <c r="AR112" i="42"/>
  <c r="AT112" i="42" s="1"/>
  <c r="AR110" i="42"/>
  <c r="AT110" i="42" s="1"/>
  <c r="AR416" i="42"/>
  <c r="AT416" i="42" s="1"/>
  <c r="AR477" i="42"/>
  <c r="AT477" i="42" s="1"/>
  <c r="AU71" i="42"/>
  <c r="AU321" i="42"/>
  <c r="AR19" i="42"/>
  <c r="AT19" i="42" s="1"/>
  <c r="AU230" i="42"/>
  <c r="AU259" i="42"/>
  <c r="AR566" i="42"/>
  <c r="AT566" i="42" s="1"/>
  <c r="AU669" i="42"/>
  <c r="AR187" i="42"/>
  <c r="AT187" i="42" s="1"/>
  <c r="AR174" i="42"/>
  <c r="AT174" i="42" s="1"/>
  <c r="AR544" i="42"/>
  <c r="AT544" i="42" s="1"/>
  <c r="AR605" i="42"/>
  <c r="AT605" i="42" s="1"/>
  <c r="AU135" i="42"/>
  <c r="AU428" i="42"/>
  <c r="AR511" i="42"/>
  <c r="AT511" i="42" s="1"/>
  <c r="AR89" i="42"/>
  <c r="AT89" i="42" s="1"/>
  <c r="AU366" i="42"/>
  <c r="AU264" i="42"/>
  <c r="AR656" i="42"/>
  <c r="AT656" i="42" s="1"/>
  <c r="AR514" i="42"/>
  <c r="AT514" i="42" s="1"/>
  <c r="AU585" i="42"/>
  <c r="AR444" i="42"/>
  <c r="AT444" i="42" s="1"/>
  <c r="AU70" i="42"/>
  <c r="AU21" i="42"/>
  <c r="AR18" i="42"/>
  <c r="AT18" i="42" s="1"/>
  <c r="AU533" i="42"/>
  <c r="AU166" i="42"/>
  <c r="AU27" i="42"/>
  <c r="AR114" i="42"/>
  <c r="AT114" i="42" s="1"/>
  <c r="AR120" i="42"/>
  <c r="AT120" i="42" s="1"/>
  <c r="AU418" i="42"/>
  <c r="AU447" i="42"/>
  <c r="AU73" i="42"/>
  <c r="AR367" i="42"/>
  <c r="AT367" i="42" s="1"/>
  <c r="AU222" i="42"/>
  <c r="AR273" i="42"/>
  <c r="AT273" i="42" s="1"/>
  <c r="AU632" i="42"/>
  <c r="AU354" i="42"/>
  <c r="AR179" i="42"/>
  <c r="AT179" i="42" s="1"/>
  <c r="AU197" i="42"/>
  <c r="AU546" i="42"/>
  <c r="AU575" i="42"/>
  <c r="AU137" i="42"/>
  <c r="AR474" i="42"/>
  <c r="AT474" i="42" s="1"/>
  <c r="AR471" i="42"/>
  <c r="AT471" i="42" s="1"/>
  <c r="AR91" i="42"/>
  <c r="AT91" i="42" s="1"/>
  <c r="AR380" i="42"/>
  <c r="AT380" i="42" s="1"/>
  <c r="AU38" i="42"/>
  <c r="AU362" i="42"/>
  <c r="AU658" i="42"/>
  <c r="AU548" i="42"/>
  <c r="AR109" i="42"/>
  <c r="AT109" i="42" s="1"/>
  <c r="AR436" i="42"/>
  <c r="AT436" i="42" s="1"/>
  <c r="AU72" i="42"/>
  <c r="AR355" i="42"/>
  <c r="AT355" i="42" s="1"/>
  <c r="AR299" i="42"/>
  <c r="AT299" i="42" s="1"/>
  <c r="AR523" i="42"/>
  <c r="AT523" i="42" s="1"/>
  <c r="AR665" i="42"/>
  <c r="AT665" i="42" s="1"/>
  <c r="AU448" i="42"/>
  <c r="AR563" i="42"/>
  <c r="AT563" i="42" s="1"/>
  <c r="AU581" i="42"/>
  <c r="AR118" i="42"/>
  <c r="AT118" i="42" s="1"/>
  <c r="AU426" i="42"/>
  <c r="AU487" i="42"/>
  <c r="AR346" i="42"/>
  <c r="AT346" i="42" s="1"/>
  <c r="AR343" i="42"/>
  <c r="AT343" i="42" s="1"/>
  <c r="AR27" i="42"/>
  <c r="AT27" i="42" s="1"/>
  <c r="AR252" i="42"/>
  <c r="AT252" i="42" s="1"/>
  <c r="AR281" i="42"/>
  <c r="AT281" i="42" s="1"/>
  <c r="AU576" i="42"/>
  <c r="AR195" i="42"/>
  <c r="AT195" i="42" s="1"/>
  <c r="AU554" i="42"/>
  <c r="AU615" i="42"/>
  <c r="AU143" i="42"/>
  <c r="AR450" i="42"/>
  <c r="AT450" i="42" s="1"/>
  <c r="AU521" i="42"/>
  <c r="AR97" i="42"/>
  <c r="AT97" i="42" s="1"/>
  <c r="AR409" i="42"/>
  <c r="AT409" i="42" s="1"/>
  <c r="AU192" i="42"/>
  <c r="AR307" i="42"/>
  <c r="AT307" i="42" s="1"/>
  <c r="AR197" i="42"/>
  <c r="AT197" i="42" s="1"/>
  <c r="AU545" i="42"/>
  <c r="AR131" i="42"/>
  <c r="AT131" i="42" s="1"/>
  <c r="AU475" i="42"/>
  <c r="AR334" i="42"/>
  <c r="AT334" i="42" s="1"/>
  <c r="AU375" i="42"/>
  <c r="AR26" i="42"/>
  <c r="AT26" i="42" s="1"/>
  <c r="AR32" i="42"/>
  <c r="AT32" i="42" s="1"/>
  <c r="AR248" i="42"/>
  <c r="AT248" i="42" s="1"/>
  <c r="AR277" i="42"/>
  <c r="AT277" i="42" s="1"/>
  <c r="AR658" i="42"/>
  <c r="AT658" i="42" s="1"/>
  <c r="AR173" i="42"/>
  <c r="AT173" i="42" s="1"/>
  <c r="AR564" i="42"/>
  <c r="AT564" i="42" s="1"/>
  <c r="AU603" i="42"/>
  <c r="AR483" i="42"/>
  <c r="AT483" i="42" s="1"/>
  <c r="AU517" i="42"/>
  <c r="AR68" i="42"/>
  <c r="AT68" i="42" s="1"/>
  <c r="AR52" i="42"/>
  <c r="AT52" i="42" s="1"/>
  <c r="AR644" i="42"/>
  <c r="AT644" i="42" s="1"/>
  <c r="AU140" i="42"/>
  <c r="AR542" i="42"/>
  <c r="AT542" i="42" s="1"/>
  <c r="AR550" i="42"/>
  <c r="AT550" i="42" s="1"/>
  <c r="AR579" i="42"/>
  <c r="AT579" i="42" s="1"/>
  <c r="AU124" i="42"/>
  <c r="AR456" i="42"/>
  <c r="AT456" i="42" s="1"/>
  <c r="AU79" i="42"/>
  <c r="AR322" i="42"/>
  <c r="AT322" i="42" s="1"/>
  <c r="AU393" i="42"/>
  <c r="AR33" i="42"/>
  <c r="AT33" i="42" s="1"/>
  <c r="AR260" i="42"/>
  <c r="AT260" i="42" s="1"/>
  <c r="AU235" i="42"/>
  <c r="AR670" i="42"/>
  <c r="AT670" i="42" s="1"/>
  <c r="AR678" i="42"/>
  <c r="AT678" i="42" s="1"/>
  <c r="AU472" i="42"/>
  <c r="AR584" i="42"/>
  <c r="AT584" i="42" s="1"/>
  <c r="AU623" i="42"/>
  <c r="AU141" i="42"/>
  <c r="AR490" i="42"/>
  <c r="AT490" i="42" s="1"/>
  <c r="AU529" i="42"/>
  <c r="AR388" i="42"/>
  <c r="AT388" i="42" s="1"/>
  <c r="AR286" i="42"/>
  <c r="AT286" i="42" s="1"/>
  <c r="AU524" i="42"/>
  <c r="AR607" i="42"/>
  <c r="AT607" i="42" s="1"/>
  <c r="AU454" i="42"/>
  <c r="AU78" i="42"/>
  <c r="AU277" i="42"/>
  <c r="AU501" i="42"/>
  <c r="AU281" i="42"/>
  <c r="AU619" i="42"/>
  <c r="AU179" i="42"/>
  <c r="AU187" i="42"/>
  <c r="AR558" i="42"/>
  <c r="AT558" i="42" s="1"/>
  <c r="AR98" i="42"/>
  <c r="AT98" i="42" s="1"/>
  <c r="AR138" i="42"/>
  <c r="AT138" i="42" s="1"/>
  <c r="AU495" i="42"/>
  <c r="AU77" i="42"/>
  <c r="AR362" i="42"/>
  <c r="AT362" i="42" s="1"/>
  <c r="AU401" i="42"/>
  <c r="AR39" i="42"/>
  <c r="AT39" i="42" s="1"/>
  <c r="AU214" i="42"/>
  <c r="AU307" i="42"/>
  <c r="AU315" i="42"/>
  <c r="AR531" i="42"/>
  <c r="AT531" i="42" s="1"/>
  <c r="AU221" i="42"/>
  <c r="AR592" i="42"/>
  <c r="AT592" i="42" s="1"/>
  <c r="AR621" i="42"/>
  <c r="AT621" i="42" s="1"/>
  <c r="AU147" i="42"/>
  <c r="AR498" i="42"/>
  <c r="AT498" i="42" s="1"/>
  <c r="AR103" i="42"/>
  <c r="AT103" i="42" s="1"/>
  <c r="AU363" i="42"/>
  <c r="AU50" i="42"/>
  <c r="AU666" i="42"/>
  <c r="AU183" i="42"/>
  <c r="AU564" i="42"/>
  <c r="AR137" i="42"/>
  <c r="AT137" i="42" s="1"/>
  <c r="AU483" i="42"/>
  <c r="AR124" i="42"/>
  <c r="AT124" i="42" s="1"/>
  <c r="AR108" i="42"/>
  <c r="AT108" i="42" s="1"/>
  <c r="AU260" i="42"/>
  <c r="AU598" i="42"/>
  <c r="AU195" i="42"/>
  <c r="AR502" i="42"/>
  <c r="AT502" i="42" s="1"/>
  <c r="AU605" i="42"/>
  <c r="AR464" i="42"/>
  <c r="AT464" i="42" s="1"/>
  <c r="AR493" i="42"/>
  <c r="AT493" i="42" s="1"/>
  <c r="AU83" i="42"/>
  <c r="AR370" i="42"/>
  <c r="AT370" i="42" s="1"/>
  <c r="AU409" i="42"/>
  <c r="AR29" i="42"/>
  <c r="AT29" i="42" s="1"/>
  <c r="AR276" i="42"/>
  <c r="AT276" i="42" s="1"/>
  <c r="AU294" i="42"/>
  <c r="AU323" i="42"/>
  <c r="AR630" i="42"/>
  <c r="AT630" i="42" s="1"/>
  <c r="AU200" i="42"/>
  <c r="AR251" i="42"/>
  <c r="AT251" i="42" s="1"/>
  <c r="AR600" i="42"/>
  <c r="AT600" i="42" s="1"/>
  <c r="AR629" i="42"/>
  <c r="AT629" i="42" s="1"/>
  <c r="AU161" i="42"/>
  <c r="AU537" i="42"/>
  <c r="AU342" i="42"/>
  <c r="AU435" i="42"/>
  <c r="AU325" i="42"/>
  <c r="AU191" i="42"/>
  <c r="AR615" i="42"/>
  <c r="AT615" i="42" s="1"/>
  <c r="AU462" i="42"/>
  <c r="AR267" i="42"/>
  <c r="AT267" i="42" s="1"/>
  <c r="AR491" i="42"/>
  <c r="AT491" i="42" s="1"/>
  <c r="AU39" i="42"/>
  <c r="AU257" i="42"/>
  <c r="AR660" i="42"/>
  <c r="AT660" i="42" s="1"/>
  <c r="AU678" i="42"/>
  <c r="AU164" i="42"/>
  <c r="AU584" i="42"/>
  <c r="AR144" i="42"/>
  <c r="AT144" i="42" s="1"/>
  <c r="AR472" i="42"/>
  <c r="AT472" i="42" s="1"/>
  <c r="AR501" i="42"/>
  <c r="AT501" i="42" s="1"/>
  <c r="AU97" i="42"/>
  <c r="AU388" i="42"/>
  <c r="AU385" i="42"/>
  <c r="AR51" i="42"/>
  <c r="AT51" i="42" s="1"/>
  <c r="AR57" i="42"/>
  <c r="AT57" i="42" s="1"/>
  <c r="AU302" i="42"/>
  <c r="AR289" i="42"/>
  <c r="AT289" i="42" s="1"/>
  <c r="AU208" i="42"/>
  <c r="AU237" i="42"/>
  <c r="AR608" i="42"/>
  <c r="AT608" i="42" s="1"/>
  <c r="AR669" i="42"/>
  <c r="AT669" i="42" s="1"/>
  <c r="AU516" i="42"/>
  <c r="AR93" i="42"/>
  <c r="AT93" i="42" s="1"/>
  <c r="AR404" i="42"/>
  <c r="AT404" i="42" s="1"/>
  <c r="AR294" i="42"/>
  <c r="AT294" i="42" s="1"/>
  <c r="AU674" i="42"/>
  <c r="AU572" i="42"/>
  <c r="AR143" i="42"/>
  <c r="AT143" i="42" s="1"/>
  <c r="AU245" i="42"/>
  <c r="AR164" i="42"/>
  <c r="AT164" i="42" s="1"/>
  <c r="AR421" i="42"/>
  <c r="AT421" i="42" s="1"/>
  <c r="AU236" i="42"/>
  <c r="AR319" i="42"/>
  <c r="AT319" i="42" s="1"/>
  <c r="AR327" i="42"/>
  <c r="AT327" i="42" s="1"/>
  <c r="AR673" i="42"/>
  <c r="AT673" i="42" s="1"/>
  <c r="AR233" i="42"/>
  <c r="AT233" i="42" s="1"/>
  <c r="AR635" i="42"/>
  <c r="AT635" i="42" s="1"/>
  <c r="AR142" i="42"/>
  <c r="AT142" i="42" s="1"/>
  <c r="AR480" i="42"/>
  <c r="AT480" i="42" s="1"/>
  <c r="AR541" i="42"/>
  <c r="AT541" i="42" s="1"/>
  <c r="AU103" i="42"/>
  <c r="AU364" i="42"/>
  <c r="AR447" i="42"/>
  <c r="AT447" i="42" s="1"/>
  <c r="AR455" i="42"/>
  <c r="AT455" i="42" s="1"/>
  <c r="AR63" i="42"/>
  <c r="AT63" i="42" s="1"/>
  <c r="AR268" i="42"/>
  <c r="AT268" i="42" s="1"/>
  <c r="AR361" i="42"/>
  <c r="AT361" i="42" s="1"/>
  <c r="AU16" i="42"/>
  <c r="AU216" i="42"/>
  <c r="AU587" i="42"/>
  <c r="AU626" i="42"/>
  <c r="AU167" i="42"/>
  <c r="AU513" i="42"/>
  <c r="AR115" i="42"/>
  <c r="AT115" i="42" s="1"/>
  <c r="AU56" i="42"/>
  <c r="AR323" i="42"/>
  <c r="AT323" i="42" s="1"/>
  <c r="AU682" i="42"/>
  <c r="AU231" i="42"/>
  <c r="AR623" i="42"/>
  <c r="AT623" i="42" s="1"/>
  <c r="AU341" i="42"/>
  <c r="AU469" i="42"/>
  <c r="AU378" i="42"/>
  <c r="AU37" i="42"/>
  <c r="AU276" i="42"/>
  <c r="AU284" i="42"/>
  <c r="AR335" i="42"/>
  <c r="AT335" i="42" s="1"/>
  <c r="AR652" i="42"/>
  <c r="AT652" i="42" s="1"/>
  <c r="AU190" i="42"/>
  <c r="AU592" i="42"/>
  <c r="AU621" i="42"/>
  <c r="AU566" i="42"/>
  <c r="AU498" i="42"/>
  <c r="AR549" i="42"/>
  <c r="AT549" i="42" s="1"/>
  <c r="AU101" i="42"/>
  <c r="AU404" i="42"/>
  <c r="AU412" i="42"/>
  <c r="AR463" i="42"/>
  <c r="AT463" i="42" s="1"/>
  <c r="AR53" i="42"/>
  <c r="AT53" i="42" s="1"/>
  <c r="AU318" i="42"/>
  <c r="AR369" i="42"/>
  <c r="AT369" i="42" s="1"/>
  <c r="AU22" i="42"/>
  <c r="AU162" i="42"/>
  <c r="AR275" i="42"/>
  <c r="AT275" i="42" s="1"/>
  <c r="AR677" i="42"/>
  <c r="AT677" i="42" s="1"/>
  <c r="AU492" i="42"/>
  <c r="AR575" i="42"/>
  <c r="AT575" i="42" s="1"/>
  <c r="AU443" i="42"/>
  <c r="AR302" i="42"/>
  <c r="AT302" i="42" s="1"/>
  <c r="AR200" i="42"/>
  <c r="AT200" i="42" s="1"/>
  <c r="AR602" i="42"/>
  <c r="AT602" i="42" s="1"/>
  <c r="AR235" i="42"/>
  <c r="AT235" i="42" s="1"/>
  <c r="AR459" i="42"/>
  <c r="AT459" i="42" s="1"/>
  <c r="AR104" i="42"/>
  <c r="AT104" i="42" s="1"/>
  <c r="AU407" i="42"/>
  <c r="AU43" i="42"/>
  <c r="AU57" i="42"/>
  <c r="AR314" i="42"/>
  <c r="AT314" i="42" s="1"/>
  <c r="AR311" i="42"/>
  <c r="AT311" i="42" s="1"/>
  <c r="AR241" i="42"/>
  <c r="AT241" i="42" s="1"/>
  <c r="AU600" i="42"/>
  <c r="AU659" i="42"/>
  <c r="AR162" i="42"/>
  <c r="AT162" i="42" s="1"/>
  <c r="AU506" i="42"/>
  <c r="AU535" i="42"/>
  <c r="AU107" i="42"/>
  <c r="AU121" i="42"/>
  <c r="AR442" i="42"/>
  <c r="AT442" i="42" s="1"/>
  <c r="AR439" i="42"/>
  <c r="AT439" i="42" s="1"/>
  <c r="AR75" i="42"/>
  <c r="AT75" i="42" s="1"/>
  <c r="AR348" i="42"/>
  <c r="AT348" i="42" s="1"/>
  <c r="AR377" i="42"/>
  <c r="AT377" i="42" s="1"/>
  <c r="AU672" i="42"/>
  <c r="AR254" i="42"/>
  <c r="AT254" i="42" s="1"/>
  <c r="AU29" i="42"/>
  <c r="AU292" i="42"/>
  <c r="AR359" i="42"/>
  <c r="AT359" i="42" s="1"/>
  <c r="AU238" i="42"/>
  <c r="AR305" i="42"/>
  <c r="AT305" i="42" s="1"/>
  <c r="AU339" i="42"/>
  <c r="AR662" i="42"/>
  <c r="AT662" i="42" s="1"/>
  <c r="AU269" i="42"/>
  <c r="AR420" i="42"/>
  <c r="AT420" i="42" s="1"/>
  <c r="AU186" i="42"/>
  <c r="AR599" i="42"/>
  <c r="AT599" i="42" s="1"/>
  <c r="AR22" i="42"/>
  <c r="AT22" i="42" s="1"/>
  <c r="AR631" i="42"/>
  <c r="AT631" i="42" s="1"/>
  <c r="AU491" i="42"/>
  <c r="AR663" i="42"/>
  <c r="AT663" i="42" s="1"/>
  <c r="AU92" i="42"/>
  <c r="AU150" i="42"/>
  <c r="AR628" i="42"/>
  <c r="AT628" i="42" s="1"/>
  <c r="AU351" i="42"/>
  <c r="AR397" i="42"/>
  <c r="AT397" i="42" s="1"/>
  <c r="AU55" i="42"/>
  <c r="AU316" i="42"/>
  <c r="AR31" i="42"/>
  <c r="AT31" i="42" s="1"/>
  <c r="AR284" i="42"/>
  <c r="AT284" i="42" s="1"/>
  <c r="AR308" i="42"/>
  <c r="AT308" i="42" s="1"/>
  <c r="AR321" i="42"/>
  <c r="AT321" i="42" s="1"/>
  <c r="AU248" i="42"/>
  <c r="AR119" i="42"/>
  <c r="AT119" i="42" s="1"/>
  <c r="AR578" i="42"/>
  <c r="AT578" i="42" s="1"/>
  <c r="AR387" i="42"/>
  <c r="AT387" i="42" s="1"/>
  <c r="AR610" i="42"/>
  <c r="AT610" i="42" s="1"/>
  <c r="AU470" i="42"/>
  <c r="AR642" i="42"/>
  <c r="AT642" i="42" s="1"/>
  <c r="AU523" i="42"/>
  <c r="AU33" i="42"/>
  <c r="AU384" i="42"/>
  <c r="AU330" i="42"/>
  <c r="AR376" i="42"/>
  <c r="AT376" i="42" s="1"/>
  <c r="AR453" i="42"/>
  <c r="AT453" i="42" s="1"/>
  <c r="AU300" i="42"/>
  <c r="AR399" i="42"/>
  <c r="AT399" i="42" s="1"/>
  <c r="AR49" i="42"/>
  <c r="AT49" i="42" s="1"/>
  <c r="AR67" i="42"/>
  <c r="AT67" i="42" s="1"/>
  <c r="AR300" i="42"/>
  <c r="AT300" i="42" s="1"/>
  <c r="AU634" i="42"/>
  <c r="AU569" i="42"/>
  <c r="AU357" i="42"/>
  <c r="AR237" i="42"/>
  <c r="AT237" i="42" s="1"/>
  <c r="AR366" i="42"/>
  <c r="AT366" i="42" s="1"/>
  <c r="AR269" i="42"/>
  <c r="AT269" i="42" s="1"/>
  <c r="AR157" i="42"/>
  <c r="AT157" i="42" s="1"/>
  <c r="AR301" i="42"/>
  <c r="AT301" i="42" s="1"/>
  <c r="AU502" i="42"/>
  <c r="AR374" i="42"/>
  <c r="AT374" i="42" s="1"/>
  <c r="AU108" i="42"/>
  <c r="AR88" i="42"/>
  <c r="AT88" i="42" s="1"/>
  <c r="AR94" i="42"/>
  <c r="AT94" i="42" s="1"/>
  <c r="AU410" i="42"/>
  <c r="AU69" i="42"/>
  <c r="AR378" i="42"/>
  <c r="AT378" i="42" s="1"/>
  <c r="AU433" i="42"/>
  <c r="AR479" i="42"/>
  <c r="AT479" i="42" s="1"/>
  <c r="AR69" i="42"/>
  <c r="AT69" i="42" s="1"/>
  <c r="AU42" i="42"/>
  <c r="AU422" i="42"/>
  <c r="AR326" i="42"/>
  <c r="AT326" i="42" s="1"/>
  <c r="AU86" i="42"/>
  <c r="AU94" i="42"/>
  <c r="AR30" i="42"/>
  <c r="AT30" i="42" s="1"/>
  <c r="AR38" i="42"/>
  <c r="AT38" i="42" s="1"/>
  <c r="AR280" i="42"/>
  <c r="AT280" i="42" s="1"/>
  <c r="AU673" i="42"/>
  <c r="AU555" i="42"/>
  <c r="AR486" i="42"/>
  <c r="AT486" i="42" s="1"/>
  <c r="AU525" i="42"/>
  <c r="AR633" i="42"/>
  <c r="AT633" i="42" s="1"/>
  <c r="AU471" i="42"/>
  <c r="AU95" i="42"/>
  <c r="AR402" i="42"/>
  <c r="AT402" i="42" s="1"/>
  <c r="AU436" i="42"/>
  <c r="AR519" i="42"/>
  <c r="AT519" i="42" s="1"/>
  <c r="AR425" i="42"/>
  <c r="AT425" i="42" s="1"/>
  <c r="AR554" i="42"/>
  <c r="AT554" i="42" s="1"/>
  <c r="AU633" i="42"/>
  <c r="AU515" i="42"/>
  <c r="AU397" i="42"/>
  <c r="AU547" i="42"/>
  <c r="AR46" i="42"/>
  <c r="AT46" i="42" s="1"/>
  <c r="AU652" i="42"/>
  <c r="AR62" i="42"/>
  <c r="AT62" i="42" s="1"/>
  <c r="AU534" i="42"/>
  <c r="AU152" i="42"/>
  <c r="AU504" i="42"/>
  <c r="AU273" i="42"/>
  <c r="AU450" i="42"/>
  <c r="AU527" i="42"/>
  <c r="AU113" i="42"/>
  <c r="AU123" i="42"/>
  <c r="AU476" i="42"/>
  <c r="AU382" i="42"/>
  <c r="AR181" i="42"/>
  <c r="AT181" i="42" s="1"/>
  <c r="AU256" i="42"/>
  <c r="AU612" i="42"/>
  <c r="AU494" i="42"/>
  <c r="AU376" i="42"/>
  <c r="AU526" i="42"/>
  <c r="AU429" i="42"/>
  <c r="AU311" i="42"/>
  <c r="AU461" i="42"/>
  <c r="AU193" i="42"/>
  <c r="AU635" i="42"/>
  <c r="AU170" i="42"/>
  <c r="AU480" i="42"/>
  <c r="AR134" i="42"/>
  <c r="AT134" i="42" s="1"/>
  <c r="AR496" i="42"/>
  <c r="AT496" i="42" s="1"/>
  <c r="AR573" i="42"/>
  <c r="AT573" i="42" s="1"/>
  <c r="AR613" i="42"/>
  <c r="AT613" i="42" s="1"/>
  <c r="AU153" i="42"/>
  <c r="AR107" i="42"/>
  <c r="AT107" i="42" s="1"/>
  <c r="AU44" i="42"/>
  <c r="AR261" i="42"/>
  <c r="AT261" i="42" s="1"/>
  <c r="AR159" i="42"/>
  <c r="AT159" i="42" s="1"/>
  <c r="AU102" i="42"/>
  <c r="AR175" i="42"/>
  <c r="AU408" i="42"/>
  <c r="AU290" i="42"/>
  <c r="AU440" i="42"/>
  <c r="AU614" i="42"/>
  <c r="AR681" i="42"/>
  <c r="AT681" i="42" s="1"/>
  <c r="AU156" i="42"/>
  <c r="AR611" i="42"/>
  <c r="AT611" i="42" s="1"/>
  <c r="AR160" i="42"/>
  <c r="AT160" i="42" s="1"/>
  <c r="AU530" i="42"/>
  <c r="AU570" i="42"/>
  <c r="AU647" i="42"/>
  <c r="AU553" i="42"/>
  <c r="AR672" i="42"/>
  <c r="AT672" i="42" s="1"/>
  <c r="AU427" i="42"/>
  <c r="AU218" i="42"/>
  <c r="AR655" i="42"/>
  <c r="AT655" i="42" s="1"/>
  <c r="AR537" i="42"/>
  <c r="AT537" i="42" s="1"/>
  <c r="AU118" i="42"/>
  <c r="AR54" i="42"/>
  <c r="AT54" i="42" s="1"/>
  <c r="AU134" i="42"/>
  <c r="AR263" i="42"/>
  <c r="AT263" i="42" s="1"/>
  <c r="AU638" i="42"/>
  <c r="AU651" i="42"/>
  <c r="AR590" i="42"/>
  <c r="AT590" i="42" s="1"/>
  <c r="AR667" i="42"/>
  <c r="AT667" i="42" s="1"/>
  <c r="AU229" i="42"/>
  <c r="AR616" i="42"/>
  <c r="AT616" i="42" s="1"/>
  <c r="AR522" i="42"/>
  <c r="AT522" i="42" s="1"/>
  <c r="AR194" i="42"/>
  <c r="AT194" i="42" s="1"/>
  <c r="AU406" i="42"/>
  <c r="AR24" i="42"/>
  <c r="AT24" i="42" s="1"/>
  <c r="AR634" i="42"/>
  <c r="AT634" i="42" s="1"/>
  <c r="AR516" i="42"/>
  <c r="AT516" i="42" s="1"/>
  <c r="AR666" i="42"/>
  <c r="AT666" i="42" s="1"/>
  <c r="AR569" i="42"/>
  <c r="AT569" i="42" s="1"/>
  <c r="AR451" i="42"/>
  <c r="AT451" i="42" s="1"/>
  <c r="AR601" i="42"/>
  <c r="AT601" i="42" s="1"/>
  <c r="AU343" i="42"/>
  <c r="AU220" i="42"/>
  <c r="AU297" i="42"/>
  <c r="AU630" i="42"/>
  <c r="AU227" i="42"/>
  <c r="AU624" i="42"/>
  <c r="AU664" i="42"/>
  <c r="AR198" i="42"/>
  <c r="AT198" i="42" s="1"/>
  <c r="AU253" i="42"/>
  <c r="AU163" i="42"/>
  <c r="AU31" i="42"/>
  <c r="AR125" i="42"/>
  <c r="AT125" i="42" s="1"/>
  <c r="AU389" i="42"/>
  <c r="AU271" i="42"/>
  <c r="AR167" i="42"/>
  <c r="AT167" i="42" s="1"/>
  <c r="AU303" i="42"/>
  <c r="AR548" i="42"/>
  <c r="AT548" i="42" s="1"/>
  <c r="AR430" i="42"/>
  <c r="AT430" i="42" s="1"/>
  <c r="AR580" i="42"/>
  <c r="AT580" i="42" s="1"/>
  <c r="AU322" i="42"/>
  <c r="AU25" i="42"/>
  <c r="AR266" i="42"/>
  <c r="AT266" i="42" s="1"/>
  <c r="AU289" i="42"/>
  <c r="AU206" i="42"/>
  <c r="AR225" i="42"/>
  <c r="AT225" i="42" s="1"/>
  <c r="AR313" i="42"/>
  <c r="AT313" i="42" s="1"/>
  <c r="AU232" i="42"/>
  <c r="AR661" i="42"/>
  <c r="AT661" i="42" s="1"/>
  <c r="AU224" i="42"/>
  <c r="AU577" i="42"/>
  <c r="AR358" i="42"/>
  <c r="AT358" i="42" s="1"/>
  <c r="AR240" i="42"/>
  <c r="AT240" i="42" s="1"/>
  <c r="AU665" i="42"/>
  <c r="AR272" i="42"/>
  <c r="AT272" i="42" s="1"/>
  <c r="AU185" i="42"/>
  <c r="AU126" i="42"/>
  <c r="AU217" i="42"/>
  <c r="AR70" i="42"/>
  <c r="AT70" i="42" s="1"/>
  <c r="AU391" i="42"/>
  <c r="AU35" i="42"/>
  <c r="AU268" i="42"/>
  <c r="AR15" i="42"/>
  <c r="AT15" i="42" s="1"/>
  <c r="AR204" i="42"/>
  <c r="AT204" i="42" s="1"/>
  <c r="AR292" i="42"/>
  <c r="AT292" i="42" s="1"/>
  <c r="AU347" i="42"/>
  <c r="AU26" i="42"/>
  <c r="AR640" i="42"/>
  <c r="AT640" i="42" s="1"/>
  <c r="AU28" i="42"/>
  <c r="AU556" i="42"/>
  <c r="AU88" i="42"/>
  <c r="AR411" i="42"/>
  <c r="AT411" i="42" s="1"/>
  <c r="AU421" i="42"/>
  <c r="AR48" i="42"/>
  <c r="AT48" i="42" s="1"/>
  <c r="AU676" i="42"/>
  <c r="AU196" i="42"/>
  <c r="AR462" i="42"/>
  <c r="AT462" i="42" s="1"/>
  <c r="AU154" i="42"/>
  <c r="AR405" i="42"/>
  <c r="AT405" i="42" s="1"/>
  <c r="AU53" i="42"/>
  <c r="AR383" i="42"/>
  <c r="AT383" i="42" s="1"/>
  <c r="AR21" i="42"/>
  <c r="AT21" i="42" s="1"/>
  <c r="AR55" i="42"/>
  <c r="AT55" i="42" s="1"/>
  <c r="AU326" i="42"/>
  <c r="AR393" i="42"/>
  <c r="AT393" i="42" s="1"/>
  <c r="AR636" i="42"/>
  <c r="AT636" i="42" s="1"/>
  <c r="AU395" i="42"/>
  <c r="AU215" i="42"/>
  <c r="AU507" i="42"/>
  <c r="AU368" i="42"/>
  <c r="AU518" i="42"/>
  <c r="AR443" i="42"/>
  <c r="AT443" i="42" s="1"/>
  <c r="AR325" i="42"/>
  <c r="AT325" i="42" s="1"/>
  <c r="AR475" i="42"/>
  <c r="AT475" i="42" s="1"/>
  <c r="AU142" i="42"/>
  <c r="AR234" i="42"/>
  <c r="AT234" i="42" s="1"/>
  <c r="AR384" i="42"/>
  <c r="AT384" i="42" s="1"/>
  <c r="AU439" i="42"/>
  <c r="AU340" i="42"/>
  <c r="AR375" i="42"/>
  <c r="AT375" i="42" s="1"/>
  <c r="AU441" i="42"/>
  <c r="AR73" i="42"/>
  <c r="AT73" i="42" s="1"/>
  <c r="AU350" i="42"/>
  <c r="AU165" i="42"/>
  <c r="AU374" i="42"/>
  <c r="AU194" i="42"/>
  <c r="AU486" i="42"/>
  <c r="AU96" i="42"/>
  <c r="AR169" i="42"/>
  <c r="AT169" i="42" s="1"/>
  <c r="AU400" i="42"/>
  <c r="AU282" i="42"/>
  <c r="AU432" i="42"/>
  <c r="AR357" i="42"/>
  <c r="AT357" i="42" s="1"/>
  <c r="AU611" i="42"/>
  <c r="AU19" i="42"/>
  <c r="AU116" i="42"/>
  <c r="AU434" i="42"/>
  <c r="AU75" i="42"/>
  <c r="AR354" i="42"/>
  <c r="AT354" i="42" s="1"/>
  <c r="AU420" i="42"/>
  <c r="AR487" i="42"/>
  <c r="AT487" i="42" s="1"/>
  <c r="AR95" i="42"/>
  <c r="AT95" i="42" s="1"/>
  <c r="AR315" i="42"/>
  <c r="AT315" i="42" s="1"/>
  <c r="AU62" i="42"/>
  <c r="AR153" i="42"/>
  <c r="AT153" i="42" s="1"/>
  <c r="AR529" i="42"/>
  <c r="AT529" i="42" s="1"/>
  <c r="AR679" i="42"/>
  <c r="AT679" i="42" s="1"/>
  <c r="AU112" i="42"/>
  <c r="AR56" i="42"/>
  <c r="AT56" i="42" s="1"/>
  <c r="AU128" i="42"/>
  <c r="AU314" i="42"/>
  <c r="AU590" i="42"/>
  <c r="AR373" i="42"/>
  <c r="AT373" i="42" s="1"/>
  <c r="AU496" i="42"/>
  <c r="AR130" i="42"/>
  <c r="AT130" i="42" s="1"/>
  <c r="AU479" i="42"/>
  <c r="AU93" i="42"/>
  <c r="AU119" i="42"/>
  <c r="AU444" i="42"/>
  <c r="AR527" i="42"/>
  <c r="AT527" i="42" s="1"/>
  <c r="AU272" i="42"/>
  <c r="AR129" i="42"/>
  <c r="AT129" i="42" s="1"/>
  <c r="AU239" i="42"/>
  <c r="AR647" i="42"/>
  <c r="AT647" i="42" s="1"/>
  <c r="AR508" i="42"/>
  <c r="AT508" i="42" s="1"/>
  <c r="AU636" i="42"/>
  <c r="AR561" i="42"/>
  <c r="AT561" i="42" s="1"/>
  <c r="AU453" i="42"/>
  <c r="AR593" i="42"/>
  <c r="AT593" i="42" s="1"/>
  <c r="AR72" i="42"/>
  <c r="AT72" i="42" s="1"/>
  <c r="AR239" i="42"/>
  <c r="AT239" i="42" s="1"/>
  <c r="AR352" i="42"/>
  <c r="AT352" i="42" s="1"/>
  <c r="AR331" i="42"/>
  <c r="AT331" i="42" s="1"/>
  <c r="AR571" i="42"/>
  <c r="AT571" i="42" s="1"/>
  <c r="AR595" i="42"/>
  <c r="AT595" i="42" s="1"/>
  <c r="AU458" i="42"/>
  <c r="AR525" i="42"/>
  <c r="AT525" i="42" s="1"/>
  <c r="AR581" i="42"/>
  <c r="AT581" i="42" s="1"/>
  <c r="AU133" i="42"/>
  <c r="AR506" i="42"/>
  <c r="AT506" i="42" s="1"/>
  <c r="AU48" i="42"/>
  <c r="AU593" i="42"/>
  <c r="AR371" i="42"/>
  <c r="AT371" i="42" s="1"/>
  <c r="AU604" i="42"/>
  <c r="AR161" i="42"/>
  <c r="AT161" i="42" s="1"/>
  <c r="AU295" i="42"/>
  <c r="AR540" i="42"/>
  <c r="AT540" i="42" s="1"/>
  <c r="AR422" i="42"/>
  <c r="AT422" i="42" s="1"/>
  <c r="AR572" i="42"/>
  <c r="AT572" i="42" s="1"/>
  <c r="AU485" i="42"/>
  <c r="AR218" i="42"/>
  <c r="AT218" i="42" s="1"/>
  <c r="AU160" i="42"/>
  <c r="AU309" i="42"/>
  <c r="AU528" i="42"/>
  <c r="AR574" i="42"/>
  <c r="AT574" i="42" s="1"/>
  <c r="AR365" i="42"/>
  <c r="AT365" i="42" s="1"/>
  <c r="AR504" i="42"/>
  <c r="AT504" i="42" s="1"/>
  <c r="AU538" i="42"/>
  <c r="AU599" i="42"/>
  <c r="AU159" i="42"/>
  <c r="AR433" i="42"/>
  <c r="AT433" i="42" s="1"/>
  <c r="AR562" i="42"/>
  <c r="AT562" i="42" s="1"/>
  <c r="AR350" i="42"/>
  <c r="AT350" i="42" s="1"/>
  <c r="AU263" i="42"/>
  <c r="AU657" i="42"/>
  <c r="AR264" i="42"/>
  <c r="AT264" i="42" s="1"/>
  <c r="AU177" i="42"/>
  <c r="AU120" i="42"/>
  <c r="AU209" i="42"/>
  <c r="AR454" i="42"/>
  <c r="AT454" i="42" s="1"/>
  <c r="AU15" i="42"/>
  <c r="AR287" i="42"/>
  <c r="AT287" i="42" s="1"/>
  <c r="AR172" i="42"/>
  <c r="AT172" i="42" s="1"/>
  <c r="AR177" i="42"/>
  <c r="AT177" i="42" s="1"/>
  <c r="AU211" i="42"/>
  <c r="AU622" i="42"/>
  <c r="AR158" i="42"/>
  <c r="AT158" i="42" s="1"/>
  <c r="AR215" i="42"/>
  <c r="AT215" i="42" s="1"/>
  <c r="AU578" i="42"/>
  <c r="AU655" i="42"/>
  <c r="AR412" i="42"/>
  <c r="AT412" i="42" s="1"/>
  <c r="AR221" i="42"/>
  <c r="AT221" i="42" s="1"/>
  <c r="AU82" i="42"/>
  <c r="AR232" i="42"/>
  <c r="AT232" i="42" s="1"/>
  <c r="AR626" i="42"/>
  <c r="AT626" i="42" s="1"/>
  <c r="AR42" i="42"/>
  <c r="AT42" i="42" s="1"/>
  <c r="AU571" i="42"/>
  <c r="AR178" i="42"/>
  <c r="AT178" i="42" s="1"/>
  <c r="AU136" i="42"/>
  <c r="AU367" i="42"/>
  <c r="AR156" i="42"/>
  <c r="AT156" i="42" s="1"/>
  <c r="AR180" i="42"/>
  <c r="AT180" i="42" s="1"/>
  <c r="AR534" i="42"/>
  <c r="AT534" i="42" s="1"/>
  <c r="AU653" i="42"/>
  <c r="AR250" i="42"/>
  <c r="AT250" i="42" s="1"/>
  <c r="AR227" i="42"/>
  <c r="AT227" i="42" s="1"/>
  <c r="AR624" i="42"/>
  <c r="AT624" i="42" s="1"/>
  <c r="AR113" i="42"/>
  <c r="AT113" i="42" s="1"/>
  <c r="AU178" i="42"/>
  <c r="AU499" i="42"/>
  <c r="AU381" i="42"/>
  <c r="AR382" i="42"/>
  <c r="AT382" i="42" s="1"/>
  <c r="AU413" i="42"/>
  <c r="AR317" i="42"/>
  <c r="AT317" i="42" s="1"/>
  <c r="AU327" i="42"/>
  <c r="AU582" i="42"/>
  <c r="AU144" i="42"/>
  <c r="AR619" i="42"/>
  <c r="AT619" i="42" s="1"/>
  <c r="AR668" i="42"/>
  <c r="AT668" i="42" s="1"/>
  <c r="AR193" i="42"/>
  <c r="AT193" i="42" s="1"/>
  <c r="AU648" i="42"/>
  <c r="AU608" i="42"/>
  <c r="AR206" i="42"/>
  <c r="AT206" i="42" s="1"/>
  <c r="AR283" i="42"/>
  <c r="AT283" i="42" s="1"/>
  <c r="AU561" i="42"/>
  <c r="AR468" i="42"/>
  <c r="AT468" i="42" s="1"/>
  <c r="AU360" i="42"/>
  <c r="AR163" i="42"/>
  <c r="AT163" i="42" s="1"/>
  <c r="AU392" i="42"/>
  <c r="AU274" i="42"/>
  <c r="AU424" i="42"/>
  <c r="AR349" i="42"/>
  <c r="AT349" i="42" s="1"/>
  <c r="AR231" i="42"/>
  <c r="AT231" i="42" s="1"/>
  <c r="AR210" i="42"/>
  <c r="AT210" i="42" s="1"/>
  <c r="AU597" i="42"/>
  <c r="AU305" i="42"/>
  <c r="AR351" i="42"/>
  <c r="AT351" i="42" s="1"/>
  <c r="AR297" i="42"/>
  <c r="AT297" i="42" s="1"/>
  <c r="AU267" i="42"/>
  <c r="AU14" i="42"/>
  <c r="AU240" i="42"/>
  <c r="AR530" i="42"/>
  <c r="AT530" i="42" s="1"/>
  <c r="AR339" i="42"/>
  <c r="AT339" i="42" s="1"/>
  <c r="AR147" i="42"/>
  <c r="AT147" i="42" s="1"/>
  <c r="AU90" i="42"/>
  <c r="AR671" i="42"/>
  <c r="AT671" i="42" s="1"/>
  <c r="AU106" i="42"/>
  <c r="AR50" i="42"/>
  <c r="AT50" i="42" s="1"/>
  <c r="AU122" i="42"/>
  <c r="AU306" i="42"/>
  <c r="AU188" i="42"/>
  <c r="AU17" i="42"/>
  <c r="AR28" i="42"/>
  <c r="AT28" i="42" s="1"/>
  <c r="AR274" i="42"/>
  <c r="AT274" i="42" s="1"/>
  <c r="AU308" i="42"/>
  <c r="AR25" i="42"/>
  <c r="AT25" i="42" s="1"/>
  <c r="AU254" i="42"/>
  <c r="AU246" i="42"/>
  <c r="AU355" i="42"/>
  <c r="AU32" i="42"/>
  <c r="AR189" i="42"/>
  <c r="AT189" i="42" s="1"/>
  <c r="AR318" i="42"/>
  <c r="AT318" i="42" s="1"/>
  <c r="AR639" i="42"/>
  <c r="AT639" i="42" s="1"/>
  <c r="AR521" i="42"/>
  <c r="AT521" i="42" s="1"/>
  <c r="AU628" i="42"/>
  <c r="AR553" i="42"/>
  <c r="AT553" i="42" s="1"/>
  <c r="AR435" i="42"/>
  <c r="AT435" i="42" s="1"/>
  <c r="AR585" i="42"/>
  <c r="AT585" i="42" s="1"/>
  <c r="AR66" i="42"/>
  <c r="AT66" i="42" s="1"/>
  <c r="AR381" i="42"/>
  <c r="AT381" i="42" s="1"/>
  <c r="AR587" i="42"/>
  <c r="AT587" i="42" s="1"/>
  <c r="AU49" i="42"/>
  <c r="AU59" i="42"/>
  <c r="AR391" i="42"/>
  <c r="AT391" i="42" s="1"/>
  <c r="AR43" i="42"/>
  <c r="AT43" i="42" s="1"/>
  <c r="AR45" i="42"/>
  <c r="AT45" i="42" s="1"/>
  <c r="AU334" i="42"/>
  <c r="AR401" i="42"/>
  <c r="AT401" i="42" s="1"/>
  <c r="AU66" i="42"/>
  <c r="AU596" i="42"/>
  <c r="AU478" i="42"/>
  <c r="AU255" i="42"/>
  <c r="AU510" i="42"/>
  <c r="AR414" i="42"/>
  <c r="AT414" i="42" s="1"/>
  <c r="AU542" i="42"/>
  <c r="AR467" i="42"/>
  <c r="AT467" i="42" s="1"/>
  <c r="AU359" i="42"/>
  <c r="AU338" i="42"/>
  <c r="AR84" i="42"/>
  <c r="AT84" i="42" s="1"/>
  <c r="AR445" i="42"/>
  <c r="AT445" i="42" s="1"/>
  <c r="AR485" i="42"/>
  <c r="AT485" i="42" s="1"/>
  <c r="AU348" i="42"/>
  <c r="AU425" i="42"/>
  <c r="AU417" i="42"/>
  <c r="AR79" i="42"/>
  <c r="AT79" i="42" s="1"/>
  <c r="AR353" i="42"/>
  <c r="AT353" i="42" s="1"/>
  <c r="AU532" i="42"/>
  <c r="AU467" i="42"/>
  <c r="AU223" i="42"/>
  <c r="AR155" i="42"/>
  <c r="AT155" i="42" s="1"/>
  <c r="AU234" i="42"/>
  <c r="AR171" i="42"/>
  <c r="AT171" i="42" s="1"/>
  <c r="AU114" i="42"/>
  <c r="AU201" i="42"/>
  <c r="AR446" i="42"/>
  <c r="AT446" i="42" s="1"/>
  <c r="AR328" i="42"/>
  <c r="AT328" i="42" s="1"/>
  <c r="AR82" i="42"/>
  <c r="AT82" i="42" s="1"/>
  <c r="AU565" i="42"/>
  <c r="AU402" i="42"/>
  <c r="AU442" i="42"/>
  <c r="AU89" i="42"/>
  <c r="AR394" i="42"/>
  <c r="AT394" i="42" s="1"/>
  <c r="AU396" i="42"/>
  <c r="AR495" i="42"/>
  <c r="AT495" i="42" s="1"/>
  <c r="AR332" i="42"/>
  <c r="AT332" i="42" s="1"/>
  <c r="AU173" i="42"/>
  <c r="AR271" i="42"/>
  <c r="AT271" i="42" s="1"/>
  <c r="AU202" i="42"/>
  <c r="AU649" i="42"/>
  <c r="AR389" i="42"/>
  <c r="AT389" i="42" s="1"/>
  <c r="AU681" i="42"/>
  <c r="AU563" i="42"/>
  <c r="AU130" i="42"/>
  <c r="AR74" i="42"/>
  <c r="AT74" i="42" s="1"/>
  <c r="AR499" i="42"/>
  <c r="AT499" i="42" s="1"/>
  <c r="AR140" i="42"/>
  <c r="AT140" i="42" s="1"/>
  <c r="AU557" i="42"/>
  <c r="AR136" i="42"/>
  <c r="AT136" i="42" s="1"/>
  <c r="AU519" i="42"/>
  <c r="AU99" i="42"/>
  <c r="AU117" i="42"/>
  <c r="AU468" i="42"/>
  <c r="AR85" i="42"/>
  <c r="AT85" i="42" s="1"/>
  <c r="AR473" i="42"/>
  <c r="AT473" i="42" s="1"/>
  <c r="AR344" i="42"/>
  <c r="AT344" i="42" s="1"/>
  <c r="AR618" i="42"/>
  <c r="AT618" i="42" s="1"/>
  <c r="AU204" i="42"/>
  <c r="AR650" i="42"/>
  <c r="AT650" i="42" s="1"/>
  <c r="AR532" i="42"/>
  <c r="AT532" i="42" s="1"/>
  <c r="AR682" i="42"/>
  <c r="AT682" i="42" s="1"/>
  <c r="AU595" i="42"/>
  <c r="AU477" i="42"/>
  <c r="AR478" i="42"/>
  <c r="AT478" i="42" s="1"/>
  <c r="AR555" i="42"/>
  <c r="AT555" i="42" s="1"/>
  <c r="AU536" i="42"/>
  <c r="AU613" i="42"/>
  <c r="AR488" i="42"/>
  <c r="AT488" i="42" s="1"/>
  <c r="AR533" i="42"/>
  <c r="AT533" i="42" s="1"/>
  <c r="AU567" i="42"/>
  <c r="AU139" i="42"/>
  <c r="AR503" i="42"/>
  <c r="AT503" i="42" s="1"/>
  <c r="AR664" i="42"/>
  <c r="AT664" i="42" s="1"/>
  <c r="AR452" i="42"/>
  <c r="AT452" i="42" s="1"/>
  <c r="AR278" i="42"/>
  <c r="AT278" i="42" s="1"/>
  <c r="AU60" i="42"/>
  <c r="AR310" i="42"/>
  <c r="AT310" i="42" s="1"/>
  <c r="AR256" i="42"/>
  <c r="AT256" i="42" s="1"/>
  <c r="AU266" i="42"/>
  <c r="AR309" i="42"/>
  <c r="AT309" i="42" s="1"/>
  <c r="AR223" i="42"/>
  <c r="AT223" i="42" s="1"/>
  <c r="AU233" i="42"/>
  <c r="AU146" i="42"/>
  <c r="AR609" i="42"/>
  <c r="AT609" i="42" s="1"/>
  <c r="AR185" i="42"/>
  <c r="AT185" i="42" s="1"/>
  <c r="AR582" i="42"/>
  <c r="AT582" i="42" s="1"/>
  <c r="AR154" i="42"/>
  <c r="AT154" i="42" s="1"/>
  <c r="AR512" i="42"/>
  <c r="AT512" i="42" s="1"/>
  <c r="AU562" i="42"/>
  <c r="AU607" i="42"/>
  <c r="AR482" i="42"/>
  <c r="AT482" i="42" s="1"/>
  <c r="AU301" i="42"/>
  <c r="AR135" i="42"/>
  <c r="AT135" i="42" s="1"/>
  <c r="AU52" i="42"/>
  <c r="AU609" i="42"/>
  <c r="AU68" i="42"/>
  <c r="AR556" i="42"/>
  <c r="AT556" i="42" s="1"/>
  <c r="AU84" i="42"/>
  <c r="AR288" i="42"/>
  <c r="AT288" i="42" s="1"/>
  <c r="AU180" i="42"/>
  <c r="AR320" i="42"/>
  <c r="AT320" i="42" s="1"/>
  <c r="AU627" i="42"/>
  <c r="AR588" i="42"/>
  <c r="AT588" i="42" s="1"/>
  <c r="AU219" i="42"/>
  <c r="AU637" i="42"/>
  <c r="AR78" i="42"/>
  <c r="AT78" i="42" s="1"/>
  <c r="AR211" i="42"/>
  <c r="AT211" i="42" s="1"/>
  <c r="AU586" i="42"/>
  <c r="AU157" i="42"/>
  <c r="AU280" i="42"/>
  <c r="AU601" i="42"/>
  <c r="AR449" i="42"/>
  <c r="AT449" i="42" s="1"/>
  <c r="AU588" i="42"/>
  <c r="AR481" i="42"/>
  <c r="AT481" i="42" s="1"/>
  <c r="AR494" i="42"/>
  <c r="AT494" i="42" s="1"/>
  <c r="AR513" i="42"/>
  <c r="AT513" i="42" s="1"/>
  <c r="AR612" i="42"/>
  <c r="AT612" i="42" s="1"/>
  <c r="AR406" i="42"/>
  <c r="AT406" i="42" s="1"/>
  <c r="AR596" i="42"/>
  <c r="AT596" i="42" s="1"/>
  <c r="AR247" i="42"/>
  <c r="AT247" i="42" s="1"/>
  <c r="AR676" i="42"/>
  <c r="AT676" i="42" s="1"/>
  <c r="AU198" i="42"/>
  <c r="AU616" i="42"/>
  <c r="AR190" i="42"/>
  <c r="AT190" i="42" s="1"/>
  <c r="AU416" i="42"/>
  <c r="AR653" i="42"/>
  <c r="AT653" i="42" s="1"/>
  <c r="AU54" i="42"/>
  <c r="AU580" i="42"/>
  <c r="AR428" i="42"/>
  <c r="AT428" i="42" s="1"/>
  <c r="AU247" i="42"/>
  <c r="AR460" i="42"/>
  <c r="AT460" i="42" s="1"/>
  <c r="AU320" i="42"/>
  <c r="AR492" i="42"/>
  <c r="AT492" i="42" s="1"/>
  <c r="AR242" i="42"/>
  <c r="AT242" i="42" s="1"/>
  <c r="AU319" i="42"/>
  <c r="AR96" i="42"/>
  <c r="AT96" i="42" s="1"/>
  <c r="AR255" i="42"/>
  <c r="AT255" i="42" s="1"/>
  <c r="AR226" i="42"/>
  <c r="AT226" i="42" s="1"/>
  <c r="AU313" i="42"/>
  <c r="AR265" i="42"/>
  <c r="AT265" i="42" s="1"/>
  <c r="AU656" i="42"/>
  <c r="AU370" i="42"/>
  <c r="AR632" i="42"/>
  <c r="AT632" i="42" s="1"/>
  <c r="AR441" i="42"/>
  <c r="AT441" i="42" s="1"/>
  <c r="AR229" i="42"/>
  <c r="AT229" i="42" s="1"/>
  <c r="AR133" i="42"/>
  <c r="AT133" i="42" s="1"/>
  <c r="AU226" i="42"/>
  <c r="AR149" i="42"/>
  <c r="AT149" i="42" s="1"/>
  <c r="AU76" i="42"/>
  <c r="AR165" i="42"/>
  <c r="AT165" i="42" s="1"/>
  <c r="AU352" i="42"/>
  <c r="AU298" i="42"/>
  <c r="AR413" i="42"/>
  <c r="AT413" i="42" s="1"/>
  <c r="AU212" i="42"/>
  <c r="AZ9" i="40" l="1"/>
  <c r="AY116" i="40"/>
  <c r="AY132" i="40"/>
  <c r="AY354" i="40"/>
  <c r="AY371" i="40"/>
  <c r="AY269" i="40"/>
  <c r="AY244" i="40"/>
  <c r="AY67" i="40"/>
  <c r="AY646" i="40"/>
  <c r="AY370" i="40"/>
  <c r="AY604" i="40"/>
  <c r="AY74" i="40"/>
  <c r="AY99" i="40"/>
  <c r="AY481" i="40"/>
  <c r="AY647" i="40"/>
  <c r="AY46" i="40"/>
  <c r="AY365" i="40"/>
  <c r="AY402" i="40"/>
  <c r="AY599" i="40"/>
  <c r="AY106" i="40"/>
  <c r="AY75" i="40"/>
  <c r="AY131" i="40"/>
  <c r="AY355" i="40"/>
  <c r="AY397" i="40"/>
  <c r="AY107" i="40"/>
  <c r="AY59" i="40"/>
  <c r="AY609" i="40"/>
  <c r="AY285" i="40"/>
  <c r="AY482" i="40"/>
  <c r="AY466" i="40"/>
  <c r="AY65" i="40"/>
  <c r="AY66" i="40"/>
  <c r="AY91" i="40"/>
  <c r="AY349" i="40"/>
  <c r="AY350" i="40"/>
  <c r="AY360" i="40"/>
  <c r="AY270" i="40"/>
  <c r="AY97" i="40"/>
  <c r="AY98" i="40"/>
  <c r="AY81" i="40"/>
  <c r="AY123" i="40"/>
  <c r="AY90" i="40"/>
  <c r="AY381" i="40"/>
  <c r="AY610" i="40"/>
  <c r="AY382" i="40"/>
  <c r="AY58" i="40"/>
  <c r="AY129" i="40"/>
  <c r="AY130" i="40"/>
  <c r="AY113" i="40"/>
  <c r="AY456" i="40"/>
  <c r="AY366" i="40"/>
  <c r="AY344" i="40"/>
  <c r="AY445" i="40"/>
  <c r="AY446" i="40"/>
  <c r="AY611" i="40"/>
  <c r="AY398" i="40"/>
  <c r="AY57" i="40"/>
  <c r="AY82" i="40"/>
  <c r="AY376" i="40"/>
  <c r="AY477" i="40"/>
  <c r="AY478" i="40"/>
  <c r="AY89" i="40"/>
  <c r="AY104" i="40"/>
  <c r="AY114" i="40"/>
  <c r="AY403" i="40"/>
  <c r="AY648" i="40"/>
  <c r="AY356" i="40"/>
  <c r="AY361" i="40"/>
  <c r="AY440" i="40"/>
  <c r="AY605" i="40"/>
  <c r="AY345" i="40"/>
  <c r="AY606" i="40"/>
  <c r="AY110" i="40"/>
  <c r="AY435" i="40"/>
  <c r="AY88" i="40"/>
  <c r="AY264" i="40"/>
  <c r="AY73" i="40"/>
  <c r="AY377" i="40"/>
  <c r="AY263" i="40"/>
  <c r="AY457" i="40"/>
  <c r="AY120" i="40"/>
  <c r="AY105" i="40"/>
  <c r="AY276" i="40"/>
  <c r="AY282" i="40"/>
  <c r="AY248" i="40"/>
  <c r="AY80" i="40"/>
  <c r="AY63" i="40"/>
  <c r="AY600" i="40"/>
  <c r="AY441" i="40"/>
  <c r="AY341" i="40"/>
  <c r="AY351" i="40"/>
  <c r="AY649" i="40"/>
  <c r="AY112" i="40"/>
  <c r="AY95" i="40"/>
  <c r="AY372" i="40"/>
  <c r="AY373" i="40"/>
  <c r="AY346" i="40"/>
  <c r="AY383" i="40"/>
  <c r="AY644" i="40"/>
  <c r="AY127" i="40"/>
  <c r="AY64" i="40"/>
  <c r="AY271" i="40"/>
  <c r="AY378" i="40"/>
  <c r="AY79" i="40"/>
  <c r="AY103" i="40"/>
  <c r="AY96" i="40"/>
  <c r="AY436" i="40"/>
  <c r="AY601" i="40"/>
  <c r="AY437" i="40"/>
  <c r="AY352" i="40"/>
  <c r="AY357" i="40"/>
  <c r="AY111" i="40"/>
  <c r="AY128" i="40"/>
  <c r="AY367" i="40"/>
  <c r="AY468" i="40"/>
  <c r="AY442" i="40"/>
  <c r="AY479" i="40"/>
  <c r="AY122" i="40"/>
  <c r="AY384" i="40"/>
  <c r="AY69" i="40"/>
  <c r="AY62" i="40"/>
  <c r="AY87" i="40"/>
  <c r="AY399" i="40"/>
  <c r="AY596" i="40"/>
  <c r="AY597" i="40"/>
  <c r="AY474" i="40"/>
  <c r="AY247" i="40"/>
  <c r="AY453" i="40"/>
  <c r="AY101" i="40"/>
  <c r="AY102" i="40"/>
  <c r="AY94" i="40"/>
  <c r="AY272" i="40"/>
  <c r="AY607" i="40"/>
  <c r="AY283" i="40"/>
  <c r="AY133" i="40"/>
  <c r="AY134" i="40"/>
  <c r="AY86" i="40"/>
  <c r="AY463" i="40"/>
  <c r="AY602" i="40"/>
  <c r="AY480" i="40"/>
  <c r="AY118" i="40"/>
  <c r="AY362" i="40"/>
  <c r="AY267" i="40"/>
  <c r="AY368" i="40"/>
  <c r="AY275" i="40"/>
  <c r="AY347" i="40"/>
  <c r="AY645" i="40"/>
  <c r="AY262" i="40"/>
  <c r="AY246" i="40"/>
  <c r="AY400" i="40"/>
  <c r="AY268" i="40"/>
  <c r="AY379" i="40"/>
  <c r="AY608" i="40"/>
  <c r="AY363" i="40"/>
  <c r="AY273" i="40"/>
  <c r="AY342" i="40"/>
  <c r="AY249" i="40"/>
  <c r="AY60" i="40"/>
  <c r="AY61" i="40"/>
  <c r="AY45" i="40"/>
  <c r="AY458" i="40"/>
  <c r="AY250" i="40"/>
  <c r="AY464" i="40"/>
  <c r="AY374" i="40"/>
  <c r="AY443" i="40"/>
  <c r="AY78" i="40"/>
  <c r="AY284" i="40"/>
  <c r="AY92" i="40"/>
  <c r="AY93" i="40"/>
  <c r="AY85" i="40"/>
  <c r="AY77" i="40"/>
  <c r="AY364" i="40"/>
  <c r="AY369" i="40"/>
  <c r="AY475" i="40"/>
  <c r="AY124" i="40"/>
  <c r="AY125" i="40"/>
  <c r="AY117" i="40"/>
  <c r="AY396" i="40"/>
  <c r="AY401" i="40"/>
  <c r="AY438" i="40"/>
  <c r="AY348" i="40"/>
  <c r="AY358" i="40"/>
  <c r="AY603" i="40"/>
  <c r="AY343" i="40"/>
  <c r="AY380" i="40"/>
  <c r="AY51" i="40"/>
  <c r="AY359" i="40"/>
  <c r="AY465" i="40"/>
  <c r="AY598" i="40"/>
  <c r="AY375" i="40"/>
  <c r="AY83" i="40"/>
  <c r="AY52" i="40"/>
  <c r="AY76" i="40"/>
  <c r="AY68" i="40"/>
  <c r="AY353" i="40"/>
  <c r="AY454" i="40"/>
  <c r="AY444" i="40"/>
  <c r="AY115" i="40"/>
  <c r="AY84" i="40"/>
  <c r="AY108" i="40"/>
  <c r="AY100" i="40"/>
  <c r="AY385" i="40"/>
  <c r="AY455" i="40"/>
  <c r="AY119" i="40"/>
  <c r="AY274" i="40"/>
  <c r="AY439" i="40"/>
  <c r="AY476" i="40"/>
  <c r="BH400" i="40"/>
  <c r="BH98" i="40"/>
  <c r="BH262" i="40"/>
  <c r="BH285" i="40"/>
  <c r="BH342" i="40"/>
  <c r="BH646" i="40"/>
  <c r="BH437" i="40"/>
  <c r="BH123" i="40"/>
  <c r="BH361" i="40"/>
  <c r="BH124" i="40"/>
  <c r="BH276" i="40"/>
  <c r="BH445" i="40"/>
  <c r="BH464" i="40"/>
  <c r="BH597" i="40"/>
  <c r="BH644" i="40"/>
  <c r="BH608" i="40"/>
  <c r="BH116" i="40"/>
  <c r="BH81" i="40"/>
  <c r="BH457" i="40"/>
  <c r="BH246" i="40"/>
  <c r="BH372" i="40"/>
  <c r="BH349" i="40"/>
  <c r="BH57" i="40"/>
  <c r="BH600" i="40"/>
  <c r="BH79" i="40"/>
  <c r="BH89" i="40"/>
  <c r="BH356" i="40"/>
  <c r="BH352" i="40"/>
  <c r="BH66" i="40"/>
  <c r="BH104" i="40"/>
  <c r="BH127" i="40"/>
  <c r="BH436" i="40"/>
  <c r="BH383" i="40"/>
  <c r="BH360" i="40"/>
  <c r="BH110" i="40"/>
  <c r="BH67" i="40"/>
  <c r="BH357" i="40"/>
  <c r="BH468" i="40"/>
  <c r="BH480" i="40"/>
  <c r="BH442" i="40"/>
  <c r="BH353" i="40"/>
  <c r="BH264" i="40"/>
  <c r="BH61" i="40"/>
  <c r="BH359" i="40"/>
  <c r="BH82" i="40"/>
  <c r="BH91" i="40"/>
  <c r="BH129" i="40"/>
  <c r="BH458" i="40"/>
  <c r="BH247" i="40"/>
  <c r="BH354" i="40"/>
  <c r="BH52" i="40"/>
  <c r="BH97" i="40"/>
  <c r="BH453" i="40"/>
  <c r="BH481" i="40"/>
  <c r="BH273" i="40"/>
  <c r="BH371" i="40"/>
  <c r="BH63" i="40"/>
  <c r="BH84" i="40"/>
  <c r="BH455" i="40"/>
  <c r="BH118" i="40"/>
  <c r="BH62" i="40"/>
  <c r="BH92" i="40"/>
  <c r="BH131" i="40"/>
  <c r="BH95" i="40"/>
  <c r="BH355" i="40"/>
  <c r="BH76" i="40"/>
  <c r="BH119" i="40"/>
  <c r="BH268" i="40"/>
  <c r="BH58" i="40"/>
  <c r="BH283" i="40"/>
  <c r="BH108" i="40"/>
  <c r="BH46" i="40"/>
  <c r="BH396" i="40"/>
  <c r="BH269" i="40"/>
  <c r="BH602" i="40"/>
  <c r="BH401" i="40"/>
  <c r="BH605" i="40"/>
  <c r="BH90" i="40"/>
  <c r="BH114" i="40"/>
  <c r="BH648" i="40"/>
  <c r="BH476" i="40"/>
  <c r="BH86" i="40"/>
  <c r="BH122" i="40"/>
  <c r="BH347" i="40"/>
  <c r="BH463" i="40"/>
  <c r="BH397" i="40"/>
  <c r="BH80" i="40"/>
  <c r="BH609" i="40"/>
  <c r="BH111" i="40"/>
  <c r="BH379" i="40"/>
  <c r="BH367" i="40"/>
  <c r="BH45" i="40"/>
  <c r="BH100" i="40"/>
  <c r="BH101" i="40"/>
  <c r="BH343" i="40"/>
  <c r="BH610" i="40"/>
  <c r="BH344" i="40"/>
  <c r="BH378" i="40"/>
  <c r="BH249" i="40"/>
  <c r="BH77" i="40"/>
  <c r="BH443" i="40"/>
  <c r="BH375" i="40"/>
  <c r="BH607" i="40"/>
  <c r="BH475" i="40"/>
  <c r="BH244" i="40"/>
  <c r="BH267" i="40"/>
  <c r="BH68" i="40"/>
  <c r="BH350" i="40"/>
  <c r="BH96" i="40"/>
  <c r="BH250" i="40"/>
  <c r="BH439" i="40"/>
  <c r="BH64" i="40"/>
  <c r="BH482" i="40"/>
  <c r="BH275" i="40"/>
  <c r="BH348" i="40"/>
  <c r="BH382" i="40"/>
  <c r="BH117" i="40"/>
  <c r="BH78" i="40"/>
  <c r="BH374" i="40"/>
  <c r="BH351" i="40"/>
  <c r="BH645" i="40"/>
  <c r="BH284" i="40"/>
  <c r="BH59" i="40"/>
  <c r="BH345" i="40"/>
  <c r="BH112" i="40"/>
  <c r="BH274" i="40"/>
  <c r="BH130" i="40"/>
  <c r="BH456" i="40"/>
  <c r="BH598" i="40"/>
  <c r="BH362" i="40"/>
  <c r="BH403" i="40"/>
  <c r="BH364" i="40"/>
  <c r="BH377" i="40"/>
  <c r="BH446" i="40"/>
  <c r="BH599" i="40"/>
  <c r="BH479" i="40"/>
  <c r="BH454" i="40"/>
  <c r="BH73" i="40"/>
  <c r="BH478" i="40"/>
  <c r="BH370" i="40"/>
  <c r="BH103" i="40"/>
  <c r="BH465" i="40"/>
  <c r="BH474" i="40"/>
  <c r="BH94" i="40"/>
  <c r="BH105" i="40"/>
  <c r="BH477" i="40"/>
  <c r="BH441" i="40"/>
  <c r="BH60" i="40"/>
  <c r="BH402" i="40"/>
  <c r="BH93" i="40"/>
  <c r="BH385" i="40"/>
  <c r="BH282" i="40"/>
  <c r="BH51" i="40"/>
  <c r="BH75" i="40"/>
  <c r="BH270" i="40"/>
  <c r="BH125" i="40"/>
  <c r="BH381" i="40"/>
  <c r="BH611" i="40"/>
  <c r="BH83" i="40"/>
  <c r="BH132" i="40"/>
  <c r="BH107" i="40"/>
  <c r="BH466" i="40"/>
  <c r="BH440" i="40"/>
  <c r="BH271" i="40"/>
  <c r="BH444" i="40"/>
  <c r="BH346" i="40"/>
  <c r="BH115" i="40"/>
  <c r="BH88" i="40"/>
  <c r="BH133" i="40"/>
  <c r="BH366" i="40"/>
  <c r="BH120" i="40"/>
  <c r="BH596" i="40"/>
  <c r="BH263" i="40"/>
  <c r="BH113" i="40"/>
  <c r="BH398" i="40"/>
  <c r="BH87" i="40"/>
  <c r="BH647" i="40"/>
  <c r="BH358" i="40"/>
  <c r="BH384" i="40"/>
  <c r="BH603" i="40"/>
  <c r="BH248" i="40"/>
  <c r="BH69" i="40"/>
  <c r="BH134" i="40"/>
  <c r="BH365" i="40"/>
  <c r="BH399" i="40"/>
  <c r="BH649" i="40"/>
  <c r="BH363" i="40"/>
  <c r="BH74" i="40"/>
  <c r="BH272" i="40"/>
  <c r="BH102" i="40"/>
  <c r="BH99" i="40"/>
  <c r="BH604" i="40"/>
  <c r="BH380" i="40"/>
  <c r="BH106" i="40"/>
  <c r="BH341" i="40"/>
  <c r="BH128" i="40"/>
  <c r="BH65" i="40"/>
  <c r="BH601" i="40"/>
  <c r="BH376" i="40"/>
  <c r="BH438" i="40"/>
  <c r="BH368" i="40"/>
  <c r="BH373" i="40"/>
  <c r="BH85" i="40"/>
  <c r="BH606" i="40"/>
  <c r="BH435" i="40"/>
  <c r="BH369" i="40"/>
  <c r="Z594" i="42"/>
  <c r="AB594" i="42" s="1"/>
  <c r="Z225" i="42"/>
  <c r="AB225" i="42" s="1"/>
  <c r="Z498" i="42"/>
  <c r="AB498" i="42" s="1"/>
  <c r="Z129" i="42"/>
  <c r="AB129" i="42" s="1"/>
  <c r="Z81" i="42"/>
  <c r="AB81" i="42" s="1"/>
  <c r="Z415" i="42"/>
  <c r="AB415" i="42" s="1"/>
  <c r="Z396" i="42"/>
  <c r="AB396" i="42" s="1"/>
  <c r="Z603" i="42"/>
  <c r="AB603" i="42" s="1"/>
  <c r="Z300" i="42"/>
  <c r="AB300" i="42" s="1"/>
  <c r="BZ417" i="42"/>
  <c r="CB417" i="42" s="1"/>
  <c r="BZ157" i="42"/>
  <c r="CB157" i="42" s="1"/>
  <c r="CC88" i="42"/>
  <c r="CC153" i="42"/>
  <c r="BZ28" i="42"/>
  <c r="CB28" i="42" s="1"/>
  <c r="CC50" i="42"/>
  <c r="CC319" i="42"/>
  <c r="BZ213" i="42"/>
  <c r="CB213" i="42" s="1"/>
  <c r="CC76" i="42"/>
  <c r="BZ550" i="42"/>
  <c r="CB550" i="42" s="1"/>
  <c r="BZ372" i="42"/>
  <c r="CB372" i="42" s="1"/>
  <c r="BZ399" i="42"/>
  <c r="CB399" i="42" s="1"/>
  <c r="BZ230" i="42"/>
  <c r="CB230" i="42" s="1"/>
  <c r="BZ680" i="42"/>
  <c r="CB680" i="42" s="1"/>
  <c r="BZ277" i="42"/>
  <c r="CB277" i="42" s="1"/>
  <c r="CC639" i="42"/>
  <c r="BZ290" i="42"/>
  <c r="CB290" i="42" s="1"/>
  <c r="CC320" i="42"/>
  <c r="CC25" i="42"/>
  <c r="CC565" i="42"/>
  <c r="CC152" i="42"/>
  <c r="BZ512" i="42"/>
  <c r="CB512" i="42" s="1"/>
  <c r="CC299" i="42"/>
  <c r="CC317" i="42"/>
  <c r="BZ415" i="42"/>
  <c r="CB415" i="42" s="1"/>
  <c r="CC352" i="42"/>
  <c r="BZ151" i="42"/>
  <c r="CB151" i="42" s="1"/>
  <c r="BZ474" i="42"/>
  <c r="CB474" i="42" s="1"/>
  <c r="BZ265" i="42"/>
  <c r="CB265" i="42" s="1"/>
  <c r="BZ439" i="42"/>
  <c r="CB439" i="42" s="1"/>
  <c r="BZ574" i="42"/>
  <c r="CB574" i="42" s="1"/>
  <c r="CC412" i="42"/>
  <c r="CC14" i="42"/>
  <c r="CC269" i="42"/>
  <c r="CC178" i="42"/>
  <c r="BZ586" i="42"/>
  <c r="CB586" i="42" s="1"/>
  <c r="CC647" i="42"/>
  <c r="CC273" i="42"/>
  <c r="BZ453" i="42"/>
  <c r="CB453" i="42" s="1"/>
  <c r="CC254" i="42"/>
  <c r="CC608" i="42"/>
  <c r="CC659" i="42"/>
  <c r="BQ378" i="40"/>
  <c r="BQ83" i="40"/>
  <c r="BQ600" i="40"/>
  <c r="BQ88" i="40"/>
  <c r="BQ127" i="40"/>
  <c r="BQ275" i="40"/>
  <c r="BQ58" i="40"/>
  <c r="BQ274" i="40"/>
  <c r="BQ95" i="40"/>
  <c r="BQ112" i="40"/>
  <c r="BQ85" i="40"/>
  <c r="BQ366" i="40"/>
  <c r="BQ439" i="40"/>
  <c r="BQ437" i="40"/>
  <c r="BQ113" i="40"/>
  <c r="BQ63" i="40"/>
  <c r="BQ80" i="40"/>
  <c r="BQ363" i="40"/>
  <c r="BQ385" i="40"/>
  <c r="BQ263" i="40"/>
  <c r="BQ364" i="40"/>
  <c r="BQ645" i="40"/>
  <c r="BQ65" i="40"/>
  <c r="BQ114" i="40"/>
  <c r="BQ397" i="40"/>
  <c r="BQ282" i="40"/>
  <c r="BQ81" i="40"/>
  <c r="BQ362" i="40"/>
  <c r="BQ82" i="40"/>
  <c r="BQ365" i="40"/>
  <c r="BQ267" i="40"/>
  <c r="BQ648" i="40"/>
  <c r="BQ92" i="40"/>
  <c r="BQ456" i="40"/>
  <c r="BQ601" i="40"/>
  <c r="BQ597" i="40"/>
  <c r="BQ51" i="40"/>
  <c r="BQ269" i="40"/>
  <c r="BQ107" i="40"/>
  <c r="BQ610" i="40"/>
  <c r="BQ284" i="40"/>
  <c r="BQ458" i="40"/>
  <c r="BQ373" i="40"/>
  <c r="BQ133" i="40"/>
  <c r="BQ360" i="40"/>
  <c r="BQ441" i="40"/>
  <c r="BQ75" i="40"/>
  <c r="CC32" i="42"/>
  <c r="CC169" i="42"/>
  <c r="CC241" i="42"/>
  <c r="CC60" i="42"/>
  <c r="CC477" i="42"/>
  <c r="BZ594" i="42"/>
  <c r="CB594" i="42" s="1"/>
  <c r="CC550" i="42"/>
  <c r="BZ554" i="42"/>
  <c r="CB554" i="42" s="1"/>
  <c r="CC131" i="42"/>
  <c r="BZ91" i="42"/>
  <c r="CB91" i="42" s="1"/>
  <c r="BZ27" i="42"/>
  <c r="CB27" i="42" s="1"/>
  <c r="CC367" i="42"/>
  <c r="BZ130" i="42"/>
  <c r="CB130" i="42" s="1"/>
  <c r="CC200" i="42"/>
  <c r="CC626" i="42"/>
  <c r="CC621" i="42"/>
  <c r="CC440" i="42"/>
  <c r="BZ121" i="42"/>
  <c r="CB121" i="42" s="1"/>
  <c r="CC161" i="42"/>
  <c r="CC566" i="42"/>
  <c r="BZ564" i="42"/>
  <c r="CB564" i="42" s="1"/>
  <c r="CC128" i="42"/>
  <c r="CC458" i="42"/>
  <c r="CC457" i="42"/>
  <c r="CC120" i="42"/>
  <c r="CC538" i="42"/>
  <c r="CC500" i="42"/>
  <c r="BZ520" i="42"/>
  <c r="CB520" i="42" s="1"/>
  <c r="CC488" i="42"/>
  <c r="BZ134" i="42"/>
  <c r="CB134" i="42" s="1"/>
  <c r="BZ255" i="42"/>
  <c r="CB255" i="42" s="1"/>
  <c r="CC61" i="42"/>
  <c r="BZ488" i="42"/>
  <c r="CB488" i="42" s="1"/>
  <c r="BZ654" i="42"/>
  <c r="CB654" i="42" s="1"/>
  <c r="BZ128" i="42"/>
  <c r="CB128" i="42" s="1"/>
  <c r="BZ568" i="42"/>
  <c r="CB568" i="42" s="1"/>
  <c r="CC442" i="42"/>
  <c r="BZ493" i="42"/>
  <c r="CB493" i="42" s="1"/>
  <c r="CC314" i="42"/>
  <c r="BZ250" i="42"/>
  <c r="CB250" i="42" s="1"/>
  <c r="CC243" i="42"/>
  <c r="BQ94" i="40"/>
  <c r="BQ375" i="40"/>
  <c r="BQ270" i="40"/>
  <c r="BQ343" i="40"/>
  <c r="BQ60" i="40"/>
  <c r="BQ475" i="40"/>
  <c r="BQ101" i="40"/>
  <c r="BQ262" i="40"/>
  <c r="BQ134" i="40"/>
  <c r="BQ609" i="40"/>
  <c r="BQ443" i="40"/>
  <c r="BQ77" i="40"/>
  <c r="BQ377" i="40"/>
  <c r="BQ468" i="40"/>
  <c r="Z347" i="42"/>
  <c r="AB347" i="42" s="1"/>
  <c r="Z244" i="42"/>
  <c r="AB244" i="42" s="1"/>
  <c r="Z257" i="42"/>
  <c r="AB257" i="42" s="1"/>
  <c r="Z530" i="42"/>
  <c r="AB530" i="42" s="1"/>
  <c r="Z100" i="42"/>
  <c r="AB100" i="42" s="1"/>
  <c r="Z113" i="42"/>
  <c r="AB113" i="42" s="1"/>
  <c r="Z65" i="42"/>
  <c r="AB65" i="42" s="1"/>
  <c r="Z399" i="42"/>
  <c r="AB399" i="42" s="1"/>
  <c r="Z30" i="42"/>
  <c r="AB30" i="42" s="1"/>
  <c r="Z332" i="42"/>
  <c r="AB332" i="42" s="1"/>
  <c r="CC579" i="42"/>
  <c r="CC460" i="42"/>
  <c r="CC162" i="42"/>
  <c r="BZ269" i="42"/>
  <c r="CB269" i="42" s="1"/>
  <c r="CC537" i="42"/>
  <c r="CC218" i="42"/>
  <c r="BZ457" i="42"/>
  <c r="CB457" i="42" s="1"/>
  <c r="CC100" i="42"/>
  <c r="CC359" i="42"/>
  <c r="CC127" i="42"/>
  <c r="BZ95" i="42"/>
  <c r="CB95" i="42" s="1"/>
  <c r="BZ464" i="42"/>
  <c r="CB464" i="42" s="1"/>
  <c r="CC28" i="42"/>
  <c r="BZ676" i="42"/>
  <c r="CB676" i="42" s="1"/>
  <c r="CC632" i="42"/>
  <c r="CC205" i="42"/>
  <c r="CC418" i="42"/>
  <c r="BZ310" i="42"/>
  <c r="CB310" i="42" s="1"/>
  <c r="CC454" i="42"/>
  <c r="CC201" i="42"/>
  <c r="BZ524" i="42"/>
  <c r="CB524" i="42" s="1"/>
  <c r="BZ585" i="42"/>
  <c r="CB585" i="42" s="1"/>
  <c r="BZ16" i="42"/>
  <c r="CB16" i="42" s="1"/>
  <c r="CC479" i="42"/>
  <c r="BZ96" i="42"/>
  <c r="CB96" i="42" s="1"/>
  <c r="CC384" i="42"/>
  <c r="BZ329" i="42"/>
  <c r="CB329" i="42" s="1"/>
  <c r="CC139" i="42"/>
  <c r="CC222" i="42"/>
  <c r="BZ280" i="42"/>
  <c r="CB280" i="42" s="1"/>
  <c r="BZ424" i="42"/>
  <c r="CB424" i="42" s="1"/>
  <c r="CC400" i="42"/>
  <c r="CC520" i="42"/>
  <c r="CC77" i="42"/>
  <c r="BZ53" i="42"/>
  <c r="CB53" i="42" s="1"/>
  <c r="CC165" i="42"/>
  <c r="CC594" i="42"/>
  <c r="BZ188" i="42"/>
  <c r="CB188" i="42" s="1"/>
  <c r="BZ541" i="42"/>
  <c r="CB541" i="42" s="1"/>
  <c r="BZ407" i="42"/>
  <c r="CB407" i="42" s="1"/>
  <c r="BZ234" i="42"/>
  <c r="CB234" i="42" s="1"/>
  <c r="CC166" i="42"/>
  <c r="BQ90" i="40"/>
  <c r="BQ465" i="40"/>
  <c r="BQ446" i="40"/>
  <c r="BQ69" i="40"/>
  <c r="BQ45" i="40"/>
  <c r="BQ264" i="40"/>
  <c r="BQ345" i="40"/>
  <c r="BQ436" i="40"/>
  <c r="Z288" i="42"/>
  <c r="AB288" i="42" s="1"/>
  <c r="Z427" i="42"/>
  <c r="AB427" i="42" s="1"/>
  <c r="Z253" i="42"/>
  <c r="AB253" i="42" s="1"/>
  <c r="Z552" i="42"/>
  <c r="AB552" i="42" s="1"/>
  <c r="Z83" i="42"/>
  <c r="AB83" i="42" s="1"/>
  <c r="Z285" i="42"/>
  <c r="AB285" i="42" s="1"/>
  <c r="Z207" i="42"/>
  <c r="AB207" i="42" s="1"/>
  <c r="Z443" i="42"/>
  <c r="AB443" i="42" s="1"/>
  <c r="Z490" i="42"/>
  <c r="AB490" i="42" s="1"/>
  <c r="Z218" i="42"/>
  <c r="AB218" i="42" s="1"/>
  <c r="Z394" i="42"/>
  <c r="AB394" i="42" s="1"/>
  <c r="Z626" i="42"/>
  <c r="AB626" i="42" s="1"/>
  <c r="Z639" i="42"/>
  <c r="AB639" i="42" s="1"/>
  <c r="Z209" i="42"/>
  <c r="AB209" i="42" s="1"/>
  <c r="Z482" i="42"/>
  <c r="AB482" i="42" s="1"/>
  <c r="Z495" i="42"/>
  <c r="AB495" i="42" s="1"/>
  <c r="Z447" i="42"/>
  <c r="AB447" i="42" s="1"/>
  <c r="Z78" i="42"/>
  <c r="AB78" i="42" s="1"/>
  <c r="Z635" i="42"/>
  <c r="AB635" i="42" s="1"/>
  <c r="Z682" i="42"/>
  <c r="AB682" i="42" s="1"/>
  <c r="BZ540" i="42"/>
  <c r="CB540" i="42" s="1"/>
  <c r="BZ202" i="42"/>
  <c r="CB202" i="42" s="1"/>
  <c r="CC617" i="42"/>
  <c r="CC392" i="42"/>
  <c r="BZ231" i="42"/>
  <c r="CB231" i="42" s="1"/>
  <c r="BZ546" i="42"/>
  <c r="CB546" i="42" s="1"/>
  <c r="CC97" i="42"/>
  <c r="CC609" i="42"/>
  <c r="CC470" i="42"/>
  <c r="BZ557" i="42"/>
  <c r="CB557" i="42" s="1"/>
  <c r="BZ471" i="42"/>
  <c r="CB471" i="42" s="1"/>
  <c r="BZ367" i="42"/>
  <c r="CB367" i="42" s="1"/>
  <c r="CC30" i="42"/>
  <c r="CC557" i="42"/>
  <c r="BZ525" i="42"/>
  <c r="CB525" i="42" s="1"/>
  <c r="CC229" i="42"/>
  <c r="CC536" i="42"/>
  <c r="BZ450" i="42"/>
  <c r="CB450" i="42" s="1"/>
  <c r="CC446" i="42"/>
  <c r="CC641" i="42"/>
  <c r="CC68" i="42"/>
  <c r="BZ460" i="42"/>
  <c r="CB460" i="42" s="1"/>
  <c r="CC104" i="42"/>
  <c r="BZ56" i="42"/>
  <c r="CB56" i="42" s="1"/>
  <c r="BZ362" i="42"/>
  <c r="CB362" i="42" s="1"/>
  <c r="CC671" i="42"/>
  <c r="BZ47" i="42"/>
  <c r="CB47" i="42" s="1"/>
  <c r="CC157" i="42"/>
  <c r="BZ142" i="42"/>
  <c r="CB142" i="42" s="1"/>
  <c r="BZ186" i="42"/>
  <c r="CB186" i="42" s="1"/>
  <c r="CC573" i="42"/>
  <c r="CC571" i="42"/>
  <c r="CC423" i="42"/>
  <c r="BZ126" i="42"/>
  <c r="CB126" i="42" s="1"/>
  <c r="BZ45" i="42"/>
  <c r="CB45" i="42" s="1"/>
  <c r="BZ614" i="42"/>
  <c r="CB614" i="42" s="1"/>
  <c r="CC554" i="42"/>
  <c r="BZ116" i="42"/>
  <c r="CB116" i="42" s="1"/>
  <c r="BZ501" i="42"/>
  <c r="CB501" i="42" s="1"/>
  <c r="BZ431" i="42"/>
  <c r="CB431" i="42" s="1"/>
  <c r="BZ162" i="42"/>
  <c r="CB162" i="42" s="1"/>
  <c r="BZ588" i="42"/>
  <c r="CB588" i="42" s="1"/>
  <c r="BQ606" i="40"/>
  <c r="BQ382" i="40"/>
  <c r="BQ122" i="40"/>
  <c r="BQ379" i="40"/>
  <c r="Z91" i="42"/>
  <c r="AB91" i="42" s="1"/>
  <c r="Z516" i="42"/>
  <c r="AB516" i="42" s="1"/>
  <c r="Z436" i="42"/>
  <c r="AB436" i="42" s="1"/>
  <c r="Z163" i="42"/>
  <c r="AB163" i="42" s="1"/>
  <c r="Z333" i="42"/>
  <c r="AB333" i="42" s="1"/>
  <c r="Z539" i="42"/>
  <c r="AB539" i="42" s="1"/>
  <c r="Z589" i="42"/>
  <c r="AB589" i="42" s="1"/>
  <c r="Z314" i="42"/>
  <c r="AB314" i="42" s="1"/>
  <c r="Z169" i="42"/>
  <c r="AB169" i="42" s="1"/>
  <c r="Z57" i="42"/>
  <c r="AB57" i="42" s="1"/>
  <c r="Z73" i="42"/>
  <c r="AB73" i="42" s="1"/>
  <c r="Z305" i="42"/>
  <c r="AB305" i="42" s="1"/>
  <c r="Z318" i="42"/>
  <c r="AB318" i="42" s="1"/>
  <c r="Z591" i="42"/>
  <c r="AB591" i="42" s="1"/>
  <c r="Z161" i="42"/>
  <c r="AB161" i="42" s="1"/>
  <c r="Z174" i="42"/>
  <c r="AB174" i="42" s="1"/>
  <c r="Z126" i="42"/>
  <c r="AB126" i="42" s="1"/>
  <c r="Z428" i="42"/>
  <c r="AB428" i="42" s="1"/>
  <c r="Z506" i="42"/>
  <c r="AB506" i="42" s="1"/>
  <c r="Z361" i="42"/>
  <c r="AB361" i="42" s="1"/>
  <c r="BZ18" i="42"/>
  <c r="CB18" i="42" s="1"/>
  <c r="BZ569" i="42"/>
  <c r="CB569" i="42" s="1"/>
  <c r="CC325" i="42"/>
  <c r="BZ139" i="42"/>
  <c r="CB139" i="42" s="1"/>
  <c r="CC376" i="42"/>
  <c r="BZ350" i="42"/>
  <c r="CB350" i="42" s="1"/>
  <c r="CC306" i="42"/>
  <c r="BZ521" i="42"/>
  <c r="CB521" i="42" s="1"/>
  <c r="BZ296" i="42"/>
  <c r="CB296" i="42" s="1"/>
  <c r="CC559" i="42"/>
  <c r="BZ495" i="42"/>
  <c r="CB495" i="42" s="1"/>
  <c r="CC59" i="42"/>
  <c r="BZ321" i="42"/>
  <c r="CB321" i="42" s="1"/>
  <c r="BZ185" i="42"/>
  <c r="CB185" i="42" s="1"/>
  <c r="BZ146" i="42"/>
  <c r="CB146" i="42" s="1"/>
  <c r="BZ243" i="42"/>
  <c r="CB243" i="42" s="1"/>
  <c r="BZ429" i="42"/>
  <c r="CB429" i="42" s="1"/>
  <c r="CC484" i="42"/>
  <c r="BZ97" i="42"/>
  <c r="CB97" i="42" s="1"/>
  <c r="BZ155" i="42"/>
  <c r="CB155" i="42" s="1"/>
  <c r="CC70" i="42"/>
  <c r="BZ537" i="42"/>
  <c r="CB537" i="42" s="1"/>
  <c r="BZ288" i="42"/>
  <c r="CB288" i="42" s="1"/>
  <c r="BZ641" i="42"/>
  <c r="CB641" i="42" s="1"/>
  <c r="CC511" i="42"/>
  <c r="CC578" i="42"/>
  <c r="BZ39" i="42"/>
  <c r="CB39" i="42" s="1"/>
  <c r="CC135" i="42"/>
  <c r="CC584" i="42"/>
  <c r="BZ617" i="42"/>
  <c r="CB617" i="42" s="1"/>
  <c r="BZ681" i="42"/>
  <c r="CB681" i="42" s="1"/>
  <c r="CC110" i="42"/>
  <c r="BZ360" i="42"/>
  <c r="CB360" i="42" s="1"/>
  <c r="CC284" i="42"/>
  <c r="BZ252" i="42"/>
  <c r="CB252" i="42" s="1"/>
  <c r="BZ29" i="42"/>
  <c r="CB29" i="42" s="1"/>
  <c r="CC173" i="42"/>
  <c r="BZ518" i="42"/>
  <c r="CB518" i="42" s="1"/>
  <c r="BZ408" i="42"/>
  <c r="CB408" i="42" s="1"/>
  <c r="CC433" i="42"/>
  <c r="CC196" i="42"/>
  <c r="BZ612" i="42"/>
  <c r="CB612" i="42" s="1"/>
  <c r="BQ103" i="40"/>
  <c r="BQ478" i="40"/>
  <c r="BQ371" i="40"/>
  <c r="BQ463" i="40"/>
  <c r="BQ46" i="40"/>
  <c r="BQ347" i="40"/>
  <c r="BQ104" i="40"/>
  <c r="BQ372" i="40"/>
  <c r="Z410" i="42"/>
  <c r="AB410" i="42" s="1"/>
  <c r="Z236" i="42"/>
  <c r="AB236" i="42" s="1"/>
  <c r="Z153" i="42"/>
  <c r="AB153" i="42" s="1"/>
  <c r="Z615" i="42"/>
  <c r="AB615" i="42" s="1"/>
  <c r="Z567" i="42"/>
  <c r="AB567" i="42" s="1"/>
  <c r="Z519" i="42"/>
  <c r="AB519" i="42" s="1"/>
  <c r="Z366" i="42"/>
  <c r="AB366" i="42" s="1"/>
  <c r="Z124" i="42"/>
  <c r="AB124" i="42" s="1"/>
  <c r="Z270" i="42"/>
  <c r="AB270" i="42" s="1"/>
  <c r="Z543" i="42"/>
  <c r="AB543" i="42" s="1"/>
  <c r="Z524" i="42"/>
  <c r="AB524" i="42" s="1"/>
  <c r="Z29" i="42"/>
  <c r="AB29" i="42" s="1"/>
  <c r="Z75" i="42"/>
  <c r="AB75" i="42" s="1"/>
  <c r="Z345" i="42"/>
  <c r="AB345" i="42" s="1"/>
  <c r="Z104" i="42"/>
  <c r="AB104" i="42" s="1"/>
  <c r="BZ671" i="42"/>
  <c r="CB671" i="42" s="1"/>
  <c r="CC438" i="42"/>
  <c r="CC363" i="42"/>
  <c r="BZ396" i="42"/>
  <c r="CB396" i="42" s="1"/>
  <c r="BZ309" i="42"/>
  <c r="CB309" i="42" s="1"/>
  <c r="CC398" i="42"/>
  <c r="BZ320" i="42"/>
  <c r="CB320" i="42" s="1"/>
  <c r="CC207" i="42"/>
  <c r="BZ634" i="42"/>
  <c r="CB634" i="42" s="1"/>
  <c r="CC91" i="42"/>
  <c r="CC497" i="42"/>
  <c r="BZ124" i="42"/>
  <c r="CB124" i="42" s="1"/>
  <c r="CC355" i="42"/>
  <c r="BZ303" i="42"/>
  <c r="CB303" i="42" s="1"/>
  <c r="CC259" i="42"/>
  <c r="BZ120" i="42"/>
  <c r="CB120" i="42" s="1"/>
  <c r="BZ98" i="42"/>
  <c r="CB98" i="42" s="1"/>
  <c r="BZ498" i="42"/>
  <c r="CB498" i="42" s="1"/>
  <c r="BZ107" i="42"/>
  <c r="CB107" i="42" s="1"/>
  <c r="BZ508" i="42"/>
  <c r="CB508" i="42" s="1"/>
  <c r="CC395" i="42"/>
  <c r="CC92" i="42"/>
  <c r="CC676" i="42"/>
  <c r="BZ384" i="42"/>
  <c r="CB384" i="42" s="1"/>
  <c r="CC501" i="42"/>
  <c r="BZ592" i="42"/>
  <c r="CB592" i="42" s="1"/>
  <c r="BZ244" i="42"/>
  <c r="CB244" i="42" s="1"/>
  <c r="CC567" i="42"/>
  <c r="BZ595" i="42"/>
  <c r="CB595" i="42" s="1"/>
  <c r="BZ62" i="42"/>
  <c r="CB62" i="42" s="1"/>
  <c r="BZ94" i="42"/>
  <c r="CB94" i="42" s="1"/>
  <c r="BZ481" i="42"/>
  <c r="CB481" i="42" s="1"/>
  <c r="BZ502" i="42"/>
  <c r="CB502" i="42" s="1"/>
  <c r="CC455" i="42"/>
  <c r="CC401" i="42"/>
  <c r="BZ635" i="42"/>
  <c r="CB635" i="42" s="1"/>
  <c r="CC197" i="42"/>
  <c r="CC646" i="42"/>
  <c r="CC410" i="42"/>
  <c r="CC425" i="42"/>
  <c r="BZ598" i="42"/>
  <c r="CB598" i="42" s="1"/>
  <c r="BZ636" i="42"/>
  <c r="CB636" i="42" s="1"/>
  <c r="BQ480" i="40"/>
  <c r="BQ401" i="40"/>
  <c r="BQ438" i="40"/>
  <c r="BQ249" i="40"/>
  <c r="Z198" i="42"/>
  <c r="AB198" i="42" s="1"/>
  <c r="Z221" i="42"/>
  <c r="AB221" i="42" s="1"/>
  <c r="Z620" i="42"/>
  <c r="AB620" i="42" s="1"/>
  <c r="Z222" i="42"/>
  <c r="AB222" i="42" s="1"/>
  <c r="Z171" i="42"/>
  <c r="AB171" i="42" s="1"/>
  <c r="Z602" i="42"/>
  <c r="AB602" i="42" s="1"/>
  <c r="Z457" i="42"/>
  <c r="AB457" i="42" s="1"/>
  <c r="Z152" i="42"/>
  <c r="AB152" i="42" s="1"/>
  <c r="Z486" i="42"/>
  <c r="AB486" i="42" s="1"/>
  <c r="BZ326" i="42"/>
  <c r="CB326" i="42" s="1"/>
  <c r="CC295" i="42"/>
  <c r="BZ170" i="42"/>
  <c r="CB170" i="42" s="1"/>
  <c r="CC572" i="42"/>
  <c r="BZ679" i="42"/>
  <c r="CB679" i="42" s="1"/>
  <c r="CC585" i="42"/>
  <c r="BZ78" i="42"/>
  <c r="CB78" i="42" s="1"/>
  <c r="CC545" i="42"/>
  <c r="CC56" i="42"/>
  <c r="CC474" i="42"/>
  <c r="CC489" i="42"/>
  <c r="BZ282" i="42"/>
  <c r="CB282" i="42" s="1"/>
  <c r="BZ369" i="42"/>
  <c r="CB369" i="42" s="1"/>
  <c r="CC472" i="42"/>
  <c r="BZ440" i="42"/>
  <c r="CB440" i="42" s="1"/>
  <c r="BZ675" i="42"/>
  <c r="CB675" i="42" s="1"/>
  <c r="CC163" i="42"/>
  <c r="CC468" i="42"/>
  <c r="BZ117" i="42"/>
  <c r="CB117" i="42" s="1"/>
  <c r="CC531" i="42"/>
  <c r="BZ441" i="42"/>
  <c r="CB441" i="42" s="1"/>
  <c r="BZ382" i="42"/>
  <c r="CB382" i="42" s="1"/>
  <c r="BZ572" i="42"/>
  <c r="CB572" i="42" s="1"/>
  <c r="BZ427" i="42"/>
  <c r="CB427" i="42" s="1"/>
  <c r="CC63" i="42"/>
  <c r="BZ616" i="42"/>
  <c r="CB616" i="42" s="1"/>
  <c r="CC393" i="42"/>
  <c r="BZ581" i="42"/>
  <c r="CB581" i="42" s="1"/>
  <c r="CC179" i="42"/>
  <c r="BZ199" i="42"/>
  <c r="CB199" i="42" s="1"/>
  <c r="BZ531" i="42"/>
  <c r="CB531" i="42" s="1"/>
  <c r="CC82" i="42"/>
  <c r="CC391" i="42"/>
  <c r="BZ563" i="42"/>
  <c r="CB563" i="42" s="1"/>
  <c r="BZ391" i="42"/>
  <c r="CB391" i="42" s="1"/>
  <c r="BZ241" i="42"/>
  <c r="CB241" i="42" s="1"/>
  <c r="CC315" i="42"/>
  <c r="BZ539" i="42"/>
  <c r="CB539" i="42" s="1"/>
  <c r="CC434" i="42"/>
  <c r="CC300" i="42"/>
  <c r="BZ257" i="42"/>
  <c r="CB257" i="42" s="1"/>
  <c r="BZ628" i="42"/>
  <c r="CB628" i="42" s="1"/>
  <c r="BQ608" i="40"/>
  <c r="BQ403" i="40"/>
  <c r="BQ384" i="40"/>
  <c r="BQ97" i="40"/>
  <c r="BQ268" i="40"/>
  <c r="BQ399" i="40"/>
  <c r="BQ283" i="40"/>
  <c r="BQ276" i="40"/>
  <c r="Z680" i="42"/>
  <c r="AB680" i="42" s="1"/>
  <c r="Z526" i="42"/>
  <c r="AB526" i="42" s="1"/>
  <c r="Z348" i="42"/>
  <c r="AB348" i="42" s="1"/>
  <c r="Z56" i="42"/>
  <c r="AB56" i="42" s="1"/>
  <c r="Z265" i="42"/>
  <c r="AB265" i="42" s="1"/>
  <c r="Z342" i="42"/>
  <c r="AB342" i="42" s="1"/>
  <c r="Z676" i="42"/>
  <c r="AB676" i="42" s="1"/>
  <c r="Z628" i="42"/>
  <c r="AB628" i="42" s="1"/>
  <c r="Z580" i="42"/>
  <c r="AB580" i="42" s="1"/>
  <c r="Z363" i="42"/>
  <c r="AB363" i="42" s="1"/>
  <c r="Z633" i="42"/>
  <c r="AB633" i="42" s="1"/>
  <c r="Z267" i="42"/>
  <c r="AB267" i="42" s="1"/>
  <c r="Z28" i="42"/>
  <c r="AB28" i="42" s="1"/>
  <c r="Z553" i="42"/>
  <c r="AB553" i="42" s="1"/>
  <c r="Z441" i="42"/>
  <c r="AB441" i="42" s="1"/>
  <c r="Z200" i="42"/>
  <c r="AB200" i="42" s="1"/>
  <c r="Z534" i="42"/>
  <c r="AB534" i="42" s="1"/>
  <c r="Z165" i="42"/>
  <c r="AB165" i="42" s="1"/>
  <c r="BZ105" i="42"/>
  <c r="CB105" i="42" s="1"/>
  <c r="BZ623" i="42"/>
  <c r="CB623" i="42" s="1"/>
  <c r="CC114" i="42"/>
  <c r="BZ632" i="42"/>
  <c r="CB632" i="42" s="1"/>
  <c r="CC312" i="42"/>
  <c r="CC452" i="42"/>
  <c r="CC177" i="42"/>
  <c r="BZ221" i="42"/>
  <c r="CB221" i="42" s="1"/>
  <c r="BZ476" i="42"/>
  <c r="CB476" i="42" s="1"/>
  <c r="CC592" i="42"/>
  <c r="CC364" i="42"/>
  <c r="BZ421" i="42"/>
  <c r="CB421" i="42" s="1"/>
  <c r="BZ361" i="42"/>
  <c r="CB361" i="42" s="1"/>
  <c r="CC643" i="42"/>
  <c r="CC589" i="42"/>
  <c r="CC81" i="42"/>
  <c r="BZ344" i="42"/>
  <c r="CB344" i="42" s="1"/>
  <c r="CC113" i="42"/>
  <c r="BZ111" i="42"/>
  <c r="CB111" i="42" s="1"/>
  <c r="CC406" i="42"/>
  <c r="CC443" i="42"/>
  <c r="CC48" i="42"/>
  <c r="CC456" i="42"/>
  <c r="BZ556" i="42"/>
  <c r="CB556" i="42" s="1"/>
  <c r="BZ416" i="42"/>
  <c r="CB416" i="42" s="1"/>
  <c r="BZ576" i="42"/>
  <c r="CB576" i="42" s="1"/>
  <c r="BZ383" i="42"/>
  <c r="CB383" i="42" s="1"/>
  <c r="CC615" i="42"/>
  <c r="CC297" i="42"/>
  <c r="BZ532" i="42"/>
  <c r="CB532" i="42" s="1"/>
  <c r="BZ470" i="42"/>
  <c r="CB470" i="42" s="1"/>
  <c r="CC336" i="42"/>
  <c r="BZ178" i="42"/>
  <c r="CB178" i="42" s="1"/>
  <c r="CC37" i="42"/>
  <c r="CC316" i="42"/>
  <c r="BZ359" i="42"/>
  <c r="CB359" i="42" s="1"/>
  <c r="BZ496" i="42"/>
  <c r="CB496" i="42" s="1"/>
  <c r="CC148" i="42"/>
  <c r="CC394" i="42"/>
  <c r="BZ346" i="42"/>
  <c r="CB346" i="42" s="1"/>
  <c r="CC291" i="42"/>
  <c r="CC534" i="42"/>
  <c r="BQ474" i="40"/>
  <c r="BQ78" i="40"/>
  <c r="BQ367" i="40"/>
  <c r="BQ64" i="40"/>
  <c r="BQ374" i="40"/>
  <c r="BQ89" i="40"/>
  <c r="BQ244" i="40"/>
  <c r="Z440" i="42"/>
  <c r="AB440" i="42" s="1"/>
  <c r="Z649" i="42"/>
  <c r="AB649" i="42" s="1"/>
  <c r="Z537" i="42"/>
  <c r="AB537" i="42" s="1"/>
  <c r="Z296" i="42"/>
  <c r="AB296" i="42" s="1"/>
  <c r="Z248" i="42"/>
  <c r="AB248" i="42" s="1"/>
  <c r="Z582" i="42"/>
  <c r="AB582" i="42" s="1"/>
  <c r="Z213" i="42"/>
  <c r="AB213" i="42" s="1"/>
  <c r="Z547" i="42"/>
  <c r="AB547" i="42" s="1"/>
  <c r="BZ562" i="42"/>
  <c r="CB562" i="42" s="1"/>
  <c r="BZ235" i="42"/>
  <c r="CB235" i="42" s="1"/>
  <c r="CC98" i="42"/>
  <c r="BZ522" i="42"/>
  <c r="CB522" i="42" s="1"/>
  <c r="BZ468" i="42"/>
  <c r="CB468" i="42" s="1"/>
  <c r="BZ304" i="42"/>
  <c r="CB304" i="42" s="1"/>
  <c r="CC515" i="42"/>
  <c r="CC335" i="42"/>
  <c r="CC58" i="42"/>
  <c r="BZ485" i="42"/>
  <c r="CB485" i="42" s="1"/>
  <c r="BZ410" i="42"/>
  <c r="CB410" i="42" s="1"/>
  <c r="CC549" i="42"/>
  <c r="BZ236" i="42"/>
  <c r="CB236" i="42" s="1"/>
  <c r="CC249" i="42"/>
  <c r="BZ164" i="42"/>
  <c r="CB164" i="42" s="1"/>
  <c r="BZ472" i="42"/>
  <c r="CB472" i="42" s="1"/>
  <c r="CC493" i="42"/>
  <c r="CC123" i="42"/>
  <c r="BZ503" i="42"/>
  <c r="CB503" i="42" s="1"/>
  <c r="CC483" i="42"/>
  <c r="CC435" i="42"/>
  <c r="BZ302" i="42"/>
  <c r="CB302" i="42" s="1"/>
  <c r="CC118" i="42"/>
  <c r="CC330" i="42"/>
  <c r="CC144" i="42"/>
  <c r="BZ195" i="42"/>
  <c r="CB195" i="42" s="1"/>
  <c r="BZ298" i="42"/>
  <c r="CB298" i="42" s="1"/>
  <c r="CC168" i="42"/>
  <c r="BZ510" i="42"/>
  <c r="CB510" i="42" s="1"/>
  <c r="BZ137" i="42"/>
  <c r="CB137" i="42" s="1"/>
  <c r="BZ433" i="42"/>
  <c r="CB433" i="42" s="1"/>
  <c r="BZ403" i="42"/>
  <c r="CB403" i="42" s="1"/>
  <c r="BZ492" i="42"/>
  <c r="CB492" i="42" s="1"/>
  <c r="BZ413" i="42"/>
  <c r="CB413" i="42" s="1"/>
  <c r="BZ306" i="42"/>
  <c r="CB306" i="42" s="1"/>
  <c r="CC528" i="42"/>
  <c r="BZ667" i="42"/>
  <c r="CB667" i="42" s="1"/>
  <c r="BZ604" i="42"/>
  <c r="CB604" i="42" s="1"/>
  <c r="BZ90" i="42"/>
  <c r="CB90" i="42" s="1"/>
  <c r="CC348" i="42"/>
  <c r="BZ305" i="42"/>
  <c r="CB305" i="42" s="1"/>
  <c r="CC558" i="42"/>
  <c r="BQ341" i="40"/>
  <c r="BQ110" i="40"/>
  <c r="BQ342" i="40"/>
  <c r="BQ57" i="40"/>
  <c r="BQ116" i="40"/>
  <c r="BQ99" i="40"/>
  <c r="BQ455" i="40"/>
  <c r="BQ271" i="40"/>
  <c r="BQ123" i="40"/>
  <c r="BQ67" i="40"/>
  <c r="BQ84" i="40"/>
  <c r="BQ644" i="40"/>
  <c r="BQ102" i="40"/>
  <c r="BQ602" i="40"/>
  <c r="BQ647" i="40"/>
  <c r="BQ106" i="40"/>
  <c r="BQ380" i="40"/>
  <c r="BQ457" i="40"/>
  <c r="BQ91" i="40"/>
  <c r="BQ246" i="40"/>
  <c r="BQ52" i="40"/>
  <c r="BQ476" i="40"/>
  <c r="BQ646" i="40"/>
  <c r="BQ111" i="40"/>
  <c r="BQ59" i="40"/>
  <c r="BQ118" i="40"/>
  <c r="BQ482" i="40"/>
  <c r="BQ79" i="40"/>
  <c r="BQ361" i="40"/>
  <c r="BQ86" i="40"/>
  <c r="BQ477" i="40"/>
  <c r="BQ596" i="40"/>
  <c r="BQ598" i="40"/>
  <c r="BQ350" i="40"/>
  <c r="BQ348" i="40"/>
  <c r="BQ398" i="40"/>
  <c r="BQ87" i="40"/>
  <c r="BQ445" i="40"/>
  <c r="BQ607" i="40"/>
  <c r="BQ108" i="40"/>
  <c r="BQ605" i="40"/>
  <c r="BQ131" i="40"/>
  <c r="BQ247" i="40"/>
  <c r="BQ115" i="40"/>
  <c r="BQ62" i="40"/>
  <c r="BQ354" i="40"/>
  <c r="BQ381" i="40"/>
  <c r="CC374" i="42"/>
  <c r="BZ131" i="42"/>
  <c r="CB131" i="42" s="1"/>
  <c r="BZ26" i="42"/>
  <c r="CB26" i="42" s="1"/>
  <c r="BZ575" i="42"/>
  <c r="CB575" i="42" s="1"/>
  <c r="CC499" i="42"/>
  <c r="BZ119" i="42"/>
  <c r="CB119" i="42" s="1"/>
  <c r="CC518" i="42"/>
  <c r="CC540" i="42"/>
  <c r="CC507" i="42"/>
  <c r="CC672" i="42"/>
  <c r="CC43" i="42"/>
  <c r="CC278" i="42"/>
  <c r="BZ526" i="42"/>
  <c r="CB526" i="42" s="1"/>
  <c r="CC421" i="42"/>
  <c r="CC256" i="42"/>
  <c r="BZ82" i="42"/>
  <c r="CB82" i="42" s="1"/>
  <c r="BZ589" i="42"/>
  <c r="CB589" i="42" s="1"/>
  <c r="CC49" i="42"/>
  <c r="BZ25" i="42"/>
  <c r="CB25" i="42" s="1"/>
  <c r="BZ83" i="42"/>
  <c r="CB83" i="42" s="1"/>
  <c r="BZ63" i="42"/>
  <c r="CB63" i="42" s="1"/>
  <c r="CC387" i="42"/>
  <c r="BZ371" i="42"/>
  <c r="CB371" i="42" s="1"/>
  <c r="CC344" i="42"/>
  <c r="CC261" i="42"/>
  <c r="BZ448" i="42"/>
  <c r="CB448" i="42" s="1"/>
  <c r="CC620" i="42"/>
  <c r="CC552" i="42"/>
  <c r="BZ511" i="42"/>
  <c r="CB511" i="42" s="1"/>
  <c r="CC342" i="42"/>
  <c r="BZ61" i="42"/>
  <c r="CB61" i="42" s="1"/>
  <c r="CC38" i="42"/>
  <c r="BZ323" i="42"/>
  <c r="CB323" i="42" s="1"/>
  <c r="BZ299" i="42"/>
  <c r="CB299" i="42" s="1"/>
  <c r="CC603" i="42"/>
  <c r="BZ601" i="42"/>
  <c r="CB601" i="42" s="1"/>
  <c r="BZ657" i="42"/>
  <c r="CB657" i="42" s="1"/>
  <c r="CC198" i="42"/>
  <c r="CC388" i="42"/>
  <c r="BZ445" i="42"/>
  <c r="CB445" i="42" s="1"/>
  <c r="CC678" i="42"/>
  <c r="BZ606" i="42"/>
  <c r="CB606" i="42" s="1"/>
  <c r="BQ129" i="40"/>
  <c r="BQ119" i="40"/>
  <c r="BQ454" i="40"/>
  <c r="BQ356" i="40"/>
  <c r="BQ479" i="40"/>
  <c r="BQ349" i="40"/>
  <c r="BQ599" i="40"/>
  <c r="BQ442" i="40"/>
  <c r="BQ346" i="40"/>
  <c r="BQ440" i="40"/>
  <c r="BQ105" i="40"/>
  <c r="BQ285" i="40"/>
  <c r="Z660" i="42"/>
  <c r="AB660" i="42" s="1"/>
  <c r="Z291" i="42"/>
  <c r="AB291" i="42" s="1"/>
  <c r="Z243" i="42"/>
  <c r="AB243" i="42" s="1"/>
  <c r="Z349" i="42"/>
  <c r="AB349" i="42" s="1"/>
  <c r="Z681" i="42"/>
  <c r="AB681" i="42" s="1"/>
  <c r="Z157" i="42"/>
  <c r="AB157" i="42" s="1"/>
  <c r="Z203" i="42"/>
  <c r="AB203" i="42" s="1"/>
  <c r="Z473" i="42"/>
  <c r="AB473" i="42" s="1"/>
  <c r="Z232" i="42"/>
  <c r="AB232" i="42" s="1"/>
  <c r="Z566" i="42"/>
  <c r="AB566" i="42" s="1"/>
  <c r="Z197" i="42"/>
  <c r="AB197" i="42" s="1"/>
  <c r="Z149" i="42"/>
  <c r="AB149" i="42" s="1"/>
  <c r="CC419" i="42"/>
  <c r="CC52" i="42"/>
  <c r="BZ602" i="42"/>
  <c r="CB602" i="42" s="1"/>
  <c r="CC80" i="42"/>
  <c r="BZ385" i="42"/>
  <c r="CB385" i="42" s="1"/>
  <c r="BZ34" i="42"/>
  <c r="CB34" i="42" s="1"/>
  <c r="CC649" i="42"/>
  <c r="BZ419" i="42"/>
  <c r="CB419" i="42" s="1"/>
  <c r="BZ436" i="42"/>
  <c r="CB436" i="42" s="1"/>
  <c r="BZ187" i="42"/>
  <c r="CB187" i="42" s="1"/>
  <c r="CC496" i="42"/>
  <c r="CC326" i="42"/>
  <c r="CC154" i="42"/>
  <c r="BZ224" i="42"/>
  <c r="CB224" i="42" s="1"/>
  <c r="BZ207" i="42"/>
  <c r="CB207" i="42" s="1"/>
  <c r="BZ633" i="42"/>
  <c r="CB633" i="42" s="1"/>
  <c r="BZ637" i="42"/>
  <c r="CB637" i="42" s="1"/>
  <c r="CC236" i="42"/>
  <c r="BZ375" i="42"/>
  <c r="CB375" i="42" s="1"/>
  <c r="BZ87" i="42"/>
  <c r="CB87" i="42" s="1"/>
  <c r="BZ104" i="42"/>
  <c r="CB104" i="42" s="1"/>
  <c r="BZ393" i="42"/>
  <c r="CB393" i="42" s="1"/>
  <c r="CC248" i="42"/>
  <c r="BZ30" i="42"/>
  <c r="CB30" i="42" s="1"/>
  <c r="BZ136" i="42"/>
  <c r="CB136" i="42" s="1"/>
  <c r="CC55" i="42"/>
  <c r="BZ422" i="42"/>
  <c r="CB422" i="42" s="1"/>
  <c r="CC158" i="42"/>
  <c r="CC420" i="42"/>
  <c r="CC390" i="42"/>
  <c r="CC189" i="42"/>
  <c r="BZ377" i="42"/>
  <c r="CB377" i="42" s="1"/>
  <c r="CC349" i="42"/>
  <c r="BZ20" i="42"/>
  <c r="CB20" i="42" s="1"/>
  <c r="BZ443" i="42"/>
  <c r="CB443" i="42" s="1"/>
  <c r="BZ44" i="42"/>
  <c r="CB44" i="42" s="1"/>
  <c r="BZ662" i="42"/>
  <c r="CB662" i="42" s="1"/>
  <c r="BZ620" i="42"/>
  <c r="CB620" i="42" s="1"/>
  <c r="CC372" i="42"/>
  <c r="CC343" i="42"/>
  <c r="CC257" i="42"/>
  <c r="CC195" i="42"/>
  <c r="BQ444" i="40"/>
  <c r="BQ359" i="40"/>
  <c r="BQ611" i="40"/>
  <c r="BQ353" i="40"/>
  <c r="BQ73" i="40"/>
  <c r="BQ464" i="40"/>
  <c r="Z247" i="42"/>
  <c r="AB247" i="42" s="1"/>
  <c r="Z645" i="42"/>
  <c r="AB645" i="42" s="1"/>
  <c r="Z112" i="42"/>
  <c r="AB112" i="42" s="1"/>
  <c r="Z622" i="42"/>
  <c r="AB622" i="42" s="1"/>
  <c r="Z462" i="42"/>
  <c r="AB462" i="42" s="1"/>
  <c r="Z284" i="42"/>
  <c r="AB284" i="42" s="1"/>
  <c r="Z422" i="42"/>
  <c r="AB422" i="42" s="1"/>
  <c r="Z435" i="42"/>
  <c r="AB435" i="42" s="1"/>
  <c r="Z387" i="42"/>
  <c r="AB387" i="42" s="1"/>
  <c r="Z339" i="42"/>
  <c r="AB339" i="42" s="1"/>
  <c r="Z673" i="42"/>
  <c r="AB673" i="42" s="1"/>
  <c r="Z625" i="42"/>
  <c r="AB625" i="42" s="1"/>
  <c r="Z665" i="42"/>
  <c r="AB665" i="42" s="1"/>
  <c r="Z424" i="42"/>
  <c r="AB424" i="42" s="1"/>
  <c r="Z569" i="42"/>
  <c r="AB569" i="42" s="1"/>
  <c r="Z585" i="42"/>
  <c r="AB585" i="42" s="1"/>
  <c r="Z280" i="42"/>
  <c r="AB280" i="42" s="1"/>
  <c r="Z614" i="42"/>
  <c r="AB614" i="42" s="1"/>
  <c r="Z245" i="42"/>
  <c r="AB245" i="42" s="1"/>
  <c r="Z579" i="42"/>
  <c r="AB579" i="42" s="1"/>
  <c r="Z531" i="42"/>
  <c r="AB531" i="42" s="1"/>
  <c r="BZ682" i="42"/>
  <c r="CB682" i="42" s="1"/>
  <c r="BZ81" i="42"/>
  <c r="CB81" i="42" s="1"/>
  <c r="CC524" i="42"/>
  <c r="CC309" i="42"/>
  <c r="BZ543" i="42"/>
  <c r="CB543" i="42" s="1"/>
  <c r="CC574" i="42"/>
  <c r="BZ141" i="42"/>
  <c r="CB141" i="42" s="1"/>
  <c r="BZ467" i="42"/>
  <c r="CB467" i="42" s="1"/>
  <c r="BZ165" i="42"/>
  <c r="CB165" i="42" s="1"/>
  <c r="BZ378" i="42"/>
  <c r="CB378" i="42" s="1"/>
  <c r="BZ389" i="42"/>
  <c r="CB389" i="42" s="1"/>
  <c r="CC318" i="42"/>
  <c r="CC590" i="42"/>
  <c r="CC186" i="42"/>
  <c r="CC126" i="42"/>
  <c r="BZ58" i="42"/>
  <c r="CB58" i="42" s="1"/>
  <c r="BZ597" i="42"/>
  <c r="CB597" i="42" s="1"/>
  <c r="CC407" i="42"/>
  <c r="CC353" i="42"/>
  <c r="CC449" i="42"/>
  <c r="CC182" i="42"/>
  <c r="BZ268" i="42"/>
  <c r="CB268" i="42" s="1"/>
  <c r="BZ262" i="42"/>
  <c r="CB262" i="42" s="1"/>
  <c r="CC202" i="42"/>
  <c r="BZ166" i="42"/>
  <c r="CB166" i="42" s="1"/>
  <c r="BZ48" i="42"/>
  <c r="CB48" i="42" s="1"/>
  <c r="BZ349" i="42"/>
  <c r="CB349" i="42" s="1"/>
  <c r="BZ649" i="42"/>
  <c r="CB649" i="42" s="1"/>
  <c r="BZ434" i="42"/>
  <c r="CB434" i="42" s="1"/>
  <c r="CC382" i="42"/>
  <c r="CC380" i="42"/>
  <c r="CC379" i="42"/>
  <c r="BZ203" i="42"/>
  <c r="CB203" i="42" s="1"/>
  <c r="BZ232" i="42"/>
  <c r="CB232" i="42" s="1"/>
  <c r="BZ46" i="42"/>
  <c r="CB46" i="42" s="1"/>
  <c r="CC274" i="42"/>
  <c r="CC155" i="42"/>
  <c r="BZ644" i="42"/>
  <c r="CB644" i="42" s="1"/>
  <c r="CC65" i="42"/>
  <c r="BZ357" i="42"/>
  <c r="CB357" i="42" s="1"/>
  <c r="CC281" i="42"/>
  <c r="BZ209" i="42"/>
  <c r="CB209" i="42" s="1"/>
  <c r="BQ649" i="40"/>
  <c r="BQ369" i="40"/>
  <c r="BQ117" i="40"/>
  <c r="BQ96" i="40"/>
  <c r="BQ376" i="40"/>
  <c r="BQ383" i="40"/>
  <c r="BQ130" i="40"/>
  <c r="Z192" i="42"/>
  <c r="AB192" i="42" s="1"/>
  <c r="Z298" i="42"/>
  <c r="AB298" i="42" s="1"/>
  <c r="Z138" i="42"/>
  <c r="AB138" i="42" s="1"/>
  <c r="Z455" i="42"/>
  <c r="AB455" i="42" s="1"/>
  <c r="Z407" i="42"/>
  <c r="AB407" i="42" s="1"/>
  <c r="Z101" i="42"/>
  <c r="AB101" i="42" s="1"/>
  <c r="Z114" i="42"/>
  <c r="AB114" i="42" s="1"/>
  <c r="Z66" i="42"/>
  <c r="AB66" i="42" s="1"/>
  <c r="Z18" i="42"/>
  <c r="AB18" i="42" s="1"/>
  <c r="Z352" i="42"/>
  <c r="AB352" i="42" s="1"/>
  <c r="Z304" i="42"/>
  <c r="AB304" i="42" s="1"/>
  <c r="Z472" i="42"/>
  <c r="AB472" i="42" s="1"/>
  <c r="Z103" i="42"/>
  <c r="AB103" i="42" s="1"/>
  <c r="Z376" i="42"/>
  <c r="AB376" i="42" s="1"/>
  <c r="Z328" i="42"/>
  <c r="AB328" i="42" s="1"/>
  <c r="Z662" i="42"/>
  <c r="AB662" i="42" s="1"/>
  <c r="Z293" i="42"/>
  <c r="AB293" i="42" s="1"/>
  <c r="Z627" i="42"/>
  <c r="AB627" i="42" s="1"/>
  <c r="Z258" i="42"/>
  <c r="AB258" i="42" s="1"/>
  <c r="Z210" i="42"/>
  <c r="AB210" i="42" s="1"/>
  <c r="CC134" i="42"/>
  <c r="BZ210" i="42"/>
  <c r="CB210" i="42" s="1"/>
  <c r="BZ200" i="42"/>
  <c r="CB200" i="42" s="1"/>
  <c r="BZ317" i="42"/>
  <c r="CB317" i="42" s="1"/>
  <c r="BZ50" i="42"/>
  <c r="CB50" i="42" s="1"/>
  <c r="BZ451" i="42"/>
  <c r="CB451" i="42" s="1"/>
  <c r="BZ173" i="42"/>
  <c r="CB173" i="42" s="1"/>
  <c r="BZ240" i="42"/>
  <c r="CB240" i="42" s="1"/>
  <c r="CC311" i="42"/>
  <c r="BZ517" i="42"/>
  <c r="CB517" i="42" s="1"/>
  <c r="BZ84" i="42"/>
  <c r="CB84" i="42" s="1"/>
  <c r="BZ33" i="42"/>
  <c r="CB33" i="42" s="1"/>
  <c r="BZ218" i="42"/>
  <c r="CB218" i="42" s="1"/>
  <c r="CC210" i="42"/>
  <c r="CC429" i="42"/>
  <c r="BZ278" i="42"/>
  <c r="CB278" i="42" s="1"/>
  <c r="BZ504" i="42"/>
  <c r="CB504" i="42" s="1"/>
  <c r="CC525" i="42"/>
  <c r="CC662" i="42"/>
  <c r="CC473" i="42"/>
  <c r="BZ480" i="42"/>
  <c r="CB480" i="42" s="1"/>
  <c r="BZ292" i="42"/>
  <c r="CB292" i="42" s="1"/>
  <c r="BZ286" i="42"/>
  <c r="CB286" i="42" s="1"/>
  <c r="CC674" i="42"/>
  <c r="BZ190" i="42"/>
  <c r="CB190" i="42" s="1"/>
  <c r="BZ266" i="42"/>
  <c r="CB266" i="42" s="1"/>
  <c r="BZ650" i="42"/>
  <c r="CB650" i="42" s="1"/>
  <c r="CC416" i="42"/>
  <c r="BZ552" i="42"/>
  <c r="CB552" i="42" s="1"/>
  <c r="BZ65" i="42"/>
  <c r="CB65" i="42" s="1"/>
  <c r="CC551" i="42"/>
  <c r="CC371" i="42"/>
  <c r="BZ238" i="42"/>
  <c r="CB238" i="42" s="1"/>
  <c r="BZ192" i="42"/>
  <c r="CB192" i="42" s="1"/>
  <c r="CC234" i="42"/>
  <c r="CC287" i="42"/>
  <c r="BZ189" i="42"/>
  <c r="CB189" i="42" s="1"/>
  <c r="BZ668" i="42"/>
  <c r="CB668" i="42" s="1"/>
  <c r="CC75" i="42"/>
  <c r="BZ566" i="42"/>
  <c r="CB566" i="42" s="1"/>
  <c r="BZ295" i="42"/>
  <c r="CB295" i="42" s="1"/>
  <c r="BZ201" i="42"/>
  <c r="CB201" i="42" s="1"/>
  <c r="BQ352" i="40"/>
  <c r="BQ74" i="40"/>
  <c r="BQ250" i="40"/>
  <c r="BQ344" i="40"/>
  <c r="BQ466" i="40"/>
  <c r="BQ132" i="40"/>
  <c r="BQ351" i="40"/>
  <c r="BQ400" i="40"/>
  <c r="BQ98" i="40"/>
  <c r="BQ125" i="40"/>
  <c r="Z483" i="42"/>
  <c r="AB483" i="42" s="1"/>
  <c r="Z496" i="42"/>
  <c r="AB496" i="42" s="1"/>
  <c r="Z448" i="42"/>
  <c r="AB448" i="42" s="1"/>
  <c r="Z400" i="42"/>
  <c r="AB400" i="42" s="1"/>
  <c r="Z365" i="42"/>
  <c r="AB365" i="42" s="1"/>
  <c r="Z151" i="42"/>
  <c r="AB151" i="42" s="1"/>
  <c r="Z485" i="42"/>
  <c r="AB485" i="42" s="1"/>
  <c r="Z55" i="42"/>
  <c r="AB55" i="42" s="1"/>
  <c r="Z389" i="42"/>
  <c r="AB389" i="42" s="1"/>
  <c r="Z341" i="42"/>
  <c r="AB341" i="42" s="1"/>
  <c r="Z675" i="42"/>
  <c r="AB675" i="42" s="1"/>
  <c r="Z306" i="42"/>
  <c r="AB306" i="42" s="1"/>
  <c r="Z640" i="42"/>
  <c r="AB640" i="42" s="1"/>
  <c r="Z592" i="42"/>
  <c r="AB592" i="42" s="1"/>
  <c r="BZ293" i="42"/>
  <c r="CB293" i="42" s="1"/>
  <c r="CC122" i="42"/>
  <c r="BZ538" i="42"/>
  <c r="CB538" i="42" s="1"/>
  <c r="BZ505" i="42"/>
  <c r="CB505" i="42" s="1"/>
  <c r="BZ663" i="42"/>
  <c r="CB663" i="42" s="1"/>
  <c r="BZ658" i="42"/>
  <c r="CB658" i="42" s="1"/>
  <c r="CC296" i="42"/>
  <c r="BZ428" i="42"/>
  <c r="CB428" i="42" s="1"/>
  <c r="BZ593" i="42"/>
  <c r="CB593" i="42" s="1"/>
  <c r="CC645" i="42"/>
  <c r="BZ454" i="42"/>
  <c r="CB454" i="42" s="1"/>
  <c r="BZ43" i="42"/>
  <c r="CB43" i="42" s="1"/>
  <c r="CC130" i="42"/>
  <c r="CC170" i="42"/>
  <c r="CC397" i="42"/>
  <c r="CC631" i="42"/>
  <c r="CC385" i="42"/>
  <c r="CC322" i="42"/>
  <c r="CC268" i="42"/>
  <c r="BZ487" i="42"/>
  <c r="CB487" i="42" s="1"/>
  <c r="BZ523" i="42"/>
  <c r="CB523" i="42" s="1"/>
  <c r="BZ316" i="42"/>
  <c r="CB316" i="42" s="1"/>
  <c r="CC18" i="42"/>
  <c r="BZ672" i="42"/>
  <c r="CB672" i="42" s="1"/>
  <c r="BZ55" i="42"/>
  <c r="CB55" i="42" s="1"/>
  <c r="CC415" i="42"/>
  <c r="CC247" i="42"/>
  <c r="CC561" i="42"/>
  <c r="BZ670" i="42"/>
  <c r="CB670" i="42" s="1"/>
  <c r="BZ75" i="42"/>
  <c r="CB75" i="42" s="1"/>
  <c r="BZ659" i="42"/>
  <c r="CB659" i="42" s="1"/>
  <c r="CC246" i="42"/>
  <c r="CC240" i="42"/>
  <c r="BZ664" i="42"/>
  <c r="CB664" i="42" s="1"/>
  <c r="BZ208" i="42"/>
  <c r="CB208" i="42" s="1"/>
  <c r="CC194" i="42"/>
  <c r="CC151" i="42"/>
  <c r="BZ660" i="42"/>
  <c r="CB660" i="42" s="1"/>
  <c r="CC93" i="42"/>
  <c r="CC214" i="42"/>
  <c r="BZ287" i="42"/>
  <c r="CB287" i="42" s="1"/>
  <c r="CC619" i="42"/>
  <c r="BQ76" i="40"/>
  <c r="BQ357" i="40"/>
  <c r="BQ124" i="40"/>
  <c r="BQ604" i="40"/>
  <c r="BQ100" i="40"/>
  <c r="BQ368" i="40"/>
  <c r="BQ66" i="40"/>
  <c r="BQ93" i="40"/>
  <c r="Z540" i="42"/>
  <c r="AB540" i="42" s="1"/>
  <c r="Z362" i="42"/>
  <c r="AB362" i="42" s="1"/>
  <c r="Z533" i="42"/>
  <c r="AB533" i="42" s="1"/>
  <c r="Z164" i="42"/>
  <c r="AB164" i="42" s="1"/>
  <c r="Z437" i="42"/>
  <c r="AB437" i="42" s="1"/>
  <c r="Z68" i="42"/>
  <c r="AB68" i="42" s="1"/>
  <c r="Z20" i="42"/>
  <c r="AB20" i="42" s="1"/>
  <c r="Z354" i="42"/>
  <c r="AB354" i="42" s="1"/>
  <c r="Z367" i="42"/>
  <c r="AB367" i="42" s="1"/>
  <c r="Z319" i="42"/>
  <c r="AB319" i="42" s="1"/>
  <c r="Z271" i="42"/>
  <c r="AB271" i="42" s="1"/>
  <c r="BZ578" i="42"/>
  <c r="CB578" i="42" s="1"/>
  <c r="CC494" i="42"/>
  <c r="CC181" i="42"/>
  <c r="BZ639" i="42"/>
  <c r="CB639" i="42" s="1"/>
  <c r="BZ60" i="42"/>
  <c r="CB60" i="42" s="1"/>
  <c r="BZ655" i="42"/>
  <c r="CB655" i="42" s="1"/>
  <c r="BZ70" i="42"/>
  <c r="CB70" i="42" s="1"/>
  <c r="BZ647" i="42"/>
  <c r="CB647" i="42" s="1"/>
  <c r="BZ387" i="42"/>
  <c r="CB387" i="42" s="1"/>
  <c r="CC67" i="42"/>
  <c r="BZ356" i="42"/>
  <c r="CB356" i="42" s="1"/>
  <c r="BZ35" i="42"/>
  <c r="CB35" i="42" s="1"/>
  <c r="CC224" i="42"/>
  <c r="CC642" i="42"/>
  <c r="BZ36" i="42"/>
  <c r="CB36" i="42" s="1"/>
  <c r="BZ645" i="42"/>
  <c r="CB645" i="42" s="1"/>
  <c r="CC73" i="42"/>
  <c r="BZ483" i="42"/>
  <c r="CB483" i="42" s="1"/>
  <c r="BZ258" i="42"/>
  <c r="CB258" i="42" s="1"/>
  <c r="BZ479" i="42"/>
  <c r="CB479" i="42" s="1"/>
  <c r="BZ652" i="42"/>
  <c r="CB652" i="42" s="1"/>
  <c r="BZ308" i="42"/>
  <c r="CB308" i="42" s="1"/>
  <c r="CC20" i="42"/>
  <c r="BZ291" i="42"/>
  <c r="CB291" i="42" s="1"/>
  <c r="BZ394" i="42"/>
  <c r="CB394" i="42" s="1"/>
  <c r="CC405" i="42"/>
  <c r="CC612" i="42"/>
  <c r="CC553" i="42"/>
  <c r="BZ573" i="42"/>
  <c r="CB573" i="42" s="1"/>
  <c r="BZ85" i="42"/>
  <c r="CB85" i="42" s="1"/>
  <c r="CC85" i="42"/>
  <c r="CC270" i="42"/>
  <c r="CC264" i="42"/>
  <c r="CC666" i="42"/>
  <c r="BZ285" i="42"/>
  <c r="CB285" i="42" s="1"/>
  <c r="CC239" i="42"/>
  <c r="CC599" i="42"/>
  <c r="BZ247" i="42"/>
  <c r="CB247" i="42" s="1"/>
  <c r="CC71" i="42"/>
  <c r="CC238" i="42"/>
  <c r="BZ215" i="42"/>
  <c r="CB215" i="42" s="1"/>
  <c r="BZ665" i="42"/>
  <c r="CB665" i="42" s="1"/>
  <c r="BQ603" i="40"/>
  <c r="BQ453" i="40"/>
  <c r="BQ358" i="40"/>
  <c r="BQ481" i="40"/>
  <c r="BQ248" i="40"/>
  <c r="BQ402" i="40"/>
  <c r="BQ68" i="40"/>
  <c r="BQ61" i="40"/>
  <c r="Z541" i="42"/>
  <c r="AB541" i="42" s="1"/>
  <c r="Z510" i="42"/>
  <c r="AB510" i="42" s="1"/>
  <c r="Z600" i="42"/>
  <c r="AB600" i="42" s="1"/>
  <c r="Z545" i="42"/>
  <c r="AB545" i="42" s="1"/>
  <c r="Z544" i="42"/>
  <c r="AB544" i="42" s="1"/>
  <c r="Z557" i="42"/>
  <c r="AB557" i="42" s="1"/>
  <c r="Z636" i="42"/>
  <c r="AB636" i="42" s="1"/>
  <c r="Z461" i="42"/>
  <c r="AB461" i="42" s="1"/>
  <c r="Z315" i="42"/>
  <c r="AB315" i="42" s="1"/>
  <c r="Z41" i="42"/>
  <c r="AB41" i="42" s="1"/>
  <c r="Z212" i="42"/>
  <c r="AB212" i="42" s="1"/>
  <c r="Z546" i="42"/>
  <c r="AB546" i="42" s="1"/>
  <c r="Z116" i="42"/>
  <c r="AB116" i="42" s="1"/>
  <c r="Z450" i="42"/>
  <c r="AB450" i="42" s="1"/>
  <c r="Z402" i="42"/>
  <c r="AB402" i="42" s="1"/>
  <c r="Z33" i="42"/>
  <c r="AB33" i="42" s="1"/>
  <c r="Z46" i="42"/>
  <c r="AB46" i="42" s="1"/>
  <c r="Z573" i="42"/>
  <c r="AB573" i="42" s="1"/>
  <c r="Z653" i="42"/>
  <c r="AB653" i="42" s="1"/>
  <c r="CC94" i="42"/>
  <c r="CC681" i="42"/>
  <c r="BZ610" i="42"/>
  <c r="CB610" i="42" s="1"/>
  <c r="BZ444" i="42"/>
  <c r="CB444" i="42" s="1"/>
  <c r="BZ191" i="42"/>
  <c r="CB191" i="42" s="1"/>
  <c r="BZ449" i="42"/>
  <c r="CB449" i="42" s="1"/>
  <c r="CC627" i="42"/>
  <c r="BZ123" i="42"/>
  <c r="CB123" i="42" s="1"/>
  <c r="BZ618" i="42"/>
  <c r="CB618" i="42" s="1"/>
  <c r="BZ432" i="42"/>
  <c r="CB432" i="42" s="1"/>
  <c r="BZ380" i="42"/>
  <c r="CB380" i="42" s="1"/>
  <c r="BZ228" i="42"/>
  <c r="CB228" i="42" s="1"/>
  <c r="CC216" i="42"/>
  <c r="BZ656" i="42"/>
  <c r="CB656" i="42" s="1"/>
  <c r="BZ264" i="42"/>
  <c r="CB264" i="42" s="1"/>
  <c r="CC679" i="42"/>
  <c r="BZ138" i="42"/>
  <c r="CB138" i="42" s="1"/>
  <c r="CC652" i="42"/>
  <c r="CC289" i="42"/>
  <c r="CC522" i="42"/>
  <c r="BZ64" i="42"/>
  <c r="CB64" i="42" s="1"/>
  <c r="CC111" i="42"/>
  <c r="CC22" i="42"/>
  <c r="BZ315" i="42"/>
  <c r="CB315" i="42" s="1"/>
  <c r="CC490" i="42"/>
  <c r="CC212" i="42"/>
  <c r="CC657" i="42"/>
  <c r="CC428" i="42"/>
  <c r="BZ158" i="42"/>
  <c r="CB158" i="42" s="1"/>
  <c r="BZ79" i="42"/>
  <c r="CB79" i="42" s="1"/>
  <c r="BZ456" i="42"/>
  <c r="CB456" i="42" s="1"/>
  <c r="CC294" i="42"/>
  <c r="CC661" i="42"/>
  <c r="CC650" i="42"/>
  <c r="BZ245" i="42"/>
  <c r="CB245" i="42" s="1"/>
  <c r="CC604" i="42"/>
  <c r="BZ613" i="42"/>
  <c r="CB613" i="42" s="1"/>
  <c r="BZ271" i="42"/>
  <c r="CB271" i="42" s="1"/>
  <c r="CC439" i="42"/>
  <c r="CC262" i="42"/>
  <c r="BZ239" i="42"/>
  <c r="CB239" i="42" s="1"/>
  <c r="CC667" i="42"/>
  <c r="BQ435" i="40"/>
  <c r="BQ273" i="40"/>
  <c r="BQ128" i="40"/>
  <c r="BQ355" i="40"/>
  <c r="BQ396" i="40"/>
  <c r="BQ120" i="40"/>
  <c r="BQ370" i="40"/>
  <c r="BR9" i="40"/>
  <c r="AZ11" i="40"/>
  <c r="BI9" i="40"/>
  <c r="U3" i="48"/>
  <c r="R3" i="48"/>
  <c r="T3" i="48" s="1"/>
  <c r="W3" i="48" s="1" a="1"/>
  <c r="DB11" i="40"/>
  <c r="DD11" i="40" s="1"/>
  <c r="DE11" i="40"/>
  <c r="CO11" i="40"/>
  <c r="CQ11" i="40" s="1"/>
  <c r="CR11" i="40"/>
  <c r="E6" i="36"/>
  <c r="H39" i="36"/>
  <c r="I35" i="36"/>
  <c r="F37" i="36"/>
  <c r="J43" i="36"/>
  <c r="H43" i="36"/>
  <c r="J37" i="36"/>
  <c r="I6" i="36"/>
  <c r="I41" i="36"/>
  <c r="H35" i="36"/>
  <c r="H37" i="36"/>
  <c r="J35" i="36"/>
  <c r="I43" i="36"/>
  <c r="G43" i="36"/>
  <c r="D41" i="36"/>
  <c r="E39" i="36"/>
  <c r="F35" i="36"/>
  <c r="I39" i="36"/>
  <c r="F39" i="36"/>
  <c r="G37" i="36"/>
  <c r="E37" i="36"/>
  <c r="F6" i="36"/>
  <c r="D37" i="36"/>
  <c r="D35" i="36"/>
  <c r="D39" i="36"/>
  <c r="E41" i="36"/>
  <c r="F41" i="36"/>
  <c r="G41" i="36"/>
  <c r="F43" i="36"/>
  <c r="H41" i="36"/>
  <c r="J41" i="36"/>
  <c r="G39" i="36"/>
  <c r="D43" i="36"/>
  <c r="G35" i="36"/>
  <c r="J6" i="36"/>
  <c r="I37" i="36"/>
  <c r="E35" i="36"/>
  <c r="H6" i="36"/>
  <c r="J39" i="36"/>
  <c r="E43" i="36"/>
  <c r="D6" i="36"/>
  <c r="G6" i="36"/>
  <c r="CA49" i="40" a="1"/>
  <c r="CA49" i="40" s="1"/>
  <c r="CB11" i="40"/>
  <c r="CD11" i="40" s="1"/>
  <c r="CN21" i="40" a="1"/>
  <c r="CN21" i="40" s="1"/>
  <c r="CA52" i="40" a="1"/>
  <c r="CA52" i="40" s="1"/>
  <c r="DA11" i="40" a="1"/>
  <c r="DA11" i="40" s="1"/>
  <c r="CA43" i="40" a="1"/>
  <c r="CA43" i="40" s="1"/>
  <c r="CA48" i="40" a="1"/>
  <c r="CA48" i="40" s="1"/>
  <c r="CA75" i="40" a="1"/>
  <c r="CA75" i="40" s="1"/>
  <c r="CA79" i="40" a="1"/>
  <c r="CA79" i="40" s="1"/>
  <c r="D54" i="40"/>
  <c r="D59" i="40" s="1"/>
  <c r="CA66" i="40" a="1"/>
  <c r="CA66" i="40" s="1"/>
  <c r="CA68" i="40" a="1"/>
  <c r="CA68" i="40" s="1"/>
  <c r="CA26" i="40" a="1"/>
  <c r="CA26" i="40" s="1"/>
  <c r="CA27" i="40" a="1"/>
  <c r="CA27" i="40" s="1"/>
  <c r="CA39" i="40" a="1"/>
  <c r="CA39" i="40" s="1"/>
  <c r="CA28" i="40" a="1"/>
  <c r="CA28" i="40" s="1"/>
  <c r="CA87" i="40" a="1"/>
  <c r="CA87" i="40" s="1"/>
  <c r="CB87" i="40" s="1"/>
  <c r="CD87" i="40" s="1"/>
  <c r="CA70" i="40" a="1"/>
  <c r="CA70" i="40" s="1"/>
  <c r="CA42" i="40" a="1"/>
  <c r="CA42" i="40" s="1"/>
  <c r="CA59" i="40" a="1"/>
  <c r="CA59" i="40" s="1"/>
  <c r="CA31" i="40" a="1"/>
  <c r="CA31" i="40" s="1"/>
  <c r="CB31" i="40" s="1"/>
  <c r="CD31" i="40" s="1"/>
  <c r="CA12" i="40" a="1"/>
  <c r="CA12" i="40" s="1"/>
  <c r="CA23" i="40" a="1"/>
  <c r="CA23" i="40" s="1"/>
  <c r="CA19" i="40" a="1"/>
  <c r="CA19" i="40" s="1"/>
  <c r="CB19" i="40" s="1"/>
  <c r="CD19" i="40" s="1"/>
  <c r="CA67" i="40" a="1"/>
  <c r="CA67" i="40" s="1"/>
  <c r="CA24" i="40" a="1"/>
  <c r="CA24" i="40" s="1"/>
  <c r="CA22" i="40" a="1"/>
  <c r="CA22" i="40" s="1"/>
  <c r="CA57" i="40" a="1"/>
  <c r="CA57" i="40" s="1"/>
  <c r="CB57" i="40" s="1"/>
  <c r="CD57" i="40" s="1"/>
  <c r="CA17" i="40" a="1"/>
  <c r="CA17" i="40" s="1"/>
  <c r="CA50" i="40" a="1"/>
  <c r="CA50" i="40" s="1"/>
  <c r="CA16" i="40" a="1"/>
  <c r="CA16" i="40" s="1"/>
  <c r="CA82" i="40" a="1"/>
  <c r="CA82" i="40" s="1"/>
  <c r="CA64" i="40" a="1"/>
  <c r="CA64" i="40" s="1"/>
  <c r="CA21" i="40" a="1"/>
  <c r="CA21" i="40" s="1"/>
  <c r="CA76" i="40" a="1"/>
  <c r="CA76" i="40" s="1"/>
  <c r="CA72" i="40" a="1"/>
  <c r="CA72" i="40" s="1"/>
  <c r="CA38" i="40" a="1"/>
  <c r="CA38" i="40" s="1"/>
  <c r="CA85" i="40" a="1"/>
  <c r="CA85" i="40" s="1"/>
  <c r="CB85" i="40" s="1"/>
  <c r="CD85" i="40" s="1"/>
  <c r="CA36" i="40" a="1"/>
  <c r="CA36" i="40" s="1"/>
  <c r="CA60" i="40" a="1"/>
  <c r="CA60" i="40" s="1"/>
  <c r="CA77" i="40" a="1"/>
  <c r="CA77" i="40" s="1"/>
  <c r="CA71" i="40" a="1"/>
  <c r="CA71" i="40" s="1"/>
  <c r="CA51" i="40" a="1"/>
  <c r="CA51" i="40" s="1"/>
  <c r="CA61" i="40" a="1"/>
  <c r="CA61" i="40" s="1"/>
  <c r="CB61" i="40" s="1"/>
  <c r="CD61" i="40" s="1"/>
  <c r="CA53" i="40" a="1"/>
  <c r="CA53" i="40" s="1"/>
  <c r="CA80" i="40" a="1"/>
  <c r="CA80" i="40" s="1"/>
  <c r="CB80" i="40" s="1"/>
  <c r="CD80" i="40" s="1"/>
  <c r="CA13" i="40" a="1"/>
  <c r="CA13" i="40" s="1"/>
  <c r="CB13" i="40" s="1"/>
  <c r="CD13" i="40" s="1"/>
  <c r="CA37" i="40" a="1"/>
  <c r="CA37" i="40" s="1"/>
  <c r="CA47" i="40" a="1"/>
  <c r="CA47" i="40" s="1"/>
  <c r="CB47" i="40" s="1"/>
  <c r="CD47" i="40" s="1"/>
  <c r="CA14" i="40" a="1"/>
  <c r="CA14" i="40" s="1"/>
  <c r="CA65" i="40" a="1"/>
  <c r="CA65" i="40" s="1"/>
  <c r="CA73" i="40" a="1"/>
  <c r="CA73" i="40" s="1"/>
  <c r="CA63" i="40" a="1"/>
  <c r="CA63" i="40" s="1"/>
  <c r="CA33" i="40" a="1"/>
  <c r="CA33" i="40" s="1"/>
  <c r="CA20" i="40" a="1"/>
  <c r="CA20" i="40" s="1"/>
  <c r="CA44" i="40" a="1"/>
  <c r="CA44" i="40" s="1"/>
  <c r="CA86" i="40" a="1"/>
  <c r="CA86" i="40" s="1"/>
  <c r="CA54" i="40" a="1"/>
  <c r="CA54" i="40" s="1"/>
  <c r="CA32" i="40" a="1"/>
  <c r="CA32" i="40" s="1"/>
  <c r="CN25" i="40" a="1"/>
  <c r="CN25" i="40" s="1"/>
  <c r="CN39" i="40" a="1"/>
  <c r="CN39" i="40" s="1"/>
  <c r="CN40" i="40" a="1"/>
  <c r="CN40" i="40" s="1"/>
  <c r="CN23" i="40" a="1"/>
  <c r="CN23" i="40" s="1"/>
  <c r="CN57" i="40" a="1"/>
  <c r="CN57" i="40" s="1"/>
  <c r="CN42" i="40" a="1"/>
  <c r="CN42" i="40" s="1"/>
  <c r="CN59" i="40" a="1"/>
  <c r="CN59" i="40" s="1"/>
  <c r="CN31" i="40" a="1"/>
  <c r="CN31" i="40" s="1"/>
  <c r="CN53" i="40" a="1"/>
  <c r="CN53" i="40" s="1"/>
  <c r="CN63" i="40" a="1"/>
  <c r="CN63" i="40" s="1"/>
  <c r="CN61" i="40" a="1"/>
  <c r="CN61" i="40" s="1"/>
  <c r="CN16" i="40" a="1"/>
  <c r="CN16" i="40" s="1"/>
  <c r="CN14" i="40" a="1"/>
  <c r="CN14" i="40" s="1"/>
  <c r="CN34" i="40" a="1"/>
  <c r="CN34" i="40" s="1"/>
  <c r="CN49" i="40" a="1"/>
  <c r="CN49" i="40" s="1"/>
  <c r="CN32" i="40" a="1"/>
  <c r="CN32" i="40" s="1"/>
  <c r="CO32" i="40" s="1"/>
  <c r="CQ32" i="40" s="1"/>
  <c r="CA69" i="40" a="1"/>
  <c r="CA69" i="40" s="1"/>
  <c r="CN46" i="40" a="1"/>
  <c r="CN46" i="40" s="1"/>
  <c r="CA78" i="40" a="1"/>
  <c r="CA78" i="40" s="1"/>
  <c r="CN54" i="40" a="1"/>
  <c r="CN54" i="40" s="1"/>
  <c r="CA56" i="40" a="1"/>
  <c r="CA56" i="40" s="1"/>
  <c r="CN58" i="40" a="1"/>
  <c r="CN58" i="40" s="1"/>
  <c r="CN62" i="40" a="1"/>
  <c r="CN62" i="40" s="1"/>
  <c r="CA35" i="40" a="1"/>
  <c r="CA35" i="40" s="1"/>
  <c r="CN60" i="40" a="1"/>
  <c r="CN60" i="40" s="1"/>
  <c r="CN52" i="40" a="1"/>
  <c r="CN52" i="40" s="1"/>
  <c r="CN43" i="40" a="1"/>
  <c r="CN43" i="40" s="1"/>
  <c r="CA83" i="40" a="1"/>
  <c r="CA83" i="40" s="1"/>
  <c r="CN22" i="40" a="1"/>
  <c r="CN22" i="40" s="1"/>
  <c r="CN29" i="40" a="1"/>
  <c r="CN29" i="40" s="1"/>
  <c r="CN55" i="40" a="1"/>
  <c r="CN55" i="40" s="1"/>
  <c r="CN65" i="40" a="1"/>
  <c r="CN65" i="40" s="1"/>
  <c r="CN33" i="40" a="1"/>
  <c r="CN33" i="40" s="1"/>
  <c r="CN24" i="40" a="1"/>
  <c r="CN24" i="40" s="1"/>
  <c r="CO24" i="40" s="1"/>
  <c r="CQ24" i="40" s="1"/>
  <c r="CN18" i="40" a="1"/>
  <c r="CN18" i="40" s="1"/>
  <c r="CN36" i="40" a="1"/>
  <c r="CN36" i="40" s="1"/>
  <c r="CN35" i="40" a="1"/>
  <c r="CN35" i="40" s="1"/>
  <c r="CN37" i="40" a="1"/>
  <c r="CN37" i="40" s="1"/>
  <c r="CN51" i="40" a="1"/>
  <c r="CN51" i="40" s="1"/>
  <c r="CN19" i="40" a="1"/>
  <c r="CN19" i="40" s="1"/>
  <c r="CN28" i="40" a="1"/>
  <c r="CN28" i="40" s="1"/>
  <c r="CN50" i="40" a="1"/>
  <c r="CN50" i="40" s="1"/>
  <c r="CN41" i="40" a="1"/>
  <c r="CN41" i="40" s="1"/>
  <c r="CN13" i="40" a="1"/>
  <c r="CN13" i="40" s="1"/>
  <c r="CN47" i="40" a="1"/>
  <c r="CN47" i="40" s="1"/>
  <c r="CN26" i="40" a="1"/>
  <c r="CN26" i="40" s="1"/>
  <c r="CN64" i="40" a="1"/>
  <c r="CN64" i="40" s="1"/>
  <c r="CA29" i="40" a="1"/>
  <c r="CA29" i="40" s="1"/>
  <c r="CN30" i="40" a="1"/>
  <c r="CN30" i="40" s="1"/>
  <c r="CN44" i="40" a="1"/>
  <c r="CN44" i="40" s="1"/>
  <c r="CA30" i="40" a="1"/>
  <c r="CA30" i="40" s="1"/>
  <c r="CN48" i="40" a="1"/>
  <c r="CN48" i="40" s="1"/>
  <c r="CN45" i="40" a="1"/>
  <c r="CN45" i="40" s="1"/>
  <c r="CA40" i="40" a="1"/>
  <c r="CA40" i="40" s="1"/>
  <c r="CN17" i="40" a="1"/>
  <c r="CN17" i="40" s="1"/>
  <c r="CN27" i="40" a="1"/>
  <c r="CN27" i="40" s="1"/>
  <c r="CO27" i="40" s="1"/>
  <c r="CQ27" i="40" s="1"/>
  <c r="DA34" i="40" a="1"/>
  <c r="DA34" i="40" s="1"/>
  <c r="CN56" i="40" a="1"/>
  <c r="CN56" i="40" s="1"/>
  <c r="CN20" i="40" a="1"/>
  <c r="CN20" i="40" s="1"/>
  <c r="CA18" i="40" a="1"/>
  <c r="CA18" i="40" s="1"/>
  <c r="CN38" i="40" a="1"/>
  <c r="CN38" i="40" s="1"/>
  <c r="CO38" i="40" s="1"/>
  <c r="CQ38" i="40" s="1"/>
  <c r="CN15" i="40" a="1"/>
  <c r="CN15" i="40" s="1"/>
  <c r="DA30" i="40" a="1"/>
  <c r="DA30" i="40" s="1"/>
  <c r="DA21" i="40" a="1"/>
  <c r="DA21" i="40" s="1"/>
  <c r="BI13" i="42"/>
  <c r="BK13" i="42" s="1"/>
  <c r="BL13" i="42"/>
  <c r="Z13" i="42"/>
  <c r="AB13" i="42" s="1"/>
  <c r="AC13" i="42"/>
  <c r="DA27" i="40" a="1"/>
  <c r="DA27" i="40" s="1"/>
  <c r="DB27" i="40" s="1"/>
  <c r="DD27" i="40" s="1"/>
  <c r="DA40" i="40" a="1"/>
  <c r="DA40" i="40" s="1"/>
  <c r="DA26" i="40" a="1"/>
  <c r="DA26" i="40" s="1"/>
  <c r="DA22" i="40" a="1"/>
  <c r="DA22" i="40" s="1"/>
  <c r="AU13" i="42"/>
  <c r="AR13" i="42"/>
  <c r="AT13" i="42" s="1"/>
  <c r="AW13" i="42" s="1" a="1"/>
  <c r="AW13" i="42" s="1"/>
  <c r="DA25" i="40" a="1"/>
  <c r="DA25" i="40" s="1"/>
  <c r="DA17" i="40" a="1"/>
  <c r="DA17" i="40" s="1"/>
  <c r="DA32" i="40" a="1"/>
  <c r="DA32" i="40" s="1"/>
  <c r="CA41" i="40" a="1"/>
  <c r="CA41" i="40" s="1"/>
  <c r="CC13" i="42"/>
  <c r="BZ13" i="42"/>
  <c r="CB13" i="42" s="1"/>
  <c r="DA24" i="40" a="1"/>
  <c r="DA24" i="40" s="1"/>
  <c r="CA46" i="40" a="1"/>
  <c r="CA46" i="40" s="1"/>
  <c r="DA28" i="40" a="1"/>
  <c r="DA28" i="40" s="1"/>
  <c r="CA84" i="40" a="1"/>
  <c r="CA84" i="40" s="1"/>
  <c r="CB84" i="40" s="1"/>
  <c r="CD84" i="40" s="1"/>
  <c r="DA16" i="40" a="1"/>
  <c r="DA16" i="40" s="1"/>
  <c r="BI10" i="40"/>
  <c r="BJ9" i="40" s="1"/>
  <c r="CA15" i="40" a="1"/>
  <c r="CA15" i="40" s="1"/>
  <c r="CB15" i="40" s="1"/>
  <c r="CD15" i="40" s="1"/>
  <c r="DA19" i="40" a="1"/>
  <c r="DA19" i="40" s="1"/>
  <c r="CA58" i="40" a="1"/>
  <c r="CA58" i="40" s="1"/>
  <c r="DA20" i="40" a="1"/>
  <c r="DA20" i="40" s="1"/>
  <c r="CA55" i="40" a="1"/>
  <c r="CA55" i="40" s="1"/>
  <c r="DA36" i="40" a="1"/>
  <c r="DA36" i="40" s="1"/>
  <c r="CA88" i="40" a="1"/>
  <c r="CA88" i="40" s="1"/>
  <c r="DA14" i="40" a="1"/>
  <c r="DA14" i="40" s="1"/>
  <c r="DA39" i="40" a="1"/>
  <c r="DA39" i="40" s="1"/>
  <c r="DB39" i="40" s="1"/>
  <c r="DD39" i="40" s="1"/>
  <c r="DA12" i="40" a="1"/>
  <c r="DA12" i="40" s="1"/>
  <c r="DA38" i="40" a="1"/>
  <c r="DA38" i="40" s="1"/>
  <c r="DA23" i="40" a="1"/>
  <c r="DA23" i="40" s="1"/>
  <c r="DA35" i="40" a="1"/>
  <c r="DA35" i="40" s="1"/>
  <c r="DA31" i="40" a="1"/>
  <c r="DA31" i="40" s="1"/>
  <c r="DA18" i="40" a="1"/>
  <c r="DA18" i="40" s="1"/>
  <c r="DB18" i="40" s="1"/>
  <c r="DD18" i="40" s="1"/>
  <c r="DA13" i="40" a="1"/>
  <c r="DA13" i="40" s="1"/>
  <c r="CA45" i="40" a="1"/>
  <c r="CA45" i="40" s="1"/>
  <c r="AZ10" i="40"/>
  <c r="BA9" i="40" s="1"/>
  <c r="CA25" i="40" a="1"/>
  <c r="CA25" i="40" s="1"/>
  <c r="CA81" i="40" a="1"/>
  <c r="CA81" i="40" s="1"/>
  <c r="CA62" i="40" a="1"/>
  <c r="CA62" i="40" s="1"/>
  <c r="DA37" i="40" a="1"/>
  <c r="DA37" i="40" s="1"/>
  <c r="CN12" i="40" a="1"/>
  <c r="CN12" i="40" s="1"/>
  <c r="CO12" i="40" s="1"/>
  <c r="CQ12" i="40" s="1"/>
  <c r="CN11" i="40" a="1"/>
  <c r="CN11" i="40" s="1"/>
  <c r="DA15" i="40" a="1"/>
  <c r="DA15" i="40" s="1"/>
  <c r="DA33" i="40" a="1"/>
  <c r="DA33" i="40" s="1"/>
  <c r="DA29" i="40" a="1"/>
  <c r="DA29" i="40" s="1"/>
  <c r="CA74" i="40" a="1"/>
  <c r="CA74" i="40" s="1"/>
  <c r="BJ534" i="40" l="1"/>
  <c r="BJ532" i="40"/>
  <c r="BJ557" i="40"/>
  <c r="BJ571" i="40"/>
  <c r="BJ577" i="40"/>
  <c r="BJ561" i="40"/>
  <c r="BJ560" i="40"/>
  <c r="BJ545" i="40"/>
  <c r="BJ576" i="40"/>
  <c r="BJ544" i="40"/>
  <c r="BJ556" i="40"/>
  <c r="BJ555" i="40"/>
  <c r="BJ548" i="40"/>
  <c r="BJ563" i="40"/>
  <c r="BJ551" i="40"/>
  <c r="BJ568" i="40"/>
  <c r="BJ567" i="40"/>
  <c r="BJ552" i="40"/>
  <c r="BJ573" i="40"/>
  <c r="BJ535" i="40"/>
  <c r="BJ536" i="40"/>
  <c r="BJ575" i="40"/>
  <c r="BJ547" i="40"/>
  <c r="BJ543" i="40"/>
  <c r="BJ569" i="40"/>
  <c r="BJ566" i="40"/>
  <c r="BJ537" i="40"/>
  <c r="BJ539" i="40"/>
  <c r="BJ529" i="40"/>
  <c r="BJ564" i="40"/>
  <c r="BJ565" i="40"/>
  <c r="BJ562" i="40"/>
  <c r="BJ559" i="40"/>
  <c r="BJ558" i="40"/>
  <c r="BJ531" i="40"/>
  <c r="BJ572" i="40"/>
  <c r="BJ574" i="40"/>
  <c r="BJ530" i="40"/>
  <c r="BJ553" i="40"/>
  <c r="BJ570" i="40"/>
  <c r="BJ538" i="40"/>
  <c r="BJ541" i="40"/>
  <c r="BJ540" i="40"/>
  <c r="BJ542" i="40"/>
  <c r="BJ549" i="40"/>
  <c r="BJ546" i="40"/>
  <c r="BJ550" i="40"/>
  <c r="BJ554" i="40"/>
  <c r="BJ533" i="40"/>
  <c r="BI556" i="40"/>
  <c r="BI548" i="40"/>
  <c r="BI573" i="40"/>
  <c r="BI568" i="40"/>
  <c r="BI552" i="40"/>
  <c r="BI551" i="40"/>
  <c r="BI536" i="40"/>
  <c r="BI563" i="40"/>
  <c r="BI567" i="40"/>
  <c r="BI535" i="40"/>
  <c r="BI575" i="40"/>
  <c r="BI547" i="40"/>
  <c r="BI539" i="40"/>
  <c r="BI569" i="40"/>
  <c r="BI543" i="40"/>
  <c r="BI564" i="40"/>
  <c r="BI566" i="40"/>
  <c r="BI565" i="40"/>
  <c r="BI537" i="40"/>
  <c r="BI532" i="40"/>
  <c r="BI577" i="40"/>
  <c r="BI534" i="40"/>
  <c r="BI571" i="40"/>
  <c r="BI560" i="40"/>
  <c r="BI545" i="40"/>
  <c r="BI557" i="40"/>
  <c r="BI561" i="40"/>
  <c r="BI529" i="40"/>
  <c r="BI576" i="40"/>
  <c r="BI555" i="40"/>
  <c r="BI544" i="40"/>
  <c r="BI562" i="40"/>
  <c r="BI559" i="40"/>
  <c r="BI558" i="40"/>
  <c r="BI531" i="40"/>
  <c r="BI572" i="40"/>
  <c r="BI574" i="40"/>
  <c r="BI530" i="40"/>
  <c r="BI553" i="40"/>
  <c r="BI570" i="40"/>
  <c r="BI538" i="40"/>
  <c r="BI541" i="40"/>
  <c r="BI540" i="40"/>
  <c r="BI542" i="40"/>
  <c r="BI549" i="40"/>
  <c r="BI550" i="40"/>
  <c r="BI546" i="40"/>
  <c r="BI533" i="40"/>
  <c r="BI554" i="40"/>
  <c r="BR536" i="40"/>
  <c r="BR567" i="40"/>
  <c r="BR563" i="40"/>
  <c r="BR561" i="40"/>
  <c r="BR535" i="40"/>
  <c r="BR534" i="40"/>
  <c r="BR569" i="40"/>
  <c r="BR557" i="40"/>
  <c r="BR573" i="40"/>
  <c r="BR547" i="40"/>
  <c r="BR537" i="40"/>
  <c r="BR571" i="40"/>
  <c r="BR577" i="40"/>
  <c r="BR552" i="40"/>
  <c r="BR560" i="40"/>
  <c r="BR529" i="40"/>
  <c r="BR565" i="40"/>
  <c r="BR564" i="40"/>
  <c r="BR545" i="40"/>
  <c r="BR576" i="40"/>
  <c r="BR548" i="40"/>
  <c r="BR532" i="40"/>
  <c r="BR544" i="40"/>
  <c r="BR575" i="40"/>
  <c r="BR555" i="40"/>
  <c r="BR568" i="40"/>
  <c r="BR543" i="40"/>
  <c r="BR539" i="40"/>
  <c r="BR566" i="40"/>
  <c r="BR556" i="40"/>
  <c r="BR551" i="40"/>
  <c r="BR570" i="40"/>
  <c r="BR540" i="40"/>
  <c r="BR538" i="40"/>
  <c r="BR549" i="40"/>
  <c r="BR541" i="40"/>
  <c r="BR554" i="40"/>
  <c r="BR542" i="40"/>
  <c r="BR562" i="40"/>
  <c r="BR550" i="40"/>
  <c r="BR572" i="40"/>
  <c r="BR558" i="40"/>
  <c r="BR546" i="40"/>
  <c r="BR531" i="40"/>
  <c r="BR533" i="40"/>
  <c r="BR530" i="40"/>
  <c r="BR559" i="40"/>
  <c r="BR553" i="40"/>
  <c r="BR574" i="40"/>
  <c r="BA565" i="40"/>
  <c r="BA539" i="40"/>
  <c r="BA534" i="40"/>
  <c r="BA577" i="40"/>
  <c r="BA557" i="40"/>
  <c r="BA561" i="40"/>
  <c r="BA545" i="40"/>
  <c r="BA573" i="40"/>
  <c r="BA571" i="40"/>
  <c r="BA569" i="40"/>
  <c r="BA529" i="40"/>
  <c r="BA567" i="40"/>
  <c r="BA535" i="40"/>
  <c r="BA556" i="40"/>
  <c r="BA537" i="40"/>
  <c r="BA568" i="40"/>
  <c r="BA552" i="40"/>
  <c r="BA536" i="40"/>
  <c r="BA548" i="40"/>
  <c r="BA560" i="40"/>
  <c r="BA563" i="40"/>
  <c r="BA575" i="40"/>
  <c r="BA564" i="40"/>
  <c r="BA532" i="40"/>
  <c r="BA543" i="40"/>
  <c r="BA547" i="40"/>
  <c r="BA566" i="40"/>
  <c r="BA551" i="40"/>
  <c r="BA576" i="40"/>
  <c r="BA555" i="40"/>
  <c r="BA544" i="40"/>
  <c r="BA546" i="40"/>
  <c r="BA550" i="40"/>
  <c r="BA538" i="40"/>
  <c r="BA549" i="40"/>
  <c r="BA562" i="40"/>
  <c r="BA554" i="40"/>
  <c r="BA559" i="40"/>
  <c r="BA558" i="40"/>
  <c r="BA531" i="40"/>
  <c r="BA572" i="40"/>
  <c r="BA574" i="40"/>
  <c r="BA530" i="40"/>
  <c r="BA533" i="40"/>
  <c r="BA553" i="40"/>
  <c r="BA541" i="40"/>
  <c r="BA570" i="40"/>
  <c r="BA540" i="40"/>
  <c r="BA542" i="40"/>
  <c r="AZ573" i="40"/>
  <c r="AZ545" i="40"/>
  <c r="AZ561" i="40"/>
  <c r="AZ535" i="40"/>
  <c r="AZ565" i="40"/>
  <c r="AZ569" i="40"/>
  <c r="AZ556" i="40"/>
  <c r="AZ568" i="40"/>
  <c r="AZ548" i="40"/>
  <c r="AZ537" i="40"/>
  <c r="AZ536" i="40"/>
  <c r="AZ552" i="40"/>
  <c r="AZ571" i="40"/>
  <c r="AZ564" i="40"/>
  <c r="AZ529" i="40"/>
  <c r="AZ563" i="40"/>
  <c r="AZ575" i="40"/>
  <c r="AZ560" i="40"/>
  <c r="AZ532" i="40"/>
  <c r="AZ576" i="40"/>
  <c r="AZ547" i="40"/>
  <c r="AZ543" i="40"/>
  <c r="AZ544" i="40"/>
  <c r="AZ539" i="40"/>
  <c r="AZ566" i="40"/>
  <c r="AZ551" i="40"/>
  <c r="AZ555" i="40"/>
  <c r="AZ534" i="40"/>
  <c r="AZ577" i="40"/>
  <c r="AZ567" i="40"/>
  <c r="AZ557" i="40"/>
  <c r="AZ546" i="40"/>
  <c r="AZ550" i="40"/>
  <c r="AZ538" i="40"/>
  <c r="AZ549" i="40"/>
  <c r="AZ562" i="40"/>
  <c r="AZ533" i="40"/>
  <c r="AZ554" i="40"/>
  <c r="AZ559" i="40"/>
  <c r="AZ558" i="40"/>
  <c r="AZ531" i="40"/>
  <c r="AZ572" i="40"/>
  <c r="AZ574" i="40"/>
  <c r="AZ530" i="40"/>
  <c r="AZ553" i="40"/>
  <c r="AZ541" i="40"/>
  <c r="AZ570" i="40"/>
  <c r="AZ540" i="40"/>
  <c r="AZ542" i="40"/>
  <c r="BJ26" i="40"/>
  <c r="BJ58" i="40"/>
  <c r="BJ250" i="40"/>
  <c r="BJ17" i="40"/>
  <c r="BJ49" i="40"/>
  <c r="BJ81" i="40"/>
  <c r="BJ40" i="40"/>
  <c r="BJ31" i="40"/>
  <c r="BJ63" i="40"/>
  <c r="BJ22" i="40"/>
  <c r="BJ54" i="40"/>
  <c r="BJ86" i="40"/>
  <c r="BJ13" i="40"/>
  <c r="BJ45" i="40"/>
  <c r="BJ77" i="40"/>
  <c r="BJ27" i="40"/>
  <c r="BJ59" i="40"/>
  <c r="BJ37" i="40"/>
  <c r="BJ69" i="40"/>
  <c r="BJ101" i="40"/>
  <c r="BJ133" i="40"/>
  <c r="BJ229" i="40"/>
  <c r="BJ261" i="40"/>
  <c r="BJ28" i="40"/>
  <c r="BJ60" i="40"/>
  <c r="BJ92" i="40"/>
  <c r="BJ124" i="40"/>
  <c r="BJ19" i="40"/>
  <c r="BJ42" i="40"/>
  <c r="BJ33" i="40"/>
  <c r="BJ65" i="40"/>
  <c r="BJ97" i="40"/>
  <c r="BJ24" i="40"/>
  <c r="BJ56" i="40"/>
  <c r="BJ15" i="40"/>
  <c r="BJ47" i="40"/>
  <c r="BJ79" i="40"/>
  <c r="BJ38" i="40"/>
  <c r="BJ12" i="40"/>
  <c r="BJ44" i="40"/>
  <c r="BJ108" i="40"/>
  <c r="BJ57" i="40"/>
  <c r="BJ131" i="40"/>
  <c r="BJ228" i="40"/>
  <c r="BJ331" i="40"/>
  <c r="BJ395" i="40"/>
  <c r="BJ427" i="40"/>
  <c r="BJ459" i="40"/>
  <c r="BJ523" i="40"/>
  <c r="BJ32" i="40"/>
  <c r="BJ66" i="40"/>
  <c r="BJ80" i="40"/>
  <c r="BJ105" i="40"/>
  <c r="BJ233" i="40"/>
  <c r="BJ290" i="40"/>
  <c r="BJ386" i="40"/>
  <c r="BJ418" i="40"/>
  <c r="BJ450" i="40"/>
  <c r="BJ514" i="40"/>
  <c r="BJ16" i="40"/>
  <c r="BJ41" i="40"/>
  <c r="BJ126" i="40"/>
  <c r="BJ238" i="40"/>
  <c r="BJ243" i="40"/>
  <c r="BJ281" i="40"/>
  <c r="BJ313" i="40"/>
  <c r="BJ377" i="40"/>
  <c r="BJ409" i="40"/>
  <c r="BJ441" i="40"/>
  <c r="BJ473" i="40"/>
  <c r="BJ505" i="40"/>
  <c r="BJ601" i="40"/>
  <c r="BJ121" i="40"/>
  <c r="BJ336" i="40"/>
  <c r="BJ368" i="40"/>
  <c r="BJ400" i="40"/>
  <c r="BJ432" i="40"/>
  <c r="BJ464" i="40"/>
  <c r="BJ253" i="40"/>
  <c r="BJ295" i="40"/>
  <c r="BJ327" i="40"/>
  <c r="BJ359" i="40"/>
  <c r="BJ391" i="40"/>
  <c r="BJ455" i="40"/>
  <c r="BJ25" i="40"/>
  <c r="BJ50" i="40"/>
  <c r="BJ111" i="40"/>
  <c r="BJ219" i="40"/>
  <c r="BJ106" i="40"/>
  <c r="BJ132" i="40"/>
  <c r="BJ224" i="40"/>
  <c r="BJ263" i="40"/>
  <c r="BJ277" i="40"/>
  <c r="BJ309" i="40"/>
  <c r="BJ373" i="40"/>
  <c r="BJ405" i="40"/>
  <c r="BJ437" i="40"/>
  <c r="BJ469" i="40"/>
  <c r="BJ67" i="40"/>
  <c r="BJ89" i="40"/>
  <c r="BJ127" i="40"/>
  <c r="BJ68" i="40"/>
  <c r="BJ82" i="40"/>
  <c r="BJ18" i="40"/>
  <c r="BJ51" i="40"/>
  <c r="BJ43" i="40"/>
  <c r="BJ117" i="40"/>
  <c r="BJ220" i="40"/>
  <c r="BJ52" i="40"/>
  <c r="BJ112" i="40"/>
  <c r="BJ225" i="40"/>
  <c r="BJ61" i="40"/>
  <c r="BJ83" i="40"/>
  <c r="BJ107" i="40"/>
  <c r="BJ230" i="40"/>
  <c r="BJ278" i="40"/>
  <c r="BJ374" i="40"/>
  <c r="BJ406" i="40"/>
  <c r="BJ438" i="40"/>
  <c r="BJ470" i="40"/>
  <c r="BJ35" i="40"/>
  <c r="BJ128" i="40"/>
  <c r="BJ235" i="40"/>
  <c r="BJ333" i="40"/>
  <c r="BJ397" i="40"/>
  <c r="BJ429" i="40"/>
  <c r="BJ461" i="40"/>
  <c r="BJ84" i="40"/>
  <c r="BJ240" i="40"/>
  <c r="BJ292" i="40"/>
  <c r="BJ388" i="40"/>
  <c r="BJ452" i="40"/>
  <c r="BJ36" i="40"/>
  <c r="BJ91" i="40"/>
  <c r="BJ118" i="40"/>
  <c r="BJ245" i="40"/>
  <c r="BJ283" i="40"/>
  <c r="BJ315" i="40"/>
  <c r="BJ379" i="40"/>
  <c r="BJ411" i="40"/>
  <c r="BJ443" i="40"/>
  <c r="BJ507" i="40"/>
  <c r="BJ29" i="40"/>
  <c r="BJ134" i="40"/>
  <c r="BJ221" i="40"/>
  <c r="BJ260" i="40"/>
  <c r="BJ297" i="40"/>
  <c r="BJ329" i="40"/>
  <c r="BJ393" i="40"/>
  <c r="BJ457" i="40"/>
  <c r="BJ521" i="40"/>
  <c r="BJ53" i="40"/>
  <c r="BJ129" i="40"/>
  <c r="BJ226" i="40"/>
  <c r="BJ265" i="40"/>
  <c r="BJ288" i="40"/>
  <c r="BJ384" i="40"/>
  <c r="BJ416" i="40"/>
  <c r="BJ448" i="40"/>
  <c r="BJ512" i="40"/>
  <c r="BJ62" i="40"/>
  <c r="BJ231" i="40"/>
  <c r="BJ279" i="40"/>
  <c r="BJ311" i="40"/>
  <c r="BJ407" i="40"/>
  <c r="BJ439" i="40"/>
  <c r="BJ85" i="40"/>
  <c r="BJ98" i="40"/>
  <c r="BJ119" i="40"/>
  <c r="BJ46" i="40"/>
  <c r="BJ21" i="40"/>
  <c r="BJ30" i="40"/>
  <c r="BJ55" i="40"/>
  <c r="BJ109" i="40"/>
  <c r="BJ222" i="40"/>
  <c r="BJ64" i="40"/>
  <c r="BJ78" i="40"/>
  <c r="BJ104" i="40"/>
  <c r="BJ130" i="40"/>
  <c r="BJ39" i="40"/>
  <c r="BJ120" i="40"/>
  <c r="BJ247" i="40"/>
  <c r="BJ252" i="40"/>
  <c r="BJ294" i="40"/>
  <c r="BJ326" i="40"/>
  <c r="BJ390" i="40"/>
  <c r="BJ454" i="40"/>
  <c r="BJ284" i="40"/>
  <c r="BJ332" i="40"/>
  <c r="BJ412" i="40"/>
  <c r="BJ471" i="40"/>
  <c r="BJ526" i="40"/>
  <c r="BJ605" i="40"/>
  <c r="BJ660" i="40"/>
  <c r="BJ125" i="40"/>
  <c r="BJ396" i="40"/>
  <c r="BJ447" i="40"/>
  <c r="BJ515" i="40"/>
  <c r="BJ651" i="40"/>
  <c r="BJ14" i="40"/>
  <c r="BJ251" i="40"/>
  <c r="BJ259" i="40"/>
  <c r="BJ389" i="40"/>
  <c r="BJ431" i="40"/>
  <c r="BJ463" i="40"/>
  <c r="BJ509" i="40"/>
  <c r="BJ610" i="40"/>
  <c r="BJ642" i="40"/>
  <c r="BJ242" i="40"/>
  <c r="BJ276" i="40"/>
  <c r="BJ340" i="40"/>
  <c r="BJ404" i="40"/>
  <c r="BJ665" i="40"/>
  <c r="BJ325" i="40"/>
  <c r="BJ381" i="40"/>
  <c r="BJ456" i="40"/>
  <c r="BJ582" i="40"/>
  <c r="BJ656" i="40"/>
  <c r="BJ232" i="40"/>
  <c r="BJ293" i="40"/>
  <c r="BJ440" i="40"/>
  <c r="BJ510" i="40"/>
  <c r="BJ647" i="40"/>
  <c r="BJ285" i="40"/>
  <c r="BJ382" i="40"/>
  <c r="BJ413" i="40"/>
  <c r="BJ504" i="40"/>
  <c r="BJ606" i="40"/>
  <c r="BJ300" i="40"/>
  <c r="BJ316" i="40"/>
  <c r="BJ334" i="40"/>
  <c r="BJ472" i="40"/>
  <c r="BJ527" i="40"/>
  <c r="BJ661" i="40"/>
  <c r="BJ398" i="40"/>
  <c r="BJ414" i="40"/>
  <c r="BJ449" i="40"/>
  <c r="BJ516" i="40"/>
  <c r="BJ652" i="40"/>
  <c r="BJ244" i="40"/>
  <c r="BJ286" i="40"/>
  <c r="BJ433" i="40"/>
  <c r="BJ522" i="40"/>
  <c r="BJ611" i="40"/>
  <c r="BJ643" i="40"/>
  <c r="BJ234" i="40"/>
  <c r="BJ583" i="40"/>
  <c r="BJ666" i="40"/>
  <c r="BJ657" i="40"/>
  <c r="BJ383" i="40"/>
  <c r="BJ434" i="40"/>
  <c r="BJ442" i="40"/>
  <c r="BJ458" i="40"/>
  <c r="BJ511" i="40"/>
  <c r="BJ517" i="40"/>
  <c r="BJ602" i="40"/>
  <c r="BJ648" i="40"/>
  <c r="BJ48" i="40"/>
  <c r="BJ262" i="40"/>
  <c r="BJ426" i="40"/>
  <c r="BJ607" i="40"/>
  <c r="BJ639" i="40"/>
  <c r="BJ236" i="40"/>
  <c r="BJ335" i="40"/>
  <c r="BJ415" i="40"/>
  <c r="BJ662" i="40"/>
  <c r="BJ246" i="40"/>
  <c r="BJ254" i="40"/>
  <c r="BJ287" i="40"/>
  <c r="BJ399" i="40"/>
  <c r="BJ451" i="40"/>
  <c r="BJ653" i="40"/>
  <c r="BJ376" i="40"/>
  <c r="BJ435" i="40"/>
  <c r="BJ506" i="40"/>
  <c r="BJ644" i="40"/>
  <c r="BJ255" i="40"/>
  <c r="BJ392" i="40"/>
  <c r="BJ467" i="40"/>
  <c r="BJ584" i="40"/>
  <c r="BJ667" i="40"/>
  <c r="BJ23" i="40"/>
  <c r="BJ237" i="40"/>
  <c r="BJ280" i="40"/>
  <c r="BJ328" i="40"/>
  <c r="BJ408" i="40"/>
  <c r="BJ658" i="40"/>
  <c r="BJ264" i="40"/>
  <c r="BJ296" i="40"/>
  <c r="BJ369" i="40"/>
  <c r="BJ428" i="40"/>
  <c r="BJ524" i="40"/>
  <c r="BJ608" i="40"/>
  <c r="BJ640" i="40"/>
  <c r="BJ256" i="40"/>
  <c r="BJ417" i="40"/>
  <c r="BJ663" i="40"/>
  <c r="BJ223" i="40"/>
  <c r="BJ273" i="40"/>
  <c r="BJ289" i="40"/>
  <c r="BJ337" i="40"/>
  <c r="BJ401" i="40"/>
  <c r="BJ436" i="40"/>
  <c r="BJ453" i="40"/>
  <c r="BJ519" i="40"/>
  <c r="BJ654" i="40"/>
  <c r="BJ239" i="40"/>
  <c r="BJ370" i="40"/>
  <c r="BJ378" i="40"/>
  <c r="BJ468" i="40"/>
  <c r="BJ513" i="40"/>
  <c r="BJ580" i="40"/>
  <c r="BJ645" i="40"/>
  <c r="BJ599" i="40"/>
  <c r="BJ668" i="40"/>
  <c r="BJ274" i="40"/>
  <c r="BJ282" i="40"/>
  <c r="BJ330" i="40"/>
  <c r="BJ338" i="40"/>
  <c r="BJ394" i="40"/>
  <c r="BJ402" i="40"/>
  <c r="BJ410" i="40"/>
  <c r="BJ445" i="40"/>
  <c r="BJ604" i="40"/>
  <c r="BJ659" i="40"/>
  <c r="BJ227" i="40"/>
  <c r="BJ257" i="40"/>
  <c r="BJ266" i="40"/>
  <c r="BJ387" i="40"/>
  <c r="BJ650" i="40"/>
  <c r="BJ430" i="40"/>
  <c r="BJ462" i="40"/>
  <c r="BJ508" i="40"/>
  <c r="BJ525" i="40"/>
  <c r="BJ609" i="40"/>
  <c r="BJ641" i="40"/>
  <c r="BJ241" i="40"/>
  <c r="BJ249" i="40"/>
  <c r="BJ258" i="40"/>
  <c r="BJ419" i="40"/>
  <c r="BJ664" i="40"/>
  <c r="BJ275" i="40"/>
  <c r="BJ291" i="40"/>
  <c r="BJ339" i="40"/>
  <c r="BJ403" i="40"/>
  <c r="BJ520" i="40"/>
  <c r="BJ581" i="40"/>
  <c r="BJ655" i="40"/>
  <c r="BJ385" i="40"/>
  <c r="BJ503" i="40"/>
  <c r="BJ444" i="40"/>
  <c r="BJ600" i="40"/>
  <c r="BJ603" i="40"/>
  <c r="BJ518" i="40"/>
  <c r="BJ669" i="40"/>
  <c r="BJ460" i="40"/>
  <c r="BJ380" i="40"/>
  <c r="BJ646" i="40"/>
  <c r="BJ649" i="40"/>
  <c r="BJ314" i="40"/>
  <c r="BJ528" i="40"/>
  <c r="BI17" i="40"/>
  <c r="BI49" i="40"/>
  <c r="BI81" i="40"/>
  <c r="BI113" i="40"/>
  <c r="BI241" i="40"/>
  <c r="BI40" i="40"/>
  <c r="BI31" i="40"/>
  <c r="BI63" i="40"/>
  <c r="BI22" i="40"/>
  <c r="BI54" i="40"/>
  <c r="BI86" i="40"/>
  <c r="BI13" i="40"/>
  <c r="BI45" i="40"/>
  <c r="BI77" i="40"/>
  <c r="BI36" i="40"/>
  <c r="BI68" i="40"/>
  <c r="BI18" i="40"/>
  <c r="BI50" i="40"/>
  <c r="BI28" i="40"/>
  <c r="BI60" i="40"/>
  <c r="BI92" i="40"/>
  <c r="BI124" i="40"/>
  <c r="BI220" i="40"/>
  <c r="BI252" i="40"/>
  <c r="BI19" i="40"/>
  <c r="BI51" i="40"/>
  <c r="BI83" i="40"/>
  <c r="BI115" i="40"/>
  <c r="BI33" i="40"/>
  <c r="BI65" i="40"/>
  <c r="BI24" i="40"/>
  <c r="BI56" i="40"/>
  <c r="BI88" i="40"/>
  <c r="BI15" i="40"/>
  <c r="BI47" i="40"/>
  <c r="BI79" i="40"/>
  <c r="BI38" i="40"/>
  <c r="BI29" i="40"/>
  <c r="BI61" i="40"/>
  <c r="BI93" i="40"/>
  <c r="BI35" i="40"/>
  <c r="BI67" i="40"/>
  <c r="BI99" i="40"/>
  <c r="BI131" i="40"/>
  <c r="BI32" i="40"/>
  <c r="BI66" i="40"/>
  <c r="BI80" i="40"/>
  <c r="BI94" i="40"/>
  <c r="BI105" i="40"/>
  <c r="BI233" i="40"/>
  <c r="BI290" i="40"/>
  <c r="BI354" i="40"/>
  <c r="BI386" i="40"/>
  <c r="BI418" i="40"/>
  <c r="BI450" i="40"/>
  <c r="BI482" i="40"/>
  <c r="BI514" i="40"/>
  <c r="BI16" i="40"/>
  <c r="BI41" i="40"/>
  <c r="BI100" i="40"/>
  <c r="BI126" i="40"/>
  <c r="BI238" i="40"/>
  <c r="BI243" i="40"/>
  <c r="BI281" i="40"/>
  <c r="BI313" i="40"/>
  <c r="BI345" i="40"/>
  <c r="BI377" i="40"/>
  <c r="BI409" i="40"/>
  <c r="BI441" i="40"/>
  <c r="BI473" i="40"/>
  <c r="BI505" i="40"/>
  <c r="BI121" i="40"/>
  <c r="BI248" i="40"/>
  <c r="BI272" i="40"/>
  <c r="BI336" i="40"/>
  <c r="BI368" i="40"/>
  <c r="BI400" i="40"/>
  <c r="BI432" i="40"/>
  <c r="BI464" i="40"/>
  <c r="BI116" i="40"/>
  <c r="BI253" i="40"/>
  <c r="BI295" i="40"/>
  <c r="BI327" i="40"/>
  <c r="BI359" i="40"/>
  <c r="BI391" i="40"/>
  <c r="BI455" i="40"/>
  <c r="BI519" i="40"/>
  <c r="BI25" i="40"/>
  <c r="BI95" i="40"/>
  <c r="BI111" i="40"/>
  <c r="BI219" i="40"/>
  <c r="BI258" i="40"/>
  <c r="BI286" i="40"/>
  <c r="BI350" i="40"/>
  <c r="BI382" i="40"/>
  <c r="BI414" i="40"/>
  <c r="BI446" i="40"/>
  <c r="BI478" i="40"/>
  <c r="BI58" i="40"/>
  <c r="BI73" i="40"/>
  <c r="BI106" i="40"/>
  <c r="BI132" i="40"/>
  <c r="BI224" i="40"/>
  <c r="BI59" i="40"/>
  <c r="BI89" i="40"/>
  <c r="BI127" i="40"/>
  <c r="BI229" i="40"/>
  <c r="BI234" i="40"/>
  <c r="BI268" i="40"/>
  <c r="BI300" i="40"/>
  <c r="BI332" i="40"/>
  <c r="BI364" i="40"/>
  <c r="BI396" i="40"/>
  <c r="BI428" i="40"/>
  <c r="BI460" i="40"/>
  <c r="BI42" i="40"/>
  <c r="BI82" i="40"/>
  <c r="BI101" i="40"/>
  <c r="BI122" i="40"/>
  <c r="BI26" i="40"/>
  <c r="BI43" i="40"/>
  <c r="BI74" i="40"/>
  <c r="BI96" i="40"/>
  <c r="BI117" i="40"/>
  <c r="BI52" i="40"/>
  <c r="BI112" i="40"/>
  <c r="BI225" i="40"/>
  <c r="BI27" i="40"/>
  <c r="BI75" i="40"/>
  <c r="BI90" i="40"/>
  <c r="BI107" i="40"/>
  <c r="BI133" i="40"/>
  <c r="BI230" i="40"/>
  <c r="BI69" i="40"/>
  <c r="BI102" i="40"/>
  <c r="BI128" i="40"/>
  <c r="BI235" i="40"/>
  <c r="BI269" i="40"/>
  <c r="BI333" i="40"/>
  <c r="BI365" i="40"/>
  <c r="BI397" i="40"/>
  <c r="BI429" i="40"/>
  <c r="BI461" i="40"/>
  <c r="BI84" i="40"/>
  <c r="BI123" i="40"/>
  <c r="BI240" i="40"/>
  <c r="BI292" i="40"/>
  <c r="BI356" i="40"/>
  <c r="BI388" i="40"/>
  <c r="BI452" i="40"/>
  <c r="BI91" i="40"/>
  <c r="BI97" i="40"/>
  <c r="BI118" i="40"/>
  <c r="BI245" i="40"/>
  <c r="BI283" i="40"/>
  <c r="BI315" i="40"/>
  <c r="BI347" i="40"/>
  <c r="BI379" i="40"/>
  <c r="BI411" i="40"/>
  <c r="BI443" i="40"/>
  <c r="BI475" i="40"/>
  <c r="BI250" i="40"/>
  <c r="BI255" i="40"/>
  <c r="BI274" i="40"/>
  <c r="BI338" i="40"/>
  <c r="BI370" i="40"/>
  <c r="BI402" i="40"/>
  <c r="BI434" i="40"/>
  <c r="BI466" i="40"/>
  <c r="BI44" i="40"/>
  <c r="BI134" i="40"/>
  <c r="BI221" i="40"/>
  <c r="BI53" i="40"/>
  <c r="BI129" i="40"/>
  <c r="BI226" i="40"/>
  <c r="BI265" i="40"/>
  <c r="BI288" i="40"/>
  <c r="BI352" i="40"/>
  <c r="BI384" i="40"/>
  <c r="BI416" i="40"/>
  <c r="BI448" i="40"/>
  <c r="BI480" i="40"/>
  <c r="BI512" i="40"/>
  <c r="BI12" i="40"/>
  <c r="BI62" i="40"/>
  <c r="BI76" i="40"/>
  <c r="BI108" i="40"/>
  <c r="BI231" i="40"/>
  <c r="BI279" i="40"/>
  <c r="BI311" i="40"/>
  <c r="BI343" i="40"/>
  <c r="BI375" i="40"/>
  <c r="BI407" i="40"/>
  <c r="BI439" i="40"/>
  <c r="BI471" i="40"/>
  <c r="BI503" i="40"/>
  <c r="BI103" i="40"/>
  <c r="BI236" i="40"/>
  <c r="BI270" i="40"/>
  <c r="BI334" i="40"/>
  <c r="BI366" i="40"/>
  <c r="BI398" i="40"/>
  <c r="BI430" i="40"/>
  <c r="BI37" i="40"/>
  <c r="BI85" i="40"/>
  <c r="BI98" i="40"/>
  <c r="BI119" i="40"/>
  <c r="BI46" i="40"/>
  <c r="BI114" i="40"/>
  <c r="BI21" i="40"/>
  <c r="BI30" i="40"/>
  <c r="BI55" i="40"/>
  <c r="BI109" i="40"/>
  <c r="BI222" i="40"/>
  <c r="BI64" i="40"/>
  <c r="BI78" i="40"/>
  <c r="BI104" i="40"/>
  <c r="BI130" i="40"/>
  <c r="BI14" i="40"/>
  <c r="BI125" i="40"/>
  <c r="BI87" i="40"/>
  <c r="BI257" i="40"/>
  <c r="BI285" i="40"/>
  <c r="BI349" i="40"/>
  <c r="BI381" i="40"/>
  <c r="BI413" i="40"/>
  <c r="BI445" i="40"/>
  <c r="BI477" i="40"/>
  <c r="BI267" i="40"/>
  <c r="BI284" i="40"/>
  <c r="BI348" i="40"/>
  <c r="BI372" i="40"/>
  <c r="BI447" i="40"/>
  <c r="BI515" i="40"/>
  <c r="BI651" i="40"/>
  <c r="BI251" i="40"/>
  <c r="BI259" i="40"/>
  <c r="BI389" i="40"/>
  <c r="BI431" i="40"/>
  <c r="BI463" i="40"/>
  <c r="BI509" i="40"/>
  <c r="BI610" i="40"/>
  <c r="BI642" i="40"/>
  <c r="BI242" i="40"/>
  <c r="BI276" i="40"/>
  <c r="BI340" i="40"/>
  <c r="BI357" i="40"/>
  <c r="BI373" i="40"/>
  <c r="BI404" i="40"/>
  <c r="BI521" i="40"/>
  <c r="BI665" i="40"/>
  <c r="BI260" i="40"/>
  <c r="BI309" i="40"/>
  <c r="BI325" i="40"/>
  <c r="BI456" i="40"/>
  <c r="BI479" i="40"/>
  <c r="BI582" i="40"/>
  <c r="BI656" i="40"/>
  <c r="BI39" i="40"/>
  <c r="BI232" i="40"/>
  <c r="BI277" i="40"/>
  <c r="BI293" i="40"/>
  <c r="BI341" i="40"/>
  <c r="BI405" i="40"/>
  <c r="BI440" i="40"/>
  <c r="BI510" i="40"/>
  <c r="BI596" i="40"/>
  <c r="BI647" i="40"/>
  <c r="BI504" i="40"/>
  <c r="BI601" i="40"/>
  <c r="BI606" i="40"/>
  <c r="BI316" i="40"/>
  <c r="BI457" i="40"/>
  <c r="BI472" i="40"/>
  <c r="BI527" i="40"/>
  <c r="BI661" i="40"/>
  <c r="BI261" i="40"/>
  <c r="BI449" i="40"/>
  <c r="BI516" i="40"/>
  <c r="BI652" i="40"/>
  <c r="BI244" i="40"/>
  <c r="BI374" i="40"/>
  <c r="BI390" i="40"/>
  <c r="BI433" i="40"/>
  <c r="BI465" i="40"/>
  <c r="BI522" i="40"/>
  <c r="BI611" i="40"/>
  <c r="BI643" i="40"/>
  <c r="BI358" i="40"/>
  <c r="BI583" i="40"/>
  <c r="BI666" i="40"/>
  <c r="BI278" i="40"/>
  <c r="BI326" i="40"/>
  <c r="BI342" i="40"/>
  <c r="BI406" i="40"/>
  <c r="BI597" i="40"/>
  <c r="BI657" i="40"/>
  <c r="BI294" i="40"/>
  <c r="BI383" i="40"/>
  <c r="BI442" i="40"/>
  <c r="BI458" i="40"/>
  <c r="BI481" i="40"/>
  <c r="BI511" i="40"/>
  <c r="BI517" i="40"/>
  <c r="BI602" i="40"/>
  <c r="BI648" i="40"/>
  <c r="BI48" i="40"/>
  <c r="BI262" i="40"/>
  <c r="BI367" i="40"/>
  <c r="BI426" i="40"/>
  <c r="BI607" i="40"/>
  <c r="BI639" i="40"/>
  <c r="BI335" i="40"/>
  <c r="BI351" i="40"/>
  <c r="BI415" i="40"/>
  <c r="BI474" i="40"/>
  <c r="BI662" i="40"/>
  <c r="BI246" i="40"/>
  <c r="BI254" i="40"/>
  <c r="BI263" i="40"/>
  <c r="BI271" i="40"/>
  <c r="BI287" i="40"/>
  <c r="BI399" i="40"/>
  <c r="BI451" i="40"/>
  <c r="BI653" i="40"/>
  <c r="BI376" i="40"/>
  <c r="BI435" i="40"/>
  <c r="BI506" i="40"/>
  <c r="BI523" i="40"/>
  <c r="BI644" i="40"/>
  <c r="BI57" i="40"/>
  <c r="BI360" i="40"/>
  <c r="BI392" i="40"/>
  <c r="BI467" i="40"/>
  <c r="BI584" i="40"/>
  <c r="BI667" i="40"/>
  <c r="BI23" i="40"/>
  <c r="BI237" i="40"/>
  <c r="BI280" i="40"/>
  <c r="BI328" i="40"/>
  <c r="BI344" i="40"/>
  <c r="BI408" i="40"/>
  <c r="BI459" i="40"/>
  <c r="BI598" i="40"/>
  <c r="BI658" i="40"/>
  <c r="BI385" i="40"/>
  <c r="BI427" i="40"/>
  <c r="BI444" i="40"/>
  <c r="BI518" i="40"/>
  <c r="BI603" i="40"/>
  <c r="BI649" i="40"/>
  <c r="BI264" i="40"/>
  <c r="BI296" i="40"/>
  <c r="BI361" i="40"/>
  <c r="BI256" i="40"/>
  <c r="BI329" i="40"/>
  <c r="BI353" i="40"/>
  <c r="BI393" i="40"/>
  <c r="BI417" i="40"/>
  <c r="BI663" i="40"/>
  <c r="BI223" i="40"/>
  <c r="BI247" i="40"/>
  <c r="BI273" i="40"/>
  <c r="BI289" i="40"/>
  <c r="BI337" i="40"/>
  <c r="BI401" i="40"/>
  <c r="BI436" i="40"/>
  <c r="BI453" i="40"/>
  <c r="BI476" i="40"/>
  <c r="BI654" i="40"/>
  <c r="BI239" i="40"/>
  <c r="BI297" i="40"/>
  <c r="BI378" i="40"/>
  <c r="BI468" i="40"/>
  <c r="BI507" i="40"/>
  <c r="BI513" i="40"/>
  <c r="BI580" i="40"/>
  <c r="BI645" i="40"/>
  <c r="BI362" i="40"/>
  <c r="BI437" i="40"/>
  <c r="BI599" i="40"/>
  <c r="BI668" i="40"/>
  <c r="BI282" i="40"/>
  <c r="BI330" i="40"/>
  <c r="BI346" i="40"/>
  <c r="BI394" i="40"/>
  <c r="BI410" i="40"/>
  <c r="BI469" i="40"/>
  <c r="BI604" i="40"/>
  <c r="BI659" i="40"/>
  <c r="BI227" i="40"/>
  <c r="BI266" i="40"/>
  <c r="BI387" i="40"/>
  <c r="BI650" i="40"/>
  <c r="BI110" i="40"/>
  <c r="BI371" i="40"/>
  <c r="BI462" i="40"/>
  <c r="BI508" i="40"/>
  <c r="BI525" i="40"/>
  <c r="BI609" i="40"/>
  <c r="BI641" i="40"/>
  <c r="BI249" i="40"/>
  <c r="BI355" i="40"/>
  <c r="BI419" i="40"/>
  <c r="BI664" i="40"/>
  <c r="BI275" i="40"/>
  <c r="BI291" i="40"/>
  <c r="BI339" i="40"/>
  <c r="BI403" i="40"/>
  <c r="BI454" i="40"/>
  <c r="BI520" i="40"/>
  <c r="BI581" i="40"/>
  <c r="BI655" i="40"/>
  <c r="BI228" i="40"/>
  <c r="BI314" i="40"/>
  <c r="BI363" i="40"/>
  <c r="BI380" i="40"/>
  <c r="BI438" i="40"/>
  <c r="BI646" i="40"/>
  <c r="BI660" i="40"/>
  <c r="BI120" i="40"/>
  <c r="BI600" i="40"/>
  <c r="BI669" i="40"/>
  <c r="BI395" i="40"/>
  <c r="BI605" i="40"/>
  <c r="BI608" i="40"/>
  <c r="BI640" i="40"/>
  <c r="BI524" i="40"/>
  <c r="BI526" i="40"/>
  <c r="BI470" i="40"/>
  <c r="BI412" i="40"/>
  <c r="BI331" i="40"/>
  <c r="BI369" i="40"/>
  <c r="BI528" i="40"/>
  <c r="BR10" i="40"/>
  <c r="BS9" i="40" s="1"/>
  <c r="BR38" i="40"/>
  <c r="BR102" i="40"/>
  <c r="BR134" i="40"/>
  <c r="BR230" i="40"/>
  <c r="BR262" i="40"/>
  <c r="BR294" i="40"/>
  <c r="BR326" i="40"/>
  <c r="BR358" i="40"/>
  <c r="BR390" i="40"/>
  <c r="BR454" i="40"/>
  <c r="BR518" i="40"/>
  <c r="BR29" i="40"/>
  <c r="BR61" i="40"/>
  <c r="BR93" i="40"/>
  <c r="BR125" i="40"/>
  <c r="BR221" i="40"/>
  <c r="BR253" i="40"/>
  <c r="BR381" i="40"/>
  <c r="BR413" i="40"/>
  <c r="BR445" i="40"/>
  <c r="BR509" i="40"/>
  <c r="BR52" i="40"/>
  <c r="BR84" i="40"/>
  <c r="BR116" i="40"/>
  <c r="BR276" i="40"/>
  <c r="BR340" i="40"/>
  <c r="BR372" i="40"/>
  <c r="BR404" i="40"/>
  <c r="BR436" i="40"/>
  <c r="BR468" i="40"/>
  <c r="BR43" i="40"/>
  <c r="BR75" i="40"/>
  <c r="BR107" i="40"/>
  <c r="BR235" i="40"/>
  <c r="BR267" i="40"/>
  <c r="BR331" i="40"/>
  <c r="BR363" i="40"/>
  <c r="BR395" i="40"/>
  <c r="BR427" i="40"/>
  <c r="BR459" i="40"/>
  <c r="BR523" i="40"/>
  <c r="BR66" i="40"/>
  <c r="BR98" i="40"/>
  <c r="BR130" i="40"/>
  <c r="BR226" i="40"/>
  <c r="BR258" i="40"/>
  <c r="BR290" i="40"/>
  <c r="BR386" i="40"/>
  <c r="BR418" i="40"/>
  <c r="BR450" i="40"/>
  <c r="BR514" i="40"/>
  <c r="BR25" i="40"/>
  <c r="BR57" i="40"/>
  <c r="BR89" i="40"/>
  <c r="BR121" i="40"/>
  <c r="BR249" i="40"/>
  <c r="BR281" i="40"/>
  <c r="BR313" i="40"/>
  <c r="BR345" i="40"/>
  <c r="BR377" i="40"/>
  <c r="BR409" i="40"/>
  <c r="BR441" i="40"/>
  <c r="BR473" i="40"/>
  <c r="BR505" i="40"/>
  <c r="BR16" i="40"/>
  <c r="BR48" i="40"/>
  <c r="BR39" i="40"/>
  <c r="BR30" i="40"/>
  <c r="BR62" i="40"/>
  <c r="BR21" i="40"/>
  <c r="BR53" i="40"/>
  <c r="BR12" i="40"/>
  <c r="BR44" i="40"/>
  <c r="BR35" i="40"/>
  <c r="BR26" i="40"/>
  <c r="BR58" i="40"/>
  <c r="BR17" i="40"/>
  <c r="BR49" i="40"/>
  <c r="BR81" i="40"/>
  <c r="BR241" i="40"/>
  <c r="BR273" i="40"/>
  <c r="BR337" i="40"/>
  <c r="BR369" i="40"/>
  <c r="BR401" i="40"/>
  <c r="BR433" i="40"/>
  <c r="BR465" i="40"/>
  <c r="BR40" i="40"/>
  <c r="BR104" i="40"/>
  <c r="BR232" i="40"/>
  <c r="BR264" i="40"/>
  <c r="BR296" i="40"/>
  <c r="BR328" i="40"/>
  <c r="BR360" i="40"/>
  <c r="BR392" i="40"/>
  <c r="BR456" i="40"/>
  <c r="BR520" i="40"/>
  <c r="BR584" i="40"/>
  <c r="BR31" i="40"/>
  <c r="BR63" i="40"/>
  <c r="BR95" i="40"/>
  <c r="BR127" i="40"/>
  <c r="BR223" i="40"/>
  <c r="BR255" i="40"/>
  <c r="BR287" i="40"/>
  <c r="BR351" i="40"/>
  <c r="BR383" i="40"/>
  <c r="BR415" i="40"/>
  <c r="BR447" i="40"/>
  <c r="BR479" i="40"/>
  <c r="BR511" i="40"/>
  <c r="BR22" i="40"/>
  <c r="BR54" i="40"/>
  <c r="BR86" i="40"/>
  <c r="BR118" i="40"/>
  <c r="BR246" i="40"/>
  <c r="BR278" i="40"/>
  <c r="BR342" i="40"/>
  <c r="BR374" i="40"/>
  <c r="BR406" i="40"/>
  <c r="BR438" i="40"/>
  <c r="BR470" i="40"/>
  <c r="BR13" i="40"/>
  <c r="BR45" i="40"/>
  <c r="BR77" i="40"/>
  <c r="BR109" i="40"/>
  <c r="BR237" i="40"/>
  <c r="BR269" i="40"/>
  <c r="BR333" i="40"/>
  <c r="BR365" i="40"/>
  <c r="BR397" i="40"/>
  <c r="BR429" i="40"/>
  <c r="BR461" i="40"/>
  <c r="BR525" i="40"/>
  <c r="BR36" i="40"/>
  <c r="BR68" i="40"/>
  <c r="BR100" i="40"/>
  <c r="BR132" i="40"/>
  <c r="BR228" i="40"/>
  <c r="BR260" i="40"/>
  <c r="BR292" i="40"/>
  <c r="BR356" i="40"/>
  <c r="BR388" i="40"/>
  <c r="BR452" i="40"/>
  <c r="BR516" i="40"/>
  <c r="BR27" i="40"/>
  <c r="BR59" i="40"/>
  <c r="BR91" i="40"/>
  <c r="BR123" i="40"/>
  <c r="BR219" i="40"/>
  <c r="BR251" i="40"/>
  <c r="BR283" i="40"/>
  <c r="BR315" i="40"/>
  <c r="BR347" i="40"/>
  <c r="BR379" i="40"/>
  <c r="BR411" i="40"/>
  <c r="BR443" i="40"/>
  <c r="BR475" i="40"/>
  <c r="BR507" i="40"/>
  <c r="BR18" i="40"/>
  <c r="BR50" i="40"/>
  <c r="BR82" i="40"/>
  <c r="BR114" i="40"/>
  <c r="BR242" i="40"/>
  <c r="BR274" i="40"/>
  <c r="BR338" i="40"/>
  <c r="BR370" i="40"/>
  <c r="BR402" i="40"/>
  <c r="BR434" i="40"/>
  <c r="BR466" i="40"/>
  <c r="BR41" i="40"/>
  <c r="BR32" i="40"/>
  <c r="BR23" i="40"/>
  <c r="BR55" i="40"/>
  <c r="BR14" i="40"/>
  <c r="BR46" i="40"/>
  <c r="BR37" i="40"/>
  <c r="BR69" i="40"/>
  <c r="BR28" i="40"/>
  <c r="BR60" i="40"/>
  <c r="BR19" i="40"/>
  <c r="BR51" i="40"/>
  <c r="BR42" i="40"/>
  <c r="BR33" i="40"/>
  <c r="BR65" i="40"/>
  <c r="BR97" i="40"/>
  <c r="BR129" i="40"/>
  <c r="BR225" i="40"/>
  <c r="BR257" i="40"/>
  <c r="BR289" i="40"/>
  <c r="BR353" i="40"/>
  <c r="BR385" i="40"/>
  <c r="BR417" i="40"/>
  <c r="BR449" i="40"/>
  <c r="BR481" i="40"/>
  <c r="BR513" i="40"/>
  <c r="BR24" i="40"/>
  <c r="BR56" i="40"/>
  <c r="BR88" i="40"/>
  <c r="BR120" i="40"/>
  <c r="BR248" i="40"/>
  <c r="BR280" i="40"/>
  <c r="BR408" i="40"/>
  <c r="BR472" i="40"/>
  <c r="BR504" i="40"/>
  <c r="BR131" i="40"/>
  <c r="BR239" i="40"/>
  <c r="BR300" i="40"/>
  <c r="BR334" i="40"/>
  <c r="BR352" i="40"/>
  <c r="BR414" i="40"/>
  <c r="BR435" i="40"/>
  <c r="BR515" i="40"/>
  <c r="BR654" i="40"/>
  <c r="BR122" i="40"/>
  <c r="BR240" i="40"/>
  <c r="BR325" i="40"/>
  <c r="BR343" i="40"/>
  <c r="BR405" i="40"/>
  <c r="BR426" i="40"/>
  <c r="BR506" i="40"/>
  <c r="BR524" i="40"/>
  <c r="BR645" i="40"/>
  <c r="BR105" i="40"/>
  <c r="BR222" i="40"/>
  <c r="BR231" i="40"/>
  <c r="BR396" i="40"/>
  <c r="BR463" i="40"/>
  <c r="BR604" i="40"/>
  <c r="BR668" i="40"/>
  <c r="BR286" i="40"/>
  <c r="BR464" i="40"/>
  <c r="BR581" i="40"/>
  <c r="BR659" i="40"/>
  <c r="BR87" i="40"/>
  <c r="BR277" i="40"/>
  <c r="BR316" i="40"/>
  <c r="BR380" i="40"/>
  <c r="BR455" i="40"/>
  <c r="BR650" i="40"/>
  <c r="BR78" i="40"/>
  <c r="BR268" i="40"/>
  <c r="BR295" i="40"/>
  <c r="BR371" i="40"/>
  <c r="BR389" i="40"/>
  <c r="BR446" i="40"/>
  <c r="BR609" i="40"/>
  <c r="BR641" i="40"/>
  <c r="BR15" i="40"/>
  <c r="BR133" i="40"/>
  <c r="BR259" i="40"/>
  <c r="BR335" i="40"/>
  <c r="BR362" i="40"/>
  <c r="BR416" i="40"/>
  <c r="BR437" i="40"/>
  <c r="BR124" i="40"/>
  <c r="BR250" i="40"/>
  <c r="BR327" i="40"/>
  <c r="BR407" i="40"/>
  <c r="BR428" i="40"/>
  <c r="BR508" i="40"/>
  <c r="BR655" i="40"/>
  <c r="BR233" i="40"/>
  <c r="BR336" i="40"/>
  <c r="BR398" i="40"/>
  <c r="BR106" i="40"/>
  <c r="BR224" i="40"/>
  <c r="BR288" i="40"/>
  <c r="BR474" i="40"/>
  <c r="BR79" i="40"/>
  <c r="BR279" i="40"/>
  <c r="BR311" i="40"/>
  <c r="BR382" i="40"/>
  <c r="BR457" i="40"/>
  <c r="BR80" i="40"/>
  <c r="BR270" i="40"/>
  <c r="BR297" i="40"/>
  <c r="BR373" i="40"/>
  <c r="BR448" i="40"/>
  <c r="BR261" i="40"/>
  <c r="BR364" i="40"/>
  <c r="BR439" i="40"/>
  <c r="BR126" i="40"/>
  <c r="BR252" i="40"/>
  <c r="BR329" i="40"/>
  <c r="BR355" i="40"/>
  <c r="BR391" i="40"/>
  <c r="BR399" i="40"/>
  <c r="BR430" i="40"/>
  <c r="BR510" i="40"/>
  <c r="BR601" i="40"/>
  <c r="BR665" i="40"/>
  <c r="BR243" i="40"/>
  <c r="BR346" i="40"/>
  <c r="BR400" i="40"/>
  <c r="BR527" i="40"/>
  <c r="BR656" i="40"/>
  <c r="BR108" i="40"/>
  <c r="BR234" i="40"/>
  <c r="BR476" i="40"/>
  <c r="BR647" i="40"/>
  <c r="BR47" i="40"/>
  <c r="BR99" i="40"/>
  <c r="BR271" i="40"/>
  <c r="BR384" i="40"/>
  <c r="BR467" i="40"/>
  <c r="BR583" i="40"/>
  <c r="BR606" i="40"/>
  <c r="BR90" i="40"/>
  <c r="BR272" i="40"/>
  <c r="BR375" i="40"/>
  <c r="BR458" i="40"/>
  <c r="BR597" i="40"/>
  <c r="BR661" i="40"/>
  <c r="BR263" i="40"/>
  <c r="BR366" i="40"/>
  <c r="BR431" i="40"/>
  <c r="BR652" i="40"/>
  <c r="BR128" i="40"/>
  <c r="BR254" i="40"/>
  <c r="BR357" i="40"/>
  <c r="BR419" i="40"/>
  <c r="BR432" i="40"/>
  <c r="BR512" i="40"/>
  <c r="BR521" i="40"/>
  <c r="BR611" i="40"/>
  <c r="BR643" i="40"/>
  <c r="BR119" i="40"/>
  <c r="BR245" i="40"/>
  <c r="BR330" i="40"/>
  <c r="BR348" i="40"/>
  <c r="BR393" i="40"/>
  <c r="BR410" i="40"/>
  <c r="BR503" i="40"/>
  <c r="BR602" i="40"/>
  <c r="BR666" i="40"/>
  <c r="BR110" i="40"/>
  <c r="BR236" i="40"/>
  <c r="BR339" i="40"/>
  <c r="BR478" i="40"/>
  <c r="BR101" i="40"/>
  <c r="BR227" i="40"/>
  <c r="BR291" i="40"/>
  <c r="BR469" i="40"/>
  <c r="BR92" i="40"/>
  <c r="BR282" i="40"/>
  <c r="BR367" i="40"/>
  <c r="BR460" i="40"/>
  <c r="BR83" i="40"/>
  <c r="BR265" i="40"/>
  <c r="BR368" i="40"/>
  <c r="BR451" i="40"/>
  <c r="BR74" i="40"/>
  <c r="BR256" i="40"/>
  <c r="BR359" i="40"/>
  <c r="BR111" i="40"/>
  <c r="BR247" i="40"/>
  <c r="BR332" i="40"/>
  <c r="BR350" i="40"/>
  <c r="BR412" i="40"/>
  <c r="BR64" i="40"/>
  <c r="BR112" i="40"/>
  <c r="BR238" i="40"/>
  <c r="BR341" i="40"/>
  <c r="BR394" i="40"/>
  <c r="BR403" i="40"/>
  <c r="BR480" i="40"/>
  <c r="BR103" i="40"/>
  <c r="BR220" i="40"/>
  <c r="BR229" i="40"/>
  <c r="BR471" i="40"/>
  <c r="BR67" i="40"/>
  <c r="BR94" i="40"/>
  <c r="BR284" i="40"/>
  <c r="BR293" i="40"/>
  <c r="BR309" i="40"/>
  <c r="BR314" i="40"/>
  <c r="BR462" i="40"/>
  <c r="BR85" i="40"/>
  <c r="BR275" i="40"/>
  <c r="BR378" i="40"/>
  <c r="BR387" i="40"/>
  <c r="BR453" i="40"/>
  <c r="BR608" i="40"/>
  <c r="BR640" i="40"/>
  <c r="BR517" i="40"/>
  <c r="BR607" i="40"/>
  <c r="BR669" i="40"/>
  <c r="BR598" i="40"/>
  <c r="BR582" i="40"/>
  <c r="BR644" i="40"/>
  <c r="BR519" i="40"/>
  <c r="BR653" i="40"/>
  <c r="BR662" i="40"/>
  <c r="BR599" i="40"/>
  <c r="BR600" i="40"/>
  <c r="BR646" i="40"/>
  <c r="BR522" i="40"/>
  <c r="BR663" i="40"/>
  <c r="BR610" i="40"/>
  <c r="BR664" i="40"/>
  <c r="BR648" i="40"/>
  <c r="BR639" i="40"/>
  <c r="BR526" i="40"/>
  <c r="BR657" i="40"/>
  <c r="BR266" i="40"/>
  <c r="BR444" i="40"/>
  <c r="BR603" i="40"/>
  <c r="BR361" i="40"/>
  <c r="BR649" i="40"/>
  <c r="BR658" i="40"/>
  <c r="BR76" i="40"/>
  <c r="BR605" i="40"/>
  <c r="BR667" i="40"/>
  <c r="BR580" i="40"/>
  <c r="BR642" i="40"/>
  <c r="BR651" i="40"/>
  <c r="BR660" i="40"/>
  <c r="BR596" i="40"/>
  <c r="BR528" i="40"/>
  <c r="BA23" i="40"/>
  <c r="BA55" i="40"/>
  <c r="BA119" i="40"/>
  <c r="BA247" i="40"/>
  <c r="BA14" i="40"/>
  <c r="BA46" i="40"/>
  <c r="BA78" i="40"/>
  <c r="BA37" i="40"/>
  <c r="BA69" i="40"/>
  <c r="BA101" i="40"/>
  <c r="BA133" i="40"/>
  <c r="BA229" i="40"/>
  <c r="BA261" i="40"/>
  <c r="BA28" i="40"/>
  <c r="BA60" i="40"/>
  <c r="BA92" i="40"/>
  <c r="BA124" i="40"/>
  <c r="BA19" i="40"/>
  <c r="BA51" i="40"/>
  <c r="BA83" i="40"/>
  <c r="BA115" i="40"/>
  <c r="BA243" i="40"/>
  <c r="BA42" i="40"/>
  <c r="BA106" i="40"/>
  <c r="BA234" i="40"/>
  <c r="BA33" i="40"/>
  <c r="BA65" i="40"/>
  <c r="BA97" i="40"/>
  <c r="BA129" i="40"/>
  <c r="BA24" i="40"/>
  <c r="BA56" i="40"/>
  <c r="BA120" i="40"/>
  <c r="BA15" i="40"/>
  <c r="BA47" i="40"/>
  <c r="BA79" i="40"/>
  <c r="BA111" i="40"/>
  <c r="BA239" i="40"/>
  <c r="BA38" i="40"/>
  <c r="BA134" i="40"/>
  <c r="BA230" i="40"/>
  <c r="BA262" i="40"/>
  <c r="BA29" i="40"/>
  <c r="BA61" i="40"/>
  <c r="BA125" i="40"/>
  <c r="BA52" i="40"/>
  <c r="BA84" i="40"/>
  <c r="BA43" i="40"/>
  <c r="BA107" i="40"/>
  <c r="BA66" i="40"/>
  <c r="BA98" i="40"/>
  <c r="BA130" i="40"/>
  <c r="BA25" i="40"/>
  <c r="BA57" i="40"/>
  <c r="BA89" i="40"/>
  <c r="BA121" i="40"/>
  <c r="BA16" i="40"/>
  <c r="BA48" i="40"/>
  <c r="BA80" i="40"/>
  <c r="BA112" i="40"/>
  <c r="BA240" i="40"/>
  <c r="BA39" i="40"/>
  <c r="BA30" i="40"/>
  <c r="BA62" i="40"/>
  <c r="BA126" i="40"/>
  <c r="BA21" i="40"/>
  <c r="BA53" i="40"/>
  <c r="BA85" i="40"/>
  <c r="BA117" i="40"/>
  <c r="BA35" i="40"/>
  <c r="BA67" i="40"/>
  <c r="BA131" i="40"/>
  <c r="BA227" i="40"/>
  <c r="BA259" i="40"/>
  <c r="BA26" i="40"/>
  <c r="BA58" i="40"/>
  <c r="BA250" i="40"/>
  <c r="BA17" i="40"/>
  <c r="BA49" i="40"/>
  <c r="BA81" i="40"/>
  <c r="BA241" i="40"/>
  <c r="BA40" i="40"/>
  <c r="BA104" i="40"/>
  <c r="BA232" i="40"/>
  <c r="BA264" i="40"/>
  <c r="BA31" i="40"/>
  <c r="BA63" i="40"/>
  <c r="BA95" i="40"/>
  <c r="BA127" i="40"/>
  <c r="BA223" i="40"/>
  <c r="BA255" i="40"/>
  <c r="BA22" i="40"/>
  <c r="BA54" i="40"/>
  <c r="BA86" i="40"/>
  <c r="BA118" i="40"/>
  <c r="BA246" i="40"/>
  <c r="BA13" i="40"/>
  <c r="BA45" i="40"/>
  <c r="BA77" i="40"/>
  <c r="BA109" i="40"/>
  <c r="BA36" i="40"/>
  <c r="BA68" i="40"/>
  <c r="BA100" i="40"/>
  <c r="BA132" i="40"/>
  <c r="BA27" i="40"/>
  <c r="BA59" i="40"/>
  <c r="BA91" i="40"/>
  <c r="BA219" i="40"/>
  <c r="BA251" i="40"/>
  <c r="BA18" i="40"/>
  <c r="BA50" i="40"/>
  <c r="BA82" i="40"/>
  <c r="BA249" i="40"/>
  <c r="BA284" i="40"/>
  <c r="BA316" i="40"/>
  <c r="BA380" i="40"/>
  <c r="BA412" i="40"/>
  <c r="BA444" i="40"/>
  <c r="BA476" i="40"/>
  <c r="BA508" i="40"/>
  <c r="BA604" i="40"/>
  <c r="BA668" i="40"/>
  <c r="BA389" i="40"/>
  <c r="BA258" i="40"/>
  <c r="BA275" i="40"/>
  <c r="BA339" i="40"/>
  <c r="BA403" i="40"/>
  <c r="BA435" i="40"/>
  <c r="BA467" i="40"/>
  <c r="BA659" i="40"/>
  <c r="BA266" i="40"/>
  <c r="BA330" i="40"/>
  <c r="BA362" i="40"/>
  <c r="BA394" i="40"/>
  <c r="BA426" i="40"/>
  <c r="BA458" i="40"/>
  <c r="BA522" i="40"/>
  <c r="BA650" i="40"/>
  <c r="BA224" i="40"/>
  <c r="BA289" i="40"/>
  <c r="BA385" i="40"/>
  <c r="BA417" i="40"/>
  <c r="BA449" i="40"/>
  <c r="BA513" i="40"/>
  <c r="BA609" i="40"/>
  <c r="BA641" i="40"/>
  <c r="BA325" i="40"/>
  <c r="BA233" i="40"/>
  <c r="BA280" i="40"/>
  <c r="BA376" i="40"/>
  <c r="BA408" i="40"/>
  <c r="BA440" i="40"/>
  <c r="BA472" i="40"/>
  <c r="BA504" i="40"/>
  <c r="BA600" i="40"/>
  <c r="BA664" i="40"/>
  <c r="BA517" i="40"/>
  <c r="BA242" i="40"/>
  <c r="BA335" i="40"/>
  <c r="BA367" i="40"/>
  <c r="BA399" i="40"/>
  <c r="BA431" i="40"/>
  <c r="BA463" i="40"/>
  <c r="BA527" i="40"/>
  <c r="BA655" i="40"/>
  <c r="BA225" i="40"/>
  <c r="BA294" i="40"/>
  <c r="BA326" i="40"/>
  <c r="BA390" i="40"/>
  <c r="BA454" i="40"/>
  <c r="BA518" i="40"/>
  <c r="BA582" i="40"/>
  <c r="BA646" i="40"/>
  <c r="BA285" i="40"/>
  <c r="BA349" i="40"/>
  <c r="BA381" i="40"/>
  <c r="BA413" i="40"/>
  <c r="BA445" i="40"/>
  <c r="BA509" i="40"/>
  <c r="BA605" i="40"/>
  <c r="BA669" i="40"/>
  <c r="BA581" i="40"/>
  <c r="BA260" i="40"/>
  <c r="BA276" i="40"/>
  <c r="BA340" i="40"/>
  <c r="BA404" i="40"/>
  <c r="BA436" i="40"/>
  <c r="BA468" i="40"/>
  <c r="BA660" i="40"/>
  <c r="BA331" i="40"/>
  <c r="BA395" i="40"/>
  <c r="BA427" i="40"/>
  <c r="BA459" i="40"/>
  <c r="BA523" i="40"/>
  <c r="BA651" i="40"/>
  <c r="BA226" i="40"/>
  <c r="BA290" i="40"/>
  <c r="BA386" i="40"/>
  <c r="BA418" i="40"/>
  <c r="BA450" i="40"/>
  <c r="BA514" i="40"/>
  <c r="BA610" i="40"/>
  <c r="BA642" i="40"/>
  <c r="BA41" i="40"/>
  <c r="BA235" i="40"/>
  <c r="BA252" i="40"/>
  <c r="BA281" i="40"/>
  <c r="BA313" i="40"/>
  <c r="BA377" i="40"/>
  <c r="BA409" i="40"/>
  <c r="BA441" i="40"/>
  <c r="BA473" i="40"/>
  <c r="BA505" i="40"/>
  <c r="BA601" i="40"/>
  <c r="BA665" i="40"/>
  <c r="BA105" i="40"/>
  <c r="BA244" i="40"/>
  <c r="BA336" i="40"/>
  <c r="BA368" i="40"/>
  <c r="BA400" i="40"/>
  <c r="BA432" i="40"/>
  <c r="BA464" i="40"/>
  <c r="BA656" i="40"/>
  <c r="BA253" i="40"/>
  <c r="BA295" i="40"/>
  <c r="BA327" i="40"/>
  <c r="BA359" i="40"/>
  <c r="BA391" i="40"/>
  <c r="BA455" i="40"/>
  <c r="BA519" i="40"/>
  <c r="BA583" i="40"/>
  <c r="BA647" i="40"/>
  <c r="BA108" i="40"/>
  <c r="BA286" i="40"/>
  <c r="BA382" i="40"/>
  <c r="BA414" i="40"/>
  <c r="BA510" i="40"/>
  <c r="BA606" i="40"/>
  <c r="BA293" i="40"/>
  <c r="BA277" i="40"/>
  <c r="BA309" i="40"/>
  <c r="BA341" i="40"/>
  <c r="BA373" i="40"/>
  <c r="BA405" i="40"/>
  <c r="BA437" i="40"/>
  <c r="BA469" i="40"/>
  <c r="BA661" i="40"/>
  <c r="BA453" i="40"/>
  <c r="BA44" i="40"/>
  <c r="BA300" i="40"/>
  <c r="BA332" i="40"/>
  <c r="BA396" i="40"/>
  <c r="BA428" i="40"/>
  <c r="BA460" i="40"/>
  <c r="BA524" i="40"/>
  <c r="BA652" i="40"/>
  <c r="BA228" i="40"/>
  <c r="BA236" i="40"/>
  <c r="BA291" i="40"/>
  <c r="BA387" i="40"/>
  <c r="BA419" i="40"/>
  <c r="BA451" i="40"/>
  <c r="BA515" i="40"/>
  <c r="BA611" i="40"/>
  <c r="BA643" i="40"/>
  <c r="BA220" i="40"/>
  <c r="BA237" i="40"/>
  <c r="BA245" i="40"/>
  <c r="BA282" i="40"/>
  <c r="BA314" i="40"/>
  <c r="BA346" i="40"/>
  <c r="BA378" i="40"/>
  <c r="BA410" i="40"/>
  <c r="BA442" i="40"/>
  <c r="BA506" i="40"/>
  <c r="BA602" i="40"/>
  <c r="BA666" i="40"/>
  <c r="BA254" i="40"/>
  <c r="BA273" i="40"/>
  <c r="BA337" i="40"/>
  <c r="BA369" i="40"/>
  <c r="BA401" i="40"/>
  <c r="BA433" i="40"/>
  <c r="BA657" i="40"/>
  <c r="BA263" i="40"/>
  <c r="BA296" i="40"/>
  <c r="BA328" i="40"/>
  <c r="BA392" i="40"/>
  <c r="BA456" i="40"/>
  <c r="BA520" i="40"/>
  <c r="BA584" i="40"/>
  <c r="BA648" i="40"/>
  <c r="BA221" i="40"/>
  <c r="BA287" i="40"/>
  <c r="BA383" i="40"/>
  <c r="BA415" i="40"/>
  <c r="BA447" i="40"/>
  <c r="BA511" i="40"/>
  <c r="BA607" i="40"/>
  <c r="BA639" i="40"/>
  <c r="BA645" i="40"/>
  <c r="BA278" i="40"/>
  <c r="BA374" i="40"/>
  <c r="BA406" i="40"/>
  <c r="BA438" i="40"/>
  <c r="BA470" i="40"/>
  <c r="BA662" i="40"/>
  <c r="BA238" i="40"/>
  <c r="BA333" i="40"/>
  <c r="BA397" i="40"/>
  <c r="BA429" i="40"/>
  <c r="BA461" i="40"/>
  <c r="BA525" i="40"/>
  <c r="BA653" i="40"/>
  <c r="BA292" i="40"/>
  <c r="BA388" i="40"/>
  <c r="BA452" i="40"/>
  <c r="BA516" i="40"/>
  <c r="BA580" i="40"/>
  <c r="BA644" i="40"/>
  <c r="BA283" i="40"/>
  <c r="BA315" i="40"/>
  <c r="BA379" i="40"/>
  <c r="BA411" i="40"/>
  <c r="BA443" i="40"/>
  <c r="BA507" i="40"/>
  <c r="BA603" i="40"/>
  <c r="BA667" i="40"/>
  <c r="BA32" i="40"/>
  <c r="BA256" i="40"/>
  <c r="BA274" i="40"/>
  <c r="BA338" i="40"/>
  <c r="BA370" i="40"/>
  <c r="BA402" i="40"/>
  <c r="BA434" i="40"/>
  <c r="BA658" i="40"/>
  <c r="BA12" i="40"/>
  <c r="BA222" i="40"/>
  <c r="BA297" i="40"/>
  <c r="BA329" i="40"/>
  <c r="BA393" i="40"/>
  <c r="BA457" i="40"/>
  <c r="BA521" i="40"/>
  <c r="BA649" i="40"/>
  <c r="BA128" i="40"/>
  <c r="BA265" i="40"/>
  <c r="BA288" i="40"/>
  <c r="BA352" i="40"/>
  <c r="BA384" i="40"/>
  <c r="BA416" i="40"/>
  <c r="BA448" i="40"/>
  <c r="BA512" i="40"/>
  <c r="BA608" i="40"/>
  <c r="BA640" i="40"/>
  <c r="BA231" i="40"/>
  <c r="BA257" i="40"/>
  <c r="BA279" i="40"/>
  <c r="BA311" i="40"/>
  <c r="BA407" i="40"/>
  <c r="BA439" i="40"/>
  <c r="BA471" i="40"/>
  <c r="BA503" i="40"/>
  <c r="BA599" i="40"/>
  <c r="BA663" i="40"/>
  <c r="BA64" i="40"/>
  <c r="BA334" i="40"/>
  <c r="BA398" i="40"/>
  <c r="BA430" i="40"/>
  <c r="BA462" i="40"/>
  <c r="BA526" i="40"/>
  <c r="BA654" i="40"/>
  <c r="BA528" i="40"/>
  <c r="AZ14" i="40"/>
  <c r="AZ46" i="40"/>
  <c r="AZ78" i="40"/>
  <c r="AZ110" i="40"/>
  <c r="AZ238" i="40"/>
  <c r="AZ37" i="40"/>
  <c r="AZ69" i="40"/>
  <c r="AZ101" i="40"/>
  <c r="AZ133" i="40"/>
  <c r="AZ28" i="40"/>
  <c r="AZ60" i="40"/>
  <c r="AZ92" i="40"/>
  <c r="AZ124" i="40"/>
  <c r="AZ220" i="40"/>
  <c r="AZ252" i="40"/>
  <c r="AZ19" i="40"/>
  <c r="AZ51" i="40"/>
  <c r="AZ83" i="40"/>
  <c r="AZ115" i="40"/>
  <c r="AZ42" i="40"/>
  <c r="AZ74" i="40"/>
  <c r="AZ106" i="40"/>
  <c r="AZ234" i="40"/>
  <c r="AZ33" i="40"/>
  <c r="AZ65" i="40"/>
  <c r="AZ97" i="40"/>
  <c r="AZ129" i="40"/>
  <c r="AZ225" i="40"/>
  <c r="AZ257" i="40"/>
  <c r="AZ24" i="40"/>
  <c r="AZ56" i="40"/>
  <c r="AZ88" i="40"/>
  <c r="AZ120" i="40"/>
  <c r="AZ15" i="40"/>
  <c r="AZ47" i="40"/>
  <c r="AZ79" i="40"/>
  <c r="AZ111" i="40"/>
  <c r="AZ239" i="40"/>
  <c r="AZ38" i="40"/>
  <c r="AZ102" i="40"/>
  <c r="AZ134" i="40"/>
  <c r="AZ230" i="40"/>
  <c r="AZ262" i="40"/>
  <c r="AZ29" i="40"/>
  <c r="AZ61" i="40"/>
  <c r="AZ93" i="40"/>
  <c r="AZ125" i="40"/>
  <c r="AZ221" i="40"/>
  <c r="AZ253" i="40"/>
  <c r="AZ52" i="40"/>
  <c r="AZ84" i="40"/>
  <c r="AZ116" i="40"/>
  <c r="AZ43" i="40"/>
  <c r="AZ75" i="40"/>
  <c r="AZ107" i="40"/>
  <c r="AZ66" i="40"/>
  <c r="AZ98" i="40"/>
  <c r="AZ130" i="40"/>
  <c r="AZ25" i="40"/>
  <c r="AZ57" i="40"/>
  <c r="AZ89" i="40"/>
  <c r="AZ121" i="40"/>
  <c r="AZ16" i="40"/>
  <c r="AZ48" i="40"/>
  <c r="AZ80" i="40"/>
  <c r="AZ112" i="40"/>
  <c r="AZ39" i="40"/>
  <c r="AZ103" i="40"/>
  <c r="AZ231" i="40"/>
  <c r="AZ263" i="40"/>
  <c r="AZ30" i="40"/>
  <c r="AZ62" i="40"/>
  <c r="AZ94" i="40"/>
  <c r="AZ126" i="40"/>
  <c r="AZ21" i="40"/>
  <c r="AZ53" i="40"/>
  <c r="AZ85" i="40"/>
  <c r="AZ117" i="40"/>
  <c r="AZ12" i="40"/>
  <c r="AZ44" i="40"/>
  <c r="AZ76" i="40"/>
  <c r="AZ108" i="40"/>
  <c r="AZ26" i="40"/>
  <c r="AZ58" i="40"/>
  <c r="AZ90" i="40"/>
  <c r="AZ122" i="40"/>
  <c r="AZ250" i="40"/>
  <c r="AZ17" i="40"/>
  <c r="AZ49" i="40"/>
  <c r="AZ81" i="40"/>
  <c r="AZ113" i="40"/>
  <c r="AZ241" i="40"/>
  <c r="AZ40" i="40"/>
  <c r="AZ104" i="40"/>
  <c r="AZ232" i="40"/>
  <c r="AZ264" i="40"/>
  <c r="AZ31" i="40"/>
  <c r="AZ63" i="40"/>
  <c r="AZ95" i="40"/>
  <c r="AZ127" i="40"/>
  <c r="AZ223" i="40"/>
  <c r="AZ255" i="40"/>
  <c r="AZ22" i="40"/>
  <c r="AZ54" i="40"/>
  <c r="AZ86" i="40"/>
  <c r="AZ118" i="40"/>
  <c r="AZ246" i="40"/>
  <c r="AZ13" i="40"/>
  <c r="AZ45" i="40"/>
  <c r="AZ77" i="40"/>
  <c r="AZ109" i="40"/>
  <c r="AZ237" i="40"/>
  <c r="AZ36" i="40"/>
  <c r="AZ68" i="40"/>
  <c r="AZ100" i="40"/>
  <c r="AZ132" i="40"/>
  <c r="AZ27" i="40"/>
  <c r="AZ59" i="40"/>
  <c r="AZ91" i="40"/>
  <c r="AZ123" i="40"/>
  <c r="AZ18" i="40"/>
  <c r="AZ50" i="40"/>
  <c r="AZ82" i="40"/>
  <c r="AZ114" i="40"/>
  <c r="AZ242" i="40"/>
  <c r="AZ41" i="40"/>
  <c r="AZ73" i="40"/>
  <c r="AZ105" i="40"/>
  <c r="AZ258" i="40"/>
  <c r="AZ275" i="40"/>
  <c r="AZ339" i="40"/>
  <c r="AZ371" i="40"/>
  <c r="AZ403" i="40"/>
  <c r="AZ435" i="40"/>
  <c r="AZ467" i="40"/>
  <c r="AZ659" i="40"/>
  <c r="AZ87" i="40"/>
  <c r="AZ266" i="40"/>
  <c r="AZ330" i="40"/>
  <c r="AZ362" i="40"/>
  <c r="AZ394" i="40"/>
  <c r="AZ426" i="40"/>
  <c r="AZ458" i="40"/>
  <c r="AZ522" i="40"/>
  <c r="AZ650" i="40"/>
  <c r="AZ67" i="40"/>
  <c r="AZ380" i="40"/>
  <c r="AZ224" i="40"/>
  <c r="AZ289" i="40"/>
  <c r="AZ353" i="40"/>
  <c r="AZ385" i="40"/>
  <c r="AZ417" i="40"/>
  <c r="AZ449" i="40"/>
  <c r="AZ481" i="40"/>
  <c r="AZ513" i="40"/>
  <c r="AZ609" i="40"/>
  <c r="AZ641" i="40"/>
  <c r="AZ604" i="40"/>
  <c r="AZ233" i="40"/>
  <c r="AZ280" i="40"/>
  <c r="AZ344" i="40"/>
  <c r="AZ376" i="40"/>
  <c r="AZ408" i="40"/>
  <c r="AZ440" i="40"/>
  <c r="AZ472" i="40"/>
  <c r="AZ504" i="40"/>
  <c r="AZ600" i="40"/>
  <c r="AZ664" i="40"/>
  <c r="AZ35" i="40"/>
  <c r="AZ271" i="40"/>
  <c r="AZ335" i="40"/>
  <c r="AZ367" i="40"/>
  <c r="AZ399" i="40"/>
  <c r="AZ431" i="40"/>
  <c r="AZ463" i="40"/>
  <c r="AZ527" i="40"/>
  <c r="AZ655" i="40"/>
  <c r="AZ294" i="40"/>
  <c r="AZ326" i="40"/>
  <c r="AZ358" i="40"/>
  <c r="AZ390" i="40"/>
  <c r="AZ454" i="40"/>
  <c r="AZ518" i="40"/>
  <c r="AZ582" i="40"/>
  <c r="AZ646" i="40"/>
  <c r="AZ96" i="40"/>
  <c r="AZ251" i="40"/>
  <c r="AZ259" i="40"/>
  <c r="AZ285" i="40"/>
  <c r="AZ349" i="40"/>
  <c r="AZ381" i="40"/>
  <c r="AZ413" i="40"/>
  <c r="AZ445" i="40"/>
  <c r="AZ477" i="40"/>
  <c r="AZ509" i="40"/>
  <c r="AZ605" i="40"/>
  <c r="AZ669" i="40"/>
  <c r="AZ260" i="40"/>
  <c r="AZ276" i="40"/>
  <c r="AZ340" i="40"/>
  <c r="AZ372" i="40"/>
  <c r="AZ404" i="40"/>
  <c r="AZ436" i="40"/>
  <c r="AZ468" i="40"/>
  <c r="AZ596" i="40"/>
  <c r="AZ660" i="40"/>
  <c r="AZ99" i="40"/>
  <c r="AZ267" i="40"/>
  <c r="AZ331" i="40"/>
  <c r="AZ363" i="40"/>
  <c r="AZ395" i="40"/>
  <c r="AZ427" i="40"/>
  <c r="AZ459" i="40"/>
  <c r="AZ523" i="40"/>
  <c r="AZ651" i="40"/>
  <c r="AZ316" i="40"/>
  <c r="AZ412" i="40"/>
  <c r="AZ226" i="40"/>
  <c r="AZ243" i="40"/>
  <c r="AZ290" i="40"/>
  <c r="AZ354" i="40"/>
  <c r="AZ386" i="40"/>
  <c r="AZ418" i="40"/>
  <c r="AZ450" i="40"/>
  <c r="AZ482" i="40"/>
  <c r="AZ514" i="40"/>
  <c r="AZ610" i="40"/>
  <c r="AZ642" i="40"/>
  <c r="AZ235" i="40"/>
  <c r="AZ281" i="40"/>
  <c r="AZ313" i="40"/>
  <c r="AZ345" i="40"/>
  <c r="AZ377" i="40"/>
  <c r="AZ409" i="40"/>
  <c r="AZ441" i="40"/>
  <c r="AZ473" i="40"/>
  <c r="AZ505" i="40"/>
  <c r="AZ601" i="40"/>
  <c r="AZ665" i="40"/>
  <c r="AZ244" i="40"/>
  <c r="AZ272" i="40"/>
  <c r="AZ336" i="40"/>
  <c r="AZ368" i="40"/>
  <c r="AZ400" i="40"/>
  <c r="AZ432" i="40"/>
  <c r="AZ464" i="40"/>
  <c r="AZ656" i="40"/>
  <c r="AZ261" i="40"/>
  <c r="AZ295" i="40"/>
  <c r="AZ327" i="40"/>
  <c r="AZ359" i="40"/>
  <c r="AZ391" i="40"/>
  <c r="AZ455" i="40"/>
  <c r="AZ519" i="40"/>
  <c r="AZ583" i="40"/>
  <c r="AZ647" i="40"/>
  <c r="AZ219" i="40"/>
  <c r="AZ286" i="40"/>
  <c r="AZ350" i="40"/>
  <c r="AZ382" i="40"/>
  <c r="AZ414" i="40"/>
  <c r="AZ446" i="40"/>
  <c r="AZ478" i="40"/>
  <c r="AZ510" i="40"/>
  <c r="AZ606" i="40"/>
  <c r="AZ277" i="40"/>
  <c r="AZ309" i="40"/>
  <c r="AZ341" i="40"/>
  <c r="AZ373" i="40"/>
  <c r="AZ405" i="40"/>
  <c r="AZ437" i="40"/>
  <c r="AZ469" i="40"/>
  <c r="AZ597" i="40"/>
  <c r="AZ661" i="40"/>
  <c r="AZ23" i="40"/>
  <c r="AZ227" i="40"/>
  <c r="AZ268" i="40"/>
  <c r="AZ300" i="40"/>
  <c r="AZ332" i="40"/>
  <c r="AZ364" i="40"/>
  <c r="AZ396" i="40"/>
  <c r="AZ428" i="40"/>
  <c r="AZ460" i="40"/>
  <c r="AZ524" i="40"/>
  <c r="AZ652" i="40"/>
  <c r="AZ228" i="40"/>
  <c r="AZ236" i="40"/>
  <c r="AZ291" i="40"/>
  <c r="AZ355" i="40"/>
  <c r="AZ387" i="40"/>
  <c r="AZ419" i="40"/>
  <c r="AZ451" i="40"/>
  <c r="AZ515" i="40"/>
  <c r="AZ611" i="40"/>
  <c r="AZ643" i="40"/>
  <c r="AZ284" i="40"/>
  <c r="AZ348" i="40"/>
  <c r="AZ245" i="40"/>
  <c r="AZ282" i="40"/>
  <c r="AZ314" i="40"/>
  <c r="AZ346" i="40"/>
  <c r="AZ378" i="40"/>
  <c r="AZ410" i="40"/>
  <c r="AZ442" i="40"/>
  <c r="AZ474" i="40"/>
  <c r="AZ506" i="40"/>
  <c r="AZ602" i="40"/>
  <c r="AZ666" i="40"/>
  <c r="AZ249" i="40"/>
  <c r="AZ444" i="40"/>
  <c r="AZ254" i="40"/>
  <c r="AZ273" i="40"/>
  <c r="AZ337" i="40"/>
  <c r="AZ369" i="40"/>
  <c r="AZ401" i="40"/>
  <c r="AZ433" i="40"/>
  <c r="AZ465" i="40"/>
  <c r="AZ657" i="40"/>
  <c r="AZ296" i="40"/>
  <c r="AZ328" i="40"/>
  <c r="AZ360" i="40"/>
  <c r="AZ392" i="40"/>
  <c r="AZ456" i="40"/>
  <c r="AZ520" i="40"/>
  <c r="AZ584" i="40"/>
  <c r="AZ648" i="40"/>
  <c r="AZ508" i="40"/>
  <c r="AZ287" i="40"/>
  <c r="AZ351" i="40"/>
  <c r="AZ383" i="40"/>
  <c r="AZ415" i="40"/>
  <c r="AZ447" i="40"/>
  <c r="AZ479" i="40"/>
  <c r="AZ511" i="40"/>
  <c r="AZ607" i="40"/>
  <c r="AZ639" i="40"/>
  <c r="AZ229" i="40"/>
  <c r="AZ278" i="40"/>
  <c r="AZ342" i="40"/>
  <c r="AZ374" i="40"/>
  <c r="AZ406" i="40"/>
  <c r="AZ438" i="40"/>
  <c r="AZ470" i="40"/>
  <c r="AZ598" i="40"/>
  <c r="AZ662" i="40"/>
  <c r="AZ119" i="40"/>
  <c r="AZ269" i="40"/>
  <c r="AZ333" i="40"/>
  <c r="AZ365" i="40"/>
  <c r="AZ397" i="40"/>
  <c r="AZ429" i="40"/>
  <c r="AZ461" i="40"/>
  <c r="AZ525" i="40"/>
  <c r="AZ653" i="40"/>
  <c r="AZ292" i="40"/>
  <c r="AZ356" i="40"/>
  <c r="AZ388" i="40"/>
  <c r="AZ452" i="40"/>
  <c r="AZ516" i="40"/>
  <c r="AZ580" i="40"/>
  <c r="AZ644" i="40"/>
  <c r="AZ55" i="40"/>
  <c r="AZ247" i="40"/>
  <c r="AZ283" i="40"/>
  <c r="AZ315" i="40"/>
  <c r="AZ347" i="40"/>
  <c r="AZ379" i="40"/>
  <c r="AZ411" i="40"/>
  <c r="AZ443" i="40"/>
  <c r="AZ475" i="40"/>
  <c r="AZ507" i="40"/>
  <c r="AZ603" i="40"/>
  <c r="AZ667" i="40"/>
  <c r="AZ32" i="40"/>
  <c r="AZ256" i="40"/>
  <c r="AZ274" i="40"/>
  <c r="AZ338" i="40"/>
  <c r="AZ370" i="40"/>
  <c r="AZ402" i="40"/>
  <c r="AZ434" i="40"/>
  <c r="AZ466" i="40"/>
  <c r="AZ658" i="40"/>
  <c r="AZ222" i="40"/>
  <c r="AZ297" i="40"/>
  <c r="AZ329" i="40"/>
  <c r="AZ361" i="40"/>
  <c r="AZ393" i="40"/>
  <c r="AZ457" i="40"/>
  <c r="AZ521" i="40"/>
  <c r="AZ649" i="40"/>
  <c r="AZ668" i="40"/>
  <c r="AZ128" i="40"/>
  <c r="AZ248" i="40"/>
  <c r="AZ265" i="40"/>
  <c r="AZ288" i="40"/>
  <c r="AZ352" i="40"/>
  <c r="AZ384" i="40"/>
  <c r="AZ416" i="40"/>
  <c r="AZ448" i="40"/>
  <c r="AZ480" i="40"/>
  <c r="AZ512" i="40"/>
  <c r="AZ608" i="40"/>
  <c r="AZ640" i="40"/>
  <c r="AZ279" i="40"/>
  <c r="AZ311" i="40"/>
  <c r="AZ343" i="40"/>
  <c r="AZ375" i="40"/>
  <c r="AZ407" i="40"/>
  <c r="AZ439" i="40"/>
  <c r="AZ471" i="40"/>
  <c r="AZ503" i="40"/>
  <c r="AZ599" i="40"/>
  <c r="AZ663" i="40"/>
  <c r="AZ64" i="40"/>
  <c r="AZ131" i="40"/>
  <c r="AZ270" i="40"/>
  <c r="AZ334" i="40"/>
  <c r="AZ366" i="40"/>
  <c r="AZ398" i="40"/>
  <c r="AZ430" i="40"/>
  <c r="AZ462" i="40"/>
  <c r="AZ526" i="40"/>
  <c r="AZ654" i="40"/>
  <c r="AZ240" i="40"/>
  <c r="AZ293" i="40"/>
  <c r="AZ325" i="40"/>
  <c r="AZ357" i="40"/>
  <c r="AZ389" i="40"/>
  <c r="AZ453" i="40"/>
  <c r="AZ517" i="40"/>
  <c r="AZ581" i="40"/>
  <c r="AZ645" i="40"/>
  <c r="AZ476" i="40"/>
  <c r="AZ528" i="40"/>
  <c r="BQ683" i="40" a="1"/>
  <c r="BQ683" i="40" s="1"/>
  <c r="AY683" i="40" a="1"/>
  <c r="AY683" i="40" s="1"/>
  <c r="AE13" i="42" a="1"/>
  <c r="AE13" i="42" s="1"/>
  <c r="BH683" i="40" a="1"/>
  <c r="BH683" i="40" s="1"/>
  <c r="CE13" i="42" a="1"/>
  <c r="CE13" i="42" s="1"/>
  <c r="BN13" i="42" a="1"/>
  <c r="BN13" i="42" s="1"/>
  <c r="CT11" i="40" a="1"/>
  <c r="CT11" i="40" s="1"/>
  <c r="DG11" i="40" a="1"/>
  <c r="DG11" i="40" s="1"/>
  <c r="CG11" i="40" a="1"/>
  <c r="CG11" i="40" s="1"/>
  <c r="BI11" i="40"/>
  <c r="BS11" i="40"/>
  <c r="BA11" i="40"/>
  <c r="W3" i="48"/>
  <c r="Z3" i="48" s="1"/>
  <c r="Y19" i="48"/>
  <c r="Y3" i="48"/>
  <c r="Z19" i="48"/>
  <c r="Y4" i="48"/>
  <c r="Y20" i="48"/>
  <c r="Y5" i="48"/>
  <c r="Z20" i="48"/>
  <c r="Z5" i="48"/>
  <c r="Y21" i="48"/>
  <c r="X2" i="48"/>
  <c r="Y2" i="48" s="1"/>
  <c r="Z21" i="48"/>
  <c r="Y6" i="48"/>
  <c r="Y22" i="48"/>
  <c r="Z6" i="48"/>
  <c r="Z22" i="48"/>
  <c r="Y7" i="48"/>
  <c r="Y23" i="48"/>
  <c r="Z7" i="48"/>
  <c r="Z23" i="48"/>
  <c r="Y8" i="48"/>
  <c r="Y24" i="48"/>
  <c r="Z8" i="48"/>
  <c r="Z24" i="48"/>
  <c r="Y9" i="48"/>
  <c r="Y25" i="48"/>
  <c r="Z9" i="48"/>
  <c r="Z25" i="48"/>
  <c r="Y10" i="48"/>
  <c r="Z27" i="48"/>
  <c r="Z10" i="48"/>
  <c r="Y26" i="48"/>
  <c r="Y11" i="48"/>
  <c r="Z26" i="48"/>
  <c r="Z11" i="48"/>
  <c r="Y27" i="48"/>
  <c r="Y12" i="48"/>
  <c r="Y28" i="48"/>
  <c r="Z12" i="48"/>
  <c r="Z28" i="48"/>
  <c r="Y13" i="48"/>
  <c r="Y29" i="48"/>
  <c r="Z13" i="48"/>
  <c r="Z29" i="48"/>
  <c r="Y14" i="48"/>
  <c r="Y30" i="48"/>
  <c r="Z14" i="48"/>
  <c r="Z30" i="48"/>
  <c r="Y15" i="48"/>
  <c r="Y31" i="48"/>
  <c r="Z15" i="48"/>
  <c r="Z31" i="48"/>
  <c r="Y16" i="48"/>
  <c r="Y32" i="48"/>
  <c r="Z16" i="48"/>
  <c r="Z32" i="48"/>
  <c r="Y17" i="48"/>
  <c r="Z17" i="48"/>
  <c r="Z33" i="48"/>
  <c r="Y18" i="48"/>
  <c r="Z18" i="48"/>
  <c r="BJ11" i="40"/>
  <c r="BR11" i="40"/>
  <c r="BS10" i="40"/>
  <c r="BT9" i="40" s="1"/>
  <c r="BJ10" i="40"/>
  <c r="BK9" i="40" s="1"/>
  <c r="E54" i="40"/>
  <c r="E59" i="40" s="1"/>
  <c r="BA10" i="40"/>
  <c r="BB9" i="40" s="1"/>
  <c r="BA479" i="40" l="1"/>
  <c r="BA96" i="40"/>
  <c r="BA347" i="40"/>
  <c r="BA75" i="40"/>
  <c r="BA482" i="40"/>
  <c r="BA90" i="40"/>
  <c r="BA116" i="40"/>
  <c r="BA76" i="40"/>
  <c r="BS576" i="40"/>
  <c r="BS544" i="40"/>
  <c r="BS543" i="40"/>
  <c r="BS555" i="40"/>
  <c r="BS577" i="40"/>
  <c r="BS545" i="40"/>
  <c r="BS539" i="40"/>
  <c r="BS563" i="40"/>
  <c r="BS566" i="40"/>
  <c r="BS567" i="40"/>
  <c r="BS551" i="40"/>
  <c r="BS556" i="40"/>
  <c r="BS535" i="40"/>
  <c r="BS561" i="40"/>
  <c r="BS569" i="40"/>
  <c r="BS534" i="40"/>
  <c r="BS573" i="40"/>
  <c r="BS571" i="40"/>
  <c r="BS557" i="40"/>
  <c r="BS529" i="40"/>
  <c r="BS537" i="40"/>
  <c r="BS568" i="40"/>
  <c r="BS547" i="40"/>
  <c r="BS552" i="40"/>
  <c r="BS564" i="40"/>
  <c r="BS536" i="40"/>
  <c r="BS548" i="40"/>
  <c r="BS565" i="40"/>
  <c r="BS560" i="40"/>
  <c r="BS532" i="40"/>
  <c r="BS575" i="40"/>
  <c r="BS574" i="40"/>
  <c r="BS570" i="40"/>
  <c r="BS540" i="40"/>
  <c r="BS538" i="40"/>
  <c r="BS549" i="40"/>
  <c r="BS541" i="40"/>
  <c r="BS554" i="40"/>
  <c r="BS542" i="40"/>
  <c r="BS562" i="40"/>
  <c r="BS550" i="40"/>
  <c r="BS558" i="40"/>
  <c r="BS572" i="40"/>
  <c r="BS546" i="40"/>
  <c r="BS531" i="40"/>
  <c r="BS533" i="40"/>
  <c r="BS530" i="40"/>
  <c r="BS559" i="40"/>
  <c r="BS553" i="40"/>
  <c r="BB532" i="40"/>
  <c r="BB543" i="40"/>
  <c r="BB566" i="40"/>
  <c r="BB547" i="40"/>
  <c r="BB551" i="40"/>
  <c r="BB555" i="40"/>
  <c r="BB539" i="40"/>
  <c r="BB534" i="40"/>
  <c r="BB571" i="40"/>
  <c r="BB576" i="40"/>
  <c r="BB529" i="40"/>
  <c r="BB577" i="40"/>
  <c r="BB544" i="40"/>
  <c r="BB561" i="40"/>
  <c r="BB565" i="40"/>
  <c r="BB545" i="40"/>
  <c r="BB557" i="40"/>
  <c r="BB569" i="40"/>
  <c r="BB573" i="40"/>
  <c r="BB537" i="40"/>
  <c r="BB567" i="40"/>
  <c r="BB552" i="40"/>
  <c r="BB568" i="40"/>
  <c r="BB535" i="40"/>
  <c r="BB556" i="40"/>
  <c r="BB560" i="40"/>
  <c r="BB575" i="40"/>
  <c r="BB536" i="40"/>
  <c r="BB564" i="40"/>
  <c r="BB548" i="40"/>
  <c r="BB563" i="40"/>
  <c r="BB546" i="40"/>
  <c r="BB550" i="40"/>
  <c r="BB538" i="40"/>
  <c r="BB549" i="40"/>
  <c r="BB542" i="40"/>
  <c r="BB562" i="40"/>
  <c r="BB554" i="40"/>
  <c r="BB559" i="40"/>
  <c r="BB558" i="40"/>
  <c r="BB531" i="40"/>
  <c r="BB572" i="40"/>
  <c r="BB530" i="40"/>
  <c r="BB533" i="40"/>
  <c r="BB553" i="40"/>
  <c r="BB574" i="40"/>
  <c r="BB541" i="40"/>
  <c r="BB570" i="40"/>
  <c r="BB540" i="40"/>
  <c r="BA357" i="40"/>
  <c r="BR482" i="40"/>
  <c r="BR477" i="40"/>
  <c r="BA465" i="40"/>
  <c r="BR113" i="40"/>
  <c r="BK566" i="40"/>
  <c r="BK569" i="40"/>
  <c r="BK571" i="40"/>
  <c r="BK548" i="40"/>
  <c r="BK534" i="40"/>
  <c r="BK565" i="40"/>
  <c r="BK537" i="40"/>
  <c r="BK564" i="40"/>
  <c r="BK557" i="40"/>
  <c r="BK560" i="40"/>
  <c r="BK532" i="40"/>
  <c r="BK577" i="40"/>
  <c r="BK561" i="40"/>
  <c r="BK576" i="40"/>
  <c r="BK544" i="40"/>
  <c r="BK545" i="40"/>
  <c r="BK556" i="40"/>
  <c r="BK555" i="40"/>
  <c r="BK567" i="40"/>
  <c r="BK552" i="40"/>
  <c r="BK539" i="40"/>
  <c r="BK551" i="40"/>
  <c r="BK535" i="40"/>
  <c r="BK575" i="40"/>
  <c r="BK568" i="40"/>
  <c r="BK563" i="40"/>
  <c r="BK573" i="40"/>
  <c r="BK536" i="40"/>
  <c r="BK529" i="40"/>
  <c r="BK543" i="40"/>
  <c r="BK547" i="40"/>
  <c r="BK533" i="40"/>
  <c r="BK562" i="40"/>
  <c r="BK559" i="40"/>
  <c r="BK558" i="40"/>
  <c r="BK531" i="40"/>
  <c r="BK572" i="40"/>
  <c r="BK574" i="40"/>
  <c r="BK530" i="40"/>
  <c r="BK553" i="40"/>
  <c r="BK570" i="40"/>
  <c r="BK538" i="40"/>
  <c r="BK541" i="40"/>
  <c r="BK540" i="40"/>
  <c r="BK542" i="40"/>
  <c r="BK549" i="40"/>
  <c r="BK546" i="40"/>
  <c r="BK550" i="40"/>
  <c r="BK554" i="40"/>
  <c r="BT537" i="40"/>
  <c r="BT552" i="40"/>
  <c r="BT564" i="40"/>
  <c r="BT568" i="40"/>
  <c r="BT548" i="40"/>
  <c r="BT547" i="40"/>
  <c r="BT536" i="40"/>
  <c r="BT532" i="40"/>
  <c r="BT575" i="40"/>
  <c r="BT560" i="40"/>
  <c r="BT576" i="40"/>
  <c r="BT565" i="40"/>
  <c r="BT544" i="40"/>
  <c r="BT555" i="40"/>
  <c r="BT543" i="40"/>
  <c r="BT566" i="40"/>
  <c r="BT539" i="40"/>
  <c r="BT571" i="40"/>
  <c r="BT563" i="40"/>
  <c r="BT567" i="40"/>
  <c r="BT529" i="40"/>
  <c r="BT551" i="40"/>
  <c r="BT535" i="40"/>
  <c r="BT534" i="40"/>
  <c r="BT577" i="40"/>
  <c r="BT556" i="40"/>
  <c r="BT561" i="40"/>
  <c r="BT573" i="40"/>
  <c r="BT545" i="40"/>
  <c r="BT569" i="40"/>
  <c r="BT557" i="40"/>
  <c r="BT574" i="40"/>
  <c r="BT570" i="40"/>
  <c r="BT540" i="40"/>
  <c r="BT538" i="40"/>
  <c r="BT549" i="40"/>
  <c r="BT541" i="40"/>
  <c r="BT542" i="40"/>
  <c r="BT562" i="40"/>
  <c r="BT550" i="40"/>
  <c r="BT558" i="40"/>
  <c r="BT572" i="40"/>
  <c r="BT546" i="40"/>
  <c r="BT531" i="40"/>
  <c r="BT533" i="40"/>
  <c r="BT554" i="40"/>
  <c r="BT530" i="40"/>
  <c r="BT559" i="40"/>
  <c r="BT553" i="40"/>
  <c r="BA365" i="40"/>
  <c r="BA596" i="40"/>
  <c r="BA271" i="40"/>
  <c r="BR440" i="40"/>
  <c r="BR354" i="40"/>
  <c r="BR349" i="40"/>
  <c r="BA269" i="40"/>
  <c r="BA103" i="40"/>
  <c r="BA248" i="40"/>
  <c r="BR376" i="40"/>
  <c r="BR285" i="40"/>
  <c r="BA466" i="40"/>
  <c r="BR115" i="40"/>
  <c r="BR344" i="40"/>
  <c r="BR73" i="40"/>
  <c r="BA73" i="40"/>
  <c r="BR442" i="40"/>
  <c r="BR117" i="40"/>
  <c r="BR96" i="40"/>
  <c r="BA110" i="40"/>
  <c r="BJ480" i="40"/>
  <c r="BJ74" i="40"/>
  <c r="BJ598" i="40"/>
  <c r="BJ350" i="40"/>
  <c r="BJ96" i="40"/>
  <c r="BJ116" i="40"/>
  <c r="BJ367" i="40"/>
  <c r="BJ270" i="40"/>
  <c r="BJ115" i="40"/>
  <c r="BJ356" i="40"/>
  <c r="BJ94" i="40"/>
  <c r="BJ477" i="40"/>
  <c r="BJ362" i="40"/>
  <c r="BJ344" i="40"/>
  <c r="BJ352" i="40"/>
  <c r="BJ87" i="40"/>
  <c r="BJ99" i="40"/>
  <c r="BJ355" i="40"/>
  <c r="BJ123" i="40"/>
  <c r="BA364" i="40"/>
  <c r="BA343" i="40"/>
  <c r="BJ272" i="40"/>
  <c r="BJ93" i="40"/>
  <c r="BJ248" i="40"/>
  <c r="BA598" i="40"/>
  <c r="BA268" i="40"/>
  <c r="BA358" i="40"/>
  <c r="BA353" i="40"/>
  <c r="BA481" i="40"/>
  <c r="BA113" i="40"/>
  <c r="BJ481" i="40"/>
  <c r="BJ365" i="40"/>
  <c r="BJ363" i="40"/>
  <c r="BA348" i="40"/>
  <c r="BA342" i="40"/>
  <c r="BJ466" i="40"/>
  <c r="BA354" i="40"/>
  <c r="BA475" i="40"/>
  <c r="BJ360" i="40"/>
  <c r="BJ361" i="40"/>
  <c r="BJ269" i="40"/>
  <c r="BJ267" i="40"/>
  <c r="BA88" i="40"/>
  <c r="BA474" i="40"/>
  <c r="BA597" i="40"/>
  <c r="BA363" i="40"/>
  <c r="BJ476" i="40"/>
  <c r="BJ366" i="40"/>
  <c r="BA87" i="40"/>
  <c r="BA375" i="40"/>
  <c r="BA272" i="40"/>
  <c r="BA123" i="40"/>
  <c r="BA74" i="40"/>
  <c r="BJ446" i="40"/>
  <c r="BJ349" i="40"/>
  <c r="BJ341" i="40"/>
  <c r="BA114" i="40"/>
  <c r="BA480" i="40"/>
  <c r="BA267" i="40"/>
  <c r="BA122" i="40"/>
  <c r="BJ478" i="40"/>
  <c r="BJ372" i="40"/>
  <c r="BJ102" i="40"/>
  <c r="BJ110" i="40"/>
  <c r="BJ371" i="40"/>
  <c r="BJ268" i="40"/>
  <c r="BJ114" i="40"/>
  <c r="BJ345" i="40"/>
  <c r="BJ597" i="40"/>
  <c r="BJ596" i="40"/>
  <c r="BJ76" i="40"/>
  <c r="BJ113" i="40"/>
  <c r="BJ103" i="40"/>
  <c r="BJ475" i="40"/>
  <c r="BJ342" i="40"/>
  <c r="BJ73" i="40"/>
  <c r="BJ271" i="40"/>
  <c r="BJ100" i="40"/>
  <c r="BA351" i="40"/>
  <c r="BA372" i="40"/>
  <c r="BA99" i="40"/>
  <c r="BA93" i="40"/>
  <c r="BK35" i="40"/>
  <c r="BK67" i="40"/>
  <c r="BK131" i="40"/>
  <c r="BK227" i="40"/>
  <c r="BK259" i="40"/>
  <c r="BK26" i="40"/>
  <c r="BK58" i="40"/>
  <c r="BK90" i="40"/>
  <c r="BK17" i="40"/>
  <c r="BK49" i="40"/>
  <c r="BK81" i="40"/>
  <c r="BK40" i="40"/>
  <c r="BK31" i="40"/>
  <c r="BK63" i="40"/>
  <c r="BK22" i="40"/>
  <c r="BK54" i="40"/>
  <c r="BK36" i="40"/>
  <c r="BK68" i="40"/>
  <c r="BK14" i="40"/>
  <c r="BK46" i="40"/>
  <c r="BK78" i="40"/>
  <c r="BK238" i="40"/>
  <c r="BK37" i="40"/>
  <c r="BK69" i="40"/>
  <c r="BK101" i="40"/>
  <c r="BK133" i="40"/>
  <c r="BK28" i="40"/>
  <c r="BK19" i="40"/>
  <c r="BK51" i="40"/>
  <c r="BK83" i="40"/>
  <c r="BK42" i="40"/>
  <c r="BK74" i="40"/>
  <c r="BK33" i="40"/>
  <c r="BK65" i="40"/>
  <c r="BK24" i="40"/>
  <c r="BK56" i="40"/>
  <c r="BK15" i="40"/>
  <c r="BK47" i="40"/>
  <c r="BK79" i="40"/>
  <c r="BK21" i="40"/>
  <c r="BK53" i="40"/>
  <c r="BK85" i="40"/>
  <c r="BK117" i="40"/>
  <c r="BK23" i="40"/>
  <c r="BK48" i="40"/>
  <c r="BK223" i="40"/>
  <c r="BK262" i="40"/>
  <c r="BK276" i="40"/>
  <c r="BK340" i="40"/>
  <c r="BK372" i="40"/>
  <c r="BK404" i="40"/>
  <c r="BK436" i="40"/>
  <c r="BK468" i="40"/>
  <c r="BK57" i="40"/>
  <c r="BK228" i="40"/>
  <c r="BK267" i="40"/>
  <c r="BK331" i="40"/>
  <c r="BK363" i="40"/>
  <c r="BK395" i="40"/>
  <c r="BK427" i="40"/>
  <c r="BK459" i="40"/>
  <c r="BK523" i="40"/>
  <c r="BK32" i="40"/>
  <c r="BK66" i="40"/>
  <c r="BK80" i="40"/>
  <c r="BK105" i="40"/>
  <c r="BK233" i="40"/>
  <c r="BK290" i="40"/>
  <c r="BK354" i="40"/>
  <c r="BK386" i="40"/>
  <c r="BK418" i="40"/>
  <c r="BK450" i="40"/>
  <c r="BK514" i="40"/>
  <c r="BK16" i="40"/>
  <c r="BK41" i="40"/>
  <c r="BK100" i="40"/>
  <c r="BK126" i="40"/>
  <c r="BK243" i="40"/>
  <c r="BK281" i="40"/>
  <c r="BK313" i="40"/>
  <c r="BK377" i="40"/>
  <c r="BK409" i="40"/>
  <c r="BK441" i="40"/>
  <c r="BK473" i="40"/>
  <c r="BK505" i="40"/>
  <c r="BK121" i="40"/>
  <c r="BK248" i="40"/>
  <c r="BK336" i="40"/>
  <c r="BK368" i="40"/>
  <c r="BK400" i="40"/>
  <c r="BK432" i="40"/>
  <c r="BK464" i="40"/>
  <c r="BK25" i="40"/>
  <c r="BK50" i="40"/>
  <c r="BK111" i="40"/>
  <c r="BK219" i="40"/>
  <c r="BK258" i="40"/>
  <c r="BK286" i="40"/>
  <c r="BK350" i="40"/>
  <c r="BK382" i="40"/>
  <c r="BK414" i="40"/>
  <c r="BK59" i="40"/>
  <c r="BK73" i="40"/>
  <c r="BK106" i="40"/>
  <c r="BK132" i="40"/>
  <c r="BK224" i="40"/>
  <c r="BK229" i="40"/>
  <c r="BK89" i="40"/>
  <c r="BK127" i="40"/>
  <c r="BK234" i="40"/>
  <c r="BK82" i="40"/>
  <c r="BK18" i="40"/>
  <c r="BK43" i="40"/>
  <c r="BK60" i="40"/>
  <c r="BK220" i="40"/>
  <c r="BK27" i="40"/>
  <c r="BK52" i="40"/>
  <c r="BK112" i="40"/>
  <c r="BK225" i="40"/>
  <c r="BK264" i="40"/>
  <c r="BK287" i="40"/>
  <c r="BK351" i="40"/>
  <c r="BK383" i="40"/>
  <c r="BK415" i="40"/>
  <c r="BK447" i="40"/>
  <c r="BK479" i="40"/>
  <c r="BK61" i="40"/>
  <c r="BK75" i="40"/>
  <c r="BK107" i="40"/>
  <c r="BK230" i="40"/>
  <c r="BK278" i="40"/>
  <c r="BK374" i="40"/>
  <c r="BK406" i="40"/>
  <c r="BK438" i="40"/>
  <c r="BK470" i="40"/>
  <c r="BK128" i="40"/>
  <c r="BK235" i="40"/>
  <c r="BK269" i="40"/>
  <c r="BK333" i="40"/>
  <c r="BK365" i="40"/>
  <c r="BK397" i="40"/>
  <c r="BK429" i="40"/>
  <c r="BK461" i="40"/>
  <c r="BK84" i="40"/>
  <c r="BK97" i="40"/>
  <c r="BK240" i="40"/>
  <c r="BK292" i="40"/>
  <c r="BK356" i="40"/>
  <c r="BK388" i="40"/>
  <c r="BK452" i="40"/>
  <c r="BK516" i="40"/>
  <c r="BK91" i="40"/>
  <c r="BK118" i="40"/>
  <c r="BK44" i="40"/>
  <c r="BK255" i="40"/>
  <c r="BK274" i="40"/>
  <c r="BK338" i="40"/>
  <c r="BK370" i="40"/>
  <c r="BK402" i="40"/>
  <c r="BK434" i="40"/>
  <c r="BK29" i="40"/>
  <c r="BK45" i="40"/>
  <c r="BK134" i="40"/>
  <c r="BK221" i="40"/>
  <c r="BK260" i="40"/>
  <c r="BK297" i="40"/>
  <c r="BK329" i="40"/>
  <c r="BK361" i="40"/>
  <c r="BK393" i="40"/>
  <c r="BK457" i="40"/>
  <c r="BK12" i="40"/>
  <c r="BK76" i="40"/>
  <c r="BK108" i="40"/>
  <c r="BK129" i="40"/>
  <c r="BK226" i="40"/>
  <c r="BK265" i="40"/>
  <c r="BK288" i="40"/>
  <c r="BK352" i="40"/>
  <c r="BK384" i="40"/>
  <c r="BK416" i="40"/>
  <c r="BK448" i="40"/>
  <c r="BK62" i="40"/>
  <c r="BK77" i="40"/>
  <c r="BK124" i="40"/>
  <c r="BK13" i="40"/>
  <c r="BK38" i="40"/>
  <c r="BK92" i="40"/>
  <c r="BK98" i="40"/>
  <c r="BK86" i="40"/>
  <c r="BK119" i="40"/>
  <c r="BK30" i="40"/>
  <c r="BK55" i="40"/>
  <c r="BK109" i="40"/>
  <c r="BK222" i="40"/>
  <c r="BK125" i="40"/>
  <c r="BK237" i="40"/>
  <c r="BK39" i="40"/>
  <c r="BK120" i="40"/>
  <c r="BK242" i="40"/>
  <c r="BK335" i="40"/>
  <c r="BK367" i="40"/>
  <c r="BK399" i="40"/>
  <c r="BK431" i="40"/>
  <c r="BK463" i="40"/>
  <c r="BK250" i="40"/>
  <c r="BK314" i="40"/>
  <c r="BK380" i="40"/>
  <c r="BK364" i="40"/>
  <c r="BK503" i="40"/>
  <c r="BK600" i="40"/>
  <c r="BK669" i="40"/>
  <c r="BK284" i="40"/>
  <c r="BK332" i="40"/>
  <c r="BK412" i="40"/>
  <c r="BK471" i="40"/>
  <c r="BK526" i="40"/>
  <c r="BK605" i="40"/>
  <c r="BK660" i="40"/>
  <c r="BK231" i="40"/>
  <c r="BK268" i="40"/>
  <c r="BK396" i="40"/>
  <c r="BK515" i="40"/>
  <c r="BK651" i="40"/>
  <c r="BK251" i="40"/>
  <c r="BK315" i="40"/>
  <c r="BK373" i="40"/>
  <c r="BK389" i="40"/>
  <c r="BK509" i="40"/>
  <c r="BK521" i="40"/>
  <c r="BK610" i="40"/>
  <c r="BK642" i="40"/>
  <c r="BK130" i="40"/>
  <c r="BK309" i="40"/>
  <c r="BK357" i="40"/>
  <c r="BK665" i="40"/>
  <c r="BK277" i="40"/>
  <c r="BK325" i="40"/>
  <c r="BK381" i="40"/>
  <c r="BK405" i="40"/>
  <c r="BK456" i="40"/>
  <c r="BK582" i="40"/>
  <c r="BK656" i="40"/>
  <c r="BK232" i="40"/>
  <c r="BK293" i="40"/>
  <c r="BK440" i="40"/>
  <c r="BK480" i="40"/>
  <c r="BK510" i="40"/>
  <c r="BK601" i="40"/>
  <c r="BK647" i="40"/>
  <c r="BK285" i="40"/>
  <c r="BK349" i="40"/>
  <c r="BK366" i="40"/>
  <c r="BK413" i="40"/>
  <c r="BK504" i="40"/>
  <c r="BK606" i="40"/>
  <c r="BK252" i="40"/>
  <c r="BK261" i="40"/>
  <c r="BK300" i="40"/>
  <c r="BK316" i="40"/>
  <c r="BK334" i="40"/>
  <c r="BK472" i="40"/>
  <c r="BK527" i="40"/>
  <c r="BK661" i="40"/>
  <c r="BK270" i="40"/>
  <c r="BK390" i="40"/>
  <c r="BK398" i="40"/>
  <c r="BK449" i="40"/>
  <c r="BK652" i="40"/>
  <c r="BK244" i="40"/>
  <c r="BK253" i="40"/>
  <c r="BK358" i="40"/>
  <c r="BK375" i="40"/>
  <c r="BK433" i="40"/>
  <c r="BK522" i="40"/>
  <c r="BK611" i="40"/>
  <c r="BK643" i="40"/>
  <c r="BK326" i="40"/>
  <c r="BK583" i="40"/>
  <c r="BK666" i="40"/>
  <c r="BK279" i="40"/>
  <c r="BK294" i="40"/>
  <c r="BK359" i="40"/>
  <c r="BK391" i="40"/>
  <c r="BK407" i="40"/>
  <c r="BK657" i="40"/>
  <c r="BK245" i="40"/>
  <c r="BK327" i="40"/>
  <c r="BK442" i="40"/>
  <c r="BK458" i="40"/>
  <c r="BK481" i="40"/>
  <c r="BK511" i="40"/>
  <c r="BK517" i="40"/>
  <c r="BK602" i="40"/>
  <c r="BK648" i="40"/>
  <c r="BK426" i="40"/>
  <c r="BK607" i="40"/>
  <c r="BK639" i="40"/>
  <c r="BK236" i="40"/>
  <c r="BK263" i="40"/>
  <c r="BK295" i="40"/>
  <c r="BK311" i="40"/>
  <c r="BK474" i="40"/>
  <c r="BK662" i="40"/>
  <c r="BK246" i="40"/>
  <c r="BK254" i="40"/>
  <c r="BK443" i="40"/>
  <c r="BK451" i="40"/>
  <c r="BK653" i="40"/>
  <c r="BK64" i="40"/>
  <c r="BK376" i="40"/>
  <c r="BK435" i="40"/>
  <c r="BK506" i="40"/>
  <c r="BK512" i="40"/>
  <c r="BK644" i="40"/>
  <c r="BK360" i="40"/>
  <c r="BK392" i="40"/>
  <c r="BK467" i="40"/>
  <c r="BK475" i="40"/>
  <c r="BK584" i="40"/>
  <c r="BK667" i="40"/>
  <c r="BK280" i="40"/>
  <c r="BK328" i="40"/>
  <c r="BK385" i="40"/>
  <c r="BK444" i="40"/>
  <c r="BK460" i="40"/>
  <c r="BK518" i="40"/>
  <c r="BK603" i="40"/>
  <c r="BK649" i="40"/>
  <c r="BK104" i="40"/>
  <c r="BK296" i="40"/>
  <c r="BK369" i="40"/>
  <c r="BK428" i="40"/>
  <c r="BK524" i="40"/>
  <c r="BK608" i="40"/>
  <c r="BK640" i="40"/>
  <c r="BK247" i="40"/>
  <c r="BK256" i="40"/>
  <c r="BK353" i="40"/>
  <c r="BK417" i="40"/>
  <c r="BK663" i="40"/>
  <c r="BK273" i="40"/>
  <c r="BK289" i="40"/>
  <c r="BK337" i="40"/>
  <c r="BK401" i="40"/>
  <c r="BK453" i="40"/>
  <c r="BK507" i="40"/>
  <c r="BK519" i="40"/>
  <c r="BK654" i="40"/>
  <c r="BK239" i="40"/>
  <c r="BK378" i="40"/>
  <c r="BK437" i="40"/>
  <c r="BK513" i="40"/>
  <c r="BK580" i="40"/>
  <c r="BK645" i="40"/>
  <c r="BK362" i="40"/>
  <c r="BK469" i="40"/>
  <c r="BK599" i="40"/>
  <c r="BK668" i="40"/>
  <c r="BK282" i="40"/>
  <c r="BK330" i="40"/>
  <c r="BK394" i="40"/>
  <c r="BK410" i="40"/>
  <c r="BK445" i="40"/>
  <c r="BK604" i="40"/>
  <c r="BK659" i="40"/>
  <c r="BK257" i="40"/>
  <c r="BK266" i="40"/>
  <c r="BK379" i="40"/>
  <c r="BK387" i="40"/>
  <c r="BK650" i="40"/>
  <c r="BK371" i="40"/>
  <c r="BK430" i="40"/>
  <c r="BK462" i="40"/>
  <c r="BK508" i="40"/>
  <c r="BK525" i="40"/>
  <c r="BK609" i="40"/>
  <c r="BK641" i="40"/>
  <c r="BK241" i="40"/>
  <c r="BK249" i="40"/>
  <c r="BK283" i="40"/>
  <c r="BK355" i="40"/>
  <c r="BK411" i="40"/>
  <c r="BK419" i="40"/>
  <c r="BK454" i="40"/>
  <c r="BK477" i="40"/>
  <c r="BK664" i="40"/>
  <c r="BK658" i="40"/>
  <c r="BK439" i="40"/>
  <c r="BK520" i="40"/>
  <c r="BK455" i="40"/>
  <c r="BK403" i="40"/>
  <c r="BK408" i="40"/>
  <c r="BK646" i="40"/>
  <c r="BK339" i="40"/>
  <c r="BK581" i="40"/>
  <c r="BK275" i="40"/>
  <c r="BK655" i="40"/>
  <c r="BK291" i="40"/>
  <c r="BK528" i="40"/>
  <c r="BJ353" i="40"/>
  <c r="BJ348" i="40"/>
  <c r="BJ465" i="40"/>
  <c r="BJ479" i="40"/>
  <c r="BJ375" i="40"/>
  <c r="BJ95" i="40"/>
  <c r="BB32" i="40"/>
  <c r="BB64" i="40"/>
  <c r="BB128" i="40"/>
  <c r="BB224" i="40"/>
  <c r="BB256" i="40"/>
  <c r="BB23" i="40"/>
  <c r="BB55" i="40"/>
  <c r="BB119" i="40"/>
  <c r="BB14" i="40"/>
  <c r="BB46" i="40"/>
  <c r="BB78" i="40"/>
  <c r="BB238" i="40"/>
  <c r="BB37" i="40"/>
  <c r="BB69" i="40"/>
  <c r="BB101" i="40"/>
  <c r="BB133" i="40"/>
  <c r="BB28" i="40"/>
  <c r="BB60" i="40"/>
  <c r="BB92" i="40"/>
  <c r="BB124" i="40"/>
  <c r="BB220" i="40"/>
  <c r="BB252" i="40"/>
  <c r="BB19" i="40"/>
  <c r="BB51" i="40"/>
  <c r="BB83" i="40"/>
  <c r="BB243" i="40"/>
  <c r="BB42" i="40"/>
  <c r="BB74" i="40"/>
  <c r="BB106" i="40"/>
  <c r="BB33" i="40"/>
  <c r="BB65" i="40"/>
  <c r="BB97" i="40"/>
  <c r="BB129" i="40"/>
  <c r="BB225" i="40"/>
  <c r="BB257" i="40"/>
  <c r="BB24" i="40"/>
  <c r="BB56" i="40"/>
  <c r="BB120" i="40"/>
  <c r="BB248" i="40"/>
  <c r="BB15" i="40"/>
  <c r="BB47" i="40"/>
  <c r="BB79" i="40"/>
  <c r="BB111" i="40"/>
  <c r="BB239" i="40"/>
  <c r="BB38" i="40"/>
  <c r="BB134" i="40"/>
  <c r="BB29" i="40"/>
  <c r="BB61" i="40"/>
  <c r="BB125" i="40"/>
  <c r="BB52" i="40"/>
  <c r="BB84" i="40"/>
  <c r="BB43" i="40"/>
  <c r="BB75" i="40"/>
  <c r="BB107" i="40"/>
  <c r="BB66" i="40"/>
  <c r="BB98" i="40"/>
  <c r="BB130" i="40"/>
  <c r="BB25" i="40"/>
  <c r="BB57" i="40"/>
  <c r="BB89" i="40"/>
  <c r="BB121" i="40"/>
  <c r="BB249" i="40"/>
  <c r="BB16" i="40"/>
  <c r="BB48" i="40"/>
  <c r="BB80" i="40"/>
  <c r="BB112" i="40"/>
  <c r="BB39" i="40"/>
  <c r="BB30" i="40"/>
  <c r="BB62" i="40"/>
  <c r="BB126" i="40"/>
  <c r="BB12" i="40"/>
  <c r="BB44" i="40"/>
  <c r="BB76" i="40"/>
  <c r="BB108" i="40"/>
  <c r="BB236" i="40"/>
  <c r="BB35" i="40"/>
  <c r="BB67" i="40"/>
  <c r="BB131" i="40"/>
  <c r="BB227" i="40"/>
  <c r="BB259" i="40"/>
  <c r="BB26" i="40"/>
  <c r="BB58" i="40"/>
  <c r="BB90" i="40"/>
  <c r="BB250" i="40"/>
  <c r="BB17" i="40"/>
  <c r="BB49" i="40"/>
  <c r="BB81" i="40"/>
  <c r="BB241" i="40"/>
  <c r="BB40" i="40"/>
  <c r="BB104" i="40"/>
  <c r="BB232" i="40"/>
  <c r="BB264" i="40"/>
  <c r="BB31" i="40"/>
  <c r="BB63" i="40"/>
  <c r="BB127" i="40"/>
  <c r="BB223" i="40"/>
  <c r="BB255" i="40"/>
  <c r="BB22" i="40"/>
  <c r="BB54" i="40"/>
  <c r="BB86" i="40"/>
  <c r="BB118" i="40"/>
  <c r="BB13" i="40"/>
  <c r="BB45" i="40"/>
  <c r="BB77" i="40"/>
  <c r="BB109" i="40"/>
  <c r="BB36" i="40"/>
  <c r="BB68" i="40"/>
  <c r="BB100" i="40"/>
  <c r="BB132" i="40"/>
  <c r="BB228" i="40"/>
  <c r="BB260" i="40"/>
  <c r="BB27" i="40"/>
  <c r="BB59" i="40"/>
  <c r="BB91" i="40"/>
  <c r="BB293" i="40"/>
  <c r="BB325" i="40"/>
  <c r="BB357" i="40"/>
  <c r="BB389" i="40"/>
  <c r="BB453" i="40"/>
  <c r="BB517" i="40"/>
  <c r="BB581" i="40"/>
  <c r="BB645" i="40"/>
  <c r="BB284" i="40"/>
  <c r="BB316" i="40"/>
  <c r="BB380" i="40"/>
  <c r="BB412" i="40"/>
  <c r="BB444" i="40"/>
  <c r="BB508" i="40"/>
  <c r="BB604" i="40"/>
  <c r="BB668" i="40"/>
  <c r="BB270" i="40"/>
  <c r="BB526" i="40"/>
  <c r="BB258" i="40"/>
  <c r="BB275" i="40"/>
  <c r="BB339" i="40"/>
  <c r="BB371" i="40"/>
  <c r="BB403" i="40"/>
  <c r="BB435" i="40"/>
  <c r="BB467" i="40"/>
  <c r="BB659" i="40"/>
  <c r="BB334" i="40"/>
  <c r="BB18" i="40"/>
  <c r="BB266" i="40"/>
  <c r="BB330" i="40"/>
  <c r="BB362" i="40"/>
  <c r="BB394" i="40"/>
  <c r="BB426" i="40"/>
  <c r="BB458" i="40"/>
  <c r="BB522" i="40"/>
  <c r="BB650" i="40"/>
  <c r="BB398" i="40"/>
  <c r="BB289" i="40"/>
  <c r="BB353" i="40"/>
  <c r="BB385" i="40"/>
  <c r="BB417" i="40"/>
  <c r="BB449" i="40"/>
  <c r="BB481" i="40"/>
  <c r="BB513" i="40"/>
  <c r="BB609" i="40"/>
  <c r="BB641" i="40"/>
  <c r="BB233" i="40"/>
  <c r="BB280" i="40"/>
  <c r="BB376" i="40"/>
  <c r="BB408" i="40"/>
  <c r="BB440" i="40"/>
  <c r="BB472" i="40"/>
  <c r="BB504" i="40"/>
  <c r="BB600" i="40"/>
  <c r="BB664" i="40"/>
  <c r="BB242" i="40"/>
  <c r="BB335" i="40"/>
  <c r="BB367" i="40"/>
  <c r="BB399" i="40"/>
  <c r="BB431" i="40"/>
  <c r="BB463" i="40"/>
  <c r="BB527" i="40"/>
  <c r="BB655" i="40"/>
  <c r="BB251" i="40"/>
  <c r="BB294" i="40"/>
  <c r="BB326" i="40"/>
  <c r="BB358" i="40"/>
  <c r="BB390" i="40"/>
  <c r="BB454" i="40"/>
  <c r="BB518" i="40"/>
  <c r="BB582" i="40"/>
  <c r="BB646" i="40"/>
  <c r="BB240" i="40"/>
  <c r="BB654" i="40"/>
  <c r="BB234" i="40"/>
  <c r="BB285" i="40"/>
  <c r="BB349" i="40"/>
  <c r="BB381" i="40"/>
  <c r="BB413" i="40"/>
  <c r="BB445" i="40"/>
  <c r="BB477" i="40"/>
  <c r="BB509" i="40"/>
  <c r="BB605" i="40"/>
  <c r="BB669" i="40"/>
  <c r="BB366" i="40"/>
  <c r="BB276" i="40"/>
  <c r="BB340" i="40"/>
  <c r="BB372" i="40"/>
  <c r="BB404" i="40"/>
  <c r="BB436" i="40"/>
  <c r="BB468" i="40"/>
  <c r="BB660" i="40"/>
  <c r="BB267" i="40"/>
  <c r="BB331" i="40"/>
  <c r="BB363" i="40"/>
  <c r="BB395" i="40"/>
  <c r="BB427" i="40"/>
  <c r="BB459" i="40"/>
  <c r="BB523" i="40"/>
  <c r="BB651" i="40"/>
  <c r="BB226" i="40"/>
  <c r="BB290" i="40"/>
  <c r="BB354" i="40"/>
  <c r="BB386" i="40"/>
  <c r="BB418" i="40"/>
  <c r="BB450" i="40"/>
  <c r="BB514" i="40"/>
  <c r="BB610" i="40"/>
  <c r="BB642" i="40"/>
  <c r="BB41" i="40"/>
  <c r="BB235" i="40"/>
  <c r="BB281" i="40"/>
  <c r="BB313" i="40"/>
  <c r="BB377" i="40"/>
  <c r="BB409" i="40"/>
  <c r="BB441" i="40"/>
  <c r="BB473" i="40"/>
  <c r="BB505" i="40"/>
  <c r="BB601" i="40"/>
  <c r="BB665" i="40"/>
  <c r="BB21" i="40"/>
  <c r="BB105" i="40"/>
  <c r="BB244" i="40"/>
  <c r="BB261" i="40"/>
  <c r="BB336" i="40"/>
  <c r="BB368" i="40"/>
  <c r="BB400" i="40"/>
  <c r="BB432" i="40"/>
  <c r="BB464" i="40"/>
  <c r="BB656" i="40"/>
  <c r="BB219" i="40"/>
  <c r="BB253" i="40"/>
  <c r="BB295" i="40"/>
  <c r="BB327" i="40"/>
  <c r="BB359" i="40"/>
  <c r="BB391" i="40"/>
  <c r="BB455" i="40"/>
  <c r="BB519" i="40"/>
  <c r="BB583" i="40"/>
  <c r="BB647" i="40"/>
  <c r="BB262" i="40"/>
  <c r="BB286" i="40"/>
  <c r="BB350" i="40"/>
  <c r="BB382" i="40"/>
  <c r="BB414" i="40"/>
  <c r="BB510" i="40"/>
  <c r="BB606" i="40"/>
  <c r="BB277" i="40"/>
  <c r="BB309" i="40"/>
  <c r="BB373" i="40"/>
  <c r="BB405" i="40"/>
  <c r="BB437" i="40"/>
  <c r="BB469" i="40"/>
  <c r="BB661" i="40"/>
  <c r="BB462" i="40"/>
  <c r="BB268" i="40"/>
  <c r="BB300" i="40"/>
  <c r="BB332" i="40"/>
  <c r="BB364" i="40"/>
  <c r="BB396" i="40"/>
  <c r="BB428" i="40"/>
  <c r="BB460" i="40"/>
  <c r="BB524" i="40"/>
  <c r="BB652" i="40"/>
  <c r="BB291" i="40"/>
  <c r="BB355" i="40"/>
  <c r="BB387" i="40"/>
  <c r="BB419" i="40"/>
  <c r="BB451" i="40"/>
  <c r="BB515" i="40"/>
  <c r="BB611" i="40"/>
  <c r="BB643" i="40"/>
  <c r="BB237" i="40"/>
  <c r="BB245" i="40"/>
  <c r="BB282" i="40"/>
  <c r="BB314" i="40"/>
  <c r="BB378" i="40"/>
  <c r="BB410" i="40"/>
  <c r="BB442" i="40"/>
  <c r="BB474" i="40"/>
  <c r="BB506" i="40"/>
  <c r="BB602" i="40"/>
  <c r="BB666" i="40"/>
  <c r="BB85" i="40"/>
  <c r="BB430" i="40"/>
  <c r="BB50" i="40"/>
  <c r="BB117" i="40"/>
  <c r="BB246" i="40"/>
  <c r="BB254" i="40"/>
  <c r="BB273" i="40"/>
  <c r="BB337" i="40"/>
  <c r="BB369" i="40"/>
  <c r="BB401" i="40"/>
  <c r="BB433" i="40"/>
  <c r="BB657" i="40"/>
  <c r="BB263" i="40"/>
  <c r="BB296" i="40"/>
  <c r="BB328" i="40"/>
  <c r="BB360" i="40"/>
  <c r="BB392" i="40"/>
  <c r="BB456" i="40"/>
  <c r="BB520" i="40"/>
  <c r="BB584" i="40"/>
  <c r="BB648" i="40"/>
  <c r="BB53" i="40"/>
  <c r="BB221" i="40"/>
  <c r="BB229" i="40"/>
  <c r="BB287" i="40"/>
  <c r="BB351" i="40"/>
  <c r="BB383" i="40"/>
  <c r="BB415" i="40"/>
  <c r="BB447" i="40"/>
  <c r="BB479" i="40"/>
  <c r="BB511" i="40"/>
  <c r="BB607" i="40"/>
  <c r="BB639" i="40"/>
  <c r="BB278" i="40"/>
  <c r="BB374" i="40"/>
  <c r="BB406" i="40"/>
  <c r="BB438" i="40"/>
  <c r="BB470" i="40"/>
  <c r="BB662" i="40"/>
  <c r="BB73" i="40"/>
  <c r="BB230" i="40"/>
  <c r="BB269" i="40"/>
  <c r="BB333" i="40"/>
  <c r="BB365" i="40"/>
  <c r="BB397" i="40"/>
  <c r="BB429" i="40"/>
  <c r="BB461" i="40"/>
  <c r="BB525" i="40"/>
  <c r="BB653" i="40"/>
  <c r="BB247" i="40"/>
  <c r="BB292" i="40"/>
  <c r="BB356" i="40"/>
  <c r="BB388" i="40"/>
  <c r="BB452" i="40"/>
  <c r="BB516" i="40"/>
  <c r="BB580" i="40"/>
  <c r="BB644" i="40"/>
  <c r="BB283" i="40"/>
  <c r="BB315" i="40"/>
  <c r="BB379" i="40"/>
  <c r="BB411" i="40"/>
  <c r="BB443" i="40"/>
  <c r="BB475" i="40"/>
  <c r="BB507" i="40"/>
  <c r="BB603" i="40"/>
  <c r="BB667" i="40"/>
  <c r="BB274" i="40"/>
  <c r="BB338" i="40"/>
  <c r="BB370" i="40"/>
  <c r="BB402" i="40"/>
  <c r="BB434" i="40"/>
  <c r="BB658" i="40"/>
  <c r="BB222" i="40"/>
  <c r="BB297" i="40"/>
  <c r="BB329" i="40"/>
  <c r="BB361" i="40"/>
  <c r="BB393" i="40"/>
  <c r="BB457" i="40"/>
  <c r="BB521" i="40"/>
  <c r="BB649" i="40"/>
  <c r="BB82" i="40"/>
  <c r="BB265" i="40"/>
  <c r="BB288" i="40"/>
  <c r="BB352" i="40"/>
  <c r="BB384" i="40"/>
  <c r="BB416" i="40"/>
  <c r="BB448" i="40"/>
  <c r="BB480" i="40"/>
  <c r="BB512" i="40"/>
  <c r="BB608" i="40"/>
  <c r="BB640" i="40"/>
  <c r="BB231" i="40"/>
  <c r="BB279" i="40"/>
  <c r="BB311" i="40"/>
  <c r="BB375" i="40"/>
  <c r="BB407" i="40"/>
  <c r="BB439" i="40"/>
  <c r="BB471" i="40"/>
  <c r="BB503" i="40"/>
  <c r="BB599" i="40"/>
  <c r="BB663" i="40"/>
  <c r="BB528" i="40"/>
  <c r="BT24" i="40"/>
  <c r="BT56" i="40"/>
  <c r="BT120" i="40"/>
  <c r="BT248" i="40"/>
  <c r="BT280" i="40"/>
  <c r="BT376" i="40"/>
  <c r="BT408" i="40"/>
  <c r="BT440" i="40"/>
  <c r="BT472" i="40"/>
  <c r="BT504" i="40"/>
  <c r="BT15" i="40"/>
  <c r="BT47" i="40"/>
  <c r="BT79" i="40"/>
  <c r="BT111" i="40"/>
  <c r="BT239" i="40"/>
  <c r="BT335" i="40"/>
  <c r="BT367" i="40"/>
  <c r="BT399" i="40"/>
  <c r="BT431" i="40"/>
  <c r="BT463" i="40"/>
  <c r="BT527" i="40"/>
  <c r="BT38" i="40"/>
  <c r="BT134" i="40"/>
  <c r="BT230" i="40"/>
  <c r="BT262" i="40"/>
  <c r="BT294" i="40"/>
  <c r="BT326" i="40"/>
  <c r="BT358" i="40"/>
  <c r="BT390" i="40"/>
  <c r="BT454" i="40"/>
  <c r="BT518" i="40"/>
  <c r="BT29" i="40"/>
  <c r="BT61" i="40"/>
  <c r="BT125" i="40"/>
  <c r="BT221" i="40"/>
  <c r="BT253" i="40"/>
  <c r="BT285" i="40"/>
  <c r="BT349" i="40"/>
  <c r="BT381" i="40"/>
  <c r="BT413" i="40"/>
  <c r="BT445" i="40"/>
  <c r="BT477" i="40"/>
  <c r="BT509" i="40"/>
  <c r="BT52" i="40"/>
  <c r="BT84" i="40"/>
  <c r="BT244" i="40"/>
  <c r="BT276" i="40"/>
  <c r="BT340" i="40"/>
  <c r="BT372" i="40"/>
  <c r="BT404" i="40"/>
  <c r="BT436" i="40"/>
  <c r="BT468" i="40"/>
  <c r="BT43" i="40"/>
  <c r="BT75" i="40"/>
  <c r="BT107" i="40"/>
  <c r="BT235" i="40"/>
  <c r="BT267" i="40"/>
  <c r="BT331" i="40"/>
  <c r="BT363" i="40"/>
  <c r="BT395" i="40"/>
  <c r="BT427" i="40"/>
  <c r="BT459" i="40"/>
  <c r="BT523" i="40"/>
  <c r="BT66" i="40"/>
  <c r="BT25" i="40"/>
  <c r="BT57" i="40"/>
  <c r="BT16" i="40"/>
  <c r="BT48" i="40"/>
  <c r="BT39" i="40"/>
  <c r="BT30" i="40"/>
  <c r="BT62" i="40"/>
  <c r="BT21" i="40"/>
  <c r="BT12" i="40"/>
  <c r="BT44" i="40"/>
  <c r="BT35" i="40"/>
  <c r="BT67" i="40"/>
  <c r="BT131" i="40"/>
  <c r="BT227" i="40"/>
  <c r="BT259" i="40"/>
  <c r="BT291" i="40"/>
  <c r="BT355" i="40"/>
  <c r="BT387" i="40"/>
  <c r="BT419" i="40"/>
  <c r="BT451" i="40"/>
  <c r="BT515" i="40"/>
  <c r="BT26" i="40"/>
  <c r="BT58" i="40"/>
  <c r="BT90" i="40"/>
  <c r="BT250" i="40"/>
  <c r="BT282" i="40"/>
  <c r="BT314" i="40"/>
  <c r="BT378" i="40"/>
  <c r="BT410" i="40"/>
  <c r="BT442" i="40"/>
  <c r="BT474" i="40"/>
  <c r="BT506" i="40"/>
  <c r="BT17" i="40"/>
  <c r="BT49" i="40"/>
  <c r="BT81" i="40"/>
  <c r="BT241" i="40"/>
  <c r="BT273" i="40"/>
  <c r="BT337" i="40"/>
  <c r="BT369" i="40"/>
  <c r="BT401" i="40"/>
  <c r="BT433" i="40"/>
  <c r="BT40" i="40"/>
  <c r="BT104" i="40"/>
  <c r="BT232" i="40"/>
  <c r="BT264" i="40"/>
  <c r="BT296" i="40"/>
  <c r="BT328" i="40"/>
  <c r="BT360" i="40"/>
  <c r="BT392" i="40"/>
  <c r="BT456" i="40"/>
  <c r="BT520" i="40"/>
  <c r="BT31" i="40"/>
  <c r="BT63" i="40"/>
  <c r="BT127" i="40"/>
  <c r="BT223" i="40"/>
  <c r="BT255" i="40"/>
  <c r="BT287" i="40"/>
  <c r="BT351" i="40"/>
  <c r="BT383" i="40"/>
  <c r="BT415" i="40"/>
  <c r="BT447" i="40"/>
  <c r="BT479" i="40"/>
  <c r="BT511" i="40"/>
  <c r="BT22" i="40"/>
  <c r="BT54" i="40"/>
  <c r="BT86" i="40"/>
  <c r="BT118" i="40"/>
  <c r="BT246" i="40"/>
  <c r="BT278" i="40"/>
  <c r="BT342" i="40"/>
  <c r="BT374" i="40"/>
  <c r="BT406" i="40"/>
  <c r="BT438" i="40"/>
  <c r="BT470" i="40"/>
  <c r="BT13" i="40"/>
  <c r="BT45" i="40"/>
  <c r="BT77" i="40"/>
  <c r="BT109" i="40"/>
  <c r="BT237" i="40"/>
  <c r="BT269" i="40"/>
  <c r="BT333" i="40"/>
  <c r="BT365" i="40"/>
  <c r="BT397" i="40"/>
  <c r="BT429" i="40"/>
  <c r="BT461" i="40"/>
  <c r="BT525" i="40"/>
  <c r="BT36" i="40"/>
  <c r="BT68" i="40"/>
  <c r="BT100" i="40"/>
  <c r="BT132" i="40"/>
  <c r="BT228" i="40"/>
  <c r="BT260" i="40"/>
  <c r="BT292" i="40"/>
  <c r="BT356" i="40"/>
  <c r="BT388" i="40"/>
  <c r="BT452" i="40"/>
  <c r="BT516" i="40"/>
  <c r="BT27" i="40"/>
  <c r="BT59" i="40"/>
  <c r="BT18" i="40"/>
  <c r="BT41" i="40"/>
  <c r="BT73" i="40"/>
  <c r="BT32" i="40"/>
  <c r="BT64" i="40"/>
  <c r="BT23" i="40"/>
  <c r="BT55" i="40"/>
  <c r="BT14" i="40"/>
  <c r="BT46" i="40"/>
  <c r="BT37" i="40"/>
  <c r="BT69" i="40"/>
  <c r="BT28" i="40"/>
  <c r="BT60" i="40"/>
  <c r="BT19" i="40"/>
  <c r="BT51" i="40"/>
  <c r="BT83" i="40"/>
  <c r="BT115" i="40"/>
  <c r="BT243" i="40"/>
  <c r="BT275" i="40"/>
  <c r="BT339" i="40"/>
  <c r="BT371" i="40"/>
  <c r="BT403" i="40"/>
  <c r="BT435" i="40"/>
  <c r="BT467" i="40"/>
  <c r="BT42" i="40"/>
  <c r="BT74" i="40"/>
  <c r="BT106" i="40"/>
  <c r="BT234" i="40"/>
  <c r="BT266" i="40"/>
  <c r="BT330" i="40"/>
  <c r="BT362" i="40"/>
  <c r="BT394" i="40"/>
  <c r="BT426" i="40"/>
  <c r="BT458" i="40"/>
  <c r="BT85" i="40"/>
  <c r="BT257" i="40"/>
  <c r="BT370" i="40"/>
  <c r="BT453" i="40"/>
  <c r="BT608" i="40"/>
  <c r="BT640" i="40"/>
  <c r="BT76" i="40"/>
  <c r="BT258" i="40"/>
  <c r="BT361" i="40"/>
  <c r="BT444" i="40"/>
  <c r="BT599" i="40"/>
  <c r="BT663" i="40"/>
  <c r="BT123" i="40"/>
  <c r="BT249" i="40"/>
  <c r="BT300" i="40"/>
  <c r="BT334" i="40"/>
  <c r="BT352" i="40"/>
  <c r="BT414" i="40"/>
  <c r="BT481" i="40"/>
  <c r="BT507" i="40"/>
  <c r="BT654" i="40"/>
  <c r="BT240" i="40"/>
  <c r="BT325" i="40"/>
  <c r="BT405" i="40"/>
  <c r="BT524" i="40"/>
  <c r="BT645" i="40"/>
  <c r="BT105" i="40"/>
  <c r="BT222" i="40"/>
  <c r="BT231" i="40"/>
  <c r="BT396" i="40"/>
  <c r="BT473" i="40"/>
  <c r="BT604" i="40"/>
  <c r="BT668" i="40"/>
  <c r="BT286" i="40"/>
  <c r="BT464" i="40"/>
  <c r="BT581" i="40"/>
  <c r="BT659" i="40"/>
  <c r="BT277" i="40"/>
  <c r="BT316" i="40"/>
  <c r="BT380" i="40"/>
  <c r="BT455" i="40"/>
  <c r="BT78" i="40"/>
  <c r="BT268" i="40"/>
  <c r="BT295" i="40"/>
  <c r="BT353" i="40"/>
  <c r="BT389" i="40"/>
  <c r="BT609" i="40"/>
  <c r="BT641" i="40"/>
  <c r="BT133" i="40"/>
  <c r="BT251" i="40"/>
  <c r="BT354" i="40"/>
  <c r="BT416" i="40"/>
  <c r="BT437" i="40"/>
  <c r="BT124" i="40"/>
  <c r="BT242" i="40"/>
  <c r="BT327" i="40"/>
  <c r="BT407" i="40"/>
  <c r="BT428" i="40"/>
  <c r="BT97" i="40"/>
  <c r="BT233" i="40"/>
  <c r="BT336" i="40"/>
  <c r="BT398" i="40"/>
  <c r="BT475" i="40"/>
  <c r="BT98" i="40"/>
  <c r="BT224" i="40"/>
  <c r="BT288" i="40"/>
  <c r="BT89" i="40"/>
  <c r="BT279" i="40"/>
  <c r="BT311" i="40"/>
  <c r="BT382" i="40"/>
  <c r="BT457" i="40"/>
  <c r="BT80" i="40"/>
  <c r="BT270" i="40"/>
  <c r="BT297" i="40"/>
  <c r="BT373" i="40"/>
  <c r="BT417" i="40"/>
  <c r="BT448" i="40"/>
  <c r="BT651" i="40"/>
  <c r="BT261" i="40"/>
  <c r="BT364" i="40"/>
  <c r="BT418" i="40"/>
  <c r="BT439" i="40"/>
  <c r="BT519" i="40"/>
  <c r="BT610" i="40"/>
  <c r="BT642" i="40"/>
  <c r="BT126" i="40"/>
  <c r="BT252" i="40"/>
  <c r="BT329" i="40"/>
  <c r="BT391" i="40"/>
  <c r="BT409" i="40"/>
  <c r="BT430" i="40"/>
  <c r="BT510" i="40"/>
  <c r="BT601" i="40"/>
  <c r="BT665" i="40"/>
  <c r="BT117" i="40"/>
  <c r="BT225" i="40"/>
  <c r="BT289" i="40"/>
  <c r="BT338" i="40"/>
  <c r="BT400" i="40"/>
  <c r="BT656" i="40"/>
  <c r="BT108" i="40"/>
  <c r="BT226" i="40"/>
  <c r="BT290" i="40"/>
  <c r="BT647" i="40"/>
  <c r="BT50" i="40"/>
  <c r="BT91" i="40"/>
  <c r="BT281" i="40"/>
  <c r="BT384" i="40"/>
  <c r="BT449" i="40"/>
  <c r="BT583" i="40"/>
  <c r="BT606" i="40"/>
  <c r="BT82" i="40"/>
  <c r="BT272" i="40"/>
  <c r="BT375" i="40"/>
  <c r="BT450" i="40"/>
  <c r="BT661" i="40"/>
  <c r="BT53" i="40"/>
  <c r="BT263" i="40"/>
  <c r="BT366" i="40"/>
  <c r="BT441" i="40"/>
  <c r="BT652" i="40"/>
  <c r="BT128" i="40"/>
  <c r="BT254" i="40"/>
  <c r="BT357" i="40"/>
  <c r="BT411" i="40"/>
  <c r="BT432" i="40"/>
  <c r="BT119" i="40"/>
  <c r="BT245" i="40"/>
  <c r="BT393" i="40"/>
  <c r="BT402" i="40"/>
  <c r="BT219" i="40"/>
  <c r="BT236" i="40"/>
  <c r="BT385" i="40"/>
  <c r="BT101" i="40"/>
  <c r="BT283" i="40"/>
  <c r="BT313" i="40"/>
  <c r="BT469" i="40"/>
  <c r="BT92" i="40"/>
  <c r="BT274" i="40"/>
  <c r="BT377" i="40"/>
  <c r="BT386" i="40"/>
  <c r="BT460" i="40"/>
  <c r="BT129" i="40"/>
  <c r="BT265" i="40"/>
  <c r="BT368" i="40"/>
  <c r="BT443" i="40"/>
  <c r="BT33" i="40"/>
  <c r="BT130" i="40"/>
  <c r="BT256" i="40"/>
  <c r="BT359" i="40"/>
  <c r="BT434" i="40"/>
  <c r="BT65" i="40"/>
  <c r="BT121" i="40"/>
  <c r="BT247" i="40"/>
  <c r="BT332" i="40"/>
  <c r="BT350" i="40"/>
  <c r="BT412" i="40"/>
  <c r="BT112" i="40"/>
  <c r="BT238" i="40"/>
  <c r="BT480" i="40"/>
  <c r="BT220" i="40"/>
  <c r="BT229" i="40"/>
  <c r="BT471" i="40"/>
  <c r="BT580" i="40"/>
  <c r="BT658" i="40"/>
  <c r="BT517" i="40"/>
  <c r="BT660" i="40"/>
  <c r="BT607" i="40"/>
  <c r="BT669" i="40"/>
  <c r="BT309" i="40"/>
  <c r="BT582" i="40"/>
  <c r="BT644" i="40"/>
  <c r="BT503" i="40"/>
  <c r="BT521" i="40"/>
  <c r="BT653" i="40"/>
  <c r="BT662" i="40"/>
  <c r="BT584" i="40"/>
  <c r="BT600" i="40"/>
  <c r="BT646" i="40"/>
  <c r="BT505" i="40"/>
  <c r="BT522" i="40"/>
  <c r="BT655" i="40"/>
  <c r="BT611" i="40"/>
  <c r="BT664" i="40"/>
  <c r="BT602" i="40"/>
  <c r="BT508" i="40"/>
  <c r="BT648" i="40"/>
  <c r="BT639" i="40"/>
  <c r="BT526" i="40"/>
  <c r="BT657" i="40"/>
  <c r="BT284" i="40"/>
  <c r="BT512" i="40"/>
  <c r="BT666" i="40"/>
  <c r="BT315" i="40"/>
  <c r="BT462" i="40"/>
  <c r="BT603" i="40"/>
  <c r="BT649" i="40"/>
  <c r="BT379" i="40"/>
  <c r="BT293" i="40"/>
  <c r="BT650" i="40"/>
  <c r="BT513" i="40"/>
  <c r="BT605" i="40"/>
  <c r="BT667" i="40"/>
  <c r="BT596" i="40"/>
  <c r="BT514" i="40"/>
  <c r="BT643" i="40"/>
  <c r="BT528" i="40"/>
  <c r="BA345" i="40"/>
  <c r="BA356" i="40"/>
  <c r="BA446" i="40"/>
  <c r="BJ343" i="40"/>
  <c r="BJ347" i="40"/>
  <c r="BJ88" i="40"/>
  <c r="BA478" i="40"/>
  <c r="BA371" i="40"/>
  <c r="BS15" i="40"/>
  <c r="BS47" i="40"/>
  <c r="BS79" i="40"/>
  <c r="BS111" i="40"/>
  <c r="BS239" i="40"/>
  <c r="BS271" i="40"/>
  <c r="BS335" i="40"/>
  <c r="BS367" i="40"/>
  <c r="BS399" i="40"/>
  <c r="BS431" i="40"/>
  <c r="BS463" i="40"/>
  <c r="BS527" i="40"/>
  <c r="BS38" i="40"/>
  <c r="BS102" i="40"/>
  <c r="BS134" i="40"/>
  <c r="BS230" i="40"/>
  <c r="BS262" i="40"/>
  <c r="BS294" i="40"/>
  <c r="BS326" i="40"/>
  <c r="BS358" i="40"/>
  <c r="BS390" i="40"/>
  <c r="BS454" i="40"/>
  <c r="BS518" i="40"/>
  <c r="BS29" i="40"/>
  <c r="BS61" i="40"/>
  <c r="BS93" i="40"/>
  <c r="BS125" i="40"/>
  <c r="BS221" i="40"/>
  <c r="BS253" i="40"/>
  <c r="BS285" i="40"/>
  <c r="BS349" i="40"/>
  <c r="BS381" i="40"/>
  <c r="BS413" i="40"/>
  <c r="BS445" i="40"/>
  <c r="BS477" i="40"/>
  <c r="BS509" i="40"/>
  <c r="BS52" i="40"/>
  <c r="BS84" i="40"/>
  <c r="BS116" i="40"/>
  <c r="BS244" i="40"/>
  <c r="BS276" i="40"/>
  <c r="BS340" i="40"/>
  <c r="BS372" i="40"/>
  <c r="BS404" i="40"/>
  <c r="BS436" i="40"/>
  <c r="BS468" i="40"/>
  <c r="BS43" i="40"/>
  <c r="BS75" i="40"/>
  <c r="BS107" i="40"/>
  <c r="BS235" i="40"/>
  <c r="BS267" i="40"/>
  <c r="BS331" i="40"/>
  <c r="BS363" i="40"/>
  <c r="BS395" i="40"/>
  <c r="BS427" i="40"/>
  <c r="BS459" i="40"/>
  <c r="BS523" i="40"/>
  <c r="BS66" i="40"/>
  <c r="BS98" i="40"/>
  <c r="BS130" i="40"/>
  <c r="BS226" i="40"/>
  <c r="BS258" i="40"/>
  <c r="BS290" i="40"/>
  <c r="BS354" i="40"/>
  <c r="BS386" i="40"/>
  <c r="BS418" i="40"/>
  <c r="BS450" i="40"/>
  <c r="BS482" i="40"/>
  <c r="BS514" i="40"/>
  <c r="BS25" i="40"/>
  <c r="BS57" i="40"/>
  <c r="BS16" i="40"/>
  <c r="BS48" i="40"/>
  <c r="BS39" i="40"/>
  <c r="BS30" i="40"/>
  <c r="BS62" i="40"/>
  <c r="BS21" i="40"/>
  <c r="BS53" i="40"/>
  <c r="BS12" i="40"/>
  <c r="BS35" i="40"/>
  <c r="BS67" i="40"/>
  <c r="BS26" i="40"/>
  <c r="BS58" i="40"/>
  <c r="BS90" i="40"/>
  <c r="BS122" i="40"/>
  <c r="BS250" i="40"/>
  <c r="BS282" i="40"/>
  <c r="BS314" i="40"/>
  <c r="BS346" i="40"/>
  <c r="BS378" i="40"/>
  <c r="BS410" i="40"/>
  <c r="BS442" i="40"/>
  <c r="BS474" i="40"/>
  <c r="BS506" i="40"/>
  <c r="BS17" i="40"/>
  <c r="BS49" i="40"/>
  <c r="BS81" i="40"/>
  <c r="BS113" i="40"/>
  <c r="BS241" i="40"/>
  <c r="BS273" i="40"/>
  <c r="BS337" i="40"/>
  <c r="BS369" i="40"/>
  <c r="BS401" i="40"/>
  <c r="BS433" i="40"/>
  <c r="BS465" i="40"/>
  <c r="BS40" i="40"/>
  <c r="BS104" i="40"/>
  <c r="BS232" i="40"/>
  <c r="BS264" i="40"/>
  <c r="BS296" i="40"/>
  <c r="BS328" i="40"/>
  <c r="BS360" i="40"/>
  <c r="BS392" i="40"/>
  <c r="BS456" i="40"/>
  <c r="BS520" i="40"/>
  <c r="BS31" i="40"/>
  <c r="BS63" i="40"/>
  <c r="BS95" i="40"/>
  <c r="BS127" i="40"/>
  <c r="BS223" i="40"/>
  <c r="BS255" i="40"/>
  <c r="BS287" i="40"/>
  <c r="BS351" i="40"/>
  <c r="BS383" i="40"/>
  <c r="BS415" i="40"/>
  <c r="BS447" i="40"/>
  <c r="BS479" i="40"/>
  <c r="BS511" i="40"/>
  <c r="BS22" i="40"/>
  <c r="BS54" i="40"/>
  <c r="BS86" i="40"/>
  <c r="BS118" i="40"/>
  <c r="BS246" i="40"/>
  <c r="BS278" i="40"/>
  <c r="BS342" i="40"/>
  <c r="BS374" i="40"/>
  <c r="BS406" i="40"/>
  <c r="BS438" i="40"/>
  <c r="BS470" i="40"/>
  <c r="BS13" i="40"/>
  <c r="BS45" i="40"/>
  <c r="BS77" i="40"/>
  <c r="BS109" i="40"/>
  <c r="BS237" i="40"/>
  <c r="BS269" i="40"/>
  <c r="BS333" i="40"/>
  <c r="BS365" i="40"/>
  <c r="BS397" i="40"/>
  <c r="BS429" i="40"/>
  <c r="BS461" i="40"/>
  <c r="BS525" i="40"/>
  <c r="BS36" i="40"/>
  <c r="BS68" i="40"/>
  <c r="BS100" i="40"/>
  <c r="BS132" i="40"/>
  <c r="BS228" i="40"/>
  <c r="BS260" i="40"/>
  <c r="BS292" i="40"/>
  <c r="BS356" i="40"/>
  <c r="BS388" i="40"/>
  <c r="BS452" i="40"/>
  <c r="BS516" i="40"/>
  <c r="BS27" i="40"/>
  <c r="BS59" i="40"/>
  <c r="BS91" i="40"/>
  <c r="BS123" i="40"/>
  <c r="BS219" i="40"/>
  <c r="BS251" i="40"/>
  <c r="BS283" i="40"/>
  <c r="BS315" i="40"/>
  <c r="BS347" i="40"/>
  <c r="BS379" i="40"/>
  <c r="BS411" i="40"/>
  <c r="BS443" i="40"/>
  <c r="BS475" i="40"/>
  <c r="BS507" i="40"/>
  <c r="BS18" i="40"/>
  <c r="BS50" i="40"/>
  <c r="BS32" i="40"/>
  <c r="BS64" i="40"/>
  <c r="BS23" i="40"/>
  <c r="BS55" i="40"/>
  <c r="BS14" i="40"/>
  <c r="BS46" i="40"/>
  <c r="BS37" i="40"/>
  <c r="BS69" i="40"/>
  <c r="BS28" i="40"/>
  <c r="BS60" i="40"/>
  <c r="BS19" i="40"/>
  <c r="BS51" i="40"/>
  <c r="BS42" i="40"/>
  <c r="BS74" i="40"/>
  <c r="BS106" i="40"/>
  <c r="BS234" i="40"/>
  <c r="BS266" i="40"/>
  <c r="BS330" i="40"/>
  <c r="BS362" i="40"/>
  <c r="BS394" i="40"/>
  <c r="BS426" i="40"/>
  <c r="BS458" i="40"/>
  <c r="BS522" i="40"/>
  <c r="BS33" i="40"/>
  <c r="BS65" i="40"/>
  <c r="BS97" i="40"/>
  <c r="BS129" i="40"/>
  <c r="BS225" i="40"/>
  <c r="BS257" i="40"/>
  <c r="BS289" i="40"/>
  <c r="BS353" i="40"/>
  <c r="BS385" i="40"/>
  <c r="BS417" i="40"/>
  <c r="BS449" i="40"/>
  <c r="BS481" i="40"/>
  <c r="BS513" i="40"/>
  <c r="BS76" i="40"/>
  <c r="BS248" i="40"/>
  <c r="BS361" i="40"/>
  <c r="BS444" i="40"/>
  <c r="BS599" i="40"/>
  <c r="BS663" i="40"/>
  <c r="BS131" i="40"/>
  <c r="BS249" i="40"/>
  <c r="BS300" i="40"/>
  <c r="BS334" i="40"/>
  <c r="BS352" i="40"/>
  <c r="BS414" i="40"/>
  <c r="BS435" i="40"/>
  <c r="BS515" i="40"/>
  <c r="BS654" i="40"/>
  <c r="BS114" i="40"/>
  <c r="BS240" i="40"/>
  <c r="BS325" i="40"/>
  <c r="BS343" i="40"/>
  <c r="BS405" i="40"/>
  <c r="BS472" i="40"/>
  <c r="BS524" i="40"/>
  <c r="BS645" i="40"/>
  <c r="BS105" i="40"/>
  <c r="BS222" i="40"/>
  <c r="BS231" i="40"/>
  <c r="BS396" i="40"/>
  <c r="BS473" i="40"/>
  <c r="BS604" i="40"/>
  <c r="BS668" i="40"/>
  <c r="BS96" i="40"/>
  <c r="BS286" i="40"/>
  <c r="BS464" i="40"/>
  <c r="BS581" i="40"/>
  <c r="BS659" i="40"/>
  <c r="BS87" i="40"/>
  <c r="BS277" i="40"/>
  <c r="BS316" i="40"/>
  <c r="BS380" i="40"/>
  <c r="BS455" i="40"/>
  <c r="BS650" i="40"/>
  <c r="BS78" i="40"/>
  <c r="BS268" i="40"/>
  <c r="BS295" i="40"/>
  <c r="BS371" i="40"/>
  <c r="BS389" i="40"/>
  <c r="BS446" i="40"/>
  <c r="BS133" i="40"/>
  <c r="BS259" i="40"/>
  <c r="BS344" i="40"/>
  <c r="BS416" i="40"/>
  <c r="BS437" i="40"/>
  <c r="BS517" i="40"/>
  <c r="BS600" i="40"/>
  <c r="BS664" i="40"/>
  <c r="BS124" i="40"/>
  <c r="BS242" i="40"/>
  <c r="BS327" i="40"/>
  <c r="BS345" i="40"/>
  <c r="BS407" i="40"/>
  <c r="BS428" i="40"/>
  <c r="BS41" i="40"/>
  <c r="BS115" i="40"/>
  <c r="BS233" i="40"/>
  <c r="BS336" i="40"/>
  <c r="BS398" i="40"/>
  <c r="BS88" i="40"/>
  <c r="BS224" i="40"/>
  <c r="BS288" i="40"/>
  <c r="BS466" i="40"/>
  <c r="BS89" i="40"/>
  <c r="BS279" i="40"/>
  <c r="BS311" i="40"/>
  <c r="BS382" i="40"/>
  <c r="BS457" i="40"/>
  <c r="BS80" i="40"/>
  <c r="BS270" i="40"/>
  <c r="BS297" i="40"/>
  <c r="BS373" i="40"/>
  <c r="BS448" i="40"/>
  <c r="BS261" i="40"/>
  <c r="BS364" i="40"/>
  <c r="BS408" i="40"/>
  <c r="BS439" i="40"/>
  <c r="BS519" i="40"/>
  <c r="BS610" i="40"/>
  <c r="BS642" i="40"/>
  <c r="BS44" i="40"/>
  <c r="BS126" i="40"/>
  <c r="BS252" i="40"/>
  <c r="BS329" i="40"/>
  <c r="BS355" i="40"/>
  <c r="BS391" i="40"/>
  <c r="BS409" i="40"/>
  <c r="BS430" i="40"/>
  <c r="BS510" i="40"/>
  <c r="BS601" i="40"/>
  <c r="BS665" i="40"/>
  <c r="BS117" i="40"/>
  <c r="BS243" i="40"/>
  <c r="BS338" i="40"/>
  <c r="BS400" i="40"/>
  <c r="BS656" i="40"/>
  <c r="BS108" i="40"/>
  <c r="BS280" i="40"/>
  <c r="BS476" i="40"/>
  <c r="BS647" i="40"/>
  <c r="BS99" i="40"/>
  <c r="BS281" i="40"/>
  <c r="BS384" i="40"/>
  <c r="BS467" i="40"/>
  <c r="BS583" i="40"/>
  <c r="BS606" i="40"/>
  <c r="BS82" i="40"/>
  <c r="BS272" i="40"/>
  <c r="BS375" i="40"/>
  <c r="BS440" i="40"/>
  <c r="BS597" i="40"/>
  <c r="BS661" i="40"/>
  <c r="BS24" i="40"/>
  <c r="BS263" i="40"/>
  <c r="BS366" i="40"/>
  <c r="BS441" i="40"/>
  <c r="BS652" i="40"/>
  <c r="BS73" i="40"/>
  <c r="BS128" i="40"/>
  <c r="BS254" i="40"/>
  <c r="BS357" i="40"/>
  <c r="BS419" i="40"/>
  <c r="BS432" i="40"/>
  <c r="BS512" i="40"/>
  <c r="BS521" i="40"/>
  <c r="BS611" i="40"/>
  <c r="BS643" i="40"/>
  <c r="BS119" i="40"/>
  <c r="BS245" i="40"/>
  <c r="BS348" i="40"/>
  <c r="BS393" i="40"/>
  <c r="BS402" i="40"/>
  <c r="BS56" i="40"/>
  <c r="BS110" i="40"/>
  <c r="BS236" i="40"/>
  <c r="BS339" i="40"/>
  <c r="BS478" i="40"/>
  <c r="BS101" i="40"/>
  <c r="BS227" i="40"/>
  <c r="BS291" i="40"/>
  <c r="BS313" i="40"/>
  <c r="BS376" i="40"/>
  <c r="BS469" i="40"/>
  <c r="BS92" i="40"/>
  <c r="BS274" i="40"/>
  <c r="BS377" i="40"/>
  <c r="BS460" i="40"/>
  <c r="BS83" i="40"/>
  <c r="BS265" i="40"/>
  <c r="BS368" i="40"/>
  <c r="BS451" i="40"/>
  <c r="BS120" i="40"/>
  <c r="BS256" i="40"/>
  <c r="BS359" i="40"/>
  <c r="BS434" i="40"/>
  <c r="BS121" i="40"/>
  <c r="BS247" i="40"/>
  <c r="BS332" i="40"/>
  <c r="BS350" i="40"/>
  <c r="BS412" i="40"/>
  <c r="BS112" i="40"/>
  <c r="BS238" i="40"/>
  <c r="BS341" i="40"/>
  <c r="BS403" i="40"/>
  <c r="BS480" i="40"/>
  <c r="BS103" i="40"/>
  <c r="BS220" i="40"/>
  <c r="BS229" i="40"/>
  <c r="BS471" i="40"/>
  <c r="BS94" i="40"/>
  <c r="BS284" i="40"/>
  <c r="BS293" i="40"/>
  <c r="BS309" i="40"/>
  <c r="BS462" i="40"/>
  <c r="BS649" i="40"/>
  <c r="BS660" i="40"/>
  <c r="BS607" i="40"/>
  <c r="BS669" i="40"/>
  <c r="BS598" i="40"/>
  <c r="BS582" i="40"/>
  <c r="BS644" i="40"/>
  <c r="BS503" i="40"/>
  <c r="BS653" i="40"/>
  <c r="BS662" i="40"/>
  <c r="BS608" i="40"/>
  <c r="BS584" i="40"/>
  <c r="BS609" i="40"/>
  <c r="BS504" i="40"/>
  <c r="BS646" i="40"/>
  <c r="BS505" i="40"/>
  <c r="BS655" i="40"/>
  <c r="BS602" i="40"/>
  <c r="BS508" i="40"/>
  <c r="BS648" i="40"/>
  <c r="BS639" i="40"/>
  <c r="BS526" i="40"/>
  <c r="BS657" i="40"/>
  <c r="BS275" i="40"/>
  <c r="BS666" i="40"/>
  <c r="BS453" i="40"/>
  <c r="BS603" i="40"/>
  <c r="BS370" i="40"/>
  <c r="BS640" i="40"/>
  <c r="BS641" i="40"/>
  <c r="BS658" i="40"/>
  <c r="BS85" i="40"/>
  <c r="BS596" i="40"/>
  <c r="BS651" i="40"/>
  <c r="BS387" i="40"/>
  <c r="BS580" i="40"/>
  <c r="BS667" i="40"/>
  <c r="BS605" i="40"/>
  <c r="BS528" i="40"/>
  <c r="BJ474" i="40"/>
  <c r="BJ364" i="40"/>
  <c r="BJ75" i="40"/>
  <c r="BJ482" i="40"/>
  <c r="BA361" i="40"/>
  <c r="BJ122" i="40"/>
  <c r="BA366" i="40"/>
  <c r="BA350" i="40"/>
  <c r="BA102" i="40"/>
  <c r="BJ346" i="40"/>
  <c r="BJ351" i="40"/>
  <c r="BJ90" i="40"/>
  <c r="BA360" i="40"/>
  <c r="BA355" i="40"/>
  <c r="BA477" i="40"/>
  <c r="BJ358" i="40"/>
  <c r="BA270" i="40"/>
  <c r="BA344" i="40"/>
  <c r="BA94" i="40"/>
  <c r="BR244" i="40"/>
  <c r="BR683" i="40" s="1" a="1"/>
  <c r="BR683" i="40" s="1"/>
  <c r="BJ357" i="40"/>
  <c r="BJ354" i="40"/>
  <c r="AZ683" i="40" a="1"/>
  <c r="AZ683" i="40" s="1"/>
  <c r="CH23" i="42"/>
  <c r="BI683" i="40" a="1"/>
  <c r="BI683" i="40" s="1"/>
  <c r="Z4" i="48"/>
  <c r="BB11" i="40"/>
  <c r="BK11" i="40"/>
  <c r="BT11" i="40"/>
  <c r="DI11" i="40"/>
  <c r="DJ13" i="40"/>
  <c r="DJ14" i="40"/>
  <c r="DH10" i="40"/>
  <c r="DI10" i="40" s="1"/>
  <c r="DJ11" i="40"/>
  <c r="DI13" i="40"/>
  <c r="DI12" i="40"/>
  <c r="DJ12" i="40"/>
  <c r="CW14" i="40"/>
  <c r="CW15" i="40"/>
  <c r="CV15" i="40"/>
  <c r="CW16" i="40"/>
  <c r="CU10" i="40"/>
  <c r="CV10" i="40" s="1"/>
  <c r="CW11" i="40"/>
  <c r="CV11" i="40"/>
  <c r="CV12" i="40"/>
  <c r="CV13" i="40"/>
  <c r="CW13" i="40"/>
  <c r="CV14" i="40"/>
  <c r="CJ11" i="40"/>
  <c r="CJ18" i="40"/>
  <c r="CJ19" i="40"/>
  <c r="CJ20" i="40"/>
  <c r="CJ21" i="40"/>
  <c r="CJ22" i="40"/>
  <c r="CJ14" i="40"/>
  <c r="CJ15" i="40"/>
  <c r="CJ16" i="40"/>
  <c r="CJ17" i="40"/>
  <c r="CJ13" i="40"/>
  <c r="CH10" i="40"/>
  <c r="CI10" i="40" s="1"/>
  <c r="CI21" i="40"/>
  <c r="CI20" i="40"/>
  <c r="CI19" i="40"/>
  <c r="CI18" i="40"/>
  <c r="CI17" i="40"/>
  <c r="CI16" i="40"/>
  <c r="CI15" i="40"/>
  <c r="CI14" i="40"/>
  <c r="CI13" i="40"/>
  <c r="CI12" i="40"/>
  <c r="CI11" i="40"/>
  <c r="CF12" i="42"/>
  <c r="CG12" i="42" s="1"/>
  <c r="CH15" i="42"/>
  <c r="CH16" i="42"/>
  <c r="CH17" i="42"/>
  <c r="CH18" i="42"/>
  <c r="CH19" i="42"/>
  <c r="CH20" i="42"/>
  <c r="CH21" i="42"/>
  <c r="CH22" i="42"/>
  <c r="CG13" i="42"/>
  <c r="CG14" i="42"/>
  <c r="CG15" i="42"/>
  <c r="CG16" i="42"/>
  <c r="CG17" i="42"/>
  <c r="CG18" i="42"/>
  <c r="CG19" i="42"/>
  <c r="CG20" i="42"/>
  <c r="CG21" i="42"/>
  <c r="CG22" i="42"/>
  <c r="AH15" i="42"/>
  <c r="AH16" i="42"/>
  <c r="AH17" i="42"/>
  <c r="AH18" i="42"/>
  <c r="AH19" i="42"/>
  <c r="AH20" i="42"/>
  <c r="AH21" i="42"/>
  <c r="AH22" i="42"/>
  <c r="AH23" i="42"/>
  <c r="AH24" i="42"/>
  <c r="AH25" i="42"/>
  <c r="AH26" i="42"/>
  <c r="AH27" i="42"/>
  <c r="AH28" i="42"/>
  <c r="AG13" i="42"/>
  <c r="AG14" i="42"/>
  <c r="AG15" i="42"/>
  <c r="AG16" i="42"/>
  <c r="AG17" i="42"/>
  <c r="AG18" i="42"/>
  <c r="AG19" i="42"/>
  <c r="AG20" i="42"/>
  <c r="AG21" i="42"/>
  <c r="AG22" i="42"/>
  <c r="AG23" i="42"/>
  <c r="AG24" i="42"/>
  <c r="AG25" i="42"/>
  <c r="AG26" i="42"/>
  <c r="AG27" i="42"/>
  <c r="AZ13" i="42"/>
  <c r="AZ99" i="42"/>
  <c r="AZ45" i="42"/>
  <c r="AZ77" i="42"/>
  <c r="AY23" i="42"/>
  <c r="AY55" i="42"/>
  <c r="AY87" i="42"/>
  <c r="AZ46" i="42"/>
  <c r="AZ78" i="42"/>
  <c r="AY24" i="42"/>
  <c r="AY56" i="42"/>
  <c r="AY88" i="42"/>
  <c r="AZ15" i="42"/>
  <c r="AZ47" i="42"/>
  <c r="AZ79" i="42"/>
  <c r="AY25" i="42"/>
  <c r="AY57" i="42"/>
  <c r="AY89" i="42"/>
  <c r="AZ16" i="42"/>
  <c r="AZ48" i="42"/>
  <c r="AZ80" i="42"/>
  <c r="AY26" i="42"/>
  <c r="AY58" i="42"/>
  <c r="AY90" i="42"/>
  <c r="AZ17" i="42"/>
  <c r="AZ49" i="42"/>
  <c r="AZ81" i="42"/>
  <c r="AY27" i="42"/>
  <c r="AY59" i="42"/>
  <c r="AY91" i="42"/>
  <c r="AZ18" i="42"/>
  <c r="AZ50" i="42"/>
  <c r="AZ82" i="42"/>
  <c r="AY28" i="42"/>
  <c r="AY60" i="42"/>
  <c r="AY92" i="42"/>
  <c r="AZ19" i="42"/>
  <c r="AZ51" i="42"/>
  <c r="AZ83" i="42"/>
  <c r="AY29" i="42"/>
  <c r="AY61" i="42"/>
  <c r="AY93" i="42"/>
  <c r="AZ20" i="42"/>
  <c r="AZ52" i="42"/>
  <c r="AZ84" i="42"/>
  <c r="AY30" i="42"/>
  <c r="AY62" i="42"/>
  <c r="AY94" i="42"/>
  <c r="AY22" i="42"/>
  <c r="AZ21" i="42"/>
  <c r="AZ53" i="42"/>
  <c r="AZ85" i="42"/>
  <c r="AY31" i="42"/>
  <c r="AY63" i="42"/>
  <c r="AY95" i="42"/>
  <c r="AZ22" i="42"/>
  <c r="AZ54" i="42"/>
  <c r="AZ86" i="42"/>
  <c r="AY32" i="42"/>
  <c r="AY64" i="42"/>
  <c r="AY96" i="42"/>
  <c r="AZ23" i="42"/>
  <c r="AZ55" i="42"/>
  <c r="AZ87" i="42"/>
  <c r="AY33" i="42"/>
  <c r="AY65" i="42"/>
  <c r="AY97" i="42"/>
  <c r="AZ24" i="42"/>
  <c r="AZ56" i="42"/>
  <c r="AZ88" i="42"/>
  <c r="AY34" i="42"/>
  <c r="AY66" i="42"/>
  <c r="AY98" i="42"/>
  <c r="AZ25" i="42"/>
  <c r="AZ57" i="42"/>
  <c r="AZ89" i="42"/>
  <c r="AY35" i="42"/>
  <c r="AY67" i="42"/>
  <c r="AZ26" i="42"/>
  <c r="AZ58" i="42"/>
  <c r="AZ90" i="42"/>
  <c r="AY36" i="42"/>
  <c r="AY68" i="42"/>
  <c r="AZ27" i="42"/>
  <c r="AZ59" i="42"/>
  <c r="AZ91" i="42"/>
  <c r="AY37" i="42"/>
  <c r="AY69" i="42"/>
  <c r="AX12" i="42"/>
  <c r="AY12" i="42" s="1"/>
  <c r="AZ28" i="42"/>
  <c r="AZ60" i="42"/>
  <c r="AZ92" i="42"/>
  <c r="AY38" i="42"/>
  <c r="AY70" i="42"/>
  <c r="AZ76" i="42"/>
  <c r="AZ29" i="42"/>
  <c r="AZ61" i="42"/>
  <c r="AZ93" i="42"/>
  <c r="AY39" i="42"/>
  <c r="AY71" i="42"/>
  <c r="AZ30" i="42"/>
  <c r="AZ62" i="42"/>
  <c r="AZ94" i="42"/>
  <c r="AY40" i="42"/>
  <c r="AY72" i="42"/>
  <c r="AZ44" i="42"/>
  <c r="AZ31" i="42"/>
  <c r="AZ63" i="42"/>
  <c r="AZ95" i="42"/>
  <c r="AY41" i="42"/>
  <c r="AY73" i="42"/>
  <c r="AZ32" i="42"/>
  <c r="AZ64" i="42"/>
  <c r="AZ96" i="42"/>
  <c r="AY42" i="42"/>
  <c r="AY74" i="42"/>
  <c r="AZ33" i="42"/>
  <c r="AZ65" i="42"/>
  <c r="AZ97" i="42"/>
  <c r="AY43" i="42"/>
  <c r="AY75" i="42"/>
  <c r="AZ34" i="42"/>
  <c r="AZ66" i="42"/>
  <c r="AZ98" i="42"/>
  <c r="AY44" i="42"/>
  <c r="AY76" i="42"/>
  <c r="AZ35" i="42"/>
  <c r="AZ67" i="42"/>
  <c r="AY13" i="42"/>
  <c r="AY45" i="42"/>
  <c r="AY77" i="42"/>
  <c r="AZ36" i="42"/>
  <c r="AZ68" i="42"/>
  <c r="AY14" i="42"/>
  <c r="AY46" i="42"/>
  <c r="AY78" i="42"/>
  <c r="AY86" i="42"/>
  <c r="AZ37" i="42"/>
  <c r="AZ69" i="42"/>
  <c r="AY15" i="42"/>
  <c r="AY47" i="42"/>
  <c r="AY79" i="42"/>
  <c r="AZ38" i="42"/>
  <c r="AZ70" i="42"/>
  <c r="AY16" i="42"/>
  <c r="AY48" i="42"/>
  <c r="AY80" i="42"/>
  <c r="AZ39" i="42"/>
  <c r="AZ71" i="42"/>
  <c r="AY17" i="42"/>
  <c r="AY49" i="42"/>
  <c r="AY81" i="42"/>
  <c r="AZ40" i="42"/>
  <c r="AZ72" i="42"/>
  <c r="AY18" i="42"/>
  <c r="AY50" i="42"/>
  <c r="AY82" i="42"/>
  <c r="AZ41" i="42"/>
  <c r="AZ73" i="42"/>
  <c r="AY19" i="42"/>
  <c r="AY51" i="42"/>
  <c r="AY83" i="42"/>
  <c r="AZ42" i="42"/>
  <c r="AZ74" i="42"/>
  <c r="AY20" i="42"/>
  <c r="AY52" i="42"/>
  <c r="AY84" i="42"/>
  <c r="AY54" i="42"/>
  <c r="AZ43" i="42"/>
  <c r="AZ75" i="42"/>
  <c r="AY21" i="42"/>
  <c r="AY53" i="42"/>
  <c r="AY85" i="42"/>
  <c r="BQ13" i="42"/>
  <c r="BQ46" i="42"/>
  <c r="BQ78" i="42"/>
  <c r="BQ110" i="42"/>
  <c r="BP38" i="42"/>
  <c r="BP70" i="42"/>
  <c r="BP102" i="42"/>
  <c r="BQ15" i="42"/>
  <c r="BQ47" i="42"/>
  <c r="BQ79" i="42"/>
  <c r="BQ111" i="42"/>
  <c r="BP39" i="42"/>
  <c r="BP71" i="42"/>
  <c r="BP103" i="42"/>
  <c r="BQ16" i="42"/>
  <c r="BQ48" i="42"/>
  <c r="BQ80" i="42"/>
  <c r="BQ112" i="42"/>
  <c r="BP40" i="42"/>
  <c r="BP72" i="42"/>
  <c r="BP104" i="42"/>
  <c r="BQ17" i="42"/>
  <c r="BQ49" i="42"/>
  <c r="BQ81" i="42"/>
  <c r="BQ113" i="42"/>
  <c r="BP41" i="42"/>
  <c r="BP73" i="42"/>
  <c r="BP105" i="42"/>
  <c r="BQ18" i="42"/>
  <c r="BQ50" i="42"/>
  <c r="BQ82" i="42"/>
  <c r="BQ114" i="42"/>
  <c r="BP42" i="42"/>
  <c r="BP74" i="42"/>
  <c r="BP106" i="42"/>
  <c r="BQ19" i="42"/>
  <c r="BQ51" i="42"/>
  <c r="BQ83" i="42"/>
  <c r="BQ115" i="42"/>
  <c r="BP43" i="42"/>
  <c r="BP75" i="42"/>
  <c r="BP107" i="42"/>
  <c r="BQ20" i="42"/>
  <c r="BQ52" i="42"/>
  <c r="BQ84" i="42"/>
  <c r="BP44" i="42"/>
  <c r="BP76" i="42"/>
  <c r="BP108" i="42"/>
  <c r="BQ21" i="42"/>
  <c r="BQ53" i="42"/>
  <c r="BQ85" i="42"/>
  <c r="BP13" i="42"/>
  <c r="BP45" i="42"/>
  <c r="BP77" i="42"/>
  <c r="BP109" i="42"/>
  <c r="BQ22" i="42"/>
  <c r="BQ54" i="42"/>
  <c r="BQ86" i="42"/>
  <c r="BP14" i="42"/>
  <c r="BP46" i="42"/>
  <c r="BP78" i="42"/>
  <c r="BP110" i="42"/>
  <c r="BQ23" i="42"/>
  <c r="BQ55" i="42"/>
  <c r="BQ87" i="42"/>
  <c r="BP15" i="42"/>
  <c r="BP47" i="42"/>
  <c r="BP79" i="42"/>
  <c r="BP111" i="42"/>
  <c r="BQ24" i="42"/>
  <c r="BQ56" i="42"/>
  <c r="BQ88" i="42"/>
  <c r="BP16" i="42"/>
  <c r="BP48" i="42"/>
  <c r="BP80" i="42"/>
  <c r="BP112" i="42"/>
  <c r="BQ25" i="42"/>
  <c r="BQ57" i="42"/>
  <c r="BQ89" i="42"/>
  <c r="BP17" i="42"/>
  <c r="BP49" i="42"/>
  <c r="BP81" i="42"/>
  <c r="BP113" i="42"/>
  <c r="BQ26" i="42"/>
  <c r="BQ58" i="42"/>
  <c r="BQ90" i="42"/>
  <c r="BP18" i="42"/>
  <c r="BP50" i="42"/>
  <c r="BP82" i="42"/>
  <c r="BP114" i="42"/>
  <c r="BQ27" i="42"/>
  <c r="BQ59" i="42"/>
  <c r="BQ91" i="42"/>
  <c r="BP19" i="42"/>
  <c r="BP51" i="42"/>
  <c r="BP83" i="42"/>
  <c r="BQ28" i="42"/>
  <c r="BQ60" i="42"/>
  <c r="BQ92" i="42"/>
  <c r="BP20" i="42"/>
  <c r="BP52" i="42"/>
  <c r="BP84" i="42"/>
  <c r="BO12" i="42"/>
  <c r="BP12" i="42" s="1"/>
  <c r="BQ29" i="42"/>
  <c r="BQ61" i="42"/>
  <c r="BQ93" i="42"/>
  <c r="BP21" i="42"/>
  <c r="BP53" i="42"/>
  <c r="BP85" i="42"/>
  <c r="BQ30" i="42"/>
  <c r="BQ62" i="42"/>
  <c r="BQ94" i="42"/>
  <c r="BP22" i="42"/>
  <c r="BP54" i="42"/>
  <c r="BP86" i="42"/>
  <c r="BQ31" i="42"/>
  <c r="BQ63" i="42"/>
  <c r="BQ95" i="42"/>
  <c r="BP23" i="42"/>
  <c r="BP55" i="42"/>
  <c r="BP87" i="42"/>
  <c r="BQ32" i="42"/>
  <c r="BQ64" i="42"/>
  <c r="BQ96" i="42"/>
  <c r="BP24" i="42"/>
  <c r="BP56" i="42"/>
  <c r="BP88" i="42"/>
  <c r="BQ33" i="42"/>
  <c r="BQ65" i="42"/>
  <c r="BQ97" i="42"/>
  <c r="BP25" i="42"/>
  <c r="BP57" i="42"/>
  <c r="BP89" i="42"/>
  <c r="BQ34" i="42"/>
  <c r="BQ66" i="42"/>
  <c r="BQ98" i="42"/>
  <c r="BP26" i="42"/>
  <c r="BP58" i="42"/>
  <c r="BP90" i="42"/>
  <c r="BQ35" i="42"/>
  <c r="BQ67" i="42"/>
  <c r="BQ99" i="42"/>
  <c r="BP27" i="42"/>
  <c r="BP59" i="42"/>
  <c r="BP91" i="42"/>
  <c r="BQ36" i="42"/>
  <c r="BQ68" i="42"/>
  <c r="BQ100" i="42"/>
  <c r="BP28" i="42"/>
  <c r="BP60" i="42"/>
  <c r="BP92" i="42"/>
  <c r="BQ45" i="42"/>
  <c r="BQ37" i="42"/>
  <c r="BQ69" i="42"/>
  <c r="BQ101" i="42"/>
  <c r="BP29" i="42"/>
  <c r="BP61" i="42"/>
  <c r="BP93" i="42"/>
  <c r="BQ77" i="42"/>
  <c r="BQ38" i="42"/>
  <c r="BQ70" i="42"/>
  <c r="BQ102" i="42"/>
  <c r="BP30" i="42"/>
  <c r="BP62" i="42"/>
  <c r="BP94" i="42"/>
  <c r="BQ39" i="42"/>
  <c r="BQ71" i="42"/>
  <c r="BQ103" i="42"/>
  <c r="BP31" i="42"/>
  <c r="BP63" i="42"/>
  <c r="BP95" i="42"/>
  <c r="BQ40" i="42"/>
  <c r="BQ72" i="42"/>
  <c r="BQ104" i="42"/>
  <c r="BP32" i="42"/>
  <c r="BP64" i="42"/>
  <c r="BP96" i="42"/>
  <c r="BQ109" i="42"/>
  <c r="BQ41" i="42"/>
  <c r="BQ73" i="42"/>
  <c r="BQ105" i="42"/>
  <c r="BP33" i="42"/>
  <c r="BP65" i="42"/>
  <c r="BP97" i="42"/>
  <c r="BP69" i="42"/>
  <c r="BQ42" i="42"/>
  <c r="BQ74" i="42"/>
  <c r="BQ106" i="42"/>
  <c r="BP34" i="42"/>
  <c r="BP66" i="42"/>
  <c r="BP98" i="42"/>
  <c r="BP101" i="42"/>
  <c r="BQ43" i="42"/>
  <c r="BQ75" i="42"/>
  <c r="BQ107" i="42"/>
  <c r="BP35" i="42"/>
  <c r="BP67" i="42"/>
  <c r="BP99" i="42"/>
  <c r="BP37" i="42"/>
  <c r="BQ44" i="42"/>
  <c r="BQ76" i="42"/>
  <c r="BQ108" i="42"/>
  <c r="BP36" i="42"/>
  <c r="BP68" i="42"/>
  <c r="BP100" i="42"/>
  <c r="CH13" i="42"/>
  <c r="AH13" i="42"/>
  <c r="AF12" i="42"/>
  <c r="AG12" i="42" s="1"/>
  <c r="F54" i="40"/>
  <c r="F59" i="40" s="1"/>
  <c r="BK10" i="40"/>
  <c r="BL9" i="40" s="1"/>
  <c r="BT10" i="40"/>
  <c r="BU9" i="40" s="1"/>
  <c r="BB10" i="40"/>
  <c r="BC9" i="40" s="1"/>
  <c r="BB598" i="40" l="1"/>
  <c r="BT122" i="40"/>
  <c r="BT95" i="40"/>
  <c r="BT102" i="40"/>
  <c r="BC568" i="40"/>
  <c r="BC567" i="40"/>
  <c r="BC556" i="40"/>
  <c r="BC575" i="40"/>
  <c r="BC551" i="40"/>
  <c r="BC560" i="40"/>
  <c r="BC564" i="40"/>
  <c r="BC535" i="40"/>
  <c r="BC536" i="40"/>
  <c r="BC563" i="40"/>
  <c r="BC548" i="40"/>
  <c r="BC543" i="40"/>
  <c r="BC532" i="40"/>
  <c r="BC547" i="40"/>
  <c r="BC571" i="40"/>
  <c r="BC555" i="40"/>
  <c r="BC529" i="40"/>
  <c r="BC566" i="40"/>
  <c r="BC539" i="40"/>
  <c r="BC534" i="40"/>
  <c r="BC576" i="40"/>
  <c r="BC561" i="40"/>
  <c r="BC577" i="40"/>
  <c r="BC565" i="40"/>
  <c r="BC569" i="40"/>
  <c r="BC544" i="40"/>
  <c r="BC573" i="40"/>
  <c r="BC545" i="40"/>
  <c r="BC557" i="40"/>
  <c r="BC537" i="40"/>
  <c r="BC552" i="40"/>
  <c r="BC546" i="40"/>
  <c r="BC550" i="40"/>
  <c r="BC538" i="40"/>
  <c r="BC549" i="40"/>
  <c r="BC542" i="40"/>
  <c r="BC562" i="40"/>
  <c r="BC554" i="40"/>
  <c r="BC559" i="40"/>
  <c r="BC558" i="40"/>
  <c r="BC572" i="40"/>
  <c r="BC531" i="40"/>
  <c r="BC530" i="40"/>
  <c r="BC533" i="40"/>
  <c r="BC553" i="40"/>
  <c r="BC574" i="40"/>
  <c r="BC541" i="40"/>
  <c r="BC570" i="40"/>
  <c r="BC540" i="40"/>
  <c r="BT476" i="40"/>
  <c r="BL535" i="40"/>
  <c r="BL539" i="40"/>
  <c r="BL551" i="40"/>
  <c r="BL557" i="40"/>
  <c r="BL543" i="40"/>
  <c r="BL568" i="40"/>
  <c r="BL563" i="40"/>
  <c r="BL571" i="40"/>
  <c r="BL573" i="40"/>
  <c r="BL547" i="40"/>
  <c r="BL536" i="40"/>
  <c r="BL569" i="40"/>
  <c r="BL566" i="40"/>
  <c r="BL565" i="40"/>
  <c r="BL537" i="40"/>
  <c r="BL534" i="40"/>
  <c r="BL564" i="40"/>
  <c r="BL561" i="40"/>
  <c r="BL576" i="40"/>
  <c r="BL548" i="40"/>
  <c r="BL560" i="40"/>
  <c r="BL532" i="40"/>
  <c r="BL577" i="40"/>
  <c r="BL544" i="40"/>
  <c r="BL555" i="40"/>
  <c r="BL545" i="40"/>
  <c r="BL552" i="40"/>
  <c r="BL556" i="40"/>
  <c r="BL567" i="40"/>
  <c r="BL529" i="40"/>
  <c r="BL575" i="40"/>
  <c r="BL533" i="40"/>
  <c r="BL554" i="40"/>
  <c r="BL562" i="40"/>
  <c r="BL559" i="40"/>
  <c r="BL558" i="40"/>
  <c r="BL531" i="40"/>
  <c r="BL572" i="40"/>
  <c r="BL574" i="40"/>
  <c r="BL530" i="40"/>
  <c r="BL553" i="40"/>
  <c r="BL570" i="40"/>
  <c r="BL538" i="40"/>
  <c r="BL541" i="40"/>
  <c r="BL540" i="40"/>
  <c r="BL542" i="40"/>
  <c r="BL549" i="40"/>
  <c r="BL546" i="40"/>
  <c r="BL550" i="40"/>
  <c r="BT103" i="40"/>
  <c r="BT110" i="40"/>
  <c r="BU563" i="40"/>
  <c r="BU534" i="40"/>
  <c r="BU561" i="40"/>
  <c r="BU551" i="40"/>
  <c r="BU573" i="40"/>
  <c r="BU577" i="40"/>
  <c r="BU556" i="40"/>
  <c r="BU557" i="40"/>
  <c r="BU545" i="40"/>
  <c r="BU569" i="40"/>
  <c r="BU564" i="40"/>
  <c r="BU552" i="40"/>
  <c r="BU537" i="40"/>
  <c r="BU568" i="40"/>
  <c r="BU548" i="40"/>
  <c r="BU575" i="40"/>
  <c r="BU536" i="40"/>
  <c r="BU532" i="40"/>
  <c r="BU547" i="40"/>
  <c r="BU576" i="40"/>
  <c r="BU555" i="40"/>
  <c r="BU571" i="40"/>
  <c r="BU560" i="40"/>
  <c r="BU543" i="40"/>
  <c r="BU544" i="40"/>
  <c r="BU565" i="40"/>
  <c r="BU529" i="40"/>
  <c r="BU539" i="40"/>
  <c r="BU567" i="40"/>
  <c r="BU566" i="40"/>
  <c r="BU535" i="40"/>
  <c r="BU531" i="40"/>
  <c r="BU574" i="40"/>
  <c r="BU570" i="40"/>
  <c r="BU540" i="40"/>
  <c r="BU538" i="40"/>
  <c r="BU549" i="40"/>
  <c r="BU541" i="40"/>
  <c r="BU542" i="40"/>
  <c r="BU562" i="40"/>
  <c r="BU550" i="40"/>
  <c r="BU558" i="40"/>
  <c r="BU572" i="40"/>
  <c r="BU546" i="40"/>
  <c r="BU533" i="40"/>
  <c r="BU554" i="40"/>
  <c r="BU530" i="40"/>
  <c r="BU559" i="40"/>
  <c r="BU553" i="40"/>
  <c r="BT341" i="40"/>
  <c r="BT348" i="40"/>
  <c r="BT271" i="40"/>
  <c r="BB346" i="40"/>
  <c r="BB478" i="40"/>
  <c r="BT347" i="40"/>
  <c r="BT345" i="40"/>
  <c r="BT482" i="40"/>
  <c r="BT113" i="40"/>
  <c r="BT597" i="40"/>
  <c r="BB465" i="40"/>
  <c r="BT94" i="40"/>
  <c r="BT343" i="40"/>
  <c r="BB466" i="40"/>
  <c r="BL12" i="40"/>
  <c r="BL44" i="40"/>
  <c r="BL76" i="40"/>
  <c r="BL108" i="40"/>
  <c r="BL236" i="40"/>
  <c r="BL35" i="40"/>
  <c r="BL67" i="40"/>
  <c r="BL26" i="40"/>
  <c r="BL58" i="40"/>
  <c r="BL90" i="40"/>
  <c r="BL17" i="40"/>
  <c r="BL49" i="40"/>
  <c r="BL81" i="40"/>
  <c r="BL40" i="40"/>
  <c r="BL31" i="40"/>
  <c r="BL63" i="40"/>
  <c r="BL13" i="40"/>
  <c r="BL45" i="40"/>
  <c r="BL77" i="40"/>
  <c r="BL23" i="40"/>
  <c r="BL55" i="40"/>
  <c r="BL87" i="40"/>
  <c r="BL119" i="40"/>
  <c r="BL247" i="40"/>
  <c r="BL14" i="40"/>
  <c r="BL46" i="40"/>
  <c r="BL78" i="40"/>
  <c r="BL110" i="40"/>
  <c r="BL37" i="40"/>
  <c r="BL28" i="40"/>
  <c r="BL60" i="40"/>
  <c r="BL19" i="40"/>
  <c r="BL51" i="40"/>
  <c r="BL83" i="40"/>
  <c r="BL42" i="40"/>
  <c r="BL74" i="40"/>
  <c r="BL33" i="40"/>
  <c r="BL65" i="40"/>
  <c r="BL24" i="40"/>
  <c r="BL56" i="40"/>
  <c r="BL88" i="40"/>
  <c r="BL30" i="40"/>
  <c r="BL62" i="40"/>
  <c r="BL126" i="40"/>
  <c r="BL257" i="40"/>
  <c r="BL285" i="40"/>
  <c r="BL349" i="40"/>
  <c r="BL381" i="40"/>
  <c r="BL413" i="40"/>
  <c r="BL445" i="40"/>
  <c r="BL477" i="40"/>
  <c r="BL509" i="40"/>
  <c r="BL48" i="40"/>
  <c r="BL131" i="40"/>
  <c r="BL223" i="40"/>
  <c r="BL262" i="40"/>
  <c r="BL276" i="40"/>
  <c r="BL340" i="40"/>
  <c r="BL372" i="40"/>
  <c r="BL404" i="40"/>
  <c r="BL436" i="40"/>
  <c r="BL468" i="40"/>
  <c r="BL57" i="40"/>
  <c r="BL228" i="40"/>
  <c r="BL267" i="40"/>
  <c r="BL331" i="40"/>
  <c r="BL363" i="40"/>
  <c r="BL395" i="40"/>
  <c r="BL427" i="40"/>
  <c r="BL459" i="40"/>
  <c r="BL523" i="40"/>
  <c r="BL32" i="40"/>
  <c r="BL66" i="40"/>
  <c r="BL80" i="40"/>
  <c r="BL105" i="40"/>
  <c r="BL233" i="40"/>
  <c r="BL238" i="40"/>
  <c r="BL290" i="40"/>
  <c r="BL354" i="40"/>
  <c r="BL386" i="40"/>
  <c r="BL418" i="40"/>
  <c r="BL450" i="40"/>
  <c r="BL482" i="40"/>
  <c r="BL514" i="40"/>
  <c r="BL16" i="40"/>
  <c r="BL41" i="40"/>
  <c r="BL100" i="40"/>
  <c r="BL243" i="40"/>
  <c r="BL281" i="40"/>
  <c r="BL313" i="40"/>
  <c r="BL377" i="40"/>
  <c r="BL409" i="40"/>
  <c r="BL441" i="40"/>
  <c r="BL473" i="40"/>
  <c r="BL121" i="40"/>
  <c r="BL95" i="40"/>
  <c r="BL116" i="40"/>
  <c r="BL253" i="40"/>
  <c r="BL295" i="40"/>
  <c r="BL327" i="40"/>
  <c r="BL359" i="40"/>
  <c r="BL391" i="40"/>
  <c r="BL455" i="40"/>
  <c r="BL25" i="40"/>
  <c r="BL50" i="40"/>
  <c r="BL111" i="40"/>
  <c r="BL219" i="40"/>
  <c r="BL59" i="40"/>
  <c r="BL73" i="40"/>
  <c r="BL106" i="40"/>
  <c r="BL132" i="40"/>
  <c r="BL224" i="40"/>
  <c r="BL229" i="40"/>
  <c r="BL68" i="40"/>
  <c r="BL89" i="40"/>
  <c r="BL101" i="40"/>
  <c r="BL127" i="40"/>
  <c r="BL82" i="40"/>
  <c r="BL18" i="40"/>
  <c r="BL117" i="40"/>
  <c r="BL43" i="40"/>
  <c r="BL96" i="40"/>
  <c r="BL133" i="40"/>
  <c r="BL220" i="40"/>
  <c r="BL254" i="40"/>
  <c r="BL259" i="40"/>
  <c r="BL296" i="40"/>
  <c r="BL328" i="40"/>
  <c r="BL360" i="40"/>
  <c r="BL392" i="40"/>
  <c r="BL456" i="40"/>
  <c r="BL27" i="40"/>
  <c r="BL52" i="40"/>
  <c r="BL69" i="40"/>
  <c r="BL112" i="40"/>
  <c r="BL225" i="40"/>
  <c r="BL264" i="40"/>
  <c r="BL287" i="40"/>
  <c r="BL351" i="40"/>
  <c r="BL383" i="40"/>
  <c r="BL415" i="40"/>
  <c r="BL447" i="40"/>
  <c r="BL479" i="40"/>
  <c r="BL61" i="40"/>
  <c r="BL75" i="40"/>
  <c r="BL107" i="40"/>
  <c r="BL230" i="40"/>
  <c r="BL278" i="40"/>
  <c r="BL374" i="40"/>
  <c r="BL406" i="40"/>
  <c r="BL438" i="40"/>
  <c r="BL470" i="40"/>
  <c r="BL128" i="40"/>
  <c r="BL235" i="40"/>
  <c r="BL269" i="40"/>
  <c r="BL333" i="40"/>
  <c r="BL365" i="40"/>
  <c r="BL397" i="40"/>
  <c r="BL429" i="40"/>
  <c r="BL461" i="40"/>
  <c r="BL525" i="40"/>
  <c r="BL36" i="40"/>
  <c r="BL84" i="40"/>
  <c r="BL97" i="40"/>
  <c r="BL123" i="40"/>
  <c r="BL91" i="40"/>
  <c r="BL118" i="40"/>
  <c r="BL245" i="40"/>
  <c r="BL250" i="40"/>
  <c r="BL283" i="40"/>
  <c r="BL315" i="40"/>
  <c r="BL347" i="40"/>
  <c r="BL379" i="40"/>
  <c r="BL411" i="40"/>
  <c r="BL443" i="40"/>
  <c r="BL475" i="40"/>
  <c r="BL507" i="40"/>
  <c r="BL603" i="40"/>
  <c r="BL255" i="40"/>
  <c r="BL274" i="40"/>
  <c r="BL338" i="40"/>
  <c r="BL370" i="40"/>
  <c r="BL402" i="40"/>
  <c r="BL434" i="40"/>
  <c r="BL29" i="40"/>
  <c r="BL53" i="40"/>
  <c r="BL134" i="40"/>
  <c r="BL221" i="40"/>
  <c r="BL260" i="40"/>
  <c r="BL297" i="40"/>
  <c r="BL329" i="40"/>
  <c r="BL361" i="40"/>
  <c r="BL393" i="40"/>
  <c r="BL54" i="40"/>
  <c r="BL129" i="40"/>
  <c r="BL226" i="40"/>
  <c r="BL124" i="40"/>
  <c r="BL38" i="40"/>
  <c r="BL85" i="40"/>
  <c r="BL92" i="40"/>
  <c r="BL103" i="40"/>
  <c r="BL98" i="40"/>
  <c r="BL86" i="40"/>
  <c r="BL21" i="40"/>
  <c r="BL47" i="40"/>
  <c r="BL64" i="40"/>
  <c r="BL79" i="40"/>
  <c r="BL104" i="40"/>
  <c r="BL130" i="40"/>
  <c r="BL232" i="40"/>
  <c r="BL15" i="40"/>
  <c r="BL125" i="40"/>
  <c r="BL237" i="40"/>
  <c r="BL280" i="40"/>
  <c r="BL376" i="40"/>
  <c r="BL408" i="40"/>
  <c r="BL440" i="40"/>
  <c r="BL472" i="40"/>
  <c r="BL120" i="40"/>
  <c r="BL275" i="40"/>
  <c r="BL291" i="40"/>
  <c r="BL339" i="40"/>
  <c r="BL314" i="40"/>
  <c r="BL380" i="40"/>
  <c r="BL439" i="40"/>
  <c r="BL646" i="40"/>
  <c r="BL356" i="40"/>
  <c r="BL364" i="40"/>
  <c r="BL503" i="40"/>
  <c r="BL600" i="40"/>
  <c r="BL669" i="40"/>
  <c r="BL284" i="40"/>
  <c r="BL292" i="40"/>
  <c r="BL332" i="40"/>
  <c r="BL348" i="40"/>
  <c r="BL412" i="40"/>
  <c r="BL471" i="40"/>
  <c r="BL526" i="40"/>
  <c r="BL605" i="40"/>
  <c r="BL660" i="40"/>
  <c r="BL231" i="40"/>
  <c r="BL268" i="40"/>
  <c r="BL396" i="40"/>
  <c r="BL431" i="40"/>
  <c r="BL448" i="40"/>
  <c r="BL463" i="40"/>
  <c r="BL515" i="40"/>
  <c r="BL651" i="40"/>
  <c r="BL242" i="40"/>
  <c r="BL251" i="40"/>
  <c r="BL373" i="40"/>
  <c r="BL389" i="40"/>
  <c r="BL521" i="40"/>
  <c r="BL610" i="40"/>
  <c r="BL642" i="40"/>
  <c r="BL39" i="40"/>
  <c r="BL309" i="40"/>
  <c r="BL357" i="40"/>
  <c r="BL432" i="40"/>
  <c r="BL464" i="40"/>
  <c r="BL665" i="40"/>
  <c r="BL277" i="40"/>
  <c r="BL325" i="40"/>
  <c r="BL405" i="40"/>
  <c r="BL582" i="40"/>
  <c r="BL656" i="40"/>
  <c r="BL293" i="40"/>
  <c r="BL382" i="40"/>
  <c r="BL457" i="40"/>
  <c r="BL480" i="40"/>
  <c r="BL510" i="40"/>
  <c r="BL601" i="40"/>
  <c r="BL647" i="40"/>
  <c r="BL366" i="40"/>
  <c r="BL504" i="40"/>
  <c r="BL606" i="40"/>
  <c r="BL252" i="40"/>
  <c r="BL261" i="40"/>
  <c r="BL300" i="40"/>
  <c r="BL316" i="40"/>
  <c r="BL334" i="40"/>
  <c r="BL350" i="40"/>
  <c r="BL414" i="40"/>
  <c r="BL516" i="40"/>
  <c r="BL527" i="40"/>
  <c r="BL661" i="40"/>
  <c r="BL270" i="40"/>
  <c r="BL286" i="40"/>
  <c r="BL390" i="40"/>
  <c r="BL398" i="40"/>
  <c r="BL449" i="40"/>
  <c r="BL652" i="40"/>
  <c r="BL234" i="40"/>
  <c r="BL244" i="40"/>
  <c r="BL358" i="40"/>
  <c r="BL375" i="40"/>
  <c r="BL433" i="40"/>
  <c r="BL505" i="40"/>
  <c r="BL522" i="40"/>
  <c r="BL611" i="40"/>
  <c r="BL643" i="40"/>
  <c r="BL326" i="40"/>
  <c r="BL583" i="40"/>
  <c r="BL666" i="40"/>
  <c r="BL279" i="40"/>
  <c r="BL294" i="40"/>
  <c r="BL407" i="40"/>
  <c r="BL657" i="40"/>
  <c r="BL367" i="40"/>
  <c r="BL384" i="40"/>
  <c r="BL442" i="40"/>
  <c r="BL458" i="40"/>
  <c r="BL481" i="40"/>
  <c r="BL511" i="40"/>
  <c r="BL517" i="40"/>
  <c r="BL602" i="40"/>
  <c r="BL648" i="40"/>
  <c r="BL335" i="40"/>
  <c r="BL426" i="40"/>
  <c r="BL607" i="40"/>
  <c r="BL639" i="40"/>
  <c r="BL22" i="40"/>
  <c r="BL263" i="40"/>
  <c r="BL271" i="40"/>
  <c r="BL311" i="40"/>
  <c r="BL352" i="40"/>
  <c r="BL368" i="40"/>
  <c r="BL399" i="40"/>
  <c r="BL416" i="40"/>
  <c r="BL474" i="40"/>
  <c r="BL662" i="40"/>
  <c r="BL246" i="40"/>
  <c r="BL288" i="40"/>
  <c r="BL451" i="40"/>
  <c r="BL653" i="40"/>
  <c r="BL272" i="40"/>
  <c r="BL336" i="40"/>
  <c r="BL400" i="40"/>
  <c r="BL435" i="40"/>
  <c r="BL506" i="40"/>
  <c r="BL512" i="40"/>
  <c r="BL644" i="40"/>
  <c r="BL222" i="40"/>
  <c r="BL452" i="40"/>
  <c r="BL658" i="40"/>
  <c r="BL385" i="40"/>
  <c r="BL444" i="40"/>
  <c r="BL460" i="40"/>
  <c r="BL518" i="40"/>
  <c r="BL649" i="40"/>
  <c r="BL265" i="40"/>
  <c r="BL369" i="40"/>
  <c r="BL428" i="40"/>
  <c r="BL524" i="40"/>
  <c r="BL608" i="40"/>
  <c r="BL640" i="40"/>
  <c r="BL256" i="40"/>
  <c r="BL353" i="40"/>
  <c r="BL417" i="40"/>
  <c r="BL663" i="40"/>
  <c r="BL109" i="40"/>
  <c r="BL248" i="40"/>
  <c r="BL273" i="40"/>
  <c r="BL289" i="40"/>
  <c r="BL337" i="40"/>
  <c r="BL401" i="40"/>
  <c r="BL453" i="40"/>
  <c r="BL476" i="40"/>
  <c r="BL519" i="40"/>
  <c r="BL654" i="40"/>
  <c r="BL239" i="40"/>
  <c r="BL378" i="40"/>
  <c r="BL437" i="40"/>
  <c r="BL513" i="40"/>
  <c r="BL580" i="40"/>
  <c r="BL645" i="40"/>
  <c r="BL362" i="40"/>
  <c r="BL469" i="40"/>
  <c r="BL599" i="40"/>
  <c r="BL668" i="40"/>
  <c r="BL227" i="40"/>
  <c r="BL240" i="40"/>
  <c r="BL282" i="40"/>
  <c r="BL330" i="40"/>
  <c r="BL394" i="40"/>
  <c r="BL410" i="40"/>
  <c r="BL604" i="40"/>
  <c r="BL659" i="40"/>
  <c r="BL266" i="40"/>
  <c r="BL387" i="40"/>
  <c r="BL446" i="40"/>
  <c r="BL650" i="40"/>
  <c r="BL115" i="40"/>
  <c r="BL258" i="40"/>
  <c r="BL371" i="40"/>
  <c r="BL430" i="40"/>
  <c r="BL462" i="40"/>
  <c r="BL508" i="40"/>
  <c r="BL609" i="40"/>
  <c r="BL641" i="40"/>
  <c r="BL388" i="40"/>
  <c r="BL664" i="40"/>
  <c r="BL667" i="40"/>
  <c r="BL454" i="40"/>
  <c r="BL520" i="40"/>
  <c r="BL403" i="40"/>
  <c r="BL467" i="40"/>
  <c r="BL241" i="40"/>
  <c r="BL419" i="40"/>
  <c r="BL249" i="40"/>
  <c r="BL478" i="40"/>
  <c r="BL581" i="40"/>
  <c r="BL355" i="40"/>
  <c r="BL584" i="40"/>
  <c r="BL655" i="40"/>
  <c r="BL528" i="40"/>
  <c r="BT88" i="40"/>
  <c r="BB344" i="40"/>
  <c r="BB102" i="40"/>
  <c r="BK348" i="40"/>
  <c r="BK113" i="40"/>
  <c r="BB114" i="40"/>
  <c r="BK465" i="40"/>
  <c r="BB482" i="40"/>
  <c r="BB476" i="40"/>
  <c r="BK346" i="40"/>
  <c r="BB94" i="40"/>
  <c r="BK598" i="40"/>
  <c r="BB110" i="40"/>
  <c r="BK93" i="40"/>
  <c r="BK94" i="40"/>
  <c r="BT466" i="40"/>
  <c r="BT87" i="40"/>
  <c r="BK116" i="40"/>
  <c r="BK88" i="40"/>
  <c r="BB348" i="40"/>
  <c r="BB95" i="40"/>
  <c r="BB103" i="40"/>
  <c r="BK341" i="40"/>
  <c r="BK99" i="40"/>
  <c r="BB343" i="40"/>
  <c r="BB342" i="40"/>
  <c r="BB88" i="40"/>
  <c r="BK87" i="40"/>
  <c r="BB87" i="40"/>
  <c r="BK123" i="40"/>
  <c r="BT96" i="40"/>
  <c r="BK344" i="40"/>
  <c r="BK96" i="40"/>
  <c r="BK272" i="40"/>
  <c r="BT465" i="40"/>
  <c r="BB597" i="40"/>
  <c r="BK347" i="40"/>
  <c r="BT99" i="40"/>
  <c r="BT116" i="40"/>
  <c r="BB347" i="40"/>
  <c r="BB272" i="40"/>
  <c r="BB113" i="40"/>
  <c r="BK271" i="40"/>
  <c r="BB96" i="40"/>
  <c r="BK122" i="40"/>
  <c r="BB341" i="40"/>
  <c r="BB596" i="40"/>
  <c r="BB123" i="40"/>
  <c r="BK476" i="40"/>
  <c r="BK110" i="40"/>
  <c r="BB122" i="40"/>
  <c r="BK597" i="40"/>
  <c r="BK345" i="40"/>
  <c r="BK102" i="40"/>
  <c r="BT598" i="40"/>
  <c r="BB271" i="40"/>
  <c r="BB115" i="40"/>
  <c r="BB446" i="40"/>
  <c r="BB116" i="40"/>
  <c r="BK115" i="40"/>
  <c r="BK343" i="40"/>
  <c r="BK114" i="40"/>
  <c r="BK466" i="40"/>
  <c r="BT114" i="40"/>
  <c r="BT344" i="40"/>
  <c r="BB345" i="40"/>
  <c r="BK342" i="40"/>
  <c r="BT93" i="40"/>
  <c r="BB99" i="40"/>
  <c r="BK478" i="40"/>
  <c r="BK95" i="40"/>
  <c r="BT446" i="40"/>
  <c r="BB93" i="40"/>
  <c r="BK596" i="40"/>
  <c r="BK446" i="40"/>
  <c r="BC41" i="40"/>
  <c r="BC73" i="40"/>
  <c r="BC105" i="40"/>
  <c r="BC233" i="40"/>
  <c r="BC265" i="40"/>
  <c r="BC32" i="40"/>
  <c r="BC64" i="40"/>
  <c r="BC96" i="40"/>
  <c r="BC128" i="40"/>
  <c r="BC23" i="40"/>
  <c r="BC55" i="40"/>
  <c r="BC87" i="40"/>
  <c r="BC119" i="40"/>
  <c r="BC247" i="40"/>
  <c r="BC14" i="40"/>
  <c r="BC46" i="40"/>
  <c r="BC78" i="40"/>
  <c r="BC110" i="40"/>
  <c r="BC37" i="40"/>
  <c r="BC69" i="40"/>
  <c r="BC101" i="40"/>
  <c r="BC133" i="40"/>
  <c r="BC229" i="40"/>
  <c r="BC261" i="40"/>
  <c r="BC28" i="40"/>
  <c r="BC60" i="40"/>
  <c r="BC92" i="40"/>
  <c r="BC124" i="40"/>
  <c r="BC220" i="40"/>
  <c r="BC252" i="40"/>
  <c r="BC19" i="40"/>
  <c r="BC51" i="40"/>
  <c r="BC83" i="40"/>
  <c r="BC115" i="40"/>
  <c r="BC42" i="40"/>
  <c r="BC74" i="40"/>
  <c r="BC106" i="40"/>
  <c r="BC234" i="40"/>
  <c r="BC33" i="40"/>
  <c r="BC65" i="40"/>
  <c r="BC97" i="40"/>
  <c r="BC129" i="40"/>
  <c r="BC225" i="40"/>
  <c r="BC257" i="40"/>
  <c r="BC24" i="40"/>
  <c r="BC56" i="40"/>
  <c r="BC88" i="40"/>
  <c r="BC120" i="40"/>
  <c r="BC248" i="40"/>
  <c r="BC15" i="40"/>
  <c r="BC47" i="40"/>
  <c r="BC79" i="40"/>
  <c r="BC111" i="40"/>
  <c r="BC38" i="40"/>
  <c r="BC134" i="40"/>
  <c r="BC29" i="40"/>
  <c r="BC61" i="40"/>
  <c r="BC125" i="40"/>
  <c r="BC52" i="40"/>
  <c r="BC84" i="40"/>
  <c r="BC116" i="40"/>
  <c r="BC43" i="40"/>
  <c r="BC75" i="40"/>
  <c r="BC107" i="40"/>
  <c r="BC66" i="40"/>
  <c r="BC98" i="40"/>
  <c r="BC130" i="40"/>
  <c r="BC226" i="40"/>
  <c r="BC258" i="40"/>
  <c r="BC25" i="40"/>
  <c r="BC57" i="40"/>
  <c r="BC89" i="40"/>
  <c r="BC121" i="40"/>
  <c r="BC16" i="40"/>
  <c r="BC48" i="40"/>
  <c r="BC80" i="40"/>
  <c r="BC112" i="40"/>
  <c r="BC39" i="40"/>
  <c r="BC103" i="40"/>
  <c r="BC21" i="40"/>
  <c r="BC53" i="40"/>
  <c r="BC85" i="40"/>
  <c r="BC117" i="40"/>
  <c r="BC245" i="40"/>
  <c r="BC12" i="40"/>
  <c r="BC44" i="40"/>
  <c r="BC76" i="40"/>
  <c r="BC108" i="40"/>
  <c r="BC236" i="40"/>
  <c r="BC35" i="40"/>
  <c r="BC67" i="40"/>
  <c r="BC131" i="40"/>
  <c r="BC227" i="40"/>
  <c r="BC259" i="40"/>
  <c r="BC26" i="40"/>
  <c r="BC58" i="40"/>
  <c r="BC90" i="40"/>
  <c r="BC250" i="40"/>
  <c r="BC17" i="40"/>
  <c r="BC49" i="40"/>
  <c r="BC81" i="40"/>
  <c r="BC241" i="40"/>
  <c r="BC40" i="40"/>
  <c r="BC104" i="40"/>
  <c r="BC232" i="40"/>
  <c r="BC264" i="40"/>
  <c r="BC31" i="40"/>
  <c r="BC63" i="40"/>
  <c r="BC95" i="40"/>
  <c r="BC127" i="40"/>
  <c r="BC22" i="40"/>
  <c r="BC54" i="40"/>
  <c r="BC86" i="40"/>
  <c r="BC118" i="40"/>
  <c r="BC13" i="40"/>
  <c r="BC45" i="40"/>
  <c r="BC77" i="40"/>
  <c r="BC109" i="40"/>
  <c r="BC237" i="40"/>
  <c r="BC36" i="40"/>
  <c r="BC68" i="40"/>
  <c r="BC100" i="40"/>
  <c r="BC132" i="40"/>
  <c r="BC240" i="40"/>
  <c r="BC270" i="40"/>
  <c r="BC334" i="40"/>
  <c r="BC366" i="40"/>
  <c r="BC398" i="40"/>
  <c r="BC430" i="40"/>
  <c r="BC462" i="40"/>
  <c r="BC526" i="40"/>
  <c r="BC654" i="40"/>
  <c r="BC249" i="40"/>
  <c r="BC293" i="40"/>
  <c r="BC325" i="40"/>
  <c r="BC357" i="40"/>
  <c r="BC389" i="40"/>
  <c r="BC453" i="40"/>
  <c r="BC517" i="40"/>
  <c r="BC581" i="40"/>
  <c r="BC645" i="40"/>
  <c r="BC311" i="40"/>
  <c r="BC284" i="40"/>
  <c r="BC316" i="40"/>
  <c r="BC348" i="40"/>
  <c r="BC380" i="40"/>
  <c r="BC412" i="40"/>
  <c r="BC444" i="40"/>
  <c r="BC476" i="40"/>
  <c r="BC508" i="40"/>
  <c r="BC604" i="40"/>
  <c r="BC668" i="40"/>
  <c r="BC91" i="40"/>
  <c r="BC275" i="40"/>
  <c r="BC339" i="40"/>
  <c r="BC371" i="40"/>
  <c r="BC403" i="40"/>
  <c r="BC435" i="40"/>
  <c r="BC467" i="40"/>
  <c r="BC659" i="40"/>
  <c r="BC18" i="40"/>
  <c r="BC224" i="40"/>
  <c r="BC266" i="40"/>
  <c r="BC330" i="40"/>
  <c r="BC362" i="40"/>
  <c r="BC394" i="40"/>
  <c r="BC426" i="40"/>
  <c r="BC458" i="40"/>
  <c r="BC522" i="40"/>
  <c r="BC650" i="40"/>
  <c r="BC289" i="40"/>
  <c r="BC353" i="40"/>
  <c r="BC385" i="40"/>
  <c r="BC417" i="40"/>
  <c r="BC449" i="40"/>
  <c r="BC481" i="40"/>
  <c r="BC513" i="40"/>
  <c r="BC609" i="40"/>
  <c r="BC641" i="40"/>
  <c r="BC231" i="40"/>
  <c r="BC375" i="40"/>
  <c r="BC599" i="40"/>
  <c r="BC280" i="40"/>
  <c r="BC376" i="40"/>
  <c r="BC408" i="40"/>
  <c r="BC440" i="40"/>
  <c r="BC472" i="40"/>
  <c r="BC504" i="40"/>
  <c r="BC600" i="40"/>
  <c r="BC664" i="40"/>
  <c r="BC242" i="40"/>
  <c r="BC271" i="40"/>
  <c r="BC335" i="40"/>
  <c r="BC367" i="40"/>
  <c r="BC399" i="40"/>
  <c r="BC431" i="40"/>
  <c r="BC463" i="40"/>
  <c r="BC527" i="40"/>
  <c r="BC655" i="40"/>
  <c r="BC439" i="40"/>
  <c r="BC251" i="40"/>
  <c r="BC294" i="40"/>
  <c r="BC326" i="40"/>
  <c r="BC358" i="40"/>
  <c r="BC390" i="40"/>
  <c r="BC454" i="40"/>
  <c r="BC518" i="40"/>
  <c r="BC582" i="40"/>
  <c r="BC646" i="40"/>
  <c r="BC471" i="40"/>
  <c r="BC260" i="40"/>
  <c r="BC285" i="40"/>
  <c r="BC349" i="40"/>
  <c r="BC381" i="40"/>
  <c r="BC413" i="40"/>
  <c r="BC445" i="40"/>
  <c r="BC477" i="40"/>
  <c r="BC509" i="40"/>
  <c r="BC605" i="40"/>
  <c r="BC669" i="40"/>
  <c r="BC243" i="40"/>
  <c r="BC276" i="40"/>
  <c r="BC340" i="40"/>
  <c r="BC372" i="40"/>
  <c r="BC404" i="40"/>
  <c r="BC436" i="40"/>
  <c r="BC468" i="40"/>
  <c r="BC660" i="40"/>
  <c r="BC279" i="40"/>
  <c r="BC267" i="40"/>
  <c r="BC331" i="40"/>
  <c r="BC363" i="40"/>
  <c r="BC395" i="40"/>
  <c r="BC427" i="40"/>
  <c r="BC459" i="40"/>
  <c r="BC523" i="40"/>
  <c r="BC651" i="40"/>
  <c r="BC290" i="40"/>
  <c r="BC354" i="40"/>
  <c r="BC386" i="40"/>
  <c r="BC418" i="40"/>
  <c r="BC450" i="40"/>
  <c r="BC482" i="40"/>
  <c r="BC514" i="40"/>
  <c r="BC610" i="40"/>
  <c r="BC642" i="40"/>
  <c r="BC235" i="40"/>
  <c r="BC281" i="40"/>
  <c r="BC313" i="40"/>
  <c r="BC377" i="40"/>
  <c r="BC409" i="40"/>
  <c r="BC441" i="40"/>
  <c r="BC473" i="40"/>
  <c r="BC505" i="40"/>
  <c r="BC601" i="40"/>
  <c r="BC665" i="40"/>
  <c r="BC244" i="40"/>
  <c r="BC272" i="40"/>
  <c r="BC336" i="40"/>
  <c r="BC368" i="40"/>
  <c r="BC400" i="40"/>
  <c r="BC432" i="40"/>
  <c r="BC464" i="40"/>
  <c r="BC656" i="40"/>
  <c r="BC219" i="40"/>
  <c r="BC253" i="40"/>
  <c r="BC295" i="40"/>
  <c r="BC327" i="40"/>
  <c r="BC359" i="40"/>
  <c r="BC391" i="40"/>
  <c r="BC455" i="40"/>
  <c r="BC519" i="40"/>
  <c r="BC583" i="40"/>
  <c r="BC647" i="40"/>
  <c r="BC663" i="40"/>
  <c r="BC262" i="40"/>
  <c r="BC286" i="40"/>
  <c r="BC350" i="40"/>
  <c r="BC382" i="40"/>
  <c r="BC414" i="40"/>
  <c r="BC446" i="40"/>
  <c r="BC478" i="40"/>
  <c r="BC510" i="40"/>
  <c r="BC606" i="40"/>
  <c r="BC277" i="40"/>
  <c r="BC309" i="40"/>
  <c r="BC373" i="40"/>
  <c r="BC405" i="40"/>
  <c r="BC437" i="40"/>
  <c r="BC469" i="40"/>
  <c r="BC661" i="40"/>
  <c r="BC407" i="40"/>
  <c r="BC503" i="40"/>
  <c r="BC228" i="40"/>
  <c r="BC268" i="40"/>
  <c r="BC300" i="40"/>
  <c r="BC332" i="40"/>
  <c r="BC364" i="40"/>
  <c r="BC396" i="40"/>
  <c r="BC428" i="40"/>
  <c r="BC460" i="40"/>
  <c r="BC524" i="40"/>
  <c r="BC652" i="40"/>
  <c r="BC291" i="40"/>
  <c r="BC355" i="40"/>
  <c r="BC387" i="40"/>
  <c r="BC419" i="40"/>
  <c r="BC451" i="40"/>
  <c r="BC515" i="40"/>
  <c r="BC611" i="40"/>
  <c r="BC643" i="40"/>
  <c r="BC27" i="40"/>
  <c r="BC282" i="40"/>
  <c r="BC314" i="40"/>
  <c r="BC378" i="40"/>
  <c r="BC410" i="40"/>
  <c r="BC442" i="40"/>
  <c r="BC474" i="40"/>
  <c r="BC506" i="40"/>
  <c r="BC602" i="40"/>
  <c r="BC666" i="40"/>
  <c r="BC50" i="40"/>
  <c r="BC246" i="40"/>
  <c r="BC254" i="40"/>
  <c r="BC273" i="40"/>
  <c r="BC337" i="40"/>
  <c r="BC369" i="40"/>
  <c r="BC401" i="40"/>
  <c r="BC433" i="40"/>
  <c r="BC657" i="40"/>
  <c r="BC30" i="40"/>
  <c r="BC255" i="40"/>
  <c r="BC263" i="40"/>
  <c r="BC296" i="40"/>
  <c r="BC328" i="40"/>
  <c r="BC360" i="40"/>
  <c r="BC392" i="40"/>
  <c r="BC456" i="40"/>
  <c r="BC520" i="40"/>
  <c r="BC584" i="40"/>
  <c r="BC648" i="40"/>
  <c r="BC221" i="40"/>
  <c r="BC287" i="40"/>
  <c r="BC351" i="40"/>
  <c r="BC383" i="40"/>
  <c r="BC415" i="40"/>
  <c r="BC447" i="40"/>
  <c r="BC479" i="40"/>
  <c r="BC511" i="40"/>
  <c r="BC607" i="40"/>
  <c r="BC639" i="40"/>
  <c r="BC123" i="40"/>
  <c r="BC238" i="40"/>
  <c r="BC278" i="40"/>
  <c r="BC374" i="40"/>
  <c r="BC406" i="40"/>
  <c r="BC438" i="40"/>
  <c r="BC470" i="40"/>
  <c r="BC662" i="40"/>
  <c r="BC230" i="40"/>
  <c r="BC269" i="40"/>
  <c r="BC333" i="40"/>
  <c r="BC365" i="40"/>
  <c r="BC397" i="40"/>
  <c r="BC429" i="40"/>
  <c r="BC461" i="40"/>
  <c r="BC525" i="40"/>
  <c r="BC653" i="40"/>
  <c r="BC59" i="40"/>
  <c r="BC126" i="40"/>
  <c r="BC239" i="40"/>
  <c r="BC292" i="40"/>
  <c r="BC356" i="40"/>
  <c r="BC388" i="40"/>
  <c r="BC452" i="40"/>
  <c r="BC516" i="40"/>
  <c r="BC580" i="40"/>
  <c r="BC644" i="40"/>
  <c r="BC256" i="40"/>
  <c r="BC283" i="40"/>
  <c r="BC315" i="40"/>
  <c r="BC347" i="40"/>
  <c r="BC379" i="40"/>
  <c r="BC411" i="40"/>
  <c r="BC443" i="40"/>
  <c r="BC475" i="40"/>
  <c r="BC507" i="40"/>
  <c r="BC603" i="40"/>
  <c r="BC667" i="40"/>
  <c r="BC62" i="40"/>
  <c r="BC274" i="40"/>
  <c r="BC338" i="40"/>
  <c r="BC370" i="40"/>
  <c r="BC402" i="40"/>
  <c r="BC434" i="40"/>
  <c r="BC658" i="40"/>
  <c r="BC222" i="40"/>
  <c r="BC297" i="40"/>
  <c r="BC329" i="40"/>
  <c r="BC361" i="40"/>
  <c r="BC393" i="40"/>
  <c r="BC457" i="40"/>
  <c r="BC521" i="40"/>
  <c r="BC649" i="40"/>
  <c r="BC82" i="40"/>
  <c r="BC223" i="40"/>
  <c r="BC288" i="40"/>
  <c r="BC352" i="40"/>
  <c r="BC384" i="40"/>
  <c r="BC416" i="40"/>
  <c r="BC448" i="40"/>
  <c r="BC480" i="40"/>
  <c r="BC512" i="40"/>
  <c r="BC608" i="40"/>
  <c r="BC640" i="40"/>
  <c r="BC528" i="40"/>
  <c r="BU33" i="40"/>
  <c r="BU65" i="40"/>
  <c r="BU97" i="40"/>
  <c r="BU129" i="40"/>
  <c r="BU225" i="40"/>
  <c r="BU257" i="40"/>
  <c r="BU289" i="40"/>
  <c r="BU353" i="40"/>
  <c r="BU385" i="40"/>
  <c r="BU417" i="40"/>
  <c r="BU449" i="40"/>
  <c r="BU481" i="40"/>
  <c r="BU513" i="40"/>
  <c r="BU24" i="40"/>
  <c r="BU56" i="40"/>
  <c r="BU88" i="40"/>
  <c r="BU120" i="40"/>
  <c r="BU248" i="40"/>
  <c r="BU280" i="40"/>
  <c r="BU376" i="40"/>
  <c r="BU408" i="40"/>
  <c r="BU440" i="40"/>
  <c r="BU472" i="40"/>
  <c r="BU504" i="40"/>
  <c r="BU15" i="40"/>
  <c r="BU47" i="40"/>
  <c r="BU79" i="40"/>
  <c r="BU111" i="40"/>
  <c r="BU239" i="40"/>
  <c r="BU271" i="40"/>
  <c r="BU335" i="40"/>
  <c r="BU367" i="40"/>
  <c r="BU399" i="40"/>
  <c r="BU431" i="40"/>
  <c r="BU463" i="40"/>
  <c r="BU38" i="40"/>
  <c r="BU134" i="40"/>
  <c r="BU230" i="40"/>
  <c r="BU262" i="40"/>
  <c r="BU294" i="40"/>
  <c r="BU326" i="40"/>
  <c r="BU358" i="40"/>
  <c r="BU390" i="40"/>
  <c r="BU454" i="40"/>
  <c r="BU518" i="40"/>
  <c r="BU29" i="40"/>
  <c r="BU61" i="40"/>
  <c r="BU125" i="40"/>
  <c r="BU221" i="40"/>
  <c r="BU253" i="40"/>
  <c r="BU285" i="40"/>
  <c r="BU349" i="40"/>
  <c r="BU381" i="40"/>
  <c r="BU413" i="40"/>
  <c r="BU445" i="40"/>
  <c r="BU477" i="40"/>
  <c r="BU509" i="40"/>
  <c r="BU52" i="40"/>
  <c r="BU84" i="40"/>
  <c r="BU116" i="40"/>
  <c r="BU244" i="40"/>
  <c r="BU276" i="40"/>
  <c r="BU340" i="40"/>
  <c r="BU372" i="40"/>
  <c r="BU404" i="40"/>
  <c r="BU436" i="40"/>
  <c r="BU468" i="40"/>
  <c r="BU43" i="40"/>
  <c r="BU66" i="40"/>
  <c r="BU25" i="40"/>
  <c r="BU57" i="40"/>
  <c r="BU16" i="40"/>
  <c r="BU48" i="40"/>
  <c r="BU39" i="40"/>
  <c r="BU30" i="40"/>
  <c r="BU21" i="40"/>
  <c r="BU53" i="40"/>
  <c r="BU12" i="40"/>
  <c r="BU44" i="40"/>
  <c r="BU76" i="40"/>
  <c r="BU108" i="40"/>
  <c r="BU236" i="40"/>
  <c r="BU268" i="40"/>
  <c r="BU300" i="40"/>
  <c r="BU332" i="40"/>
  <c r="BU364" i="40"/>
  <c r="BU396" i="40"/>
  <c r="BU428" i="40"/>
  <c r="BU460" i="40"/>
  <c r="BU524" i="40"/>
  <c r="BU35" i="40"/>
  <c r="BU67" i="40"/>
  <c r="BU131" i="40"/>
  <c r="BU227" i="40"/>
  <c r="BU259" i="40"/>
  <c r="BU291" i="40"/>
  <c r="BU355" i="40"/>
  <c r="BU387" i="40"/>
  <c r="BU419" i="40"/>
  <c r="BU451" i="40"/>
  <c r="BU515" i="40"/>
  <c r="BU26" i="40"/>
  <c r="BU58" i="40"/>
  <c r="BU90" i="40"/>
  <c r="BU250" i="40"/>
  <c r="BU282" i="40"/>
  <c r="BU314" i="40"/>
  <c r="BU378" i="40"/>
  <c r="BU410" i="40"/>
  <c r="BU442" i="40"/>
  <c r="BU474" i="40"/>
  <c r="BU506" i="40"/>
  <c r="BU17" i="40"/>
  <c r="BU49" i="40"/>
  <c r="BU81" i="40"/>
  <c r="BU241" i="40"/>
  <c r="BU273" i="40"/>
  <c r="BU337" i="40"/>
  <c r="BU369" i="40"/>
  <c r="BU401" i="40"/>
  <c r="BU433" i="40"/>
  <c r="BU40" i="40"/>
  <c r="BU104" i="40"/>
  <c r="BU232" i="40"/>
  <c r="BU264" i="40"/>
  <c r="BU296" i="40"/>
  <c r="BU328" i="40"/>
  <c r="BU360" i="40"/>
  <c r="BU392" i="40"/>
  <c r="BU456" i="40"/>
  <c r="BU520" i="40"/>
  <c r="BU31" i="40"/>
  <c r="BU63" i="40"/>
  <c r="BU95" i="40"/>
  <c r="BU127" i="40"/>
  <c r="BU223" i="40"/>
  <c r="BU255" i="40"/>
  <c r="BU287" i="40"/>
  <c r="BU351" i="40"/>
  <c r="BU383" i="40"/>
  <c r="BU415" i="40"/>
  <c r="BU447" i="40"/>
  <c r="BU479" i="40"/>
  <c r="BU511" i="40"/>
  <c r="BU22" i="40"/>
  <c r="BU54" i="40"/>
  <c r="BU86" i="40"/>
  <c r="BU118" i="40"/>
  <c r="BU246" i="40"/>
  <c r="BU278" i="40"/>
  <c r="BU342" i="40"/>
  <c r="BU374" i="40"/>
  <c r="BU406" i="40"/>
  <c r="BU438" i="40"/>
  <c r="BU470" i="40"/>
  <c r="BU13" i="40"/>
  <c r="BU45" i="40"/>
  <c r="BU77" i="40"/>
  <c r="BU109" i="40"/>
  <c r="BU237" i="40"/>
  <c r="BU269" i="40"/>
  <c r="BU333" i="40"/>
  <c r="BU365" i="40"/>
  <c r="BU397" i="40"/>
  <c r="BU429" i="40"/>
  <c r="BU461" i="40"/>
  <c r="BU36" i="40"/>
  <c r="BU68" i="40"/>
  <c r="BU27" i="40"/>
  <c r="BU18" i="40"/>
  <c r="BU50" i="40"/>
  <c r="BU41" i="40"/>
  <c r="BU32" i="40"/>
  <c r="BU64" i="40"/>
  <c r="BU23" i="40"/>
  <c r="BU55" i="40"/>
  <c r="BU14" i="40"/>
  <c r="BU46" i="40"/>
  <c r="BU37" i="40"/>
  <c r="BU69" i="40"/>
  <c r="BU28" i="40"/>
  <c r="BU60" i="40"/>
  <c r="BU92" i="40"/>
  <c r="BU124" i="40"/>
  <c r="BU220" i="40"/>
  <c r="BU252" i="40"/>
  <c r="BU284" i="40"/>
  <c r="BU316" i="40"/>
  <c r="BU348" i="40"/>
  <c r="BU380" i="40"/>
  <c r="BU412" i="40"/>
  <c r="BU444" i="40"/>
  <c r="BU476" i="40"/>
  <c r="BU508" i="40"/>
  <c r="BU19" i="40"/>
  <c r="BU51" i="40"/>
  <c r="BU83" i="40"/>
  <c r="BU115" i="40"/>
  <c r="BU243" i="40"/>
  <c r="BU275" i="40"/>
  <c r="BU339" i="40"/>
  <c r="BU371" i="40"/>
  <c r="BU403" i="40"/>
  <c r="BU435" i="40"/>
  <c r="BU467" i="40"/>
  <c r="BU266" i="40"/>
  <c r="BU293" i="40"/>
  <c r="BU309" i="40"/>
  <c r="BU315" i="40"/>
  <c r="BU379" i="40"/>
  <c r="BU462" i="40"/>
  <c r="BU649" i="40"/>
  <c r="BU85" i="40"/>
  <c r="BU267" i="40"/>
  <c r="BU370" i="40"/>
  <c r="BU388" i="40"/>
  <c r="BU453" i="40"/>
  <c r="BU608" i="40"/>
  <c r="BU640" i="40"/>
  <c r="BU132" i="40"/>
  <c r="BU258" i="40"/>
  <c r="BU361" i="40"/>
  <c r="BU426" i="40"/>
  <c r="BU516" i="40"/>
  <c r="BU599" i="40"/>
  <c r="BU663" i="40"/>
  <c r="BU123" i="40"/>
  <c r="BU249" i="40"/>
  <c r="BU334" i="40"/>
  <c r="BU352" i="40"/>
  <c r="BU414" i="40"/>
  <c r="BU427" i="40"/>
  <c r="BU507" i="40"/>
  <c r="BU654" i="40"/>
  <c r="BU240" i="40"/>
  <c r="BU325" i="40"/>
  <c r="BU405" i="40"/>
  <c r="BU482" i="40"/>
  <c r="BU525" i="40"/>
  <c r="BU645" i="40"/>
  <c r="BU105" i="40"/>
  <c r="BU222" i="40"/>
  <c r="BU231" i="40"/>
  <c r="BU473" i="40"/>
  <c r="BU604" i="40"/>
  <c r="BU668" i="40"/>
  <c r="BU96" i="40"/>
  <c r="BU286" i="40"/>
  <c r="BU464" i="40"/>
  <c r="BU87" i="40"/>
  <c r="BU277" i="40"/>
  <c r="BU362" i="40"/>
  <c r="BU455" i="40"/>
  <c r="BU650" i="40"/>
  <c r="BU78" i="40"/>
  <c r="BU260" i="40"/>
  <c r="BU295" i="40"/>
  <c r="BU363" i="40"/>
  <c r="BU389" i="40"/>
  <c r="BU446" i="40"/>
  <c r="BU133" i="40"/>
  <c r="BU251" i="40"/>
  <c r="BU354" i="40"/>
  <c r="BU416" i="40"/>
  <c r="BU437" i="40"/>
  <c r="BU106" i="40"/>
  <c r="BU242" i="40"/>
  <c r="BU327" i="40"/>
  <c r="BU407" i="40"/>
  <c r="BU42" i="40"/>
  <c r="BU107" i="40"/>
  <c r="BU233" i="40"/>
  <c r="BU336" i="40"/>
  <c r="BU398" i="40"/>
  <c r="BU475" i="40"/>
  <c r="BU98" i="40"/>
  <c r="BU224" i="40"/>
  <c r="BU288" i="40"/>
  <c r="BU89" i="40"/>
  <c r="BU279" i="40"/>
  <c r="BU311" i="40"/>
  <c r="BU382" i="40"/>
  <c r="BU457" i="40"/>
  <c r="BU660" i="40"/>
  <c r="BU80" i="40"/>
  <c r="BU270" i="40"/>
  <c r="BU297" i="40"/>
  <c r="BU373" i="40"/>
  <c r="BU448" i="40"/>
  <c r="BU651" i="40"/>
  <c r="BU261" i="40"/>
  <c r="BU356" i="40"/>
  <c r="BU418" i="40"/>
  <c r="BU439" i="40"/>
  <c r="BU519" i="40"/>
  <c r="BU527" i="40"/>
  <c r="BU610" i="40"/>
  <c r="BU642" i="40"/>
  <c r="BU126" i="40"/>
  <c r="BU234" i="40"/>
  <c r="BU329" i="40"/>
  <c r="BU347" i="40"/>
  <c r="BU391" i="40"/>
  <c r="BU409" i="40"/>
  <c r="BU430" i="40"/>
  <c r="BU510" i="40"/>
  <c r="BU601" i="40"/>
  <c r="BU665" i="40"/>
  <c r="BU117" i="40"/>
  <c r="BU235" i="40"/>
  <c r="BU338" i="40"/>
  <c r="BU400" i="40"/>
  <c r="BU656" i="40"/>
  <c r="BU100" i="40"/>
  <c r="BU226" i="40"/>
  <c r="BU290" i="40"/>
  <c r="BU458" i="40"/>
  <c r="BU647" i="40"/>
  <c r="BU91" i="40"/>
  <c r="BU281" i="40"/>
  <c r="BU384" i="40"/>
  <c r="BU459" i="40"/>
  <c r="BU583" i="40"/>
  <c r="BU606" i="40"/>
  <c r="BU82" i="40"/>
  <c r="BU272" i="40"/>
  <c r="BU375" i="40"/>
  <c r="BU450" i="40"/>
  <c r="BU661" i="40"/>
  <c r="BU73" i="40"/>
  <c r="BU263" i="40"/>
  <c r="BU330" i="40"/>
  <c r="BU366" i="40"/>
  <c r="BU441" i="40"/>
  <c r="BU128" i="40"/>
  <c r="BU254" i="40"/>
  <c r="BU331" i="40"/>
  <c r="BU357" i="40"/>
  <c r="BU411" i="40"/>
  <c r="BU432" i="40"/>
  <c r="BU119" i="40"/>
  <c r="BU245" i="40"/>
  <c r="BU393" i="40"/>
  <c r="BU402" i="40"/>
  <c r="BU59" i="40"/>
  <c r="BU110" i="40"/>
  <c r="BU219" i="40"/>
  <c r="BU228" i="40"/>
  <c r="BU478" i="40"/>
  <c r="BU101" i="40"/>
  <c r="BU283" i="40"/>
  <c r="BU292" i="40"/>
  <c r="BU313" i="40"/>
  <c r="BU469" i="40"/>
  <c r="BU62" i="40"/>
  <c r="BU74" i="40"/>
  <c r="BU274" i="40"/>
  <c r="BU377" i="40"/>
  <c r="BU386" i="40"/>
  <c r="BU452" i="40"/>
  <c r="BU75" i="40"/>
  <c r="BU265" i="40"/>
  <c r="BU368" i="40"/>
  <c r="BU443" i="40"/>
  <c r="BU130" i="40"/>
  <c r="BU256" i="40"/>
  <c r="BU359" i="40"/>
  <c r="BU394" i="40"/>
  <c r="BU434" i="40"/>
  <c r="BU121" i="40"/>
  <c r="BU247" i="40"/>
  <c r="BU350" i="40"/>
  <c r="BU112" i="40"/>
  <c r="BU238" i="40"/>
  <c r="BU395" i="40"/>
  <c r="BU480" i="40"/>
  <c r="BU603" i="40"/>
  <c r="BU667" i="40"/>
  <c r="BU580" i="40"/>
  <c r="BU581" i="40"/>
  <c r="BU652" i="40"/>
  <c r="BU517" i="40"/>
  <c r="BU607" i="40"/>
  <c r="BU669" i="40"/>
  <c r="BU582" i="40"/>
  <c r="BU644" i="40"/>
  <c r="BU503" i="40"/>
  <c r="BU521" i="40"/>
  <c r="BU653" i="40"/>
  <c r="BU662" i="40"/>
  <c r="BU609" i="40"/>
  <c r="BU584" i="40"/>
  <c r="BU600" i="40"/>
  <c r="BU646" i="40"/>
  <c r="BU505" i="40"/>
  <c r="BU522" i="40"/>
  <c r="BU229" i="40"/>
  <c r="BU523" i="40"/>
  <c r="BU655" i="40"/>
  <c r="BU611" i="40"/>
  <c r="BU664" i="40"/>
  <c r="BU602" i="40"/>
  <c r="BU648" i="40"/>
  <c r="BU639" i="40"/>
  <c r="BU526" i="40"/>
  <c r="BU657" i="40"/>
  <c r="BU512" i="40"/>
  <c r="BU666" i="40"/>
  <c r="BU471" i="40"/>
  <c r="BU641" i="40"/>
  <c r="BU658" i="40"/>
  <c r="BU103" i="40"/>
  <c r="BU514" i="40"/>
  <c r="BU659" i="40"/>
  <c r="BU605" i="40"/>
  <c r="BU643" i="40"/>
  <c r="BU528" i="40"/>
  <c r="BT478" i="40"/>
  <c r="BT346" i="40"/>
  <c r="BK103" i="40"/>
  <c r="BK482" i="40"/>
  <c r="BA683" i="40" a="1"/>
  <c r="BA683" i="40" s="1"/>
  <c r="BJ683" i="40" a="1"/>
  <c r="BJ683" i="40" s="1"/>
  <c r="BS683" i="40" a="1"/>
  <c r="BS683" i="40" s="1"/>
  <c r="CJ12" i="40"/>
  <c r="BC11" i="40"/>
  <c r="BU11" i="40"/>
  <c r="BL11" i="40"/>
  <c r="CW12" i="40"/>
  <c r="CH14" i="42"/>
  <c r="BQ14" i="42"/>
  <c r="AZ14" i="42"/>
  <c r="AH14" i="42"/>
  <c r="G54" i="40"/>
  <c r="G59" i="40" s="1"/>
  <c r="BU10" i="40"/>
  <c r="BV9" i="40" s="1"/>
  <c r="BL10" i="40"/>
  <c r="BM9" i="40" s="1"/>
  <c r="BC10" i="40"/>
  <c r="BD9" i="40" s="1"/>
  <c r="BU122" i="40" l="1"/>
  <c r="BU598" i="40"/>
  <c r="BC345" i="40"/>
  <c r="BD576" i="40"/>
  <c r="BD539" i="40"/>
  <c r="BD534" i="40"/>
  <c r="BD569" i="40"/>
  <c r="BD573" i="40"/>
  <c r="BD544" i="40"/>
  <c r="BD545" i="40"/>
  <c r="BD552" i="40"/>
  <c r="BD557" i="40"/>
  <c r="BD556" i="40"/>
  <c r="BD537" i="40"/>
  <c r="BD568" i="40"/>
  <c r="BD567" i="40"/>
  <c r="BD564" i="40"/>
  <c r="BD536" i="40"/>
  <c r="BD571" i="40"/>
  <c r="BD535" i="40"/>
  <c r="BD529" i="40"/>
  <c r="BD575" i="40"/>
  <c r="BD551" i="40"/>
  <c r="BD532" i="40"/>
  <c r="BD563" i="40"/>
  <c r="BD547" i="40"/>
  <c r="BD548" i="40"/>
  <c r="BD543" i="40"/>
  <c r="BD555" i="40"/>
  <c r="BD566" i="40"/>
  <c r="BD561" i="40"/>
  <c r="BD560" i="40"/>
  <c r="BD577" i="40"/>
  <c r="BD565" i="40"/>
  <c r="BD540" i="40"/>
  <c r="BD546" i="40"/>
  <c r="BD550" i="40"/>
  <c r="BD538" i="40"/>
  <c r="BD549" i="40"/>
  <c r="BD562" i="40"/>
  <c r="BD542" i="40"/>
  <c r="BD554" i="40"/>
  <c r="BD559" i="40"/>
  <c r="BD558" i="40"/>
  <c r="BD572" i="40"/>
  <c r="BD531" i="40"/>
  <c r="BD530" i="40"/>
  <c r="BD533" i="40"/>
  <c r="BD553" i="40"/>
  <c r="BD574" i="40"/>
  <c r="BD541" i="40"/>
  <c r="BD570" i="40"/>
  <c r="BV567" i="40"/>
  <c r="BV565" i="40"/>
  <c r="BV539" i="40"/>
  <c r="BV566" i="40"/>
  <c r="BV535" i="40"/>
  <c r="BV534" i="40"/>
  <c r="BV573" i="40"/>
  <c r="BV561" i="40"/>
  <c r="BV577" i="40"/>
  <c r="BV551" i="40"/>
  <c r="BV557" i="40"/>
  <c r="BV545" i="40"/>
  <c r="BV556" i="40"/>
  <c r="BV564" i="40"/>
  <c r="BV569" i="40"/>
  <c r="BV568" i="40"/>
  <c r="BV552" i="40"/>
  <c r="BV571" i="40"/>
  <c r="BV536" i="40"/>
  <c r="BV548" i="40"/>
  <c r="BV532" i="40"/>
  <c r="BV529" i="40"/>
  <c r="BV537" i="40"/>
  <c r="BV576" i="40"/>
  <c r="BV563" i="40"/>
  <c r="BV575" i="40"/>
  <c r="BV547" i="40"/>
  <c r="BV544" i="40"/>
  <c r="BV543" i="40"/>
  <c r="BV560" i="40"/>
  <c r="BV555" i="40"/>
  <c r="BV572" i="40"/>
  <c r="BV531" i="40"/>
  <c r="BV574" i="40"/>
  <c r="BV570" i="40"/>
  <c r="BV538" i="40"/>
  <c r="BV549" i="40"/>
  <c r="BV541" i="40"/>
  <c r="BV540" i="40"/>
  <c r="BV542" i="40"/>
  <c r="BV562" i="40"/>
  <c r="BV550" i="40"/>
  <c r="BV558" i="40"/>
  <c r="BV546" i="40"/>
  <c r="BV533" i="40"/>
  <c r="BV554" i="40"/>
  <c r="BV530" i="40"/>
  <c r="BV559" i="40"/>
  <c r="BV553" i="40"/>
  <c r="BC114" i="40"/>
  <c r="BM529" i="40"/>
  <c r="BM534" i="40"/>
  <c r="BM552" i="40"/>
  <c r="BM577" i="40"/>
  <c r="BM556" i="40"/>
  <c r="BM555" i="40"/>
  <c r="BM567" i="40"/>
  <c r="BM571" i="40"/>
  <c r="BM566" i="40"/>
  <c r="BM545" i="40"/>
  <c r="BM535" i="40"/>
  <c r="BM539" i="40"/>
  <c r="BM575" i="40"/>
  <c r="BM551" i="40"/>
  <c r="BM543" i="40"/>
  <c r="BM573" i="40"/>
  <c r="BM563" i="40"/>
  <c r="BM547" i="40"/>
  <c r="BM568" i="40"/>
  <c r="BM557" i="40"/>
  <c r="BM569" i="40"/>
  <c r="BM536" i="40"/>
  <c r="BM564" i="40"/>
  <c r="BM537" i="40"/>
  <c r="BM561" i="40"/>
  <c r="BM565" i="40"/>
  <c r="BM576" i="40"/>
  <c r="BM532" i="40"/>
  <c r="BM548" i="40"/>
  <c r="BM560" i="40"/>
  <c r="BM544" i="40"/>
  <c r="BM549" i="40"/>
  <c r="BM546" i="40"/>
  <c r="BM550" i="40"/>
  <c r="BM554" i="40"/>
  <c r="BM533" i="40"/>
  <c r="BM562" i="40"/>
  <c r="BM559" i="40"/>
  <c r="BM558" i="40"/>
  <c r="BM531" i="40"/>
  <c r="BM572" i="40"/>
  <c r="BM574" i="40"/>
  <c r="BM530" i="40"/>
  <c r="BM553" i="40"/>
  <c r="BM570" i="40"/>
  <c r="BM538" i="40"/>
  <c r="BM541" i="40"/>
  <c r="BM540" i="40"/>
  <c r="BM542" i="40"/>
  <c r="BU346" i="40"/>
  <c r="BC466" i="40"/>
  <c r="BL466" i="40"/>
  <c r="BL99" i="40"/>
  <c r="BL102" i="40"/>
  <c r="BC344" i="40"/>
  <c r="BL596" i="40"/>
  <c r="BL345" i="40"/>
  <c r="BC99" i="40"/>
  <c r="BL122" i="40"/>
  <c r="BU596" i="40"/>
  <c r="BC93" i="40"/>
  <c r="BL93" i="40"/>
  <c r="BL113" i="40"/>
  <c r="BL342" i="40"/>
  <c r="BL465" i="40"/>
  <c r="BD18" i="40"/>
  <c r="BD50" i="40"/>
  <c r="BD82" i="40"/>
  <c r="BD242" i="40"/>
  <c r="BD41" i="40"/>
  <c r="BD73" i="40"/>
  <c r="BD105" i="40"/>
  <c r="BD32" i="40"/>
  <c r="BD64" i="40"/>
  <c r="BD96" i="40"/>
  <c r="BD128" i="40"/>
  <c r="BD224" i="40"/>
  <c r="BD256" i="40"/>
  <c r="BD23" i="40"/>
  <c r="BD55" i="40"/>
  <c r="BD87" i="40"/>
  <c r="BD119" i="40"/>
  <c r="BD14" i="40"/>
  <c r="BD46" i="40"/>
  <c r="BD78" i="40"/>
  <c r="BD110" i="40"/>
  <c r="BD238" i="40"/>
  <c r="BD37" i="40"/>
  <c r="BD69" i="40"/>
  <c r="BD101" i="40"/>
  <c r="BD133" i="40"/>
  <c r="BD229" i="40"/>
  <c r="BD261" i="40"/>
  <c r="BD28" i="40"/>
  <c r="BD60" i="40"/>
  <c r="BD92" i="40"/>
  <c r="BD124" i="40"/>
  <c r="BD19" i="40"/>
  <c r="BD51" i="40"/>
  <c r="BD83" i="40"/>
  <c r="BD115" i="40"/>
  <c r="BD243" i="40"/>
  <c r="BD42" i="40"/>
  <c r="BD74" i="40"/>
  <c r="BD106" i="40"/>
  <c r="BD234" i="40"/>
  <c r="BD33" i="40"/>
  <c r="BD65" i="40"/>
  <c r="BD97" i="40"/>
  <c r="BD129" i="40"/>
  <c r="BD225" i="40"/>
  <c r="BD257" i="40"/>
  <c r="BD24" i="40"/>
  <c r="BD56" i="40"/>
  <c r="BD88" i="40"/>
  <c r="BD120" i="40"/>
  <c r="BD15" i="40"/>
  <c r="BD47" i="40"/>
  <c r="BD79" i="40"/>
  <c r="BD111" i="40"/>
  <c r="BD38" i="40"/>
  <c r="BD134" i="40"/>
  <c r="BD29" i="40"/>
  <c r="BD61" i="40"/>
  <c r="BD125" i="40"/>
  <c r="BD52" i="40"/>
  <c r="BD84" i="40"/>
  <c r="BD116" i="40"/>
  <c r="BD43" i="40"/>
  <c r="BD75" i="40"/>
  <c r="BD107" i="40"/>
  <c r="BD235" i="40"/>
  <c r="BD66" i="40"/>
  <c r="BD98" i="40"/>
  <c r="BD130" i="40"/>
  <c r="BD25" i="40"/>
  <c r="BD57" i="40"/>
  <c r="BD89" i="40"/>
  <c r="BD121" i="40"/>
  <c r="BD16" i="40"/>
  <c r="BD48" i="40"/>
  <c r="BD80" i="40"/>
  <c r="BD112" i="40"/>
  <c r="BD30" i="40"/>
  <c r="BD62" i="40"/>
  <c r="BD126" i="40"/>
  <c r="BD222" i="40"/>
  <c r="BD254" i="40"/>
  <c r="BD21" i="40"/>
  <c r="BD53" i="40"/>
  <c r="BD85" i="40"/>
  <c r="BD117" i="40"/>
  <c r="BD245" i="40"/>
  <c r="BD12" i="40"/>
  <c r="BD44" i="40"/>
  <c r="BD76" i="40"/>
  <c r="BD108" i="40"/>
  <c r="BD236" i="40"/>
  <c r="BD35" i="40"/>
  <c r="BD67" i="40"/>
  <c r="BD99" i="40"/>
  <c r="BD131" i="40"/>
  <c r="BD227" i="40"/>
  <c r="BD259" i="40"/>
  <c r="BD26" i="40"/>
  <c r="BD58" i="40"/>
  <c r="BD90" i="40"/>
  <c r="BD250" i="40"/>
  <c r="BD17" i="40"/>
  <c r="BD49" i="40"/>
  <c r="BD81" i="40"/>
  <c r="BD241" i="40"/>
  <c r="BD40" i="40"/>
  <c r="BD104" i="40"/>
  <c r="BD31" i="40"/>
  <c r="BD63" i="40"/>
  <c r="BD95" i="40"/>
  <c r="BD127" i="40"/>
  <c r="BD22" i="40"/>
  <c r="BD54" i="40"/>
  <c r="BD86" i="40"/>
  <c r="BD118" i="40"/>
  <c r="BD246" i="40"/>
  <c r="BD13" i="40"/>
  <c r="BD45" i="40"/>
  <c r="BD77" i="40"/>
  <c r="BD109" i="40"/>
  <c r="BD68" i="40"/>
  <c r="BD231" i="40"/>
  <c r="BD279" i="40"/>
  <c r="BD311" i="40"/>
  <c r="BD375" i="40"/>
  <c r="BD407" i="40"/>
  <c r="BD439" i="40"/>
  <c r="BD471" i="40"/>
  <c r="BD503" i="40"/>
  <c r="BD599" i="40"/>
  <c r="BD663" i="40"/>
  <c r="BD232" i="40"/>
  <c r="BD240" i="40"/>
  <c r="BD270" i="40"/>
  <c r="BD334" i="40"/>
  <c r="BD366" i="40"/>
  <c r="BD398" i="40"/>
  <c r="BD430" i="40"/>
  <c r="BD462" i="40"/>
  <c r="BD526" i="40"/>
  <c r="BD654" i="40"/>
  <c r="BD416" i="40"/>
  <c r="BD249" i="40"/>
  <c r="BD293" i="40"/>
  <c r="BD325" i="40"/>
  <c r="BD357" i="40"/>
  <c r="BD389" i="40"/>
  <c r="BD453" i="40"/>
  <c r="BD517" i="40"/>
  <c r="BD581" i="40"/>
  <c r="BD645" i="40"/>
  <c r="BD258" i="40"/>
  <c r="BD284" i="40"/>
  <c r="BD316" i="40"/>
  <c r="BD348" i="40"/>
  <c r="BD380" i="40"/>
  <c r="BD412" i="40"/>
  <c r="BD444" i="40"/>
  <c r="BD476" i="40"/>
  <c r="BD508" i="40"/>
  <c r="BD604" i="40"/>
  <c r="BD668" i="40"/>
  <c r="BD480" i="40"/>
  <c r="BD91" i="40"/>
  <c r="BD275" i="40"/>
  <c r="BD339" i="40"/>
  <c r="BD371" i="40"/>
  <c r="BD403" i="40"/>
  <c r="BD435" i="40"/>
  <c r="BD467" i="40"/>
  <c r="BD659" i="40"/>
  <c r="BD266" i="40"/>
  <c r="BD330" i="40"/>
  <c r="BD362" i="40"/>
  <c r="BD394" i="40"/>
  <c r="BD426" i="40"/>
  <c r="BD458" i="40"/>
  <c r="BD522" i="40"/>
  <c r="BD650" i="40"/>
  <c r="BD36" i="40"/>
  <c r="BD233" i="40"/>
  <c r="BD289" i="40"/>
  <c r="BD353" i="40"/>
  <c r="BD385" i="40"/>
  <c r="BD417" i="40"/>
  <c r="BD449" i="40"/>
  <c r="BD481" i="40"/>
  <c r="BD513" i="40"/>
  <c r="BD609" i="40"/>
  <c r="BD641" i="40"/>
  <c r="BD280" i="40"/>
  <c r="BD376" i="40"/>
  <c r="BD408" i="40"/>
  <c r="BD440" i="40"/>
  <c r="BD472" i="40"/>
  <c r="BD504" i="40"/>
  <c r="BD600" i="40"/>
  <c r="BD664" i="40"/>
  <c r="BD384" i="40"/>
  <c r="BD512" i="40"/>
  <c r="BD39" i="40"/>
  <c r="BD271" i="40"/>
  <c r="BD335" i="40"/>
  <c r="BD367" i="40"/>
  <c r="BD399" i="40"/>
  <c r="BD431" i="40"/>
  <c r="BD463" i="40"/>
  <c r="BD527" i="40"/>
  <c r="BD655" i="40"/>
  <c r="BD223" i="40"/>
  <c r="BD100" i="40"/>
  <c r="BD251" i="40"/>
  <c r="BD294" i="40"/>
  <c r="BD326" i="40"/>
  <c r="BD358" i="40"/>
  <c r="BD390" i="40"/>
  <c r="BD454" i="40"/>
  <c r="BD518" i="40"/>
  <c r="BD582" i="40"/>
  <c r="BD646" i="40"/>
  <c r="BD260" i="40"/>
  <c r="BD285" i="40"/>
  <c r="BD349" i="40"/>
  <c r="BD381" i="40"/>
  <c r="BD413" i="40"/>
  <c r="BD445" i="40"/>
  <c r="BD477" i="40"/>
  <c r="BD509" i="40"/>
  <c r="BD605" i="40"/>
  <c r="BD669" i="40"/>
  <c r="BD103" i="40"/>
  <c r="BD276" i="40"/>
  <c r="BD340" i="40"/>
  <c r="BD372" i="40"/>
  <c r="BD404" i="40"/>
  <c r="BD436" i="40"/>
  <c r="BD468" i="40"/>
  <c r="BD596" i="40"/>
  <c r="BD660" i="40"/>
  <c r="BD226" i="40"/>
  <c r="BD252" i="40"/>
  <c r="BD267" i="40"/>
  <c r="BD331" i="40"/>
  <c r="BD363" i="40"/>
  <c r="BD395" i="40"/>
  <c r="BD427" i="40"/>
  <c r="BD459" i="40"/>
  <c r="BD523" i="40"/>
  <c r="BD651" i="40"/>
  <c r="BD290" i="40"/>
  <c r="BD354" i="40"/>
  <c r="BD386" i="40"/>
  <c r="BD418" i="40"/>
  <c r="BD450" i="40"/>
  <c r="BD482" i="40"/>
  <c r="BD514" i="40"/>
  <c r="BD610" i="40"/>
  <c r="BD642" i="40"/>
  <c r="BD281" i="40"/>
  <c r="BD313" i="40"/>
  <c r="BD377" i="40"/>
  <c r="BD409" i="40"/>
  <c r="BD441" i="40"/>
  <c r="BD473" i="40"/>
  <c r="BD505" i="40"/>
  <c r="BD601" i="40"/>
  <c r="BD665" i="40"/>
  <c r="BD244" i="40"/>
  <c r="BD272" i="40"/>
  <c r="BD336" i="40"/>
  <c r="BD368" i="40"/>
  <c r="BD400" i="40"/>
  <c r="BD432" i="40"/>
  <c r="BD464" i="40"/>
  <c r="BD656" i="40"/>
  <c r="BD288" i="40"/>
  <c r="BD352" i="40"/>
  <c r="BD219" i="40"/>
  <c r="BD253" i="40"/>
  <c r="BD295" i="40"/>
  <c r="BD327" i="40"/>
  <c r="BD359" i="40"/>
  <c r="BD391" i="40"/>
  <c r="BD455" i="40"/>
  <c r="BD519" i="40"/>
  <c r="BD583" i="40"/>
  <c r="BD647" i="40"/>
  <c r="BD262" i="40"/>
  <c r="BD286" i="40"/>
  <c r="BD350" i="40"/>
  <c r="BD382" i="40"/>
  <c r="BD414" i="40"/>
  <c r="BD446" i="40"/>
  <c r="BD478" i="40"/>
  <c r="BD510" i="40"/>
  <c r="BD606" i="40"/>
  <c r="BD277" i="40"/>
  <c r="BD309" i="40"/>
  <c r="BD373" i="40"/>
  <c r="BD405" i="40"/>
  <c r="BD437" i="40"/>
  <c r="BD469" i="40"/>
  <c r="BD597" i="40"/>
  <c r="BD661" i="40"/>
  <c r="BD220" i="40"/>
  <c r="BD228" i="40"/>
  <c r="BD268" i="40"/>
  <c r="BD300" i="40"/>
  <c r="BD332" i="40"/>
  <c r="BD364" i="40"/>
  <c r="BD396" i="40"/>
  <c r="BD428" i="40"/>
  <c r="BD460" i="40"/>
  <c r="BD524" i="40"/>
  <c r="BD652" i="40"/>
  <c r="BD640" i="40"/>
  <c r="BD237" i="40"/>
  <c r="BD291" i="40"/>
  <c r="BD355" i="40"/>
  <c r="BD387" i="40"/>
  <c r="BD419" i="40"/>
  <c r="BD451" i="40"/>
  <c r="BD515" i="40"/>
  <c r="BD611" i="40"/>
  <c r="BD643" i="40"/>
  <c r="BD608" i="40"/>
  <c r="BD27" i="40"/>
  <c r="BD282" i="40"/>
  <c r="BD314" i="40"/>
  <c r="BD378" i="40"/>
  <c r="BD410" i="40"/>
  <c r="BD442" i="40"/>
  <c r="BD474" i="40"/>
  <c r="BD506" i="40"/>
  <c r="BD602" i="40"/>
  <c r="BD666" i="40"/>
  <c r="BD273" i="40"/>
  <c r="BD337" i="40"/>
  <c r="BD369" i="40"/>
  <c r="BD401" i="40"/>
  <c r="BD433" i="40"/>
  <c r="BD465" i="40"/>
  <c r="BD657" i="40"/>
  <c r="BD255" i="40"/>
  <c r="BD263" i="40"/>
  <c r="BD296" i="40"/>
  <c r="BD328" i="40"/>
  <c r="BD360" i="40"/>
  <c r="BD392" i="40"/>
  <c r="BD456" i="40"/>
  <c r="BD520" i="40"/>
  <c r="BD584" i="40"/>
  <c r="BD648" i="40"/>
  <c r="BD221" i="40"/>
  <c r="BD264" i="40"/>
  <c r="BD287" i="40"/>
  <c r="BD351" i="40"/>
  <c r="BD383" i="40"/>
  <c r="BD415" i="40"/>
  <c r="BD447" i="40"/>
  <c r="BD479" i="40"/>
  <c r="BD511" i="40"/>
  <c r="BD607" i="40"/>
  <c r="BD639" i="40"/>
  <c r="BD123" i="40"/>
  <c r="BD278" i="40"/>
  <c r="BD374" i="40"/>
  <c r="BD406" i="40"/>
  <c r="BD438" i="40"/>
  <c r="BD470" i="40"/>
  <c r="BD598" i="40"/>
  <c r="BD662" i="40"/>
  <c r="BD230" i="40"/>
  <c r="BD247" i="40"/>
  <c r="BD269" i="40"/>
  <c r="BD333" i="40"/>
  <c r="BD365" i="40"/>
  <c r="BD397" i="40"/>
  <c r="BD429" i="40"/>
  <c r="BD461" i="40"/>
  <c r="BD525" i="40"/>
  <c r="BD653" i="40"/>
  <c r="BD59" i="40"/>
  <c r="BD239" i="40"/>
  <c r="BD292" i="40"/>
  <c r="BD356" i="40"/>
  <c r="BD388" i="40"/>
  <c r="BD452" i="40"/>
  <c r="BD516" i="40"/>
  <c r="BD580" i="40"/>
  <c r="BD644" i="40"/>
  <c r="BD248" i="40"/>
  <c r="BD283" i="40"/>
  <c r="BD315" i="40"/>
  <c r="BD347" i="40"/>
  <c r="BD379" i="40"/>
  <c r="BD411" i="40"/>
  <c r="BD443" i="40"/>
  <c r="BD475" i="40"/>
  <c r="BD507" i="40"/>
  <c r="BD603" i="40"/>
  <c r="BD667" i="40"/>
  <c r="BD274" i="40"/>
  <c r="BD338" i="40"/>
  <c r="BD370" i="40"/>
  <c r="BD402" i="40"/>
  <c r="BD434" i="40"/>
  <c r="BD466" i="40"/>
  <c r="BD658" i="40"/>
  <c r="BD448" i="40"/>
  <c r="BD132" i="40"/>
  <c r="BD265" i="40"/>
  <c r="BD297" i="40"/>
  <c r="BD329" i="40"/>
  <c r="BD361" i="40"/>
  <c r="BD393" i="40"/>
  <c r="BD457" i="40"/>
  <c r="BD521" i="40"/>
  <c r="BD649" i="40"/>
  <c r="BD528" i="40"/>
  <c r="BU341" i="40"/>
  <c r="BU102" i="40"/>
  <c r="BC465" i="40"/>
  <c r="BL114" i="40"/>
  <c r="BM21" i="40"/>
  <c r="BM53" i="40"/>
  <c r="BM85" i="40"/>
  <c r="BM117" i="40"/>
  <c r="BM245" i="40"/>
  <c r="BM12" i="40"/>
  <c r="BM44" i="40"/>
  <c r="BM76" i="40"/>
  <c r="BM35" i="40"/>
  <c r="BM67" i="40"/>
  <c r="BM26" i="40"/>
  <c r="BM58" i="40"/>
  <c r="BM17" i="40"/>
  <c r="BM49" i="40"/>
  <c r="BM81" i="40"/>
  <c r="BM40" i="40"/>
  <c r="BM22" i="40"/>
  <c r="BM54" i="40"/>
  <c r="BM32" i="40"/>
  <c r="BM64" i="40"/>
  <c r="BM96" i="40"/>
  <c r="BM128" i="40"/>
  <c r="BM224" i="40"/>
  <c r="BM256" i="40"/>
  <c r="BM23" i="40"/>
  <c r="BM55" i="40"/>
  <c r="BM87" i="40"/>
  <c r="BM119" i="40"/>
  <c r="BM14" i="40"/>
  <c r="BM37" i="40"/>
  <c r="BM69" i="40"/>
  <c r="BM28" i="40"/>
  <c r="BM60" i="40"/>
  <c r="BM92" i="40"/>
  <c r="BM19" i="40"/>
  <c r="BM51" i="40"/>
  <c r="BM83" i="40"/>
  <c r="BM42" i="40"/>
  <c r="BM74" i="40"/>
  <c r="BM33" i="40"/>
  <c r="BM65" i="40"/>
  <c r="BM39" i="40"/>
  <c r="BM103" i="40"/>
  <c r="BM115" i="40"/>
  <c r="BM252" i="40"/>
  <c r="BM294" i="40"/>
  <c r="BM326" i="40"/>
  <c r="BM358" i="40"/>
  <c r="BM390" i="40"/>
  <c r="BM454" i="40"/>
  <c r="BM518" i="40"/>
  <c r="BM24" i="40"/>
  <c r="BM110" i="40"/>
  <c r="BM257" i="40"/>
  <c r="BM285" i="40"/>
  <c r="BM349" i="40"/>
  <c r="BM381" i="40"/>
  <c r="BM413" i="40"/>
  <c r="BM445" i="40"/>
  <c r="BM477" i="40"/>
  <c r="BM509" i="40"/>
  <c r="BM48" i="40"/>
  <c r="BM131" i="40"/>
  <c r="BM223" i="40"/>
  <c r="BM262" i="40"/>
  <c r="BM276" i="40"/>
  <c r="BM340" i="40"/>
  <c r="BM372" i="40"/>
  <c r="BM404" i="40"/>
  <c r="BM436" i="40"/>
  <c r="BM468" i="40"/>
  <c r="BM596" i="40"/>
  <c r="BM57" i="40"/>
  <c r="BM88" i="40"/>
  <c r="BM228" i="40"/>
  <c r="BM267" i="40"/>
  <c r="BM331" i="40"/>
  <c r="BM363" i="40"/>
  <c r="BM395" i="40"/>
  <c r="BM427" i="40"/>
  <c r="BM459" i="40"/>
  <c r="BM66" i="40"/>
  <c r="BM80" i="40"/>
  <c r="BM105" i="40"/>
  <c r="BM126" i="40"/>
  <c r="BM233" i="40"/>
  <c r="BM238" i="40"/>
  <c r="BM290" i="40"/>
  <c r="BM354" i="40"/>
  <c r="BM386" i="40"/>
  <c r="BM418" i="40"/>
  <c r="BM450" i="40"/>
  <c r="BM16" i="40"/>
  <c r="BM41" i="40"/>
  <c r="BM100" i="40"/>
  <c r="BM121" i="40"/>
  <c r="BM248" i="40"/>
  <c r="BM272" i="40"/>
  <c r="BM336" i="40"/>
  <c r="BM368" i="40"/>
  <c r="BM400" i="40"/>
  <c r="BM432" i="40"/>
  <c r="BM464" i="40"/>
  <c r="BM95" i="40"/>
  <c r="BM116" i="40"/>
  <c r="BM25" i="40"/>
  <c r="BM50" i="40"/>
  <c r="BM111" i="40"/>
  <c r="BM219" i="40"/>
  <c r="BM59" i="40"/>
  <c r="BM73" i="40"/>
  <c r="BM106" i="40"/>
  <c r="BM132" i="40"/>
  <c r="BM68" i="40"/>
  <c r="BM89" i="40"/>
  <c r="BM101" i="40"/>
  <c r="BM127" i="40"/>
  <c r="BM82" i="40"/>
  <c r="BM239" i="40"/>
  <c r="BM18" i="40"/>
  <c r="BM90" i="40"/>
  <c r="BM249" i="40"/>
  <c r="BM273" i="40"/>
  <c r="BM337" i="40"/>
  <c r="BM369" i="40"/>
  <c r="BM401" i="40"/>
  <c r="BM433" i="40"/>
  <c r="BM465" i="40"/>
  <c r="BM43" i="40"/>
  <c r="BM133" i="40"/>
  <c r="BM220" i="40"/>
  <c r="BM254" i="40"/>
  <c r="BM259" i="40"/>
  <c r="BM296" i="40"/>
  <c r="BM328" i="40"/>
  <c r="BM360" i="40"/>
  <c r="BM392" i="40"/>
  <c r="BM456" i="40"/>
  <c r="BM27" i="40"/>
  <c r="BM52" i="40"/>
  <c r="BM112" i="40"/>
  <c r="BM225" i="40"/>
  <c r="BM264" i="40"/>
  <c r="BM287" i="40"/>
  <c r="BM351" i="40"/>
  <c r="BM383" i="40"/>
  <c r="BM415" i="40"/>
  <c r="BM447" i="40"/>
  <c r="BM479" i="40"/>
  <c r="BM61" i="40"/>
  <c r="BM75" i="40"/>
  <c r="BM107" i="40"/>
  <c r="BM230" i="40"/>
  <c r="BM278" i="40"/>
  <c r="BM374" i="40"/>
  <c r="BM406" i="40"/>
  <c r="BM438" i="40"/>
  <c r="BM470" i="40"/>
  <c r="BM36" i="40"/>
  <c r="BM84" i="40"/>
  <c r="BM97" i="40"/>
  <c r="BM123" i="40"/>
  <c r="BM240" i="40"/>
  <c r="BM292" i="40"/>
  <c r="BM356" i="40"/>
  <c r="BM388" i="40"/>
  <c r="BM452" i="40"/>
  <c r="BM516" i="40"/>
  <c r="BM580" i="40"/>
  <c r="BM91" i="40"/>
  <c r="BM118" i="40"/>
  <c r="BM250" i="40"/>
  <c r="BM283" i="40"/>
  <c r="BM315" i="40"/>
  <c r="BM347" i="40"/>
  <c r="BM379" i="40"/>
  <c r="BM411" i="40"/>
  <c r="BM443" i="40"/>
  <c r="BM475" i="40"/>
  <c r="BM507" i="40"/>
  <c r="BM45" i="40"/>
  <c r="BM255" i="40"/>
  <c r="BM274" i="40"/>
  <c r="BM338" i="40"/>
  <c r="BM370" i="40"/>
  <c r="BM402" i="40"/>
  <c r="BM434" i="40"/>
  <c r="BM29" i="40"/>
  <c r="BM108" i="40"/>
  <c r="BM134" i="40"/>
  <c r="BM221" i="40"/>
  <c r="BM62" i="40"/>
  <c r="BM77" i="40"/>
  <c r="BM129" i="40"/>
  <c r="BM226" i="40"/>
  <c r="BM13" i="40"/>
  <c r="BM63" i="40"/>
  <c r="BM124" i="40"/>
  <c r="BM231" i="40"/>
  <c r="BM236" i="40"/>
  <c r="BM38" i="40"/>
  <c r="BM46" i="40"/>
  <c r="BM98" i="40"/>
  <c r="BM86" i="40"/>
  <c r="BM56" i="40"/>
  <c r="BM109" i="40"/>
  <c r="BM222" i="40"/>
  <c r="BM227" i="40"/>
  <c r="BM31" i="40"/>
  <c r="BM79" i="40"/>
  <c r="BM104" i="40"/>
  <c r="BM130" i="40"/>
  <c r="BM232" i="40"/>
  <c r="BM289" i="40"/>
  <c r="BM353" i="40"/>
  <c r="BM385" i="40"/>
  <c r="BM417" i="40"/>
  <c r="BM449" i="40"/>
  <c r="BM481" i="40"/>
  <c r="BM229" i="40"/>
  <c r="BM241" i="40"/>
  <c r="BM355" i="40"/>
  <c r="BM120" i="40"/>
  <c r="BM275" i="40"/>
  <c r="BM291" i="40"/>
  <c r="BM339" i="40"/>
  <c r="BM403" i="40"/>
  <c r="BM455" i="40"/>
  <c r="BM478" i="40"/>
  <c r="BM520" i="40"/>
  <c r="BM581" i="40"/>
  <c r="BM655" i="40"/>
  <c r="BM314" i="40"/>
  <c r="BM380" i="40"/>
  <c r="BM439" i="40"/>
  <c r="BM646" i="40"/>
  <c r="BM125" i="40"/>
  <c r="BM364" i="40"/>
  <c r="BM503" i="40"/>
  <c r="BM600" i="40"/>
  <c r="BM669" i="40"/>
  <c r="BM284" i="40"/>
  <c r="BM332" i="40"/>
  <c r="BM348" i="40"/>
  <c r="BM412" i="40"/>
  <c r="BM471" i="40"/>
  <c r="BM526" i="40"/>
  <c r="BM605" i="40"/>
  <c r="BM660" i="40"/>
  <c r="BM15" i="40"/>
  <c r="BM260" i="40"/>
  <c r="BM268" i="40"/>
  <c r="BM396" i="40"/>
  <c r="BM431" i="40"/>
  <c r="BM448" i="40"/>
  <c r="BM463" i="40"/>
  <c r="BM515" i="40"/>
  <c r="BM651" i="40"/>
  <c r="BM242" i="40"/>
  <c r="BM251" i="40"/>
  <c r="BM365" i="40"/>
  <c r="BM373" i="40"/>
  <c r="BM389" i="40"/>
  <c r="BM521" i="40"/>
  <c r="BM610" i="40"/>
  <c r="BM642" i="40"/>
  <c r="BM243" i="40"/>
  <c r="BM309" i="40"/>
  <c r="BM333" i="40"/>
  <c r="BM357" i="40"/>
  <c r="BM665" i="40"/>
  <c r="BM269" i="40"/>
  <c r="BM277" i="40"/>
  <c r="BM325" i="40"/>
  <c r="BM397" i="40"/>
  <c r="BM405" i="40"/>
  <c r="BM440" i="40"/>
  <c r="BM582" i="40"/>
  <c r="BM656" i="40"/>
  <c r="BM293" i="40"/>
  <c r="BM382" i="40"/>
  <c r="BM457" i="40"/>
  <c r="BM480" i="40"/>
  <c r="BM510" i="40"/>
  <c r="BM601" i="40"/>
  <c r="BM647" i="40"/>
  <c r="BM78" i="40"/>
  <c r="BM366" i="40"/>
  <c r="BM441" i="40"/>
  <c r="BM472" i="40"/>
  <c r="BM504" i="40"/>
  <c r="BM606" i="40"/>
  <c r="BM261" i="40"/>
  <c r="BM300" i="40"/>
  <c r="BM316" i="40"/>
  <c r="BM334" i="40"/>
  <c r="BM350" i="40"/>
  <c r="BM414" i="40"/>
  <c r="BM527" i="40"/>
  <c r="BM661" i="40"/>
  <c r="BM47" i="40"/>
  <c r="BM253" i="40"/>
  <c r="BM270" i="40"/>
  <c r="BM286" i="40"/>
  <c r="BM398" i="40"/>
  <c r="BM473" i="40"/>
  <c r="BM652" i="40"/>
  <c r="BM234" i="40"/>
  <c r="BM244" i="40"/>
  <c r="BM375" i="40"/>
  <c r="BM505" i="40"/>
  <c r="BM522" i="40"/>
  <c r="BM611" i="40"/>
  <c r="BM643" i="40"/>
  <c r="BM235" i="40"/>
  <c r="BM359" i="40"/>
  <c r="BM391" i="40"/>
  <c r="BM466" i="40"/>
  <c r="BM583" i="40"/>
  <c r="BM666" i="40"/>
  <c r="BM279" i="40"/>
  <c r="BM327" i="40"/>
  <c r="BM407" i="40"/>
  <c r="BM597" i="40"/>
  <c r="BM657" i="40"/>
  <c r="BM367" i="40"/>
  <c r="BM384" i="40"/>
  <c r="BM442" i="40"/>
  <c r="BM458" i="40"/>
  <c r="BM511" i="40"/>
  <c r="BM517" i="40"/>
  <c r="BM602" i="40"/>
  <c r="BM648" i="40"/>
  <c r="BM295" i="40"/>
  <c r="BM335" i="40"/>
  <c r="BM426" i="40"/>
  <c r="BM523" i="40"/>
  <c r="BM607" i="40"/>
  <c r="BM639" i="40"/>
  <c r="BM263" i="40"/>
  <c r="BM271" i="40"/>
  <c r="BM311" i="40"/>
  <c r="BM352" i="40"/>
  <c r="BM399" i="40"/>
  <c r="BM416" i="40"/>
  <c r="BM474" i="40"/>
  <c r="BM482" i="40"/>
  <c r="BM662" i="40"/>
  <c r="BM246" i="40"/>
  <c r="BM288" i="40"/>
  <c r="BM376" i="40"/>
  <c r="BM451" i="40"/>
  <c r="BM653" i="40"/>
  <c r="BM99" i="40"/>
  <c r="BM237" i="40"/>
  <c r="BM280" i="40"/>
  <c r="BM361" i="40"/>
  <c r="BM377" i="40"/>
  <c r="BM408" i="40"/>
  <c r="BM467" i="40"/>
  <c r="BM584" i="40"/>
  <c r="BM667" i="40"/>
  <c r="BM329" i="40"/>
  <c r="BM393" i="40"/>
  <c r="BM598" i="40"/>
  <c r="BM603" i="40"/>
  <c r="BM658" i="40"/>
  <c r="BM30" i="40"/>
  <c r="BM281" i="40"/>
  <c r="BM409" i="40"/>
  <c r="BM444" i="40"/>
  <c r="BM460" i="40"/>
  <c r="BM649" i="40"/>
  <c r="BM247" i="40"/>
  <c r="BM265" i="40"/>
  <c r="BM297" i="40"/>
  <c r="BM428" i="40"/>
  <c r="BM524" i="40"/>
  <c r="BM608" i="40"/>
  <c r="BM640" i="40"/>
  <c r="BM663" i="40"/>
  <c r="BM453" i="40"/>
  <c r="BM461" i="40"/>
  <c r="BM476" i="40"/>
  <c r="BM519" i="40"/>
  <c r="BM654" i="40"/>
  <c r="BM313" i="40"/>
  <c r="BM378" i="40"/>
  <c r="BM429" i="40"/>
  <c r="BM437" i="40"/>
  <c r="BM513" i="40"/>
  <c r="BM645" i="40"/>
  <c r="BM362" i="40"/>
  <c r="BM469" i="40"/>
  <c r="BM599" i="40"/>
  <c r="BM668" i="40"/>
  <c r="BM282" i="40"/>
  <c r="BM330" i="40"/>
  <c r="BM394" i="40"/>
  <c r="BM410" i="40"/>
  <c r="BM604" i="40"/>
  <c r="BM659" i="40"/>
  <c r="BM266" i="40"/>
  <c r="BM387" i="40"/>
  <c r="BM446" i="40"/>
  <c r="BM514" i="40"/>
  <c r="BM525" i="40"/>
  <c r="BM650" i="40"/>
  <c r="BM430" i="40"/>
  <c r="BM435" i="40"/>
  <c r="BM506" i="40"/>
  <c r="BM508" i="40"/>
  <c r="BM664" i="40"/>
  <c r="BM512" i="40"/>
  <c r="BM609" i="40"/>
  <c r="BM641" i="40"/>
  <c r="BM462" i="40"/>
  <c r="BM644" i="40"/>
  <c r="BM419" i="40"/>
  <c r="BM258" i="40"/>
  <c r="BM371" i="40"/>
  <c r="BM528" i="40"/>
  <c r="BC598" i="40"/>
  <c r="BC102" i="40"/>
  <c r="BL341" i="40"/>
  <c r="BV42" i="40"/>
  <c r="BV74" i="40"/>
  <c r="BV106" i="40"/>
  <c r="BV234" i="40"/>
  <c r="BV266" i="40"/>
  <c r="BV330" i="40"/>
  <c r="BV362" i="40"/>
  <c r="BV394" i="40"/>
  <c r="BV426" i="40"/>
  <c r="BV458" i="40"/>
  <c r="BV522" i="40"/>
  <c r="BV33" i="40"/>
  <c r="BV65" i="40"/>
  <c r="BV97" i="40"/>
  <c r="BV129" i="40"/>
  <c r="BV225" i="40"/>
  <c r="BV257" i="40"/>
  <c r="BV289" i="40"/>
  <c r="BV353" i="40"/>
  <c r="BV385" i="40"/>
  <c r="BV417" i="40"/>
  <c r="BV449" i="40"/>
  <c r="BV481" i="40"/>
  <c r="BV513" i="40"/>
  <c r="BV24" i="40"/>
  <c r="BV56" i="40"/>
  <c r="BV88" i="40"/>
  <c r="BV120" i="40"/>
  <c r="BV248" i="40"/>
  <c r="BV280" i="40"/>
  <c r="BV376" i="40"/>
  <c r="BV408" i="40"/>
  <c r="BV440" i="40"/>
  <c r="BV472" i="40"/>
  <c r="BV504" i="40"/>
  <c r="BV15" i="40"/>
  <c r="BV47" i="40"/>
  <c r="BV79" i="40"/>
  <c r="BV111" i="40"/>
  <c r="BV239" i="40"/>
  <c r="BV271" i="40"/>
  <c r="BV335" i="40"/>
  <c r="BV367" i="40"/>
  <c r="BV399" i="40"/>
  <c r="BV431" i="40"/>
  <c r="BV463" i="40"/>
  <c r="BV527" i="40"/>
  <c r="BV38" i="40"/>
  <c r="BV134" i="40"/>
  <c r="BV230" i="40"/>
  <c r="BV262" i="40"/>
  <c r="BV294" i="40"/>
  <c r="BV326" i="40"/>
  <c r="BV358" i="40"/>
  <c r="BV390" i="40"/>
  <c r="BV454" i="40"/>
  <c r="BV518" i="40"/>
  <c r="BV29" i="40"/>
  <c r="BV61" i="40"/>
  <c r="BV125" i="40"/>
  <c r="BV221" i="40"/>
  <c r="BV253" i="40"/>
  <c r="BV285" i="40"/>
  <c r="BV349" i="40"/>
  <c r="BV381" i="40"/>
  <c r="BV413" i="40"/>
  <c r="BV445" i="40"/>
  <c r="BV477" i="40"/>
  <c r="BV509" i="40"/>
  <c r="BV52" i="40"/>
  <c r="BV43" i="40"/>
  <c r="BV66" i="40"/>
  <c r="BV25" i="40"/>
  <c r="BV57" i="40"/>
  <c r="BV16" i="40"/>
  <c r="BV48" i="40"/>
  <c r="BV39" i="40"/>
  <c r="BV30" i="40"/>
  <c r="BV62" i="40"/>
  <c r="BV21" i="40"/>
  <c r="BV53" i="40"/>
  <c r="BV85" i="40"/>
  <c r="BV117" i="40"/>
  <c r="BV245" i="40"/>
  <c r="BV277" i="40"/>
  <c r="BV309" i="40"/>
  <c r="BV373" i="40"/>
  <c r="BV405" i="40"/>
  <c r="BV437" i="40"/>
  <c r="BV469" i="40"/>
  <c r="BV12" i="40"/>
  <c r="BV44" i="40"/>
  <c r="BV76" i="40"/>
  <c r="BV108" i="40"/>
  <c r="BV236" i="40"/>
  <c r="BV268" i="40"/>
  <c r="BV300" i="40"/>
  <c r="BV332" i="40"/>
  <c r="BV364" i="40"/>
  <c r="BV396" i="40"/>
  <c r="BV428" i="40"/>
  <c r="BV460" i="40"/>
  <c r="BV524" i="40"/>
  <c r="BV35" i="40"/>
  <c r="BV67" i="40"/>
  <c r="BV99" i="40"/>
  <c r="BV131" i="40"/>
  <c r="BV227" i="40"/>
  <c r="BV259" i="40"/>
  <c r="BV291" i="40"/>
  <c r="BV355" i="40"/>
  <c r="BV387" i="40"/>
  <c r="BV419" i="40"/>
  <c r="BV451" i="40"/>
  <c r="BV515" i="40"/>
  <c r="BV26" i="40"/>
  <c r="BV58" i="40"/>
  <c r="BV90" i="40"/>
  <c r="BV250" i="40"/>
  <c r="BV282" i="40"/>
  <c r="BV314" i="40"/>
  <c r="BV378" i="40"/>
  <c r="BV410" i="40"/>
  <c r="BV442" i="40"/>
  <c r="BV474" i="40"/>
  <c r="BV506" i="40"/>
  <c r="BV17" i="40"/>
  <c r="BV49" i="40"/>
  <c r="BV81" i="40"/>
  <c r="BV241" i="40"/>
  <c r="BV273" i="40"/>
  <c r="BV337" i="40"/>
  <c r="BV369" i="40"/>
  <c r="BV401" i="40"/>
  <c r="BV433" i="40"/>
  <c r="BV465" i="40"/>
  <c r="BV40" i="40"/>
  <c r="BV104" i="40"/>
  <c r="BV232" i="40"/>
  <c r="BV264" i="40"/>
  <c r="BV296" i="40"/>
  <c r="BV328" i="40"/>
  <c r="BV360" i="40"/>
  <c r="BV392" i="40"/>
  <c r="BV456" i="40"/>
  <c r="BV520" i="40"/>
  <c r="BV31" i="40"/>
  <c r="BV63" i="40"/>
  <c r="BV95" i="40"/>
  <c r="BV127" i="40"/>
  <c r="BV223" i="40"/>
  <c r="BV255" i="40"/>
  <c r="BV287" i="40"/>
  <c r="BV351" i="40"/>
  <c r="BV383" i="40"/>
  <c r="BV415" i="40"/>
  <c r="BV447" i="40"/>
  <c r="BV479" i="40"/>
  <c r="BV511" i="40"/>
  <c r="BV22" i="40"/>
  <c r="BV54" i="40"/>
  <c r="BV86" i="40"/>
  <c r="BV118" i="40"/>
  <c r="BV246" i="40"/>
  <c r="BV278" i="40"/>
  <c r="BV374" i="40"/>
  <c r="BV406" i="40"/>
  <c r="BV438" i="40"/>
  <c r="BV470" i="40"/>
  <c r="BV13" i="40"/>
  <c r="BV45" i="40"/>
  <c r="BV27" i="40"/>
  <c r="BV59" i="40"/>
  <c r="BV18" i="40"/>
  <c r="BV50" i="40"/>
  <c r="BV41" i="40"/>
  <c r="BV32" i="40"/>
  <c r="BV64" i="40"/>
  <c r="BV23" i="40"/>
  <c r="BV55" i="40"/>
  <c r="BV14" i="40"/>
  <c r="BV46" i="40"/>
  <c r="BV37" i="40"/>
  <c r="BV69" i="40"/>
  <c r="BV101" i="40"/>
  <c r="BV133" i="40"/>
  <c r="BV229" i="40"/>
  <c r="BV261" i="40"/>
  <c r="BV293" i="40"/>
  <c r="BV325" i="40"/>
  <c r="BV357" i="40"/>
  <c r="BV389" i="40"/>
  <c r="BV453" i="40"/>
  <c r="BV517" i="40"/>
  <c r="BV581" i="40"/>
  <c r="BV28" i="40"/>
  <c r="BV60" i="40"/>
  <c r="BV92" i="40"/>
  <c r="BV124" i="40"/>
  <c r="BV220" i="40"/>
  <c r="BV252" i="40"/>
  <c r="BV284" i="40"/>
  <c r="BV316" i="40"/>
  <c r="BV348" i="40"/>
  <c r="BV380" i="40"/>
  <c r="BV412" i="40"/>
  <c r="BV444" i="40"/>
  <c r="BV476" i="40"/>
  <c r="BV508" i="40"/>
  <c r="BV103" i="40"/>
  <c r="BV275" i="40"/>
  <c r="BV471" i="40"/>
  <c r="BV580" i="40"/>
  <c r="BV658" i="40"/>
  <c r="BV276" i="40"/>
  <c r="BV315" i="40"/>
  <c r="BV379" i="40"/>
  <c r="BV462" i="40"/>
  <c r="BV649" i="40"/>
  <c r="BV77" i="40"/>
  <c r="BV267" i="40"/>
  <c r="BV370" i="40"/>
  <c r="BV388" i="40"/>
  <c r="BV435" i="40"/>
  <c r="BV608" i="40"/>
  <c r="BV640" i="40"/>
  <c r="BV132" i="40"/>
  <c r="BV258" i="40"/>
  <c r="BV361" i="40"/>
  <c r="BV436" i="40"/>
  <c r="BV516" i="40"/>
  <c r="BV599" i="40"/>
  <c r="BV663" i="40"/>
  <c r="BV123" i="40"/>
  <c r="BV249" i="40"/>
  <c r="BV334" i="40"/>
  <c r="BV352" i="40"/>
  <c r="BV414" i="40"/>
  <c r="BV427" i="40"/>
  <c r="BV507" i="40"/>
  <c r="BV654" i="40"/>
  <c r="BV36" i="40"/>
  <c r="BV240" i="40"/>
  <c r="BV397" i="40"/>
  <c r="BV482" i="40"/>
  <c r="BV525" i="40"/>
  <c r="BV645" i="40"/>
  <c r="BV105" i="40"/>
  <c r="BV222" i="40"/>
  <c r="BV231" i="40"/>
  <c r="BV473" i="40"/>
  <c r="BV96" i="40"/>
  <c r="BV286" i="40"/>
  <c r="BV371" i="40"/>
  <c r="BV464" i="40"/>
  <c r="BV659" i="40"/>
  <c r="BV87" i="40"/>
  <c r="BV269" i="40"/>
  <c r="BV372" i="40"/>
  <c r="BV455" i="40"/>
  <c r="BV78" i="40"/>
  <c r="BV260" i="40"/>
  <c r="BV295" i="40"/>
  <c r="BV363" i="40"/>
  <c r="BV446" i="40"/>
  <c r="BV115" i="40"/>
  <c r="BV251" i="40"/>
  <c r="BV354" i="40"/>
  <c r="BV416" i="40"/>
  <c r="BV429" i="40"/>
  <c r="BV19" i="40"/>
  <c r="BV116" i="40"/>
  <c r="BV242" i="40"/>
  <c r="BV327" i="40"/>
  <c r="BV407" i="40"/>
  <c r="BV107" i="40"/>
  <c r="BV233" i="40"/>
  <c r="BV336" i="40"/>
  <c r="BV398" i="40"/>
  <c r="BV475" i="40"/>
  <c r="BV98" i="40"/>
  <c r="BV224" i="40"/>
  <c r="BV288" i="40"/>
  <c r="BV466" i="40"/>
  <c r="BV582" i="40"/>
  <c r="BV605" i="40"/>
  <c r="BV669" i="40"/>
  <c r="BV89" i="40"/>
  <c r="BV279" i="40"/>
  <c r="BV311" i="40"/>
  <c r="BV382" i="40"/>
  <c r="BV457" i="40"/>
  <c r="BV596" i="40"/>
  <c r="BV660" i="40"/>
  <c r="BV80" i="40"/>
  <c r="BV270" i="40"/>
  <c r="BV297" i="40"/>
  <c r="BV365" i="40"/>
  <c r="BV448" i="40"/>
  <c r="BV651" i="40"/>
  <c r="BV243" i="40"/>
  <c r="BV356" i="40"/>
  <c r="BV418" i="40"/>
  <c r="BV439" i="40"/>
  <c r="BV519" i="40"/>
  <c r="BV610" i="40"/>
  <c r="BV642" i="40"/>
  <c r="BV126" i="40"/>
  <c r="BV244" i="40"/>
  <c r="BV329" i="40"/>
  <c r="BV347" i="40"/>
  <c r="BV391" i="40"/>
  <c r="BV409" i="40"/>
  <c r="BV430" i="40"/>
  <c r="BV510" i="40"/>
  <c r="BV601" i="40"/>
  <c r="BV665" i="40"/>
  <c r="BV109" i="40"/>
  <c r="BV235" i="40"/>
  <c r="BV338" i="40"/>
  <c r="BV400" i="40"/>
  <c r="BV467" i="40"/>
  <c r="BV656" i="40"/>
  <c r="BV51" i="40"/>
  <c r="BV100" i="40"/>
  <c r="BV226" i="40"/>
  <c r="BV290" i="40"/>
  <c r="BV468" i="40"/>
  <c r="BV647" i="40"/>
  <c r="BV91" i="40"/>
  <c r="BV281" i="40"/>
  <c r="BV384" i="40"/>
  <c r="BV459" i="40"/>
  <c r="BV583" i="40"/>
  <c r="BV606" i="40"/>
  <c r="BV82" i="40"/>
  <c r="BV272" i="40"/>
  <c r="BV375" i="40"/>
  <c r="BV450" i="40"/>
  <c r="BV73" i="40"/>
  <c r="BV263" i="40"/>
  <c r="BV366" i="40"/>
  <c r="BV441" i="40"/>
  <c r="BV128" i="40"/>
  <c r="BV254" i="40"/>
  <c r="BV331" i="40"/>
  <c r="BV339" i="40"/>
  <c r="BV411" i="40"/>
  <c r="BV432" i="40"/>
  <c r="BV119" i="40"/>
  <c r="BV237" i="40"/>
  <c r="BV340" i="40"/>
  <c r="BV393" i="40"/>
  <c r="BV402" i="40"/>
  <c r="BV110" i="40"/>
  <c r="BV219" i="40"/>
  <c r="BV228" i="40"/>
  <c r="BV478" i="40"/>
  <c r="BV83" i="40"/>
  <c r="BV283" i="40"/>
  <c r="BV292" i="40"/>
  <c r="BV313" i="40"/>
  <c r="BV461" i="40"/>
  <c r="BV84" i="40"/>
  <c r="BV274" i="40"/>
  <c r="BV377" i="40"/>
  <c r="BV386" i="40"/>
  <c r="BV452" i="40"/>
  <c r="BV75" i="40"/>
  <c r="BV265" i="40"/>
  <c r="BV368" i="40"/>
  <c r="BV443" i="40"/>
  <c r="BV130" i="40"/>
  <c r="BV256" i="40"/>
  <c r="BV333" i="40"/>
  <c r="BV359" i="40"/>
  <c r="BV403" i="40"/>
  <c r="BV434" i="40"/>
  <c r="BV68" i="40"/>
  <c r="BV121" i="40"/>
  <c r="BV247" i="40"/>
  <c r="BV350" i="40"/>
  <c r="BV404" i="40"/>
  <c r="BV505" i="40"/>
  <c r="BV523" i="40"/>
  <c r="BV644" i="40"/>
  <c r="BV643" i="40"/>
  <c r="BV652" i="40"/>
  <c r="BV661" i="40"/>
  <c r="BV395" i="40"/>
  <c r="BV607" i="40"/>
  <c r="BV598" i="40"/>
  <c r="BV503" i="40"/>
  <c r="BV521" i="40"/>
  <c r="BV653" i="40"/>
  <c r="BV662" i="40"/>
  <c r="BV609" i="40"/>
  <c r="BV584" i="40"/>
  <c r="BV600" i="40"/>
  <c r="BV646" i="40"/>
  <c r="BV238" i="40"/>
  <c r="BV655" i="40"/>
  <c r="BV611" i="40"/>
  <c r="BV664" i="40"/>
  <c r="BV602" i="40"/>
  <c r="BV648" i="40"/>
  <c r="BV639" i="40"/>
  <c r="BV526" i="40"/>
  <c r="BV657" i="40"/>
  <c r="BV512" i="40"/>
  <c r="BV603" i="40"/>
  <c r="BV666" i="40"/>
  <c r="BV480" i="40"/>
  <c r="BV604" i="40"/>
  <c r="BV641" i="40"/>
  <c r="BV650" i="40"/>
  <c r="BV112" i="40"/>
  <c r="BV514" i="40"/>
  <c r="BV667" i="40"/>
  <c r="BV668" i="40"/>
  <c r="BV597" i="40"/>
  <c r="BV528" i="40"/>
  <c r="BU466" i="40"/>
  <c r="BL346" i="40"/>
  <c r="BC343" i="40"/>
  <c r="BU465" i="40"/>
  <c r="BU99" i="40"/>
  <c r="BC342" i="40"/>
  <c r="BC94" i="40"/>
  <c r="BL94" i="40"/>
  <c r="BC597" i="40"/>
  <c r="BC596" i="40"/>
  <c r="BL598" i="40"/>
  <c r="BU343" i="40"/>
  <c r="BC341" i="40"/>
  <c r="BU113" i="40"/>
  <c r="BC113" i="40"/>
  <c r="BU94" i="40"/>
  <c r="BC346" i="40"/>
  <c r="BU345" i="40"/>
  <c r="BU114" i="40"/>
  <c r="BU344" i="40"/>
  <c r="BL597" i="40"/>
  <c r="BC122" i="40"/>
  <c r="BU597" i="40"/>
  <c r="BU93" i="40"/>
  <c r="BL343" i="40"/>
  <c r="BL344" i="40"/>
  <c r="BT683" i="40" a="1"/>
  <c r="BT683" i="40" s="1"/>
  <c r="BB683" i="40" a="1"/>
  <c r="BB683" i="40" s="1"/>
  <c r="BK683" i="40" a="1"/>
  <c r="BK683" i="40" s="1"/>
  <c r="BV11" i="40"/>
  <c r="BD11" i="40"/>
  <c r="BM11" i="40"/>
  <c r="H54" i="40"/>
  <c r="H59" i="40" s="1"/>
  <c r="BD10" i="40"/>
  <c r="BD94" i="40" s="1"/>
  <c r="BV10" i="40"/>
  <c r="BV113" i="40" s="1"/>
  <c r="BM10" i="40"/>
  <c r="BM342" i="40" s="1"/>
  <c r="BV102" i="40" l="1"/>
  <c r="BM345" i="40"/>
  <c r="BM346" i="40"/>
  <c r="BM113" i="40"/>
  <c r="BD113" i="40"/>
  <c r="BM341" i="40"/>
  <c r="BD345" i="40"/>
  <c r="BM93" i="40"/>
  <c r="BM122" i="40"/>
  <c r="BD122" i="40"/>
  <c r="BV94" i="40"/>
  <c r="BV346" i="40"/>
  <c r="BV344" i="40"/>
  <c r="BD344" i="40"/>
  <c r="BV345" i="40"/>
  <c r="BM114" i="40"/>
  <c r="BV343" i="40"/>
  <c r="BV93" i="40"/>
  <c r="BV114" i="40"/>
  <c r="BV122" i="40"/>
  <c r="BV341" i="40"/>
  <c r="BD343" i="40"/>
  <c r="BD114" i="40"/>
  <c r="BM344" i="40"/>
  <c r="BM94" i="40"/>
  <c r="BM343" i="40"/>
  <c r="BD93" i="40"/>
  <c r="BD342" i="40"/>
  <c r="BD102" i="40"/>
  <c r="BV342" i="40"/>
  <c r="BM102" i="40"/>
  <c r="BD346" i="40"/>
  <c r="BD341" i="40"/>
  <c r="BL683" i="40" a="1"/>
  <c r="BL683" i="40" s="1"/>
  <c r="H56" i="40" s="1"/>
  <c r="BC683" i="40" a="1"/>
  <c r="BC683" i="40" s="1"/>
  <c r="H55" i="40" s="1"/>
  <c r="BU683" i="40" a="1"/>
  <c r="BU683" i="40" s="1"/>
  <c r="H57" i="40" s="1"/>
  <c r="I54" i="40"/>
  <c r="I59" i="40" s="1"/>
  <c r="G57" i="40"/>
  <c r="G56" i="40"/>
  <c r="G55" i="40"/>
  <c r="F56" i="40"/>
  <c r="F57" i="40"/>
  <c r="F55" i="40"/>
  <c r="E55" i="40"/>
  <c r="E57" i="40"/>
  <c r="E56" i="40"/>
  <c r="D56" i="40"/>
  <c r="D55" i="40"/>
  <c r="D57" i="40"/>
  <c r="C57" i="40"/>
  <c r="C56" i="40"/>
  <c r="C55" i="40"/>
  <c r="D60" i="40" l="1"/>
  <c r="H62" i="40"/>
  <c r="BD683" i="40" a="1"/>
  <c r="BD683" i="40" s="1"/>
  <c r="I55" i="40" s="1"/>
  <c r="K55" i="40" s="1"/>
  <c r="G61" i="40"/>
  <c r="H60" i="40"/>
  <c r="BV683" i="40" a="1"/>
  <c r="BV683" i="40" s="1"/>
  <c r="I57" i="40" s="1"/>
  <c r="BM683" i="40" a="1"/>
  <c r="BM683" i="40" s="1"/>
  <c r="I56" i="40" s="1"/>
  <c r="E61" i="40"/>
  <c r="G60" i="40"/>
  <c r="F60" i="40"/>
  <c r="G62" i="40"/>
  <c r="C60" i="40"/>
  <c r="E60" i="40"/>
  <c r="F61" i="40"/>
  <c r="C62" i="40"/>
  <c r="D61" i="40"/>
  <c r="E62" i="40"/>
  <c r="F62" i="40"/>
  <c r="D62" i="40"/>
  <c r="H61" i="40"/>
  <c r="C61" i="40"/>
  <c r="I62" i="40" l="1"/>
  <c r="K57" i="40"/>
  <c r="I61" i="40"/>
  <c r="I60" i="40"/>
  <c r="K56" i="4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<sst xmlns="http://schemas.openxmlformats.org/spreadsheetml/2006/main" count="3063" uniqueCount="1130">
  <si>
    <t>BIBLIOGRAPHICAL REFERENCE</t>
  </si>
  <si>
    <t>SHELL GEOMETRY</t>
  </si>
  <si>
    <t>SHELL MATERIAL PROPERTIES</t>
  </si>
  <si>
    <t>ELEMENT TYPE</t>
  </si>
  <si>
    <t>QUALITY CONTROL</t>
  </si>
  <si>
    <t>LOAD TEST</t>
  </si>
  <si>
    <t>OTHER COMMENTS</t>
  </si>
  <si>
    <t>TITLE</t>
  </si>
  <si>
    <t>AUTHOR</t>
  </si>
  <si>
    <t>PUBLICATION DATE</t>
  </si>
  <si>
    <t>SOURCE TYPE</t>
  </si>
  <si>
    <t>NAME OF JOURNAL/BOOK</t>
  </si>
  <si>
    <t>OTHER INFORMATION</t>
  </si>
  <si>
    <t>LINK/DOI</t>
  </si>
  <si>
    <t>TYPE</t>
  </si>
  <si>
    <t>Test name</t>
  </si>
  <si>
    <t>Thickness [mm]</t>
  </si>
  <si>
    <t>Radius [mm]</t>
  </si>
  <si>
    <t>Height [mm]</t>
  </si>
  <si>
    <t>Omega
Ω</t>
  </si>
  <si>
    <t>r/t [-]</t>
  </si>
  <si>
    <t>Material</t>
  </si>
  <si>
    <r>
      <t>Full plastic value F</t>
    </r>
    <r>
      <rPr>
        <vertAlign val="subscript"/>
        <sz val="12"/>
        <color theme="1"/>
        <rFont val="Calibri (Body)"/>
      </rPr>
      <t>pl</t>
    </r>
    <r>
      <rPr>
        <sz val="12"/>
        <color theme="1"/>
        <rFont val="Calibri"/>
        <family val="2"/>
        <scheme val="minor"/>
      </rPr>
      <t xml:space="preserve"> [kN] or ultimate stress [N/mm2]</t>
    </r>
  </si>
  <si>
    <t>Elasticity modulus [N/mm2]</t>
  </si>
  <si>
    <t>Yield strength Offset not specified [N/mm2]</t>
  </si>
  <si>
    <t>Yield strength Compression 0.2% Offset [N/mm2]</t>
  </si>
  <si>
    <t>Yield strength Compression 0.5% Offset [N/mm2]</t>
  </si>
  <si>
    <t>Estimation method (for measured type only)</t>
  </si>
  <si>
    <t>Manufacturing/construction process</t>
  </si>
  <si>
    <t>Support conditions</t>
  </si>
  <si>
    <t>Quality control?</t>
  </si>
  <si>
    <t>Surface imperfection measurements?</t>
  </si>
  <si>
    <t>Imperfection measurement results</t>
  </si>
  <si>
    <t>Load test?</t>
  </si>
  <si>
    <t>Conduct of experiment</t>
  </si>
  <si>
    <t>Result plots</t>
  </si>
  <si>
    <t>Comments (non-uniformities in loading due to arrangement or imperfection amplitudes recorded before loading?)</t>
  </si>
  <si>
    <t>Faillure mode</t>
  </si>
  <si>
    <t>Plastic buckling of axially compressed cylindrical shells</t>
  </si>
  <si>
    <t>S. C. BATTERMAN</t>
  </si>
  <si>
    <t>Journal</t>
  </si>
  <si>
    <t>AIAA Journal</t>
  </si>
  <si>
    <t>Volume 3, Number 2</t>
  </si>
  <si>
    <t>https://doi.org/10.2514/3.2848</t>
  </si>
  <si>
    <t>Measured</t>
  </si>
  <si>
    <t>2024-T4 aluminum tubing</t>
  </si>
  <si>
    <t>Longitudinal tensile coupons and longitudinal bending specimens were cut from widely separated sections of the 12-ft-long stock tube. 3 inch outer diameter, 0.25 inch thickness. Actual method used to test the specimens is not specified</t>
  </si>
  <si>
    <t>Lab</t>
  </si>
  <si>
    <t>Base material from which all specimens were machined was 2024-T4 extruded aluminum tubing (3 inch outer diameter, 0.25 inch. wall). This alloy was chosen for its desirable machining properties and because it workhardens appreciably over the entire strain range of interest.</t>
  </si>
  <si>
    <t>No</t>
  </si>
  <si>
    <t>Cylinder had abrupt ends and was loaded through ball and socket</t>
  </si>
  <si>
    <t>-</t>
  </si>
  <si>
    <t>Axisymmetric mode with outward wave more pronounced at the top</t>
  </si>
  <si>
    <t>1A</t>
  </si>
  <si>
    <t>Cut from buckled cylinder #1 ; tested flat ended</t>
  </si>
  <si>
    <t>Axisymmetric mode</t>
  </si>
  <si>
    <t>2A</t>
  </si>
  <si>
    <t>Cut from buckled cylinder #2; tested flat ended</t>
  </si>
  <si>
    <t>2B</t>
  </si>
  <si>
    <t>Cut from buckled cylinder #2; loaded thorugh ball and socket</t>
  </si>
  <si>
    <t>Tapered ends; loaded through ball and socket</t>
  </si>
  <si>
    <t>Tapered ends; tested flat ended</t>
  </si>
  <si>
    <t>Uniform end condition; tested flat ended</t>
  </si>
  <si>
    <t>No buckling failure; fracture at 79,250 psi (nominal)</t>
  </si>
  <si>
    <t>Uniform end condition</t>
  </si>
  <si>
    <t>Load snapping elastic failure; inward diamond shaped pattern</t>
  </si>
  <si>
    <t>No discernible pattern at maximum load; further straining brings out beginnings of clear diamond shaped pattern</t>
  </si>
  <si>
    <t>Tested flat ended between smooth bearing blocks</t>
  </si>
  <si>
    <t>Specimens were machined so that the ends were parallel to within ±0.0005 in. For some tests the bearing blocks were sprayed with either a molybdenum disulfide or fluorocarbon dry lubricant, whereas for other tests Teflon sheets were inserted between the specimen and the bearing blocks. No consistent difference was noted. Is not stated which tests had the spraying or sheets</t>
  </si>
  <si>
    <t>Tests were performed flat ended between smooth bearing blocks. Specimens were tested at slow strain rates using a 120,000-lb capacity Riechle machine. For the thicker specimens, time dependent effects occurred so load was recorded after the δav/L was less than 0.0001/min.</t>
  </si>
  <si>
    <t>Tests were performed flat ended between smooth bearing blocks. Specimens were machined so that the ends were parallel to within ±0.0005 inches.</t>
  </si>
  <si>
    <t>Transition mode; axisymmetric near ends, gentle diamond shaped pattern in central region</t>
  </si>
  <si>
    <t>Well-defined inward diamond shaped pattern</t>
  </si>
  <si>
    <t>Loaded to 96,000 psi (nominal); noticeable barreling but load did not reach a maximum</t>
  </si>
  <si>
    <t>AX mode with some irregularities</t>
  </si>
  <si>
    <t>Plastic Buckling of Cylindrical Shells Under Axial Compression</t>
  </si>
  <si>
    <t xml:space="preserve">S. Z. Newman &amp; L. H. Sobel </t>
  </si>
  <si>
    <t>J. Pressure Vessel Technol.</t>
  </si>
  <si>
    <t>Feb 1980, 102(1): 40-44</t>
  </si>
  <si>
    <t>https://doi-org.iclibezp1.cc.ic.ac.uk/10.1115/1.3263299</t>
  </si>
  <si>
    <t>C-1</t>
  </si>
  <si>
    <t>Coupons were cut from longer tubes and two uniaxial tensile tests using a MTS machine were carried out. Strains were computed from extensometer readings</t>
  </si>
  <si>
    <t>The cylinders are cut from nominal 3.50-in. (8.89-cm) O.D. by 0.095-in. (0.24-cm) thick AISI 304 SS tubes.</t>
  </si>
  <si>
    <t>Tested cylinders are in contact with loading plates which prevent it from freely expanding radially at its ends due to friction between the cylinder and the loading plates.</t>
  </si>
  <si>
    <t>Yes</t>
  </si>
  <si>
    <t>Tested at slow strain rates in a Baldwin Universal Testing Machine at room temperature under axial compression. The axial load was applied slowly in increments. The maximum load the cylinder could sustain is defined to be the buckling load.</t>
  </si>
  <si>
    <t>Material properties provided here refer to uniaxial tension testing not compression. Report states that the ends of C-4 were "not held circular during deformation, and this may explain why the buckling load for C-4 is approximately 13 percent below the average of the buckling loads for the other three specimens". Poisson's ratio of 0.274 has been given so this has been used instead of 0.3 to calculate the classical failure stress.</t>
  </si>
  <si>
    <t>C-2</t>
  </si>
  <si>
    <t>C-3</t>
  </si>
  <si>
    <t>C-4</t>
  </si>
  <si>
    <t>Buckling behaviour of axially compressed cylindrical shells made of stainless steel</t>
  </si>
  <si>
    <t>Anna Gorbachov, Natalie Stranghöner, J. Michael Rotter</t>
  </si>
  <si>
    <t>ce/papers</t>
  </si>
  <si>
    <t>Volume 1, Issue 2-3, pg 828-837</t>
  </si>
  <si>
    <t>https://doi.org/10.1002/cepa.123</t>
  </si>
  <si>
    <t>Nominal</t>
  </si>
  <si>
    <t>200_0.5_F1</t>
  </si>
  <si>
    <r>
      <t>Plastic load capacity    F</t>
    </r>
    <r>
      <rPr>
        <vertAlign val="subscript"/>
        <sz val="12"/>
        <color theme="1"/>
        <rFont val="Calibri (Body)"/>
      </rPr>
      <t>pl</t>
    </r>
    <r>
      <rPr>
        <sz val="12"/>
        <color theme="1"/>
        <rFont val="Calibri"/>
        <family val="2"/>
        <scheme val="minor"/>
      </rPr>
      <t xml:space="preserve"> = f</t>
    </r>
    <r>
      <rPr>
        <vertAlign val="subscript"/>
        <sz val="12"/>
        <color theme="1"/>
        <rFont val="Calibri (Body)"/>
      </rPr>
      <t>y</t>
    </r>
    <r>
      <rPr>
        <sz val="12"/>
        <color theme="1"/>
        <rFont val="Calibri"/>
        <family val="2"/>
        <scheme val="minor"/>
      </rPr>
      <t>*A = f</t>
    </r>
    <r>
      <rPr>
        <vertAlign val="subscript"/>
        <sz val="12"/>
        <color theme="1"/>
        <rFont val="Calibri (Body)"/>
      </rPr>
      <t>y</t>
    </r>
    <r>
      <rPr>
        <sz val="12"/>
        <color theme="1"/>
        <rFont val="Calibri"/>
        <family val="2"/>
        <scheme val="minor"/>
      </rPr>
      <t>*2*pi*r*t</t>
    </r>
  </si>
  <si>
    <t>Original steel plates rolled into cylindrical shells and afterwards TIG-welded. To restrict heat during welding, a specific device with copper elements was made. The 3 mm thick specimens (lower slenderness) were re-rolled after welding because the welding process causes high imperections.</t>
  </si>
  <si>
    <t xml:space="preserve">Set into two steel end rights with circular grooves later filled with solid sealing resin </t>
  </si>
  <si>
    <t>Initial imperfections measured with special facility before and after testing. Each shell was repeteadly rotated through 360 degrees whist the geometry of the outer surface was measured using 7 inductive displacement transducers at over 12000 points</t>
  </si>
  <si>
    <t>Strain gauges used to monitor the uniformity of loading (6 in upper and lower bearing zones)</t>
  </si>
  <si>
    <t>200_0.5_F2</t>
  </si>
  <si>
    <t>150_1_F1</t>
  </si>
  <si>
    <t>150_1_F2</t>
  </si>
  <si>
    <t>150_3_F1</t>
  </si>
  <si>
    <t>150_3_F2</t>
  </si>
  <si>
    <t>200_0.6_D1</t>
  </si>
  <si>
    <t>200_0.6_D2</t>
  </si>
  <si>
    <t>150_1_D1</t>
  </si>
  <si>
    <t>150_1_D2</t>
  </si>
  <si>
    <t>150_3_D1</t>
  </si>
  <si>
    <t>150_3_D2</t>
  </si>
  <si>
    <t>Experimental nondestructive test for estimation of buckling load on unstiffened cylindrical shells using vibration correlation technique</t>
  </si>
  <si>
    <t>Kaspars Kalnins, Mariano A. Arbelo, Olgerts Ozolins, Eduards Skukis, Saullo G. P. Castro, and Richard Degenhardt</t>
  </si>
  <si>
    <t>Research Article</t>
  </si>
  <si>
    <t>Hindawi Publishing Corporation</t>
  </si>
  <si>
    <t>Volume 2015, Article ID 729684, 8 pages</t>
  </si>
  <si>
    <t>SST-1</t>
  </si>
  <si>
    <t>AISI 304 stainless steel</t>
  </si>
  <si>
    <t>Laser scan (Panasonic HL-G1 sensor) used to measure the geometric imperfection on the inner surface. For all cases the best-fit-cylinder algorithm is applied afterwards over the raw data to eliminate the rigid body motion modes from the measurement</t>
  </si>
  <si>
    <t>Laser welding technique used to join both ends of the specimen generates a characteristic imperfection signature</t>
  </si>
  <si>
    <t>A spherical joint is placed between the crosshead of the testing machine and the loading plate, in order to avoid bending moments. The compression test for SST-1 cylindrical shells is performed using a Zwick 100 kN testing machine. Because SST-2 is too large to be fitted on the same machine, an Instron SATEC 600 kN testing machine is used in this case. In all cases the compressive load is measured using a load cell and it is applied using displacement control at a constant velocity of 0.5 mm/min. Compressive load is applied in small increments and the frequencies and vibration modes are measured using the laser vibrometer. This procedure is followed up to buckling, when the structure collapses and is no longer useful</t>
  </si>
  <si>
    <t>Two laminated composites and two stainless steel cylindrical shells are fabricated and tested too (not included here)</t>
  </si>
  <si>
    <t>Athiannan, K., Palaninathan, R</t>
  </si>
  <si>
    <t>Sadhan</t>
  </si>
  <si>
    <t>Volume 29, Part 1, pp. 93-115</t>
  </si>
  <si>
    <t>https://doi.org/10.1007/BF02707003</t>
  </si>
  <si>
    <t>AX-01</t>
  </si>
  <si>
    <t>SS-316</t>
  </si>
  <si>
    <t>Thick flanges machined to an accuracy of 0.01 mm are fitted on both ends of the models (ensures circularity of shell models).</t>
  </si>
  <si>
    <t>AX-02</t>
  </si>
  <si>
    <t>AX-03</t>
  </si>
  <si>
    <t>AX-04</t>
  </si>
  <si>
    <t>AX-05</t>
  </si>
  <si>
    <t>AX-06</t>
  </si>
  <si>
    <t>AX-07</t>
  </si>
  <si>
    <t>AX-08</t>
  </si>
  <si>
    <t>AX-09</t>
  </si>
  <si>
    <t>SS-304</t>
  </si>
  <si>
    <t>AX-10</t>
  </si>
  <si>
    <t>AX-11</t>
  </si>
  <si>
    <t>AX-12</t>
  </si>
  <si>
    <t>A</t>
  </si>
  <si>
    <t>Plated copper</t>
  </si>
  <si>
    <t>Electroforming process (uniform thickness without seam obtained). After plating was completed, the mandrel was rinsed and the shell then cut to the desired length.</t>
  </si>
  <si>
    <t>Ring acting as mount designed such that it was resistant to inplane motion but more flexible in out-of-plane motion</t>
  </si>
  <si>
    <t>Initial imperfection measured = deviation of the generators of the shell from a striaght line.</t>
  </si>
  <si>
    <r>
      <t>Thickness of the shell was found to be quite uniform (error less than +- 3 %). Initial imperfection amplitude a</t>
    </r>
    <r>
      <rPr>
        <vertAlign val="subscript"/>
        <sz val="12"/>
        <color theme="1"/>
        <rFont val="Calibri (Body)"/>
      </rPr>
      <t>0</t>
    </r>
    <r>
      <rPr>
        <sz val="12"/>
        <color theme="1"/>
        <rFont val="Calibri"/>
        <family val="2"/>
        <scheme val="minor"/>
      </rPr>
      <t>/t:</t>
    </r>
  </si>
  <si>
    <t>Controlled displacement testing machine</t>
  </si>
  <si>
    <t>B</t>
  </si>
  <si>
    <t>C</t>
  </si>
  <si>
    <t>Elastic Stability of Thin- Walled Cylindrical and
Conical Shells under Axial Compression</t>
  </si>
  <si>
    <t>Weingarten V I, Morgan E J, Seide P</t>
  </si>
  <si>
    <t>Volume 3, pp. 500-505</t>
  </si>
  <si>
    <t>https://doi.org/10.2514/3.2893</t>
  </si>
  <si>
    <t>RESULTS HERE : 27 Weingarten, V. I., Morgan, E. J., and Seide, P., "Designcriteria for the elastic stability of thin-walled cylindrical andconical shells under axial compression," Northrop Norair, NB64-125 (June 1964).</t>
  </si>
  <si>
    <t>The development of design criteria for elastic stability of thin shell structures</t>
  </si>
  <si>
    <t>Seide, P. ; Weingarten, V.I. ; Morgan, E.J.</t>
  </si>
  <si>
    <t>Report</t>
  </si>
  <si>
    <t>Defense technical information center</t>
  </si>
  <si>
    <t>https://apps.dtic.mil/sti/citations/AD0490800</t>
  </si>
  <si>
    <t xml:space="preserve">Measured </t>
  </si>
  <si>
    <t>Steel</t>
  </si>
  <si>
    <t xml:space="preserve">Steel specimens, seam welded and spun were obtained from an outside source. </t>
  </si>
  <si>
    <t>Steel specimens, seam welded and spun, were obtained from an outside source</t>
  </si>
  <si>
    <t>Steel specimens were fixed in Cerromatrix in the upper and lower clamps</t>
  </si>
  <si>
    <t>A New Theory for the Buckling of Thin Cylinders Under Axial Compression and Bending</t>
  </si>
  <si>
    <t>L. H. DONNELL</t>
  </si>
  <si>
    <t>A.S.M.E Transactions</t>
  </si>
  <si>
    <t>Vol. 56, pages 795-806, November 1934</t>
  </si>
  <si>
    <t>http://cybra.p.lodz.pl/Content/6356/AER_56_12.pdf</t>
  </si>
  <si>
    <t>Mild steel</t>
  </si>
  <si>
    <t>This report merely states that the ends of the cylinder were clamped or fixed in some way. The other report on torsion says that medum length cylinders were soldered to heavy end plates. Based on the figures this appears to be the case here as well</t>
  </si>
  <si>
    <t>Axial loads are applied though universal joints to ensure a definite line of action of the load and prevent eccentric loading.</t>
  </si>
  <si>
    <t>Brass</t>
  </si>
  <si>
    <t>Stability of thin walled Tubes under Torsion</t>
  </si>
  <si>
    <t>NACA</t>
  </si>
  <si>
    <t>Report No. 479</t>
  </si>
  <si>
    <t>https://ntrs.nasa.gov/citations/19930091553</t>
  </si>
  <si>
    <t>Axial compression test of thin circular cylinders. A. Length effect. B. Visual study of buckling</t>
  </si>
  <si>
    <t>Kanemitsu, Sunao and Nojima, Noble M.</t>
  </si>
  <si>
    <t>Master's thesis</t>
  </si>
  <si>
    <t>California Institute of Technology</t>
  </si>
  <si>
    <t>doi:10.7907/HBZ9-MZ48</t>
  </si>
  <si>
    <t>Cut to the length of the developed surface and placed in the bulkhead. To control the height of the cylinder, the edge which went between the clamps was milled so that the edges were parallel and straight.</t>
  </si>
  <si>
    <t>The cylinder was attached to bulkhead shown in figure 2, of special design with built in clamps. These clamps were 1/2 inch deep, and each clamp was tightened with a single screw</t>
  </si>
  <si>
    <t xml:space="preserve">The load is applied by the jack and transmitted through the ring. Load was applied slowly but continuously </t>
  </si>
  <si>
    <t>T1</t>
  </si>
  <si>
    <t>T2</t>
  </si>
  <si>
    <t>T3</t>
  </si>
  <si>
    <t>T4</t>
  </si>
  <si>
    <t>T5</t>
  </si>
  <si>
    <t>The strength of thin cylindrical shells as columns</t>
  </si>
  <si>
    <t>Wilson, Wilbut M. &amp; Newmark, Nathan M.</t>
  </si>
  <si>
    <t>Report of an investigation</t>
  </si>
  <si>
    <t>University of Illinois</t>
  </si>
  <si>
    <t>Bulletimg No. 255</t>
  </si>
  <si>
    <t>Note: internal radius given</t>
  </si>
  <si>
    <t>A1</t>
  </si>
  <si>
    <t>Coupons (control specimen)</t>
  </si>
  <si>
    <t>Lap-welded steel pipe</t>
  </si>
  <si>
    <t>MACHINED SPECIMENS</t>
  </si>
  <si>
    <t>Lap-welded steel pipe, wrought iron pipe, Shelby seamless steel tubing, and hot-rolled seamless seel tubing.
Specimens made of Shelby seamless tubing were machined to the desired thickness by turning the outside only; all other specimens were machined both inside and outside to the desired thickness, which was measured with an instrument on the principle of a micrometer caliper with a deep throat.</t>
  </si>
  <si>
    <t xml:space="preserve">Most specimens had 1/2 inches collars at the ends, which acted as stiffeners but were for the purpose of allowing apparatus to be attached.
For 4 inch specimen: A special bearing block or plug in contact with the end of the specimen had a cylindrical projection that fitted snugly on the inside and extended into the end of the specimen.
</t>
  </si>
  <si>
    <t>Coupon for tension control (cut from same pieces of pipe) - flat, with same thickness as finished specimen</t>
  </si>
  <si>
    <t>VERY UNUSUAL RESULTS, BUT CROSS-REFERENCED WITH NACA 743 DOCUMENT (LUNDQUIST) AND THEY PROVIDE THE SAME DATA</t>
  </si>
  <si>
    <t>A2</t>
  </si>
  <si>
    <t>A3</t>
  </si>
  <si>
    <t>A5</t>
  </si>
  <si>
    <t>A6</t>
  </si>
  <si>
    <t>A7</t>
  </si>
  <si>
    <t>A15</t>
  </si>
  <si>
    <t>A16</t>
  </si>
  <si>
    <t>D1</t>
  </si>
  <si>
    <t>Shelby seamless steel tubing</t>
  </si>
  <si>
    <t>Tubular tension control specimen machined to the same thickness as the shells which they represent (too thin to permit the machining of coupons).
All 4 inch specimens were tested in a 30000lb Riehle testing machine. Generally a spherical bearing block was used in conjunction with the plug, and was wedged into place after a small initial load had been applied.</t>
  </si>
  <si>
    <t>D2</t>
  </si>
  <si>
    <t>D3</t>
  </si>
  <si>
    <t>D4</t>
  </si>
  <si>
    <t>D5</t>
  </si>
  <si>
    <t>Hot-rolled seamless steel tubing</t>
  </si>
  <si>
    <t>For 14 inch specimen: The bottom of the specimen rested directly on a fixed bearing block, and the inside at the bottom was stiffened by a ring that fitted snugly into the specimen</t>
  </si>
  <si>
    <t xml:space="preserve">Coupon for tension control (cut from same pieces of pipe) - flat, with same thickness as finished specimen
All 14 inch specimens were tested in a 200000lb Riehle machine. </t>
  </si>
  <si>
    <t>E-816R</t>
  </si>
  <si>
    <t>FABRICATED SPECIMENS</t>
  </si>
  <si>
    <t>Welded butt girth seam or riveted lap girth seam. Vertical seams were of the same type as the girth seams. Angles spot-welded to the shell around the top and the bottom, but contact with the loading head and bed of the testing machine was made by the shell alone.</t>
  </si>
  <si>
    <t>The fabricated steel cylinders were loaded directly between the heads of a testing machine. The ends of the cylinder were held circular by means of either a steel angle or a wood ring, but contact with the heads of the machine was made by the shell alone. This fact, together with the fact that fabricated cylinders with rivited or welded seams are inherently less perfect than machined cylinders, may possibly account for the reduced strength of the Wilson and Newmark cylinders. (NACA 473)</t>
  </si>
  <si>
    <t>E-817R</t>
  </si>
  <si>
    <t>E-114</t>
  </si>
  <si>
    <t>E-86</t>
  </si>
  <si>
    <t>Hot-rolled steel plate. The small diameter cylinders were made of one plate each and had one vertical seam. The larger specimens had two vertical seams. The ends (except the 2 smallest) were held cylindrical in shape during the tests by beams of a disk</t>
  </si>
  <si>
    <t>Butt-welding medium-grade, hot-rolled steel plate. Shorter specimens made from one plate with one vertical seam. Longer specimens made up of sections  connected so that the vertical seams of adjacent sections were diametrically opposite</t>
  </si>
  <si>
    <t>Interactive Buckling Tests on Cylinders Subjected to External Pressure and Axial Compression</t>
  </si>
  <si>
    <t>G. D. Galletly, S. James, J. Kruzelecki, K. Pemsing</t>
  </si>
  <si>
    <t> Journal of Pressure Vessel Technology</t>
  </si>
  <si>
    <t>J. Pressure Vessel Technol. February 1987, 109(1): 10–18.</t>
  </si>
  <si>
    <t>https://doi.org/10.1115/1.3264842</t>
  </si>
  <si>
    <t>Mild Steel</t>
  </si>
  <si>
    <t>Flat tensile specimens were taken along and transverse to the rolling direction of the steel sheet. The values of the tensile yield stress for the transverse specimens were slightly higher (about 8 percent) than the others. Elastic modulus E not specifically given for each of the tests but based on previous values in the report is likely to be about 197000 N/mm2.</t>
  </si>
  <si>
    <t>Mild steel sheets were wrapped around a mandrel and welded longitudinally. This means axismymmetric welding residual stresses exist.</t>
  </si>
  <si>
    <t>Ends of the cylinders were insterted into grooves in the end rings. The rings were filled with wood's metal for the R/t = 300 samples. See sketch included at the end.  Cylinders were partially clamped</t>
  </si>
  <si>
    <t>Models were subjected to dimensional surveys. Circularity was checked using an air-bearing out-of-roundness measuring instrument; lack of straightness was measured by means of a clock gage fixed to a vernier stand so that it could be moved along the meridian. The models were checked to see they satisfied the ECCS requirements on initial geometric imperfections i.e. w0 &lt; 0.04 sqrt(Rt) in the axial direction and w0 &lt; 0.005T in the hoop direction.</t>
  </si>
  <si>
    <t>The initial imperfections were not axisymmetric.</t>
  </si>
  <si>
    <t>It was tested in a specially designed facility where the axial load and the external pressure could be varied independently. The first buckle picked up by a rotating probe (inside the cylinder and linked to a microcomputer and a monitor) was taken as the occurrence of buckling.</t>
  </si>
  <si>
    <t>Tables of results do not specify the r or t, just the r/t ratio. A single value of r and t has been provided for the r/t = 300 range and this has been assumed to be representative. Results were obtained from Table 2 of the report. The length of the specimen was then inferred based off this. Elastic modulus E not specifically given for each of the tests but based on previous values in the report is likely to be about 197000 N/mm2.</t>
  </si>
  <si>
    <t>C4</t>
  </si>
  <si>
    <t>C4a</t>
  </si>
  <si>
    <t>C4b</t>
  </si>
  <si>
    <t>The strength of tubular struts</t>
  </si>
  <si>
    <t>Robertson A.</t>
  </si>
  <si>
    <t>Proceedings of the Royal Society of London</t>
  </si>
  <si>
    <t>Series A. Vol 121 No 788, pp 558-585</t>
  </si>
  <si>
    <t>https://www.jstor.org/stable/95119?seq=1#metadata_info_tab_contents</t>
  </si>
  <si>
    <t>Large tubes made from thin steel strips</t>
  </si>
  <si>
    <t>Yield strength from limit of proportionality in tension. Very difficult to get a good compression test of the material when in the form of such thin strips. On the 3 and 5 inch specimes and extensometer was used. Tests were made in tension across the strip, but the difficulties of securing a reasonably accurate stress distribution on such short specimens gave results which were considered fictitious. It is, therefore, impossible to say what is the real proportional elastic limit in compression in the direction in which the stress was applied</t>
  </si>
  <si>
    <t>Wrapping the strip (about 5 inches wide and 0.0015 inch thick) on a mandrill so that the edges butted and then soldering the joint.</t>
  </si>
  <si>
    <t>The ends were faced up whilst on the madrill so as to secure a good bedding on the end-plates</t>
  </si>
  <si>
    <t xml:space="preserve">Special machine in series with a specimen of tool steel, to which an extensometer was attatched. </t>
  </si>
  <si>
    <t>Strip is not exactly straight and tubes cannot be exactly circular. These two defects leads to values less than theoretical ones</t>
  </si>
  <si>
    <t>Behaviour and design of hollow and concrete-filled spiral welded steel tube columns subjected to axial compression</t>
  </si>
  <si>
    <t>F. Aslani et al</t>
  </si>
  <si>
    <t>Journal of Constructional Steel Research</t>
  </si>
  <si>
    <t>128 pp.261-288</t>
  </si>
  <si>
    <t xml:space="preserve">http://dx.doi.org/10.1016/j.jcsr.2016.08.023
</t>
  </si>
  <si>
    <t>LWT</t>
  </si>
  <si>
    <t>H-LWT102-S</t>
  </si>
  <si>
    <t>For LWT, the orientation of anisotropy remains the same as that of the steel plate from which it is formed. As a result, the highest yield strength occurs in the direction around the circumference of the cylinder, which is termed the hoop strength. This also means that LWTs are weaker along the longitudinal axis</t>
  </si>
  <si>
    <t>Manufactured by helical rolling of steel coils. SWT and LWT columns were welded using the MIG process with a welding current of 160 A and a voltage of 25 V</t>
  </si>
  <si>
    <t>H-LWT152-S</t>
  </si>
  <si>
    <t>H-LWT203-S</t>
  </si>
  <si>
    <t>H-LWT254-S</t>
  </si>
  <si>
    <t>H-LWT203-L</t>
  </si>
  <si>
    <t>Cross-sectional behaviour of cold-formed high strength steel circular hollow sections</t>
  </si>
  <si>
    <t>Xin Meng, Leroy Gardner</t>
  </si>
  <si>
    <t>Thin-Walled Structures</t>
  </si>
  <si>
    <t>Volume 156, November 2020, 106822</t>
  </si>
  <si>
    <t>https://doi.org/10.1016/j.tws.2020.106822</t>
  </si>
  <si>
    <t>CHS 168.3×4</t>
  </si>
  <si>
    <t>CSC1</t>
  </si>
  <si>
    <t xml:space="preserve">S700 </t>
  </si>
  <si>
    <t>The coupon specimens were dimensioned in accordance with EN ISO 6892-1:2016 and were extracted longitudinally at 90 degrees to the welding seam. The tensile tests were performed using an Instron 250 kN hydraulic testing machine. To  prevent the  gripping jaws from squashing the ends of the coupons and introducing any loading eccentricity, high strength metal-filled epoxy putty was applied to the concave side of the gripped ends of the coupons.</t>
  </si>
  <si>
    <t>Sections are cold fromed</t>
  </si>
  <si>
    <t>0.12 mm</t>
  </si>
  <si>
    <t>The compression tests were performed using an Instron 3500 kN hydraulic testing machine.</t>
  </si>
  <si>
    <t>Ends of  the  specimens were machined flat and square to avoid a non-uniform distribution of  compressive stresses during testing.</t>
  </si>
  <si>
    <t>Outer diameter has been given so has been converted to radius to midline.</t>
  </si>
  <si>
    <t>CHS 139.7×4</t>
  </si>
  <si>
    <t>CSC2</t>
  </si>
  <si>
    <t>0.10 mm</t>
  </si>
  <si>
    <t>CHS 139.7×5</t>
  </si>
  <si>
    <t>CSC3</t>
  </si>
  <si>
    <t>S700</t>
  </si>
  <si>
    <t>0.08 mm</t>
  </si>
  <si>
    <t>CHS 139.7×6</t>
  </si>
  <si>
    <t>CSC4</t>
  </si>
  <si>
    <t>0.15 mm</t>
  </si>
  <si>
    <t>CHS 139.7×8</t>
  </si>
  <si>
    <t>CSC5</t>
  </si>
  <si>
    <t>CHS 139.7×10</t>
  </si>
  <si>
    <t>CSC6</t>
  </si>
  <si>
    <t>Behavior of Thin-walled Circular Hollow Section Stub Columns Under Axial Compression</t>
  </si>
  <si>
    <t>Guo, L., Liu, Y., Jiao, H. et al.</t>
  </si>
  <si>
    <t>International Journal of Steel Structures</t>
  </si>
  <si>
    <t>16 (3) 778-787</t>
  </si>
  <si>
    <t>https://doi.org/10.1007/s13296-015-0159-0</t>
  </si>
  <si>
    <t>DT75-1</t>
  </si>
  <si>
    <t>Three tensile coupons were cut from each steel sheet and tested in accordance with the Chinese standard BGJ2975. The average material properties are recorded</t>
  </si>
  <si>
    <t>Two 10mm thickness end plates were welded at both ends of each steel tube. Both ends of the tube walls were restrained from rotation so that a fixed end condition was provided</t>
  </si>
  <si>
    <t>Longitudinal welding of the tube resulted in residual stresses. According to Chen (1977), the measured residual stress distribution of half section is shown in Fig.13(a).</t>
  </si>
  <si>
    <t>Yielding with smooth outward deformation failure mode</t>
  </si>
  <si>
    <r>
      <rPr>
        <u/>
        <sz val="12"/>
        <color theme="1"/>
        <rFont val="Calibri (Body)"/>
      </rPr>
      <t>IMPORTANT</t>
    </r>
    <r>
      <rPr>
        <sz val="12"/>
        <color theme="1"/>
        <rFont val="Calibri"/>
        <family val="2"/>
        <scheme val="minor"/>
      </rPr>
      <t xml:space="preserve">: paper makes reference to a study carried out by Liu &amp; Day 2008, which indixates that the majority of CHS in buildings have </t>
    </r>
    <r>
      <rPr>
        <b/>
        <sz val="12"/>
        <color theme="1"/>
        <rFont val="Calibri"/>
        <family val="2"/>
        <scheme val="minor"/>
      </rPr>
      <t>D/t of less than 200</t>
    </r>
    <r>
      <rPr>
        <sz val="12"/>
        <color theme="1"/>
        <rFont val="Calibri"/>
        <family val="2"/>
        <scheme val="minor"/>
      </rPr>
      <t>, while the CHS used in wind turbine towers have larger D/t ratios.</t>
    </r>
  </si>
  <si>
    <t>DT75-2</t>
  </si>
  <si>
    <t>DT75-3</t>
  </si>
  <si>
    <t>DT100-1</t>
  </si>
  <si>
    <t>Local buckling in the elastic-plastic range</t>
  </si>
  <si>
    <t>DT100-2</t>
  </si>
  <si>
    <t>DT100-3</t>
  </si>
  <si>
    <t>DT125-1</t>
  </si>
  <si>
    <t>Similar behaviour to DT-100</t>
  </si>
  <si>
    <t>DT125-2</t>
  </si>
  <si>
    <t>DT125-3</t>
  </si>
  <si>
    <t>DT150-1</t>
  </si>
  <si>
    <t>DT150-2</t>
  </si>
  <si>
    <t>DT150-3</t>
  </si>
  <si>
    <t>DT200-1</t>
  </si>
  <si>
    <t>DT200-2</t>
  </si>
  <si>
    <t>DT300-1</t>
  </si>
  <si>
    <t>DT300-2</t>
  </si>
  <si>
    <t>Ou Zhao, Leroy Gardner, Ben Young</t>
  </si>
  <si>
    <t>Volume 101, April 2016, Pages 231-239</t>
  </si>
  <si>
    <t>https://doi.org/10.1016/j.tws.2015.12.003</t>
  </si>
  <si>
    <t>CHS 60.5x2.8</t>
  </si>
  <si>
    <t>AISI 304</t>
  </si>
  <si>
    <t>Ends of the stub columns were clamped by steel loops.</t>
  </si>
  <si>
    <t>The ends of each stub column were milled flat and square and then clamped by steel loops to eliminate any possibility of local failure at the ends due to any out-of-flatness of the end surfaces.</t>
  </si>
  <si>
    <t>CHS 76.3x3</t>
  </si>
  <si>
    <t>CHS 114.3x3</t>
  </si>
  <si>
    <t>CHS 139.4x3</t>
  </si>
  <si>
    <t>Dongxu Li, Brian Uy, Farhad Aslani, Chao Hou,</t>
  </si>
  <si>
    <t>Volume 154,Pages 67-83,ISSN 0143-974X</t>
  </si>
  <si>
    <t>H-100S</t>
  </si>
  <si>
    <t>Good correlation with FEM model and various design codes</t>
  </si>
  <si>
    <t>H-100L</t>
  </si>
  <si>
    <t>H-150S</t>
  </si>
  <si>
    <t>H-150L</t>
  </si>
  <si>
    <t>H-200S</t>
  </si>
  <si>
    <t>H-200L</t>
  </si>
  <si>
    <t>H-250S</t>
  </si>
  <si>
    <t>H-250L</t>
  </si>
  <si>
    <t>Test of steel columns thin cylindrical shells laced channels angles: a report of tests</t>
  </si>
  <si>
    <t>Wilson</t>
  </si>
  <si>
    <t>Engineering Experiment Station</t>
  </si>
  <si>
    <t>Bulletin No.292</t>
  </si>
  <si>
    <t>https://core.ac.uk/reader/4814280</t>
  </si>
  <si>
    <t>Tension control specimens were cut from the plates, one from each plate forming a course, that the direction of stress was the same for the controls as for the corresponding plates in the specimen. After the cylindrical shells had been loaded to failure, the control specimens for the courses which wrinkled were tested.</t>
  </si>
  <si>
    <t>All cylindrical shells were fabricated with butt welds. The ten small specimens were formed of sheets 40 in. wide, the width of the plate corresponding to the width of a course. The two large specimens D1 and D2 were each composed of four courses 7 ft. 6 in. wide; the other large-diameter specimens each contained 8 courses 3 ft. 9 in. wide. I.e. 8 segments each 3 ft. 9 in. tall stacked to reach a total height of 360 inches.</t>
  </si>
  <si>
    <t>"Both ends of the specimen were fixed." - Does not say how this was achieved.</t>
  </si>
  <si>
    <t>The deviation of the axis of the cylinder from a straight line was obtained from four wires extending from top to bottom, spaced 90 degrees apart around the cylinder. The distance of each wire from the shell was measured at the top, mid-height, and bottom at each of a number of loads up to near the ultimate. These measurements give the deviation from a straight line at no load, and the lateral deflection as the load was increased. Measurements of the inital imperfections have been amplified and plotted, but actual number for initial imperfection are not provided.</t>
  </si>
  <si>
    <t xml:space="preserve">Lobe formed 6 in. above bottom of 3rd course </t>
  </si>
  <si>
    <t>F1 and F2 had diaphragms and the rest did not. The diaphragms do not appear to have increased the strength ofthe F specimens. Values quoted for failure stress correspond to the average stress at failure. The flexural stress due to the eccentricity was also computed, and the values added to the average stresses to obtain the maximum unit stresses. Both average stress at failure and maximum stress at failure have been given in Table 2 of the report. These corrections are only approximations, but the corrected values given are an indication of the magnitude of the flexural stress due to lack of alignment of the axis of the column. Max load given in pounds has been converted to kN. It is remarked that F1 appears to have an anomalous result.</t>
  </si>
  <si>
    <t xml:space="preserve">Lobe formed 10 in. below top of 7th course </t>
  </si>
  <si>
    <t>B1</t>
  </si>
  <si>
    <t xml:space="preserve">Lobe formed 3 in. above bottom of 7th course </t>
  </si>
  <si>
    <t>B2</t>
  </si>
  <si>
    <t xml:space="preserve">Lobe formed 18 in. below top of 4th course </t>
  </si>
  <si>
    <t>C1</t>
  </si>
  <si>
    <t xml:space="preserve">Lobe formed at weld between 4th and 5th courses </t>
  </si>
  <si>
    <t>C2</t>
  </si>
  <si>
    <t xml:space="preserve">Lobe formed at middle of 1st course </t>
  </si>
  <si>
    <t xml:space="preserve">Lobe formed at middle of 4th course </t>
  </si>
  <si>
    <t xml:space="preserve">Lobe formed at top of 2nd course </t>
  </si>
  <si>
    <t>E1</t>
  </si>
  <si>
    <t xml:space="preserve">Lobe formed at middle of 2nd course </t>
  </si>
  <si>
    <t>E2</t>
  </si>
  <si>
    <t>F1</t>
  </si>
  <si>
    <t>H1</t>
  </si>
  <si>
    <t xml:space="preserve">Lobe formed just below bottom weld from NNE to W </t>
  </si>
  <si>
    <t>H2</t>
  </si>
  <si>
    <t xml:space="preserve">Lobe indented at weld between plates 3 and 4 extending from SW to SSE </t>
  </si>
  <si>
    <t>J1</t>
  </si>
  <si>
    <t xml:space="preserve">Three-lobe failure just below weld connecting plates 4 and 5 extending from SSW to SE to NE </t>
  </si>
  <si>
    <t>J2</t>
  </si>
  <si>
    <t xml:space="preserve">Main failure above and at weld between plates 3 and 4 extending from WSW to N to NNE </t>
  </si>
  <si>
    <t>K1</t>
  </si>
  <si>
    <t xml:space="preserve">A slightly flattened area on east side of plate 3 produced in shipping, bent inward at 1 000 000 lb. A five-lobe failure occurred at and below weld between plates 2 and 3 at 1 100 000 lb., extending from E to S to SW. A large indentation in plate 6 was hammered out before the test and had no effect upon the action of the specimen. </t>
  </si>
  <si>
    <t>K2</t>
  </si>
  <si>
    <t xml:space="preserve">Seven-lobe failure extending from ESE to N to SW developed between plates 4 and 5. </t>
  </si>
  <si>
    <t>Strength tests on thin-walled duralumin cylinders in compression</t>
  </si>
  <si>
    <t>Lundquist E.</t>
  </si>
  <si>
    <t>NACA Report</t>
  </si>
  <si>
    <t>NACA-TR-473</t>
  </si>
  <si>
    <t>http://hdl.handle.net/2060/19930091547</t>
  </si>
  <si>
    <t>Measured (thickness measured to an estimated precision of ± 0.0003 inch in a large number of stations)</t>
  </si>
  <si>
    <t>Duralumin</t>
  </si>
  <si>
    <r>
      <t xml:space="preserve">Modulus of elasticity is substantially the same in the two direrctions of the sheet but ultimate strength and yield point are considerably lower normal to than parallel to the direction of rolling. In Figure 1 data, longitudinal and transverse refer to specimens taken parallel and normal to the direction of rolling, respectively. </t>
    </r>
    <r>
      <rPr>
        <b/>
        <u/>
        <sz val="12"/>
        <color theme="1"/>
        <rFont val="Calibri (Body)"/>
      </rPr>
      <t>Transverse</t>
    </r>
    <r>
      <rPr>
        <sz val="12"/>
        <color theme="1"/>
        <rFont val="Calibri"/>
        <family val="2"/>
        <scheme val="minor"/>
      </rPr>
      <t xml:space="preserve"> data given - modulus of elasticity at 20,000 pounds </t>
    </r>
  </si>
  <si>
    <t>1. Duralumin sheet cut to dimensions of bulkheads
2. Parts bolted together and turned to the specified outside diameter (sheet wrapped and clamped to bulkheads)
3. Steel bands approximately one fourth inch thick were used to clamp the duralumin sheet to the bulkheads
4. A butt strap was fitted, drilled, and bolted in place to close the seam.</t>
  </si>
  <si>
    <t xml:space="preserve">End bulkheads constructed of two steel plates separated by plywood </t>
  </si>
  <si>
    <t>In general, the variation in thickness throughout the sheet was not more than 2 percent of the average thickness. The average thickness of the sheets was used in all calculations</t>
  </si>
  <si>
    <t>With the cylinder loaded at the axis, the I-inch butt strap at the seam caused a slight eccentricity on all specimens. The effect of this eccentricity was small, however, as there was no tendency for failure to occur consistently on one side of the cylinder.</t>
  </si>
  <si>
    <t>0.011 thick</t>
  </si>
  <si>
    <t>0.016 thick</t>
  </si>
  <si>
    <t>0.022 thick</t>
  </si>
  <si>
    <t>Copper</t>
  </si>
  <si>
    <t>Tests of fabricated tubular columns</t>
  </si>
  <si>
    <t>Chen W, Ross D.</t>
  </si>
  <si>
    <t>Journal of the Structural Division</t>
  </si>
  <si>
    <t>Vol 103, Issue 3, pp. 619-634</t>
  </si>
  <si>
    <t>https://ascelibrary.org/doi/pdf/10.1061/JSDEAG.0004586</t>
  </si>
  <si>
    <t>Tensile tests carried out on both types of heat lots. Static properties recorded</t>
  </si>
  <si>
    <t>Members formed by several cycles of repeated cold-rolling of a flat plate until opposite edges come toegther. A cylinder is then fomed by welding down the longitudinal seam</t>
  </si>
  <si>
    <t>Welding process introduces significant circumferential residual stresses that vary though the thickness of the plate, while the longitudinal welding ptocess introduces significant longitudinal residual stresses</t>
  </si>
  <si>
    <t>Experimental or measured values of longitudinal strains and longitudinal residual stesses obtained - method of sectioning
Hole drilling technique to measure the variation in circumferential residual stresses through wall thickness
Measurements of the out-of-roundness made</t>
  </si>
  <si>
    <t xml:space="preserve">5000000-lb Baldwin Testing Machine. </t>
  </si>
  <si>
    <t>Initial end eccentricities (center of pipe relative to end block)</t>
  </si>
  <si>
    <t>Plastic instability</t>
  </si>
  <si>
    <t>Plastic instability then local buckling</t>
  </si>
  <si>
    <t>Local buckling</t>
  </si>
  <si>
    <t>Buckling of axially compressed cylinders</t>
  </si>
  <si>
    <t>Miller C.D</t>
  </si>
  <si>
    <t>Journal of the stuctural division</t>
  </si>
  <si>
    <t>Volume 103 Issue 3</t>
  </si>
  <si>
    <t>https://ascelibrary.org/doi/pdf/10.1061/JSDEAG.0004591</t>
  </si>
  <si>
    <t>ASTM A 366</t>
  </si>
  <si>
    <t>Does not specifically say, but tensile tests were performed on the material of larger specimens so it is possible that these properties were measured.</t>
  </si>
  <si>
    <t>Potentially rolling and welding? Not very clear.</t>
  </si>
  <si>
    <t>The cylinders were tested on 120000-lb Tinius-Olsen "Electromatic universal Testing Machine"</t>
  </si>
  <si>
    <t>Cold rolled half hard temper</t>
  </si>
  <si>
    <t>SAE 1075</t>
  </si>
  <si>
    <t>ALL RELATE TO OSTAPENKO 1980</t>
  </si>
  <si>
    <t>Local buckling of cylindrical tubular columns made of A-36 steel</t>
  </si>
  <si>
    <t>Ostapenko A, Grimm D</t>
  </si>
  <si>
    <t>Laboratory report</t>
  </si>
  <si>
    <t>Lehigh University, Bethlehem, Pa.</t>
  </si>
  <si>
    <t>Fritz Engineering Laboratory Report No. 450.7</t>
  </si>
  <si>
    <t>https://digital.lib.lehigh.edu/fritz/pdf/450_7.pdf</t>
  </si>
  <si>
    <t>ASTM A 36</t>
  </si>
  <si>
    <t>Static yield stress measured by coupon tests</t>
  </si>
  <si>
    <t>Cold rolling and welding. Specimens re-rolled after welding to maintain the circularity</t>
  </si>
  <si>
    <t>Steel end rings welded to ends of specimens. Layer of gypsum ("Hydrostone") grout was placed between each of the end rings and the testing machine components</t>
  </si>
  <si>
    <t>Out-of-roundness (placing  specimen within a reference circle drawn on the floor and measuring the distances between the reference circle and the specimen wall at the grid lines) and the out-of-straightness (maximum offset between a longitudinal straight line and the specimen wall)
Longitudinal residual stresses due to welding determined from the strain caused by welding</t>
  </si>
  <si>
    <t>five million pound hydraulic testing machine between the loading head and the machine floor</t>
  </si>
  <si>
    <t>Alignment was accomplished by centering the specimen in the testing machine and by plumbing with a four foot level</t>
  </si>
  <si>
    <t>P11</t>
  </si>
  <si>
    <t>ASTM A514</t>
  </si>
  <si>
    <t>Local Buckling Tests on Three Steel Large-diameter Tubular Columns</t>
  </si>
  <si>
    <t>A. Ostapenko
S. X. Gunzelman</t>
  </si>
  <si>
    <t>Article - Conference proceedings</t>
  </si>
  <si>
    <t>International Specialty Conference on Cold-Formed Steel Structures</t>
  </si>
  <si>
    <t>https://scholarsmine.mst.edu/isccss/4iccfss/4iccfss-session2/7</t>
  </si>
  <si>
    <t>P5</t>
  </si>
  <si>
    <t>A572 Gr50</t>
  </si>
  <si>
    <t>P6</t>
  </si>
  <si>
    <t>P7</t>
  </si>
  <si>
    <t>Local Buckling Tests on Two High-strength steel large-diameter Tubular Columns</t>
  </si>
  <si>
    <t xml:space="preserve">Marzullo </t>
  </si>
  <si>
    <t>https://preserve.lib.lehigh.edu/islandora/object/preserve%3Abp-7979703</t>
  </si>
  <si>
    <t>P1</t>
  </si>
  <si>
    <t>Ostapenko, A. and Gunzelman, S. X., "Local Buckling of Tubular</t>
  </si>
  <si>
    <t>P2</t>
  </si>
  <si>
    <t>A633 GrD</t>
  </si>
  <si>
    <t>Steel Columns," Proceedings, Methods of Structural Analysis,</t>
  </si>
  <si>
    <t>P3</t>
  </si>
  <si>
    <t>Vol. II, ASCE, New York, N. Y., 1976, pp. 549-568.</t>
  </si>
  <si>
    <t>P3A</t>
  </si>
  <si>
    <t>P4</t>
  </si>
  <si>
    <t>P8</t>
  </si>
  <si>
    <t>P9</t>
  </si>
  <si>
    <t>A514 B</t>
  </si>
  <si>
    <t>Zum Beulverhalten von Kreiszylinderschalen</t>
  </si>
  <si>
    <t>Steinhardt, O. / Schulz, U.</t>
  </si>
  <si>
    <t>Article</t>
  </si>
  <si>
    <t>Schweizerische Bauzeitung 89</t>
  </si>
  <si>
    <t>https://www.e-periodica.ch/cntmng?pid=sbz-002:1971:89::11</t>
  </si>
  <si>
    <t>Tests on shorter cylinder shells</t>
  </si>
  <si>
    <t>A4</t>
  </si>
  <si>
    <t>Tests on thick-walled cylinder shells</t>
  </si>
  <si>
    <t>B3</t>
  </si>
  <si>
    <t>B4</t>
  </si>
  <si>
    <t>B5</t>
  </si>
  <si>
    <t>B6</t>
  </si>
  <si>
    <t>B7</t>
  </si>
  <si>
    <t>B8</t>
  </si>
  <si>
    <t>B9</t>
  </si>
  <si>
    <t>Some New Experiments on Buckling of Thin -Wall Construction</t>
  </si>
  <si>
    <t>F. J. BRIDGET, C. C. JEROME,  A. B. VOSSELLER</t>
  </si>
  <si>
    <t>Transactions of the ASME</t>
  </si>
  <si>
    <t>56 (8). pp. 569-578</t>
  </si>
  <si>
    <t>https://authors.library.caltech.edu/50462/</t>
  </si>
  <si>
    <t>"The modulus of elasticity, E, and the proportional limit state was obtained with the special testing machine"</t>
  </si>
  <si>
    <r>
      <t xml:space="preserve">"Made by a technique and tested on special testing machines developed by Dr. L. H. Donnell. These have been described by him in a previous paper"
</t>
    </r>
    <r>
      <rPr>
        <sz val="12"/>
        <color theme="1"/>
        <rFont val="Calibri"/>
        <family val="2"/>
        <scheme val="minor"/>
      </rPr>
      <t>Cylinders were soldered at each end to rings which fitted inside them, and the cylinder and ring were soldered to heavy base plates with which they were mounted in the testing machine.</t>
    </r>
  </si>
  <si>
    <t>It has been found that buckling waves seem to form across the joints as freely as elsewhere, so the effect of the double thickness at the joint is probably very small</t>
  </si>
  <si>
    <t>G1</t>
  </si>
  <si>
    <t>G2</t>
  </si>
  <si>
    <t>G3</t>
  </si>
  <si>
    <t>G4</t>
  </si>
  <si>
    <t>Buckling of Cylindrical Shells under Axial Compression</t>
  </si>
  <si>
    <t>A.N Sherbourne and R.M Korol</t>
  </si>
  <si>
    <t>Journal of the structural division</t>
  </si>
  <si>
    <t>Volume 93 Issue 5</t>
  </si>
  <si>
    <t>https://ascelibrary.org/doi/abs/10.1061/JSDEAG.0001772</t>
  </si>
  <si>
    <t>Materials were tested in tension. Has been assumed that the properties in compression are the same.</t>
  </si>
  <si>
    <t>Soldered - Fabricated from flat sheets and rolled to a circular profile before being lapped. Dipped at a constant rate into a chemical milling solution made predominately of phosphoric acid which attacked both surfaces uniformly. Figure 1b has a picture of the joint.</t>
  </si>
  <si>
    <t>Fixed end conditions were obtained by seated specimens in grooves chased out of the end plates. The grooves were then filled with metal alloy (cerrosafe). This alloys expanded slighly on cooling.</t>
  </si>
  <si>
    <t>Ends were trimmed in a lathe to assure flatness.</t>
  </si>
  <si>
    <t>Epoxied - Fabricated from flat sheets and rolled to a circular profile before being lapped. Dipped at a constant rate into a chemical milling solution made predominately of phosphoric acid which attacked both surfaces uniformly. Lapped edges were bonded with Hysol epoxy resin #2039 and hardener #3404. Figure 1b has a picture of the joint.</t>
  </si>
  <si>
    <t>7a</t>
  </si>
  <si>
    <t>Reloading of previous</t>
  </si>
  <si>
    <t>3SH-14 (Aluminium)</t>
  </si>
  <si>
    <t>Epoxied - Fabricated from flat sheets and rolled to a circular profile before being lapped. The edges of the 0.032 and 0.04 inch specimens were milled to a single bevel to provide an inclided bonded joint having a large contact surface. Hysol epoxy resin #4297 and hardener #3478 were used to seal the joint. See figure 1a.</t>
  </si>
  <si>
    <t>Ends were filed down to ensure a plane surface.</t>
  </si>
  <si>
    <t>65S-T6 (Aluminium)</t>
  </si>
  <si>
    <t>Epoxied - Fabricated from flat sheets and rolled to a circular profile before being lapped.  Dipped at a constant rate into a chemical milling solution made predominately of phosphoric acid which attacked both surfaces uniformly. Lapped edges were bonded with Hysol epoxy resin #2039 and hardener #3404. Figure 1b has a picture of the joint.</t>
  </si>
  <si>
    <t>Drawn Tube</t>
  </si>
  <si>
    <t>Drawn from aluminium cylinders. Acid dipped to reduce the wall thickness. It was found that some variation in the wall thickness could be detected if more than 0.001 inches was removed. The wall thickness under tests varied between 0.006 and 0.007 inches.</t>
  </si>
  <si>
    <t> </t>
  </si>
  <si>
    <t>Aluminium Foil</t>
  </si>
  <si>
    <t>Epoxied</t>
  </si>
  <si>
    <t>Foil</t>
  </si>
  <si>
    <t>Drawn from aluminium cylinders. Acid dipped to reduce the wall thickness. It was found that some variation in the wall thickness could be detected if more than 0.001 inches was removed. The wall thickness under tests varied between 0.006 and 0.007 inches</t>
  </si>
  <si>
    <t xml:space="preserve">Drawn from aluminium cylinders. </t>
  </si>
  <si>
    <t>Welded - Fabricated from flat sheets and rolled to a circular profile before being lapped.</t>
  </si>
  <si>
    <t>Aluminium</t>
  </si>
  <si>
    <t>Electroforming</t>
  </si>
  <si>
    <t>Machined</t>
  </si>
  <si>
    <t>LWTb</t>
  </si>
  <si>
    <t>https://ascelibrary.org/doi/pdf/10.1061/JSDEAG.0001150</t>
  </si>
  <si>
    <t>An experimental study of the bucking of cylinders under axial compression</t>
  </si>
  <si>
    <t>https://link.springer.com/article/10.1007/BF02323088</t>
  </si>
  <si>
    <t>https://link.springer.com/article/10.1007/BF02318521</t>
  </si>
  <si>
    <t>Contact type transducers or linear voltage differential transformers (LVDTs) are employed to measure the imperfections.</t>
  </si>
  <si>
    <t>B.O Almroth, A.M.C Holmes and D.O. Brush</t>
  </si>
  <si>
    <t>Experimental Mechanics</t>
  </si>
  <si>
    <t xml:space="preserve">Volume 4 Issue 9 Pages 263 - 270 </t>
  </si>
  <si>
    <t>Nickel</t>
  </si>
  <si>
    <t>Before the electrodeposition mandrel was removed circumferential notches were cut into the test cylinder near its ends to form ring coupons once the mandrel was removed. The rings were cut into strips which were used to determine the shell thickness and material modulus. Additional tests were also performed on longitudinal strips after the cylinder had buckled to see if the modulus and thickness were representative of the cylinder. Thickness was measured using vernier callipers. Strain gauges were used to obtain the Young's modulus. Young modulus and thickness values have been taken from either the circumferential or longitudinal coupons.</t>
  </si>
  <si>
    <t>Electrodeposition of pure nickel onto an aluminium mandrel</t>
  </si>
  <si>
    <t>0.25 inch of the cylinder at each end was inserted into a circular cavity in the end plate which was then filled with a rigid potting compound.</t>
  </si>
  <si>
    <t>Cylinders may have been damaged slightly when handling or storing before testing.</t>
  </si>
  <si>
    <t xml:space="preserve">"Extent of such imperfections in general, was limited to a circle of about 0.5 to 0.75 inches in diameter and the imperfection depths were masured and found to be of the order of the shell wall thickness, or less" Any changes in thickness were usually gradual. In cylinder No. 2, the thickest and thinnest portions were diametrically opposed and the thickness varied in a smooth pattern between them. </t>
  </si>
  <si>
    <t xml:space="preserve">The 40lb loading poise was propelled along the loading beam using a motor. See figure for loading arrangement. Actual shortening of the cylinder before and during buckling was measured using two diametricaly located deflectometers attached to the cylinder end plates. When ball bearing were first trialled for load application to the cylinder end plates, but it was found to induce a nonuniformity of 10% in the stress from one side of the cylinder to the next. 1/8 inch dowels were used in the end and strain gauge measurements showed a departure from uniform stress of 4.5%, however they note that these differences could have manifested from a difference in wall thickness of the cylinder. In some tests a rigid mandrel was placed inside to limit the level of stress of the buckled portions of the cylinder. The mandrel was fastened to one plate so there was a gap between the mandrel and the other plate. All cylinders but 6 and 7 were subjected to dead weight loading only.  6 and 7 were subjected to controlled end shortening. </t>
  </si>
  <si>
    <t xml:space="preserve">Buckling typically began with a single diamond shaped buckle at midway between the end plates . </t>
  </si>
  <si>
    <t>The effect of general imperfections on the buckling of cylindrical shells</t>
  </si>
  <si>
    <t>Johann Arbocz</t>
  </si>
  <si>
    <t>Phd Thesis</t>
  </si>
  <si>
    <t>https://core.ac.uk/reader/11813686</t>
  </si>
  <si>
    <t>A8</t>
  </si>
  <si>
    <t>A9</t>
  </si>
  <si>
    <t>A10</t>
  </si>
  <si>
    <t>A12</t>
  </si>
  <si>
    <t>The shells were fastened into an end ring with a low melting point Cerrolow on one end and the other end was similarly secured into a load cell. After this, the end ring was secured to the upper end plate using a thin layer of Devcon. Once the Devcon had hardened, the cylinder was ready for testing.</t>
  </si>
  <si>
    <t>The best fit cylider was fit to the data of the initial imperfection scan using the method of least squares. The harmonic components of the measured imperfection surface were then found. 3D plots of the imperfection have been produced.</t>
  </si>
  <si>
    <t xml:space="preserve">Electroforming on wax mandrels. Wax was machined to the desired dimensions using a lathe before being spray painted with a silver paint thined with Toluene. Plating of specimen was carried out in a Copper Fluoborate bath. Once plating was done, the shell was cut to the desired length whilst on the mandrel. The shell was removed from the mandrel by melting out the wax. Excess silver paint was removed from finished shells using benzene. </t>
  </si>
  <si>
    <t xml:space="preserve">Buckling tests were carried out in a controlled end displacement type machine. The relative displacement of the end plates was controlled by four loading screws which could be adjusted independently to give proper load distribution on the shell or turned simultaneously to increase the load up to the critical value. Upon completing the initial imperfection measurements, the cylinders were initially loaded to about 1/6 of the expected buckling load, and the circumferential distribution was made as uniform as possible by individually adjusting the four loading screws of the testing machine. The adjustment was done by equalizing the strain in the load cell at the 45 deg, 135 deg, 225 deg, and 315 deg position. The shell was then scanned. The axial load was then increased in small increments by turning the four loading screws simultaneouly. After each load increment,  the distribution was adjusted again and a scan was performed. This took place until 2/3 of the expected buckling load was reached. After this point, the load distribution was no longer adjusted to prevent buckling from occuring during an adjustment. </t>
  </si>
  <si>
    <t>The cylinders were initially loaded to about 1/6  of the expected buckling load, and the circumferential distribution was made as uniform as possible by individually adjusting the four loading screws of the testing machine. After 2/3 of the expected buckling load was reached, the load distribution was no longer adjusted to prevent buckling from occuring during an adjustment. Figures 38 and 39 in the paper show the load distribution in the shells at the last load level before buckling. An example has been provided.</t>
  </si>
  <si>
    <t>https://doi-org.iclibezp1.cc.ic.ac.uk/10.1007/BF02321695</t>
  </si>
  <si>
    <t>GMNIA/LBA</t>
  </si>
  <si>
    <t>Loading rig in which axially compressd thin cylindrical shells buckle near theoretical values</t>
  </si>
  <si>
    <t>Sendelbeck, R. S; Hoff, N. J</t>
  </si>
  <si>
    <t>Journal Article</t>
  </si>
  <si>
    <t>Volume 12 Issue 8 Pages 372 - 376</t>
  </si>
  <si>
    <t>S3011</t>
  </si>
  <si>
    <t>S3012</t>
  </si>
  <si>
    <t>S3019</t>
  </si>
  <si>
    <t>S3026</t>
  </si>
  <si>
    <t>S3018</t>
  </si>
  <si>
    <t>S3027</t>
  </si>
  <si>
    <t>S3073</t>
  </si>
  <si>
    <t>S3071</t>
  </si>
  <si>
    <t>S3074</t>
  </si>
  <si>
    <t>S3092</t>
  </si>
  <si>
    <t>S3084</t>
  </si>
  <si>
    <t>S3007</t>
  </si>
  <si>
    <t>S3020</t>
  </si>
  <si>
    <t>S3023</t>
  </si>
  <si>
    <t>S3097</t>
  </si>
  <si>
    <t xml:space="preserve">Specimens were electroformed nickel shells. </t>
  </si>
  <si>
    <t>Nonrestrained</t>
  </si>
  <si>
    <t>Restrained</t>
  </si>
  <si>
    <t xml:space="preserve">Shells were reported to have a very uniform thickness on individual shells with the variation being less than 2% overall. Thickness measurements were taken with a sensitive large face dial-gage indicator. </t>
  </si>
  <si>
    <t xml:space="preserve">The gross surface dispacements were measured using a linear displacement differential transformer as a sensing device.  The output of the transducer was fed into a X-Y plotter. The resulting trace was then reduced by fitting it to a best fit coordinate system which plotted deviations from a perfect cylindrical surface. The results of this can be seen in Figure 4, which compares the imperfection of 3 sources with the same shell radius in each plot. They say that 3 factors may contribute to the initial waviness: 1) The alignment of the fixtures, 2) The potting of the ends and 3) The geometry of the end caps. </t>
  </si>
  <si>
    <t>Interactive buckling tests on cylindrical shells subjected to axial compression and external pressure - a comparison of experiment, theory and various codes</t>
  </si>
  <si>
    <t>G D Galletly and K Pemsing</t>
  </si>
  <si>
    <t>Journal of Mechanical Engineering Science</t>
  </si>
  <si>
    <t>199(4), pp.259-280.</t>
  </si>
  <si>
    <t>https://journals.sagepub.com/doi/abs/10.1243/PIME_PROC_1985_199_123_02</t>
  </si>
  <si>
    <t>B1-2</t>
  </si>
  <si>
    <t>E1-2</t>
  </si>
  <si>
    <t>G1-2</t>
  </si>
  <si>
    <t>G1-3</t>
  </si>
  <si>
    <t>A1-2</t>
  </si>
  <si>
    <t>A1-4</t>
  </si>
  <si>
    <t>C1-2</t>
  </si>
  <si>
    <t>Welded</t>
  </si>
  <si>
    <t>https://doi.org/10.1243/PIME_PROC_1909_077_021_02</t>
  </si>
  <si>
    <t>Mild steel tubes in compression and under combined tests</t>
  </si>
  <si>
    <t>Mason, William</t>
  </si>
  <si>
    <t>Proceedings of the Institution of Mechanical Engineers</t>
  </si>
  <si>
    <t>Part 4, 1205-1236</t>
  </si>
  <si>
    <t>I-1a</t>
  </si>
  <si>
    <t>Solid drawn mild steel tubes cut to appropriate lengths</t>
  </si>
  <si>
    <t>Thickness of walls of tube "not quite uniform" over the circumference. Centre of gravity of the ring cross-section deviated measurably from tube axis. Cone placed such that axis passed through centre of gravity to achieve equal distribution of compressive stress</t>
  </si>
  <si>
    <t>Greatest eccentricity in position of cap to compensate for variation of thickness = 0.4 in
Minimum variation of thickness of wall of tubes = 0.007 in</t>
  </si>
  <si>
    <t>100-ton Buckton machine, more than 1 test done on the same specimen</t>
  </si>
  <si>
    <t>"Wave-like flexure of walls of the tubes"</t>
  </si>
  <si>
    <t>I-2b</t>
  </si>
  <si>
    <t>I-4</t>
  </si>
  <si>
    <t>II-4b</t>
  </si>
  <si>
    <t>II-5b</t>
  </si>
  <si>
    <t>II-6</t>
  </si>
  <si>
    <t>IIA-1b</t>
  </si>
  <si>
    <t>III-4</t>
  </si>
  <si>
    <t>IV-3b</t>
  </si>
  <si>
    <t>IV-4</t>
  </si>
  <si>
    <t>IV-5</t>
  </si>
  <si>
    <t>V-5</t>
  </si>
  <si>
    <t>V-6b</t>
  </si>
  <si>
    <t>VI-2</t>
  </si>
  <si>
    <t>Models under test were bolted to a rigid flange at the top ends and to a cylindrical load cell fixed to a piston at the bottom.</t>
  </si>
  <si>
    <t>The thickness of the machined specimens varied +-3% from the mean at certain locations. There was some initial out of roundness and lack of straightness. The value of sig_y used varied by +-5%.</t>
  </si>
  <si>
    <t>Imperfections in the welded geometries were higher than the machined ones.</t>
  </si>
  <si>
    <t>Models under test were bolted to a rigid flange at the top ends and to a cylindrical load cell fixed to a piston at the bottom. Axial compressive forces were applied to the models by pressurizing the lower part of the cylinder.</t>
  </si>
  <si>
    <t>The Crinkling Strength and the Bending Strength of Round Aircraft Tubing</t>
  </si>
  <si>
    <t>WR Osgood</t>
  </si>
  <si>
    <t>NACA Technical Reports</t>
  </si>
  <si>
    <t>Report No. 632</t>
  </si>
  <si>
    <t>1CL-Cr</t>
  </si>
  <si>
    <t>1CL-9</t>
  </si>
  <si>
    <t>2CE-9</t>
  </si>
  <si>
    <t>2CE-C</t>
  </si>
  <si>
    <t>1CE-1a</t>
  </si>
  <si>
    <t>1CK-9</t>
  </si>
  <si>
    <t>1CK-C</t>
  </si>
  <si>
    <t>1CT-C</t>
  </si>
  <si>
    <t>1CP-3C</t>
  </si>
  <si>
    <t>1CP-C</t>
  </si>
  <si>
    <t>2CN-C</t>
  </si>
  <si>
    <t>1CO-C</t>
  </si>
  <si>
    <t>2CO-C</t>
  </si>
  <si>
    <t>2CO-Cr</t>
  </si>
  <si>
    <t>1CM-C</t>
  </si>
  <si>
    <t>2CM-C</t>
  </si>
  <si>
    <t>1CS-3</t>
  </si>
  <si>
    <t>1CS-C</t>
  </si>
  <si>
    <t>1CU-C</t>
  </si>
  <si>
    <t>1CU-3</t>
  </si>
  <si>
    <t>1CC-3</t>
  </si>
  <si>
    <t>1CC-C</t>
  </si>
  <si>
    <t>1DR-1</t>
  </si>
  <si>
    <t>1DR-C</t>
  </si>
  <si>
    <t>v-6C</t>
  </si>
  <si>
    <t>t-C</t>
  </si>
  <si>
    <t>t-6</t>
  </si>
  <si>
    <t>b-C</t>
  </si>
  <si>
    <t>1b-4C</t>
  </si>
  <si>
    <t>b-7</t>
  </si>
  <si>
    <t>1b-C</t>
  </si>
  <si>
    <t>1p-O</t>
  </si>
  <si>
    <t>1p-9</t>
  </si>
  <si>
    <t>X-4</t>
  </si>
  <si>
    <t>X-C</t>
  </si>
  <si>
    <t>1F-3C</t>
  </si>
  <si>
    <t>F-C</t>
  </si>
  <si>
    <t>E-4</t>
  </si>
  <si>
    <t>E-C</t>
  </si>
  <si>
    <t>1V-C</t>
  </si>
  <si>
    <t>V-C</t>
  </si>
  <si>
    <t>V-7</t>
  </si>
  <si>
    <t>2V-C</t>
  </si>
  <si>
    <t>DH-4</t>
  </si>
  <si>
    <t>DH-C</t>
  </si>
  <si>
    <t>1B-C</t>
  </si>
  <si>
    <t>1B-5</t>
  </si>
  <si>
    <t>B-4C</t>
  </si>
  <si>
    <t>1DQ-1</t>
  </si>
  <si>
    <t>1DQ-C</t>
  </si>
  <si>
    <t>Chromium-Molybdenum steel tubing</t>
  </si>
  <si>
    <t>Duralumin tubing (17ST aluminium alloy tubing) (Heat treated)</t>
  </si>
  <si>
    <t xml:space="preserve">Each end of a specimen was embedded in wood's metal to a depth of one quarter of the diameter of the specimen. </t>
  </si>
  <si>
    <t>Ends of the specimen were machined plane and normal to the axis of the tubes. In order to secure as nearly uniform bearing as practically possible, the upper bearing block was capped with paster of paris. Unsymmetrical arrangement of apparatus may have caused rotation of the load.</t>
  </si>
  <si>
    <t>Local buckling of thin walled tubular steel members</t>
  </si>
  <si>
    <t>Stephens, Kulak and Montgomery</t>
  </si>
  <si>
    <t>Structural engineering report 103</t>
  </si>
  <si>
    <t>https://era.library.ualberta.ca/items/87284774-c4ec-494c-b735-168aa1cd3c17/view/3f73195f-182a-4f58-882c-7831f6557af6/SER103.pdf</t>
  </si>
  <si>
    <t>SC1</t>
  </si>
  <si>
    <t>SC2</t>
  </si>
  <si>
    <t>SC3</t>
  </si>
  <si>
    <t>SC4</t>
  </si>
  <si>
    <t>SC5</t>
  </si>
  <si>
    <t>G40.21 300W steel plate</t>
  </si>
  <si>
    <t>ASTM A36 steel</t>
  </si>
  <si>
    <t xml:space="preserve">Flat plate coupons were cut from the material prior to rolling to permit the determination of the elastic modulus and yield strength. The coupons were prepared to ASTM A370-77. Coupons were oriented such that material properties would be measured parallel to the longitudinal axis of the specimens. The yield strength measured corresponded to a zero strain rate (static yield). In each case three coupon tests were performed and the average value is reported. All coupons exhibited sharp-yielding behaviour characteristic of unworked mild steels. No proportional limit was observed. </t>
  </si>
  <si>
    <t>No collars</t>
  </si>
  <si>
    <t>Long stiffeners (riveted)</t>
  </si>
  <si>
    <t>Collars at ends (riveted)</t>
  </si>
  <si>
    <t>Collars at ends (bolted)</t>
  </si>
  <si>
    <t>Collars at ends (plug welded)</t>
  </si>
  <si>
    <t>Material was cold formed in rollers to the desired curvature and joined with full penetration groove welded butt splices made by the automatic submerged arc process using AWS E480xx electrodes. Stiffening collars for C1 and C2 were rolled from 305mm wide strips of 6mm steel plate. They were attached to the cylinder ends with 14mm diameter A325 bolts in specimen C1 and plug welds in specimen C2</t>
  </si>
  <si>
    <t>No attempt was made to attach specimens to the platens and therefore the cylinders were simply supported along the reaction surfaces but effectively restrained against radial movement by friction under load.</t>
  </si>
  <si>
    <t>Reaction surfaces were simply supported. As in the preliminary series, restraint against radial movement could be anticipated because of friction.</t>
  </si>
  <si>
    <t xml:space="preserve">Compression tests were performed in a 7000 kN Material Testing System (MTS) hydraulic testing machine. Small diameter specimens (SC1..5) were seated directly on the hardened steel platens of the testing machine. The lower platen was fixed and the upper platen was suspended from a ball and socket connection. These were teseted with four equaly spaced longitudinally orientated electical resistace strain gauges attached around each cylinder at mid height. This permitted direct measurement of longitudinal strain and subsequent evaluation of load uniformity. </t>
  </si>
  <si>
    <t>Large diameter specimens were tested using a load spreading frame to transfer the load from the small upper loading platen to the perimeter of the test specimen. The base of the tube was seated on a ring of steel plates directly on the load bed. To measure longitudinal strain and load uniformity, two circumferential bands of 8 electrical resistance strain gauges were attached to the outer surface of the tube. Each circumferential band was 450 mm from the specimen mid height. For all specimens, finite load increments were applied, decreasing in size as the expected failure loads were approached. Strain gauge and piston stroke readings were taken after each load increment.</t>
  </si>
  <si>
    <t xml:space="preserve">The small diameter speciemens (SC1..5) which fitted directly onto the machined platens were fabricated with sufficient care that load uniformity was always obtained by simply centering the specimen under the load head. </t>
  </si>
  <si>
    <t xml:space="preserve">Axisymmetric depressed diamond shaped buckles in the unstiffened portion of the tube. Specimen SC3 buckled at midheight and in SC4 and SC5, buckles formed closer to the collars. Axisymmetric buckles formed above the lower stiffening collar in specimen C1 and below the upper collar in specimen C2. </t>
  </si>
  <si>
    <t>The 5 initial tests SC1 through SC5 were performed to determine the most effective method of supressing the buckle forming at the ends of the speciemens. A stiffening element was introduced to resist the axisymmetric buckling tendancy and to force the buckle to the mid height of the shell. "Fabrication techniques employed were typical of those used in a structural facbrication shop. SC1 and SC2 formed buckles at the base of the cylinder so have not been reported.</t>
  </si>
  <si>
    <t>Horton, W.H., and Durham, S.C.</t>
  </si>
  <si>
    <t xml:space="preserve"> International Journal of Solids and Structures</t>
  </si>
  <si>
    <t xml:space="preserve">Imperfections, a Main Contributor to Scatter in Experimental Values of Buckling Load,, </t>
  </si>
  <si>
    <t>1, 59-72</t>
  </si>
  <si>
    <t>https://doi.org/10.1016/0020-7683(65)90015-6</t>
  </si>
  <si>
    <t>Material properties determined in a separate test</t>
  </si>
  <si>
    <t>The shell buckled in a normal diamond pattern and the buckles occurred in a small localized region</t>
  </si>
  <si>
    <t>Due to a slight failure of the clamping arrangements at the upper end of the cylinder the test was discontinued before the shell was completely filled with buckles</t>
  </si>
  <si>
    <t>C3</t>
  </si>
  <si>
    <t>CYLINDER EPOXYED TO END PLATES</t>
  </si>
  <si>
    <t>Babcock, C.D.</t>
  </si>
  <si>
    <t>International Journal of Solids and Structures</t>
  </si>
  <si>
    <t xml:space="preserve">3, 809-817. </t>
  </si>
  <si>
    <t>The Influence of the Testing Machine on the Buckling of Cylindrical Shells under Axial Compression</t>
  </si>
  <si>
    <t>Electrodeposited on wax mandrals</t>
  </si>
  <si>
    <t>All of the shells tested had boundary supports that should be rigid enough to provide clamped end conditions</t>
  </si>
  <si>
    <t>Buckling of longitudinally stiffened cylinders</t>
  </si>
  <si>
    <t>Jeng C. Shang, Walter J. Marulic and Rolland G. St</t>
  </si>
  <si>
    <t>Journal article</t>
  </si>
  <si>
    <t>Volume 90, Issue: 5 pages 161 - 195</t>
  </si>
  <si>
    <t>Flat-tin coated steel</t>
  </si>
  <si>
    <t>Each specimen was fabricated from flat tin coated steel. The tin was electroplated onto the steel and was 0.00008 inches thick on both sides of the sheet. Tin coated material was selected for ease of soldering on stiffeners. All specimens were fabricated on either a 9 inch or 15 inch mandrel. Both ends were machined parallel while on the mandrel. Each cylinder was fabricated with one longitudinal 1/4 inch lap seam. A 1/4 wide strip of the same material was soldered flat on the surface of the cylinder diametrically opposite the lap seam to balance the reinforcing of the shell at the lapped seam. All joints were soldered with a 95% tin and 5% antimony solder.</t>
  </si>
  <si>
    <t>Specimens were mounted in a special fixture such that both ends of the specimens were clamped by an inner retaining ring plate and an outer retaining steel band. These rings served to hold the ends of the specimens in a circular shape.</t>
  </si>
  <si>
    <t xml:space="preserve">Prior to testing, stiffened and unstiffened specimens were mounted in a special fixture such that both ends of the specimens were clamped by an inner retaining ring plate and an outer retaining steel band. These rings served to hold the ends of the specimens in a circular shape. Three dial gauges, equally spaced around the test specimen, were used to measure the vertical deflection during the test. A 30,000 lb capacity load cell was positioned between the specimen and the top fixed platen of the press to measure the load.  Load was applied to the specimen through a hand operated 25-ton capacity worm gear jack installed under the movable bottom platen of the 25-ton capacity press. </t>
  </si>
  <si>
    <t xml:space="preserve">Both ends were machined parallel while on the mandrel. </t>
  </si>
  <si>
    <t xml:space="preserve">Data was extracted from a figure. </t>
  </si>
  <si>
    <t>Compression tests on circular cylinders stiffened longitudinally by closely spaced Z-section stringers</t>
  </si>
  <si>
    <t>James P. Peterson and Marvin B. Dow</t>
  </si>
  <si>
    <t>NASA Memo 2-12-59L</t>
  </si>
  <si>
    <t>https://core.ac.uk/download/pdf/42769611.pdf</t>
  </si>
  <si>
    <t>1b</t>
  </si>
  <si>
    <t>2b</t>
  </si>
  <si>
    <t>3b</t>
  </si>
  <si>
    <t>7075-T6 aluminum-alloy</t>
  </si>
  <si>
    <t>Yamaki N., Otomo K., Matsuda K.</t>
  </si>
  <si>
    <t>Experimental mechanics</t>
  </si>
  <si>
    <t>Vol 15, Issue 1, 23-28</t>
  </si>
  <si>
    <t>Polyester test cylinders</t>
  </si>
  <si>
    <t>LTWb - lap-jointing along the longitudinal seam</t>
  </si>
  <si>
    <t>200-3</t>
  </si>
  <si>
    <t>50-3</t>
  </si>
  <si>
    <t>100-3</t>
  </si>
  <si>
    <t>500-3</t>
  </si>
  <si>
    <t>1000-3</t>
  </si>
  <si>
    <t>Tubes</t>
  </si>
  <si>
    <t>LTWb</t>
  </si>
  <si>
    <t>LTWa</t>
  </si>
  <si>
    <t>Shover</t>
  </si>
  <si>
    <t>On the problem of geometric imperfections in thin circular cylindrical shells</t>
  </si>
  <si>
    <t>PhD Thesis</t>
  </si>
  <si>
    <t>Stanford University</t>
  </si>
  <si>
    <t>https://search.proquest.com/docview/302378610?pq-origsite=primo</t>
  </si>
  <si>
    <t>Nickel cylinders</t>
  </si>
  <si>
    <t>Protected against premature collapse by means of an interior mandrel.</t>
  </si>
  <si>
    <t>Max imp = about one and one-half times the thickness of the shell (peak to peak imperfection equal to 0.0069 in). Delta_0/t = 1.45</t>
  </si>
  <si>
    <t>Max imp = one order of magnitude less than specimen 14 (0.0003 in imperfection amplitude) but similar buckling load. Delta_0/t = 0.15</t>
  </si>
  <si>
    <t>Delta_0/t = 0.65</t>
  </si>
  <si>
    <t>H. Lo, H. Crate and E. B. Schwartz</t>
  </si>
  <si>
    <t>Buckling of thin-walled cylinder under axial compression and internal pressure</t>
  </si>
  <si>
    <t xml:space="preserve"> NACA Rept. No. 1027 - superseeded by NACA TN 2021</t>
  </si>
  <si>
    <t>https://ntrs.nasa.gov/citations/19930090955
https://ntrs.nasa.gov/citations/19930083209</t>
  </si>
  <si>
    <t xml:space="preserve">24S-T aluminum
alloy sheet </t>
  </si>
  <si>
    <t>Closely riveted around two heavy steel rings, one at each end</t>
  </si>
  <si>
    <t xml:space="preserve">LTWb - Butt-joint of the two longitudinal edges was covered both inside and outside by straps; 0.032 inch thick and 1.5 inch wide, along the total length of the cylinder. </t>
  </si>
  <si>
    <t>The applied compressive load was transmitted from the machine head through the three steel blocks to the cover plate. The joint between the cylinder and the cover plates was sealed. 
The specimen was subjected to compressive load in the 1,200,000-pound universal testing machine of the Langley structures research laboratory</t>
  </si>
  <si>
    <t xml:space="preserve">Mannufactured by rolling a steel sheet into a tube and seam welding longitudinally. </t>
  </si>
  <si>
    <t>Overlapping/weld imperfection measurement 
θ0</t>
  </si>
  <si>
    <t>Out of roundness imperfection measurement
δ0/t
MAXIMUM INWARDS</t>
  </si>
  <si>
    <t>Out of roundness imperfection measurement
δ0/t
MAXIMUM OUTWARDS</t>
  </si>
  <si>
    <t>NO LAP JOIN MEASURERMENT SPECIFIED</t>
  </si>
  <si>
    <t>Failure load 
(absolute value as given in experiment data)  
[kN]</t>
  </si>
  <si>
    <t>Failure stress 
(absolute value as given in experiment data) 
[N/mm2]</t>
  </si>
  <si>
    <t>GMNIA/MNA
Failure stress (normalised value) 
[-]</t>
  </si>
  <si>
    <t>GMNIA/MNA
Failure load (normalised value) 
[-]</t>
  </si>
  <si>
    <t>Relative slenderness =sqrt(fy/classical failure stress)
[-]</t>
  </si>
  <si>
    <t>CLASSICAL BUCKLING FAILURE STRESS 
[N/mm2]</t>
  </si>
  <si>
    <t>CLASSICAL BUCKLING FAILURE LOAD 
[kN]</t>
  </si>
  <si>
    <t>GMNIA/MNA</t>
  </si>
  <si>
    <t>Harris, L., Suer, H.S., Skene, WT., and Benjamin, R.J.</t>
  </si>
  <si>
    <t>Journal of the Aeronautical Sciences</t>
  </si>
  <si>
    <t>24, (8), August 1957, 587-606.</t>
  </si>
  <si>
    <t>The buckle patterns frequently ran through the vertical seam, but in no case did buckling begin at the seam.</t>
  </si>
  <si>
    <t>35(1)</t>
  </si>
  <si>
    <t>36(1)</t>
  </si>
  <si>
    <t>43(1)</t>
  </si>
  <si>
    <t>44(1)</t>
  </si>
  <si>
    <t>45(1)</t>
  </si>
  <si>
    <t>56(1)</t>
  </si>
  <si>
    <t>25(1)</t>
  </si>
  <si>
    <t>29(1)</t>
  </si>
  <si>
    <t>4(1)</t>
  </si>
  <si>
    <t>4(2)</t>
  </si>
  <si>
    <t>7(1)</t>
  </si>
  <si>
    <t>7(2)</t>
  </si>
  <si>
    <t>58(1)</t>
  </si>
  <si>
    <t>67(1)</t>
  </si>
  <si>
    <t>2S-H18 aluminum foil</t>
  </si>
  <si>
    <t>18-8 1/2 hard stainless steel</t>
  </si>
  <si>
    <t>MS 63 (Brass)</t>
  </si>
  <si>
    <t>St 52 (Steel)</t>
  </si>
  <si>
    <t>St 37 (steel)</t>
  </si>
  <si>
    <t>Soldered?</t>
  </si>
  <si>
    <t>Turned or welded using a lathe?</t>
  </si>
  <si>
    <t>The edges of the specimens were jammed inside internal and external rings.</t>
  </si>
  <si>
    <t>Youngs Modulus from stress strain plot</t>
  </si>
  <si>
    <t>https://doi.org/10.1115/1.4010141</t>
  </si>
  <si>
    <t>Clark, J. W., and Holt, M</t>
  </si>
  <si>
    <t>J . Appl. Mech., Trans. ASME,</t>
  </si>
  <si>
    <t>Vol. 72, pp. 340-342, 1950</t>
  </si>
  <si>
    <t>33-1</t>
  </si>
  <si>
    <t>33-2</t>
  </si>
  <si>
    <t>33-3</t>
  </si>
  <si>
    <t>36-1</t>
  </si>
  <si>
    <t>36-2</t>
  </si>
  <si>
    <t>36-3</t>
  </si>
  <si>
    <t>17S-T4 aluminium alloy</t>
  </si>
  <si>
    <t>Group A</t>
  </si>
  <si>
    <t>The ends were cut flat and perpendicular to the axis of the specimen. Specimen fitted with snug-fitting rings to facilitate handling and to ensure roundness at the ends. These ends bore directly against the hardened platens of the testing machine</t>
  </si>
  <si>
    <t xml:space="preserve">In all cases the failure was quite sudden and the buckle pattern consisted of a number of small waves near one end. </t>
  </si>
  <si>
    <t>Group B</t>
  </si>
  <si>
    <t>17(1)</t>
  </si>
  <si>
    <t>17(2)</t>
  </si>
  <si>
    <t>17(3)</t>
  </si>
  <si>
    <t>Group C</t>
  </si>
  <si>
    <t>Machined from tubing initially 4 in outside diameter x 0.054 inches wall</t>
  </si>
  <si>
    <t>Machined from tubing initially 2 7/8 in outside diameter x 0.203 inches wall</t>
  </si>
  <si>
    <t>75S-T6 aluminium alloy</t>
  </si>
  <si>
    <t>Machined from 75S-T6 aluminium alloy 2 inches diameter rolled round rod</t>
  </si>
  <si>
    <t>Torsion, Compression, and bending tests of tubular sections machined from 75S-T6 Rolled round rod</t>
  </si>
  <si>
    <t>R. L. Moore and J. W. Clark</t>
  </si>
  <si>
    <t>https://core.ac.uk/download/pdf/42798908.pdf</t>
  </si>
  <si>
    <t>Aluminium 75S-T6</t>
  </si>
  <si>
    <t>The compression specimens were tested in a Southwark-Emery 50,000-pound capacity testing machine and an Amsler 300,000-pound capacity testing machine, using appropriate load ranges. The specimens originally had a 6-inch-long reduced section with a short length of thicker material at each end. However all compression specimens failed at the end of the reduced proportion, the specimens were retested with the ends and the buckled portions of the test sections cut off and the remaining length of the undamaged uniform section being retested.</t>
  </si>
  <si>
    <t xml:space="preserve">In tests with an without the thicker end section, the specimens failed near the end of the specimen forming one to six buckles around the circumference, depending on the thickness. </t>
  </si>
  <si>
    <t>Young's modulus E does not appear to be given so has been calculated based on Figure 8 in the paper. Specimen 1 result is from before the ends were cut off. The rest of the results are the retests.</t>
  </si>
  <si>
    <t>Elastic stability of circular cylindrical shells stabilized by a soft elastic core</t>
  </si>
  <si>
    <t>Volume 2 Issue 5, pp 142-149</t>
  </si>
  <si>
    <t>William S. Goree and William A. Nash</t>
  </si>
  <si>
    <t>A0</t>
  </si>
  <si>
    <t>B0</t>
  </si>
  <si>
    <t>C0</t>
  </si>
  <si>
    <t>E0</t>
  </si>
  <si>
    <t>M0</t>
  </si>
  <si>
    <t>U0</t>
  </si>
  <si>
    <t>D00</t>
  </si>
  <si>
    <t>I00</t>
  </si>
  <si>
    <t>J00</t>
  </si>
  <si>
    <t>K00</t>
  </si>
  <si>
    <t>P00</t>
  </si>
  <si>
    <t>flat-sheet, Type 301, full-hard stainless steel</t>
  </si>
  <si>
    <t>Maximum initial imperfections measured in inches</t>
  </si>
  <si>
    <t>Maximum initial radial imperfections existing in each model were measured.</t>
  </si>
  <si>
    <t>Polyester</t>
  </si>
  <si>
    <t>TAB NAME</t>
  </si>
  <si>
    <t>Lab test</t>
  </si>
  <si>
    <t>Data results in Weingarten 1960 entry</t>
  </si>
  <si>
    <t>All laboratory specimens and laboratory experiment information collected from the meta study</t>
  </si>
  <si>
    <t>INFORMATION</t>
  </si>
  <si>
    <t>Elasticity modulus obtained for each thickness. The work was done in a Riehle 3000# testing machine</t>
  </si>
  <si>
    <t>AISI 304 Stainless steel tubes</t>
  </si>
  <si>
    <t>Steel Ferritic EN 1.4521 2B</t>
  </si>
  <si>
    <t>Steel Austenitic-Ferritic EN 1.4462 2E</t>
  </si>
  <si>
    <t>Material category</t>
  </si>
  <si>
    <t>Miscellaneous</t>
  </si>
  <si>
    <t>Sprung cylinders</t>
  </si>
  <si>
    <t>CLTW</t>
  </si>
  <si>
    <t>r/t</t>
  </si>
  <si>
    <t>lambda</t>
  </si>
  <si>
    <t>Chi</t>
  </si>
  <si>
    <t>Alpha</t>
  </si>
  <si>
    <t>Manufacturing method</t>
  </si>
  <si>
    <t>CHI</t>
  </si>
  <si>
    <t>ALPHA</t>
  </si>
  <si>
    <t>LAMDA</t>
  </si>
  <si>
    <t>Lines on Lamda plots</t>
  </si>
  <si>
    <t>Lines on r/t</t>
  </si>
  <si>
    <t>Bin</t>
  </si>
  <si>
    <t>Lower bound</t>
  </si>
  <si>
    <t>Upper bound</t>
  </si>
  <si>
    <t># Entries</t>
  </si>
  <si>
    <t>Min</t>
  </si>
  <si>
    <t>Max</t>
  </si>
  <si>
    <t>Median</t>
  </si>
  <si>
    <t>Mean</t>
  </si>
  <si>
    <t>Skew</t>
  </si>
  <si>
    <t>Circular hollow section</t>
  </si>
  <si>
    <t># Total</t>
  </si>
  <si>
    <t>Num</t>
  </si>
  <si>
    <t>%</t>
  </si>
  <si>
    <t>Year</t>
  </si>
  <si>
    <t>Earliest</t>
  </si>
  <si>
    <t>Latest</t>
  </si>
  <si>
    <t>r/t ratio</t>
  </si>
  <si>
    <t>Omega</t>
  </si>
  <si>
    <t>r</t>
  </si>
  <si>
    <t>t</t>
  </si>
  <si>
    <t>h</t>
  </si>
  <si>
    <t>Circ. &amp; long. joined</t>
  </si>
  <si>
    <t>Long. overlap-joined</t>
  </si>
  <si>
    <t>Electro-forming</t>
  </si>
  <si>
    <t>Misc.</t>
  </si>
  <si>
    <t>Radius (mm)</t>
  </si>
  <si>
    <t>Thickness (mm)</t>
  </si>
  <si>
    <t>q1</t>
  </si>
  <si>
    <t>q2</t>
  </si>
  <si>
    <t>q3</t>
  </si>
  <si>
    <t>q1 - Min</t>
  </si>
  <si>
    <t>q2 - q1</t>
  </si>
  <si>
    <t>q3 - q2</t>
  </si>
  <si>
    <t>Max - q3</t>
  </si>
  <si>
    <t>Bar name</t>
  </si>
  <si>
    <t>LAMBDA</t>
  </si>
  <si>
    <t>E</t>
  </si>
  <si>
    <t xml:space="preserve"> </t>
  </si>
  <si>
    <t>Minimum r/t</t>
  </si>
  <si>
    <t>Maximum r/t</t>
  </si>
  <si>
    <t>Num bins</t>
  </si>
  <si>
    <t>Bin width</t>
  </si>
  <si>
    <t>Lower Bound</t>
  </si>
  <si>
    <t>Upper Bound</t>
  </si>
  <si>
    <t>sigy</t>
  </si>
  <si>
    <t>Total</t>
  </si>
  <si>
    <t>Bin Centre</t>
  </si>
  <si>
    <t># Steel</t>
  </si>
  <si>
    <t># Aluminium</t>
  </si>
  <si>
    <t># Brass</t>
  </si>
  <si>
    <t>% Steel</t>
  </si>
  <si>
    <t>% Brass</t>
  </si>
  <si>
    <t>% Aluminium</t>
  </si>
  <si>
    <t>Tests 1-11 were performed as preliminary tests to determine what the best type of specimen to use for tests 12-27. For example specimens 1A, 2A, 2B were cut from previously buckled test performed. Figure on the right describes the end conditions 'Abrupt', 'Tapered' and 'Uniform' mentioned in the 'Conduct of experiment' column. Material properties provided here refer to the compression results. Tensile results are in the paper</t>
  </si>
  <si>
    <t>Snapping failure; inward diamond shaped pattern</t>
  </si>
  <si>
    <t xml:space="preserve">All four cylinders initially deformed into an axisymmetric pattern near one or both ends. C-1 was the only cylinder that had rings develop along its entire length. For cylinders C-2 and C-3, buckling was followed by the development of a single axisymmetric ring close to the top end of C-2, and the formation of two rings near the top of C-3. Each of these cylinders then deformed into a triangular mode. For cylinder C-4, buckling appeared to correspond to an initial axisymmetric bulge. However, a complete ring never fully developed before the cylinder deformed into a triangular mode. </t>
  </si>
  <si>
    <t>2) Dimple tolerances: The local effect of weld shrinkage caused most specimens to fail the dimple tolerance even for FQC C of EN 1993-1-6. However, this longitudinal joint imperfection is present in most laboratory tests and has little impact on buckling under axial load</t>
  </si>
  <si>
    <t>1) Out-of-roundness: most specimens met the requirements of FQC A, and all specimens were better than FQC C of EN 1993-1-6.</t>
  </si>
  <si>
    <t>Axially loaded specimens, tested under displacement control at a velocity of 0.0125 mm/min up to maximum load, at which point the velocity was increased to 0.025 mm/min. The axial displacement (Fig. 3c) was applied in steps and recorded using a displacement transducer on the axis. After each step a relaxation period of 10 min was made to obtain a static load.</t>
  </si>
  <si>
    <t>Manufactured and tested at RTU from a flat plate of AISI 304 stainless steel, rolled up to the desired curvature, and closed forming a top joint which is laser-welded</t>
  </si>
  <si>
    <t>Top and bottom edges clamped using a resin potting supported by metallic rings. Each cylinder is placed between two metallic plates and glued with epoxy resin</t>
  </si>
  <si>
    <t>http://dx.doi.org/10.1155/2015/729684</t>
  </si>
  <si>
    <t>Experimental investigations on buckling of cylindrical shells under axial compression and transverse shear</t>
  </si>
  <si>
    <t>The material properties are determined from tensile tests on coupons cut from the respective parent material. Nominal properties are given here as measured properties are not given in the report</t>
  </si>
  <si>
    <t>Fabricated by rolling and TIG welding in the longitudinal direction. The verticality of the wall and the parallelism of the flanges are checked on the surface plate. The maximum deviation observed in the axial direction is 0.9 mm. SEAM WELDED</t>
  </si>
  <si>
    <t>See figure at the end of the row. A double acting hydraulic jack (1) is fixed at the middle of the cross-beam. A power pack (11) with air intensifier system is used to operate the hydraulic jack. After mounting the specimen on the test bed an initial geometric survey is carried out. Subsequent to the imperfection survey, the axial load is applied in steps. The number of load steps varied from specimen to specimen with a minimum of 9 and maximum of 13. At all load steps, load cell, strain gauge and dial gauge readings are recorded.</t>
  </si>
  <si>
    <t>Tests carried out in uniaxial tension on long strips of the copper that were soldered</t>
  </si>
  <si>
    <t xml:space="preserve">For steel  cylinders a Baldwin Universal Testing Machine was used. </t>
  </si>
  <si>
    <t xml:space="preserve">Premature dimpling due to imperfect seams was eliminated by the addition of a 1-1/2-inch shim strap attached with an epoxy cement along the seam </t>
  </si>
  <si>
    <t>theta0</t>
  </si>
  <si>
    <t>F(X)</t>
  </si>
  <si>
    <t>chi</t>
  </si>
  <si>
    <t>Piecewise data</t>
  </si>
  <si>
    <t xml:space="preserve">Piecewise Plotting data </t>
  </si>
  <si>
    <t>om</t>
  </si>
  <si>
    <t>th0</t>
  </si>
  <si>
    <t>Sorted abaqus</t>
  </si>
  <si>
    <t>R</t>
  </si>
  <si>
    <t>Plotting data</t>
  </si>
  <si>
    <t>Excess kurtosis</t>
  </si>
  <si>
    <t>#
Entries</t>
  </si>
  <si>
    <t>Min.</t>
  </si>
  <si>
    <t>Max.</t>
  </si>
  <si>
    <t>Standard deviation</t>
  </si>
  <si>
    <t>CV
(%)</t>
  </si>
  <si>
    <t>Does not explicitly say whether the material properties are nominal or measured, but based on the other report two special testing machines may have been used to measure the modulus of elasticity. The values from both machines would have been compared to check consistency between methods. In Fig. 6, a formula has been provided which gives the relationship between elastic modulus and the yield stress. E/(sigy) = 545. Report also states that sigy for steel was around 57,000 lb per sq inch for all tests. It was between 28000 and 30000 lb per sq inch for brass. The provided value has been used for steel and the average has been used for brass.</t>
  </si>
  <si>
    <t>The material was rolled around rods of the required diameter to obtain the approximate curvature before the longitudinal seams were soldered. The tubes were then soldered to heavy end pieces. Longitudinal seams were lapped 1/16 inch and as little solder as possible was used.</t>
  </si>
  <si>
    <t>Specimens of small t/d ratios had initial waves but these were identified to be due to a lack of flatness of the initial stock from which they were made. Largers specimens appeared to have a true cylindrical form but this was only checked using the eye and fingers</t>
  </si>
  <si>
    <t xml:space="preserve"> Jigs were used to hold the cylindrical shape and prevent local waving whilst soldering occurred.  When soldering to end plates care was taken to heat them symmetrically to avoid producing initial strains in the tubes. A loose ring was fitted to the tube just closely enough to keep the tube cylindrical during soldering.</t>
  </si>
  <si>
    <t>Special machine was used to test specimens. Load application was smooth. Axial loads were applied though universal joints to ensure a definite line of action of the load. Load test machine picture is provided.</t>
  </si>
  <si>
    <t>Specimen manufacture and testing procedure were obtained form another report (detailed at the bottom of the spreadsheet called 'Stability of thin walled Tubes under Torsion' by Donnell) for the testing of cylinders subjected to torsion as suggested by the author. End conditions have also be obtained from here, but the author does not specifically say to refer to the torsion report for this.</t>
  </si>
  <si>
    <t>Standard shim stock steel</t>
  </si>
  <si>
    <t>https://www.ideals.illinois.edu/handle/2142/4186</t>
  </si>
  <si>
    <t>Deformation measured by apparatus which gave the average deformation of opposite sides of the specimen.</t>
  </si>
  <si>
    <t>Stress-strain diagrams obtained during the test by means of an autographic apparatus. The load on the specimen was indicated by the vertical movement of a pencil on the record. This vertical movement was controlled by the hand wheel operating the poise on the testing machine.</t>
  </si>
  <si>
    <t>Deformations obtained with a strain gauge, the gauge holes were drilled in the bearing blocks used in the test.</t>
  </si>
  <si>
    <t>Deformations obtained with a strain gauge, the gauge holes being drilled in the collars of the specimen</t>
  </si>
  <si>
    <t>All fabricated specimems except for the 10-in specimens of series 7, were tested in a 3000000-lb Southwark-Emery hydraulic testing machine. Specimens of diameter greater than 40 in were loaded by means of the truncated-cone top bearing block. Thickness measurements were made only at the ends, at eight points around the circumference.</t>
  </si>
  <si>
    <t>NATA 473 DOCUMENT STATES THAT "For r/t&lt;350, the stresses obviously approached or exceeded the proportional limit and the yield point of the material. Series A, D and 5 should not be included as stresses developed were so high that yielding must have occurred".</t>
  </si>
  <si>
    <t>The measured parameters included length of the tube (L), outer most diameter at three sections along the tube (D1 - top, D2 - middle, and D3 - bottom), thickness of the weld (tw), width of the weld (dweld), and in the case of the SWTs, the pitch of the weld seam (Distance to 1 Revolution)</t>
  </si>
  <si>
    <t xml:space="preserve">It should be noted that all specimens displayed some initial geometric imperfections, in the form of ovalisation, variations in the weld thickness and tube length. The effects of this source of error were mitigated by taking the average of several measurements along the tube. </t>
  </si>
  <si>
    <t xml:space="preserve"> The stub columns were compressed between the two parallel end platens of the testing machine to get fixed boundary conditions. Hardened end plates were placed between the platens and the specimens to avoid damage to the testing machine from the high localised stresses. Steel ring stiffeners that were precisely machined to match the outer diameter of the tested tubes were mounted at each end of the specimens to prevent any cross-section distortion or local bending at the end sections.</t>
  </si>
  <si>
    <t>The specimens were seated on a pair of V-shaped blocks that were precisely aligned and clamped onto the bed of a milling machine. LVDT was used to record geometric deviations at 2 mm intervals. A string pot was employed to monitor the longitudinal displacement. The measurements were carried out along twelve equally spaced longitudinal lines around the circumference. The maximum deviation of all twelve measurements was taken as the local imperfection amplitude and is on the column on the right.</t>
  </si>
  <si>
    <t>All the stub columns failed by the formation of a bulge near either the top or bottom end except CSC5 and CSC6, for which bulges developed at both ends and one dominated later in  the post-ultimate range.</t>
  </si>
  <si>
    <t>In this study, a laser displacement meter, KEYENCE LK-G80, was used to measure the initial geometrical imperfection of each specimen. The initial out-of-straightness of all stub column specimens were measured along the whole length. Imperfection measurements in mm.</t>
  </si>
  <si>
    <t>Eight strain gauges were installed at four locations on the steel tube at the mid-height of each specimen. Two gauges at each location were arranged at a 90 angle to measure the longitudinal and transverse strains. Four linear variable differential transducers (LVDTs) were used to measure the axial compressive deformations. The test was conducted on a 5,000 kN capacity compression machine. The load was measured by using a load transducer. In the elastic range, the vertical load was applied with an increment of one-tenth of the calculated capacity of the specimen. Beyond the elastic range, the displacement control loading method was adopted</t>
  </si>
  <si>
    <t>Local buckling in elastic stage of steel material with inward buckling ripples, local buckling failure mode</t>
  </si>
  <si>
    <t>Influence of initial geometric imperfection, residual stress and steel yield strength taken into account in FEM model. Comparison with available steel specifications carried out. With the increase of D/t ratio, the load-carrying capacity of the tubes appeared to be influenced by the initial geometric imperfection and the initial residual stress.</t>
  </si>
  <si>
    <t>Structural performance of stainless steel circular hollow sections under combined axial load and bending–Part 1: Experiments and numerical modelling</t>
  </si>
  <si>
    <t>Tensile coupon tests were carried out. Coupons were dimensioned and machined in accordance with the Australian standard AS 1391 and the American standard ASTM E8M.  Displacement control was used to drive an MTS testing machine at the loading rates of 0.05 mm/min and 0.2 mm/min up to and beyond the 0.2% proof stress, respectively.</t>
  </si>
  <si>
    <t>An INSTRON 5000 kN hydraulic testing machine with fixed end platens was employed for the stub column testing, which was performed at a constant speed of 0.2 mm/min. LVDT were used to measure the end shortening and strain gauges were used to measure axial strains.</t>
  </si>
  <si>
    <t>All the stub columns failed by inelastic local buckling with an elephant foot pattern</t>
  </si>
  <si>
    <t>Behaviour and design of spiral-welded stainless steel tubes subjected to axial compression</t>
  </si>
  <si>
    <t>https://doi.org/10.1016/j.jcsr.2018.11.029</t>
  </si>
  <si>
    <t>Tensile coupons tests. Sadowski et al. highlighted that the manufacturing process of spiral welded tubes might induce a distinctly oriented anisotropy. "Moreover, it can be found from Table 1 that an isotropic material property would be acceptable for the stainless steel tubes without welding seam in the following computational analysis".</t>
  </si>
  <si>
    <t>Loading plates of the testing machine were restrained against rotation in any direction to simulate the fixed-supports at both ends. Effective length taken as half its physical length.</t>
  </si>
  <si>
    <t>Tested under uniaxial compression with a 500 t capacity Amsler Machine</t>
  </si>
  <si>
    <t>The specimen was first centered in the 3 000 000-lb. testing machine and allowed to stand free upon a plate laid directly upon the base of the machine. The upper head of the machine was then lowered until the spherical head was carried by the specimen and a small load had been applied. The spherical head was then wedged in position, and the loading from that time to the end of the test was with both ends of the specimen fixed. Strains were measured with an 8-in. Berry strain gauge at three sections, one at the top, one at mid-height, and one at the bottom. Readings were taken on six gauge lines at each section.</t>
  </si>
  <si>
    <t>Loads were applied by the jack in increments of about 1 percent of the estimated load at failure. In all the tests, 5 to 10 minutes elapsed from the time that load was first applied to the specimen until failure occurred.</t>
  </si>
  <si>
    <t>Spherical end bearing blocks. Pin-ended condition seeked (but impossible as spherical end blocks will always have some frictional resistance)</t>
  </si>
  <si>
    <t>Report aims to assess the impact of axial stiffeners. A total of 41 tests on small cylinders were performed, but only 8 appear to be on unstiffened cylinders, the rest (ring stiffened) have been left out as are not representative. 4 tests on large scale cylinders were also performed but these were also stiffened so have not been included</t>
  </si>
  <si>
    <r>
      <rPr>
        <i/>
        <sz val="12"/>
        <color theme="1"/>
        <rFont val="Calibri"/>
        <family val="2"/>
        <scheme val="minor"/>
      </rPr>
      <t>"Made by a technique and tested on special testing machines developed by Dr. L. H. Donnell. These have been described by him in a previous paper"</t>
    </r>
    <r>
      <rPr>
        <sz val="12"/>
        <color theme="1"/>
        <rFont val="Calibri"/>
        <family val="2"/>
        <scheme val="minor"/>
      </rPr>
      <t xml:space="preserve">
Sheets rolled around rods of the desired diameter, wrapped around a wooden roll and soldered</t>
    </r>
  </si>
  <si>
    <t>Fixed end conditions were obtained by seating specimens in grooves chased out of the end plates. The grooves were then filled with metal alloy (cerrosafe). This alloys expanded slighly on cooling.</t>
  </si>
  <si>
    <t xml:space="preserve">Three different screw gear testing machines were used at various times depending on the availability. One was a 200,000-lb  Riehle machine. The others were a 10,000 ln and 10,000 kg Instron machines. In the case of the Riehle machine, load was measured by a lever system and a trolley weight. Axial shortening was measured by averaging two dial gage readings where the diametrically opposed gauges measured movement of the top plate relative to a fixed base. The average axial strain was determined from these data and was checked, for one cylinder, by taking extensometer (6-in, gage length) readings over an 18-in. distance (three independent gage lengths) on opposite sides of the cylinder during loading. For the Instron machines, the load was taken directly from the ordinate of the recording chart while axial shortening was determined from the chart absissae. These latter readings, however, were checked against dial gauges mounted on the specimen in a similar manner to that mentioned previously. In general, axial shortening was increased from zero to that corresponding to the buckling load. On snapping, further shortening was noted due to the "give" of the machine. </t>
  </si>
  <si>
    <t xml:space="preserve">The top of the upper loading plate has a disc-shaped recess which is designed to contain molten suphur bituminous mixtyre. The upper crosshead of the machine is slowly moved into this hot mixture and upon cooling the hardened matrix ensures a uniform loading on the cylinder. </t>
  </si>
  <si>
    <t xml:space="preserve">Cylinders 1 to 4 were tested without a mandrel. 5 to 9 were tested with a mandrel and then tested one or more additional times to see if the mandrel infuluenced the buckling load. The mandrel meant that the bucking load of the cylinder could be repeated to within 1%. </t>
  </si>
  <si>
    <t>Average wall thickness was determined by weighing the shells. The thickness variation along the generator was determined by cutting strips from the first specimen and determining their thickness using a comparator. The thickness variation was less than +- 2% of the nominal value. Long strips of plated copper were soldered into 1/8 thick plates which were clamped into an Instron testing machine before being tested in uniaxial tension. The head displacement of the testing machine was used as the measure of strain and the load was read from the Instron load cell.</t>
  </si>
  <si>
    <t>Electroformed copper was used as it was felt that it would reduce the size of the unintended initial imperfections. All five shells had initial imperfections that were greater than the wall thicknesses of the respective shells. At the location of the initial buckles there were very pronounced localized defects in the test specimen as can be seen from the initial scan. The initial imperfections of the shells surveyed so far were characterized by being composed predominantly of lower order modes (i. e. few circumferential and even fewer axial waves). The amplitudes of the higher order modes were in general very small (i. e. of the order of one per cent of the wall thickness or less). By tracing the growth of individual modal components of the measured imperfection surfaces during the loading process prior to buckling it was discovered that for each shell tested several different modal components seemed to grow exponentially towards the buckling load.</t>
  </si>
  <si>
    <t xml:space="preserve">A7 and A10 failed initially in isolated localized buckles. After the initial local buckling the load was increased until general collapse occurred without attempting to adjust the load distribution. General collapse occurred in the same manner as for the other three shells A8, A9 and A12 which did not have any initial local buckling. General collapse typically consisted of a snap through. </t>
  </si>
  <si>
    <t xml:space="preserve">Tables with information on the principal Fourier coefficients of these initial surveys, defined as the components whose amplitudes exceeded 5 percent of the respective wall thicknesses, are summarised in Table 2. </t>
  </si>
  <si>
    <t>Material properties were found by plotting stress strain curves using two methods. The first method involved cutting tensile coupons from shells in the axial and circumferential directions with strain gauges applied to both sides of the coupons (to compensate for temperature and curvature effects) which were then loaded in tension. The second method uses the average end shortening measurements taken during the compression test. The values from both methods were within 5% of eachother. Poisson's ratio has been determined using a biaxial loading technique and is taken as 0.3.</t>
  </si>
  <si>
    <t xml:space="preserve">The test rig has two possible configurations, one where the plane of the upper edge of the test specimen is always parallel to the plane of the lower edge, and one where the upper plane is free to translate and tilt. A Tinius Olsen testing machine with a 10,000 lb capacity was used to apply compressive loads. A load cell with a sensitivity of 1mm/deflection/5.5lb of load  was used to monitor the loading and unloading of specimens. Shells were tested at a rate of 0.006 inches per hour. Shells specimens were fitted over a tapered circular extension. This maintains the circular shape of the shell ends and the coincidence of the axes of the central shaft with that of the specimen. The trough surrounding the ends holds material which is used for encasing or "potting in" the ends. A cold setting epoxy resin was used. Once the test was completed, the assembly was heated to 250 deg F, to make the epoxy pliable enough for it to be remved. Once the shell was potted,  a 1.75 inch guide shaft could either be removed or left in place depending on whether a laterally restrained test was desired. The guide shaft had the effect of laterally restraining end motions. A short length of chain fastened to a steel rod (used to transmit load)  was inserted into the center of the assembly if the guide shaft was removed. A carefully balanced weight was attached to the bottom end of the rod.  Since the rod passed through a 0.5 inch hole in the alignment platform, the centreline of the hole was coincident with the axis of the shell. The position of the rod in the hole indicated the degree of alignment between the shell axis and the load transmitting axis. By manipulating three alignment screws, on the alignment platfom until the rod was in the center of the hole it was possible to align the rod with the axis of the shell. The maximum possible initial error that could occur prior to load application (when the rod touched one side of the hole) was 0.4-lb side load for a 100 lb vertical force. Four dial gauges were evenly spaced around the shell and indicate the end shortening during the test. This allowed load strain curves to be plotted and to determine the extent of any end cap tipping. The tapered end fit of the ends meant that a exact circular fit was obtained in each case allowing an appreciable reduction in the initial out of roundness of the specimens. </t>
  </si>
  <si>
    <t>A short length of chain fastened to a steel rod (used to transmit load) was inserted into the center of the assembly if the guide shaft was removed. A carefully balanced weight was attached to the bottom end of the rod.  Since the rod passed through a 0.5 inch hole in the alignment platform, the centreline of the hole was coincident with the axis of the shell. The position of the rod in the hole indicated the degree of alignment between the shell axis and the load transmitting axis. By manipulating three alignment screws, on the alignment platfom until the rod was in the center of the hole it was possible to align the rod with the axis of the shell. The maximum possible initial error that could occur prior to load application (when the rod touched one side of the hole) was 0.4-lb side load for a 100 lb vertical force.</t>
  </si>
  <si>
    <t>They found that when comparing restrained and unrestrained tests there was no noticable change in the buckling load. However, when there was a restraining mechanism there were slightly higher post-buckling loads, repeated buckling loads and an increased number of circumferential waves.  They also estimate that an overall accumulative error of 10% in the determination of the buckling load is possible.</t>
  </si>
  <si>
    <t>For machined specimens, cylindrical tensile test specimens were taken in various directions. Specimens were heat treated with models and after final machining were tested on an Instron testing machine. Test results showed there was negligible anisotropy in the pipes. For welded models, flat tensile specimens were taken along and transverse to the rolling direction. Yield stress was slighly higher for specimens taken transverse to the direction of rolling than others.</t>
  </si>
  <si>
    <t xml:space="preserve">Models were either machined from extruded steel pipes or made from steel sheets which were wrapped around a mandrel and welded longitudinally with no stress relief. </t>
  </si>
  <si>
    <t>Specimens cut from solid-drawn mild-steel tubes. Two groups considered (cold and hot drawn).</t>
  </si>
  <si>
    <t>https://ntrs.nasa.gov/citations/19930091707</t>
  </si>
  <si>
    <t>One tensile specimen and one compressive specimen were taken form each tube. Compressive results were used for the duralumin specimens, but not for the chromium-molybdenum-steel tubes as the specimens crinkled before the yield stress was achieved. Tensile tests were made in a pendulum hydraulic machine having a capacity of 100,000 pounds. Compressive material tests were conducted in the exact same way as the crinkling tests. Strains were measured using a Ewing extensometer when possible. The modulus of elasticity was obtained from stress strain data by difference of curves drawn for each of the tensile and compressive specimens. Tensile tests were made of full tube specimens, and compressive tests were made on specimens which were 4 or 5 diameters long.The stress strain data used for determining the modulus of elasticity were taken after first loading the specimen to produce a strain of 0.002 and then removing the load. The tensile yield stress was obtained from stress strain diagrams. The yield strength of chromium-molybdenum steel was taken as the stress at a strain 0.002 in excess of the elastic strain corresponding to this stress and as the stress at a strain of 0.006 for duralumin. The compressive yield stress of the duralumin was obtained as the stress corresponding to the intersection with the stress-strain curve of a line drawn through the origin with a slope of 2/3E. The cross sectional areas of the specimens were computed from the weights, lengths, and densities of material. Dimensions provided in the left columns are nominal.</t>
  </si>
  <si>
    <t>Most of the chromium-molybdenum-steel tubing was manufactured to comply with Navy Department Specification 44T18c, Feb. 1, 1937: Tubing, Steel (Chrome-molybdenum) Round, Seamless (Aircraft use). Duralim tubing was 17ST aluminium alloy tubing and it complied with Navy Department specification 44T21b, May 1, 1937: Tubing, Aluminium-alloy (Aluminum-copper-magnesiym-manganese), Round, Seamless, Condition "T", heat treated.</t>
  </si>
  <si>
    <t xml:space="preserve">Most compressive tests took place in a fluid support Bourdon-tube hydraulic machine having a capacity of 100,000 pounds. Th unsymmetrical position of the motor, the hand-wheel, and the other mechanism for raising and lowering the adjustable head causes it to exert on the portion of the two screws below it a constant moment of roughly 1000 pound inches in a plane normal to that of the screws. This means that the screws are bent elastically slightly and tend to straighten out under load, produce rotation of the load. Ends of the specimen were machined plane and normal to the axis of the tubes. Each end of a specimen was embedded in wood's metal to a depth of one quarter of the diameter of the specimen. In order to secure as nearly uniform bearing as practically possible, the upper bearing block was capped with paster of paris. Load was then immediately applied to allow the plaster to set for 15 mins before testing. </t>
  </si>
  <si>
    <t xml:space="preserve">The material properties namely the yield stress reported are the minimum for tubing accoring to the Navy department specification 44T18c. The measured yield stress was not reported. Hovever, the failure stress normalised by the yield stress has been reported so it can be calculated from there. Chromium Molydenum steel specimens have been normalised by the tensile yield stress. Duralumin specimens have been normalised by the yield strength in compression. </t>
  </si>
  <si>
    <t>Rolled from a 0.9mm thick steel sheet. Longitudinal seams were joined with full-penetration groove welds made by manual shielded metal arc process using AWS E4 10xx electrodes. SC1 was tested without end stiffening elements to serve as a control. SC2 had longitudinal stiffening fins pop-riveted at close intervals around each end. SC3, SC4, SC5 had ring stiffeners at each end. 75mm wide strips of 0.9mm sheet metal were rolled and riveted to each cylinder end to form collars for SC3,4 and 5. Rivet spacing was increased towards the centre of each cylinder in the hope of gradually reducing the stiffening effect.</t>
  </si>
  <si>
    <t>Out of roundness was measured. The local bulges and depressions in the cylinder wall surface measured with respect to longitudinal reference lines have been measured. Surface imperfections measured this way are characterised by deviation amplitude w0' which is defined as the offset between points on the wall surface and a best fit straight line through those points over a given gauge length. These measurements were conducted for the large specimens, C1 and C2 and results are included in the table at the end. Maximum values of out of roundness of the compression specimens was at sections closest to the ends. The maximum and minimum diameters were more or less perpendicular to one another giving the specimens an oval or eliptical shape.</t>
  </si>
  <si>
    <t>C1 required extensive shimming. Alignment was considered adequate when measured longitudinal strain increments were within 10% up to a load of approximately 35% of the estimated failure load.</t>
  </si>
  <si>
    <t>Load uniformity for C2 was obtained by grouting between the specimen and the end fixtures with a high strength portland cement grout.</t>
  </si>
  <si>
    <t>Electroforming - A thin coat of nickel was deposited on an accurate aluminum mandrel. The shells were separated from the mandrels by rapidly cooling the mandrels with liquid nitrogen.</t>
  </si>
  <si>
    <t>Different from usual as there is a central core or mandrel. The mandrel does not carry any direct load but restricts the depth of buckle which can form. This loading fixture was mounted in a standard 60.000 Ib Baldwin Hamilton test machine and load was applied through a spherical seat loading pad in the usual manner</t>
  </si>
  <si>
    <t>Third nickel shell which had been prepared in the early stages of the development of the electro forming technique was not of the same quality as the other two.</t>
  </si>
  <si>
    <t>https://www.sciencedirect.com/science/article/pii/002076836790056X</t>
  </si>
  <si>
    <t xml:space="preserve">The resulting test specimens have thickness variations of the order of ± 2 per cent, and have geometrical tolerances of the order of ± 1/2 the thickness. The initial deformation is measured after mounting the shell in the testing apparatus. </t>
  </si>
  <si>
    <t>During the testing of these shells three different types of loading systems have been used, but the buckling results are reported to be independent of the machine stiffness</t>
  </si>
  <si>
    <t>The shells do not have the same dimensions, but they all fall into the long-shell range since the value of L^2/ Rt is greater than 2300 for each shell</t>
  </si>
  <si>
    <t>The cylinders were fabricated with the with-grain direction of the skin material in the longitudinal direction and with two longitudinal splices in the skin.</t>
  </si>
  <si>
    <t>Specimens are loaded in compression in the Langley 1,200,000 pound capacity testing machine. The ends of the specimens were ground flat and parallel prior to testing and the specimens were carefully aligned in the testing machine to insure uniform bearing between the ends of the specimens and the platens of the testing machine. The circularity of the cylinders was maintained during the tests with the use of thin plywood or aluminium bulkheads at each end of the cylinder. Gauges with 13/16 inch gauge length were used on the skin to detect local buckling. In some tests, buckling was observed to occur rather abruptly causing sudden movements of the crosshead of the testing machine. These movements could not be accurately recorded so for some of the subsequent tests, the Langley 1,200,000 pound capacity testing machine was adapted with a 300,000 pound capacity hydraulic jack.</t>
  </si>
  <si>
    <t>Limited amount of permanent plastic deformation</t>
  </si>
  <si>
    <t>End plates (6 inch diameter, 1.25 in thick) turned from solid aluminium stock with accurrately machined groove center, to center the thin shell and provide a close fitting circular internal restraint. Once assembled, holes filled. Maintain circularity</t>
  </si>
  <si>
    <t>1) Measuring the distance between the outside of the cylinder wall and fixed reference surface at 4320 locations. The variations in this distance were a measure of initial imperfections.
Asymmetric imperfections of the order of 10% of the shell thickness coupled with axisymmetric of 1/40th of the wall thickness could reduce the buckling load to approximately 60% of its classical value. Maximum peak variation of from the true circular cross section was 0.0069 in for cylinder 14, assuming equal inwards and outward displacement</t>
  </si>
  <si>
    <t>Compression spring and screw thread arranegment.</t>
  </si>
  <si>
    <t>Electroforming. Nickel plating process, using a hollow aluminium mandrel that was turned and polished to diameter. The mandrel was processed for the nickel plating and then immersed in a bath consisting primarily of nickel sulfate, nickel bormide and borix acid. The resulting shell was separated from the mandrel by subcooling both with liquid nitrogen and carefully removing the nickel shell.</t>
  </si>
  <si>
    <t>The Stability of Thin-Walled Unstiffened Circular Cylinders Under Axial Compression Including the Effect of Internal Pressure</t>
  </si>
  <si>
    <t>0.005-in.-thick 2S H-18 aluminum foil and 0.0032-,0.004-, and 0.0087-in.- thick half-hard 18-8 stainless-steel foil. Most of the cylinders were fabricated by wrapping the sheet around a form and adhesive bonding a single 3/8-in.-wide longitudinal seam with Epon VI adhesive. Some of the later cylinders were fabricated by seam welding, which proved to be a faster and simpler technique.</t>
  </si>
  <si>
    <t>The test cylinders snugly fitted the lower and upper heads of the test jig and were clamped to the heads by metal straps. The straps prevented slippage and leakage between the heads and the cylinder.</t>
  </si>
  <si>
    <t>The axial compression loading was applied by a hydraulic strut and was measured by an SR-4 load cell. The buckling loads of the test specimens were determined visually. Buckling occurred at or just prior to the ultimate load the specimen would resist. For most specimens, a visual determination of the buckling load was relatively simple because the buckles often snapped into position. Occasionally, buckles appeared to grow out of relatively large initial irregularities</t>
  </si>
  <si>
    <t xml:space="preserve">The sheet thicknesses were the averages of a number of micrometer measurements. </t>
  </si>
  <si>
    <t xml:space="preserve"> Discussion: Effect of Imperfections on Buckling of Thin Cylinders and Columns Under Axial Compression</t>
  </si>
  <si>
    <t xml:space="preserve">Test specimens were cut from five 12-foot lengths of 2 inch diameter 75S-T6 rolled round rod. The tubular specimens were made by first turning down the reduced section to approximate size in a lathe, boring and reaming the hole, and finally finishing the exterior  of the reduced section and cutting to length. </t>
  </si>
  <si>
    <t>Mean Youngs modulus is a mean of the values in the direction of rolling as well as transverse to it</t>
  </si>
  <si>
    <t>Sheet was wrapped around a rigid mandrel and the longitudinal seam of the shell was bonded by epoxy-base adhesive. The interior surface of each cylinder was sanded, cleaned with acetone and then with chrimic acid to ensure a good bond between the shell wall and the elastic core (if it had any). Here only unfilled tests reported.</t>
  </si>
  <si>
    <t>The ends of the shells were secured by clamping bands so as to lead to clamped-edge condition</t>
  </si>
  <si>
    <t>Special test machine designed to load such shells in either axial compression, torsion or states of combined loading involving these two. A dynanometer indicated the magnitude of axial loading, and end shortening was monitored by a dial gauge.</t>
  </si>
  <si>
    <t>Diamonds extend completely around the circumference of the cylinder, unlike previous investigators who usually found that the diamonds extend over only a fracture of the circumference. The complete pattern obtained resulted largely from care exercised in concentric application of the axial load.</t>
  </si>
  <si>
    <t>Buckling occurred with audible and rather violent formation of the characteristic diamond patterns.</t>
  </si>
  <si>
    <t>Report provides details of how specimens were made and tested for "A New Theory for the Buckling of Thin Cylinders Under Axial Compression and Bending" by Donnell listed earlier.</t>
  </si>
  <si>
    <t>Experiments on the postbuckling behaviour of circular cylindrical shells under compression</t>
  </si>
  <si>
    <t xml:space="preserve"> 20-3</t>
  </si>
  <si>
    <t xml:space="preserve">Attaching 11-mm-thick duralumin cover plates at both ends. Completely clamped boundary conditions </t>
  </si>
  <si>
    <t>The loading head 10 has three equidistant legs, on both faces of which strain gages U are bonded. The compressive load on each leg can be finely adjusted by turning the bolt 12, observing the strain output from U. The loading head is constrained to move in the axial direction by a frictionless ball bushing 13, supported by a three leg stand 14. With this loading system, tests are performed under controlling the edge shortening of the shell. However, it is to be noted that the shell is also subjected to a dead load of 50.2 N (= 5.12 kg), due to the weights of the loading head, stiffening as well as cover plates</t>
  </si>
  <si>
    <t>Outliers</t>
  </si>
  <si>
    <r>
      <rPr>
        <sz val="12"/>
        <color theme="1"/>
        <rFont val="Calibri"/>
        <family val="2"/>
      </rPr>
      <t>λ ± 0.125 b</t>
    </r>
    <r>
      <rPr>
        <sz val="12"/>
        <color theme="1"/>
        <rFont val="Calibri"/>
        <family val="2"/>
        <scheme val="minor"/>
      </rPr>
      <t>in</t>
    </r>
  </si>
  <si>
    <t>Ω</t>
  </si>
  <si>
    <t>λ</t>
  </si>
  <si>
    <t>χ</t>
  </si>
  <si>
    <t>α</t>
  </si>
  <si>
    <t>Lab test data</t>
  </si>
  <si>
    <t>Lower whisker</t>
  </si>
  <si>
    <t>High whisker</t>
  </si>
  <si>
    <t>Schmidt and Waeteraere</t>
  </si>
  <si>
    <t>Generated geometries in Monte Carlo simulation in abaqus</t>
  </si>
  <si>
    <t>Calculations for Figure 2a)</t>
  </si>
  <si>
    <t>Calculations for Figure 2b)</t>
  </si>
  <si>
    <t>Figure 1</t>
  </si>
  <si>
    <t>Figure 2</t>
  </si>
  <si>
    <t>Table 1</t>
  </si>
  <si>
    <t xml:space="preserve">Table 3 </t>
  </si>
  <si>
    <t>Figure 7</t>
  </si>
  <si>
    <t>ECDFs of Young's Modulus</t>
  </si>
  <si>
    <t>ECDFs of Young's modulus of steel, aluminium and brass and the variation in the proportion of each with r/t</t>
  </si>
  <si>
    <t>Figure 1 data</t>
  </si>
  <si>
    <t>Figure 2 data</t>
  </si>
  <si>
    <t>Figure 7 data</t>
  </si>
  <si>
    <t>Figure 1 of paper - Graphical summary of up to 702 tested cylinders under axial compression grouped according to specimen fabrication category and plotted as the dimensionless buckling resistances χ or α against the dimensionless slenderness λ or r/t.</t>
  </si>
  <si>
    <t>Figure 2 of paper - Box-and-whisker summary of χ against λ for the dataset collected as part of the present work (a) and the German dataset (b), as digitised from Schmidt</t>
  </si>
  <si>
    <t>Figure 7 of paper - Actual, piecewise approximated and sampled empirical cumulative distribution functions (ECDFs) adopted for the Monte Carlo simulation of specimens with longitudinally overlap-joined systematic fabrication imperfection.</t>
  </si>
  <si>
    <t>Table 1 of paper - Descriptive statistics of the specimen resistance χ grouped by λ-bin.</t>
  </si>
  <si>
    <t>Table 3 of paper - Summary of specimens according to fabrication category.</t>
  </si>
  <si>
    <t>The buckling of cylindrical shells with an initial imperfection under axial compression loading</t>
  </si>
  <si>
    <t>Babcock C.D</t>
  </si>
  <si>
    <t>Thesis</t>
  </si>
  <si>
    <t>https://thesis.library.caltech.edu/727/1/Babcock_cd_1962.pdf</t>
  </si>
  <si>
    <t>Calculations to prepare Figure 1</t>
  </si>
  <si>
    <t>Calculations to prepare Figure 2</t>
  </si>
  <si>
    <t>Calculations to prepare Figure 7</t>
  </si>
  <si>
    <t>Long. butt-joined</t>
  </si>
  <si>
    <t>F(x)</t>
  </si>
  <si>
    <t>dx</t>
  </si>
  <si>
    <t>dy</t>
  </si>
  <si>
    <t>Year sorted</t>
  </si>
  <si>
    <t>ECDF of Year of testing</t>
  </si>
  <si>
    <t>Empirical cumulative distribution function showing the distribution of the years in which laboratory tests were carried out</t>
  </si>
  <si>
    <t>E sorted</t>
  </si>
  <si>
    <t>This dataset accompanies the manuscript "On the existing test dataset of isotropic cylindrical metal shells under axial compression and the design of modern metal civil engineering shells"</t>
  </si>
  <si>
    <t>by Adam J. Sadowski, Maria Terres Morata, Lijithan Kathirkamanathan, Marc Seidel and J. Michael Rotter</t>
  </si>
  <si>
    <t>Please cite the above when referring to this dataset.</t>
  </si>
  <si>
    <t>In the below, the Figure and Table names refer to those in the above manuscript.</t>
  </si>
  <si>
    <t>Dataset compiled by Lijithan Kathirkamanathan and Maria Terres Morata</t>
  </si>
  <si>
    <t>Please note that the above may differ slightly from Table 3 in the paper due to rounding.</t>
  </si>
  <si>
    <t>Length (mm)</t>
  </si>
  <si>
    <t>Entry Number</t>
  </si>
  <si>
    <t>Number</t>
  </si>
  <si>
    <t>Total of</t>
  </si>
  <si>
    <t>Fig 1d)</t>
  </si>
  <si>
    <t>Fig 1c)</t>
  </si>
  <si>
    <t>Fig 1b)</t>
  </si>
  <si>
    <t>Fig 1a)</t>
  </si>
  <si>
    <t>Lambda and Chi</t>
  </si>
  <si>
    <t>Lambda and Alpha</t>
  </si>
  <si>
    <t>points plotted</t>
  </si>
  <si>
    <t>r/t and Chi</t>
  </si>
  <si>
    <t>r/t and alpha</t>
  </si>
  <si>
    <t>CHI or ALPHA present (test result exists) and both material properties provided</t>
  </si>
  <si>
    <t>alpha</t>
  </si>
  <si>
    <t>CHI or ALPHA present (test result exists) and both material properties provided and LTWb</t>
  </si>
  <si>
    <t xml:space="preserve">CHI or ALPHA present (test result exists) </t>
  </si>
  <si>
    <t>Year of conducted test with a test result</t>
  </si>
  <si>
    <t>specimens tested which have an associated failure load normalised by the yield stress or Young's modulus</t>
  </si>
  <si>
    <t>specimens in database (with not all actually being tested)</t>
  </si>
  <si>
    <r>
      <t xml:space="preserve">Four mechanical dial gages at the corners of the machine head were used to measure the longitudinal shortening of the specimen
Yielding failure
</t>
    </r>
    <r>
      <rPr>
        <i/>
        <sz val="12"/>
        <color theme="1"/>
        <rFont val="Calibri"/>
        <family val="2"/>
        <scheme val="minor"/>
      </rPr>
      <t>There is overlap in the papers for the results of the 16 specimens of entry 22 due to them all being tested at Lehigh University. All specimens were likely tested between 1975 and 1980. For simplicity, the year listed in the adjacent column is simply the year of the paper from which a particular result was extracted.</t>
    </r>
  </si>
  <si>
    <t>Last modified on 26 November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</si>
</sst>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0"/>
    <numFmt numFmtId="165" formatCode="0.000000"/>
    <numFmt numFmtId="166" formatCode="0.000"/>
    <numFmt numFmtId="167" formatCode="0.0000"/>
    <numFmt numFmtId="168" formatCode="0.0"/>
    <numFmt numFmtId="169" formatCode="0.00000000000"/>
    <numFmt numFmtId="170" formatCode="0.0000000"/>
  </numFmts>
  <fonts count="32">
    <font>
      <sz val="12"/>
      <color theme="1"/>
      <name val="Calibri"/>
      <family val="2"/>
      <scheme val="minor"/>
    </font>
    <font>
      <sz val="11"/>
      <color theme="1"/>
      <name val="Calibri"/>
      <family val="2"/>
      <scheme val="minor"/>
    </font>
    <font>
      <sz val="12"/>
      <color theme="0"/>
      <name val="Calibri"/>
      <family val="2"/>
      <scheme val="minor"/>
    </font>
    <font>
      <b/>
      <sz val="16"/>
      <color theme="1"/>
      <name val="Calibri"/>
      <family val="2"/>
      <scheme val="minor"/>
    </font>
    <font>
      <sz val="11"/>
      <color rgb="FF000000"/>
      <name val="Calibri"/>
      <family val="2"/>
    </font>
    <font>
      <sz val="11"/>
      <color rgb="FF1A1A1A"/>
      <name val="Calibri"/>
      <family val="2"/>
    </font>
    <font>
      <b/>
      <sz val="12"/>
      <color theme="1"/>
      <name val="Calibri"/>
      <family val="2"/>
      <scheme val="minor"/>
    </font>
    <font>
      <u/>
      <sz val="12"/>
      <color theme="10"/>
      <name val="Calibri"/>
      <family val="2"/>
      <scheme val="minor"/>
    </font>
    <font>
      <vertAlign val="subscript"/>
      <sz val="12"/>
      <color theme="1"/>
      <name val="Calibri (Body)"/>
    </font>
    <font>
      <sz val="12"/>
      <color rgb="FF000000"/>
      <name val="Calibri"/>
      <family val="2"/>
    </font>
    <font>
      <sz val="12"/>
      <color rgb="FF000000"/>
      <name val="Calibri"/>
      <family val="2"/>
      <charset val="1"/>
    </font>
    <font>
      <sz val="8"/>
      <name val="Calibri"/>
      <family val="2"/>
      <scheme val="minor"/>
    </font>
    <font>
      <sz val="12"/>
      <color rgb="FFC00000"/>
      <name val="Calibri"/>
      <family val="2"/>
      <scheme val="minor"/>
    </font>
    <font>
      <i/>
      <sz val="12"/>
      <color theme="1"/>
      <name val="Calibri"/>
      <family val="2"/>
      <scheme val="minor"/>
    </font>
    <font>
      <sz val="12"/>
      <color rgb="FF000000"/>
      <name val="Calibri"/>
      <family val="2"/>
      <scheme val="minor"/>
    </font>
    <font>
      <sz val="12"/>
      <color rgb="FF1A1A1A"/>
      <name val="Calibri"/>
      <family val="2"/>
    </font>
    <font>
      <sz val="11"/>
      <name val="Calibri"/>
      <family val="2"/>
    </font>
    <font>
      <u/>
      <sz val="11"/>
      <color rgb="FF0563C1"/>
      <name val="Calibri"/>
      <family val="2"/>
    </font>
    <font>
      <u/>
      <sz val="12"/>
      <color theme="1"/>
      <name val="Calibri (Body)"/>
    </font>
    <font>
      <b/>
      <sz val="18"/>
      <color rgb="FFC00000"/>
      <name val="Calibri"/>
      <family val="2"/>
      <scheme val="minor"/>
    </font>
    <font>
      <b/>
      <sz val="18"/>
      <color theme="1"/>
      <name val="Calibri"/>
      <family val="2"/>
      <scheme val="minor"/>
    </font>
    <font>
      <sz val="12"/>
      <color theme="6" tint="0.79998168889431442"/>
      <name val="Calibri"/>
      <family val="2"/>
      <scheme val="minor"/>
    </font>
    <font>
      <b/>
      <u/>
      <sz val="12"/>
      <color theme="1"/>
      <name val="Calibri (Body)"/>
    </font>
    <font>
      <sz val="12"/>
      <color theme="1"/>
      <name val="Calibri (Body)"/>
    </font>
    <font>
      <sz val="11"/>
      <color theme="1"/>
      <name val="Courier"/>
      <family val="1"/>
    </font>
    <font>
      <sz val="12"/>
      <name val="Calibri"/>
      <family val="2"/>
      <scheme val="minor"/>
    </font>
    <font>
      <sz val="11"/>
      <color rgb="FF000000"/>
      <name val="Calibri"/>
      <family val="2"/>
    </font>
    <font>
      <b/>
      <sz val="12"/>
      <color rgb="FFFF0000"/>
      <name val="Calibri"/>
      <family val="2"/>
      <scheme val="minor"/>
    </font>
    <font>
      <sz val="11"/>
      <color rgb="FF000000"/>
      <name val="Calibri"/>
      <family val="2"/>
    </font>
    <font>
      <sz val="12"/>
      <color theme="1"/>
      <name val="Calibri"/>
      <family val="2"/>
    </font>
    <font>
      <sz val="22"/>
      <color rgb="FF000000"/>
      <name val="Calibri"/>
      <family val="2"/>
    </font>
    <font>
      <sz val="18"/>
      <color rgb="FFFF0000"/>
      <name val="Calibri"/>
      <family val="2"/>
      <scheme val="minor"/>
    </font>
  </fonts>
  <fills count="6">
    <fill>
      <patternFill patternType="none"/>
    </fill>
    <fill>
      <patternFill patternType="gray125"/>
    </fill>
    <fill>
      <patternFill patternType="solid">
        <fgColor theme="1"/>
        <bgColor indexed="64"/>
      </patternFill>
    </fill>
    <fill>
      <patternFill patternType="solid">
        <fgColor theme="6" tint="0.79998168889431442"/>
        <bgColor indexed="64"/>
      </patternFill>
    </fill>
    <fill>
      <patternFill patternType="solid">
        <fgColor rgb="FFFFFFFF"/>
        <bgColor indexed="64"/>
      </patternFill>
    </fill>
    <fill>
      <patternFill patternType="solid">
        <fgColor rgb="FFFFFF00"/>
        <bgColor indexed="64"/>
      </patternFill>
    </fill>
  </fills>
  <borders count="53">
    <border>
      <left/>
      <right/>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indexed="64"/>
      </top>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bottom/>
      <diagonal/>
    </border>
    <border>
      <left/>
      <right style="thin">
        <color indexed="64"/>
      </right>
      <top/>
      <bottom/>
      <diagonal/>
    </border>
    <border>
      <left style="thin">
        <color indexed="64"/>
      </left>
      <right style="thin">
        <color indexed="64"/>
      </right>
      <top/>
      <bottom/>
      <diagonal/>
    </border>
    <border>
      <left style="medium">
        <color indexed="64"/>
      </left>
      <right/>
      <top/>
      <bottom style="thin">
        <color indexed="64"/>
      </bottom>
      <diagonal/>
    </border>
    <border>
      <left style="medium">
        <color indexed="64"/>
      </left>
      <right/>
      <top style="thin">
        <color indexed="64"/>
      </top>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s>
  <cellStyleXfs count="2">
    <xf numFmtId="0" fontId="0" fillId="0" borderId="0"/>
    <xf numFmtId="0" fontId="7" fillId="0" borderId="0" applyNumberFormat="0" applyFill="0" applyBorder="0" applyAlignment="0" applyProtection="0"/>
  </cellStyleXfs>
  <cellXfs count="1088">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horizontal="center" wrapText="1"/>
    </xf>
    <xf numFmtId="0" fontId="0" fillId="0" borderId="0" xfId="0" applyAlignment="1">
      <alignment horizontal="left" wrapText="1"/>
    </xf>
    <xf numFmtId="0" fontId="0" fillId="0" borderId="0" xfId="0" applyBorder="1"/>
    <xf numFmtId="0" fontId="0" fillId="0" borderId="0" xfId="0" applyBorder="1" applyAlignment="1">
      <alignment wrapText="1"/>
    </xf>
    <xf numFmtId="0" fontId="0" fillId="0" borderId="0" xfId="0" applyFill="1" applyBorder="1"/>
    <xf numFmtId="2" fontId="4" fillId="0" borderId="0" xfId="0" applyNumberFormat="1" applyFont="1" applyFill="1" applyBorder="1" applyAlignment="1">
      <alignment wrapText="1"/>
    </xf>
    <xf numFmtId="0" fontId="0" fillId="0" borderId="0" xfId="0" applyBorder="1" applyAlignment="1">
      <alignment vertical="center" wrapText="1"/>
    </xf>
    <xf numFmtId="0" fontId="4" fillId="0" borderId="0" xfId="0" applyFont="1" applyFill="1" applyBorder="1" applyAlignment="1">
      <alignment horizontal="right" wrapText="1"/>
    </xf>
    <xf numFmtId="0" fontId="10" fillId="0" borderId="0" xfId="0" applyFont="1" applyBorder="1" applyAlignment="1">
      <alignment wrapText="1"/>
    </xf>
    <xf numFmtId="0" fontId="9" fillId="0" borderId="0" xfId="0" applyFont="1" applyBorder="1" applyAlignment="1">
      <alignment wrapText="1"/>
    </xf>
    <xf numFmtId="0" fontId="0" fillId="0" borderId="0" xfId="0" applyAlignment="1">
      <alignment horizontal="left" vertical="center"/>
    </xf>
    <xf numFmtId="0" fontId="0" fillId="0" borderId="1" xfId="0" applyBorder="1" applyAlignment="1">
      <alignment wrapText="1"/>
    </xf>
    <xf numFmtId="0" fontId="0" fillId="0" borderId="1" xfId="0" applyBorder="1"/>
    <xf numFmtId="0" fontId="0" fillId="0" borderId="2" xfId="0" applyBorder="1" applyAlignment="1">
      <alignment wrapText="1"/>
    </xf>
    <xf numFmtId="0" fontId="0" fillId="0" borderId="2" xfId="0" applyFill="1" applyBorder="1"/>
    <xf numFmtId="0" fontId="0" fillId="0" borderId="2" xfId="0" applyBorder="1"/>
    <xf numFmtId="0" fontId="0" fillId="0" borderId="1" xfId="0" applyBorder="1" applyAlignment="1">
      <alignment horizontal="right" vertical="center" wrapText="1"/>
    </xf>
    <xf numFmtId="0" fontId="0" fillId="0" borderId="1" xfId="0" applyBorder="1" applyAlignment="1">
      <alignment horizontal="right" vertical="center"/>
    </xf>
    <xf numFmtId="0" fontId="4" fillId="0" borderId="1" xfId="0" applyFont="1" applyFill="1" applyBorder="1" applyAlignment="1">
      <alignment horizontal="right" wrapText="1"/>
    </xf>
    <xf numFmtId="0" fontId="4" fillId="0" borderId="1" xfId="0" applyFont="1" applyFill="1" applyBorder="1" applyAlignment="1">
      <alignment wrapText="1"/>
    </xf>
    <xf numFmtId="0" fontId="4" fillId="0" borderId="2" xfId="0" applyFont="1" applyFill="1" applyBorder="1" applyAlignment="1">
      <alignment wrapText="1"/>
    </xf>
    <xf numFmtId="0" fontId="0" fillId="0" borderId="0" xfId="0" applyBorder="1" applyAlignment="1"/>
    <xf numFmtId="0" fontId="0" fillId="0" borderId="0" xfId="0" applyFont="1" applyBorder="1" applyAlignment="1">
      <alignment horizontal="center" vertical="center" wrapText="1"/>
    </xf>
    <xf numFmtId="0" fontId="0" fillId="3" borderId="1" xfId="0" applyFill="1" applyBorder="1"/>
    <xf numFmtId="2" fontId="0" fillId="0" borderId="0" xfId="0" applyNumberFormat="1" applyBorder="1"/>
    <xf numFmtId="0" fontId="12" fillId="0" borderId="1" xfId="0" applyFont="1" applyBorder="1" applyAlignment="1">
      <alignment horizontal="center" wrapText="1"/>
    </xf>
    <xf numFmtId="0" fontId="0" fillId="0" borderId="4" xfId="0" applyBorder="1"/>
    <xf numFmtId="0" fontId="0" fillId="0" borderId="6" xfId="0" applyBorder="1"/>
    <xf numFmtId="0" fontId="0" fillId="0" borderId="8" xfId="0" applyBorder="1"/>
    <xf numFmtId="0" fontId="0" fillId="3" borderId="0" xfId="0" applyFill="1"/>
    <xf numFmtId="0" fontId="2" fillId="2" borderId="13" xfId="0" applyFont="1" applyFill="1" applyBorder="1"/>
    <xf numFmtId="0" fontId="0" fillId="3" borderId="3" xfId="0" applyFill="1" applyBorder="1"/>
    <xf numFmtId="0" fontId="0" fillId="3" borderId="5" xfId="0" applyFill="1" applyBorder="1"/>
    <xf numFmtId="0" fontId="0" fillId="3" borderId="7" xfId="0" applyFill="1" applyBorder="1"/>
    <xf numFmtId="0" fontId="0" fillId="0" borderId="14" xfId="0" applyBorder="1" applyAlignment="1">
      <alignment horizontal="center" wrapText="1"/>
    </xf>
    <xf numFmtId="0" fontId="0" fillId="0" borderId="14" xfId="0" applyBorder="1"/>
    <xf numFmtId="0" fontId="0" fillId="0" borderId="15" xfId="0" applyBorder="1" applyAlignment="1">
      <alignment horizontal="center" wrapText="1"/>
    </xf>
    <xf numFmtId="0" fontId="0" fillId="0" borderId="15" xfId="0" applyBorder="1"/>
    <xf numFmtId="0" fontId="4" fillId="0" borderId="0" xfId="0" applyFont="1" applyBorder="1" applyAlignment="1">
      <alignment wrapText="1"/>
    </xf>
    <xf numFmtId="1" fontId="0" fillId="0" borderId="0" xfId="0" applyNumberFormat="1" applyBorder="1"/>
    <xf numFmtId="1" fontId="0" fillId="0" borderId="0" xfId="0" applyNumberFormat="1" applyFill="1" applyBorder="1"/>
    <xf numFmtId="165" fontId="0" fillId="0" borderId="0" xfId="0" applyNumberFormat="1" applyBorder="1"/>
    <xf numFmtId="164" fontId="0" fillId="0" borderId="0" xfId="0" applyNumberFormat="1" applyBorder="1"/>
    <xf numFmtId="166" fontId="0" fillId="0" borderId="0" xfId="0" applyNumberFormat="1" applyBorder="1" applyAlignment="1">
      <alignment wrapText="1"/>
    </xf>
    <xf numFmtId="166" fontId="0" fillId="0" borderId="1" xfId="0" applyNumberFormat="1" applyBorder="1" applyAlignment="1">
      <alignment wrapText="1"/>
    </xf>
    <xf numFmtId="1" fontId="0" fillId="0" borderId="1" xfId="0" applyNumberFormat="1" applyBorder="1" applyAlignment="1">
      <alignment horizontal="center" wrapText="1"/>
    </xf>
    <xf numFmtId="1" fontId="0" fillId="0" borderId="0" xfId="0" applyNumberFormat="1" applyBorder="1" applyAlignment="1">
      <alignment horizontal="center" wrapText="1"/>
    </xf>
    <xf numFmtId="166" fontId="0" fillId="0" borderId="2" xfId="0" applyNumberFormat="1" applyBorder="1" applyAlignment="1">
      <alignment wrapText="1"/>
    </xf>
    <xf numFmtId="1" fontId="0" fillId="0" borderId="2" xfId="0" applyNumberFormat="1" applyBorder="1" applyAlignment="1">
      <alignment horizontal="center" wrapText="1"/>
    </xf>
    <xf numFmtId="166" fontId="0" fillId="0" borderId="0" xfId="0" applyNumberFormat="1" applyBorder="1"/>
    <xf numFmtId="2" fontId="0" fillId="0" borderId="2" xfId="0" applyNumberFormat="1" applyBorder="1"/>
    <xf numFmtId="166" fontId="0" fillId="0" borderId="2" xfId="0" applyNumberFormat="1" applyBorder="1"/>
    <xf numFmtId="1" fontId="0" fillId="0" borderId="0" xfId="0" applyNumberFormat="1" applyBorder="1" applyAlignment="1">
      <alignment wrapText="1"/>
    </xf>
    <xf numFmtId="1" fontId="0" fillId="0" borderId="1" xfId="0" applyNumberFormat="1" applyBorder="1" applyAlignment="1">
      <alignment horizontal="right" vertical="center" wrapText="1"/>
    </xf>
    <xf numFmtId="1" fontId="0" fillId="0" borderId="1" xfId="0" applyNumberFormat="1" applyBorder="1" applyAlignment="1">
      <alignment wrapText="1"/>
    </xf>
    <xf numFmtId="0" fontId="13" fillId="3" borderId="10" xfId="0" applyFont="1" applyFill="1" applyBorder="1" applyAlignment="1">
      <alignment vertical="center"/>
    </xf>
    <xf numFmtId="0" fontId="0" fillId="0" borderId="0" xfId="0" applyAlignment="1">
      <alignment vertical="center" wrapText="1"/>
    </xf>
    <xf numFmtId="2" fontId="0" fillId="0" borderId="1" xfId="0" applyNumberFormat="1" applyBorder="1"/>
    <xf numFmtId="0" fontId="0" fillId="0" borderId="1" xfId="0" applyBorder="1" applyAlignment="1">
      <alignment horizontal="center" vertical="center"/>
    </xf>
    <xf numFmtId="0" fontId="0" fillId="0" borderId="1" xfId="0" applyBorder="1" applyAlignment="1">
      <alignment vertical="center" wrapText="1"/>
    </xf>
    <xf numFmtId="168" fontId="0" fillId="0" borderId="0" xfId="0" applyNumberFormat="1" applyBorder="1"/>
    <xf numFmtId="166" fontId="0" fillId="0" borderId="15" xfId="0" applyNumberFormat="1" applyBorder="1" applyAlignment="1">
      <alignment wrapText="1"/>
    </xf>
    <xf numFmtId="2" fontId="0" fillId="0" borderId="0" xfId="0" applyNumberFormat="1" applyBorder="1" applyAlignment="1">
      <alignment wrapText="1"/>
    </xf>
    <xf numFmtId="168" fontId="0" fillId="0" borderId="0" xfId="0" applyNumberFormat="1" applyBorder="1" applyAlignment="1">
      <alignment wrapText="1"/>
    </xf>
    <xf numFmtId="168" fontId="0" fillId="0" borderId="15" xfId="0" applyNumberFormat="1" applyBorder="1" applyAlignment="1">
      <alignment wrapText="1"/>
    </xf>
    <xf numFmtId="2" fontId="0" fillId="0" borderId="0" xfId="0" applyNumberFormat="1" applyBorder="1" applyAlignment="1">
      <alignment horizontal="center" wrapText="1"/>
    </xf>
    <xf numFmtId="0" fontId="0" fillId="0" borderId="15" xfId="0" applyBorder="1" applyAlignment="1">
      <alignment wrapText="1"/>
    </xf>
    <xf numFmtId="2" fontId="0" fillId="0" borderId="15" xfId="0" applyNumberFormat="1" applyBorder="1" applyAlignment="1">
      <alignment wrapText="1"/>
    </xf>
    <xf numFmtId="0" fontId="0" fillId="0" borderId="0" xfId="0" applyFill="1" applyBorder="1" applyAlignment="1">
      <alignment horizontal="center" wrapText="1"/>
    </xf>
    <xf numFmtId="2" fontId="0" fillId="0" borderId="1" xfId="0" applyNumberFormat="1" applyBorder="1" applyAlignment="1">
      <alignment wrapText="1"/>
    </xf>
    <xf numFmtId="168" fontId="0" fillId="0" borderId="1" xfId="0" applyNumberFormat="1" applyBorder="1" applyAlignment="1">
      <alignment wrapText="1"/>
    </xf>
    <xf numFmtId="0" fontId="0" fillId="0" borderId="2" xfId="0" applyBorder="1" applyAlignment="1">
      <alignment horizontal="left" wrapText="1"/>
    </xf>
    <xf numFmtId="2" fontId="0" fillId="0" borderId="2" xfId="0" applyNumberFormat="1" applyBorder="1" applyAlignment="1">
      <alignment horizontal="center" wrapText="1"/>
    </xf>
    <xf numFmtId="2" fontId="0" fillId="0" borderId="1" xfId="0" applyNumberFormat="1" applyBorder="1" applyAlignment="1">
      <alignment horizontal="right" vertical="center"/>
    </xf>
    <xf numFmtId="2" fontId="0" fillId="0" borderId="1" xfId="0" applyNumberFormat="1" applyBorder="1" applyAlignment="1">
      <alignment horizontal="center" wrapText="1"/>
    </xf>
    <xf numFmtId="168" fontId="14" fillId="0" borderId="1" xfId="0" applyNumberFormat="1" applyFont="1" applyBorder="1"/>
    <xf numFmtId="168" fontId="14" fillId="0" borderId="0" xfId="0" applyNumberFormat="1" applyFont="1" applyBorder="1"/>
    <xf numFmtId="0" fontId="0" fillId="0" borderId="0" xfId="0" applyBorder="1" applyAlignment="1">
      <alignment vertical="top" wrapText="1"/>
    </xf>
    <xf numFmtId="168" fontId="0" fillId="0" borderId="0" xfId="0" applyNumberFormat="1" applyBorder="1" applyAlignment="1">
      <alignment horizontal="center" wrapText="1"/>
    </xf>
    <xf numFmtId="168" fontId="0" fillId="0" borderId="0" xfId="0" applyNumberFormat="1" applyBorder="1" applyAlignment="1">
      <alignment vertical="center" wrapText="1"/>
    </xf>
    <xf numFmtId="1" fontId="0" fillId="0" borderId="0" xfId="0" applyNumberFormat="1" applyBorder="1" applyAlignment="1">
      <alignment vertical="center" wrapText="1"/>
    </xf>
    <xf numFmtId="164" fontId="0" fillId="0" borderId="0" xfId="0" applyNumberFormat="1" applyBorder="1" applyAlignment="1">
      <alignment wrapText="1"/>
    </xf>
    <xf numFmtId="0" fontId="0" fillId="0" borderId="14" xfId="0" applyBorder="1" applyAlignment="1">
      <alignment wrapText="1"/>
    </xf>
    <xf numFmtId="2" fontId="0" fillId="0" borderId="14" xfId="0" applyNumberFormat="1" applyBorder="1" applyAlignment="1">
      <alignment wrapText="1"/>
    </xf>
    <xf numFmtId="0" fontId="4" fillId="0" borderId="15" xfId="0" applyFont="1" applyFill="1" applyBorder="1" applyAlignment="1">
      <alignment wrapText="1"/>
    </xf>
    <xf numFmtId="1" fontId="0" fillId="0" borderId="15" xfId="0" applyNumberFormat="1" applyBorder="1" applyAlignment="1">
      <alignment wrapText="1"/>
    </xf>
    <xf numFmtId="2" fontId="0" fillId="0" borderId="2" xfId="0" applyNumberFormat="1" applyBorder="1" applyAlignment="1">
      <alignment wrapText="1"/>
    </xf>
    <xf numFmtId="0" fontId="0" fillId="0" borderId="5" xfId="0" applyBorder="1"/>
    <xf numFmtId="0" fontId="0" fillId="0" borderId="7" xfId="0" applyBorder="1"/>
    <xf numFmtId="0" fontId="0" fillId="0" borderId="5" xfId="0" applyBorder="1" applyAlignment="1">
      <alignment wrapText="1"/>
    </xf>
    <xf numFmtId="168" fontId="0" fillId="0" borderId="14" xfId="0" applyNumberFormat="1" applyBorder="1" applyAlignment="1">
      <alignment horizontal="center" wrapText="1"/>
    </xf>
    <xf numFmtId="0" fontId="14" fillId="0" borderId="15" xfId="0" applyFont="1" applyBorder="1"/>
    <xf numFmtId="168" fontId="0" fillId="0" borderId="15" xfId="0" applyNumberFormat="1" applyBorder="1" applyAlignment="1">
      <alignment horizontal="center" wrapText="1"/>
    </xf>
    <xf numFmtId="164" fontId="0" fillId="0" borderId="15" xfId="0" applyNumberFormat="1" applyBorder="1" applyAlignment="1">
      <alignment wrapText="1"/>
    </xf>
    <xf numFmtId="0" fontId="0" fillId="0" borderId="22" xfId="0" applyBorder="1"/>
    <xf numFmtId="0" fontId="4" fillId="0" borderId="0" xfId="0" applyFont="1" applyBorder="1" applyAlignment="1">
      <alignment horizontal="right" wrapText="1"/>
    </xf>
    <xf numFmtId="0" fontId="9" fillId="0" borderId="1" xfId="0" applyFont="1" applyFill="1" applyBorder="1" applyAlignment="1">
      <alignment wrapText="1"/>
    </xf>
    <xf numFmtId="0" fontId="9" fillId="0" borderId="0" xfId="0" applyFont="1" applyFill="1" applyBorder="1" applyAlignment="1">
      <alignment wrapText="1"/>
    </xf>
    <xf numFmtId="0" fontId="9" fillId="0" borderId="2" xfId="0" applyFont="1" applyFill="1" applyBorder="1" applyAlignment="1">
      <alignment wrapText="1"/>
    </xf>
    <xf numFmtId="0" fontId="0" fillId="0" borderId="0" xfId="0" applyFill="1" applyBorder="1" applyAlignment="1">
      <alignment wrapText="1"/>
    </xf>
    <xf numFmtId="0" fontId="4" fillId="0" borderId="4" xfId="0" applyFont="1" applyFill="1" applyBorder="1" applyAlignment="1">
      <alignment wrapText="1"/>
    </xf>
    <xf numFmtId="0" fontId="4" fillId="0" borderId="6" xfId="0" applyFont="1" applyFill="1" applyBorder="1" applyAlignment="1">
      <alignment wrapText="1"/>
    </xf>
    <xf numFmtId="0" fontId="4" fillId="0" borderId="15" xfId="0" applyFont="1" applyBorder="1" applyAlignment="1">
      <alignment wrapText="1"/>
    </xf>
    <xf numFmtId="0" fontId="0" fillId="0" borderId="4" xfId="0" applyBorder="1" applyAlignment="1">
      <alignment wrapText="1"/>
    </xf>
    <xf numFmtId="0" fontId="0" fillId="0" borderId="6" xfId="0" applyBorder="1" applyAlignment="1">
      <alignment wrapText="1"/>
    </xf>
    <xf numFmtId="0" fontId="4" fillId="0" borderId="1" xfId="0" applyFont="1" applyBorder="1" applyAlignment="1">
      <alignment wrapText="1"/>
    </xf>
    <xf numFmtId="0" fontId="4" fillId="0" borderId="4" xfId="0" applyFont="1" applyBorder="1" applyAlignment="1">
      <alignment wrapText="1"/>
    </xf>
    <xf numFmtId="0" fontId="4" fillId="0" borderId="6" xfId="0" applyFont="1" applyBorder="1" applyAlignment="1">
      <alignment wrapText="1"/>
    </xf>
    <xf numFmtId="0" fontId="4" fillId="0" borderId="2" xfId="0" applyFont="1" applyBorder="1" applyAlignment="1">
      <alignment wrapText="1"/>
    </xf>
    <xf numFmtId="0" fontId="4" fillId="0" borderId="8" xfId="0" applyFont="1" applyBorder="1" applyAlignment="1">
      <alignment wrapText="1"/>
    </xf>
    <xf numFmtId="0" fontId="4" fillId="0" borderId="3" xfId="0" applyFont="1" applyBorder="1" applyAlignment="1">
      <alignment wrapText="1"/>
    </xf>
    <xf numFmtId="0" fontId="4" fillId="0" borderId="5" xfId="0" applyFont="1" applyBorder="1" applyAlignment="1">
      <alignment wrapText="1"/>
    </xf>
    <xf numFmtId="0" fontId="9" fillId="0" borderId="0" xfId="0" applyFont="1" applyBorder="1" applyAlignment="1">
      <alignment vertical="center" wrapText="1"/>
    </xf>
    <xf numFmtId="1" fontId="0" fillId="0" borderId="1" xfId="0" applyNumberFormat="1" applyBorder="1" applyAlignment="1">
      <alignment vertical="center" wrapText="1"/>
    </xf>
    <xf numFmtId="168" fontId="0" fillId="0" borderId="2" xfId="0" applyNumberFormat="1" applyBorder="1" applyAlignment="1">
      <alignment vertical="center" wrapText="1"/>
    </xf>
    <xf numFmtId="1" fontId="0" fillId="0" borderId="2" xfId="0" applyNumberFormat="1" applyBorder="1" applyAlignment="1">
      <alignment vertical="center" wrapText="1"/>
    </xf>
    <xf numFmtId="0" fontId="0" fillId="0" borderId="6"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xf>
    <xf numFmtId="0" fontId="0" fillId="0" borderId="8" xfId="0" applyBorder="1" applyAlignment="1">
      <alignment vertical="top" wrapText="1"/>
    </xf>
    <xf numFmtId="0" fontId="9" fillId="0" borderId="1" xfId="0" applyFont="1" applyBorder="1" applyAlignment="1">
      <alignment wrapText="1"/>
    </xf>
    <xf numFmtId="0" fontId="9" fillId="0" borderId="1" xfId="0" applyFont="1" applyBorder="1" applyAlignment="1">
      <alignment vertical="center" wrapText="1"/>
    </xf>
    <xf numFmtId="2" fontId="9" fillId="0" borderId="1" xfId="0" applyNumberFormat="1" applyFont="1" applyBorder="1" applyAlignment="1">
      <alignment vertical="center" wrapText="1"/>
    </xf>
    <xf numFmtId="0" fontId="0" fillId="0" borderId="2" xfId="0" applyBorder="1" applyAlignment="1">
      <alignment vertical="center" wrapText="1"/>
    </xf>
    <xf numFmtId="0" fontId="0" fillId="0" borderId="1" xfId="0" applyFill="1" applyBorder="1"/>
    <xf numFmtId="0" fontId="0" fillId="0" borderId="3" xfId="0" applyBorder="1"/>
    <xf numFmtId="0" fontId="0" fillId="0" borderId="20" xfId="0" applyBorder="1"/>
    <xf numFmtId="0" fontId="0" fillId="0" borderId="0" xfId="0" applyBorder="1" applyAlignment="1">
      <alignment horizontal="center" wrapText="1"/>
    </xf>
    <xf numFmtId="0" fontId="0" fillId="3" borderId="3" xfId="0" applyFill="1" applyBorder="1" applyAlignment="1">
      <alignment horizontal="left" vertical="center"/>
    </xf>
    <xf numFmtId="0" fontId="0" fillId="0" borderId="1" xfId="0" applyBorder="1" applyAlignment="1">
      <alignment horizontal="right"/>
    </xf>
    <xf numFmtId="0" fontId="0" fillId="0" borderId="0" xfId="0" applyBorder="1" applyAlignment="1">
      <alignment horizontal="right"/>
    </xf>
    <xf numFmtId="0" fontId="0" fillId="0" borderId="2" xfId="0" applyBorder="1" applyAlignment="1">
      <alignment horizontal="right"/>
    </xf>
    <xf numFmtId="168" fontId="0" fillId="0" borderId="2" xfId="0" applyNumberFormat="1" applyBorder="1" applyAlignment="1">
      <alignment wrapText="1"/>
    </xf>
    <xf numFmtId="0" fontId="26" fillId="0" borderId="2" xfId="0" applyFont="1" applyBorder="1" applyAlignment="1">
      <alignment wrapText="1"/>
    </xf>
    <xf numFmtId="0" fontId="26" fillId="0" borderId="0" xfId="0" applyFont="1" applyBorder="1" applyAlignment="1">
      <alignment wrapText="1"/>
    </xf>
    <xf numFmtId="164" fontId="0" fillId="0" borderId="1" xfId="0" applyNumberFormat="1" applyBorder="1" applyAlignment="1">
      <alignment wrapText="1"/>
    </xf>
    <xf numFmtId="0" fontId="26" fillId="0" borderId="1" xfId="0" applyFont="1" applyBorder="1" applyAlignment="1">
      <alignment wrapText="1"/>
    </xf>
    <xf numFmtId="164" fontId="0" fillId="0" borderId="2" xfId="0" applyNumberFormat="1" applyBorder="1" applyAlignment="1">
      <alignment wrapText="1"/>
    </xf>
    <xf numFmtId="2" fontId="0" fillId="0" borderId="0" xfId="0" applyNumberFormat="1" applyAlignment="1">
      <alignment wrapText="1"/>
    </xf>
    <xf numFmtId="1" fontId="14" fillId="0" borderId="0" xfId="0" applyNumberFormat="1" applyFont="1" applyBorder="1" applyAlignment="1">
      <alignmen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Fill="1"/>
    <xf numFmtId="0" fontId="7" fillId="0" borderId="0" xfId="1"/>
    <xf numFmtId="167" fontId="0" fillId="0" borderId="0" xfId="0" applyNumberFormat="1" applyBorder="1" applyAlignment="1">
      <alignment wrapText="1"/>
    </xf>
    <xf numFmtId="0" fontId="0" fillId="0" borderId="8" xfId="0" applyBorder="1" applyAlignment="1">
      <alignment vertical="center"/>
    </xf>
    <xf numFmtId="167" fontId="0" fillId="0" borderId="1" xfId="0" applyNumberFormat="1" applyBorder="1" applyAlignment="1">
      <alignment wrapText="1"/>
    </xf>
    <xf numFmtId="167" fontId="0" fillId="0" borderId="2" xfId="0" applyNumberFormat="1" applyBorder="1" applyAlignment="1">
      <alignment wrapText="1"/>
    </xf>
    <xf numFmtId="0" fontId="27" fillId="0" borderId="0" xfId="0" applyFont="1"/>
    <xf numFmtId="0" fontId="28" fillId="0" borderId="2" xfId="0" applyFont="1" applyBorder="1" applyAlignment="1">
      <alignment wrapText="1"/>
    </xf>
    <xf numFmtId="0" fontId="28" fillId="0" borderId="0" xfId="0" applyFont="1" applyBorder="1" applyAlignment="1">
      <alignment wrapText="1"/>
    </xf>
    <xf numFmtId="0" fontId="2" fillId="2" borderId="25" xfId="0" applyFont="1" applyFill="1" applyBorder="1"/>
    <xf numFmtId="0" fontId="0" fillId="0" borderId="10" xfId="0" applyBorder="1"/>
    <xf numFmtId="0" fontId="0" fillId="0" borderId="10" xfId="0" applyBorder="1" applyAlignment="1">
      <alignment wrapText="1"/>
    </xf>
    <xf numFmtId="0" fontId="0" fillId="0" borderId="10" xfId="0" applyBorder="1" applyAlignment="1">
      <alignment horizontal="center" wrapText="1"/>
    </xf>
    <xf numFmtId="0" fontId="27" fillId="0" borderId="0" xfId="0" applyFont="1" applyAlignment="1">
      <alignment vertical="top"/>
    </xf>
    <xf numFmtId="0" fontId="0" fillId="0" borderId="0" xfId="0" applyNumberFormat="1" applyAlignment="1">
      <alignment horizontal="left" wrapText="1"/>
    </xf>
    <xf numFmtId="0" fontId="0" fillId="0" borderId="0" xfId="0" applyNumberFormat="1" applyBorder="1" applyAlignment="1">
      <alignment horizontal="left" wrapText="1"/>
    </xf>
    <xf numFmtId="0" fontId="0" fillId="0" borderId="2" xfId="0" applyNumberFormat="1" applyBorder="1" applyAlignment="1">
      <alignment horizontal="left" wrapText="1"/>
    </xf>
    <xf numFmtId="0" fontId="0" fillId="0" borderId="1" xfId="0" applyBorder="1" applyAlignment="1">
      <alignment vertical="top" wrapText="1"/>
    </xf>
    <xf numFmtId="0" fontId="4" fillId="0" borderId="0" xfId="0" applyFont="1" applyFill="1" applyBorder="1" applyAlignment="1">
      <alignment wrapText="1"/>
    </xf>
    <xf numFmtId="0" fontId="0" fillId="0" borderId="1" xfId="0" applyBorder="1" applyAlignment="1">
      <alignment horizontal="center" vertical="center" wrapText="1"/>
    </xf>
    <xf numFmtId="0" fontId="0" fillId="0" borderId="0" xfId="0"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left" vertical="top" wrapText="1"/>
    </xf>
    <xf numFmtId="0" fontId="0" fillId="0" borderId="0" xfId="0" applyBorder="1" applyAlignment="1">
      <alignment horizontal="left" vertical="top" wrapText="1"/>
    </xf>
    <xf numFmtId="0" fontId="0" fillId="0" borderId="2" xfId="0" applyBorder="1" applyAlignment="1">
      <alignment horizontal="left" vertical="top" wrapText="1"/>
    </xf>
    <xf numFmtId="0" fontId="0" fillId="0" borderId="7" xfId="0" applyBorder="1" applyAlignment="1">
      <alignment horizontal="center" vertical="center" wrapText="1"/>
    </xf>
    <xf numFmtId="0" fontId="0" fillId="0" borderId="1" xfId="0" applyBorder="1" applyAlignment="1">
      <alignment horizontal="center" wrapText="1"/>
    </xf>
    <xf numFmtId="0" fontId="0" fillId="0" borderId="0" xfId="0" applyBorder="1" applyAlignment="1">
      <alignment horizontal="center" wrapText="1"/>
    </xf>
    <xf numFmtId="0" fontId="0" fillId="0" borderId="2" xfId="0" applyBorder="1" applyAlignment="1">
      <alignment horizont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8" xfId="0" applyBorder="1" applyAlignment="1">
      <alignment horizontal="center" vertical="center" wrapText="1"/>
    </xf>
    <xf numFmtId="0" fontId="0" fillId="0" borderId="1" xfId="0" applyBorder="1" applyAlignment="1">
      <alignment horizontal="left" vertical="center" wrapText="1"/>
    </xf>
    <xf numFmtId="0" fontId="0" fillId="0" borderId="2" xfId="0" applyBorder="1" applyAlignment="1">
      <alignment horizontal="center" vertical="center"/>
    </xf>
    <xf numFmtId="0" fontId="4" fillId="0" borderId="0" xfId="0" applyFont="1" applyFill="1" applyBorder="1" applyAlignment="1">
      <alignment horizontal="center" vertical="center" wrapText="1"/>
    </xf>
    <xf numFmtId="0" fontId="4" fillId="0" borderId="2" xfId="0" applyFont="1" applyFill="1" applyBorder="1" applyAlignment="1">
      <alignment horizontal="center" vertical="center" wrapText="1"/>
    </xf>
    <xf numFmtId="0" fontId="4" fillId="0" borderId="15" xfId="0" applyFont="1" applyFill="1" applyBorder="1" applyAlignment="1">
      <alignment horizontal="center" vertical="center" wrapText="1"/>
    </xf>
    <xf numFmtId="0" fontId="0" fillId="0" borderId="1" xfId="0" applyBorder="1" applyAlignment="1">
      <alignment horizontal="left" vertical="center"/>
    </xf>
    <xf numFmtId="0" fontId="0" fillId="0" borderId="2" xfId="0" applyNumberFormat="1" applyBorder="1" applyAlignment="1">
      <alignment horizontal="center" vertical="center" wrapText="1"/>
    </xf>
    <xf numFmtId="0" fontId="0" fillId="0" borderId="6" xfId="0" applyBorder="1" applyAlignment="1">
      <alignment horizontal="center" wrapText="1"/>
    </xf>
    <xf numFmtId="0" fontId="0" fillId="0" borderId="0" xfId="0" applyBorder="1" applyAlignment="1">
      <alignment horizontal="left" wrapText="1"/>
    </xf>
    <xf numFmtId="0" fontId="0" fillId="0" borderId="2" xfId="0" applyBorder="1" applyAlignment="1">
      <alignment vertical="top" wrapText="1"/>
    </xf>
    <xf numFmtId="0" fontId="4" fillId="0" borderId="1" xfId="0" applyFont="1" applyBorder="1" applyAlignment="1">
      <alignment vertical="center" wrapText="1"/>
    </xf>
    <xf numFmtId="0" fontId="4" fillId="0" borderId="0" xfId="0" applyFont="1" applyBorder="1" applyAlignment="1">
      <alignment vertical="center" wrapText="1"/>
    </xf>
    <xf numFmtId="0" fontId="0" fillId="0" borderId="0" xfId="0" applyBorder="1" applyAlignment="1">
      <alignment vertical="top"/>
    </xf>
    <xf numFmtId="0" fontId="0" fillId="0" borderId="15" xfId="0" applyBorder="1" applyAlignment="1">
      <alignment vertical="top" wrapText="1"/>
    </xf>
    <xf numFmtId="0" fontId="0" fillId="0" borderId="14" xfId="0" applyBorder="1" applyAlignment="1">
      <alignment vertical="top" wrapText="1"/>
    </xf>
    <xf numFmtId="0" fontId="19" fillId="0" borderId="0" xfId="0" applyFont="1" applyBorder="1" applyAlignment="1">
      <alignment vertical="center" wrapText="1"/>
    </xf>
    <xf numFmtId="0" fontId="0" fillId="0" borderId="1" xfId="0" applyBorder="1" applyAlignment="1">
      <alignment vertical="center"/>
    </xf>
    <xf numFmtId="0" fontId="4" fillId="0" borderId="4" xfId="0" applyFont="1" applyBorder="1" applyAlignment="1">
      <alignment vertical="center" wrapText="1"/>
    </xf>
    <xf numFmtId="0" fontId="4" fillId="0" borderId="6" xfId="0" applyFont="1" applyBorder="1" applyAlignment="1">
      <alignment vertical="center" wrapText="1"/>
    </xf>
    <xf numFmtId="0" fontId="4" fillId="0" borderId="8" xfId="0" applyFont="1" applyBorder="1" applyAlignment="1">
      <alignment vertical="center" wrapText="1"/>
    </xf>
    <xf numFmtId="0" fontId="4" fillId="0" borderId="2" xfId="0" applyFont="1" applyBorder="1" applyAlignment="1">
      <alignment vertical="center" wrapText="1"/>
    </xf>
    <xf numFmtId="0" fontId="0" fillId="0" borderId="4" xfId="0" applyBorder="1" applyAlignment="1">
      <alignment vertical="center" wrapText="1"/>
    </xf>
    <xf numFmtId="0" fontId="0" fillId="0" borderId="8" xfId="0" applyBorder="1" applyAlignment="1">
      <alignment vertical="center" wrapText="1"/>
    </xf>
    <xf numFmtId="0" fontId="0" fillId="0" borderId="3" xfId="0" applyBorder="1" applyAlignment="1">
      <alignment vertical="center" wrapText="1"/>
    </xf>
    <xf numFmtId="0" fontId="0" fillId="0" borderId="7" xfId="0" applyBorder="1" applyAlignment="1">
      <alignment vertical="center" wrapText="1"/>
    </xf>
    <xf numFmtId="0" fontId="0" fillId="0" borderId="0" xfId="0" applyFill="1" applyAlignment="1">
      <alignment vertical="center"/>
    </xf>
    <xf numFmtId="0" fontId="4" fillId="0" borderId="8" xfId="0" applyFont="1" applyFill="1" applyBorder="1" applyAlignment="1">
      <alignment wrapText="1"/>
    </xf>
    <xf numFmtId="0" fontId="4" fillId="0" borderId="2" xfId="0" applyFont="1" applyFill="1" applyBorder="1" applyAlignment="1">
      <alignment horizontal="right" wrapText="1"/>
    </xf>
    <xf numFmtId="0" fontId="4" fillId="0" borderId="7" xfId="0" applyFont="1" applyBorder="1" applyAlignment="1">
      <alignment wrapText="1"/>
    </xf>
    <xf numFmtId="0" fontId="0" fillId="0" borderId="1" xfId="0" applyBorder="1" applyAlignment="1">
      <alignment vertical="top"/>
    </xf>
    <xf numFmtId="0" fontId="0" fillId="0" borderId="2" xfId="0" applyBorder="1" applyAlignment="1">
      <alignment vertical="top"/>
    </xf>
    <xf numFmtId="0" fontId="24" fillId="0" borderId="0" xfId="0" applyFont="1" applyBorder="1"/>
    <xf numFmtId="2" fontId="4" fillId="0" borderId="1" xfId="0" applyNumberFormat="1" applyFont="1" applyBorder="1" applyAlignment="1">
      <alignment wrapText="1"/>
    </xf>
    <xf numFmtId="2" fontId="4" fillId="0" borderId="0" xfId="0" applyNumberFormat="1" applyFont="1" applyBorder="1" applyAlignment="1">
      <alignment wrapText="1"/>
    </xf>
    <xf numFmtId="0" fontId="13" fillId="0" borderId="1" xfId="0" applyFont="1" applyBorder="1" applyAlignment="1">
      <alignment horizontal="left" vertical="top" wrapText="1"/>
    </xf>
    <xf numFmtId="0" fontId="28" fillId="0" borderId="1" xfId="0" applyFont="1" applyBorder="1" applyAlignment="1">
      <alignment wrapText="1"/>
    </xf>
    <xf numFmtId="0" fontId="0" fillId="0" borderId="3" xfId="0" applyBorder="1" applyAlignment="1">
      <alignment vertical="top" wrapText="1"/>
    </xf>
    <xf numFmtId="0" fontId="0" fillId="0" borderId="5" xfId="0" applyBorder="1" applyAlignment="1">
      <alignment vertical="top" wrapText="1"/>
    </xf>
    <xf numFmtId="0" fontId="0" fillId="0" borderId="7" xfId="0" applyBorder="1" applyAlignment="1">
      <alignment vertical="top" wrapText="1"/>
    </xf>
    <xf numFmtId="0" fontId="0" fillId="0" borderId="16" xfId="0" applyBorder="1"/>
    <xf numFmtId="0" fontId="0" fillId="2" borderId="13" xfId="0" applyFill="1" applyBorder="1" applyAlignment="1">
      <alignment vertical="center"/>
    </xf>
    <xf numFmtId="0" fontId="0" fillId="0" borderId="12" xfId="0" applyBorder="1"/>
    <xf numFmtId="0" fontId="0" fillId="0" borderId="0" xfId="0" applyFill="1" applyBorder="1" applyAlignment="1">
      <alignment vertical="center" textRotation="90"/>
    </xf>
    <xf numFmtId="0" fontId="2" fillId="2" borderId="25" xfId="0" applyFont="1" applyFill="1" applyBorder="1" applyAlignment="1">
      <alignment vertical="center"/>
    </xf>
    <xf numFmtId="0" fontId="0" fillId="2" borderId="5" xfId="0" applyFill="1" applyBorder="1" applyAlignment="1">
      <alignment vertical="center"/>
    </xf>
    <xf numFmtId="0" fontId="0" fillId="2" borderId="3" xfId="0" applyFill="1" applyBorder="1" applyAlignment="1">
      <alignment vertical="center"/>
    </xf>
    <xf numFmtId="0" fontId="0" fillId="2" borderId="7" xfId="0" applyFill="1" applyBorder="1" applyAlignment="1">
      <alignment vertical="center"/>
    </xf>
    <xf numFmtId="0" fontId="0" fillId="2" borderId="23" xfId="0" applyFill="1" applyBorder="1" applyAlignment="1">
      <alignment vertical="center"/>
    </xf>
    <xf numFmtId="0" fontId="0" fillId="2" borderId="3" xfId="0" applyFill="1" applyBorder="1" applyAlignment="1">
      <alignment vertical="center" wrapText="1"/>
    </xf>
    <xf numFmtId="0" fontId="0" fillId="2" borderId="20" xfId="0" applyFill="1" applyBorder="1" applyAlignment="1">
      <alignment vertical="center"/>
    </xf>
    <xf numFmtId="0" fontId="0" fillId="2" borderId="21" xfId="0" applyFill="1" applyBorder="1" applyAlignment="1">
      <alignment vertical="center" wrapText="1"/>
    </xf>
    <xf numFmtId="0" fontId="0" fillId="2" borderId="5" xfId="0" applyFill="1" applyBorder="1" applyAlignment="1">
      <alignment vertical="center" wrapText="1"/>
    </xf>
    <xf numFmtId="0" fontId="13" fillId="3" borderId="23" xfId="0" applyFont="1" applyFill="1" applyBorder="1" applyAlignment="1">
      <alignment vertical="center"/>
    </xf>
    <xf numFmtId="0" fontId="13" fillId="3" borderId="11" xfId="0" applyFont="1" applyFill="1" applyBorder="1" applyAlignment="1">
      <alignment vertical="center"/>
    </xf>
    <xf numFmtId="0" fontId="0" fillId="3" borderId="20" xfId="0" applyFill="1" applyBorder="1"/>
    <xf numFmtId="0" fontId="0" fillId="3" borderId="3" xfId="0" applyFill="1" applyBorder="1" applyAlignment="1">
      <alignment wrapText="1"/>
    </xf>
    <xf numFmtId="0" fontId="0" fillId="3" borderId="21" xfId="0" applyFill="1" applyBorder="1" applyAlignment="1">
      <alignment wrapText="1"/>
    </xf>
    <xf numFmtId="0" fontId="0" fillId="0" borderId="24" xfId="0" applyBorder="1" applyAlignment="1">
      <alignment wrapText="1"/>
    </xf>
    <xf numFmtId="0" fontId="0" fillId="3" borderId="5" xfId="0" applyFill="1" applyBorder="1" applyAlignment="1">
      <alignment wrapText="1"/>
    </xf>
    <xf numFmtId="0" fontId="0" fillId="3" borderId="23" xfId="0" applyFill="1" applyBorder="1"/>
    <xf numFmtId="0" fontId="0" fillId="0" borderId="11" xfId="0" applyBorder="1" applyAlignment="1">
      <alignment wrapText="1"/>
    </xf>
    <xf numFmtId="1" fontId="0" fillId="0" borderId="2" xfId="0" applyNumberFormat="1" applyBorder="1" applyAlignment="1">
      <alignment wrapText="1"/>
    </xf>
    <xf numFmtId="168" fontId="14" fillId="0" borderId="2" xfId="0" applyNumberFormat="1" applyFont="1" applyBorder="1"/>
    <xf numFmtId="0" fontId="0" fillId="0" borderId="11" xfId="0" applyBorder="1"/>
    <xf numFmtId="0" fontId="0" fillId="0" borderId="5" xfId="0" applyBorder="1" applyAlignment="1">
      <alignment horizontal="center" wrapText="1"/>
    </xf>
    <xf numFmtId="0" fontId="4" fillId="0" borderId="6" xfId="0" applyFont="1" applyFill="1" applyBorder="1" applyAlignment="1">
      <alignment vertical="center" wrapText="1"/>
    </xf>
    <xf numFmtId="0" fontId="4" fillId="0" borderId="8" xfId="0" applyFont="1" applyFill="1" applyBorder="1" applyAlignment="1">
      <alignment vertical="center" wrapText="1"/>
    </xf>
    <xf numFmtId="0" fontId="0" fillId="0" borderId="4" xfId="0" applyBorder="1" applyAlignment="1">
      <alignment horizontal="left" vertical="top" wrapText="1"/>
    </xf>
    <xf numFmtId="0" fontId="0" fillId="0" borderId="6" xfId="0" applyBorder="1" applyAlignment="1">
      <alignment horizontal="left" vertical="top" wrapText="1"/>
    </xf>
    <xf numFmtId="0" fontId="0" fillId="0" borderId="8" xfId="0" applyBorder="1" applyAlignment="1">
      <alignment horizontal="left" vertical="top" wrapText="1"/>
    </xf>
    <xf numFmtId="167" fontId="0" fillId="0" borderId="4" xfId="0" applyNumberFormat="1" applyBorder="1" applyAlignment="1">
      <alignment horizontal="left" vertical="center"/>
    </xf>
    <xf numFmtId="0" fontId="0" fillId="0" borderId="6" xfId="0" applyFill="1" applyBorder="1"/>
    <xf numFmtId="0" fontId="0" fillId="0" borderId="8" xfId="0" applyFill="1" applyBorder="1"/>
    <xf numFmtId="0" fontId="9" fillId="0" borderId="6" xfId="0" applyFont="1" applyBorder="1" applyAlignment="1">
      <alignment vertical="top" wrapText="1"/>
    </xf>
    <xf numFmtId="0" fontId="9" fillId="0" borderId="8" xfId="0" applyFont="1" applyBorder="1" applyAlignment="1">
      <alignment vertical="top" wrapText="1"/>
    </xf>
    <xf numFmtId="0" fontId="0" fillId="0" borderId="4" xfId="0" applyFill="1" applyBorder="1"/>
    <xf numFmtId="0" fontId="14" fillId="0" borderId="4" xfId="0" applyFont="1" applyBorder="1" applyAlignment="1">
      <alignment horizontal="center" vertical="center" wrapText="1"/>
    </xf>
    <xf numFmtId="0" fontId="0" fillId="0" borderId="6" xfId="0" applyBorder="1" applyAlignment="1">
      <alignment horizontal="right" vertical="top" wrapText="1"/>
    </xf>
    <xf numFmtId="0" fontId="0" fillId="0" borderId="8" xfId="0" applyBorder="1" applyAlignment="1">
      <alignment horizontal="right" vertical="top" wrapText="1"/>
    </xf>
    <xf numFmtId="0" fontId="14" fillId="0" borderId="6" xfId="0" applyFont="1" applyBorder="1"/>
    <xf numFmtId="0" fontId="14" fillId="0" borderId="22" xfId="0" applyFont="1" applyBorder="1"/>
    <xf numFmtId="0" fontId="14" fillId="0" borderId="8" xfId="0" applyFont="1" applyBorder="1"/>
    <xf numFmtId="0" fontId="0" fillId="3" borderId="3" xfId="0" applyFill="1" applyBorder="1" applyAlignment="1">
      <alignment vertical="center" wrapText="1"/>
    </xf>
    <xf numFmtId="0" fontId="0" fillId="3" borderId="5" xfId="0" applyFill="1" applyBorder="1" applyAlignment="1">
      <alignment vertical="center" wrapText="1"/>
    </xf>
    <xf numFmtId="0" fontId="0" fillId="3" borderId="7" xfId="0" applyFill="1" applyBorder="1" applyAlignment="1">
      <alignment vertical="center" wrapText="1"/>
    </xf>
    <xf numFmtId="0" fontId="0" fillId="3" borderId="3" xfId="0" applyFill="1" applyBorder="1" applyAlignment="1">
      <alignment vertical="center"/>
    </xf>
    <xf numFmtId="0" fontId="0" fillId="3" borderId="5" xfId="0" applyFill="1" applyBorder="1" applyAlignment="1">
      <alignment vertical="center"/>
    </xf>
    <xf numFmtId="0" fontId="0" fillId="3" borderId="7" xfId="0" applyFill="1" applyBorder="1" applyAlignment="1">
      <alignment vertical="center"/>
    </xf>
    <xf numFmtId="2" fontId="0" fillId="0" borderId="4" xfId="0" applyNumberFormat="1" applyBorder="1"/>
    <xf numFmtId="2" fontId="0" fillId="0" borderId="6" xfId="0" applyNumberFormat="1" applyBorder="1"/>
    <xf numFmtId="0" fontId="0" fillId="3" borderId="7" xfId="0" applyFill="1" applyBorder="1" applyAlignment="1">
      <alignment wrapText="1"/>
    </xf>
    <xf numFmtId="0" fontId="14" fillId="0" borderId="3" xfId="0" applyFont="1" applyBorder="1"/>
    <xf numFmtId="0" fontId="14" fillId="0" borderId="29" xfId="0" applyFont="1" applyBorder="1"/>
    <xf numFmtId="0" fontId="14" fillId="0" borderId="7" xfId="0" applyFont="1" applyBorder="1"/>
    <xf numFmtId="0" fontId="14" fillId="0" borderId="31" xfId="0" applyFont="1" applyBorder="1"/>
    <xf numFmtId="0" fontId="0" fillId="0" borderId="33" xfId="0" applyBorder="1" applyAlignment="1">
      <alignment horizontal="center" vertical="center" wrapText="1"/>
    </xf>
    <xf numFmtId="0" fontId="0" fillId="0" borderId="17" xfId="0" applyBorder="1" applyAlignment="1">
      <alignment horizontal="center" vertical="center"/>
    </xf>
    <xf numFmtId="0" fontId="0" fillId="0" borderId="17" xfId="0" applyBorder="1"/>
    <xf numFmtId="0" fontId="0" fillId="0" borderId="34" xfId="0" applyBorder="1"/>
    <xf numFmtId="0" fontId="0" fillId="0" borderId="30" xfId="0" applyBorder="1"/>
    <xf numFmtId="0" fontId="0" fillId="0" borderId="5" xfId="0" applyFill="1" applyBorder="1"/>
    <xf numFmtId="0" fontId="0" fillId="0" borderId="23" xfId="0" applyBorder="1"/>
    <xf numFmtId="0" fontId="0" fillId="0" borderId="3" xfId="0" applyBorder="1" applyAlignment="1"/>
    <xf numFmtId="0" fontId="0" fillId="0" borderId="4" xfId="0" applyBorder="1" applyAlignment="1">
      <alignment vertical="center"/>
    </xf>
    <xf numFmtId="0" fontId="0" fillId="0" borderId="5" xfId="0" applyBorder="1" applyAlignment="1"/>
    <xf numFmtId="0" fontId="0" fillId="0" borderId="7" xfId="0" applyBorder="1" applyAlignment="1"/>
    <xf numFmtId="0" fontId="0" fillId="0" borderId="3" xfId="0" applyBorder="1" applyAlignment="1">
      <alignment wrapText="1"/>
    </xf>
    <xf numFmtId="0" fontId="0" fillId="0" borderId="21" xfId="0" applyBorder="1" applyAlignment="1">
      <alignment wrapText="1"/>
    </xf>
    <xf numFmtId="0" fontId="0" fillId="0" borderId="6" xfId="0" applyBorder="1" applyAlignment="1">
      <alignment vertical="top" wrapText="1"/>
    </xf>
    <xf numFmtId="0" fontId="0" fillId="0" borderId="13" xfId="0" applyBorder="1"/>
    <xf numFmtId="0" fontId="13" fillId="3" borderId="25" xfId="0" applyFont="1" applyFill="1" applyBorder="1" applyAlignment="1">
      <alignment vertical="center"/>
    </xf>
    <xf numFmtId="0" fontId="0" fillId="0" borderId="27" xfId="0" applyBorder="1"/>
    <xf numFmtId="0" fontId="0" fillId="0" borderId="12" xfId="0" applyBorder="1" applyAlignment="1">
      <alignment wrapText="1"/>
    </xf>
    <xf numFmtId="0" fontId="0" fillId="0" borderId="16" xfId="0" applyBorder="1" applyAlignment="1">
      <alignment wrapText="1"/>
    </xf>
    <xf numFmtId="0" fontId="0" fillId="0" borderId="25" xfId="0" applyBorder="1"/>
    <xf numFmtId="0" fontId="0" fillId="2" borderId="16" xfId="0" applyFill="1" applyBorder="1"/>
    <xf numFmtId="0" fontId="0" fillId="2" borderId="12" xfId="0" applyFill="1" applyBorder="1"/>
    <xf numFmtId="0" fontId="0" fillId="2" borderId="26" xfId="0" applyFill="1" applyBorder="1"/>
    <xf numFmtId="0" fontId="0" fillId="2" borderId="13" xfId="0" applyFill="1" applyBorder="1"/>
    <xf numFmtId="0" fontId="0" fillId="2" borderId="16" xfId="0" applyFill="1" applyBorder="1" applyAlignment="1">
      <alignment horizontal="left" vertical="center"/>
    </xf>
    <xf numFmtId="0" fontId="0" fillId="2" borderId="25" xfId="0" applyFill="1" applyBorder="1"/>
    <xf numFmtId="0" fontId="0" fillId="2" borderId="16" xfId="0" applyFill="1" applyBorder="1" applyAlignment="1">
      <alignment wrapText="1"/>
    </xf>
    <xf numFmtId="0" fontId="2" fillId="2" borderId="13" xfId="0" applyFont="1" applyFill="1" applyBorder="1" applyAlignment="1">
      <alignment vertical="center"/>
    </xf>
    <xf numFmtId="0" fontId="0" fillId="0" borderId="7" xfId="0" applyBorder="1" applyAlignment="1">
      <alignment vertical="center"/>
    </xf>
    <xf numFmtId="0" fontId="0" fillId="0" borderId="7" xfId="0" applyFont="1" applyBorder="1" applyAlignment="1">
      <alignment horizontal="center" vertical="center" wrapText="1"/>
    </xf>
    <xf numFmtId="0" fontId="0" fillId="0" borderId="2" xfId="0" applyFont="1" applyBorder="1" applyAlignment="1">
      <alignment horizontal="center" vertical="center" wrapText="1"/>
    </xf>
    <xf numFmtId="0" fontId="0" fillId="0" borderId="8" xfId="0" applyFont="1" applyBorder="1" applyAlignment="1">
      <alignment horizontal="center" vertical="center" wrapText="1"/>
    </xf>
    <xf numFmtId="0" fontId="0" fillId="2" borderId="23" xfId="0" applyFill="1" applyBorder="1"/>
    <xf numFmtId="0" fontId="3" fillId="0" borderId="10" xfId="0" applyFont="1" applyBorder="1" applyAlignment="1">
      <alignment horizontal="center"/>
    </xf>
    <xf numFmtId="0" fontId="3" fillId="0" borderId="11" xfId="0" applyFont="1" applyBorder="1" applyAlignment="1">
      <alignment horizontal="center"/>
    </xf>
    <xf numFmtId="0" fontId="3" fillId="0" borderId="23" xfId="0" applyFont="1" applyBorder="1" applyAlignment="1"/>
    <xf numFmtId="0" fontId="3" fillId="0" borderId="32" xfId="0" applyFont="1" applyBorder="1" applyAlignment="1"/>
    <xf numFmtId="0" fontId="3" fillId="0" borderId="10" xfId="0" applyFont="1" applyBorder="1" applyAlignment="1"/>
    <xf numFmtId="0" fontId="3" fillId="0" borderId="11" xfId="0" applyFont="1" applyBorder="1" applyAlignment="1"/>
    <xf numFmtId="0" fontId="0" fillId="0" borderId="1" xfId="0" applyBorder="1" applyAlignment="1">
      <alignment horizontal="center" wrapText="1"/>
    </xf>
    <xf numFmtId="0" fontId="0" fillId="0" borderId="0" xfId="0" applyBorder="1" applyAlignment="1">
      <alignment horizontal="center" wrapText="1"/>
    </xf>
    <xf numFmtId="0" fontId="0" fillId="0" borderId="2" xfId="0" applyBorder="1" applyAlignment="1">
      <alignment horizontal="center" wrapText="1"/>
    </xf>
    <xf numFmtId="0" fontId="0" fillId="0" borderId="1" xfId="0" applyBorder="1" applyAlignment="1">
      <alignment horizontal="center" wrapText="1"/>
    </xf>
    <xf numFmtId="0" fontId="0" fillId="0" borderId="0" xfId="0" applyBorder="1" applyAlignment="1">
      <alignment horizontal="center" wrapText="1"/>
    </xf>
    <xf numFmtId="0" fontId="0" fillId="0" borderId="2" xfId="0" applyBorder="1" applyAlignment="1">
      <alignment horizontal="center" wrapText="1"/>
    </xf>
    <xf numFmtId="0" fontId="0" fillId="0" borderId="0" xfId="0" applyBorder="1" applyAlignment="1">
      <alignment vertical="top" wrapText="1"/>
    </xf>
    <xf numFmtId="0" fontId="0" fillId="0" borderId="0" xfId="0" applyNumberFormat="1" applyBorder="1" applyAlignment="1">
      <alignment vertical="top" wrapText="1"/>
    </xf>
    <xf numFmtId="0" fontId="0" fillId="0" borderId="10" xfId="0" applyFill="1" applyBorder="1" applyAlignment="1">
      <alignment horizontal="center" wrapText="1"/>
    </xf>
    <xf numFmtId="0" fontId="0" fillId="0" borderId="1" xfId="0" applyFill="1" applyBorder="1" applyAlignment="1">
      <alignment wrapText="1"/>
    </xf>
    <xf numFmtId="0" fontId="0" fillId="0" borderId="0" xfId="0" applyFill="1" applyBorder="1" applyAlignment="1">
      <alignment vertical="center" wrapText="1"/>
    </xf>
    <xf numFmtId="0" fontId="2" fillId="2" borderId="13" xfId="0" applyFont="1" applyFill="1" applyBorder="1" applyAlignment="1">
      <alignment wrapText="1"/>
    </xf>
    <xf numFmtId="0" fontId="0" fillId="0" borderId="30" xfId="0" applyBorder="1" applyAlignment="1">
      <alignment wrapText="1"/>
    </xf>
    <xf numFmtId="0" fontId="0" fillId="2" borderId="12" xfId="0" applyFill="1" applyBorder="1" applyAlignment="1">
      <alignment wrapText="1"/>
    </xf>
    <xf numFmtId="0" fontId="14" fillId="0" borderId="0" xfId="0" applyFont="1" applyBorder="1" applyAlignment="1">
      <alignment wrapText="1"/>
    </xf>
    <xf numFmtId="0" fontId="14" fillId="0" borderId="2" xfId="0" applyFont="1" applyBorder="1" applyAlignment="1">
      <alignment wrapText="1"/>
    </xf>
    <xf numFmtId="0" fontId="0" fillId="0" borderId="0" xfId="0" applyBorder="1" applyAlignment="1">
      <alignment vertical="top" wrapText="1"/>
    </xf>
    <xf numFmtId="0" fontId="4" fillId="0" borderId="1" xfId="0" applyFont="1" applyFill="1" applyBorder="1" applyAlignment="1">
      <alignment vertical="center" wrapText="1"/>
    </xf>
    <xf numFmtId="0" fontId="4" fillId="0" borderId="0" xfId="0" applyFont="1" applyFill="1" applyBorder="1" applyAlignment="1">
      <alignment vertical="center" wrapText="1"/>
    </xf>
    <xf numFmtId="0" fontId="4" fillId="0" borderId="2" xfId="0" applyFont="1" applyFill="1" applyBorder="1" applyAlignment="1">
      <alignment vertical="center" wrapText="1"/>
    </xf>
    <xf numFmtId="0" fontId="0" fillId="0" borderId="0" xfId="0" applyFill="1" applyAlignment="1">
      <alignment wrapText="1"/>
    </xf>
    <xf numFmtId="0" fontId="2" fillId="2" borderId="3" xfId="0" applyFont="1" applyFill="1" applyBorder="1" applyAlignment="1">
      <alignment horizontal="left" vertical="center"/>
    </xf>
    <xf numFmtId="0" fontId="2" fillId="2" borderId="4" xfId="0" applyFont="1" applyFill="1" applyBorder="1" applyAlignment="1">
      <alignment horizontal="left" vertical="center"/>
    </xf>
    <xf numFmtId="0" fontId="4" fillId="0" borderId="15" xfId="0" applyFont="1" applyFill="1" applyBorder="1" applyAlignment="1">
      <alignment vertical="center" wrapText="1"/>
    </xf>
    <xf numFmtId="0" fontId="4" fillId="0" borderId="1" xfId="0" applyFont="1" applyFill="1" applyBorder="1" applyAlignment="1">
      <alignment vertical="center" wrapText="1"/>
    </xf>
    <xf numFmtId="0" fontId="4" fillId="0" borderId="0" xfId="0" applyFont="1" applyFill="1" applyBorder="1" applyAlignment="1">
      <alignment vertical="center" wrapText="1"/>
    </xf>
    <xf numFmtId="164" fontId="0" fillId="0" borderId="0" xfId="0" applyNumberFormat="1" applyAlignment="1">
      <alignment wrapText="1"/>
    </xf>
    <xf numFmtId="168" fontId="0" fillId="0" borderId="0" xfId="0" applyNumberFormat="1" applyAlignment="1">
      <alignment wrapText="1"/>
    </xf>
    <xf numFmtId="0" fontId="4" fillId="0" borderId="0" xfId="0" applyFont="1" applyAlignment="1">
      <alignment wrapText="1"/>
    </xf>
    <xf numFmtId="0" fontId="0" fillId="0" borderId="2" xfId="0" applyFill="1" applyBorder="1" applyAlignment="1">
      <alignment wrapText="1"/>
    </xf>
    <xf numFmtId="0" fontId="0" fillId="0" borderId="1" xfId="0" applyFill="1" applyBorder="1" applyAlignment="1">
      <alignment horizontal="center" wrapText="1"/>
    </xf>
    <xf numFmtId="0" fontId="0" fillId="0" borderId="3" xfId="0" applyFill="1" applyBorder="1"/>
    <xf numFmtId="0" fontId="0" fillId="0" borderId="2" xfId="0" applyFill="1" applyBorder="1" applyAlignment="1">
      <alignment horizontal="center" wrapText="1"/>
    </xf>
    <xf numFmtId="0" fontId="0" fillId="0" borderId="1" xfId="0" applyBorder="1" applyAlignment="1">
      <alignment horizontal="center" wrapText="1"/>
    </xf>
    <xf numFmtId="0" fontId="0" fillId="0" borderId="0" xfId="0" applyBorder="1" applyAlignment="1">
      <alignment horizontal="center" wrapText="1"/>
    </xf>
    <xf numFmtId="0" fontId="0" fillId="0" borderId="2" xfId="0" applyBorder="1" applyAlignment="1">
      <alignment horizontal="center" wrapText="1"/>
    </xf>
    <xf numFmtId="0" fontId="2" fillId="2" borderId="16" xfId="0" applyFont="1" applyFill="1" applyBorder="1" applyAlignment="1">
      <alignment horizontal="center" vertical="center"/>
    </xf>
    <xf numFmtId="2" fontId="0" fillId="0" borderId="4" xfId="0" applyNumberFormat="1" applyBorder="1" applyAlignment="1">
      <alignment wrapText="1"/>
    </xf>
    <xf numFmtId="2" fontId="0" fillId="0" borderId="6" xfId="0" applyNumberFormat="1" applyBorder="1" applyAlignment="1">
      <alignment wrapText="1"/>
    </xf>
    <xf numFmtId="2" fontId="0" fillId="0" borderId="8" xfId="0" applyNumberFormat="1" applyBorder="1" applyAlignment="1">
      <alignment wrapText="1"/>
    </xf>
    <xf numFmtId="164" fontId="0" fillId="0" borderId="0" xfId="0" applyNumberFormat="1" applyFont="1" applyBorder="1" applyAlignment="1">
      <alignment wrapText="1"/>
    </xf>
    <xf numFmtId="1" fontId="0" fillId="0" borderId="0" xfId="0" applyNumberFormat="1" applyFill="1" applyBorder="1" applyAlignment="1">
      <alignment vertical="center" wrapText="1"/>
    </xf>
    <xf numFmtId="0" fontId="0" fillId="0" borderId="1" xfId="0" applyFont="1" applyBorder="1" applyAlignment="1">
      <alignment vertical="center" wrapText="1"/>
    </xf>
    <xf numFmtId="1" fontId="0" fillId="0" borderId="1" xfId="0" applyNumberFormat="1" applyFont="1" applyBorder="1" applyAlignment="1">
      <alignment vertical="center" wrapText="1"/>
    </xf>
    <xf numFmtId="0" fontId="0" fillId="0" borderId="0" xfId="0" applyFont="1" applyBorder="1" applyAlignment="1">
      <alignment vertical="center" wrapText="1"/>
    </xf>
    <xf numFmtId="1" fontId="0" fillId="0" borderId="0" xfId="0" applyNumberFormat="1" applyFont="1" applyBorder="1" applyAlignment="1">
      <alignment vertical="center" wrapText="1"/>
    </xf>
    <xf numFmtId="0" fontId="0" fillId="0" borderId="2" xfId="0" applyFont="1" applyBorder="1" applyAlignment="1">
      <alignment vertical="center" wrapText="1"/>
    </xf>
    <xf numFmtId="1" fontId="0" fillId="0" borderId="2" xfId="0" applyNumberFormat="1" applyFont="1" applyBorder="1" applyAlignment="1">
      <alignment vertical="center" wrapText="1"/>
    </xf>
    <xf numFmtId="0" fontId="4" fillId="0" borderId="0" xfId="0" applyFont="1" applyAlignment="1">
      <alignment vertical="center" wrapText="1"/>
    </xf>
    <xf numFmtId="0" fontId="0" fillId="0" borderId="0" xfId="0" applyFill="1" applyAlignment="1">
      <alignment horizontal="center" wrapText="1"/>
    </xf>
    <xf numFmtId="164" fontId="0" fillId="0" borderId="1" xfId="0" applyNumberFormat="1" applyFill="1" applyBorder="1" applyAlignment="1">
      <alignment wrapText="1"/>
    </xf>
    <xf numFmtId="168" fontId="0" fillId="0" borderId="1" xfId="0" applyNumberFormat="1" applyFill="1" applyBorder="1" applyAlignment="1">
      <alignment wrapText="1"/>
    </xf>
    <xf numFmtId="164" fontId="0" fillId="0" borderId="0" xfId="0" applyNumberFormat="1" applyFill="1" applyAlignment="1">
      <alignment wrapText="1"/>
    </xf>
    <xf numFmtId="168" fontId="0" fillId="0" borderId="0" xfId="0" applyNumberFormat="1" applyFill="1" applyAlignment="1">
      <alignment wrapText="1"/>
    </xf>
    <xf numFmtId="0" fontId="4" fillId="0" borderId="0" xfId="0" applyFont="1" applyFill="1" applyAlignment="1">
      <alignment wrapText="1"/>
    </xf>
    <xf numFmtId="168" fontId="0" fillId="0" borderId="0" xfId="0" applyNumberFormat="1" applyFill="1"/>
    <xf numFmtId="0" fontId="0" fillId="0" borderId="0" xfId="0" applyBorder="1" applyAlignment="1">
      <alignment horizontal="left" wrapText="1"/>
    </xf>
    <xf numFmtId="0" fontId="0" fillId="0" borderId="0" xfId="0" applyBorder="1" applyAlignment="1">
      <alignment vertical="top" wrapText="1"/>
    </xf>
    <xf numFmtId="0" fontId="20" fillId="0" borderId="12" xfId="0" applyFont="1" applyBorder="1" applyAlignment="1">
      <alignment vertical="top" wrapText="1"/>
    </xf>
    <xf numFmtId="0" fontId="20" fillId="0" borderId="13" xfId="0" applyFont="1" applyBorder="1" applyAlignment="1">
      <alignment vertical="top" wrapText="1"/>
    </xf>
    <xf numFmtId="0" fontId="0" fillId="0" borderId="24" xfId="0" applyBorder="1" applyAlignment="1">
      <alignment vertical="top" wrapText="1"/>
    </xf>
    <xf numFmtId="0" fontId="0" fillId="3" borderId="5" xfId="0" applyFill="1" applyBorder="1" applyAlignment="1"/>
    <xf numFmtId="0" fontId="0" fillId="3" borderId="7" xfId="0" applyFill="1" applyBorder="1" applyAlignment="1"/>
    <xf numFmtId="0" fontId="0" fillId="3" borderId="5" xfId="0" applyFill="1" applyBorder="1" applyAlignment="1">
      <alignment vertical="center" textRotation="90"/>
    </xf>
    <xf numFmtId="0" fontId="0" fillId="3" borderId="7" xfId="0" applyFill="1" applyBorder="1" applyAlignment="1">
      <alignment vertical="center" textRotation="90"/>
    </xf>
    <xf numFmtId="0" fontId="0" fillId="0" borderId="1" xfId="0" applyBorder="1" applyAlignment="1">
      <alignment horizontal="center" vertical="top" wrapText="1"/>
    </xf>
    <xf numFmtId="0" fontId="0" fillId="0" borderId="0" xfId="0" applyBorder="1" applyAlignment="1">
      <alignment horizontal="center" vertical="top" wrapText="1"/>
    </xf>
    <xf numFmtId="0" fontId="0" fillId="0" borderId="2" xfId="0" applyBorder="1" applyAlignment="1">
      <alignment horizontal="center" vertical="top" wrapText="1"/>
    </xf>
    <xf numFmtId="0" fontId="0" fillId="0" borderId="1" xfId="0" applyBorder="1" applyAlignment="1">
      <alignment horizontal="center" vertical="center" wrapText="1"/>
    </xf>
    <xf numFmtId="0" fontId="0" fillId="0" borderId="0" xfId="0" applyBorder="1" applyAlignment="1">
      <alignment horizontal="center" vertical="center" wrapText="1"/>
    </xf>
    <xf numFmtId="0" fontId="0" fillId="0" borderId="2" xfId="0" applyBorder="1" applyAlignment="1">
      <alignment horizontal="center" vertical="center" wrapText="1"/>
    </xf>
    <xf numFmtId="0" fontId="0" fillId="0" borderId="0" xfId="0" applyBorder="1" applyAlignment="1">
      <alignment vertical="top" wrapText="1"/>
    </xf>
    <xf numFmtId="0" fontId="0" fillId="0" borderId="1" xfId="0" applyBorder="1" applyAlignment="1">
      <alignment horizontal="left" vertical="top"/>
    </xf>
    <xf numFmtId="0" fontId="0" fillId="0" borderId="0" xfId="0" applyBorder="1" applyAlignment="1">
      <alignment horizontal="left" vertical="top"/>
    </xf>
    <xf numFmtId="0" fontId="0" fillId="0" borderId="2" xfId="0" applyBorder="1" applyAlignment="1">
      <alignment horizontal="left" vertical="top"/>
    </xf>
    <xf numFmtId="0" fontId="0" fillId="0" borderId="1" xfId="0" applyBorder="1" applyAlignment="1">
      <alignment horizontal="center" wrapText="1"/>
    </xf>
    <xf numFmtId="0" fontId="0" fillId="0" borderId="0" xfId="0" applyBorder="1" applyAlignment="1">
      <alignment horizontal="center" wrapText="1"/>
    </xf>
    <xf numFmtId="0" fontId="0" fillId="0" borderId="2" xfId="0" applyBorder="1" applyAlignment="1">
      <alignment horizontal="center" wrapText="1"/>
    </xf>
    <xf numFmtId="0" fontId="4" fillId="0" borderId="1" xfId="0" applyFont="1" applyBorder="1" applyAlignment="1">
      <alignment horizontal="center" vertical="center" wrapText="1"/>
    </xf>
    <xf numFmtId="0" fontId="4" fillId="0" borderId="0" xfId="0" applyFont="1" applyBorder="1" applyAlignment="1">
      <alignment horizontal="center" vertical="center" wrapText="1"/>
    </xf>
    <xf numFmtId="0" fontId="4" fillId="0" borderId="2" xfId="0" applyFont="1" applyBorder="1" applyAlignment="1">
      <alignment horizontal="center" vertical="center" wrapText="1"/>
    </xf>
    <xf numFmtId="0" fontId="0" fillId="0" borderId="0" xfId="0" applyFill="1" applyAlignment="1">
      <alignment horizontal="center" vertical="center"/>
    </xf>
    <xf numFmtId="0" fontId="4" fillId="0" borderId="1"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4" fillId="0" borderId="2" xfId="0" applyFont="1" applyFill="1" applyBorder="1" applyAlignment="1">
      <alignment horizontal="center" vertical="center" wrapText="1"/>
    </xf>
    <xf numFmtId="0" fontId="0" fillId="0" borderId="0" xfId="0" applyBorder="1" applyAlignment="1">
      <alignment horizontal="center" vertical="center"/>
    </xf>
    <xf numFmtId="0" fontId="0" fillId="0" borderId="15" xfId="0" applyBorder="1" applyAlignment="1">
      <alignment horizontal="center" vertical="center"/>
    </xf>
    <xf numFmtId="0" fontId="0" fillId="3" borderId="23" xfId="0" applyFill="1" applyBorder="1" applyAlignment="1">
      <alignment horizontal="left" vertical="center"/>
    </xf>
    <xf numFmtId="0" fontId="0" fillId="0" borderId="10" xfId="0" applyBorder="1" applyAlignment="1">
      <alignment horizontal="center" vertical="center" wrapText="1"/>
    </xf>
    <xf numFmtId="0" fontId="0" fillId="0" borderId="1" xfId="0" applyFont="1" applyBorder="1" applyAlignment="1">
      <alignment horizontal="center" vertical="center" wrapText="1"/>
    </xf>
    <xf numFmtId="2" fontId="0" fillId="0" borderId="0" xfId="0" applyNumberFormat="1"/>
    <xf numFmtId="0" fontId="0" fillId="0" borderId="14" xfId="0" applyBorder="1" applyAlignment="1">
      <alignment horizontal="center" vertical="center"/>
    </xf>
    <xf numFmtId="0" fontId="0" fillId="0" borderId="0" xfId="0" applyFill="1" applyBorder="1" applyAlignment="1">
      <alignment horizontal="center" vertical="center"/>
    </xf>
    <xf numFmtId="168" fontId="0" fillId="0" borderId="0" xfId="0" applyNumberFormat="1" applyFill="1" applyBorder="1" applyAlignment="1">
      <alignment horizontal="center" vertical="center"/>
    </xf>
    <xf numFmtId="0" fontId="0" fillId="0" borderId="0" xfId="0" applyFill="1" applyBorder="1" applyAlignment="1"/>
    <xf numFmtId="0" fontId="1" fillId="0" borderId="0" xfId="0" applyFont="1" applyFill="1" applyBorder="1" applyAlignment="1">
      <alignment vertical="center" wrapText="1"/>
    </xf>
    <xf numFmtId="2" fontId="0" fillId="0" borderId="0" xfId="0" applyNumberFormat="1" applyFill="1"/>
    <xf numFmtId="0" fontId="0" fillId="0" borderId="6" xfId="0" applyBorder="1" applyAlignment="1">
      <alignment vertical="top" wrapText="1"/>
    </xf>
    <xf numFmtId="0" fontId="0" fillId="0" borderId="8" xfId="0" applyBorder="1" applyAlignment="1">
      <alignment vertical="top" wrapText="1"/>
    </xf>
    <xf numFmtId="0" fontId="0" fillId="0" borderId="0" xfId="0" applyBorder="1" applyAlignment="1">
      <alignment vertical="top" wrapText="1"/>
    </xf>
    <xf numFmtId="0" fontId="0" fillId="0" borderId="0" xfId="0" applyBorder="1" applyAlignment="1">
      <alignment vertical="top"/>
    </xf>
    <xf numFmtId="167" fontId="0" fillId="0" borderId="0" xfId="0" applyNumberFormat="1" applyFill="1"/>
    <xf numFmtId="0" fontId="25" fillId="0" borderId="3" xfId="0" applyFont="1" applyBorder="1" applyAlignment="1">
      <alignment vertical="top" wrapText="1"/>
    </xf>
    <xf numFmtId="0" fontId="25" fillId="0" borderId="5" xfId="0" applyFont="1" applyBorder="1" applyAlignment="1">
      <alignment vertical="top" wrapText="1"/>
    </xf>
    <xf numFmtId="0" fontId="25" fillId="0" borderId="7" xfId="0" applyFont="1" applyBorder="1" applyAlignment="1">
      <alignment vertical="top" wrapText="1"/>
    </xf>
    <xf numFmtId="166" fontId="14" fillId="0" borderId="1" xfId="0" applyNumberFormat="1" applyFont="1" applyBorder="1"/>
    <xf numFmtId="166" fontId="14" fillId="0" borderId="0" xfId="0" applyNumberFormat="1" applyFont="1" applyBorder="1"/>
    <xf numFmtId="0" fontId="9" fillId="0" borderId="2" xfId="0" applyFont="1" applyFill="1" applyBorder="1" applyAlignment="1">
      <alignment horizontal="center" vertical="center" wrapText="1"/>
    </xf>
    <xf numFmtId="0" fontId="9" fillId="0" borderId="8" xfId="0" applyFont="1" applyFill="1" applyBorder="1" applyAlignment="1">
      <alignment horizontal="center" vertical="center" wrapText="1"/>
    </xf>
    <xf numFmtId="0" fontId="30" fillId="0" borderId="7" xfId="0" applyFont="1" applyFill="1" applyBorder="1" applyAlignment="1">
      <alignment horizontal="center" vertical="center" wrapText="1"/>
    </xf>
    <xf numFmtId="0" fontId="30" fillId="0" borderId="31" xfId="0" applyFont="1" applyFill="1" applyBorder="1" applyAlignment="1">
      <alignment horizontal="center" vertical="center" wrapText="1"/>
    </xf>
    <xf numFmtId="0" fontId="0" fillId="0" borderId="28" xfId="0" applyFont="1" applyBorder="1" applyAlignment="1">
      <alignment vertical="top" wrapText="1"/>
    </xf>
    <xf numFmtId="166" fontId="25" fillId="0" borderId="0" xfId="0" applyNumberFormat="1" applyFont="1" applyBorder="1" applyAlignment="1">
      <alignment wrapText="1"/>
    </xf>
    <xf numFmtId="0" fontId="25" fillId="0" borderId="0" xfId="0" applyFont="1" applyBorder="1" applyAlignment="1">
      <alignment wrapText="1"/>
    </xf>
    <xf numFmtId="0" fontId="25" fillId="0" borderId="0" xfId="0" applyFont="1" applyBorder="1" applyAlignment="1">
      <alignment vertical="top" wrapText="1"/>
    </xf>
    <xf numFmtId="0" fontId="25" fillId="0" borderId="15" xfId="0" applyFont="1" applyBorder="1" applyAlignment="1">
      <alignment vertical="top" wrapText="1"/>
    </xf>
    <xf numFmtId="1" fontId="25" fillId="0" borderId="0" xfId="0" applyNumberFormat="1" applyFont="1" applyBorder="1" applyAlignment="1">
      <alignment horizontal="center" wrapText="1"/>
    </xf>
    <xf numFmtId="1" fontId="25" fillId="0" borderId="2" xfId="0" applyNumberFormat="1" applyFont="1" applyBorder="1" applyAlignment="1">
      <alignment horizontal="center" wrapText="1"/>
    </xf>
    <xf numFmtId="0" fontId="25" fillId="0" borderId="1" xfId="0" applyFont="1" applyBorder="1" applyAlignment="1">
      <alignment vertical="center" wrapText="1"/>
    </xf>
    <xf numFmtId="0" fontId="9" fillId="0" borderId="2" xfId="0" applyFont="1" applyBorder="1" applyAlignment="1">
      <alignment vertical="center" wrapText="1"/>
    </xf>
    <xf numFmtId="2" fontId="9" fillId="0" borderId="2" xfId="0" applyNumberFormat="1" applyFont="1" applyBorder="1" applyAlignment="1">
      <alignment vertical="center" wrapText="1"/>
    </xf>
    <xf numFmtId="2" fontId="9" fillId="0" borderId="0" xfId="0" applyNumberFormat="1" applyFont="1" applyBorder="1" applyAlignment="1">
      <alignment vertical="center" wrapText="1"/>
    </xf>
    <xf numFmtId="0" fontId="0" fillId="3" borderId="3" xfId="0" applyFont="1" applyFill="1" applyBorder="1"/>
    <xf numFmtId="0" fontId="9" fillId="0" borderId="4" xfId="0" applyFont="1" applyBorder="1" applyAlignment="1">
      <alignment wrapText="1"/>
    </xf>
    <xf numFmtId="0" fontId="0" fillId="3" borderId="1" xfId="0" applyFont="1" applyFill="1" applyBorder="1"/>
    <xf numFmtId="0" fontId="0" fillId="0" borderId="1" xfId="0" applyFont="1" applyBorder="1" applyAlignment="1">
      <alignment horizontal="center" wrapText="1"/>
    </xf>
    <xf numFmtId="0" fontId="0" fillId="0" borderId="1" xfId="0" applyFont="1" applyBorder="1"/>
    <xf numFmtId="0" fontId="0" fillId="3" borderId="5" xfId="0" applyFont="1" applyFill="1" applyBorder="1"/>
    <xf numFmtId="0" fontId="9" fillId="0" borderId="6" xfId="0" applyFont="1" applyBorder="1" applyAlignment="1">
      <alignment wrapText="1"/>
    </xf>
    <xf numFmtId="0" fontId="0" fillId="3" borderId="0" xfId="0" applyFont="1" applyFill="1" applyBorder="1"/>
    <xf numFmtId="0" fontId="0" fillId="0" borderId="0" xfId="0" applyFont="1" applyBorder="1" applyAlignment="1">
      <alignment horizontal="center" wrapText="1"/>
    </xf>
    <xf numFmtId="0" fontId="0" fillId="0" borderId="0" xfId="0" applyFont="1" applyBorder="1"/>
    <xf numFmtId="0" fontId="0" fillId="3" borderId="7" xfId="0" applyFont="1" applyFill="1" applyBorder="1"/>
    <xf numFmtId="0" fontId="9" fillId="0" borderId="2" xfId="0" applyFont="1" applyBorder="1" applyAlignment="1">
      <alignment wrapText="1"/>
    </xf>
    <xf numFmtId="0" fontId="9" fillId="0" borderId="8" xfId="0" applyFont="1" applyBorder="1" applyAlignment="1">
      <alignment wrapText="1"/>
    </xf>
    <xf numFmtId="0" fontId="0" fillId="3" borderId="2" xfId="0" applyFont="1" applyFill="1" applyBorder="1"/>
    <xf numFmtId="0" fontId="0" fillId="0" borderId="2" xfId="0" applyFont="1" applyBorder="1" applyAlignment="1">
      <alignment horizontal="center" wrapText="1"/>
    </xf>
    <xf numFmtId="0" fontId="0" fillId="0" borderId="2" xfId="0" applyFont="1" applyBorder="1"/>
    <xf numFmtId="0" fontId="0" fillId="0" borderId="1" xfId="0" applyBorder="1" applyAlignment="1">
      <alignment horizontal="right" wrapText="1"/>
    </xf>
    <xf numFmtId="0" fontId="0" fillId="0" borderId="0" xfId="0" applyBorder="1" applyAlignment="1">
      <alignment horizontal="right" vertical="center" wrapText="1"/>
    </xf>
    <xf numFmtId="0" fontId="0" fillId="0" borderId="0" xfId="0" applyBorder="1" applyAlignment="1">
      <alignment horizontal="right" wrapText="1"/>
    </xf>
    <xf numFmtId="0" fontId="0" fillId="0" borderId="2" xfId="0" applyBorder="1" applyAlignment="1">
      <alignment horizontal="right" vertical="center" wrapText="1"/>
    </xf>
    <xf numFmtId="0" fontId="0" fillId="0" borderId="2" xfId="0" applyBorder="1" applyAlignment="1">
      <alignment horizontal="right" wrapText="1"/>
    </xf>
    <xf numFmtId="0" fontId="21" fillId="0" borderId="0" xfId="0" applyFont="1" applyBorder="1" applyAlignment="1">
      <alignment vertical="center"/>
    </xf>
    <xf numFmtId="0" fontId="0" fillId="2" borderId="7" xfId="0" applyFill="1" applyBorder="1"/>
    <xf numFmtId="0" fontId="0" fillId="2" borderId="3" xfId="0" applyFill="1" applyBorder="1"/>
    <xf numFmtId="0" fontId="0" fillId="2" borderId="5" xfId="0" applyFill="1" applyBorder="1"/>
    <xf numFmtId="0" fontId="4" fillId="0" borderId="0" xfId="0" applyFont="1" applyFill="1" applyBorder="1" applyAlignment="1">
      <alignment horizontal="center" vertical="center" wrapText="1"/>
    </xf>
    <xf numFmtId="0" fontId="4" fillId="0" borderId="2" xfId="0" applyFont="1" applyFill="1" applyBorder="1" applyAlignment="1">
      <alignment horizontal="center" vertical="center" wrapText="1"/>
    </xf>
    <xf numFmtId="0" fontId="14" fillId="0" borderId="15" xfId="0" applyFont="1" applyBorder="1" applyAlignment="1">
      <alignment horizontal="center" vertical="center"/>
    </xf>
    <xf numFmtId="0" fontId="0" fillId="0" borderId="0" xfId="0" applyBorder="1" applyAlignment="1">
      <alignment horizontal="left"/>
    </xf>
    <xf numFmtId="0" fontId="31" fillId="0" borderId="3" xfId="0" applyFont="1" applyBorder="1"/>
    <xf numFmtId="0" fontId="25" fillId="0" borderId="0" xfId="0" applyFont="1" applyFill="1" applyBorder="1" applyAlignment="1">
      <alignment wrapText="1"/>
    </xf>
    <xf numFmtId="0" fontId="0" fillId="0" borderId="1" xfId="0" applyBorder="1" applyAlignment="1">
      <alignment horizontal="center" vertical="center" wrapText="1"/>
    </xf>
    <xf numFmtId="0" fontId="0" fillId="0" borderId="0"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8" xfId="0" applyBorder="1" applyAlignment="1">
      <alignment horizontal="center" vertical="center" wrapText="1"/>
    </xf>
    <xf numFmtId="0" fontId="0" fillId="0" borderId="1" xfId="0" applyBorder="1" applyAlignment="1">
      <alignment vertical="top" wrapText="1"/>
    </xf>
    <xf numFmtId="0" fontId="0" fillId="0" borderId="0" xfId="0" applyBorder="1" applyAlignment="1">
      <alignment vertical="top" wrapText="1"/>
    </xf>
    <xf numFmtId="0" fontId="0" fillId="0" borderId="2" xfId="0" applyBorder="1" applyAlignment="1">
      <alignment vertical="top" wrapText="1"/>
    </xf>
    <xf numFmtId="0" fontId="7" fillId="0" borderId="1" xfId="1"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left" vertical="top" wrapText="1"/>
    </xf>
    <xf numFmtId="0" fontId="0" fillId="0" borderId="0" xfId="0" applyBorder="1" applyAlignment="1">
      <alignment horizontal="left" vertical="top" wrapText="1"/>
    </xf>
    <xf numFmtId="0" fontId="0" fillId="0" borderId="2" xfId="0" applyBorder="1" applyAlignment="1">
      <alignment horizontal="left" vertical="top" wrapText="1"/>
    </xf>
    <xf numFmtId="0" fontId="0" fillId="0" borderId="4" xfId="0" applyBorder="1" applyAlignment="1">
      <alignment horizontal="center" vertical="center"/>
    </xf>
    <xf numFmtId="0" fontId="0" fillId="0" borderId="6" xfId="0" applyBorder="1" applyAlignment="1">
      <alignment horizontal="center" vertical="center"/>
    </xf>
    <xf numFmtId="0" fontId="0" fillId="0" borderId="1" xfId="0" applyBorder="1" applyAlignment="1">
      <alignment horizontal="center" wrapText="1"/>
    </xf>
    <xf numFmtId="0" fontId="0" fillId="0" borderId="0" xfId="0" applyBorder="1" applyAlignment="1">
      <alignment horizontal="center" wrapText="1"/>
    </xf>
    <xf numFmtId="0" fontId="0" fillId="0" borderId="2" xfId="0" applyBorder="1" applyAlignment="1">
      <alignment horizontal="center" wrapText="1"/>
    </xf>
    <xf numFmtId="0" fontId="0" fillId="0" borderId="4" xfId="0" applyBorder="1" applyAlignment="1">
      <alignment horizontal="left" vertical="top" wrapText="1"/>
    </xf>
    <xf numFmtId="0" fontId="0" fillId="0" borderId="6" xfId="0" applyBorder="1" applyAlignment="1">
      <alignment horizontal="left" vertical="top" wrapText="1"/>
    </xf>
    <xf numFmtId="0" fontId="0" fillId="0" borderId="8" xfId="0" applyBorder="1" applyAlignment="1">
      <alignment horizontal="left" vertical="top" wrapText="1"/>
    </xf>
    <xf numFmtId="0" fontId="0" fillId="0" borderId="15" xfId="0" applyBorder="1" applyAlignment="1">
      <alignment horizontal="left" vertical="top" wrapText="1"/>
    </xf>
    <xf numFmtId="0" fontId="4" fillId="0" borderId="1" xfId="0" applyFont="1" applyBorder="1" applyAlignment="1">
      <alignment horizontal="center" vertical="center" wrapText="1"/>
    </xf>
    <xf numFmtId="0" fontId="4" fillId="0" borderId="0" xfId="0" applyFont="1" applyBorder="1" applyAlignment="1">
      <alignment horizontal="center" vertical="center" wrapText="1"/>
    </xf>
    <xf numFmtId="0" fontId="4" fillId="0" borderId="2" xfId="0" applyFont="1" applyBorder="1" applyAlignment="1">
      <alignment horizontal="center" vertical="center" wrapText="1"/>
    </xf>
    <xf numFmtId="0" fontId="0" fillId="0" borderId="1"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1" xfId="0" applyFill="1" applyBorder="1" applyAlignment="1">
      <alignment horizontal="center" vertical="center" wrapText="1"/>
    </xf>
    <xf numFmtId="0" fontId="0" fillId="0" borderId="0" xfId="0" applyFill="1" applyBorder="1" applyAlignment="1">
      <alignment horizontal="center" vertical="center" wrapText="1"/>
    </xf>
    <xf numFmtId="0" fontId="4" fillId="0" borderId="0" xfId="0" applyFont="1" applyFill="1" applyBorder="1" applyAlignment="1">
      <alignment horizontal="center" vertical="center" wrapText="1"/>
    </xf>
    <xf numFmtId="0" fontId="0" fillId="3" borderId="3" xfId="0" applyFill="1" applyBorder="1" applyAlignment="1">
      <alignment horizontal="center" vertical="center" wrapText="1"/>
    </xf>
    <xf numFmtId="0" fontId="0" fillId="0" borderId="15" xfId="0" applyBorder="1" applyAlignment="1">
      <alignment horizontal="center" vertical="center" wrapText="1"/>
    </xf>
    <xf numFmtId="0" fontId="4" fillId="0" borderId="2"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0" xfId="0" applyFont="1" applyFill="1" applyBorder="1" applyAlignment="1">
      <alignment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4" fillId="0" borderId="6" xfId="0" applyFont="1" applyBorder="1" applyAlignment="1">
      <alignment horizontal="center" vertical="center" wrapText="1"/>
    </xf>
    <xf numFmtId="0" fontId="9" fillId="0" borderId="1" xfId="0" applyFont="1" applyBorder="1" applyAlignment="1">
      <alignment horizontal="center" vertical="center" wrapText="1"/>
    </xf>
    <xf numFmtId="0" fontId="9" fillId="0" borderId="0" xfId="0" applyFont="1" applyBorder="1" applyAlignment="1">
      <alignment horizontal="center" vertical="center" wrapText="1"/>
    </xf>
    <xf numFmtId="0" fontId="9" fillId="0" borderId="2" xfId="0" applyFont="1" applyBorder="1" applyAlignment="1">
      <alignment horizontal="center" vertical="center" wrapText="1"/>
    </xf>
    <xf numFmtId="0" fontId="0" fillId="0" borderId="22" xfId="0" applyBorder="1" applyAlignment="1">
      <alignment horizontal="left" vertical="top" wrapText="1"/>
    </xf>
    <xf numFmtId="0" fontId="13" fillId="0" borderId="0" xfId="0" applyFont="1" applyBorder="1" applyAlignment="1">
      <alignment horizontal="left" vertical="top" wrapText="1"/>
    </xf>
    <xf numFmtId="0" fontId="13" fillId="0" borderId="2" xfId="0" applyFont="1" applyBorder="1" applyAlignment="1">
      <alignment horizontal="left" vertical="top" wrapText="1"/>
    </xf>
    <xf numFmtId="0" fontId="0" fillId="0" borderId="1" xfId="0" applyNumberFormat="1" applyBorder="1" applyAlignment="1">
      <alignment horizontal="center" vertical="center" wrapText="1"/>
    </xf>
    <xf numFmtId="0" fontId="0" fillId="3" borderId="1" xfId="0" applyFill="1" applyBorder="1" applyAlignment="1">
      <alignment horizontal="center" vertical="center" wrapText="1"/>
    </xf>
    <xf numFmtId="0" fontId="0" fillId="0" borderId="30" xfId="0" applyFill="1" applyBorder="1"/>
    <xf numFmtId="0" fontId="0" fillId="0" borderId="31" xfId="0" applyFill="1" applyBorder="1"/>
    <xf numFmtId="0" fontId="0" fillId="0" borderId="29" xfId="0" applyFill="1" applyBorder="1"/>
    <xf numFmtId="0" fontId="0" fillId="0" borderId="10" xfId="0" applyFill="1" applyBorder="1" applyAlignment="1">
      <alignment horizontal="center" vertical="center" wrapText="1"/>
    </xf>
    <xf numFmtId="0" fontId="25" fillId="0" borderId="10" xfId="0" applyNumberFormat="1" applyFont="1" applyBorder="1" applyAlignment="1">
      <alignment horizontal="center" vertical="center" wrapText="1"/>
    </xf>
    <xf numFmtId="0" fontId="0" fillId="3" borderId="10" xfId="0" applyFill="1" applyBorder="1" applyAlignment="1">
      <alignment horizontal="center" vertical="center" wrapText="1"/>
    </xf>
    <xf numFmtId="0" fontId="7" fillId="0" borderId="10" xfId="1" applyBorder="1" applyAlignment="1">
      <alignment horizontal="center" vertical="center" wrapText="1"/>
    </xf>
    <xf numFmtId="0" fontId="0" fillId="0" borderId="10" xfId="0" applyBorder="1" applyAlignment="1">
      <alignment horizontal="center" vertical="center"/>
    </xf>
    <xf numFmtId="0" fontId="0" fillId="0" borderId="10" xfId="0" applyNumberFormat="1" applyBorder="1" applyAlignment="1">
      <alignment horizontal="center" vertical="center" wrapText="1"/>
    </xf>
    <xf numFmtId="0" fontId="0" fillId="0" borderId="0" xfId="0" applyAlignment="1">
      <alignment horizontal="right" wrapText="1"/>
    </xf>
    <xf numFmtId="0" fontId="0" fillId="0" borderId="1" xfId="0" applyFill="1" applyBorder="1" applyAlignment="1">
      <alignment horizontal="right" wrapText="1"/>
    </xf>
    <xf numFmtId="0" fontId="0" fillId="0" borderId="0" xfId="0" applyFill="1" applyBorder="1" applyAlignment="1">
      <alignment horizontal="right" wrapText="1"/>
    </xf>
    <xf numFmtId="0" fontId="0" fillId="0" borderId="15" xfId="0" applyBorder="1" applyAlignment="1">
      <alignment horizontal="right" wrapText="1"/>
    </xf>
    <xf numFmtId="0" fontId="9" fillId="0" borderId="1" xfId="0" applyFont="1" applyBorder="1" applyAlignment="1">
      <alignment horizontal="right" wrapText="1"/>
    </xf>
    <xf numFmtId="0" fontId="9" fillId="0" borderId="0" xfId="0" applyFont="1" applyBorder="1" applyAlignment="1">
      <alignment horizontal="right" wrapText="1"/>
    </xf>
    <xf numFmtId="0" fontId="9" fillId="0" borderId="2" xfId="0" applyFont="1" applyBorder="1" applyAlignment="1">
      <alignment horizontal="right" wrapText="1"/>
    </xf>
    <xf numFmtId="0" fontId="4" fillId="0" borderId="1" xfId="0" applyFont="1" applyBorder="1" applyAlignment="1">
      <alignment horizontal="right" wrapText="1"/>
    </xf>
    <xf numFmtId="0" fontId="4" fillId="0" borderId="2" xfId="0" applyFont="1" applyBorder="1" applyAlignment="1">
      <alignment horizontal="right" wrapText="1"/>
    </xf>
    <xf numFmtId="0" fontId="0" fillId="0" borderId="14" xfId="0" applyBorder="1" applyAlignment="1">
      <alignment horizontal="right" wrapText="1"/>
    </xf>
    <xf numFmtId="0" fontId="0" fillId="0" borderId="15" xfId="0" applyBorder="1" applyAlignment="1">
      <alignment horizontal="right"/>
    </xf>
    <xf numFmtId="167" fontId="0" fillId="0" borderId="0" xfId="0" applyNumberFormat="1" applyBorder="1" applyAlignment="1">
      <alignment horizontal="right" wrapText="1"/>
    </xf>
    <xf numFmtId="0" fontId="0" fillId="0" borderId="0" xfId="0" applyAlignment="1">
      <alignment horizontal="right"/>
    </xf>
    <xf numFmtId="0" fontId="0" fillId="0" borderId="10" xfId="0" applyBorder="1" applyAlignment="1">
      <alignment horizontal="right" wrapText="1"/>
    </xf>
    <xf numFmtId="0" fontId="13" fillId="3" borderId="10" xfId="0" applyFont="1" applyFill="1" applyBorder="1" applyAlignment="1">
      <alignment horizontal="right" vertical="center"/>
    </xf>
    <xf numFmtId="16" fontId="0" fillId="0" borderId="1" xfId="0" applyNumberFormat="1" applyBorder="1" applyAlignment="1">
      <alignment horizontal="right" wrapText="1"/>
    </xf>
    <xf numFmtId="0" fontId="0" fillId="0" borderId="15" xfId="0" applyBorder="1" applyAlignment="1">
      <alignment horizontal="center" vertical="top" wrapText="1"/>
    </xf>
    <xf numFmtId="0" fontId="0" fillId="3" borderId="20" xfId="0" applyFill="1" applyBorder="1" applyAlignment="1">
      <alignment vertical="center"/>
    </xf>
    <xf numFmtId="0" fontId="13" fillId="3" borderId="25" xfId="0" applyFont="1" applyFill="1" applyBorder="1" applyAlignment="1">
      <alignment horizontal="center" vertical="center"/>
    </xf>
    <xf numFmtId="0" fontId="25" fillId="0" borderId="16"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2" xfId="0" applyFont="1" applyBorder="1" applyAlignment="1">
      <alignment horizontal="center" vertical="center"/>
    </xf>
    <xf numFmtId="0" fontId="0" fillId="0" borderId="11" xfId="0" applyBorder="1" applyAlignment="1">
      <alignment horizontal="center" vertical="center" wrapText="1"/>
    </xf>
    <xf numFmtId="0" fontId="0" fillId="0" borderId="15" xfId="0" applyBorder="1" applyAlignment="1">
      <alignment vertical="center" wrapText="1"/>
    </xf>
    <xf numFmtId="0" fontId="13" fillId="3" borderId="10" xfId="0" applyFont="1" applyFill="1" applyBorder="1" applyAlignment="1">
      <alignment horizontal="center" vertical="center"/>
    </xf>
    <xf numFmtId="0" fontId="0" fillId="0" borderId="4" xfId="0" applyBorder="1" applyAlignment="1">
      <alignment horizontal="right" vertical="center"/>
    </xf>
    <xf numFmtId="1" fontId="0" fillId="0" borderId="0" xfId="0" applyNumberFormat="1" applyFill="1" applyBorder="1" applyAlignment="1">
      <alignment horizontal="right" vertical="center" wrapText="1"/>
    </xf>
    <xf numFmtId="1" fontId="0" fillId="0" borderId="0" xfId="0" applyNumberFormat="1" applyBorder="1" applyAlignment="1">
      <alignment horizontal="right" vertical="center" wrapText="1"/>
    </xf>
    <xf numFmtId="1" fontId="14" fillId="0" borderId="0" xfId="0" applyNumberFormat="1" applyFont="1" applyBorder="1" applyAlignment="1">
      <alignment horizontal="right" vertical="center" wrapText="1"/>
    </xf>
    <xf numFmtId="1" fontId="0" fillId="0" borderId="2" xfId="0" applyNumberFormat="1" applyBorder="1" applyAlignment="1">
      <alignment horizontal="right" vertical="center" wrapText="1"/>
    </xf>
    <xf numFmtId="0" fontId="0" fillId="0" borderId="1" xfId="0" applyFont="1" applyBorder="1" applyAlignment="1">
      <alignment horizontal="right" vertical="center"/>
    </xf>
    <xf numFmtId="0" fontId="0" fillId="0" borderId="0" xfId="0" applyFont="1" applyBorder="1" applyAlignment="1">
      <alignment horizontal="right" vertical="center"/>
    </xf>
    <xf numFmtId="0" fontId="0" fillId="0" borderId="0" xfId="0" applyBorder="1" applyAlignment="1">
      <alignment horizontal="right" vertical="center"/>
    </xf>
    <xf numFmtId="0" fontId="0" fillId="0" borderId="2" xfId="0" applyFont="1" applyBorder="1" applyAlignment="1">
      <alignment horizontal="right" vertical="center"/>
    </xf>
    <xf numFmtId="0" fontId="0" fillId="0" borderId="2" xfId="0" applyBorder="1" applyAlignment="1">
      <alignment horizontal="right" vertical="center"/>
    </xf>
    <xf numFmtId="166" fontId="0" fillId="0" borderId="1" xfId="0" applyNumberFormat="1" applyBorder="1" applyAlignment="1">
      <alignment horizontal="right" vertical="center"/>
    </xf>
    <xf numFmtId="2" fontId="0" fillId="0" borderId="0" xfId="0" applyNumberFormat="1" applyBorder="1" applyAlignment="1">
      <alignment horizontal="right" vertical="center"/>
    </xf>
    <xf numFmtId="166" fontId="0" fillId="0" borderId="0" xfId="0" applyNumberFormat="1" applyBorder="1" applyAlignment="1">
      <alignment horizontal="right" vertical="center"/>
    </xf>
    <xf numFmtId="2" fontId="0" fillId="0" borderId="2" xfId="0" applyNumberFormat="1" applyBorder="1" applyAlignment="1">
      <alignment horizontal="right" vertical="center"/>
    </xf>
    <xf numFmtId="166" fontId="0" fillId="0" borderId="2" xfId="0" applyNumberFormat="1" applyBorder="1" applyAlignment="1">
      <alignment horizontal="right" vertical="center"/>
    </xf>
    <xf numFmtId="0" fontId="13" fillId="3" borderId="11" xfId="0" applyFont="1" applyFill="1" applyBorder="1" applyAlignment="1">
      <alignment horizontal="right" vertical="center"/>
    </xf>
    <xf numFmtId="0" fontId="4" fillId="0" borderId="0" xfId="0" applyFont="1" applyFill="1" applyBorder="1" applyAlignment="1">
      <alignment horizontal="right" vertical="center" wrapText="1"/>
    </xf>
    <xf numFmtId="0" fontId="14" fillId="0" borderId="0" xfId="0" applyFont="1" applyBorder="1" applyAlignment="1">
      <alignment horizontal="right" vertical="center"/>
    </xf>
    <xf numFmtId="0" fontId="14" fillId="0" borderId="6" xfId="0" applyFont="1" applyBorder="1" applyAlignment="1">
      <alignment horizontal="right" vertical="center"/>
    </xf>
    <xf numFmtId="0" fontId="4" fillId="0" borderId="0" xfId="0" applyFont="1" applyBorder="1" applyAlignment="1">
      <alignment horizontal="right" vertical="center" wrapText="1"/>
    </xf>
    <xf numFmtId="0" fontId="4" fillId="0" borderId="15" xfId="0" applyFont="1" applyFill="1" applyBorder="1" applyAlignment="1">
      <alignment horizontal="right" vertical="center" wrapText="1"/>
    </xf>
    <xf numFmtId="0" fontId="4" fillId="0" borderId="15" xfId="0" applyFont="1" applyBorder="1" applyAlignment="1">
      <alignment horizontal="right" vertical="center" wrapText="1"/>
    </xf>
    <xf numFmtId="0" fontId="14" fillId="0" borderId="15" xfId="0" applyFont="1" applyBorder="1" applyAlignment="1">
      <alignment horizontal="right" vertical="center"/>
    </xf>
    <xf numFmtId="0" fontId="14" fillId="0" borderId="22" xfId="0" applyFont="1" applyBorder="1" applyAlignment="1">
      <alignment horizontal="right" vertical="center"/>
    </xf>
    <xf numFmtId="0" fontId="4" fillId="0" borderId="2" xfId="0" applyFont="1" applyFill="1" applyBorder="1" applyAlignment="1">
      <alignment horizontal="right" vertical="center" wrapText="1"/>
    </xf>
    <xf numFmtId="0" fontId="4" fillId="0" borderId="2" xfId="0" applyFont="1" applyBorder="1" applyAlignment="1">
      <alignment horizontal="right" vertical="center" wrapText="1"/>
    </xf>
    <xf numFmtId="0" fontId="14" fillId="0" borderId="2" xfId="0" applyFont="1" applyBorder="1" applyAlignment="1">
      <alignment horizontal="right" vertical="center"/>
    </xf>
    <xf numFmtId="0" fontId="14" fillId="0" borderId="8" xfId="0" applyFont="1" applyBorder="1" applyAlignment="1">
      <alignment horizontal="right" vertical="center"/>
    </xf>
    <xf numFmtId="0" fontId="4" fillId="0" borderId="1" xfId="0" applyFont="1" applyFill="1" applyBorder="1" applyAlignment="1">
      <alignment horizontal="right" vertical="center" wrapText="1"/>
    </xf>
    <xf numFmtId="0" fontId="0" fillId="0" borderId="6" xfId="0" applyBorder="1" applyAlignment="1">
      <alignment horizontal="right" vertical="center"/>
    </xf>
    <xf numFmtId="0" fontId="0" fillId="0" borderId="8" xfId="0" applyBorder="1" applyAlignment="1">
      <alignment horizontal="right" vertical="center"/>
    </xf>
    <xf numFmtId="0" fontId="0" fillId="0" borderId="1" xfId="0" applyFill="1" applyBorder="1" applyAlignment="1">
      <alignment horizontal="right" vertical="center"/>
    </xf>
    <xf numFmtId="1" fontId="0" fillId="0" borderId="1" xfId="0" applyNumberFormat="1" applyBorder="1" applyAlignment="1">
      <alignment horizontal="right" vertical="center"/>
    </xf>
    <xf numFmtId="0" fontId="0" fillId="0" borderId="0" xfId="0" applyFill="1" applyBorder="1" applyAlignment="1">
      <alignment horizontal="right" vertical="center"/>
    </xf>
    <xf numFmtId="1" fontId="0" fillId="0" borderId="0" xfId="0" applyNumberFormat="1" applyBorder="1" applyAlignment="1">
      <alignment horizontal="right" vertical="center"/>
    </xf>
    <xf numFmtId="0" fontId="0" fillId="0" borderId="6" xfId="0" applyFill="1" applyBorder="1" applyAlignment="1">
      <alignment horizontal="right" vertical="center"/>
    </xf>
    <xf numFmtId="0" fontId="0" fillId="0" borderId="15" xfId="0" applyBorder="1" applyAlignment="1">
      <alignment horizontal="right" vertical="center"/>
    </xf>
    <xf numFmtId="2" fontId="0" fillId="0" borderId="15" xfId="0" applyNumberFormat="1" applyBorder="1" applyAlignment="1">
      <alignment horizontal="right" vertical="center"/>
    </xf>
    <xf numFmtId="1" fontId="0" fillId="0" borderId="15" xfId="0" applyNumberFormat="1" applyBorder="1" applyAlignment="1">
      <alignment horizontal="right" vertical="center"/>
    </xf>
    <xf numFmtId="0" fontId="0" fillId="0" borderId="22" xfId="0" applyFill="1" applyBorder="1" applyAlignment="1">
      <alignment horizontal="right" vertical="center"/>
    </xf>
    <xf numFmtId="0" fontId="0" fillId="0" borderId="2" xfId="0" applyFill="1" applyBorder="1" applyAlignment="1">
      <alignment horizontal="right" vertical="center"/>
    </xf>
    <xf numFmtId="1" fontId="0" fillId="0" borderId="2" xfId="0" applyNumberFormat="1" applyBorder="1" applyAlignment="1">
      <alignment horizontal="right" vertical="center"/>
    </xf>
    <xf numFmtId="0" fontId="0" fillId="0" borderId="8" xfId="0" applyFill="1" applyBorder="1" applyAlignment="1">
      <alignment horizontal="right" vertical="center"/>
    </xf>
    <xf numFmtId="2" fontId="0" fillId="0" borderId="1" xfId="0" applyNumberFormat="1" applyFill="1" applyBorder="1" applyAlignment="1">
      <alignment horizontal="right" vertical="center"/>
    </xf>
    <xf numFmtId="2" fontId="0" fillId="0" borderId="4" xfId="0" applyNumberFormat="1" applyBorder="1" applyAlignment="1">
      <alignment horizontal="right" vertical="center"/>
    </xf>
    <xf numFmtId="2" fontId="0" fillId="0" borderId="0" xfId="0" applyNumberFormat="1" applyFill="1" applyBorder="1" applyAlignment="1">
      <alignment horizontal="right" vertical="center"/>
    </xf>
    <xf numFmtId="2" fontId="0" fillId="0" borderId="6" xfId="0" applyNumberFormat="1" applyBorder="1" applyAlignment="1">
      <alignment horizontal="right" vertical="center"/>
    </xf>
    <xf numFmtId="0" fontId="4" fillId="0" borderId="1" xfId="0" applyFont="1" applyBorder="1" applyAlignment="1">
      <alignment horizontal="right" vertical="center" wrapText="1"/>
    </xf>
    <xf numFmtId="0" fontId="4" fillId="0" borderId="0" xfId="0" applyFont="1" applyAlignment="1">
      <alignment horizontal="right" vertical="center" wrapText="1"/>
    </xf>
    <xf numFmtId="0" fontId="0" fillId="0" borderId="0" xfId="0" applyAlignment="1">
      <alignment horizontal="right" vertical="center"/>
    </xf>
    <xf numFmtId="2" fontId="0" fillId="0" borderId="1" xfId="0" applyNumberFormat="1" applyBorder="1" applyAlignment="1">
      <alignment horizontal="right" vertical="center" wrapText="1"/>
    </xf>
    <xf numFmtId="166" fontId="0" fillId="0" borderId="1" xfId="0" applyNumberFormat="1" applyFill="1" applyBorder="1" applyAlignment="1">
      <alignment horizontal="right" vertical="center"/>
    </xf>
    <xf numFmtId="2" fontId="0" fillId="0" borderId="0" xfId="0" applyNumberFormat="1" applyBorder="1" applyAlignment="1">
      <alignment horizontal="right" vertical="center" wrapText="1"/>
    </xf>
    <xf numFmtId="166" fontId="0" fillId="0" borderId="0" xfId="0" applyNumberFormat="1" applyFill="1" applyBorder="1" applyAlignment="1">
      <alignment horizontal="right" vertical="center"/>
    </xf>
    <xf numFmtId="2" fontId="6" fillId="0" borderId="0" xfId="0" applyNumberFormat="1" applyFont="1" applyBorder="1" applyAlignment="1">
      <alignment horizontal="right" vertical="center" wrapText="1"/>
    </xf>
    <xf numFmtId="0" fontId="6" fillId="0" borderId="0" xfId="0" applyFont="1" applyBorder="1" applyAlignment="1">
      <alignment horizontal="right" vertical="center"/>
    </xf>
    <xf numFmtId="166" fontId="6" fillId="0" borderId="0" xfId="0" applyNumberFormat="1" applyFont="1" applyFill="1" applyBorder="1" applyAlignment="1">
      <alignment horizontal="right" vertical="center"/>
    </xf>
    <xf numFmtId="2" fontId="0" fillId="0" borderId="2" xfId="0" applyNumberFormat="1" applyBorder="1" applyAlignment="1">
      <alignment horizontal="right" vertical="center" wrapText="1"/>
    </xf>
    <xf numFmtId="166" fontId="0" fillId="0" borderId="2" xfId="0" applyNumberFormat="1" applyFill="1" applyBorder="1" applyAlignment="1">
      <alignment horizontal="right" vertical="center"/>
    </xf>
    <xf numFmtId="1" fontId="0" fillId="0" borderId="0" xfId="0" applyNumberFormat="1" applyFont="1" applyBorder="1" applyAlignment="1">
      <alignment horizontal="right" vertical="center"/>
    </xf>
    <xf numFmtId="167" fontId="0" fillId="0" borderId="0" xfId="0" applyNumberFormat="1" applyBorder="1" applyAlignment="1">
      <alignment horizontal="right" vertical="center"/>
    </xf>
    <xf numFmtId="0" fontId="0" fillId="0" borderId="6" xfId="0" applyBorder="1" applyAlignment="1">
      <alignment horizontal="right" vertical="center" wrapText="1"/>
    </xf>
    <xf numFmtId="166" fontId="0" fillId="0" borderId="6" xfId="0" applyNumberFormat="1" applyBorder="1" applyAlignment="1">
      <alignment horizontal="right" vertical="center"/>
    </xf>
    <xf numFmtId="1" fontId="0" fillId="0" borderId="15" xfId="0" applyNumberFormat="1" applyFont="1" applyBorder="1" applyAlignment="1">
      <alignment horizontal="right" vertical="center"/>
    </xf>
    <xf numFmtId="166" fontId="0" fillId="0" borderId="15" xfId="0" applyNumberFormat="1" applyBorder="1" applyAlignment="1">
      <alignment horizontal="right" vertical="center"/>
    </xf>
    <xf numFmtId="1" fontId="0" fillId="0" borderId="0" xfId="0" applyNumberFormat="1" applyFont="1" applyFill="1" applyBorder="1" applyAlignment="1">
      <alignment horizontal="right" vertical="center"/>
    </xf>
    <xf numFmtId="1" fontId="0" fillId="0" borderId="0" xfId="0" applyNumberFormat="1" applyFill="1" applyBorder="1" applyAlignment="1">
      <alignment horizontal="right" vertical="center"/>
    </xf>
    <xf numFmtId="0" fontId="0" fillId="0" borderId="4" xfId="0" applyBorder="1" applyAlignment="1">
      <alignment horizontal="right" vertical="center" wrapText="1"/>
    </xf>
    <xf numFmtId="0" fontId="0" fillId="0" borderId="8" xfId="0" applyBorder="1" applyAlignment="1">
      <alignment horizontal="right" vertical="center" wrapText="1"/>
    </xf>
    <xf numFmtId="166" fontId="0" fillId="0" borderId="8" xfId="0" applyNumberFormat="1" applyBorder="1" applyAlignment="1">
      <alignment horizontal="right" vertical="center"/>
    </xf>
    <xf numFmtId="168" fontId="0" fillId="0" borderId="1" xfId="0" applyNumberFormat="1" applyBorder="1" applyAlignment="1">
      <alignment horizontal="right" vertical="center" wrapText="1"/>
    </xf>
    <xf numFmtId="166" fontId="0" fillId="0" borderId="1" xfId="0" applyNumberFormat="1" applyFont="1" applyBorder="1" applyAlignment="1">
      <alignment horizontal="right" vertical="center"/>
    </xf>
    <xf numFmtId="166" fontId="0" fillId="0" borderId="0" xfId="0" applyNumberFormat="1" applyFont="1" applyBorder="1" applyAlignment="1">
      <alignment horizontal="right" vertical="center"/>
    </xf>
    <xf numFmtId="166" fontId="0" fillId="0" borderId="2" xfId="0" applyNumberFormat="1" applyFont="1" applyBorder="1" applyAlignment="1">
      <alignment horizontal="right" vertical="center"/>
    </xf>
    <xf numFmtId="166" fontId="0" fillId="0" borderId="1" xfId="0" applyNumberFormat="1" applyBorder="1" applyAlignment="1">
      <alignment horizontal="right" vertical="center" wrapText="1"/>
    </xf>
    <xf numFmtId="166" fontId="0" fillId="0" borderId="0" xfId="0" applyNumberFormat="1" applyBorder="1" applyAlignment="1">
      <alignment horizontal="right" vertical="center" wrapText="1"/>
    </xf>
    <xf numFmtId="0" fontId="0" fillId="0" borderId="15" xfId="0" applyBorder="1" applyAlignment="1">
      <alignment horizontal="right" vertical="center" wrapText="1"/>
    </xf>
    <xf numFmtId="166" fontId="0" fillId="0" borderId="15" xfId="0" applyNumberFormat="1" applyBorder="1" applyAlignment="1">
      <alignment horizontal="right" vertical="center" wrapText="1"/>
    </xf>
    <xf numFmtId="2" fontId="0" fillId="0" borderId="15" xfId="0" applyNumberFormat="1" applyBorder="1" applyAlignment="1">
      <alignment horizontal="right" vertical="center" wrapText="1"/>
    </xf>
    <xf numFmtId="0" fontId="0" fillId="0" borderId="22" xfId="0" applyBorder="1" applyAlignment="1">
      <alignment horizontal="right" vertical="center"/>
    </xf>
    <xf numFmtId="2" fontId="0" fillId="0" borderId="14" xfId="0" applyNumberFormat="1" applyBorder="1" applyAlignment="1">
      <alignment horizontal="right" vertical="center" wrapText="1"/>
    </xf>
    <xf numFmtId="0" fontId="0" fillId="0" borderId="14" xfId="0" applyBorder="1" applyAlignment="1">
      <alignment horizontal="right" vertical="center" wrapText="1"/>
    </xf>
    <xf numFmtId="0" fontId="0" fillId="0" borderId="24" xfId="0" applyBorder="1" applyAlignment="1">
      <alignment horizontal="right" vertical="center" wrapText="1"/>
    </xf>
    <xf numFmtId="2" fontId="0" fillId="0" borderId="1" xfId="0" applyNumberFormat="1" applyFill="1" applyBorder="1" applyAlignment="1">
      <alignment horizontal="right" vertical="center" wrapText="1"/>
    </xf>
    <xf numFmtId="0" fontId="0" fillId="0" borderId="4" xfId="0" applyFill="1" applyBorder="1" applyAlignment="1">
      <alignment horizontal="right" vertical="center"/>
    </xf>
    <xf numFmtId="2" fontId="0" fillId="0" borderId="0" xfId="0" applyNumberFormat="1" applyFill="1" applyBorder="1" applyAlignment="1">
      <alignment horizontal="right" vertical="center" wrapText="1"/>
    </xf>
    <xf numFmtId="0" fontId="0" fillId="0" borderId="0" xfId="0" applyFill="1" applyAlignment="1">
      <alignment horizontal="right" vertical="center"/>
    </xf>
    <xf numFmtId="2" fontId="0" fillId="0" borderId="0" xfId="0" applyNumberFormat="1" applyFill="1" applyAlignment="1">
      <alignment horizontal="right" vertical="center" wrapText="1"/>
    </xf>
    <xf numFmtId="2" fontId="0" fillId="0" borderId="0" xfId="0" applyNumberFormat="1" applyAlignment="1">
      <alignment horizontal="right" vertical="center" wrapText="1"/>
    </xf>
    <xf numFmtId="2" fontId="0" fillId="0" borderId="2" xfId="0" applyNumberFormat="1" applyFill="1" applyBorder="1" applyAlignment="1">
      <alignment horizontal="right" vertical="center" wrapText="1"/>
    </xf>
    <xf numFmtId="169" fontId="0" fillId="0" borderId="1" xfId="0" applyNumberFormat="1" applyBorder="1" applyAlignment="1">
      <alignment horizontal="right" vertical="center"/>
    </xf>
    <xf numFmtId="169" fontId="0" fillId="0" borderId="0" xfId="0" applyNumberFormat="1" applyBorder="1" applyAlignment="1">
      <alignment horizontal="right" vertical="center"/>
    </xf>
    <xf numFmtId="169" fontId="0" fillId="0" borderId="2" xfId="0" applyNumberFormat="1" applyBorder="1" applyAlignment="1">
      <alignment horizontal="right" vertical="center"/>
    </xf>
    <xf numFmtId="169" fontId="0" fillId="0" borderId="1" xfId="0" applyNumberFormat="1" applyFill="1" applyBorder="1" applyAlignment="1">
      <alignment horizontal="right" vertical="center"/>
    </xf>
    <xf numFmtId="0" fontId="0" fillId="0" borderId="10" xfId="0" applyBorder="1" applyAlignment="1">
      <alignment horizontal="right" vertical="center"/>
    </xf>
    <xf numFmtId="0" fontId="0" fillId="0" borderId="10" xfId="0" applyFill="1" applyBorder="1" applyAlignment="1">
      <alignment horizontal="right" vertical="center"/>
    </xf>
    <xf numFmtId="0" fontId="0" fillId="0" borderId="11" xfId="0" applyBorder="1" applyAlignment="1">
      <alignment horizontal="right" vertical="center"/>
    </xf>
    <xf numFmtId="0" fontId="14" fillId="0" borderId="4" xfId="0" applyFont="1" applyBorder="1"/>
    <xf numFmtId="0" fontId="14" fillId="0" borderId="4" xfId="0" applyFont="1" applyFill="1" applyBorder="1"/>
    <xf numFmtId="0" fontId="14" fillId="0" borderId="6" xfId="0" applyFont="1" applyFill="1" applyBorder="1"/>
    <xf numFmtId="0" fontId="14" fillId="0" borderId="8" xfId="0" applyFont="1" applyFill="1" applyBorder="1"/>
    <xf numFmtId="0" fontId="0" fillId="0" borderId="4" xfId="0" applyNumberFormat="1" applyBorder="1"/>
    <xf numFmtId="0" fontId="0" fillId="0" borderId="6" xfId="0" applyNumberFormat="1" applyBorder="1"/>
    <xf numFmtId="0" fontId="0" fillId="0" borderId="22" xfId="0" applyNumberFormat="1" applyBorder="1"/>
    <xf numFmtId="0" fontId="0" fillId="0" borderId="8" xfId="0" applyNumberFormat="1" applyBorder="1"/>
    <xf numFmtId="0" fontId="0" fillId="0" borderId="4" xfId="0" applyNumberFormat="1" applyFill="1" applyBorder="1"/>
    <xf numFmtId="0" fontId="0" fillId="0" borderId="6" xfId="0" applyNumberFormat="1" applyFill="1" applyBorder="1"/>
    <xf numFmtId="0" fontId="0" fillId="0" borderId="8" xfId="0" applyNumberFormat="1" applyFill="1" applyBorder="1"/>
    <xf numFmtId="2" fontId="0" fillId="0" borderId="8" xfId="0" applyNumberFormat="1" applyBorder="1"/>
    <xf numFmtId="2" fontId="0" fillId="0" borderId="4" xfId="0" applyNumberFormat="1" applyFill="1" applyBorder="1"/>
    <xf numFmtId="2" fontId="0" fillId="0" borderId="6" xfId="0" applyNumberFormat="1" applyFill="1" applyBorder="1"/>
    <xf numFmtId="2" fontId="0" fillId="0" borderId="8" xfId="0" applyNumberFormat="1" applyFill="1" applyBorder="1"/>
    <xf numFmtId="2" fontId="0" fillId="0" borderId="4" xfId="0" applyNumberFormat="1" applyFill="1" applyBorder="1" applyAlignment="1">
      <alignment wrapText="1"/>
    </xf>
    <xf numFmtId="2" fontId="0" fillId="0" borderId="6" xfId="0" applyNumberFormat="1" applyFill="1" applyBorder="1" applyAlignment="1">
      <alignment wrapText="1"/>
    </xf>
    <xf numFmtId="2" fontId="0" fillId="0" borderId="8" xfId="0" applyNumberFormat="1" applyFill="1" applyBorder="1" applyAlignment="1">
      <alignment wrapText="1"/>
    </xf>
    <xf numFmtId="0" fontId="0" fillId="0" borderId="4" xfId="0" applyNumberFormat="1" applyBorder="1" applyAlignment="1">
      <alignment wrapText="1"/>
    </xf>
    <xf numFmtId="0" fontId="0" fillId="0" borderId="6" xfId="0" applyNumberFormat="1" applyBorder="1" applyAlignment="1">
      <alignment wrapText="1"/>
    </xf>
    <xf numFmtId="0" fontId="0" fillId="0" borderId="8" xfId="0" applyNumberFormat="1" applyBorder="1" applyAlignment="1">
      <alignment wrapText="1"/>
    </xf>
    <xf numFmtId="0" fontId="0" fillId="0" borderId="11" xfId="0" applyFill="1" applyBorder="1"/>
    <xf numFmtId="0" fontId="0" fillId="0" borderId="4" xfId="0" applyFill="1" applyBorder="1" applyAlignment="1">
      <alignment wrapText="1"/>
    </xf>
    <xf numFmtId="0" fontId="14" fillId="0" borderId="11" xfId="0" applyFont="1" applyBorder="1"/>
    <xf numFmtId="0" fontId="14" fillId="0" borderId="33" xfId="0" applyFont="1" applyBorder="1"/>
    <xf numFmtId="0" fontId="14" fillId="0" borderId="17" xfId="0" applyFont="1" applyBorder="1"/>
    <xf numFmtId="0" fontId="14" fillId="0" borderId="41" xfId="0" applyFont="1" applyBorder="1"/>
    <xf numFmtId="0" fontId="14" fillId="0" borderId="34" xfId="0" applyFont="1" applyBorder="1"/>
    <xf numFmtId="2" fontId="14" fillId="0" borderId="33" xfId="0" applyNumberFormat="1" applyFont="1" applyFill="1" applyBorder="1"/>
    <xf numFmtId="0" fontId="14" fillId="0" borderId="17" xfId="0" applyFont="1" applyFill="1" applyBorder="1"/>
    <xf numFmtId="0" fontId="0" fillId="0" borderId="33" xfId="0" applyNumberFormat="1" applyBorder="1"/>
    <xf numFmtId="0" fontId="0" fillId="0" borderId="17" xfId="0" applyNumberFormat="1" applyBorder="1"/>
    <xf numFmtId="0" fontId="0" fillId="0" borderId="41" xfId="0" applyNumberFormat="1" applyBorder="1"/>
    <xf numFmtId="0" fontId="0" fillId="0" borderId="34" xfId="0" applyNumberFormat="1" applyBorder="1"/>
    <xf numFmtId="0" fontId="0" fillId="0" borderId="33" xfId="0" applyNumberFormat="1" applyFill="1" applyBorder="1"/>
    <xf numFmtId="0" fontId="0" fillId="0" borderId="17" xfId="0" applyNumberFormat="1" applyFill="1" applyBorder="1"/>
    <xf numFmtId="0" fontId="0" fillId="0" borderId="34" xfId="0" applyNumberFormat="1" applyFill="1" applyBorder="1"/>
    <xf numFmtId="0" fontId="0" fillId="0" borderId="33" xfId="0" applyBorder="1"/>
    <xf numFmtId="2" fontId="0" fillId="0" borderId="33" xfId="0" applyNumberFormat="1" applyBorder="1"/>
    <xf numFmtId="2" fontId="0" fillId="0" borderId="17" xfId="0" applyNumberFormat="1" applyBorder="1"/>
    <xf numFmtId="2" fontId="0" fillId="0" borderId="34" xfId="0" applyNumberFormat="1" applyBorder="1"/>
    <xf numFmtId="2" fontId="0" fillId="0" borderId="33" xfId="0" applyNumberFormat="1" applyFill="1" applyBorder="1"/>
    <xf numFmtId="2" fontId="0" fillId="0" borderId="17" xfId="0" applyNumberFormat="1" applyFill="1" applyBorder="1"/>
    <xf numFmtId="2" fontId="0" fillId="0" borderId="34" xfId="0" applyNumberFormat="1" applyFill="1" applyBorder="1"/>
    <xf numFmtId="2" fontId="0" fillId="0" borderId="33" xfId="0" applyNumberFormat="1" applyBorder="1" applyAlignment="1">
      <alignment wrapText="1"/>
    </xf>
    <xf numFmtId="2" fontId="0" fillId="0" borderId="17" xfId="0" applyNumberFormat="1" applyBorder="1" applyAlignment="1">
      <alignment wrapText="1"/>
    </xf>
    <xf numFmtId="2" fontId="0" fillId="0" borderId="34" xfId="0" applyNumberFormat="1" applyBorder="1" applyAlignment="1">
      <alignment wrapText="1"/>
    </xf>
    <xf numFmtId="0" fontId="0" fillId="0" borderId="17" xfId="0" applyFill="1" applyBorder="1"/>
    <xf numFmtId="0" fontId="0" fillId="0" borderId="34" xfId="0" applyFill="1" applyBorder="1"/>
    <xf numFmtId="0" fontId="0" fillId="0" borderId="33" xfId="0" applyNumberFormat="1" applyBorder="1" applyAlignment="1">
      <alignment wrapText="1"/>
    </xf>
    <xf numFmtId="0" fontId="0" fillId="0" borderId="17" xfId="0" applyNumberFormat="1" applyBorder="1" applyAlignment="1">
      <alignment wrapText="1"/>
    </xf>
    <xf numFmtId="0" fontId="0" fillId="0" borderId="34" xfId="0" applyNumberFormat="1" applyBorder="1" applyAlignment="1">
      <alignment wrapText="1"/>
    </xf>
    <xf numFmtId="0" fontId="14" fillId="0" borderId="40" xfId="0" applyFont="1" applyBorder="1"/>
    <xf numFmtId="0" fontId="0" fillId="3" borderId="0" xfId="0" applyFill="1" applyBorder="1"/>
    <xf numFmtId="0" fontId="0" fillId="3" borderId="2" xfId="0" applyFill="1" applyBorder="1"/>
    <xf numFmtId="1" fontId="0" fillId="0" borderId="4" xfId="0" applyNumberFormat="1" applyBorder="1" applyAlignment="1">
      <alignment wrapText="1"/>
    </xf>
    <xf numFmtId="1" fontId="0" fillId="0" borderId="6" xfId="0" applyNumberFormat="1" applyBorder="1" applyAlignment="1">
      <alignment wrapText="1"/>
    </xf>
    <xf numFmtId="1" fontId="0" fillId="0" borderId="8" xfId="0" applyNumberFormat="1" applyBorder="1" applyAlignment="1">
      <alignment wrapText="1"/>
    </xf>
    <xf numFmtId="2" fontId="0" fillId="0" borderId="41" xfId="0" applyNumberFormat="1" applyFill="1" applyBorder="1"/>
    <xf numFmtId="2" fontId="0" fillId="0" borderId="22" xfId="0" applyNumberFormat="1" applyFill="1" applyBorder="1"/>
    <xf numFmtId="0" fontId="0" fillId="0" borderId="41" xfId="0" applyBorder="1"/>
    <xf numFmtId="0" fontId="0" fillId="0" borderId="27" xfId="0" applyFont="1" applyBorder="1" applyAlignment="1">
      <alignment horizontal="center" vertical="center"/>
    </xf>
    <xf numFmtId="0" fontId="0" fillId="0" borderId="40" xfId="0" applyFill="1" applyBorder="1" applyAlignment="1">
      <alignment vertical="center"/>
    </xf>
    <xf numFmtId="0" fontId="14" fillId="0" borderId="6" xfId="0" applyFont="1" applyBorder="1" applyAlignment="1">
      <alignment horizontal="right" vertical="center" wrapText="1"/>
    </xf>
    <xf numFmtId="1" fontId="0" fillId="0" borderId="4" xfId="0" applyNumberFormat="1" applyBorder="1" applyAlignment="1">
      <alignment horizontal="right" wrapText="1"/>
    </xf>
    <xf numFmtId="1" fontId="0" fillId="0" borderId="6" xfId="0" applyNumberFormat="1" applyBorder="1" applyAlignment="1">
      <alignment horizontal="right" wrapText="1"/>
    </xf>
    <xf numFmtId="1" fontId="0" fillId="0" borderId="8" xfId="0" applyNumberFormat="1" applyBorder="1" applyAlignment="1">
      <alignment horizontal="right" wrapText="1"/>
    </xf>
    <xf numFmtId="0" fontId="0" fillId="0" borderId="4" xfId="0" applyFont="1" applyBorder="1" applyAlignment="1">
      <alignment horizontal="left" vertical="top" wrapText="1"/>
    </xf>
    <xf numFmtId="0" fontId="0" fillId="0" borderId="6" xfId="0" applyFont="1" applyBorder="1" applyAlignment="1">
      <alignment horizontal="left" vertical="top" wrapText="1"/>
    </xf>
    <xf numFmtId="0" fontId="0" fillId="0" borderId="8" xfId="0" applyFont="1" applyBorder="1" applyAlignment="1">
      <alignment horizontal="left" vertical="top" wrapText="1"/>
    </xf>
    <xf numFmtId="0" fontId="0" fillId="3" borderId="15" xfId="0" applyFill="1" applyBorder="1"/>
    <xf numFmtId="0" fontId="0" fillId="0" borderId="38" xfId="0" applyFill="1" applyBorder="1" applyAlignment="1">
      <alignment horizontal="center" vertical="center"/>
    </xf>
    <xf numFmtId="0" fontId="0" fillId="0" borderId="14" xfId="0" applyFill="1" applyBorder="1" applyAlignment="1">
      <alignment horizontal="center" vertical="center"/>
    </xf>
    <xf numFmtId="168" fontId="0" fillId="0" borderId="39" xfId="0" applyNumberFormat="1" applyFill="1" applyBorder="1" applyAlignment="1">
      <alignment horizontal="center" vertical="center"/>
    </xf>
    <xf numFmtId="168" fontId="0" fillId="0" borderId="15" xfId="0" applyNumberFormat="1" applyFill="1" applyBorder="1" applyAlignment="1">
      <alignment horizontal="center" vertical="center"/>
    </xf>
    <xf numFmtId="0" fontId="0" fillId="0" borderId="19" xfId="0" applyFill="1" applyBorder="1" applyAlignment="1">
      <alignment horizontal="center" vertical="center"/>
    </xf>
    <xf numFmtId="168" fontId="0" fillId="0" borderId="38" xfId="0" applyNumberFormat="1" applyFill="1" applyBorder="1" applyAlignment="1">
      <alignment horizontal="center" vertical="center"/>
    </xf>
    <xf numFmtId="168" fontId="0" fillId="0" borderId="14" xfId="0" applyNumberFormat="1" applyFill="1" applyBorder="1" applyAlignment="1">
      <alignment horizontal="center" vertical="center"/>
    </xf>
    <xf numFmtId="168" fontId="0" fillId="0" borderId="19" xfId="0" applyNumberFormat="1" applyFill="1" applyBorder="1" applyAlignment="1">
      <alignment horizontal="center" vertical="center"/>
    </xf>
    <xf numFmtId="2" fontId="0" fillId="0" borderId="19" xfId="0" applyNumberFormat="1" applyFill="1" applyBorder="1" applyAlignment="1">
      <alignment horizontal="center" vertical="center"/>
    </xf>
    <xf numFmtId="166" fontId="0" fillId="0" borderId="19" xfId="0" applyNumberFormat="1" applyFill="1" applyBorder="1" applyAlignment="1">
      <alignment horizontal="center" vertical="center"/>
    </xf>
    <xf numFmtId="2" fontId="0" fillId="0" borderId="14" xfId="0" applyNumberFormat="1" applyFill="1" applyBorder="1" applyAlignment="1">
      <alignment horizontal="center" vertical="center"/>
    </xf>
    <xf numFmtId="166" fontId="0" fillId="0" borderId="38" xfId="0" applyNumberFormat="1" applyFill="1" applyBorder="1" applyAlignment="1">
      <alignment horizontal="center" vertical="center"/>
    </xf>
    <xf numFmtId="166" fontId="0" fillId="0" borderId="14" xfId="0" applyNumberFormat="1" applyFill="1" applyBorder="1" applyAlignment="1">
      <alignment horizontal="center" vertical="center"/>
    </xf>
    <xf numFmtId="2" fontId="0" fillId="0" borderId="0" xfId="0" applyNumberFormat="1" applyFill="1" applyBorder="1" applyAlignment="1">
      <alignment horizontal="center" vertical="center"/>
    </xf>
    <xf numFmtId="2" fontId="0" fillId="0" borderId="39" xfId="0" applyNumberFormat="1" applyFill="1" applyBorder="1" applyAlignment="1">
      <alignment horizontal="center" vertical="center"/>
    </xf>
    <xf numFmtId="2" fontId="0" fillId="0" borderId="15" xfId="0" applyNumberFormat="1" applyFill="1" applyBorder="1" applyAlignment="1">
      <alignment horizontal="center" vertical="center"/>
    </xf>
    <xf numFmtId="0" fontId="0" fillId="0" borderId="43" xfId="0" applyFill="1" applyBorder="1" applyAlignment="1">
      <alignment horizontal="center"/>
    </xf>
    <xf numFmtId="2" fontId="0" fillId="0" borderId="39" xfId="0" applyNumberFormat="1" applyFill="1" applyBorder="1" applyAlignment="1">
      <alignment horizontal="center"/>
    </xf>
    <xf numFmtId="168" fontId="0" fillId="0" borderId="39" xfId="0" applyNumberFormat="1" applyFill="1" applyBorder="1" applyAlignment="1">
      <alignment horizontal="center"/>
    </xf>
    <xf numFmtId="0" fontId="0" fillId="0" borderId="44" xfId="0" applyFill="1" applyBorder="1" applyAlignment="1">
      <alignment horizontal="center"/>
    </xf>
    <xf numFmtId="2" fontId="0" fillId="0" borderId="37" xfId="0" applyNumberFormat="1" applyFill="1" applyBorder="1" applyAlignment="1">
      <alignment horizontal="center"/>
    </xf>
    <xf numFmtId="164" fontId="0" fillId="0" borderId="37" xfId="0" applyNumberFormat="1" applyFill="1" applyBorder="1" applyAlignment="1">
      <alignment horizontal="center"/>
    </xf>
    <xf numFmtId="166" fontId="0" fillId="0" borderId="37" xfId="0" applyNumberFormat="1" applyFill="1" applyBorder="1" applyAlignment="1">
      <alignment horizontal="center"/>
    </xf>
    <xf numFmtId="167" fontId="0" fillId="0" borderId="39" xfId="0" applyNumberFormat="1" applyFill="1" applyBorder="1" applyAlignment="1">
      <alignment horizontal="center"/>
    </xf>
    <xf numFmtId="0" fontId="0" fillId="0" borderId="18" xfId="0" applyFill="1" applyBorder="1" applyAlignment="1">
      <alignment horizontal="center" vertical="center"/>
    </xf>
    <xf numFmtId="168" fontId="0" fillId="0" borderId="43" xfId="0" applyNumberFormat="1" applyFill="1" applyBorder="1" applyAlignment="1">
      <alignment horizontal="center" vertical="center"/>
    </xf>
    <xf numFmtId="168" fontId="0" fillId="0" borderId="48" xfId="0" applyNumberFormat="1" applyFill="1" applyBorder="1" applyAlignment="1">
      <alignment horizontal="center" vertical="center"/>
    </xf>
    <xf numFmtId="168" fontId="0" fillId="0" borderId="18" xfId="0" applyNumberFormat="1" applyFill="1" applyBorder="1" applyAlignment="1">
      <alignment horizontal="center" vertical="center"/>
    </xf>
    <xf numFmtId="2" fontId="0" fillId="0" borderId="18" xfId="0" applyNumberFormat="1" applyFill="1" applyBorder="1" applyAlignment="1">
      <alignment horizontal="center" vertical="center"/>
    </xf>
    <xf numFmtId="2" fontId="0" fillId="0" borderId="48" xfId="0" applyNumberFormat="1" applyFill="1" applyBorder="1" applyAlignment="1">
      <alignment horizontal="center" vertical="center"/>
    </xf>
    <xf numFmtId="2" fontId="0" fillId="0" borderId="43" xfId="0" applyNumberFormat="1" applyFill="1" applyBorder="1" applyAlignment="1">
      <alignment horizontal="center" vertical="center"/>
    </xf>
    <xf numFmtId="0" fontId="0" fillId="0" borderId="48" xfId="0" applyFill="1" applyBorder="1" applyAlignment="1">
      <alignment horizontal="center" vertical="center"/>
    </xf>
    <xf numFmtId="0" fontId="0" fillId="0" borderId="30" xfId="0" applyBorder="1" applyAlignment="1">
      <alignment horizontal="center" vertical="center"/>
    </xf>
    <xf numFmtId="0" fontId="0" fillId="0" borderId="46" xfId="0" applyBorder="1" applyAlignment="1">
      <alignment horizontal="center" vertical="center"/>
    </xf>
    <xf numFmtId="0" fontId="0" fillId="0" borderId="49" xfId="0" applyBorder="1" applyAlignment="1">
      <alignment horizontal="center" vertical="center"/>
    </xf>
    <xf numFmtId="2" fontId="0" fillId="0" borderId="30" xfId="0" applyNumberFormat="1" applyBorder="1" applyAlignment="1">
      <alignment horizontal="center" vertical="center"/>
    </xf>
    <xf numFmtId="2" fontId="0" fillId="0" borderId="46" xfId="0" applyNumberFormat="1" applyBorder="1" applyAlignment="1">
      <alignment horizontal="center"/>
    </xf>
    <xf numFmtId="2" fontId="0" fillId="0" borderId="36" xfId="0" applyNumberFormat="1" applyBorder="1" applyAlignment="1">
      <alignment horizontal="center"/>
    </xf>
    <xf numFmtId="0" fontId="0" fillId="0" borderId="50" xfId="0" applyBorder="1" applyAlignment="1">
      <alignment horizontal="left" vertical="center"/>
    </xf>
    <xf numFmtId="0" fontId="0" fillId="0" borderId="51" xfId="0" applyBorder="1" applyAlignment="1">
      <alignment horizontal="left" vertical="center" wrapText="1"/>
    </xf>
    <xf numFmtId="0" fontId="0" fillId="0" borderId="35" xfId="0" applyBorder="1" applyAlignment="1">
      <alignment horizontal="left"/>
    </xf>
    <xf numFmtId="0" fontId="0" fillId="0" borderId="36" xfId="0" applyBorder="1" applyAlignment="1">
      <alignment wrapText="1"/>
    </xf>
    <xf numFmtId="0" fontId="0" fillId="0" borderId="52" xfId="0" applyBorder="1" applyAlignment="1">
      <alignment horizontal="left"/>
    </xf>
    <xf numFmtId="0" fontId="0" fillId="0" borderId="47" xfId="0" applyBorder="1" applyAlignment="1">
      <alignment wrapText="1"/>
    </xf>
    <xf numFmtId="0" fontId="0" fillId="0" borderId="16" xfId="0" applyFont="1" applyBorder="1" applyAlignment="1">
      <alignment horizontal="center" vertical="center" wrapText="1"/>
    </xf>
    <xf numFmtId="0" fontId="0" fillId="0" borderId="12" xfId="0" applyFont="1" applyBorder="1" applyAlignment="1">
      <alignment horizontal="center" vertical="center" wrapText="1"/>
    </xf>
    <xf numFmtId="0" fontId="3" fillId="0" borderId="13" xfId="0" applyFont="1" applyBorder="1" applyAlignment="1">
      <alignment horizontal="center" vertical="center" wrapText="1"/>
    </xf>
    <xf numFmtId="0" fontId="9" fillId="0" borderId="16" xfId="0" applyFont="1" applyBorder="1" applyAlignment="1">
      <alignment horizontal="center" vertical="center" wrapText="1"/>
    </xf>
    <xf numFmtId="0" fontId="9" fillId="0" borderId="12" xfId="0" applyFont="1" applyBorder="1" applyAlignment="1">
      <alignment horizontal="center" vertical="center" wrapText="1"/>
    </xf>
    <xf numFmtId="0" fontId="0" fillId="0" borderId="0" xfId="0" applyFont="1" applyBorder="1" applyAlignment="1">
      <alignment horizontal="center" vertical="center"/>
    </xf>
    <xf numFmtId="0" fontId="0" fillId="0" borderId="16" xfId="0" applyFont="1" applyBorder="1" applyAlignment="1">
      <alignment horizontal="center" vertical="center"/>
    </xf>
    <xf numFmtId="0" fontId="0" fillId="0" borderId="13" xfId="0" applyFont="1" applyBorder="1" applyAlignment="1">
      <alignment horizontal="center" vertical="center"/>
    </xf>
    <xf numFmtId="0" fontId="25" fillId="0" borderId="16"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3" xfId="0" applyFont="1" applyBorder="1" applyAlignment="1">
      <alignment horizontal="center" vertical="center" wrapText="1"/>
    </xf>
    <xf numFmtId="0" fontId="0" fillId="0" borderId="13" xfId="0" applyFont="1" applyBorder="1" applyAlignment="1">
      <alignment horizontal="center" vertical="center" wrapText="1"/>
    </xf>
    <xf numFmtId="0" fontId="9" fillId="0" borderId="13"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6" xfId="0" applyFont="1" applyBorder="1" applyAlignment="1">
      <alignment horizontal="center" vertical="center" wrapText="1"/>
    </xf>
    <xf numFmtId="0" fontId="0" fillId="0" borderId="6" xfId="0" applyFont="1" applyBorder="1" applyAlignment="1">
      <alignment horizontal="center" vertical="center"/>
    </xf>
    <xf numFmtId="0" fontId="3" fillId="0" borderId="16" xfId="0" applyFont="1" applyBorder="1" applyAlignment="1">
      <alignment vertical="center" wrapText="1"/>
    </xf>
    <xf numFmtId="0" fontId="6" fillId="0" borderId="25" xfId="0" applyFont="1"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horizontal="center" vertical="center" wrapText="1"/>
    </xf>
    <xf numFmtId="0" fontId="0" fillId="0" borderId="2" xfId="0" applyBorder="1" applyAlignment="1">
      <alignment horizontal="center" vertical="center" wrapText="1"/>
    </xf>
    <xf numFmtId="0" fontId="0" fillId="0" borderId="15" xfId="0" applyBorder="1" applyAlignment="1">
      <alignment horizontal="center" vertical="center" wrapText="1"/>
    </xf>
    <xf numFmtId="0" fontId="0" fillId="0" borderId="1" xfId="0" applyBorder="1" applyAlignment="1">
      <alignment horizontal="left" vertical="top" wrapText="1"/>
    </xf>
    <xf numFmtId="0" fontId="0" fillId="0" borderId="0" xfId="0" applyBorder="1" applyAlignment="1">
      <alignment horizontal="left" vertical="top" wrapText="1"/>
    </xf>
    <xf numFmtId="0" fontId="0" fillId="0" borderId="2" xfId="0" applyBorder="1" applyAlignment="1">
      <alignment horizontal="left" vertical="top" wrapText="1"/>
    </xf>
    <xf numFmtId="0" fontId="0" fillId="0" borderId="1" xfId="0" applyBorder="1" applyAlignment="1">
      <alignment horizontal="center" wrapText="1"/>
    </xf>
    <xf numFmtId="0" fontId="0" fillId="0" borderId="0" xfId="0" applyBorder="1" applyAlignment="1">
      <alignment horizontal="center" wrapText="1"/>
    </xf>
    <xf numFmtId="0" fontId="0" fillId="0" borderId="2" xfId="0" applyBorder="1" applyAlignment="1">
      <alignment horizontal="center" wrapText="1"/>
    </xf>
    <xf numFmtId="0" fontId="0" fillId="0" borderId="4" xfId="0" applyBorder="1" applyAlignment="1">
      <alignment horizontal="left" vertical="top" wrapText="1"/>
    </xf>
    <xf numFmtId="0" fontId="0" fillId="0" borderId="6" xfId="0" applyBorder="1" applyAlignment="1">
      <alignment horizontal="left" vertical="top" wrapText="1"/>
    </xf>
    <xf numFmtId="0" fontId="0" fillId="0" borderId="8" xfId="0" applyBorder="1" applyAlignment="1">
      <alignment horizontal="left" vertical="top" wrapText="1"/>
    </xf>
    <xf numFmtId="0" fontId="0" fillId="0" borderId="15" xfId="0" applyBorder="1" applyAlignment="1">
      <alignment horizontal="left" vertical="top" wrapText="1"/>
    </xf>
    <xf numFmtId="0" fontId="25" fillId="0" borderId="1" xfId="0" applyFont="1" applyBorder="1" applyAlignment="1">
      <alignment horizontal="center" wrapText="1"/>
    </xf>
    <xf numFmtId="0" fontId="14" fillId="0" borderId="0" xfId="0" applyFont="1" applyFill="1" applyBorder="1" applyAlignment="1">
      <alignment horizontal="right" vertical="center"/>
    </xf>
    <xf numFmtId="0" fontId="14" fillId="0" borderId="15" xfId="0" applyFont="1" applyFill="1" applyBorder="1" applyAlignment="1">
      <alignment horizontal="right" vertical="center"/>
    </xf>
    <xf numFmtId="0" fontId="14" fillId="0" borderId="2" xfId="0" applyFont="1" applyFill="1" applyBorder="1" applyAlignment="1">
      <alignment horizontal="right" vertical="center"/>
    </xf>
    <xf numFmtId="168" fontId="0" fillId="0" borderId="15" xfId="0" applyNumberFormat="1" applyBorder="1"/>
    <xf numFmtId="165" fontId="25" fillId="0" borderId="0" xfId="0" applyNumberFormat="1" applyFont="1" applyBorder="1"/>
    <xf numFmtId="0" fontId="19" fillId="0" borderId="1" xfId="0" applyFont="1" applyBorder="1" applyAlignment="1">
      <alignment vertical="center" wrapText="1"/>
    </xf>
    <xf numFmtId="165" fontId="25" fillId="0" borderId="1" xfId="0" applyNumberFormat="1" applyFont="1" applyBorder="1"/>
    <xf numFmtId="165" fontId="25" fillId="0" borderId="15" xfId="0" applyNumberFormat="1" applyFont="1" applyBorder="1"/>
    <xf numFmtId="168" fontId="0" fillId="0" borderId="1" xfId="0" applyNumberFormat="1" applyBorder="1"/>
    <xf numFmtId="0" fontId="0" fillId="2" borderId="25" xfId="0" applyFill="1" applyBorder="1" applyAlignment="1">
      <alignment vertical="center"/>
    </xf>
    <xf numFmtId="17" fontId="0" fillId="0" borderId="0" xfId="0" applyNumberFormat="1"/>
    <xf numFmtId="0" fontId="0" fillId="0" borderId="0" xfId="0" applyFill="1" applyBorder="1" applyAlignment="1">
      <alignment horizontal="center" vertical="center"/>
    </xf>
    <xf numFmtId="0" fontId="0" fillId="0" borderId="0" xfId="0" applyBorder="1" applyAlignment="1">
      <alignment horizontal="center" vertical="center"/>
    </xf>
    <xf numFmtId="167" fontId="0" fillId="0" borderId="0" xfId="0" applyNumberFormat="1"/>
    <xf numFmtId="0" fontId="14" fillId="5" borderId="17" xfId="0" applyFont="1" applyFill="1" applyBorder="1"/>
    <xf numFmtId="0" fontId="14" fillId="5" borderId="6" xfId="0" applyFont="1" applyFill="1" applyBorder="1"/>
    <xf numFmtId="0" fontId="0" fillId="5" borderId="17" xfId="0" applyFill="1" applyBorder="1" applyAlignment="1">
      <alignment horizontal="center" vertical="center" wrapText="1"/>
    </xf>
    <xf numFmtId="0" fontId="0" fillId="5" borderId="6" xfId="0" applyFill="1" applyBorder="1" applyAlignment="1">
      <alignment horizontal="center" vertical="center" wrapText="1"/>
    </xf>
    <xf numFmtId="0" fontId="0" fillId="5" borderId="17" xfId="0" applyFill="1" applyBorder="1" applyAlignment="1">
      <alignment horizontal="center" vertical="center"/>
    </xf>
    <xf numFmtId="0" fontId="0" fillId="5" borderId="6" xfId="0" applyFill="1" applyBorder="1" applyAlignment="1">
      <alignment horizontal="center" vertical="center"/>
    </xf>
    <xf numFmtId="0" fontId="0" fillId="5" borderId="33" xfId="0" applyFill="1" applyBorder="1"/>
    <xf numFmtId="0" fontId="0" fillId="5" borderId="4" xfId="0" applyFill="1" applyBorder="1"/>
    <xf numFmtId="0" fontId="0" fillId="5" borderId="17" xfId="0" applyFill="1" applyBorder="1"/>
    <xf numFmtId="0" fontId="0" fillId="5" borderId="6" xfId="0" applyFill="1" applyBorder="1"/>
    <xf numFmtId="0" fontId="0" fillId="5" borderId="34" xfId="0" applyFill="1" applyBorder="1"/>
    <xf numFmtId="0" fontId="0" fillId="5" borderId="8" xfId="0" applyFill="1" applyBorder="1"/>
    <xf numFmtId="164" fontId="0" fillId="0" borderId="0" xfId="0" applyNumberFormat="1"/>
    <xf numFmtId="170" fontId="0" fillId="0" borderId="0" xfId="0" applyNumberFormat="1"/>
    <xf numFmtId="0" fontId="1" fillId="0" borderId="0" xfId="0" applyFont="1" applyBorder="1" applyAlignment="1">
      <alignment horizontal="center" vertical="center" wrapText="1"/>
    </xf>
    <xf numFmtId="164" fontId="0" fillId="0" borderId="0" xfId="0" applyNumberFormat="1" applyFill="1" applyBorder="1" applyAlignment="1">
      <alignment horizontal="center" vertical="center"/>
    </xf>
    <xf numFmtId="170" fontId="0" fillId="0" borderId="0" xfId="0" applyNumberFormat="1" applyFill="1" applyBorder="1" applyAlignment="1">
      <alignment horizontal="center" vertical="center"/>
    </xf>
    <xf numFmtId="0" fontId="0" fillId="0" borderId="15" xfId="0" applyFill="1" applyBorder="1" applyAlignment="1">
      <alignment horizontal="center" vertical="center"/>
    </xf>
    <xf numFmtId="0" fontId="0" fillId="0" borderId="43" xfId="0" applyFill="1" applyBorder="1" applyAlignment="1">
      <alignment horizontal="center" vertical="center"/>
    </xf>
    <xf numFmtId="166" fontId="0" fillId="0" borderId="48" xfId="0" applyNumberFormat="1" applyFill="1" applyBorder="1" applyAlignment="1">
      <alignment horizontal="center" vertical="center"/>
    </xf>
    <xf numFmtId="0" fontId="0" fillId="0" borderId="14" xfId="0" applyNumberFormat="1" applyFill="1" applyBorder="1" applyAlignment="1">
      <alignment horizontal="center" vertical="center"/>
    </xf>
    <xf numFmtId="0" fontId="0" fillId="0" borderId="48" xfId="0" applyNumberFormat="1" applyFill="1" applyBorder="1" applyAlignment="1">
      <alignment horizontal="center" vertical="center"/>
    </xf>
    <xf numFmtId="0" fontId="0" fillId="0" borderId="39" xfId="0" applyFill="1" applyBorder="1" applyAlignment="1">
      <alignment horizontal="center" vertical="center"/>
    </xf>
    <xf numFmtId="2" fontId="0" fillId="0" borderId="38" xfId="0" applyNumberFormat="1" applyFill="1" applyBorder="1" applyAlignment="1">
      <alignment horizontal="center" vertical="center"/>
    </xf>
    <xf numFmtId="0" fontId="0" fillId="0" borderId="38" xfId="0" applyNumberFormat="1" applyFill="1"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168" fontId="0" fillId="0" borderId="14" xfId="0" applyNumberFormat="1" applyBorder="1" applyAlignment="1">
      <alignment horizontal="center" vertical="center"/>
    </xf>
    <xf numFmtId="168" fontId="0" fillId="0" borderId="38" xfId="0" applyNumberFormat="1" applyBorder="1" applyAlignment="1">
      <alignment horizontal="center" vertical="center"/>
    </xf>
    <xf numFmtId="168" fontId="0" fillId="0" borderId="48" xfId="0" applyNumberFormat="1" applyBorder="1" applyAlignment="1">
      <alignment horizontal="center" vertical="center"/>
    </xf>
    <xf numFmtId="168" fontId="0" fillId="0" borderId="0" xfId="0" applyNumberFormat="1" applyBorder="1" applyAlignment="1">
      <alignment horizontal="center" vertical="center"/>
    </xf>
    <xf numFmtId="168" fontId="0" fillId="0" borderId="19" xfId="0" applyNumberFormat="1" applyBorder="1" applyAlignment="1">
      <alignment horizontal="center" vertical="center"/>
    </xf>
    <xf numFmtId="168" fontId="0" fillId="0" borderId="18" xfId="0" applyNumberFormat="1" applyBorder="1" applyAlignment="1">
      <alignment horizontal="center" vertical="center"/>
    </xf>
    <xf numFmtId="168" fontId="0" fillId="0" borderId="15" xfId="0" applyNumberFormat="1" applyBorder="1" applyAlignment="1">
      <alignment horizontal="center" vertical="center"/>
    </xf>
    <xf numFmtId="168" fontId="0" fillId="0" borderId="39" xfId="0" applyNumberFormat="1" applyBorder="1" applyAlignment="1">
      <alignment horizontal="center" vertical="center"/>
    </xf>
    <xf numFmtId="168" fontId="0" fillId="0" borderId="43" xfId="0" applyNumberFormat="1" applyBorder="1" applyAlignment="1">
      <alignment horizontal="center" vertical="center"/>
    </xf>
    <xf numFmtId="2" fontId="0" fillId="0" borderId="14" xfId="0" applyNumberFormat="1" applyBorder="1" applyAlignment="1">
      <alignment horizontal="center" vertical="center"/>
    </xf>
    <xf numFmtId="2" fontId="0" fillId="0" borderId="38" xfId="0" applyNumberFormat="1" applyBorder="1" applyAlignment="1">
      <alignment horizontal="center" vertical="center"/>
    </xf>
    <xf numFmtId="166" fontId="0" fillId="0" borderId="14" xfId="0" applyNumberFormat="1" applyBorder="1" applyAlignment="1">
      <alignment horizontal="center" vertical="center"/>
    </xf>
    <xf numFmtId="167" fontId="0" fillId="0" borderId="38" xfId="0" applyNumberFormat="1" applyBorder="1" applyAlignment="1">
      <alignment horizontal="center" vertical="center"/>
    </xf>
    <xf numFmtId="164" fontId="0" fillId="0" borderId="14" xfId="0" applyNumberFormat="1" applyBorder="1" applyAlignment="1">
      <alignment horizontal="center" vertical="center"/>
    </xf>
    <xf numFmtId="166" fontId="0" fillId="0" borderId="38" xfId="0" applyNumberFormat="1" applyBorder="1" applyAlignment="1">
      <alignment horizontal="center" vertical="center"/>
    </xf>
    <xf numFmtId="166" fontId="0" fillId="0" borderId="48" xfId="0" applyNumberFormat="1" applyBorder="1" applyAlignment="1">
      <alignment horizontal="center" vertical="center"/>
    </xf>
    <xf numFmtId="2" fontId="0" fillId="0" borderId="0" xfId="0" applyNumberFormat="1" applyBorder="1" applyAlignment="1">
      <alignment horizontal="center" vertical="center"/>
    </xf>
    <xf numFmtId="2" fontId="0" fillId="0" borderId="19" xfId="0" applyNumberFormat="1" applyBorder="1" applyAlignment="1">
      <alignment horizontal="center" vertical="center"/>
    </xf>
    <xf numFmtId="166" fontId="0" fillId="0" borderId="0" xfId="0" applyNumberFormat="1" applyBorder="1" applyAlignment="1">
      <alignment horizontal="center" vertical="center"/>
    </xf>
    <xf numFmtId="2" fontId="0" fillId="0" borderId="18" xfId="0" applyNumberFormat="1" applyBorder="1" applyAlignment="1">
      <alignment horizontal="center" vertical="center"/>
    </xf>
    <xf numFmtId="0" fontId="0" fillId="0" borderId="0" xfId="0" applyAlignment="1">
      <alignment horizontal="center"/>
    </xf>
    <xf numFmtId="168" fontId="0" fillId="0" borderId="37" xfId="0" applyNumberFormat="1" applyFill="1" applyBorder="1" applyAlignment="1">
      <alignment horizontal="center"/>
    </xf>
    <xf numFmtId="1" fontId="0" fillId="0" borderId="39" xfId="0" applyNumberFormat="1" applyFill="1" applyBorder="1" applyAlignment="1">
      <alignment horizontal="center"/>
    </xf>
    <xf numFmtId="0" fontId="0" fillId="0" borderId="12" xfId="0" applyFont="1" applyBorder="1" applyAlignment="1">
      <alignment horizontal="center" vertical="center" wrapText="1"/>
    </xf>
    <xf numFmtId="1" fontId="0" fillId="0" borderId="19" xfId="0" applyNumberFormat="1" applyFill="1" applyBorder="1" applyAlignment="1">
      <alignment horizontal="center" vertical="center"/>
    </xf>
    <xf numFmtId="2" fontId="0" fillId="0" borderId="39" xfId="0" applyNumberFormat="1"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wrapText="1"/>
    </xf>
    <xf numFmtId="0" fontId="0" fillId="0" borderId="2"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horizontal="center" wrapText="1"/>
    </xf>
    <xf numFmtId="0" fontId="0" fillId="0" borderId="2" xfId="0" applyBorder="1" applyAlignment="1">
      <alignment horizontal="center" wrapText="1"/>
    </xf>
    <xf numFmtId="0" fontId="0" fillId="0" borderId="1" xfId="0" applyBorder="1" applyAlignment="1">
      <alignment horizontal="center" wrapText="1"/>
    </xf>
    <xf numFmtId="0" fontId="0" fillId="0" borderId="0" xfId="0" applyFill="1" applyAlignment="1">
      <alignment horizontal="center" vertical="center" wrapText="1"/>
    </xf>
    <xf numFmtId="0" fontId="13" fillId="0" borderId="4" xfId="0" applyFont="1" applyBorder="1" applyAlignment="1">
      <alignment horizontal="left" vertical="center" wrapText="1"/>
    </xf>
    <xf numFmtId="0" fontId="13" fillId="0" borderId="6" xfId="0" applyFont="1" applyBorder="1" applyAlignment="1">
      <alignment horizontal="left" vertical="center" wrapText="1"/>
    </xf>
    <xf numFmtId="0" fontId="13" fillId="0" borderId="8" xfId="0" applyFont="1" applyBorder="1" applyAlignment="1">
      <alignment horizontal="left" vertical="center" wrapText="1"/>
    </xf>
    <xf numFmtId="0" fontId="0" fillId="0" borderId="1" xfId="0" applyBorder="1" applyAlignment="1">
      <alignment horizontal="center" vertical="center" wrapText="1"/>
    </xf>
    <xf numFmtId="0" fontId="0" fillId="0" borderId="0" xfId="0" applyBorder="1" applyAlignment="1">
      <alignment horizontal="center" vertical="center" wrapText="1"/>
    </xf>
    <xf numFmtId="0" fontId="0" fillId="0" borderId="2" xfId="0" applyBorder="1" applyAlignment="1">
      <alignment horizontal="center" vertical="center" wrapText="1"/>
    </xf>
    <xf numFmtId="0" fontId="4" fillId="0" borderId="0" xfId="0" applyFont="1" applyBorder="1" applyAlignment="1">
      <alignment horizontal="center" vertical="center" wrapText="1"/>
    </xf>
    <xf numFmtId="0" fontId="4" fillId="0" borderId="2" xfId="0" applyFont="1" applyBorder="1" applyAlignment="1">
      <alignment horizontal="center" vertical="center" wrapText="1"/>
    </xf>
    <xf numFmtId="0" fontId="13" fillId="0" borderId="1" xfId="0" applyFont="1" applyBorder="1" applyAlignment="1">
      <alignment horizontal="left" vertical="top" wrapText="1"/>
    </xf>
    <xf numFmtId="0" fontId="13" fillId="0" borderId="0" xfId="0" applyFont="1" applyBorder="1" applyAlignment="1">
      <alignment horizontal="left" vertical="top" wrapText="1"/>
    </xf>
    <xf numFmtId="0" fontId="13" fillId="0" borderId="2" xfId="0" applyFont="1" applyBorder="1" applyAlignment="1">
      <alignment horizontal="left" vertical="top" wrapText="1"/>
    </xf>
    <xf numFmtId="0" fontId="0" fillId="3" borderId="3" xfId="0" applyFill="1" applyBorder="1" applyAlignment="1">
      <alignment horizontal="center" wrapText="1"/>
    </xf>
    <xf numFmtId="0" fontId="0" fillId="3" borderId="5" xfId="0" applyFill="1" applyBorder="1" applyAlignment="1">
      <alignment horizontal="center" wrapText="1"/>
    </xf>
    <xf numFmtId="0" fontId="0" fillId="3" borderId="7" xfId="0" applyFill="1" applyBorder="1" applyAlignment="1">
      <alignment horizontal="center" wrapText="1"/>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0" fillId="0" borderId="8" xfId="0" applyBorder="1" applyAlignment="1">
      <alignment horizontal="center" vertical="center" wrapText="1"/>
    </xf>
    <xf numFmtId="0" fontId="0" fillId="3" borderId="3" xfId="0" applyFill="1" applyBorder="1" applyAlignment="1">
      <alignment horizontal="center" vertical="center" wrapText="1"/>
    </xf>
    <xf numFmtId="0" fontId="0" fillId="3" borderId="5" xfId="0" applyFill="1" applyBorder="1" applyAlignment="1">
      <alignment horizontal="center" vertical="center" wrapText="1"/>
    </xf>
    <xf numFmtId="0" fontId="0" fillId="3" borderId="7" xfId="0" applyFill="1" applyBorder="1" applyAlignment="1">
      <alignment horizontal="center" vertical="center" wrapText="1"/>
    </xf>
    <xf numFmtId="0" fontId="0" fillId="0" borderId="1" xfId="0" applyBorder="1" applyAlignment="1">
      <alignment horizontal="left" vertical="top"/>
    </xf>
    <xf numFmtId="0" fontId="0" fillId="0" borderId="0" xfId="0" applyBorder="1" applyAlignment="1">
      <alignment horizontal="left" vertical="top"/>
    </xf>
    <xf numFmtId="0" fontId="0" fillId="0" borderId="2" xfId="0" applyBorder="1" applyAlignment="1">
      <alignment horizontal="left" vertical="top"/>
    </xf>
    <xf numFmtId="0" fontId="0" fillId="0" borderId="0" xfId="0" applyBorder="1" applyAlignment="1">
      <alignment horizontal="left" vertical="top" wrapText="1"/>
    </xf>
    <xf numFmtId="0" fontId="0" fillId="0" borderId="2" xfId="0" applyBorder="1" applyAlignment="1">
      <alignment horizontal="left" vertical="top" wrapText="1"/>
    </xf>
    <xf numFmtId="0" fontId="0" fillId="0" borderId="15" xfId="0" applyBorder="1" applyAlignment="1">
      <alignment horizontal="center" vertical="center" wrapText="1"/>
    </xf>
    <xf numFmtId="0" fontId="0" fillId="0" borderId="22" xfId="0" applyBorder="1" applyAlignment="1">
      <alignment horizontal="center" vertical="center" wrapText="1"/>
    </xf>
    <xf numFmtId="0" fontId="0" fillId="0" borderId="6" xfId="0" applyFill="1" applyBorder="1" applyAlignment="1">
      <alignment horizontal="center" vertical="center" wrapText="1"/>
    </xf>
    <xf numFmtId="0" fontId="0" fillId="0" borderId="1"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1" xfId="0" applyNumberFormat="1" applyBorder="1" applyAlignment="1">
      <alignment horizontal="center" vertical="center" wrapText="1"/>
    </xf>
    <xf numFmtId="0" fontId="0" fillId="0" borderId="0" xfId="0" applyNumberFormat="1" applyBorder="1" applyAlignment="1">
      <alignment horizontal="center" vertical="center" wrapText="1"/>
    </xf>
    <xf numFmtId="0" fontId="0" fillId="0" borderId="2" xfId="0" applyNumberFormat="1" applyBorder="1" applyAlignment="1">
      <alignment horizontal="center" vertical="center" wrapText="1"/>
    </xf>
    <xf numFmtId="0" fontId="14" fillId="0" borderId="1"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2" xfId="0" applyFont="1" applyBorder="1" applyAlignment="1">
      <alignment horizontal="center" vertical="center" wrapText="1"/>
    </xf>
    <xf numFmtId="0" fontId="7" fillId="0" borderId="4" xfId="1" applyBorder="1" applyAlignment="1">
      <alignment horizontal="center" vertical="center" wrapText="1"/>
    </xf>
    <xf numFmtId="0" fontId="7" fillId="0" borderId="6" xfId="1" applyBorder="1" applyAlignment="1">
      <alignment horizontal="center" vertical="center" wrapText="1"/>
    </xf>
    <xf numFmtId="0" fontId="7" fillId="0" borderId="8" xfId="1" applyBorder="1" applyAlignment="1">
      <alignment horizontal="center" vertical="center" wrapText="1"/>
    </xf>
    <xf numFmtId="0" fontId="0" fillId="0" borderId="3" xfId="0" applyBorder="1" applyAlignment="1">
      <alignment horizontal="center" vertical="center" wrapText="1"/>
    </xf>
    <xf numFmtId="0" fontId="0" fillId="0" borderId="5" xfId="0" applyBorder="1" applyAlignment="1">
      <alignment horizontal="center" vertical="center" wrapText="1"/>
    </xf>
    <xf numFmtId="0" fontId="0" fillId="0" borderId="7" xfId="0" applyBorder="1" applyAlignment="1">
      <alignment horizontal="center" vertical="center" wrapText="1"/>
    </xf>
    <xf numFmtId="0" fontId="7" fillId="0" borderId="1" xfId="1" applyBorder="1" applyAlignment="1">
      <alignment horizontal="center" vertical="center" wrapText="1"/>
    </xf>
    <xf numFmtId="0" fontId="0" fillId="0" borderId="16"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3" fillId="0" borderId="23" xfId="0" applyFont="1" applyBorder="1" applyAlignment="1">
      <alignment horizontal="center"/>
    </xf>
    <xf numFmtId="0" fontId="3" fillId="0" borderId="10" xfId="0" applyFont="1" applyBorder="1" applyAlignment="1">
      <alignment horizontal="center"/>
    </xf>
    <xf numFmtId="0" fontId="3" fillId="0" borderId="11" xfId="0" applyFont="1" applyBorder="1" applyAlignment="1">
      <alignment horizontal="center"/>
    </xf>
    <xf numFmtId="0" fontId="7" fillId="0" borderId="0" xfId="1" applyBorder="1" applyAlignment="1">
      <alignment horizontal="center" vertical="center" wrapText="1"/>
    </xf>
    <xf numFmtId="0" fontId="7" fillId="0" borderId="2" xfId="1" applyBorder="1" applyAlignment="1">
      <alignment horizontal="center" vertical="center" wrapText="1"/>
    </xf>
    <xf numFmtId="0" fontId="0" fillId="3" borderId="1" xfId="0" applyFill="1" applyBorder="1" applyAlignment="1">
      <alignment horizontal="center" vertical="center" wrapText="1"/>
    </xf>
    <xf numFmtId="0" fontId="0" fillId="3" borderId="0" xfId="0" applyFill="1" applyBorder="1" applyAlignment="1">
      <alignment horizontal="center" vertical="center" wrapText="1"/>
    </xf>
    <xf numFmtId="0" fontId="0" fillId="3" borderId="2" xfId="0" applyFill="1" applyBorder="1" applyAlignment="1">
      <alignment horizontal="center" vertical="center" wrapText="1"/>
    </xf>
    <xf numFmtId="0" fontId="4" fillId="0" borderId="1" xfId="0" applyFont="1" applyBorder="1" applyAlignment="1">
      <alignment horizontal="center" vertical="center" wrapText="1"/>
    </xf>
    <xf numFmtId="0" fontId="17" fillId="0" borderId="6" xfId="0" applyFont="1" applyBorder="1" applyAlignment="1">
      <alignment horizontal="center" vertical="center" wrapText="1"/>
    </xf>
    <xf numFmtId="0" fontId="17" fillId="0" borderId="8" xfId="0" applyFont="1" applyBorder="1" applyAlignment="1">
      <alignment horizontal="center" vertical="center" wrapText="1"/>
    </xf>
    <xf numFmtId="0" fontId="0" fillId="0" borderId="1" xfId="0" applyBorder="1" applyAlignment="1">
      <alignment horizontal="left" vertical="top" wrapText="1"/>
    </xf>
    <xf numFmtId="0" fontId="0" fillId="0" borderId="15" xfId="0" applyBorder="1" applyAlignment="1">
      <alignment horizontal="left" vertical="top" wrapText="1"/>
    </xf>
    <xf numFmtId="0" fontId="14" fillId="0" borderId="0" xfId="0" applyNumberFormat="1" applyFont="1" applyBorder="1" applyAlignment="1">
      <alignment horizontal="center" vertical="center" wrapText="1"/>
    </xf>
    <xf numFmtId="0" fontId="14" fillId="0" borderId="2" xfId="0" applyNumberFormat="1" applyFont="1" applyBorder="1" applyAlignment="1">
      <alignment horizontal="center" vertical="center" wrapText="1"/>
    </xf>
    <xf numFmtId="0" fontId="0" fillId="0" borderId="1" xfId="0" applyBorder="1" applyAlignment="1">
      <alignment horizontal="center" wrapText="1"/>
    </xf>
    <xf numFmtId="0" fontId="0" fillId="0" borderId="0" xfId="0" applyBorder="1" applyAlignment="1">
      <alignment horizontal="center" wrapText="1"/>
    </xf>
    <xf numFmtId="0" fontId="0" fillId="0" borderId="2" xfId="0" applyBorder="1" applyAlignment="1">
      <alignment horizontal="center" wrapText="1"/>
    </xf>
    <xf numFmtId="0" fontId="14" fillId="0" borderId="1" xfId="0" applyNumberFormat="1" applyFont="1" applyBorder="1" applyAlignment="1">
      <alignment horizontal="center" vertical="center" wrapText="1"/>
    </xf>
    <xf numFmtId="0" fontId="4" fillId="0" borderId="3" xfId="0" applyFont="1" applyBorder="1" applyAlignment="1">
      <alignment horizontal="center" vertical="center" wrapText="1"/>
    </xf>
    <xf numFmtId="0" fontId="4" fillId="0" borderId="4" xfId="0"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9" fillId="0" borderId="1" xfId="0" applyNumberFormat="1" applyFont="1" applyBorder="1" applyAlignment="1">
      <alignment horizontal="center" vertical="center" wrapText="1"/>
    </xf>
    <xf numFmtId="0" fontId="9" fillId="0" borderId="0" xfId="0" applyNumberFormat="1" applyFont="1" applyBorder="1" applyAlignment="1">
      <alignment horizontal="center" vertical="center" wrapText="1"/>
    </xf>
    <xf numFmtId="0" fontId="9" fillId="0" borderId="2" xfId="0" applyNumberFormat="1" applyFont="1" applyBorder="1" applyAlignment="1">
      <alignment horizontal="center" vertical="center" wrapText="1"/>
    </xf>
    <xf numFmtId="0" fontId="0" fillId="0" borderId="4" xfId="0" applyBorder="1" applyAlignment="1">
      <alignment horizontal="left" vertical="top" wrapText="1"/>
    </xf>
    <xf numFmtId="0" fontId="0" fillId="0" borderId="6" xfId="0" applyBorder="1" applyAlignment="1">
      <alignment horizontal="left" vertical="top" wrapText="1"/>
    </xf>
    <xf numFmtId="0" fontId="0" fillId="0" borderId="8" xfId="0" applyBorder="1" applyAlignment="1">
      <alignment horizontal="left" vertical="top" wrapText="1"/>
    </xf>
    <xf numFmtId="0" fontId="14" fillId="0" borderId="15" xfId="0" applyNumberFormat="1" applyFont="1" applyBorder="1" applyAlignment="1">
      <alignment horizontal="center" vertical="center" wrapText="1"/>
    </xf>
    <xf numFmtId="0" fontId="0" fillId="0" borderId="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2" xfId="0" applyFill="1" applyBorder="1" applyAlignment="1">
      <alignment horizontal="center" vertical="center" wrapText="1"/>
    </xf>
    <xf numFmtId="0" fontId="4" fillId="0" borderId="3" xfId="0" applyFont="1" applyFill="1" applyBorder="1" applyAlignment="1">
      <alignment horizontal="center" vertical="center" wrapText="1"/>
    </xf>
    <xf numFmtId="0" fontId="4" fillId="0" borderId="5" xfId="0" applyFont="1" applyFill="1" applyBorder="1" applyAlignment="1">
      <alignment horizontal="center" vertical="center" wrapText="1"/>
    </xf>
    <xf numFmtId="0" fontId="4" fillId="0" borderId="7" xfId="0" applyFont="1" applyFill="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8" xfId="0" applyFont="1" applyBorder="1" applyAlignment="1">
      <alignment horizontal="center" vertical="center" wrapText="1"/>
    </xf>
    <xf numFmtId="0" fontId="4" fillId="0" borderId="0" xfId="0" applyFont="1" applyFill="1" applyBorder="1" applyAlignment="1">
      <alignment horizontal="center" vertical="center" wrapText="1"/>
    </xf>
    <xf numFmtId="0" fontId="4" fillId="0" borderId="5" xfId="0" applyFont="1" applyBorder="1" applyAlignment="1">
      <alignment horizontal="center" vertical="center" wrapText="1"/>
    </xf>
    <xf numFmtId="0" fontId="0" fillId="0" borderId="3" xfId="0" applyFill="1" applyBorder="1" applyAlignment="1">
      <alignment horizontal="center" vertical="center"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15" fillId="0" borderId="1" xfId="0" applyFont="1" applyBorder="1" applyAlignment="1">
      <alignment horizontal="center" vertical="center" wrapText="1"/>
    </xf>
    <xf numFmtId="0" fontId="15" fillId="0" borderId="0" xfId="0" applyFont="1" applyBorder="1" applyAlignment="1">
      <alignment horizontal="center" vertical="center" wrapText="1"/>
    </xf>
    <xf numFmtId="0" fontId="15" fillId="0" borderId="2" xfId="0" applyFont="1" applyBorder="1" applyAlignment="1">
      <alignment horizontal="center" vertical="center" wrapText="1"/>
    </xf>
    <xf numFmtId="0" fontId="0" fillId="0" borderId="16"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4" fillId="0" borderId="4" xfId="0" applyFont="1" applyBorder="1" applyAlignment="1">
      <alignment horizontal="left" vertical="center" wrapText="1"/>
    </xf>
    <xf numFmtId="0" fontId="4" fillId="0" borderId="6" xfId="0" applyFont="1" applyBorder="1" applyAlignment="1">
      <alignment horizontal="left" vertical="center" wrapText="1"/>
    </xf>
    <xf numFmtId="0" fontId="4" fillId="0" borderId="8" xfId="0" applyFont="1" applyBorder="1" applyAlignment="1">
      <alignment horizontal="left" vertical="center" wrapText="1"/>
    </xf>
    <xf numFmtId="0" fontId="0" fillId="0" borderId="3" xfId="0"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4" fillId="0" borderId="16" xfId="0" applyFont="1" applyBorder="1" applyAlignment="1">
      <alignment horizontal="center" vertical="center" wrapText="1"/>
    </xf>
    <xf numFmtId="0" fontId="4" fillId="0" borderId="12" xfId="0" applyFont="1" applyBorder="1" applyAlignment="1">
      <alignment horizontal="center" vertical="center" wrapText="1"/>
    </xf>
    <xf numFmtId="0" fontId="4" fillId="0" borderId="13" xfId="0" applyFont="1" applyBorder="1" applyAlignment="1">
      <alignment horizontal="center" vertical="center" wrapText="1"/>
    </xf>
    <xf numFmtId="0" fontId="0" fillId="0" borderId="0" xfId="0" applyFill="1" applyAlignment="1">
      <alignment horizontal="center" vertical="center"/>
    </xf>
    <xf numFmtId="0" fontId="0" fillId="0" borderId="1" xfId="0" applyBorder="1" applyAlignment="1">
      <alignment horizontal="center" vertical="top" wrapText="1"/>
    </xf>
    <xf numFmtId="0" fontId="0" fillId="0" borderId="0" xfId="0" applyBorder="1" applyAlignment="1">
      <alignment horizontal="center" vertical="top" wrapText="1"/>
    </xf>
    <xf numFmtId="0" fontId="0" fillId="0" borderId="2" xfId="0" applyBorder="1" applyAlignment="1">
      <alignment horizontal="center" vertical="top" wrapText="1"/>
    </xf>
    <xf numFmtId="0" fontId="4" fillId="0" borderId="6" xfId="0" applyFont="1" applyBorder="1" applyAlignment="1">
      <alignment horizontal="center" vertical="center" wrapText="1"/>
    </xf>
    <xf numFmtId="0" fontId="4" fillId="3" borderId="5"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4" fillId="0" borderId="2"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4" fillId="0" borderId="4" xfId="0" applyFont="1" applyFill="1" applyBorder="1" applyAlignment="1">
      <alignment horizontal="center" vertical="center" wrapText="1"/>
    </xf>
    <xf numFmtId="0" fontId="4" fillId="0" borderId="6" xfId="0" applyFont="1" applyFill="1" applyBorder="1" applyAlignment="1">
      <alignment horizontal="center" vertical="center" wrapText="1"/>
    </xf>
    <xf numFmtId="0" fontId="4" fillId="0" borderId="8" xfId="0" applyFont="1" applyFill="1" applyBorder="1" applyAlignment="1">
      <alignment horizontal="center" vertical="center" wrapText="1"/>
    </xf>
    <xf numFmtId="0" fontId="9" fillId="0" borderId="16" xfId="0" applyFont="1" applyBorder="1" applyAlignment="1">
      <alignment horizontal="center" vertical="center" wrapText="1"/>
    </xf>
    <xf numFmtId="0" fontId="9" fillId="0" borderId="12" xfId="0" applyFont="1" applyBorder="1" applyAlignment="1">
      <alignment horizontal="center" vertical="center" wrapText="1"/>
    </xf>
    <xf numFmtId="0" fontId="0" fillId="3" borderId="3" xfId="0" applyFill="1" applyBorder="1" applyAlignment="1">
      <alignment horizontal="center" vertical="center"/>
    </xf>
    <xf numFmtId="0" fontId="0" fillId="3" borderId="5" xfId="0" applyFill="1" applyBorder="1" applyAlignment="1">
      <alignment horizontal="center" vertical="center"/>
    </xf>
    <xf numFmtId="0" fontId="4" fillId="0" borderId="15" xfId="0" applyFont="1" applyFill="1" applyBorder="1" applyAlignment="1">
      <alignment horizontal="center" vertical="center" wrapText="1"/>
    </xf>
    <xf numFmtId="0" fontId="2" fillId="2" borderId="16"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3" xfId="0" applyFont="1" applyFill="1" applyBorder="1" applyAlignment="1">
      <alignment horizontal="center" vertical="center"/>
    </xf>
    <xf numFmtId="0" fontId="0" fillId="3" borderId="7" xfId="0" applyFill="1" applyBorder="1" applyAlignment="1">
      <alignment horizontal="center" vertical="center"/>
    </xf>
    <xf numFmtId="0" fontId="2" fillId="2" borderId="12" xfId="0" applyFont="1" applyFill="1" applyBorder="1" applyAlignment="1">
      <alignment horizontal="center" vertical="center" wrapText="1"/>
    </xf>
    <xf numFmtId="0" fontId="7" fillId="0" borderId="0" xfId="1" applyFill="1" applyBorder="1" applyAlignment="1">
      <alignment horizontal="center" vertical="center"/>
    </xf>
    <xf numFmtId="0" fontId="4" fillId="0" borderId="0" xfId="0" applyFont="1" applyFill="1" applyBorder="1" applyAlignment="1">
      <alignment horizontal="center" vertical="center"/>
    </xf>
    <xf numFmtId="0" fontId="4" fillId="0" borderId="2" xfId="0" applyFont="1" applyFill="1" applyBorder="1" applyAlignment="1">
      <alignment horizontal="center" vertical="center"/>
    </xf>
    <xf numFmtId="0" fontId="4" fillId="3" borderId="20" xfId="0" applyFont="1" applyFill="1" applyBorder="1" applyAlignment="1">
      <alignment horizontal="center" vertical="center" wrapText="1"/>
    </xf>
    <xf numFmtId="0" fontId="4" fillId="0" borderId="0" xfId="0" applyNumberFormat="1" applyFont="1" applyFill="1" applyBorder="1" applyAlignment="1">
      <alignment horizontal="center" vertical="center" wrapText="1"/>
    </xf>
    <xf numFmtId="0" fontId="4" fillId="0" borderId="2" xfId="0" applyNumberFormat="1" applyFont="1" applyFill="1" applyBorder="1" applyAlignment="1">
      <alignment horizontal="center" vertical="center" wrapText="1"/>
    </xf>
    <xf numFmtId="0" fontId="2" fillId="2" borderId="16"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4"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wrapText="1"/>
    </xf>
    <xf numFmtId="0" fontId="5" fillId="0" borderId="0"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3" fillId="0" borderId="9" xfId="0" applyFont="1" applyBorder="1" applyAlignment="1">
      <alignment horizontal="center"/>
    </xf>
    <xf numFmtId="0" fontId="3" fillId="0" borderId="23"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0" fillId="3" borderId="3" xfId="0" applyFill="1" applyBorder="1" applyAlignment="1">
      <alignment horizontal="left" vertical="center"/>
    </xf>
    <xf numFmtId="0" fontId="0" fillId="3" borderId="5" xfId="0" applyFill="1" applyBorder="1" applyAlignment="1">
      <alignment horizontal="left" vertical="center"/>
    </xf>
    <xf numFmtId="0" fontId="0" fillId="3" borderId="20" xfId="0" applyFill="1" applyBorder="1" applyAlignment="1">
      <alignment horizontal="left" vertical="center"/>
    </xf>
    <xf numFmtId="0" fontId="0" fillId="3" borderId="7" xfId="0" applyFill="1" applyBorder="1" applyAlignment="1">
      <alignment horizontal="left" vertical="center"/>
    </xf>
    <xf numFmtId="0" fontId="9" fillId="0" borderId="6" xfId="0" applyFont="1" applyBorder="1" applyAlignment="1">
      <alignment horizontal="center" vertical="center" wrapText="1"/>
    </xf>
    <xf numFmtId="0" fontId="9" fillId="0" borderId="1" xfId="0" applyFont="1" applyBorder="1" applyAlignment="1">
      <alignment horizontal="center" vertical="center" wrapText="1"/>
    </xf>
    <xf numFmtId="0" fontId="9" fillId="0" borderId="0" xfId="0" applyFont="1" applyBorder="1" applyAlignment="1">
      <alignment horizontal="center" vertical="center" wrapText="1"/>
    </xf>
    <xf numFmtId="0" fontId="9" fillId="0" borderId="2" xfId="0" applyFont="1" applyBorder="1" applyAlignment="1">
      <alignment horizontal="center" vertical="center" wrapText="1"/>
    </xf>
    <xf numFmtId="0" fontId="14" fillId="4" borderId="1" xfId="1" applyFont="1" applyFill="1" applyBorder="1" applyAlignment="1">
      <alignment horizontal="center" vertical="center" wrapText="1"/>
    </xf>
    <xf numFmtId="0" fontId="14" fillId="4" borderId="0" xfId="1" applyFont="1" applyFill="1" applyBorder="1" applyAlignment="1">
      <alignment horizontal="center" vertical="center" wrapText="1"/>
    </xf>
    <xf numFmtId="0" fontId="14" fillId="4" borderId="2" xfId="1" applyFont="1" applyFill="1" applyBorder="1" applyAlignment="1">
      <alignment horizontal="center" vertical="center" wrapText="1"/>
    </xf>
    <xf numFmtId="0" fontId="4" fillId="0" borderId="1" xfId="0" applyNumberFormat="1" applyFont="1" applyBorder="1" applyAlignment="1">
      <alignment horizontal="center" vertical="center" wrapText="1"/>
    </xf>
    <xf numFmtId="0" fontId="4" fillId="0" borderId="2" xfId="0" applyNumberFormat="1" applyFont="1" applyBorder="1" applyAlignment="1">
      <alignment horizontal="center" vertical="center" wrapText="1"/>
    </xf>
    <xf numFmtId="0" fontId="0" fillId="3" borderId="3" xfId="0" applyFill="1" applyBorder="1" applyAlignment="1">
      <alignment horizontal="left" vertical="top" wrapText="1"/>
    </xf>
    <xf numFmtId="0" fontId="0" fillId="3" borderId="5" xfId="0" applyFill="1" applyBorder="1" applyAlignment="1">
      <alignment horizontal="left" vertical="top" wrapText="1"/>
    </xf>
    <xf numFmtId="0" fontId="9" fillId="0" borderId="4" xfId="0" applyFont="1" applyBorder="1" applyAlignment="1">
      <alignment horizontal="center" vertical="center" wrapText="1"/>
    </xf>
    <xf numFmtId="0" fontId="9" fillId="0" borderId="8" xfId="0" applyFont="1" applyBorder="1" applyAlignment="1">
      <alignment horizontal="center" vertical="center" wrapText="1"/>
    </xf>
    <xf numFmtId="0" fontId="0" fillId="3" borderId="5" xfId="0" applyFill="1" applyBorder="1" applyAlignment="1">
      <alignment horizontal="center" vertical="center" textRotation="90"/>
    </xf>
    <xf numFmtId="0" fontId="0" fillId="3" borderId="3" xfId="0" applyFill="1" applyBorder="1" applyAlignment="1">
      <alignment horizontal="center" vertical="center" textRotation="90"/>
    </xf>
    <xf numFmtId="0" fontId="9" fillId="0" borderId="5" xfId="0" applyFont="1" applyBorder="1" applyAlignment="1">
      <alignment horizontal="center" vertical="center" wrapText="1"/>
    </xf>
    <xf numFmtId="0" fontId="9" fillId="0" borderId="7"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12" xfId="0" applyFont="1" applyBorder="1" applyAlignment="1">
      <alignment horizontal="center" vertical="center" wrapText="1"/>
    </xf>
    <xf numFmtId="0" fontId="16" fillId="0" borderId="1" xfId="0" applyFont="1" applyBorder="1" applyAlignment="1">
      <alignment horizontal="center" vertical="center" wrapText="1"/>
    </xf>
    <xf numFmtId="0" fontId="16" fillId="0" borderId="0" xfId="0" applyFont="1" applyBorder="1" applyAlignment="1">
      <alignment horizontal="center" vertical="center" wrapText="1"/>
    </xf>
    <xf numFmtId="0" fontId="16" fillId="0" borderId="2" xfId="0" applyFont="1" applyBorder="1" applyAlignment="1">
      <alignment horizontal="center" vertical="center" wrapText="1"/>
    </xf>
    <xf numFmtId="0" fontId="0" fillId="0" borderId="1" xfId="0" applyFill="1" applyBorder="1" applyAlignment="1">
      <alignment horizontal="center" vertical="center"/>
    </xf>
    <xf numFmtId="0" fontId="0" fillId="0" borderId="0" xfId="0" applyFill="1" applyBorder="1" applyAlignment="1">
      <alignment horizontal="center" vertical="center"/>
    </xf>
    <xf numFmtId="0" fontId="0" fillId="0" borderId="2" xfId="0" applyFill="1" applyBorder="1" applyAlignment="1">
      <alignment horizontal="center" vertical="center"/>
    </xf>
    <xf numFmtId="0" fontId="20" fillId="0" borderId="0" xfId="0" applyFont="1" applyBorder="1" applyAlignment="1">
      <alignment horizontal="right" vertical="center" textRotation="90" wrapText="1"/>
    </xf>
    <xf numFmtId="0" fontId="0" fillId="0" borderId="14" xfId="0" applyBorder="1" applyAlignment="1">
      <alignment horizontal="center" vertical="center" wrapText="1"/>
    </xf>
    <xf numFmtId="0" fontId="0" fillId="0" borderId="14" xfId="0" applyNumberFormat="1" applyBorder="1" applyAlignment="1">
      <alignment horizontal="center" vertical="center" wrapText="1"/>
    </xf>
    <xf numFmtId="0" fontId="0" fillId="0" borderId="15" xfId="0" applyNumberFormat="1" applyBorder="1" applyAlignment="1">
      <alignment horizontal="center" vertical="center" wrapText="1"/>
    </xf>
    <xf numFmtId="0" fontId="7" fillId="0" borderId="24" xfId="1" applyBorder="1" applyAlignment="1">
      <alignment horizontal="center" vertical="center" wrapText="1"/>
    </xf>
    <xf numFmtId="0" fontId="7" fillId="0" borderId="14" xfId="1" applyBorder="1" applyAlignment="1">
      <alignment horizontal="center" vertical="center" wrapText="1"/>
    </xf>
    <xf numFmtId="0" fontId="7" fillId="0" borderId="15" xfId="1" applyBorder="1" applyAlignment="1">
      <alignment horizontal="center" vertical="center" wrapText="1"/>
    </xf>
    <xf numFmtId="0" fontId="0" fillId="0" borderId="4" xfId="0" applyBorder="1" applyAlignment="1">
      <alignment horizontal="left" vertical="top"/>
    </xf>
    <xf numFmtId="0" fontId="0" fillId="0" borderId="6" xfId="0" applyBorder="1" applyAlignment="1">
      <alignment horizontal="left" vertical="top"/>
    </xf>
    <xf numFmtId="0" fontId="0" fillId="0" borderId="8" xfId="0" applyBorder="1" applyAlignment="1">
      <alignment horizontal="left" vertical="top"/>
    </xf>
    <xf numFmtId="0" fontId="0" fillId="3" borderId="3" xfId="0" applyFill="1" applyBorder="1" applyAlignment="1">
      <alignment horizontal="center" vertical="center" textRotation="90" wrapText="1"/>
    </xf>
    <xf numFmtId="0" fontId="0" fillId="3" borderId="5" xfId="0" applyFill="1" applyBorder="1" applyAlignment="1">
      <alignment horizontal="center" vertical="center" textRotation="90" wrapText="1"/>
    </xf>
    <xf numFmtId="0" fontId="0" fillId="3" borderId="7" xfId="0" applyFill="1" applyBorder="1" applyAlignment="1">
      <alignment horizontal="center" vertical="center" textRotation="90" wrapText="1"/>
    </xf>
    <xf numFmtId="0" fontId="17" fillId="0" borderId="0" xfId="0" applyFont="1" applyBorder="1" applyAlignment="1">
      <alignment horizontal="center" vertical="center" wrapText="1"/>
    </xf>
    <xf numFmtId="0" fontId="17" fillId="0" borderId="2" xfId="0" applyFont="1" applyBorder="1" applyAlignment="1">
      <alignment horizontal="center" vertical="center" wrapText="1"/>
    </xf>
    <xf numFmtId="0" fontId="13" fillId="0" borderId="0" xfId="0" applyFont="1" applyBorder="1" applyAlignment="1">
      <alignment horizontal="center" vertical="center" wrapText="1"/>
    </xf>
    <xf numFmtId="0" fontId="13" fillId="0" borderId="2" xfId="0" applyFont="1" applyBorder="1" applyAlignment="1">
      <alignment horizontal="center" vertical="center" wrapText="1"/>
    </xf>
    <xf numFmtId="0" fontId="4" fillId="0" borderId="0" xfId="0" applyFont="1" applyAlignment="1">
      <alignment horizontal="center" vertical="center" wrapText="1"/>
    </xf>
    <xf numFmtId="0" fontId="0" fillId="0" borderId="1" xfId="0" applyFont="1" applyBorder="1" applyAlignment="1">
      <alignment horizontal="center" vertical="center" wrapText="1"/>
    </xf>
    <xf numFmtId="0" fontId="0" fillId="0" borderId="0" xfId="0" applyFont="1" applyBorder="1" applyAlignment="1">
      <alignment horizontal="center" vertical="center" wrapText="1"/>
    </xf>
    <xf numFmtId="0" fontId="0" fillId="0" borderId="2" xfId="0" applyFont="1" applyBorder="1" applyAlignment="1">
      <alignment horizontal="center" vertical="center" wrapText="1"/>
    </xf>
    <xf numFmtId="0" fontId="0" fillId="3" borderId="3" xfId="0" applyFill="1" applyBorder="1" applyAlignment="1">
      <alignment horizontal="center"/>
    </xf>
    <xf numFmtId="0" fontId="0" fillId="3" borderId="5" xfId="0" applyFill="1" applyBorder="1" applyAlignment="1">
      <alignment horizontal="center"/>
    </xf>
    <xf numFmtId="0" fontId="0" fillId="3" borderId="7" xfId="0" applyFill="1" applyBorder="1" applyAlignment="1">
      <alignment horizontal="center"/>
    </xf>
    <xf numFmtId="0" fontId="23"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2" fillId="0" borderId="8" xfId="0" applyFont="1" applyBorder="1" applyAlignment="1">
      <alignment horizontal="center" vertical="center" wrapText="1"/>
    </xf>
    <xf numFmtId="0" fontId="0" fillId="0" borderId="15" xfId="0" applyBorder="1" applyAlignment="1">
      <alignment horizontal="center"/>
    </xf>
    <xf numFmtId="0" fontId="0" fillId="0" borderId="37" xfId="0" applyBorder="1" applyAlignment="1">
      <alignment horizontal="center" vertical="top" wrapText="1"/>
    </xf>
    <xf numFmtId="0" fontId="0" fillId="0" borderId="42" xfId="0" applyBorder="1" applyAlignment="1">
      <alignment horizontal="center" vertical="top" wrapText="1"/>
    </xf>
    <xf numFmtId="0" fontId="0" fillId="0" borderId="44" xfId="0" applyBorder="1" applyAlignment="1">
      <alignment horizontal="center" vertical="top" wrapText="1"/>
    </xf>
    <xf numFmtId="0" fontId="0" fillId="0" borderId="45" xfId="0" applyBorder="1" applyAlignment="1">
      <alignment horizontal="center" vertical="top" wrapText="1"/>
    </xf>
    <xf numFmtId="0" fontId="0" fillId="0" borderId="36" xfId="0" applyBorder="1" applyAlignment="1">
      <alignment horizontal="center" vertical="top" wrapText="1"/>
    </xf>
    <xf numFmtId="0" fontId="0" fillId="0" borderId="47" xfId="0" applyBorder="1" applyAlignment="1">
      <alignment horizontal="center" vertical="top" wrapText="1"/>
    </xf>
    <xf numFmtId="0" fontId="1" fillId="0" borderId="37" xfId="0" applyFont="1" applyBorder="1" applyAlignment="1">
      <alignment horizontal="center" vertical="center" wrapText="1"/>
    </xf>
    <xf numFmtId="0" fontId="1" fillId="0" borderId="42" xfId="0" applyFont="1" applyBorder="1" applyAlignment="1">
      <alignment horizontal="center" vertical="center" wrapText="1"/>
    </xf>
    <xf numFmtId="0" fontId="0" fillId="0" borderId="37" xfId="0" applyBorder="1" applyAlignment="1">
      <alignment horizontal="center" vertical="center" wrapText="1"/>
    </xf>
    <xf numFmtId="0" fontId="0" fillId="0" borderId="42" xfId="0" applyBorder="1" applyAlignment="1">
      <alignment horizontal="center" vertical="center" wrapText="1"/>
    </xf>
    <xf numFmtId="0" fontId="0" fillId="0" borderId="39" xfId="0" applyBorder="1" applyAlignment="1">
      <alignment horizontal="center" vertical="center" wrapText="1"/>
    </xf>
    <xf numFmtId="0" fontId="0" fillId="0" borderId="38" xfId="0" applyBorder="1" applyAlignment="1">
      <alignment horizontal="center" vertical="center" wrapText="1"/>
    </xf>
    <xf numFmtId="0" fontId="29" fillId="0" borderId="39" xfId="0" applyFont="1" applyBorder="1" applyAlignment="1">
      <alignment horizontal="center" vertical="center" wrapText="1"/>
    </xf>
    <xf numFmtId="0" fontId="29" fillId="0" borderId="37" xfId="0" applyFont="1" applyBorder="1" applyAlignment="1">
      <alignment horizontal="center" vertical="center" wrapText="1"/>
    </xf>
    <xf numFmtId="0" fontId="0" fillId="0" borderId="37" xfId="0" applyBorder="1" applyAlignment="1">
      <alignment horizontal="center"/>
    </xf>
    <xf numFmtId="0" fontId="0" fillId="0" borderId="36" xfId="0" applyBorder="1" applyAlignment="1">
      <alignment horizontal="center"/>
    </xf>
    <xf numFmtId="0" fontId="0" fillId="0" borderId="42" xfId="0" applyBorder="1" applyAlignment="1">
      <alignment horizontal="center"/>
    </xf>
    <xf numFmtId="0" fontId="0" fillId="0" borderId="47" xfId="0" applyBorder="1" applyAlignment="1">
      <alignment horizontal="center"/>
    </xf>
    <xf numFmtId="0" fontId="0" fillId="0" borderId="44" xfId="0" applyBorder="1" applyAlignment="1">
      <alignment horizontal="center" vertical="center" wrapText="1"/>
    </xf>
    <xf numFmtId="0" fontId="0" fillId="0" borderId="45" xfId="0"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70AD47"/>
      <color rgb="FFFFC000"/>
      <color rgb="FF0000FF"/>
      <color rgb="FFCF45AB"/>
      <color rgb="FFD45AB4"/>
      <color rgb="FFFF2F83"/>
      <color rgb="FF1620E0"/>
      <color rgb="FF1119AF"/>
      <color rgb="FFFF0066"/>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5.xml"/><Relationship Id="rId13" Type="http://schemas.openxmlformats.org/officeDocument/2006/relationships/worksheet" Target="worksheets/sheet10.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4.xml"/><Relationship Id="rId12" Type="http://schemas.openxmlformats.org/officeDocument/2006/relationships/worksheet" Target="worksheets/sheet9.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hartsheet" Target="chartsheets/sheet3.xml"/><Relationship Id="rId11" Type="http://schemas.openxmlformats.org/officeDocument/2006/relationships/worksheet" Target="worksheets/sheet8.xml"/><Relationship Id="rId5" Type="http://schemas.openxmlformats.org/officeDocument/2006/relationships/chartsheet" Target="chartsheets/sheet2.xml"/><Relationship Id="rId15" Type="http://schemas.openxmlformats.org/officeDocument/2006/relationships/styles" Target="styles.xml"/><Relationship Id="rId10" Type="http://schemas.openxmlformats.org/officeDocument/2006/relationships/worksheet" Target="worksheets/sheet7.xml"/><Relationship Id="rId19" Type="http://schemas.openxmlformats.org/officeDocument/2006/relationships/customXml" Target="../customXml/item1.xml"/><Relationship Id="rId4" Type="http://schemas.openxmlformats.org/officeDocument/2006/relationships/chartsheet" Target="chartsheets/sheet1.xml"/><Relationship Id="rId9" Type="http://schemas.openxmlformats.org/officeDocument/2006/relationships/worksheet" Target="worksheets/sheet6.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mach</c:v>
          </c:tx>
          <c:spPr>
            <a:ln w="25400" cap="rnd">
              <a:noFill/>
              <a:round/>
            </a:ln>
            <a:effectLst/>
          </c:spPr>
          <c:marker>
            <c:symbol val="circle"/>
            <c:size val="5"/>
            <c:spPr>
              <a:solidFill>
                <a:schemeClr val="accent1"/>
              </a:solidFill>
              <a:ln w="9525">
                <a:solidFill>
                  <a:schemeClr val="accent1"/>
                </a:solidFill>
              </a:ln>
              <a:effectLst/>
            </c:spPr>
          </c:marker>
          <c:xVal>
            <c:numRef>
              <c:f>('Lab test'!$Q$225:$Q$228,'Lab test'!$Q$237:$Q$244)</c:f>
              <c:numCache>
                <c:formatCode>0.0</c:formatCode>
                <c:ptCount val="12"/>
                <c:pt idx="0">
                  <c:v>66.533599467731207</c:v>
                </c:pt>
                <c:pt idx="1">
                  <c:v>132.97872340425533</c:v>
                </c:pt>
                <c:pt idx="2">
                  <c:v>67.476383265856953</c:v>
                </c:pt>
                <c:pt idx="3">
                  <c:v>135.86956521739131</c:v>
                </c:pt>
                <c:pt idx="4">
                  <c:v>478.46889952153111</c:v>
                </c:pt>
                <c:pt idx="5">
                  <c:v>206.18556701030928</c:v>
                </c:pt>
                <c:pt idx="6">
                  <c:v>330.03300330032999</c:v>
                </c:pt>
                <c:pt idx="7">
                  <c:v>434.78260869565219</c:v>
                </c:pt>
                <c:pt idx="8">
                  <c:v>763.35877862595419</c:v>
                </c:pt>
                <c:pt idx="9">
                  <c:v>510.20408163265307</c:v>
                </c:pt>
                <c:pt idx="10">
                  <c:v>340.13605442176873</c:v>
                </c:pt>
                <c:pt idx="11">
                  <c:v>235.29411764705881</c:v>
                </c:pt>
              </c:numCache>
            </c:numRef>
          </c:xVal>
          <c:yVal>
            <c:numRef>
              <c:f>('Lab test'!$AV$225:$AV$228,'Lab test'!$AV$237:$AV$244)</c:f>
              <c:numCache>
                <c:formatCode>0.000000</c:formatCode>
                <c:ptCount val="12"/>
                <c:pt idx="0">
                  <c:v>1.8561872909698997E-3</c:v>
                </c:pt>
                <c:pt idx="1">
                  <c:v>1.3511705685618728E-3</c:v>
                </c:pt>
                <c:pt idx="2">
                  <c:v>1.7591973244147159E-3</c:v>
                </c:pt>
                <c:pt idx="3">
                  <c:v>1.4615384615384616E-3</c:v>
                </c:pt>
                <c:pt idx="4">
                  <c:v>5.0689655172413801E-4</c:v>
                </c:pt>
                <c:pt idx="5">
                  <c:v>1.0827586206896553E-3</c:v>
                </c:pt>
                <c:pt idx="6">
                  <c:v>7.9310344827586215E-4</c:v>
                </c:pt>
                <c:pt idx="7">
                  <c:v>7.6206896551724143E-4</c:v>
                </c:pt>
                <c:pt idx="8">
                  <c:v>2.7620689655172417E-4</c:v>
                </c:pt>
                <c:pt idx="9">
                  <c:v>5.7206896551724137E-4</c:v>
                </c:pt>
                <c:pt idx="10">
                  <c:v>7.517241379310346E-4</c:v>
                </c:pt>
                <c:pt idx="11">
                  <c:v>1.0448275862068967E-3</c:v>
                </c:pt>
              </c:numCache>
            </c:numRef>
          </c:yVal>
          <c:smooth val="0"/>
          <c:extLst>
            <c:ext xmlns:c16="http://schemas.microsoft.com/office/drawing/2014/chart" uri="{C3380CC4-5D6E-409C-BE32-E72D297353CC}">
              <c16:uniqueId val="{00000000-B07D-8C4F-9ABA-F03080C90725}"/>
            </c:ext>
          </c:extLst>
        </c:ser>
        <c:ser>
          <c:idx val="1"/>
          <c:order val="1"/>
          <c:tx>
            <c:v>fab</c:v>
          </c:tx>
          <c:spPr>
            <a:ln w="25400" cap="rnd">
              <a:noFill/>
              <a:round/>
            </a:ln>
            <a:effectLst/>
          </c:spPr>
          <c:marker>
            <c:symbol val="circle"/>
            <c:size val="5"/>
            <c:spPr>
              <a:solidFill>
                <a:schemeClr val="accent2"/>
              </a:solidFill>
              <a:ln w="9525">
                <a:solidFill>
                  <a:schemeClr val="accent2"/>
                </a:solidFill>
              </a:ln>
              <a:effectLst/>
            </c:spPr>
          </c:marker>
          <c:xVal>
            <c:numRef>
              <c:f>'Lab test'!$Q$245:$Q$265</c:f>
              <c:numCache>
                <c:formatCode>0.0</c:formatCode>
                <c:ptCount val="21"/>
                <c:pt idx="0">
                  <c:v>167.22408026755852</c:v>
                </c:pt>
                <c:pt idx="1">
                  <c:v>172.11703958691911</c:v>
                </c:pt>
                <c:pt idx="2">
                  <c:v>165.28925619834712</c:v>
                </c:pt>
                <c:pt idx="3">
                  <c:v>167.22408026755852</c:v>
                </c:pt>
                <c:pt idx="4">
                  <c:v>138.88888888888889</c:v>
                </c:pt>
                <c:pt idx="5">
                  <c:v>151.05740181268882</c:v>
                </c:pt>
                <c:pt idx="6">
                  <c:v>141.84397163120568</c:v>
                </c:pt>
                <c:pt idx="7">
                  <c:v>142.24751066856331</c:v>
                </c:pt>
                <c:pt idx="8">
                  <c:v>166.11295681063123</c:v>
                </c:pt>
                <c:pt idx="9">
                  <c:v>168.0672268907563</c:v>
                </c:pt>
                <c:pt idx="10">
                  <c:v>328.9473684210526</c:v>
                </c:pt>
                <c:pt idx="11">
                  <c:v>518.13471502590676</c:v>
                </c:pt>
                <c:pt idx="12">
                  <c:v>450.45045045045043</c:v>
                </c:pt>
                <c:pt idx="13">
                  <c:v>150.15015015015015</c:v>
                </c:pt>
                <c:pt idx="14">
                  <c:v>145.34883720930233</c:v>
                </c:pt>
                <c:pt idx="15">
                  <c:v>666.66666666666663</c:v>
                </c:pt>
                <c:pt idx="16">
                  <c:v>653.59477124183013</c:v>
                </c:pt>
                <c:pt idx="17">
                  <c:v>826.44628099173553</c:v>
                </c:pt>
                <c:pt idx="18">
                  <c:v>847.45762711864404</c:v>
                </c:pt>
                <c:pt idx="19">
                  <c:v>970.87378640776694</c:v>
                </c:pt>
                <c:pt idx="20">
                  <c:v>990.09900990099004</c:v>
                </c:pt>
              </c:numCache>
            </c:numRef>
          </c:xVal>
          <c:yVal>
            <c:numRef>
              <c:f>'Lab test'!$AV$245:$AV$265</c:f>
              <c:numCache>
                <c:formatCode>0.000000</c:formatCode>
                <c:ptCount val="21"/>
                <c:pt idx="0">
                  <c:v>8.3264604810996548E-4</c:v>
                </c:pt>
                <c:pt idx="1">
                  <c:v>8.2622377622377618E-4</c:v>
                </c:pt>
                <c:pt idx="2">
                  <c:v>8.8148148148148135E-4</c:v>
                </c:pt>
                <c:pt idx="3">
                  <c:v>9.4655172413793105E-4</c:v>
                </c:pt>
                <c:pt idx="4">
                  <c:v>6.8027210884353737E-4</c:v>
                </c:pt>
                <c:pt idx="5">
                  <c:v>7.8723404255319148E-4</c:v>
                </c:pt>
                <c:pt idx="6">
                  <c:v>8.0836236933797901E-4</c:v>
                </c:pt>
                <c:pt idx="7">
                  <c:v>7.8187919463087248E-4</c:v>
                </c:pt>
                <c:pt idx="8">
                  <c:v>3.6236933797909407E-4</c:v>
                </c:pt>
                <c:pt idx="9">
                  <c:v>4.9169435215946846E-4</c:v>
                </c:pt>
                <c:pt idx="10">
                  <c:v>3.009966777408638E-4</c:v>
                </c:pt>
                <c:pt idx="11">
                  <c:v>2.986666666666667E-4</c:v>
                </c:pt>
                <c:pt idx="12">
                  <c:v>3.3866666666666669E-4</c:v>
                </c:pt>
                <c:pt idx="13">
                  <c:v>8.9368770764119607E-4</c:v>
                </c:pt>
                <c:pt idx="14">
                  <c:v>9.4501718213058409E-4</c:v>
                </c:pt>
                <c:pt idx="15">
                  <c:v>1.9096989966555184E-4</c:v>
                </c:pt>
                <c:pt idx="16">
                  <c:v>1.9197324414715718E-4</c:v>
                </c:pt>
                <c:pt idx="17">
                  <c:v>1.4766666666666666E-4</c:v>
                </c:pt>
                <c:pt idx="18">
                  <c:v>1.4266666666666667E-4</c:v>
                </c:pt>
                <c:pt idx="19">
                  <c:v>1.3866666666666666E-4</c:v>
                </c:pt>
                <c:pt idx="20">
                  <c:v>1.2900000000000002E-4</c:v>
                </c:pt>
              </c:numCache>
            </c:numRef>
          </c:yVal>
          <c:smooth val="0"/>
          <c:extLst>
            <c:ext xmlns:c16="http://schemas.microsoft.com/office/drawing/2014/chart" uri="{C3380CC4-5D6E-409C-BE32-E72D297353CC}">
              <c16:uniqueId val="{00000002-B07D-8C4F-9ABA-F03080C90725}"/>
            </c:ext>
          </c:extLst>
        </c:ser>
        <c:dLbls>
          <c:showLegendKey val="0"/>
          <c:showVal val="0"/>
          <c:showCatName val="0"/>
          <c:showSerName val="0"/>
          <c:showPercent val="0"/>
          <c:showBubbleSize val="0"/>
        </c:dLbls>
        <c:axId val="1926071039"/>
        <c:axId val="1926364767"/>
      </c:scatterChart>
      <c:valAx>
        <c:axId val="1926071039"/>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364767"/>
        <c:crosses val="autoZero"/>
        <c:crossBetween val="midCat"/>
      </c:valAx>
      <c:valAx>
        <c:axId val="1926364767"/>
        <c:scaling>
          <c:orientation val="minMax"/>
        </c:scaling>
        <c:delete val="0"/>
        <c:axPos val="l"/>
        <c:majorGridlines>
          <c:spPr>
            <a:ln w="9525" cap="flat" cmpd="sng" algn="ctr">
              <a:solidFill>
                <a:schemeClr val="tx1">
                  <a:lumMod val="15000"/>
                  <a:lumOff val="85000"/>
                </a:schemeClr>
              </a:solidFill>
              <a:round/>
            </a:ln>
            <a:effectLst/>
          </c:spPr>
        </c:majorGridlines>
        <c:numFmt formatCode="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07103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2053840063"/>
        <c:axId val="2053843391"/>
      </c:barChart>
      <c:catAx>
        <c:axId val="2053840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43391"/>
        <c:crosses val="autoZero"/>
        <c:auto val="1"/>
        <c:lblAlgn val="ctr"/>
        <c:lblOffset val="100"/>
        <c:noMultiLvlLbl val="0"/>
      </c:catAx>
      <c:valAx>
        <c:axId val="2053843391"/>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40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6184527228252"/>
          <c:y val="3.5662211756561861E-2"/>
          <c:w val="0.83218166564642315"/>
          <c:h val="0.802988098374118"/>
        </c:manualLayout>
      </c:layout>
      <c:scatterChart>
        <c:scatterStyle val="lineMarker"/>
        <c:varyColors val="0"/>
        <c:ser>
          <c:idx val="7"/>
          <c:order val="0"/>
          <c:tx>
            <c:v>Theoretical solution</c:v>
          </c:tx>
          <c:spPr>
            <a:ln w="19050" cap="rnd">
              <a:solidFill>
                <a:schemeClr val="tx1"/>
              </a:solidFill>
              <a:prstDash val="dash"/>
              <a:round/>
            </a:ln>
            <a:effectLst/>
          </c:spPr>
          <c:marker>
            <c:symbol val="none"/>
          </c:marker>
          <c:xVal>
            <c:numRef>
              <c:f>'Figure 1 Data'!$AE$15:$AE$45</c:f>
              <c:numCache>
                <c:formatCode>General</c:formatCode>
                <c:ptCount val="3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numCache>
            </c:numRef>
          </c:xVal>
          <c:yVal>
            <c:numRef>
              <c:f>'Figure 1 Data'!$AF$15:$AF$45</c:f>
              <c:numCache>
                <c:formatCode>General</c:formatCode>
                <c:ptCount val="31"/>
                <c:pt idx="0">
                  <c:v>1</c:v>
                </c:pt>
                <c:pt idx="1">
                  <c:v>1</c:v>
                </c:pt>
                <c:pt idx="2">
                  <c:v>1</c:v>
                </c:pt>
                <c:pt idx="3">
                  <c:v>1</c:v>
                </c:pt>
                <c:pt idx="4">
                  <c:v>1</c:v>
                </c:pt>
                <c:pt idx="5">
                  <c:v>1</c:v>
                </c:pt>
                <c:pt idx="6">
                  <c:v>1</c:v>
                </c:pt>
                <c:pt idx="7">
                  <c:v>1</c:v>
                </c:pt>
                <c:pt idx="8">
                  <c:v>1</c:v>
                </c:pt>
                <c:pt idx="9">
                  <c:v>1</c:v>
                </c:pt>
                <c:pt idx="10">
                  <c:v>1</c:v>
                </c:pt>
                <c:pt idx="11">
                  <c:v>0.82644628099173545</c:v>
                </c:pt>
                <c:pt idx="12">
                  <c:v>0.69444444444444442</c:v>
                </c:pt>
                <c:pt idx="13">
                  <c:v>0.59171597633136086</c:v>
                </c:pt>
                <c:pt idx="14">
                  <c:v>0.51020408163265318</c:v>
                </c:pt>
                <c:pt idx="15">
                  <c:v>0.44444444444444442</c:v>
                </c:pt>
                <c:pt idx="16">
                  <c:v>0.39062499999999994</c:v>
                </c:pt>
                <c:pt idx="17">
                  <c:v>0.34602076124567477</c:v>
                </c:pt>
                <c:pt idx="18">
                  <c:v>0.30864197530864196</c:v>
                </c:pt>
                <c:pt idx="19">
                  <c:v>0.2770083102493075</c:v>
                </c:pt>
                <c:pt idx="20">
                  <c:v>0.25</c:v>
                </c:pt>
                <c:pt idx="21">
                  <c:v>0.22675736961451246</c:v>
                </c:pt>
                <c:pt idx="22">
                  <c:v>0.20661157024793386</c:v>
                </c:pt>
                <c:pt idx="23">
                  <c:v>0.18903591682419663</c:v>
                </c:pt>
                <c:pt idx="24">
                  <c:v>0.1736111111111111</c:v>
                </c:pt>
                <c:pt idx="25">
                  <c:v>0.16</c:v>
                </c:pt>
                <c:pt idx="26">
                  <c:v>0.14792899408284022</c:v>
                </c:pt>
                <c:pt idx="27">
                  <c:v>0.1371742112482853</c:v>
                </c:pt>
                <c:pt idx="28">
                  <c:v>0.1275510204081633</c:v>
                </c:pt>
                <c:pt idx="29">
                  <c:v>0.11890606420927467</c:v>
                </c:pt>
                <c:pt idx="30">
                  <c:v>0.1111111111111111</c:v>
                </c:pt>
              </c:numCache>
            </c:numRef>
          </c:yVal>
          <c:smooth val="0"/>
          <c:extLst>
            <c:ext xmlns:c16="http://schemas.microsoft.com/office/drawing/2014/chart" uri="{C3380CC4-5D6E-409C-BE32-E72D297353CC}">
              <c16:uniqueId val="{00000000-18B5-4E2D-A7E0-A998C542E5FB}"/>
            </c:ext>
          </c:extLst>
        </c:ser>
        <c:ser>
          <c:idx val="4"/>
          <c:order val="1"/>
          <c:tx>
            <c:v>Circular hollow section</c:v>
          </c:tx>
          <c:spPr>
            <a:ln w="25400" cap="rnd">
              <a:noFill/>
              <a:round/>
            </a:ln>
            <a:effectLst/>
          </c:spPr>
          <c:marker>
            <c:symbol val="triangle"/>
            <c:size val="5"/>
            <c:spPr>
              <a:solidFill>
                <a:schemeClr val="accent4"/>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Data'!$S$15:$S$684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1.2807080054902387</c:v>
                </c:pt>
                <c:pt idx="31">
                  <c:v>1.310877485246057</c:v>
                </c:pt>
                <c:pt idx="32">
                  <c:v>1.3383591935321377</c:v>
                </c:pt>
                <c:pt idx="33">
                  <c:v>1.1507039699495796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1.1111413228196587</c:v>
                </c:pt>
                <c:pt idx="281">
                  <c:v>1.1230610952833175</c:v>
                </c:pt>
                <c:pt idx="282">
                  <c:v>1.1800406797454237</c:v>
                </c:pt>
                <c:pt idx="283">
                  <c:v>1.143095430651031</c:v>
                </c:pt>
                <c:pt idx="284">
                  <c:v>1.1419999999999999</c:v>
                </c:pt>
                <c:pt idx="285">
                  <c:v>1.1741194104421684</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1.5874861716202324</c:v>
                </c:pt>
                <c:pt idx="303">
                  <c:v>1.5869004051105828</c:v>
                </c:pt>
                <c:pt idx="304">
                  <c:v>1.3020624788107931</c:v>
                </c:pt>
                <c:pt idx="305">
                  <c:v>1.1250588124005259</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1.3702623906705538</c:v>
                </c:pt>
                <c:pt idx="504">
                  <c:v>1.296774193548387</c:v>
                </c:pt>
                <c:pt idx="505">
                  <c:v>1.1559633027522933</c:v>
                </c:pt>
                <c:pt idx="506">
                  <c:v>1.546938775510204</c:v>
                </c:pt>
                <c:pt idx="507">
                  <c:v>1.221518987341772</c:v>
                </c:pt>
                <c:pt idx="508">
                  <c:v>1.4732547597461469</c:v>
                </c:pt>
                <c:pt idx="509">
                  <c:v>1.5882352941176472</c:v>
                </c:pt>
                <c:pt idx="510">
                  <c:v>1.5214723926380367</c:v>
                </c:pt>
                <c:pt idx="511">
                  <c:v>1.2041884816753927</c:v>
                </c:pt>
                <c:pt idx="512">
                  <c:v>1.3179190751445087</c:v>
                </c:pt>
                <c:pt idx="513">
                  <c:v>1.3134328358208955</c:v>
                </c:pt>
                <c:pt idx="514">
                  <c:v>1.0780487804878049</c:v>
                </c:pt>
                <c:pt idx="515">
                  <c:v>1.1219512195121952</c:v>
                </c:pt>
                <c:pt idx="516">
                  <c:v>1.240223463687151</c:v>
                </c:pt>
                <c:pt idx="517">
                  <c:v>1.2529999999999999</c:v>
                </c:pt>
                <c:pt idx="518">
                  <c:v>1.2569999999999999</c:v>
                </c:pt>
                <c:pt idx="519">
                  <c:v>1.135</c:v>
                </c:pt>
                <c:pt idx="520">
                  <c:v>1.127</c:v>
                </c:pt>
                <c:pt idx="521">
                  <c:v>1.1080000000000001</c:v>
                </c:pt>
                <c:pt idx="522">
                  <c:v>1.115</c:v>
                </c:pt>
                <c:pt idx="523">
                  <c:v>1.1100000000000001</c:v>
                </c:pt>
                <c:pt idx="524">
                  <c:v>1.052</c:v>
                </c:pt>
                <c:pt idx="525">
                  <c:v>1.0760000000000001</c:v>
                </c:pt>
                <c:pt idx="526">
                  <c:v>1.069</c:v>
                </c:pt>
                <c:pt idx="527">
                  <c:v>1.0189999999999999</c:v>
                </c:pt>
                <c:pt idx="528">
                  <c:v>1.018</c:v>
                </c:pt>
                <c:pt idx="529">
                  <c:v>0.94499999999999995</c:v>
                </c:pt>
                <c:pt idx="530">
                  <c:v>0.95899999999999996</c:v>
                </c:pt>
                <c:pt idx="531">
                  <c:v>0.94599999999999995</c:v>
                </c:pt>
                <c:pt idx="532">
                  <c:v>0.91700000000000004</c:v>
                </c:pt>
                <c:pt idx="533">
                  <c:v>1.2390000000000001</c:v>
                </c:pt>
                <c:pt idx="534">
                  <c:v>1.234</c:v>
                </c:pt>
                <c:pt idx="535">
                  <c:v>1.056</c:v>
                </c:pt>
                <c:pt idx="536">
                  <c:v>1.054</c:v>
                </c:pt>
                <c:pt idx="537">
                  <c:v>1.1319999999999999</c:v>
                </c:pt>
                <c:pt idx="538">
                  <c:v>1.1319999999999999</c:v>
                </c:pt>
                <c:pt idx="539">
                  <c:v>1.756</c:v>
                </c:pt>
                <c:pt idx="540">
                  <c:v>1.6830000000000001</c:v>
                </c:pt>
                <c:pt idx="541">
                  <c:v>1.494</c:v>
                </c:pt>
                <c:pt idx="542">
                  <c:v>1.4159999999999999</c:v>
                </c:pt>
                <c:pt idx="543">
                  <c:v>1.423</c:v>
                </c:pt>
                <c:pt idx="544">
                  <c:v>1.3240000000000001</c:v>
                </c:pt>
                <c:pt idx="545">
                  <c:v>1.431</c:v>
                </c:pt>
                <c:pt idx="546">
                  <c:v>1.35</c:v>
                </c:pt>
                <c:pt idx="547">
                  <c:v>1.413</c:v>
                </c:pt>
                <c:pt idx="548">
                  <c:v>1.3280000000000001</c:v>
                </c:pt>
                <c:pt idx="549">
                  <c:v>1.3280000000000001</c:v>
                </c:pt>
                <c:pt idx="550">
                  <c:v>1.254</c:v>
                </c:pt>
                <c:pt idx="551">
                  <c:v>1.2330000000000001</c:v>
                </c:pt>
                <c:pt idx="552">
                  <c:v>1.198</c:v>
                </c:pt>
                <c:pt idx="553">
                  <c:v>1.2110000000000001</c:v>
                </c:pt>
                <c:pt idx="554">
                  <c:v>1.1779999999999999</c:v>
                </c:pt>
                <c:pt idx="555">
                  <c:v>1.175</c:v>
                </c:pt>
                <c:pt idx="556">
                  <c:v>1.1850000000000001</c:v>
                </c:pt>
                <c:pt idx="557">
                  <c:v>1.1950000000000001</c:v>
                </c:pt>
                <c:pt idx="558">
                  <c:v>1.1850000000000001</c:v>
                </c:pt>
                <c:pt idx="559">
                  <c:v>1.1719999999999999</c:v>
                </c:pt>
                <c:pt idx="560">
                  <c:v>1.145</c:v>
                </c:pt>
                <c:pt idx="561">
                  <c:v>1.141</c:v>
                </c:pt>
                <c:pt idx="562">
                  <c:v>1.038</c:v>
                </c:pt>
                <c:pt idx="563">
                  <c:v>1.081</c:v>
                </c:pt>
                <c:pt idx="564">
                  <c:v>1.109</c:v>
                </c:pt>
                <c:pt idx="565">
                  <c:v>0.99399999999999999</c:v>
                </c:pt>
                <c:pt idx="566">
                  <c:v>0.995</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1-18B5-4E2D-A7E0-A998C542E5FB}"/>
            </c:ext>
          </c:extLst>
        </c:ser>
        <c:ser>
          <c:idx val="5"/>
          <c:order val="2"/>
          <c:tx>
            <c:v>Circumferentially and longitudinally welded</c:v>
          </c:tx>
          <c:spPr>
            <a:ln w="25400" cap="rnd">
              <a:noFill/>
              <a:round/>
            </a:ln>
            <a:effectLst/>
          </c:spPr>
          <c:marker>
            <c:symbol val="star"/>
            <c:size val="4"/>
            <c:spPr>
              <a:noFill/>
              <a:ln w="9525">
                <a:solidFill>
                  <a:srgbClr val="D45AB4"/>
                </a:solidFill>
              </a:ln>
              <a:effectLst/>
            </c:spPr>
          </c:marker>
          <c:dPt>
            <c:idx val="381"/>
            <c:marker>
              <c:symbol val="star"/>
              <c:size val="4"/>
              <c:spPr>
                <a:noFill/>
                <a:ln w="9525">
                  <a:solidFill>
                    <a:srgbClr val="CF45AB"/>
                  </a:solidFill>
                </a:ln>
                <a:effectLst/>
              </c:spPr>
            </c:marker>
            <c:bubble3D val="0"/>
            <c:extLst>
              <c:ext xmlns:c16="http://schemas.microsoft.com/office/drawing/2014/chart" uri="{C3380CC4-5D6E-409C-BE32-E72D297353CC}">
                <c16:uniqueId val="{00000002-18B5-4E2D-A7E0-A998C542E5FB}"/>
              </c:ext>
            </c:extLst>
          </c:dPt>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Data'!$T$15:$T$684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0.68128778293265846</c:v>
                </c:pt>
                <c:pt idx="242">
                  <c:v>0.65484273243730073</c:v>
                </c:pt>
                <c:pt idx="243">
                  <c:v>0.69217143008222515</c:v>
                </c:pt>
                <c:pt idx="244">
                  <c:v>0.7605985037406483</c:v>
                </c:pt>
                <c:pt idx="245">
                  <c:v>0.6097560975609756</c:v>
                </c:pt>
                <c:pt idx="246">
                  <c:v>0.68518518518518523</c:v>
                </c:pt>
                <c:pt idx="247">
                  <c:v>0.5138427464008859</c:v>
                </c:pt>
                <c:pt idx="248">
                  <c:v>0.61154855643044614</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0.75421052631578955</c:v>
                </c:pt>
                <c:pt idx="299">
                  <c:v>#N/A</c:v>
                </c:pt>
                <c:pt idx="300">
                  <c:v>0.58684210526315794</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0.85632181033735433</c:v>
                </c:pt>
                <c:pt idx="315">
                  <c:v>0.72647071495514282</c:v>
                </c:pt>
                <c:pt idx="316">
                  <c:v>0.72307718054039571</c:v>
                </c:pt>
                <c:pt idx="317">
                  <c:v>0.70263144234674091</c:v>
                </c:pt>
                <c:pt idx="318">
                  <c:v>0.53499996192759491</c:v>
                </c:pt>
                <c:pt idx="319">
                  <c:v>0.54499995104976495</c:v>
                </c:pt>
                <c:pt idx="320">
                  <c:v>0.97101473037061137</c:v>
                </c:pt>
                <c:pt idx="321">
                  <c:v>0.9088237138456039</c:v>
                </c:pt>
                <c:pt idx="322">
                  <c:v>0.77187509348136851</c:v>
                </c:pt>
                <c:pt idx="323">
                  <c:v>0.72941199556184444</c:v>
                </c:pt>
                <c:pt idx="324">
                  <c:v>1.0859375920649841</c:v>
                </c:pt>
                <c:pt idx="325">
                  <c:v>1.1243076121164086</c:v>
                </c:pt>
                <c:pt idx="326">
                  <c:v>0.95593752861096426</c:v>
                </c:pt>
                <c:pt idx="327">
                  <c:v>0.95484843557028409</c:v>
                </c:pt>
                <c:pt idx="328">
                  <c:v>0.72765425298947806</c:v>
                </c:pt>
                <c:pt idx="329">
                  <c:v>0.79898979022269889</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0.9667307232158302</c:v>
                </c:pt>
                <c:pt idx="376">
                  <c:v>0.97297777150801645</c:v>
                </c:pt>
                <c:pt idx="377">
                  <c:v>0.77982887538641377</c:v>
                </c:pt>
                <c:pt idx="378">
                  <c:v>0.7887608360736591</c:v>
                </c:pt>
                <c:pt idx="379">
                  <c:v>0.98341477620702389</c:v>
                </c:pt>
                <c:pt idx="380">
                  <c:v>0.94858117751894955</c:v>
                </c:pt>
                <c:pt idx="381">
                  <c:v>0.75990373231486663</c:v>
                </c:pt>
                <c:pt idx="382">
                  <c:v>0.92417270672531104</c:v>
                </c:pt>
                <c:pt idx="383">
                  <c:v>0.96495988948486533</c:v>
                </c:pt>
                <c:pt idx="384">
                  <c:v>0.94442882800646388</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3-18B5-4E2D-A7E0-A998C542E5FB}"/>
            </c:ext>
          </c:extLst>
        </c:ser>
        <c:ser>
          <c:idx val="2"/>
          <c:order val="3"/>
          <c:tx>
            <c:v>Machined</c:v>
          </c:tx>
          <c:spPr>
            <a:ln w="25400" cap="rnd">
              <a:noFill/>
              <a:round/>
            </a:ln>
            <a:effectLst/>
          </c:spPr>
          <c:marker>
            <c:symbol val="triangle"/>
            <c:size val="5"/>
            <c:spPr>
              <a:solidFill>
                <a:srgbClr val="0000FF"/>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Data'!$R$15:$R$684</c:f>
              <c:numCache>
                <c:formatCode>General</c:formatCode>
                <c:ptCount val="670"/>
                <c:pt idx="0">
                  <c:v>1.0371782312925171</c:v>
                </c:pt>
                <c:pt idx="1">
                  <c:v>1.0106292902066485</c:v>
                </c:pt>
                <c:pt idx="2">
                  <c:v>1.0292135541008856</c:v>
                </c:pt>
                <c:pt idx="3">
                  <c:v>1.0548774996791168</c:v>
                </c:pt>
                <c:pt idx="4">
                  <c:v>1.0283285842638943</c:v>
                </c:pt>
                <c:pt idx="5">
                  <c:v>1.0300984982672314</c:v>
                </c:pt>
                <c:pt idx="6">
                  <c:v>1.0300984982672314</c:v>
                </c:pt>
                <c:pt idx="7">
                  <c:v>1.0543465280451803</c:v>
                </c:pt>
                <c:pt idx="8">
                  <c:v>1.040010114234373</c:v>
                </c:pt>
                <c:pt idx="9">
                  <c:v>#N/A</c:v>
                </c:pt>
                <c:pt idx="10">
                  <c:v>0.5846074444872289</c:v>
                </c:pt>
                <c:pt idx="11">
                  <c:v>0.56230635348479008</c:v>
                </c:pt>
                <c:pt idx="12">
                  <c:v>0.63009462199974331</c:v>
                </c:pt>
                <c:pt idx="13">
                  <c:v>0.5877933256321396</c:v>
                </c:pt>
                <c:pt idx="14">
                  <c:v>1.2324013605442177</c:v>
                </c:pt>
                <c:pt idx="15">
                  <c:v>1.1347012963676038</c:v>
                </c:pt>
                <c:pt idx="16">
                  <c:v>1.0899220895905533</c:v>
                </c:pt>
                <c:pt idx="17">
                  <c:v>0.98213343601591574</c:v>
                </c:pt>
                <c:pt idx="18">
                  <c:v>0.90938937235271466</c:v>
                </c:pt>
                <c:pt idx="19">
                  <c:v>0.777883660634065</c:v>
                </c:pt>
                <c:pt idx="20">
                  <c:v>1.2389500962649211</c:v>
                </c:pt>
                <c:pt idx="21">
                  <c:v>1.2269145937620329</c:v>
                </c:pt>
                <c:pt idx="22">
                  <c:v>1.236118213323065</c:v>
                </c:pt>
                <c:pt idx="23">
                  <c:v>#N/A</c:v>
                </c:pt>
                <c:pt idx="24">
                  <c:v>1.1290375304838918</c:v>
                </c:pt>
                <c:pt idx="25">
                  <c:v>1.0881521755872159</c:v>
                </c:pt>
                <c:pt idx="26">
                  <c:v>0.9447879347965602</c:v>
                </c:pt>
                <c:pt idx="27">
                  <c:v>0.89629190091130784</c:v>
                </c:pt>
                <c:pt idx="28">
                  <c:v>0.77328186368887175</c:v>
                </c:pt>
                <c:pt idx="29">
                  <c:v>1.2253216531895776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0.87343532684283731</c:v>
                </c:pt>
                <c:pt idx="209">
                  <c:v>1.0598052851182198</c:v>
                </c:pt>
                <c:pt idx="210">
                  <c:v>1.0681502086230876</c:v>
                </c:pt>
                <c:pt idx="211">
                  <c:v>1.1112656467315716</c:v>
                </c:pt>
                <c:pt idx="212">
                  <c:v>1.023643949930459</c:v>
                </c:pt>
                <c:pt idx="213">
                  <c:v>1.1321279554937416</c:v>
                </c:pt>
                <c:pt idx="214">
                  <c:v>1.1126564673157162</c:v>
                </c:pt>
                <c:pt idx="215">
                  <c:v>1.1293463143254521</c:v>
                </c:pt>
                <c:pt idx="216">
                  <c:v>1.0555555555555556</c:v>
                </c:pt>
                <c:pt idx="217">
                  <c:v>1.1431623931623933</c:v>
                </c:pt>
                <c:pt idx="218">
                  <c:v>0.99145299145299148</c:v>
                </c:pt>
                <c:pt idx="219">
                  <c:v>1.0256410256410258</c:v>
                </c:pt>
                <c:pt idx="220">
                  <c:v>1.0811965811965811</c:v>
                </c:pt>
                <c:pt idx="221">
                  <c:v>1.1858974358974359</c:v>
                </c:pt>
                <c:pt idx="222">
                  <c:v>0.86324786324786329</c:v>
                </c:pt>
                <c:pt idx="223">
                  <c:v>1.1239316239316239</c:v>
                </c:pt>
                <c:pt idx="224">
                  <c:v>0.93376068376068388</c:v>
                </c:pt>
                <c:pt idx="225">
                  <c:v>1.1794871794871795</c:v>
                </c:pt>
                <c:pt idx="226">
                  <c:v>0.97222222222222221</c:v>
                </c:pt>
                <c:pt idx="227">
                  <c:v>0.76923076923076927</c:v>
                </c:pt>
                <c:pt idx="228">
                  <c:v>1.1538461538461537</c:v>
                </c:pt>
                <c:pt idx="229">
                  <c:v>1.0961538461538463</c:v>
                </c:pt>
                <c:pt idx="230">
                  <c:v>1.1239316239316239</c:v>
                </c:pt>
                <c:pt idx="231">
                  <c:v>1.0811965811965811</c:v>
                </c:pt>
                <c:pt idx="232">
                  <c:v>0.84615384615384615</c:v>
                </c:pt>
                <c:pt idx="233">
                  <c:v>0.34265734265734266</c:v>
                </c:pt>
                <c:pt idx="234">
                  <c:v>0.73193473193473202</c:v>
                </c:pt>
                <c:pt idx="235">
                  <c:v>0.53613053613053618</c:v>
                </c:pt>
                <c:pt idx="236">
                  <c:v>0.51515151515151514</c:v>
                </c:pt>
                <c:pt idx="237">
                  <c:v>0.18671328671328674</c:v>
                </c:pt>
                <c:pt idx="238">
                  <c:v>0.3867132867132867</c:v>
                </c:pt>
                <c:pt idx="239">
                  <c:v>0.50815850815850827</c:v>
                </c:pt>
                <c:pt idx="240">
                  <c:v>0.70629370629370636</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0.87058823529411766</c:v>
                </c:pt>
                <c:pt idx="499">
                  <c:v>0.91176470588235292</c:v>
                </c:pt>
                <c:pt idx="500">
                  <c:v>0.90352941176470591</c:v>
                </c:pt>
                <c:pt idx="501">
                  <c:v>0.88823529411764701</c:v>
                </c:pt>
                <c:pt idx="502">
                  <c:v>0.8529411764705882</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0.65910423448974254</c:v>
                </c:pt>
                <c:pt idx="629">
                  <c:v>0.73164020018185083</c:v>
                </c:pt>
                <c:pt idx="630">
                  <c:v>0.74197367799895397</c:v>
                </c:pt>
                <c:pt idx="631">
                  <c:v>0.59943327954300518</c:v>
                </c:pt>
                <c:pt idx="632">
                  <c:v>0.47452014010224142</c:v>
                </c:pt>
                <c:pt idx="633">
                  <c:v>0.41147872227061655</c:v>
                </c:pt>
                <c:pt idx="634">
                  <c:v>0.43648770803450215</c:v>
                </c:pt>
                <c:pt idx="635">
                  <c:v>0.42205831742746502</c:v>
                </c:pt>
                <c:pt idx="636">
                  <c:v>0.13837693892294989</c:v>
                </c:pt>
                <c:pt idx="637">
                  <c:v>7.4429044293290128E-2</c:v>
                </c:pt>
                <c:pt idx="638">
                  <c:v>4.648752281897358E-2</c:v>
                </c:pt>
                <c:pt idx="639">
                  <c:v>1.1842241731176193</c:v>
                </c:pt>
                <c:pt idx="640">
                  <c:v>1.163077312883376</c:v>
                </c:pt>
                <c:pt idx="641">
                  <c:v>1.1654269640205142</c:v>
                </c:pt>
                <c:pt idx="642">
                  <c:v>1.1202160333442182</c:v>
                </c:pt>
                <c:pt idx="643">
                  <c:v>1.1227301564840846</c:v>
                </c:pt>
                <c:pt idx="644">
                  <c:v>0.96771139078826063</c:v>
                </c:pt>
                <c:pt idx="645">
                  <c:v>1.1176821705798701</c:v>
                </c:pt>
                <c:pt idx="646">
                  <c:v>0.96413522634375726</c:v>
                </c:pt>
                <c:pt idx="647">
                  <c:v>1.305863045228943</c:v>
                </c:pt>
                <c:pt idx="648">
                  <c:v>1.082152328475152</c:v>
                </c:pt>
                <c:pt idx="649">
                  <c:v>1.039820577489436</c:v>
                </c:pt>
                <c:pt idx="650">
                  <c:v>0.93907398472989767</c:v>
                </c:pt>
                <c:pt idx="651">
                  <c:v>0.83406953996785571</c:v>
                </c:pt>
                <c:pt idx="652">
                  <c:v>0.76843352990906788</c:v>
                </c:pt>
                <c:pt idx="653">
                  <c:v>1.2109756097560975</c:v>
                </c:pt>
                <c:pt idx="654">
                  <c:v>1.0219512195121949</c:v>
                </c:pt>
                <c:pt idx="655">
                  <c:v>0.97926829268292681</c:v>
                </c:pt>
                <c:pt idx="656">
                  <c:v>0.89390243902439015</c:v>
                </c:pt>
                <c:pt idx="657">
                  <c:v>0.83048780487804874</c:v>
                </c:pt>
                <c:pt idx="658">
                  <c:v>0.73780487804878037</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4-18B5-4E2D-A7E0-A998C542E5FB}"/>
            </c:ext>
          </c:extLst>
        </c:ser>
        <c:ser>
          <c:idx val="0"/>
          <c:order val="4"/>
          <c:tx>
            <c:v>Longitudinally butt-joined</c:v>
          </c:tx>
          <c:spPr>
            <a:ln w="25400" cap="rnd">
              <a:noFill/>
              <a:round/>
            </a:ln>
            <a:effectLst/>
          </c:spPr>
          <c:marker>
            <c:symbol val="circle"/>
            <c:size val="4"/>
            <c:spPr>
              <a:solidFill>
                <a:schemeClr val="tx1"/>
              </a:solidFill>
              <a:ln w="952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Data'!$O$15:$O$684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0.42822134440814413</c:v>
                </c:pt>
                <c:pt idx="35">
                  <c:v>0.28915774314220588</c:v>
                </c:pt>
                <c:pt idx="36">
                  <c:v>0.65657979823389157</c:v>
                </c:pt>
                <c:pt idx="37">
                  <c:v>0.74324833160076531</c:v>
                </c:pt>
                <c:pt idx="38">
                  <c:v>0.89163536600162485</c:v>
                </c:pt>
                <c:pt idx="39">
                  <c:v>0.9018780108540736</c:v>
                </c:pt>
                <c:pt idx="40">
                  <c:v>0.1533524191250033</c:v>
                </c:pt>
                <c:pt idx="41">
                  <c:v>0.19082705307784759</c:v>
                </c:pt>
                <c:pt idx="42">
                  <c:v>0.51366152640248863</c:v>
                </c:pt>
                <c:pt idx="43">
                  <c:v>0.53549006894460627</c:v>
                </c:pt>
                <c:pt idx="44">
                  <c:v>0.83137273947858403</c:v>
                </c:pt>
                <c:pt idx="45">
                  <c:v>0.84251726963721796</c:v>
                </c:pt>
                <c:pt idx="46">
                  <c:v>0.41572751646701595</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0.40704500978473579</c:v>
                </c:pt>
                <c:pt idx="250">
                  <c:v>0.5471349353049908</c:v>
                </c:pt>
                <c:pt idx="251">
                  <c:v>0.33493530499075785</c:v>
                </c:pt>
                <c:pt idx="252">
                  <c:v>0.30219224283305229</c:v>
                </c:pt>
                <c:pt idx="253">
                  <c:v>0.31406491499227207</c:v>
                </c:pt>
                <c:pt idx="254">
                  <c:v>0.67334167709637049</c:v>
                </c:pt>
                <c:pt idx="255">
                  <c:v>0.6707317073170731</c:v>
                </c:pt>
                <c:pt idx="256">
                  <c:v>#N/A</c:v>
                </c:pt>
                <c:pt idx="257">
                  <c:v>#N/A</c:v>
                </c:pt>
                <c:pt idx="258">
                  <c:v>#N/A</c:v>
                </c:pt>
                <c:pt idx="259">
                  <c:v>#N/A</c:v>
                </c:pt>
                <c:pt idx="260">
                  <c:v>#N/A</c:v>
                </c:pt>
                <c:pt idx="261">
                  <c:v>#N/A</c:v>
                </c:pt>
                <c:pt idx="262">
                  <c:v>0.71045576407506705</c:v>
                </c:pt>
                <c:pt idx="263">
                  <c:v>0.54358974358974355</c:v>
                </c:pt>
                <c:pt idx="264">
                  <c:v>0.55024271844660189</c:v>
                </c:pt>
                <c:pt idx="265">
                  <c:v>0.56966019417475722</c:v>
                </c:pt>
                <c:pt idx="266">
                  <c:v>0.97750000000000004</c:v>
                </c:pt>
                <c:pt idx="267">
                  <c:v>1.0875000000000001</c:v>
                </c:pt>
                <c:pt idx="268">
                  <c:v>1.0875000000000001</c:v>
                </c:pt>
                <c:pt idx="269">
                  <c:v>0.75625000000000009</c:v>
                </c:pt>
                <c:pt idx="270">
                  <c:v>0.70250000000000012</c:v>
                </c:pt>
                <c:pt idx="271">
                  <c:v>0.42125000000000007</c:v>
                </c:pt>
                <c:pt idx="272">
                  <c:v>0.4875000000000001</c:v>
                </c:pt>
                <c:pt idx="273">
                  <c:v>0.24375000000000005</c:v>
                </c:pt>
                <c:pt idx="274">
                  <c:v>0.16900000000000001</c:v>
                </c:pt>
                <c:pt idx="275">
                  <c:v>1.0342644271697803</c:v>
                </c:pt>
                <c:pt idx="276">
                  <c:v>1.024778471330511</c:v>
                </c:pt>
                <c:pt idx="277">
                  <c:v>0.84554380320268663</c:v>
                </c:pt>
                <c:pt idx="278">
                  <c:v>0.83163899996276169</c:v>
                </c:pt>
                <c:pt idx="279">
                  <c:v>0.83813195359536996</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0.47700358046184671</c:v>
                </c:pt>
                <c:pt idx="386">
                  <c:v>0.41707321880235193</c:v>
                </c:pt>
                <c:pt idx="387">
                  <c:v>0.50370362718279715</c:v>
                </c:pt>
                <c:pt idx="388">
                  <c:v>0.66901409889285135</c:v>
                </c:pt>
                <c:pt idx="389">
                  <c:v>0.66352651842924859</c:v>
                </c:pt>
                <c:pt idx="390">
                  <c:v>0.57594947399032614</c:v>
                </c:pt>
                <c:pt idx="391">
                  <c:v>0.29304071259381648</c:v>
                </c:pt>
                <c:pt idx="392">
                  <c:v>0.42813907384307182</c:v>
                </c:pt>
                <c:pt idx="393">
                  <c:v>1.056</c:v>
                </c:pt>
                <c:pt idx="394">
                  <c:v>1.004</c:v>
                </c:pt>
                <c:pt idx="395">
                  <c:v>0.999</c:v>
                </c:pt>
                <c:pt idx="396">
                  <c:v>0.88000000000000012</c:v>
                </c:pt>
                <c:pt idx="397">
                  <c:v>1.0089999999999999</c:v>
                </c:pt>
                <c:pt idx="398">
                  <c:v>0.82899999999999985</c:v>
                </c:pt>
                <c:pt idx="399">
                  <c:v>0.81399999999999995</c:v>
                </c:pt>
                <c:pt idx="400">
                  <c:v>0.88900000000000001</c:v>
                </c:pt>
                <c:pt idx="401">
                  <c:v>0.94099999999999995</c:v>
                </c:pt>
                <c:pt idx="402">
                  <c:v>0.94099999999999995</c:v>
                </c:pt>
                <c:pt idx="403">
                  <c:v>1.008</c:v>
                </c:pt>
                <c:pt idx="404">
                  <c:v>0.98899999999999999</c:v>
                </c:pt>
                <c:pt idx="405">
                  <c:v>1.0089999999999999</c:v>
                </c:pt>
                <c:pt idx="406">
                  <c:v>0.95099999999999996</c:v>
                </c:pt>
                <c:pt idx="407">
                  <c:v>0.872</c:v>
                </c:pt>
                <c:pt idx="408">
                  <c:v>0.91200000000000003</c:v>
                </c:pt>
                <c:pt idx="409">
                  <c:v>#N/A</c:v>
                </c:pt>
                <c:pt idx="410">
                  <c:v>#N/A</c:v>
                </c:pt>
                <c:pt idx="411">
                  <c:v>#N/A</c:v>
                </c:pt>
                <c:pt idx="412">
                  <c:v>#N/A</c:v>
                </c:pt>
                <c:pt idx="413">
                  <c:v>#N/A</c:v>
                </c:pt>
                <c:pt idx="414">
                  <c:v>#N/A</c:v>
                </c:pt>
                <c:pt idx="415">
                  <c:v>0.93832837067054176</c:v>
                </c:pt>
                <c:pt idx="416">
                  <c:v>0.78687246647398568</c:v>
                </c:pt>
                <c:pt idx="417">
                  <c:v>0.6899256031818416</c:v>
                </c:pt>
                <c:pt idx="418">
                  <c:v>1.0233330653028985</c:v>
                </c:pt>
                <c:pt idx="419">
                  <c:v>0.85223530437427208</c:v>
                </c:pt>
                <c:pt idx="420">
                  <c:v>0.79607846928771109</c:v>
                </c:pt>
                <c:pt idx="421">
                  <c:v>1.1494521735689953</c:v>
                </c:pt>
                <c:pt idx="422">
                  <c:v>0.84503697907040565</c:v>
                </c:pt>
                <c:pt idx="423">
                  <c:v>0.87989942086025497</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0.82962962962962961</c:v>
                </c:pt>
                <c:pt idx="493">
                  <c:v>0.9</c:v>
                </c:pt>
                <c:pt idx="494">
                  <c:v>0.81481481481481477</c:v>
                </c:pt>
                <c:pt idx="495">
                  <c:v>0.88500000000000001</c:v>
                </c:pt>
                <c:pt idx="496">
                  <c:v>0.80888888888888888</c:v>
                </c:pt>
                <c:pt idx="497">
                  <c:v>0.91249999999999998</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0.61087866108786615</c:v>
                </c:pt>
                <c:pt idx="570">
                  <c:v>0.60591133004926112</c:v>
                </c:pt>
                <c:pt idx="571">
                  <c:v>0.5714285714285714</c:v>
                </c:pt>
                <c:pt idx="572">
                  <c:v>0.60904255319148937</c:v>
                </c:pt>
                <c:pt idx="573">
                  <c:v>0.57843137254901966</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5-18B5-4E2D-A7E0-A998C542E5FB}"/>
            </c:ext>
          </c:extLst>
        </c:ser>
        <c:ser>
          <c:idx val="1"/>
          <c:order val="5"/>
          <c:tx>
            <c:v>Longitudinally overlap-joined</c:v>
          </c:tx>
          <c:spPr>
            <a:ln w="25400" cap="rnd">
              <a:noFill/>
              <a:round/>
            </a:ln>
            <a:effectLst/>
          </c:spPr>
          <c:marker>
            <c:symbol val="square"/>
            <c:size val="4"/>
            <c:spPr>
              <a:solidFill>
                <a:srgbClr val="FF0000"/>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Data'!$P$15:$P$684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0.29887391387072509</c:v>
                </c:pt>
                <c:pt idx="48">
                  <c:v>0.24918383371184996</c:v>
                </c:pt>
                <c:pt idx="49">
                  <c:v>0.25780167049217145</c:v>
                </c:pt>
                <c:pt idx="50">
                  <c:v>0.25670152111596023</c:v>
                </c:pt>
                <c:pt idx="51">
                  <c:v>0.35527490522448896</c:v>
                </c:pt>
                <c:pt idx="52">
                  <c:v>0.34104630662549001</c:v>
                </c:pt>
                <c:pt idx="53">
                  <c:v>0.32197705077116157</c:v>
                </c:pt>
                <c:pt idx="54">
                  <c:v>0.36246254781573584</c:v>
                </c:pt>
                <c:pt idx="55">
                  <c:v>0.375635003013572</c:v>
                </c:pt>
                <c:pt idx="56">
                  <c:v>0.37669114641473478</c:v>
                </c:pt>
                <c:pt idx="57">
                  <c:v>0.36354802853359763</c:v>
                </c:pt>
                <c:pt idx="58">
                  <c:v>0.33644034790375221</c:v>
                </c:pt>
                <c:pt idx="59">
                  <c:v>#N/A</c:v>
                </c:pt>
                <c:pt idx="60">
                  <c:v>#N/A</c:v>
                </c:pt>
                <c:pt idx="61">
                  <c:v>#N/A</c:v>
                </c:pt>
                <c:pt idx="62">
                  <c:v>0.30105781050075592</c:v>
                </c:pt>
                <c:pt idx="63">
                  <c:v>0.25929817872161881</c:v>
                </c:pt>
                <c:pt idx="64">
                  <c:v>0.32533666618630075</c:v>
                </c:pt>
                <c:pt idx="65">
                  <c:v>0.25832702449419703</c:v>
                </c:pt>
                <c:pt idx="66">
                  <c:v>0.35612351643482798</c:v>
                </c:pt>
                <c:pt idx="67">
                  <c:v>0.29316245275574232</c:v>
                </c:pt>
                <c:pt idx="68">
                  <c:v>0.26364945415617097</c:v>
                </c:pt>
                <c:pt idx="69">
                  <c:v>0.34038325051505652</c:v>
                </c:pt>
                <c:pt idx="70">
                  <c:v>0.71778489718164218</c:v>
                </c:pt>
                <c:pt idx="71">
                  <c:v>0.80266698178777074</c:v>
                </c:pt>
                <c:pt idx="72">
                  <c:v>0.72771823441473038</c:v>
                </c:pt>
                <c:pt idx="73">
                  <c:v>0.78469261575680871</c:v>
                </c:pt>
                <c:pt idx="74">
                  <c:v>0.83589776406469851</c:v>
                </c:pt>
                <c:pt idx="75">
                  <c:v>0.8627539171270181</c:v>
                </c:pt>
                <c:pt idx="76">
                  <c:v>8.1418793104341983E-2</c:v>
                </c:pt>
                <c:pt idx="77">
                  <c:v>8.6828336277165408E-2</c:v>
                </c:pt>
                <c:pt idx="78">
                  <c:v>0.12447982158240503</c:v>
                </c:pt>
                <c:pt idx="79">
                  <c:v>0.16397159184501497</c:v>
                </c:pt>
                <c:pt idx="80">
                  <c:v>0.29426774669959133</c:v>
                </c:pt>
                <c:pt idx="81">
                  <c:v>0.41620410022873988</c:v>
                </c:pt>
                <c:pt idx="82">
                  <c:v>3.4505954836150668E-2</c:v>
                </c:pt>
                <c:pt idx="83">
                  <c:v>3.8288785255329569E-2</c:v>
                </c:pt>
                <c:pt idx="84">
                  <c:v>9.0883936512525992E-2</c:v>
                </c:pt>
                <c:pt idx="85">
                  <c:v>0.11120120750457747</c:v>
                </c:pt>
                <c:pt idx="86">
                  <c:v>0.19371481349938846</c:v>
                </c:pt>
                <c:pt idx="87">
                  <c:v>0.23212022446925107</c:v>
                </c:pt>
                <c:pt idx="88">
                  <c:v>6.7548364638132477E-2</c:v>
                </c:pt>
                <c:pt idx="89">
                  <c:v>0.15059868805898122</c:v>
                </c:pt>
                <c:pt idx="90">
                  <c:v>0.25200969786464456</c:v>
                </c:pt>
                <c:pt idx="91">
                  <c:v>4.0102563353280905E-2</c:v>
                </c:pt>
                <c:pt idx="92">
                  <c:v>7.263099613412656E-2</c:v>
                </c:pt>
                <c:pt idx="93">
                  <c:v>0.25295994902458802</c:v>
                </c:pt>
                <c:pt idx="94">
                  <c:v>0.13551900719384577</c:v>
                </c:pt>
                <c:pt idx="95">
                  <c:v>0.22254779560069551</c:v>
                </c:pt>
                <c:pt idx="96">
                  <c:v>0.24711013921243075</c:v>
                </c:pt>
                <c:pt idx="97">
                  <c:v>0.2362238705192902</c:v>
                </c:pt>
                <c:pt idx="98">
                  <c:v>0.68140383445120845</c:v>
                </c:pt>
                <c:pt idx="99">
                  <c:v>7.7329952997042248E-2</c:v>
                </c:pt>
                <c:pt idx="100">
                  <c:v>0.27841065362787754</c:v>
                </c:pt>
                <c:pt idx="101">
                  <c:v>0.3109239161777691</c:v>
                </c:pt>
                <c:pt idx="102">
                  <c:v>4.0381948452635229E-2</c:v>
                </c:pt>
                <c:pt idx="103">
                  <c:v>4.0464136950164348E-2</c:v>
                </c:pt>
                <c:pt idx="104">
                  <c:v>6.5982759430172205E-2</c:v>
                </c:pt>
                <c:pt idx="105">
                  <c:v>5.7993904801096403E-2</c:v>
                </c:pt>
                <c:pt idx="106">
                  <c:v>0.20206531913178805</c:v>
                </c:pt>
                <c:pt idx="107">
                  <c:v>0.28203180703949543</c:v>
                </c:pt>
                <c:pt idx="108">
                  <c:v>0.26883733653472369</c:v>
                </c:pt>
                <c:pt idx="109">
                  <c:v>0.26782738586847804</c:v>
                </c:pt>
                <c:pt idx="110">
                  <c:v>0.79683095538849746</c:v>
                </c:pt>
                <c:pt idx="111">
                  <c:v>5.01683415185235E-2</c:v>
                </c:pt>
                <c:pt idx="112">
                  <c:v>7.2138759630632113E-2</c:v>
                </c:pt>
                <c:pt idx="113">
                  <c:v>0.20019202117574061</c:v>
                </c:pt>
                <c:pt idx="114">
                  <c:v>0.3032025024069207</c:v>
                </c:pt>
                <c:pt idx="115">
                  <c:v>0.82739001284851976</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1.1052631578947369</c:v>
                </c:pt>
                <c:pt idx="287">
                  <c:v>#N/A</c:v>
                </c:pt>
                <c:pt idx="288">
                  <c:v>#N/A</c:v>
                </c:pt>
                <c:pt idx="289">
                  <c:v>0.9</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5.730978260869566E-2</c:v>
                </c:pt>
                <c:pt idx="331">
                  <c:v>3.6363057065217391E-2</c:v>
                </c:pt>
                <c:pt idx="332">
                  <c:v>3.5130896739130439E-2</c:v>
                </c:pt>
                <c:pt idx="333">
                  <c:v>2.8872668478260873E-2</c:v>
                </c:pt>
                <c:pt idx="334">
                  <c:v>2.8874244497282611E-2</c:v>
                </c:pt>
                <c:pt idx="335">
                  <c:v>2.9468117119565217E-2</c:v>
                </c:pt>
                <c:pt idx="336">
                  <c:v>6.5055107246376823E-2</c:v>
                </c:pt>
                <c:pt idx="337">
                  <c:v>5.9557412008281581E-2</c:v>
                </c:pt>
                <c:pt idx="338">
                  <c:v>0.11408327645051196</c:v>
                </c:pt>
                <c:pt idx="339">
                  <c:v>9.0578440535573651E-2</c:v>
                </c:pt>
                <c:pt idx="340">
                  <c:v>0.11178934103439224</c:v>
                </c:pt>
                <c:pt idx="341">
                  <c:v>0.10952207928590181</c:v>
                </c:pt>
                <c:pt idx="342">
                  <c:v>0.10234953006038332</c:v>
                </c:pt>
                <c:pt idx="343">
                  <c:v>0.11255220792859019</c:v>
                </c:pt>
                <c:pt idx="344">
                  <c:v>0.12546493042793386</c:v>
                </c:pt>
                <c:pt idx="345">
                  <c:v>0.1641036970108696</c:v>
                </c:pt>
                <c:pt idx="346">
                  <c:v>0.1492295160326087</c:v>
                </c:pt>
                <c:pt idx="347">
                  <c:v>9.4701550271739141E-2</c:v>
                </c:pt>
                <c:pt idx="348">
                  <c:v>0.15542986141304346</c:v>
                </c:pt>
                <c:pt idx="349">
                  <c:v>0.11069957608695653</c:v>
                </c:pt>
                <c:pt idx="350">
                  <c:v>0.16189274290760869</c:v>
                </c:pt>
                <c:pt idx="351">
                  <c:v>0.11297763994565219</c:v>
                </c:pt>
                <c:pt idx="352">
                  <c:v>0.11069957608695653</c:v>
                </c:pt>
                <c:pt idx="353">
                  <c:v>9.5334823369565225E-2</c:v>
                </c:pt>
                <c:pt idx="354">
                  <c:v>0.15126914254076088</c:v>
                </c:pt>
                <c:pt idx="355">
                  <c:v>0.13478401222826086</c:v>
                </c:pt>
                <c:pt idx="356">
                  <c:v>8.5534850543478272E-2</c:v>
                </c:pt>
                <c:pt idx="357">
                  <c:v>0.12940548913043479</c:v>
                </c:pt>
                <c:pt idx="358">
                  <c:v>0.1452229891304348</c:v>
                </c:pt>
                <c:pt idx="359">
                  <c:v>0.11145606521739131</c:v>
                </c:pt>
                <c:pt idx="360">
                  <c:v>0.13028519429347829</c:v>
                </c:pt>
                <c:pt idx="361">
                  <c:v>0.11450494565217392</c:v>
                </c:pt>
                <c:pt idx="362">
                  <c:v>0.12852864945652173</c:v>
                </c:pt>
                <c:pt idx="363">
                  <c:v>0.11374845652173914</c:v>
                </c:pt>
                <c:pt idx="364">
                  <c:v>0.13028519429347829</c:v>
                </c:pt>
                <c:pt idx="365">
                  <c:v>0.1384919551630435</c:v>
                </c:pt>
                <c:pt idx="366">
                  <c:v>0.20765322153209109</c:v>
                </c:pt>
                <c:pt idx="367">
                  <c:v>0.19011652298136647</c:v>
                </c:pt>
                <c:pt idx="368">
                  <c:v>0.16597732919254657</c:v>
                </c:pt>
                <c:pt idx="369">
                  <c:v>0.1615369710144928</c:v>
                </c:pt>
                <c:pt idx="370">
                  <c:v>0.24235425003938041</c:v>
                </c:pt>
                <c:pt idx="371">
                  <c:v>0.22339196639537937</c:v>
                </c:pt>
                <c:pt idx="372">
                  <c:v>0.20177029141506961</c:v>
                </c:pt>
                <c:pt idx="373">
                  <c:v>0.22644876870569705</c:v>
                </c:pt>
                <c:pt idx="374">
                  <c:v>0.24400270937253873</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0.27627135514766743</c:v>
                </c:pt>
                <c:pt idx="425">
                  <c:v>0.3136831011572474</c:v>
                </c:pt>
                <c:pt idx="426">
                  <c:v>0.33238897416203733</c:v>
                </c:pt>
                <c:pt idx="427">
                  <c:v>0.49007988329055813</c:v>
                </c:pt>
                <c:pt idx="428">
                  <c:v>0.16997725164603367</c:v>
                </c:pt>
                <c:pt idx="429">
                  <c:v>0.16997725164603367</c:v>
                </c:pt>
                <c:pt idx="430">
                  <c:v>0.19471223704293225</c:v>
                </c:pt>
                <c:pt idx="431">
                  <c:v>0.20250072652464954</c:v>
                </c:pt>
                <c:pt idx="432">
                  <c:v>0.21807770548808414</c:v>
                </c:pt>
                <c:pt idx="433">
                  <c:v>0.57886648361551429</c:v>
                </c:pt>
                <c:pt idx="434">
                  <c:v>0.61430728873483142</c:v>
                </c:pt>
                <c:pt idx="435">
                  <c:v>9.5221527074229373E-2</c:v>
                </c:pt>
                <c:pt idx="436">
                  <c:v>0.59554011134042495</c:v>
                </c:pt>
                <c:pt idx="437">
                  <c:v>0.73013217650336104</c:v>
                </c:pt>
                <c:pt idx="438">
                  <c:v>0.72655893583531839</c:v>
                </c:pt>
                <c:pt idx="439">
                  <c:v>0.78611294696936096</c:v>
                </c:pt>
                <c:pt idx="440">
                  <c:v>0.42442100934506605</c:v>
                </c:pt>
                <c:pt idx="441">
                  <c:v>0.48721799542163191</c:v>
                </c:pt>
                <c:pt idx="442">
                  <c:v>0.33130823688670968</c:v>
                </c:pt>
                <c:pt idx="443">
                  <c:v>0.24848117766503225</c:v>
                </c:pt>
                <c:pt idx="444">
                  <c:v>0.10285713236678898</c:v>
                </c:pt>
                <c:pt idx="445">
                  <c:v>0.18947366488619016</c:v>
                </c:pt>
                <c:pt idx="446">
                  <c:v>7.7088713942267087E-2</c:v>
                </c:pt>
                <c:pt idx="447">
                  <c:v>0.12342855884014675</c:v>
                </c:pt>
                <c:pt idx="448">
                  <c:v>0.88888919547159806</c:v>
                </c:pt>
                <c:pt idx="449">
                  <c:v>0.40948813843719867</c:v>
                </c:pt>
                <c:pt idx="450">
                  <c:v>0.6962965364527518</c:v>
                </c:pt>
                <c:pt idx="451">
                  <c:v>0.49138576612463836</c:v>
                </c:pt>
                <c:pt idx="452">
                  <c:v>0.25593008652324917</c:v>
                </c:pt>
                <c:pt idx="453">
                  <c:v>0.37536412690076543</c:v>
                </c:pt>
                <c:pt idx="454">
                  <c:v>3.6842104087588902E-2</c:v>
                </c:pt>
                <c:pt idx="455">
                  <c:v>5.7894734994782565E-2</c:v>
                </c:pt>
                <c:pt idx="456">
                  <c:v>0.5971702018875813</c:v>
                </c:pt>
                <c:pt idx="457">
                  <c:v>0.42592607283014072</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6.8049186129352304E-2</c:v>
                </c:pt>
                <c:pt idx="586">
                  <c:v>8.8463586674812938E-2</c:v>
                </c:pt>
                <c:pt idx="587">
                  <c:v>8.6859004296075348E-2</c:v>
                </c:pt>
                <c:pt idx="588">
                  <c:v>0.16166453715688101</c:v>
                </c:pt>
                <c:pt idx="589">
                  <c:v>0.20237507600746862</c:v>
                </c:pt>
                <c:pt idx="590">
                  <c:v>0.21007635078011105</c:v>
                </c:pt>
                <c:pt idx="591">
                  <c:v>0.21744061368289605</c:v>
                </c:pt>
                <c:pt idx="592">
                  <c:v>0.21289086906615384</c:v>
                </c:pt>
                <c:pt idx="593">
                  <c:v>0.43365045052971174</c:v>
                </c:pt>
                <c:pt idx="594">
                  <c:v>0.49875947891637451</c:v>
                </c:pt>
                <c:pt idx="595">
                  <c:v>0.53859593333860656</c:v>
                </c:pt>
                <c:pt idx="596">
                  <c:v>0.57302113020946721</c:v>
                </c:pt>
                <c:pt idx="597">
                  <c:v>0.67599178306953278</c:v>
                </c:pt>
                <c:pt idx="598">
                  <c:v>0.71555018775255785</c:v>
                </c:pt>
                <c:pt idx="599">
                  <c:v>0.69463068194469424</c:v>
                </c:pt>
                <c:pt idx="600">
                  <c:v>0.62049036917671818</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6-18B5-4E2D-A7E0-A998C542E5FB}"/>
            </c:ext>
          </c:extLst>
        </c:ser>
        <c:ser>
          <c:idx val="3"/>
          <c:order val="6"/>
          <c:tx>
            <c:v>Electroformed</c:v>
          </c:tx>
          <c:spPr>
            <a:ln w="25400" cap="rnd">
              <a:noFill/>
              <a:round/>
            </a:ln>
            <a:effectLst/>
          </c:spPr>
          <c:marker>
            <c:symbol val="diamond"/>
            <c:size val="5"/>
            <c:spPr>
              <a:solidFill>
                <a:schemeClr val="accent6">
                  <a:lumMod val="75000"/>
                </a:schemeClr>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Data'!$Q$15:$Q$684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5.8846795262787806E-2</c:v>
                </c:pt>
                <c:pt idx="464">
                  <c:v>0.10403896169729526</c:v>
                </c:pt>
                <c:pt idx="465">
                  <c:v>5.7982056717038606E-2</c:v>
                </c:pt>
                <c:pt idx="466">
                  <c:v>5.7364641036656873E-2</c:v>
                </c:pt>
                <c:pt idx="467">
                  <c:v>7.9947101535250295E-2</c:v>
                </c:pt>
                <c:pt idx="468">
                  <c:v>8.6441010463035081E-2</c:v>
                </c:pt>
                <c:pt idx="469">
                  <c:v>7.8223179068827683E-2</c:v>
                </c:pt>
                <c:pt idx="470">
                  <c:v>7.5610290476078437E-2</c:v>
                </c:pt>
                <c:pt idx="471">
                  <c:v>7.8925050521305329E-2</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7-18B5-4E2D-A7E0-A998C542E5FB}"/>
            </c:ext>
          </c:extLst>
        </c:ser>
        <c:ser>
          <c:idx val="6"/>
          <c:order val="7"/>
          <c:tx>
            <c:v>Miscellaneous</c:v>
          </c:tx>
          <c:spPr>
            <a:ln w="25400" cap="rnd">
              <a:noFill/>
              <a:round/>
            </a:ln>
            <a:effectLst/>
          </c:spPr>
          <c:marker>
            <c:symbol val="circle"/>
            <c:size val="4"/>
            <c:spPr>
              <a:solidFill>
                <a:schemeClr val="bg1"/>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Data'!$U$15:$U$684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0.12406715888618183</c:v>
                </c:pt>
                <c:pt idx="117">
                  <c:v>0.12108954707291349</c:v>
                </c:pt>
                <c:pt idx="118">
                  <c:v>0.15582835156104441</c:v>
                </c:pt>
                <c:pt idx="119">
                  <c:v>0.14094029249470261</c:v>
                </c:pt>
                <c:pt idx="120">
                  <c:v>0.17865670879610185</c:v>
                </c:pt>
                <c:pt idx="121">
                  <c:v>0.15086566520559713</c:v>
                </c:pt>
                <c:pt idx="122">
                  <c:v>0.11811193525964513</c:v>
                </c:pt>
                <c:pt idx="123">
                  <c:v>0.12208208434400294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0.23117408906882592</c:v>
                </c:pt>
                <c:pt idx="257">
                  <c:v>0.23238866396761132</c:v>
                </c:pt>
                <c:pt idx="258">
                  <c:v>0.15355285961871751</c:v>
                </c:pt>
                <c:pt idx="259">
                  <c:v>0.16800785083415112</c:v>
                </c:pt>
                <c:pt idx="260">
                  <c:v>0.13135459425323651</c:v>
                </c:pt>
                <c:pt idx="261">
                  <c:v>8.4590163934426227E-2</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0.34894733730889366</c:v>
                </c:pt>
                <c:pt idx="459">
                  <c:v>0.49947363967743619</c:v>
                </c:pt>
                <c:pt idx="460">
                  <c:v>0.58947363165303313</c:v>
                </c:pt>
                <c:pt idx="461">
                  <c:v>0.24768418844278331</c:v>
                </c:pt>
                <c:pt idx="462">
                  <c:v>0.53052626848772988</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8-18B5-4E2D-A7E0-A998C542E5FB}"/>
            </c:ext>
          </c:extLst>
        </c:ser>
        <c:dLbls>
          <c:showLegendKey val="0"/>
          <c:showVal val="0"/>
          <c:showCatName val="0"/>
          <c:showSerName val="0"/>
          <c:showPercent val="0"/>
          <c:showBubbleSize val="0"/>
        </c:dLbls>
        <c:axId val="1026659696"/>
        <c:axId val="1026662192"/>
      </c:scatterChart>
      <c:valAx>
        <c:axId val="1026659696"/>
        <c:scaling>
          <c:orientation val="minMax"/>
          <c:max val="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λ</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62192"/>
        <c:crosses val="autoZero"/>
        <c:crossBetween val="midCat"/>
      </c:valAx>
      <c:valAx>
        <c:axId val="1026662192"/>
        <c:scaling>
          <c:orientation val="minMax"/>
          <c:max val="1.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χ</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59696"/>
        <c:crosses val="autoZero"/>
        <c:crossBetween val="midCat"/>
      </c:valAx>
      <c:spPr>
        <a:noFill/>
        <a:ln>
          <a:noFill/>
        </a:ln>
        <a:effectLst/>
      </c:spPr>
    </c:plotArea>
    <c:legend>
      <c:legendPos val="r"/>
      <c:layout>
        <c:manualLayout>
          <c:xMode val="edge"/>
          <c:yMode val="edge"/>
          <c:x val="0.44087948258157722"/>
          <c:y val="2.7451101351652879E-2"/>
          <c:w val="0.53748921936222116"/>
          <c:h val="0.29815312607464151"/>
        </c:manualLayout>
      </c:layout>
      <c:overlay val="0"/>
      <c:spPr>
        <a:solidFill>
          <a:schemeClr val="bg1"/>
        </a:solidFill>
        <a:ln>
          <a:solidFill>
            <a:schemeClr val="bg1">
              <a:lumMod val="50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aseline="0">
          <a:latin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7"/>
          <c:order val="0"/>
          <c:tx>
            <c:v>Theorertical solution</c:v>
          </c:tx>
          <c:spPr>
            <a:ln w="19050" cap="rnd">
              <a:solidFill>
                <a:schemeClr val="tx1"/>
              </a:solidFill>
              <a:prstDash val="dash"/>
              <a:round/>
            </a:ln>
            <a:effectLst/>
          </c:spPr>
          <c:marker>
            <c:symbol val="none"/>
          </c:marker>
          <c:xVal>
            <c:numRef>
              <c:f>'Figure 1 Data'!$AE$15:$AE$45</c:f>
              <c:numCache>
                <c:formatCode>General</c:formatCode>
                <c:ptCount val="3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numCache>
            </c:numRef>
          </c:xVal>
          <c:yVal>
            <c:numRef>
              <c:f>'Figure 1 Data'!$AG$15:$AG$45</c:f>
              <c:numCache>
                <c:formatCode>General</c:formatCode>
                <c:ptCount val="31"/>
                <c:pt idx="0">
                  <c:v>0</c:v>
                </c:pt>
                <c:pt idx="1">
                  <c:v>1.0000000000000002E-2</c:v>
                </c:pt>
                <c:pt idx="2">
                  <c:v>4.0000000000000008E-2</c:v>
                </c:pt>
                <c:pt idx="3">
                  <c:v>0.09</c:v>
                </c:pt>
                <c:pt idx="4">
                  <c:v>0.16000000000000003</c:v>
                </c:pt>
                <c:pt idx="5">
                  <c:v>0.25</c:v>
                </c:pt>
                <c:pt idx="6">
                  <c:v>0.36</c:v>
                </c:pt>
                <c:pt idx="7">
                  <c:v>0.48999999999999994</c:v>
                </c:pt>
                <c:pt idx="8">
                  <c:v>0.64000000000000012</c:v>
                </c:pt>
                <c:pt idx="9">
                  <c:v>0.81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numCache>
            </c:numRef>
          </c:yVal>
          <c:smooth val="0"/>
          <c:extLst>
            <c:ext xmlns:c16="http://schemas.microsoft.com/office/drawing/2014/chart" uri="{C3380CC4-5D6E-409C-BE32-E72D297353CC}">
              <c16:uniqueId val="{00000000-5784-4D5F-9FF1-3749E403C31D}"/>
            </c:ext>
          </c:extLst>
        </c:ser>
        <c:ser>
          <c:idx val="4"/>
          <c:order val="1"/>
          <c:tx>
            <c:v>Circular hollow section</c:v>
          </c:tx>
          <c:spPr>
            <a:ln w="19050" cap="rnd">
              <a:noFill/>
              <a:round/>
            </a:ln>
            <a:effectLst/>
          </c:spPr>
          <c:marker>
            <c:symbol val="triangle"/>
            <c:size val="5"/>
            <c:spPr>
              <a:solidFill>
                <a:schemeClr val="accent4"/>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Data'!$AA$15:$AA$684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4.634293759890018E-2</c:v>
                </c:pt>
                <c:pt idx="31">
                  <c:v>4.641453281394127E-2</c:v>
                </c:pt>
                <c:pt idx="32">
                  <c:v>4.738758381632998E-2</c:v>
                </c:pt>
                <c:pt idx="33">
                  <c:v>4.1065384964786705E-2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0.13013613388687759</c:v>
                </c:pt>
                <c:pt idx="281">
                  <c:v>0.11044789816484829</c:v>
                </c:pt>
                <c:pt idx="282">
                  <c:v>9.2318763434484113E-2</c:v>
                </c:pt>
                <c:pt idx="283">
                  <c:v>7.8409679859592532E-2</c:v>
                </c:pt>
                <c:pt idx="284">
                  <c:v>6.0569111778250508E-2</c:v>
                </c:pt>
                <c:pt idx="285">
                  <c:v>4.8771677430958567E-2</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5.0788395033448272E-2</c:v>
                </c:pt>
                <c:pt idx="303">
                  <c:v>5.0036823857674308E-2</c:v>
                </c:pt>
                <c:pt idx="304">
                  <c:v>6.4435117578470175E-2</c:v>
                </c:pt>
                <c:pt idx="305">
                  <c:v>7.4856302549148837E-2</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7.9784326763767843E-2</c:v>
                </c:pt>
                <c:pt idx="504">
                  <c:v>8.5301328082539027E-2</c:v>
                </c:pt>
                <c:pt idx="505">
                  <c:v>8.0208711480596384E-2</c:v>
                </c:pt>
                <c:pt idx="506">
                  <c:v>8.0420903839010655E-2</c:v>
                </c:pt>
                <c:pt idx="507">
                  <c:v>8.1906250347910603E-2</c:v>
                </c:pt>
                <c:pt idx="508">
                  <c:v>6.8962516484639746E-2</c:v>
                </c:pt>
                <c:pt idx="509">
                  <c:v>7.447951780341093E-2</c:v>
                </c:pt>
                <c:pt idx="510">
                  <c:v>6.077278254636697E-2</c:v>
                </c:pt>
                <c:pt idx="511">
                  <c:v>9.7608484870567044E-2</c:v>
                </c:pt>
                <c:pt idx="512">
                  <c:v>9.6759715436909935E-2</c:v>
                </c:pt>
                <c:pt idx="513">
                  <c:v>9.3364637702281511E-2</c:v>
                </c:pt>
                <c:pt idx="514">
                  <c:v>9.3789022419110066E-2</c:v>
                </c:pt>
                <c:pt idx="515">
                  <c:v>9.7608484870567044E-2</c:v>
                </c:pt>
                <c:pt idx="516">
                  <c:v>9.421340713593862E-2</c:v>
                </c:pt>
                <c:pt idx="517">
                  <c:v>4.8341406754178563E-2</c:v>
                </c:pt>
                <c:pt idx="518">
                  <c:v>4.8826276261923693E-2</c:v>
                </c:pt>
                <c:pt idx="519">
                  <c:v>7.2921712588496793E-2</c:v>
                </c:pt>
                <c:pt idx="520">
                  <c:v>7.2455971723424287E-2</c:v>
                </c:pt>
                <c:pt idx="521">
                  <c:v>6.9220736071402708E-2</c:v>
                </c:pt>
                <c:pt idx="522">
                  <c:v>9.9252705067417971E-2</c:v>
                </c:pt>
                <c:pt idx="523">
                  <c:v>9.8781419668237447E-2</c:v>
                </c:pt>
                <c:pt idx="524">
                  <c:v>0.11470615330654728</c:v>
                </c:pt>
                <c:pt idx="525">
                  <c:v>0.12643422907850727</c:v>
                </c:pt>
                <c:pt idx="526">
                  <c:v>0.12568239025346165</c:v>
                </c:pt>
                <c:pt idx="527">
                  <c:v>0.1284205584227005</c:v>
                </c:pt>
                <c:pt idx="528">
                  <c:v>0.14098086876427218</c:v>
                </c:pt>
                <c:pt idx="529">
                  <c:v>0.1386394120104612</c:v>
                </c:pt>
                <c:pt idx="530">
                  <c:v>0.1411790858586334</c:v>
                </c:pt>
                <c:pt idx="531">
                  <c:v>0.15676338510271168</c:v>
                </c:pt>
                <c:pt idx="532">
                  <c:v>0.14939636263340392</c:v>
                </c:pt>
                <c:pt idx="533">
                  <c:v>0.18017961600105406</c:v>
                </c:pt>
                <c:pt idx="534">
                  <c:v>0.18113050360057709</c:v>
                </c:pt>
                <c:pt idx="535">
                  <c:v>0.20214706013697437</c:v>
                </c:pt>
                <c:pt idx="536">
                  <c:v>0.20189811055552487</c:v>
                </c:pt>
                <c:pt idx="537">
                  <c:v>0.23013919503465416</c:v>
                </c:pt>
                <c:pt idx="538">
                  <c:v>0.23064651990553675</c:v>
                </c:pt>
                <c:pt idx="539">
                  <c:v>7.6209255511163129E-2</c:v>
                </c:pt>
                <c:pt idx="540">
                  <c:v>7.2214839360233207E-2</c:v>
                </c:pt>
                <c:pt idx="541">
                  <c:v>7.9949056831419743E-2</c:v>
                </c:pt>
                <c:pt idx="542">
                  <c:v>9.5468881923103058E-2</c:v>
                </c:pt>
                <c:pt idx="543">
                  <c:v>9.6415706492212386E-2</c:v>
                </c:pt>
                <c:pt idx="544">
                  <c:v>0.10983165001668073</c:v>
                </c:pt>
                <c:pt idx="545">
                  <c:v>0.11068970978243604</c:v>
                </c:pt>
                <c:pt idx="546">
                  <c:v>0.11313541370642648</c:v>
                </c:pt>
                <c:pt idx="547">
                  <c:v>0.10970706783653476</c:v>
                </c:pt>
                <c:pt idx="548">
                  <c:v>0.13880401464825026</c:v>
                </c:pt>
                <c:pt idx="549">
                  <c:v>0.13880401464825026</c:v>
                </c:pt>
                <c:pt idx="550">
                  <c:v>0.17762537925898408</c:v>
                </c:pt>
                <c:pt idx="551">
                  <c:v>0.17726798412969036</c:v>
                </c:pt>
                <c:pt idx="552">
                  <c:v>0.18304314681808162</c:v>
                </c:pt>
                <c:pt idx="553">
                  <c:v>0.18416827963252486</c:v>
                </c:pt>
                <c:pt idx="554">
                  <c:v>0.21202641239041395</c:v>
                </c:pt>
                <c:pt idx="555">
                  <c:v>0.21066535207231932</c:v>
                </c:pt>
                <c:pt idx="556">
                  <c:v>0.21991869350266069</c:v>
                </c:pt>
                <c:pt idx="557">
                  <c:v>0.2212345927804524</c:v>
                </c:pt>
                <c:pt idx="558">
                  <c:v>0.22027686727058032</c:v>
                </c:pt>
                <c:pt idx="559">
                  <c:v>0.22423702332197012</c:v>
                </c:pt>
                <c:pt idx="560">
                  <c:v>0.23510058943069806</c:v>
                </c:pt>
                <c:pt idx="561">
                  <c:v>0.2331166182118736</c:v>
                </c:pt>
                <c:pt idx="562">
                  <c:v>0.26513891034114151</c:v>
                </c:pt>
                <c:pt idx="563">
                  <c:v>0.2783664233181391</c:v>
                </c:pt>
                <c:pt idx="564">
                  <c:v>0.27874016985857697</c:v>
                </c:pt>
                <c:pt idx="565">
                  <c:v>0.31939834298783781</c:v>
                </c:pt>
                <c:pt idx="566">
                  <c:v>0.32026341050122636</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1-5784-4D5F-9FF1-3749E403C31D}"/>
            </c:ext>
          </c:extLst>
        </c:ser>
        <c:ser>
          <c:idx val="5"/>
          <c:order val="2"/>
          <c:tx>
            <c:v>Circumferentially and longitudinally welded</c:v>
          </c:tx>
          <c:spPr>
            <a:ln w="19050" cap="rnd">
              <a:noFill/>
              <a:round/>
            </a:ln>
            <a:effectLst/>
          </c:spPr>
          <c:marker>
            <c:symbol val="star"/>
            <c:size val="4"/>
            <c:spPr>
              <a:noFill/>
              <a:ln w="9525">
                <a:solidFill>
                  <a:srgbClr val="D45AB4"/>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Data'!$AB$15:$AB$684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0.23005970823835847</c:v>
                </c:pt>
                <c:pt idx="242">
                  <c:v>0.2349648400377404</c:v>
                </c:pt>
                <c:pt idx="243">
                  <c:v>0.24073494770506743</c:v>
                </c:pt>
                <c:pt idx="244">
                  <c:v>0.26153179250894387</c:v>
                </c:pt>
                <c:pt idx="245">
                  <c:v>0.15611027628361965</c:v>
                </c:pt>
                <c:pt idx="246">
                  <c:v>0.19648400422599385</c:v>
                </c:pt>
                <c:pt idx="247">
                  <c:v>0.18945160752767079</c:v>
                </c:pt>
                <c:pt idx="248">
                  <c:v>0.18376620870063035</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0.12594173288714336</c:v>
                </c:pt>
                <c:pt idx="299">
                  <c:v>#N/A</c:v>
                </c:pt>
                <c:pt idx="300">
                  <c:v>0.14699061287770221</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8.7918162649678389E-2</c:v>
                </c:pt>
                <c:pt idx="315">
                  <c:v>7.3307854036667397E-2</c:v>
                </c:pt>
                <c:pt idx="316">
                  <c:v>8.9617770164284072E-2</c:v>
                </c:pt>
                <c:pt idx="317">
                  <c:v>8.8561313041331746E-2</c:v>
                </c:pt>
                <c:pt idx="318">
                  <c:v>0.11935476436873577</c:v>
                </c:pt>
                <c:pt idx="319">
                  <c:v>0.12025106294422178</c:v>
                </c:pt>
                <c:pt idx="320">
                  <c:v>8.6051899270541202E-2</c:v>
                </c:pt>
                <c:pt idx="321">
                  <c:v>7.953423419951508E-2</c:v>
                </c:pt>
                <c:pt idx="322">
                  <c:v>7.632402556224846E-2</c:v>
                </c:pt>
                <c:pt idx="323">
                  <c:v>7.6633040601107247E-2</c:v>
                </c:pt>
                <c:pt idx="324">
                  <c:v>7.5401556039258216E-2</c:v>
                </c:pt>
                <c:pt idx="325">
                  <c:v>7.8155201402365912E-2</c:v>
                </c:pt>
                <c:pt idx="326">
                  <c:v>0.12603249466126315</c:v>
                </c:pt>
                <c:pt idx="327">
                  <c:v>0.13053044207686629</c:v>
                </c:pt>
                <c:pt idx="328">
                  <c:v>0.15490699443535211</c:v>
                </c:pt>
                <c:pt idx="329">
                  <c:v>0.16365241490312282</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4.8888694771544478E-2</c:v>
                </c:pt>
                <c:pt idx="376">
                  <c:v>4.9204615254720849E-2</c:v>
                </c:pt>
                <c:pt idx="377">
                  <c:v>4.4821218550648606E-2</c:v>
                </c:pt>
                <c:pt idx="378">
                  <c:v>4.5334589335810221E-2</c:v>
                </c:pt>
                <c:pt idx="379">
                  <c:v>8.2428591603750365E-2</c:v>
                </c:pt>
                <c:pt idx="380">
                  <c:v>7.9508883104532371E-2</c:v>
                </c:pt>
                <c:pt idx="381">
                  <c:v>4.3676006799134234E-2</c:v>
                </c:pt>
                <c:pt idx="382">
                  <c:v>4.6736486479905401E-2</c:v>
                </c:pt>
                <c:pt idx="383">
                  <c:v>8.0881726173701096E-2</c:v>
                </c:pt>
                <c:pt idx="384">
                  <c:v>7.9160838382771284E-2</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2-5784-4D5F-9FF1-3749E403C31D}"/>
            </c:ext>
          </c:extLst>
        </c:ser>
        <c:ser>
          <c:idx val="2"/>
          <c:order val="3"/>
          <c:tx>
            <c:v>Machined</c:v>
          </c:tx>
          <c:spPr>
            <a:ln w="19050" cap="rnd">
              <a:noFill/>
              <a:round/>
            </a:ln>
            <a:effectLst/>
          </c:spPr>
          <c:marker>
            <c:symbol val="triangle"/>
            <c:size val="5"/>
            <c:spPr>
              <a:solidFill>
                <a:srgbClr val="0000FF"/>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Data'!$Z$15:$Z$684</c:f>
              <c:numCache>
                <c:formatCode>General</c:formatCode>
                <c:ptCount val="670"/>
                <c:pt idx="0">
                  <c:v>0.23470631808912235</c:v>
                </c:pt>
                <c:pt idx="1">
                  <c:v>0.23096977394057869</c:v>
                </c:pt>
                <c:pt idx="2">
                  <c:v>0.23290396628302373</c:v>
                </c:pt>
                <c:pt idx="3">
                  <c:v>0.241082284074776</c:v>
                </c:pt>
                <c:pt idx="4">
                  <c:v>0.23501478034097101</c:v>
                </c:pt>
                <c:pt idx="5">
                  <c:v>0.23648774618483362</c:v>
                </c:pt>
                <c:pt idx="6">
                  <c:v>0.23693291615148723</c:v>
                </c:pt>
                <c:pt idx="7">
                  <c:v>0.23640414346969585</c:v>
                </c:pt>
                <c:pt idx="8">
                  <c:v>0.23265028588647044</c:v>
                </c:pt>
                <c:pt idx="9">
                  <c:v>#N/A</c:v>
                </c:pt>
                <c:pt idx="10">
                  <c:v>0.57889405009843753</c:v>
                </c:pt>
                <c:pt idx="11">
                  <c:v>0.56677480467050978</c:v>
                </c:pt>
                <c:pt idx="12">
                  <c:v>0.61870822690062544</c:v>
                </c:pt>
                <c:pt idx="13">
                  <c:v>0.6160389674554354</c:v>
                </c:pt>
                <c:pt idx="14">
                  <c:v>0.10332983595783488</c:v>
                </c:pt>
                <c:pt idx="15">
                  <c:v>0.13750907512604812</c:v>
                </c:pt>
                <c:pt idx="16">
                  <c:v>0.1856880104494715</c:v>
                </c:pt>
                <c:pt idx="17">
                  <c:v>0.37938721618464943</c:v>
                </c:pt>
                <c:pt idx="18">
                  <c:v>0.44427694734093015</c:v>
                </c:pt>
                <c:pt idx="19">
                  <c:v>0.60063939738644889</c:v>
                </c:pt>
                <c:pt idx="20">
                  <c:v>0.10452144329222224</c:v>
                </c:pt>
                <c:pt idx="21">
                  <c:v>0.10350609438872335</c:v>
                </c:pt>
                <c:pt idx="22">
                  <c:v>0.10428253738857871</c:v>
                </c:pt>
                <c:pt idx="23">
                  <c:v>#N/A</c:v>
                </c:pt>
                <c:pt idx="24">
                  <c:v>0.13594438346449247</c:v>
                </c:pt>
                <c:pt idx="25">
                  <c:v>0.18491617869933433</c:v>
                </c:pt>
                <c:pt idx="26">
                  <c:v>0.3608777315798819</c:v>
                </c:pt>
                <c:pt idx="27">
                  <c:v>0.42556011044727304</c:v>
                </c:pt>
                <c:pt idx="28">
                  <c:v>0.57449392656608378</c:v>
                </c:pt>
                <c:pt idx="29">
                  <c:v>0.1027362191960427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0.1441548056555573</c:v>
                </c:pt>
                <c:pt idx="209">
                  <c:v>0.1046054027176473</c:v>
                </c:pt>
                <c:pt idx="210">
                  <c:v>6.1626159686014183E-2</c:v>
                </c:pt>
                <c:pt idx="211">
                  <c:v>0.17345482330633011</c:v>
                </c:pt>
                <c:pt idx="212">
                  <c:v>8.7708011311992171E-2</c:v>
                </c:pt>
                <c:pt idx="213">
                  <c:v>6.4577170386866389E-2</c:v>
                </c:pt>
                <c:pt idx="214">
                  <c:v>0.17233597540399795</c:v>
                </c:pt>
                <c:pt idx="215">
                  <c:v>0.18047406313140898</c:v>
                </c:pt>
                <c:pt idx="216">
                  <c:v>0.2681571036092148</c:v>
                </c:pt>
                <c:pt idx="217">
                  <c:v>0.28927641153467182</c:v>
                </c:pt>
                <c:pt idx="218">
                  <c:v>0.25187225926047707</c:v>
                </c:pt>
                <c:pt idx="219">
                  <c:v>0.24026045720311631</c:v>
                </c:pt>
                <c:pt idx="220">
                  <c:v>0.28045648956167174</c:v>
                </c:pt>
                <c:pt idx="221">
                  <c:v>0.20405354199586023</c:v>
                </c:pt>
                <c:pt idx="222">
                  <c:v>0.29687502238448887</c:v>
                </c:pt>
                <c:pt idx="223">
                  <c:v>0.19613164718240897</c:v>
                </c:pt>
                <c:pt idx="224">
                  <c:v>0.32810568686800567</c:v>
                </c:pt>
                <c:pt idx="225">
                  <c:v>0.44595712933490705</c:v>
                </c:pt>
                <c:pt idx="226">
                  <c:v>0.33977374116629883</c:v>
                </c:pt>
                <c:pt idx="227">
                  <c:v>0.27214180378136837</c:v>
                </c:pt>
                <c:pt idx="228">
                  <c:v>0.423267358647192</c:v>
                </c:pt>
                <c:pt idx="229">
                  <c:v>0.40847739690771884</c:v>
                </c:pt>
                <c:pt idx="230">
                  <c:v>0.4093902832737043</c:v>
                </c:pt>
                <c:pt idx="231">
                  <c:v>0.38835433346248149</c:v>
                </c:pt>
                <c:pt idx="232">
                  <c:v>0.30392947836194206</c:v>
                </c:pt>
                <c:pt idx="233">
                  <c:v>0.40073232327226049</c:v>
                </c:pt>
                <c:pt idx="234">
                  <c:v>0.36886821582250323</c:v>
                </c:pt>
                <c:pt idx="235">
                  <c:v>0.43248249432427566</c:v>
                </c:pt>
                <c:pt idx="236">
                  <c:v>0.54745416384568002</c:v>
                </c:pt>
                <c:pt idx="237">
                  <c:v>0.34837304619975001</c:v>
                </c:pt>
                <c:pt idx="238">
                  <c:v>0.48225155900497763</c:v>
                </c:pt>
                <c:pt idx="239">
                  <c:v>0.42246670630132671</c:v>
                </c:pt>
                <c:pt idx="240">
                  <c:v>0.40619729229071527</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0.29533349311534168</c:v>
                </c:pt>
                <c:pt idx="499">
                  <c:v>0.29198105886916753</c:v>
                </c:pt>
                <c:pt idx="500">
                  <c:v>0.30650827393592217</c:v>
                </c:pt>
                <c:pt idx="501">
                  <c:v>0.22900318695889604</c:v>
                </c:pt>
                <c:pt idx="502">
                  <c:v>0.23147760271202458</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0.40272862112889729</c:v>
                </c:pt>
                <c:pt idx="629">
                  <c:v>0.44716376228697385</c:v>
                </c:pt>
                <c:pt idx="630">
                  <c:v>0.45820198776676696</c:v>
                </c:pt>
                <c:pt idx="631">
                  <c:v>0.56581817779648536</c:v>
                </c:pt>
                <c:pt idx="632">
                  <c:v>0.57456114089363219</c:v>
                </c:pt>
                <c:pt idx="633">
                  <c:v>0.61089266838519762</c:v>
                </c:pt>
                <c:pt idx="634">
                  <c:v>0.69201826417221346</c:v>
                </c:pt>
                <c:pt idx="635">
                  <c:v>0.62659942736446694</c:v>
                </c:pt>
                <c:pt idx="636">
                  <c:v>0.3995127374123762</c:v>
                </c:pt>
                <c:pt idx="637">
                  <c:v>0.26710358938624168</c:v>
                </c:pt>
                <c:pt idx="638">
                  <c:v>0.17760214195967022</c:v>
                </c:pt>
                <c:pt idx="639">
                  <c:v>0.13917617870188029</c:v>
                </c:pt>
                <c:pt idx="640">
                  <c:v>0.13669088979648955</c:v>
                </c:pt>
                <c:pt idx="641">
                  <c:v>0.13696703300819965</c:v>
                </c:pt>
                <c:pt idx="642">
                  <c:v>0.17154795035287182</c:v>
                </c:pt>
                <c:pt idx="643">
                  <c:v>0.20636784683510007</c:v>
                </c:pt>
                <c:pt idx="644">
                  <c:v>0.2878682036419668</c:v>
                </c:pt>
                <c:pt idx="645">
                  <c:v>0.19862858753496088</c:v>
                </c:pt>
                <c:pt idx="646">
                  <c:v>0.23282546307648086</c:v>
                </c:pt>
                <c:pt idx="647">
                  <c:v>7.6461362326397136E-2</c:v>
                </c:pt>
                <c:pt idx="648">
                  <c:v>0.1950090809438263</c:v>
                </c:pt>
                <c:pt idx="649">
                  <c:v>0.32983503080577481</c:v>
                </c:pt>
                <c:pt idx="650">
                  <c:v>0.48334034365025358</c:v>
                </c:pt>
                <c:pt idx="651">
                  <c:v>0.62285902135906457</c:v>
                </c:pt>
                <c:pt idx="652">
                  <c:v>0.74435642369191912</c:v>
                </c:pt>
                <c:pt idx="653">
                  <c:v>7.0470303494935424E-2</c:v>
                </c:pt>
                <c:pt idx="654">
                  <c:v>0.1830302822887945</c:v>
                </c:pt>
                <c:pt idx="655">
                  <c:v>0.30872116907306951</c:v>
                </c:pt>
                <c:pt idx="656">
                  <c:v>0.45726683679565744</c:v>
                </c:pt>
                <c:pt idx="657">
                  <c:v>0.61637796329053485</c:v>
                </c:pt>
                <c:pt idx="658">
                  <c:v>0.71030112454937766</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3-5784-4D5F-9FF1-3749E403C31D}"/>
            </c:ext>
          </c:extLst>
        </c:ser>
        <c:ser>
          <c:idx val="0"/>
          <c:order val="4"/>
          <c:tx>
            <c:v>Longitudinally butt-joined</c:v>
          </c:tx>
          <c:spPr>
            <a:ln w="19050" cap="rnd">
              <a:noFill/>
              <a:round/>
            </a:ln>
            <a:effectLst/>
          </c:spPr>
          <c:marker>
            <c:symbol val="circle"/>
            <c:size val="4"/>
            <c:spPr>
              <a:solidFill>
                <a:schemeClr val="tx1"/>
              </a:solidFill>
              <a:ln w="952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Data'!$W$15:$W$684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0.52920832717373667</c:v>
                </c:pt>
                <c:pt idx="35">
                  <c:v>0.35734950519367314</c:v>
                </c:pt>
                <c:pt idx="36">
                  <c:v>0.30428261682022567</c:v>
                </c:pt>
                <c:pt idx="37">
                  <c:v>0.34444792224049547</c:v>
                </c:pt>
                <c:pt idx="38">
                  <c:v>0.1377385978806222</c:v>
                </c:pt>
                <c:pt idx="39">
                  <c:v>0.13932086748808736</c:v>
                </c:pt>
                <c:pt idx="40">
                  <c:v>0.30000612220387285</c:v>
                </c:pt>
                <c:pt idx="41">
                  <c:v>0.37331842909378327</c:v>
                </c:pt>
                <c:pt idx="42">
                  <c:v>0.45219841717054027</c:v>
                </c:pt>
                <c:pt idx="43">
                  <c:v>0.47141502553873432</c:v>
                </c:pt>
                <c:pt idx="44">
                  <c:v>0.24396443802461787</c:v>
                </c:pt>
                <c:pt idx="45">
                  <c:v>0.24723477503242589</c:v>
                </c:pt>
                <c:pt idx="46">
                  <c:v>0.38259672626337743</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9.9457210619263534E-2</c:v>
                </c:pt>
                <c:pt idx="250">
                  <c:v>0.13653989910355002</c:v>
                </c:pt>
                <c:pt idx="251">
                  <c:v>0.16359477998255403</c:v>
                </c:pt>
                <c:pt idx="252">
                  <c:v>0.25568824924188327</c:v>
                </c:pt>
                <c:pt idx="253">
                  <c:v>0.25205818360552606</c:v>
                </c:pt>
                <c:pt idx="254">
                  <c:v>0.22171387824667943</c:v>
                </c:pt>
                <c:pt idx="255">
                  <c:v>0.22695125576955136</c:v>
                </c:pt>
                <c:pt idx="256">
                  <c:v>#N/A</c:v>
                </c:pt>
                <c:pt idx="257">
                  <c:v>#N/A</c:v>
                </c:pt>
                <c:pt idx="258">
                  <c:v>#N/A</c:v>
                </c:pt>
                <c:pt idx="259">
                  <c:v>#N/A</c:v>
                </c:pt>
                <c:pt idx="260">
                  <c:v>#N/A</c:v>
                </c:pt>
                <c:pt idx="261">
                  <c:v>#N/A</c:v>
                </c:pt>
                <c:pt idx="262">
                  <c:v>0.69696291321268566</c:v>
                </c:pt>
                <c:pt idx="263">
                  <c:v>0.55757033057014849</c:v>
                </c:pt>
                <c:pt idx="264">
                  <c:v>0.59623204688798426</c:v>
                </c:pt>
                <c:pt idx="265">
                  <c:v>0.61727243672082011</c:v>
                </c:pt>
                <c:pt idx="266">
                  <c:v>0.48262937231742575</c:v>
                </c:pt>
                <c:pt idx="267">
                  <c:v>0.54874149847113507</c:v>
                </c:pt>
                <c:pt idx="268">
                  <c:v>0.54277691696601416</c:v>
                </c:pt>
                <c:pt idx="269">
                  <c:v>0.55828368256510974</c:v>
                </c:pt>
                <c:pt idx="270">
                  <c:v>0.53229653114090503</c:v>
                </c:pt>
                <c:pt idx="271">
                  <c:v>0.50371933469870411</c:v>
                </c:pt>
                <c:pt idx="272">
                  <c:v>0.60499645171607908</c:v>
                </c:pt>
                <c:pt idx="273">
                  <c:v>0.53809780561285891</c:v>
                </c:pt>
                <c:pt idx="274">
                  <c:v>0.39592284799378785</c:v>
                </c:pt>
                <c:pt idx="275">
                  <c:v>6.5880440172496016E-2</c:v>
                </c:pt>
                <c:pt idx="276">
                  <c:v>9.7192580415400728E-2</c:v>
                </c:pt>
                <c:pt idx="277">
                  <c:v>0.1079833421677923</c:v>
                </c:pt>
                <c:pt idx="278">
                  <c:v>0.1335404094760882</c:v>
                </c:pt>
                <c:pt idx="279">
                  <c:v>0.10703678411933691</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0.39584279216259538</c:v>
                </c:pt>
                <c:pt idx="386">
                  <c:v>0.34610940929859391</c:v>
                </c:pt>
                <c:pt idx="387">
                  <c:v>0.48094983898594235</c:v>
                </c:pt>
                <c:pt idx="388">
                  <c:v>0.34117423294590943</c:v>
                </c:pt>
                <c:pt idx="389">
                  <c:v>0.3932687698735079</c:v>
                </c:pt>
                <c:pt idx="390">
                  <c:v>0.61573988743240926</c:v>
                </c:pt>
                <c:pt idx="391">
                  <c:v>0.4074949410901077</c:v>
                </c:pt>
                <c:pt idx="392">
                  <c:v>0.59535927663362243</c:v>
                </c:pt>
                <c:pt idx="393">
                  <c:v>7.9408417129236825E-2</c:v>
                </c:pt>
                <c:pt idx="394">
                  <c:v>9.6320296372152933E-2</c:v>
                </c:pt>
                <c:pt idx="395">
                  <c:v>0.12533003319707886</c:v>
                </c:pt>
                <c:pt idx="396">
                  <c:v>0.16560124506520929</c:v>
                </c:pt>
                <c:pt idx="397">
                  <c:v>8.1983914528185653E-2</c:v>
                </c:pt>
                <c:pt idx="398">
                  <c:v>0.48983932113447265</c:v>
                </c:pt>
                <c:pt idx="399">
                  <c:v>0.31094652201830331</c:v>
                </c:pt>
                <c:pt idx="400">
                  <c:v>0.28351615416934006</c:v>
                </c:pt>
                <c:pt idx="401">
                  <c:v>0.23549427253480876</c:v>
                </c:pt>
                <c:pt idx="402">
                  <c:v>0.1047603066300252</c:v>
                </c:pt>
                <c:pt idx="403">
                  <c:v>0.13086211614936263</c:v>
                </c:pt>
                <c:pt idx="404">
                  <c:v>0.18273899613595873</c:v>
                </c:pt>
                <c:pt idx="405">
                  <c:v>0.18643442578481531</c:v>
                </c:pt>
                <c:pt idx="406">
                  <c:v>0.20277121058715084</c:v>
                </c:pt>
                <c:pt idx="407">
                  <c:v>0.27816602428044396</c:v>
                </c:pt>
                <c:pt idx="408">
                  <c:v>0.53930509707657448</c:v>
                </c:pt>
                <c:pt idx="409">
                  <c:v>0.39676768308876392</c:v>
                </c:pt>
                <c:pt idx="410">
                  <c:v>0.37033167311551884</c:v>
                </c:pt>
                <c:pt idx="411">
                  <c:v>0.55795464324285493</c:v>
                </c:pt>
                <c:pt idx="412">
                  <c:v>0.47116176195567699</c:v>
                </c:pt>
                <c:pt idx="413">
                  <c:v>0.83900341109296039</c:v>
                </c:pt>
                <c:pt idx="414">
                  <c:v>0.80734306339192341</c:v>
                </c:pt>
                <c:pt idx="415">
                  <c:v>6.5115662194649218E-2</c:v>
                </c:pt>
                <c:pt idx="416">
                  <c:v>9.5159583048022869E-2</c:v>
                </c:pt>
                <c:pt idx="417">
                  <c:v>0.1903381081546337</c:v>
                </c:pt>
                <c:pt idx="418">
                  <c:v>0.26524512189269084</c:v>
                </c:pt>
                <c:pt idx="419">
                  <c:v>0.24042708398480042</c:v>
                </c:pt>
                <c:pt idx="420">
                  <c:v>0.36453639264465204</c:v>
                </c:pt>
                <c:pt idx="421">
                  <c:v>0.25322755746650366</c:v>
                </c:pt>
                <c:pt idx="422">
                  <c:v>0.27924604663774732</c:v>
                </c:pt>
                <c:pt idx="423">
                  <c:v>0.23261319047539386</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0.17879649312928794</c:v>
                </c:pt>
                <c:pt idx="493">
                  <c:v>0.27298393147418071</c:v>
                </c:pt>
                <c:pt idx="494">
                  <c:v>0.17560369860912209</c:v>
                </c:pt>
                <c:pt idx="495">
                  <c:v>0.26843419928294437</c:v>
                </c:pt>
                <c:pt idx="496">
                  <c:v>0.14527215066754645</c:v>
                </c:pt>
                <c:pt idx="497">
                  <c:v>0.27386194996722629</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0.26370991891233025</c:v>
                </c:pt>
                <c:pt idx="570">
                  <c:v>0.21430646249840371</c:v>
                </c:pt>
                <c:pt idx="571">
                  <c:v>0.20211015975459209</c:v>
                </c:pt>
                <c:pt idx="572">
                  <c:v>0.2791422411842544</c:v>
                </c:pt>
                <c:pt idx="573">
                  <c:v>0.31835689332816192</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0.33957021167405349</c:v>
                </c:pt>
                <c:pt idx="660">
                  <c:v>0.33330297622369343</c:v>
                </c:pt>
                <c:pt idx="661">
                  <c:v>0.27177011907470389</c:v>
                </c:pt>
                <c:pt idx="662">
                  <c:v>0.31678026458183517</c:v>
                </c:pt>
                <c:pt idx="663">
                  <c:v>0.2889765291293287</c:v>
                </c:pt>
                <c:pt idx="664">
                  <c:v>0.41021904765993039</c:v>
                </c:pt>
                <c:pt idx="665">
                  <c:v>0.45921743390819986</c:v>
                </c:pt>
                <c:pt idx="666">
                  <c:v>0.42921067023677906</c:v>
                </c:pt>
                <c:pt idx="667">
                  <c:v>0.30386596122957804</c:v>
                </c:pt>
                <c:pt idx="668">
                  <c:v>0.35324417992938445</c:v>
                </c:pt>
                <c:pt idx="669">
                  <c:v>0.43984597887981425</c:v>
                </c:pt>
              </c:numCache>
            </c:numRef>
          </c:yVal>
          <c:smooth val="0"/>
          <c:extLst>
            <c:ext xmlns:c16="http://schemas.microsoft.com/office/drawing/2014/chart" uri="{C3380CC4-5D6E-409C-BE32-E72D297353CC}">
              <c16:uniqueId val="{00000004-5784-4D5F-9FF1-3749E403C31D}"/>
            </c:ext>
          </c:extLst>
        </c:ser>
        <c:ser>
          <c:idx val="1"/>
          <c:order val="5"/>
          <c:tx>
            <c:v>Longitudinally overlap-joined</c:v>
          </c:tx>
          <c:spPr>
            <a:ln w="19050" cap="rnd">
              <a:noFill/>
              <a:round/>
            </a:ln>
            <a:effectLst/>
          </c:spPr>
          <c:marker>
            <c:symbol val="square"/>
            <c:size val="4"/>
            <c:spPr>
              <a:solidFill>
                <a:srgbClr val="FF0000"/>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Data'!$X$15:$X$684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0.32670458130080182</c:v>
                </c:pt>
                <c:pt idx="48">
                  <c:v>0.2723874392563127</c:v>
                </c:pt>
                <c:pt idx="49">
                  <c:v>0.2818077554042499</c:v>
                </c:pt>
                <c:pt idx="50">
                  <c:v>0.28060516185344947</c:v>
                </c:pt>
                <c:pt idx="51">
                  <c:v>0.31068603520413929</c:v>
                </c:pt>
                <c:pt idx="52">
                  <c:v>0.29824320059852344</c:v>
                </c:pt>
                <c:pt idx="53">
                  <c:v>0.2815672366940899</c:v>
                </c:pt>
                <c:pt idx="54">
                  <c:v>0.31697159082965648</c:v>
                </c:pt>
                <c:pt idx="55">
                  <c:v>0.2627926668706061</c:v>
                </c:pt>
                <c:pt idx="56">
                  <c:v>0.26353154034821785</c:v>
                </c:pt>
                <c:pt idx="57">
                  <c:v>0.25433667040460406</c:v>
                </c:pt>
                <c:pt idx="58">
                  <c:v>0.23537225114590049</c:v>
                </c:pt>
                <c:pt idx="59">
                  <c:v>#N/A</c:v>
                </c:pt>
                <c:pt idx="60">
                  <c:v>#N/A</c:v>
                </c:pt>
                <c:pt idx="61">
                  <c:v>#N/A</c:v>
                </c:pt>
                <c:pt idx="62">
                  <c:v>0.51220406089760762</c:v>
                </c:pt>
                <c:pt idx="63">
                  <c:v>0.44115640083761687</c:v>
                </c:pt>
                <c:pt idx="64">
                  <c:v>0.55351084000225337</c:v>
                </c:pt>
                <c:pt idx="65">
                  <c:v>0.43950412967343105</c:v>
                </c:pt>
                <c:pt idx="66">
                  <c:v>0.59812216143527075</c:v>
                </c:pt>
                <c:pt idx="67">
                  <c:v>0.49237680692737751</c:v>
                </c:pt>
                <c:pt idx="68">
                  <c:v>0.44280867200180263</c:v>
                </c:pt>
                <c:pt idx="69">
                  <c:v>0.57168582280829738</c:v>
                </c:pt>
                <c:pt idx="70">
                  <c:v>0.53533585719620902</c:v>
                </c:pt>
                <c:pt idx="71">
                  <c:v>0.45107002782273187</c:v>
                </c:pt>
                <c:pt idx="72">
                  <c:v>0.46428819713621844</c:v>
                </c:pt>
                <c:pt idx="73">
                  <c:v>0.50063816274830664</c:v>
                </c:pt>
                <c:pt idx="74">
                  <c:v>0.41141551988227176</c:v>
                </c:pt>
                <c:pt idx="75">
                  <c:v>0.42463368919575839</c:v>
                </c:pt>
                <c:pt idx="76">
                  <c:v>0.2411554474956889</c:v>
                </c:pt>
                <c:pt idx="77">
                  <c:v>0.26642905703710262</c:v>
                </c:pt>
                <c:pt idx="78">
                  <c:v>0.24050782929894216</c:v>
                </c:pt>
                <c:pt idx="79">
                  <c:v>0.33276445491164647</c:v>
                </c:pt>
                <c:pt idx="80">
                  <c:v>0.29384447099213151</c:v>
                </c:pt>
                <c:pt idx="81">
                  <c:v>0.43394096457861686</c:v>
                </c:pt>
                <c:pt idx="82">
                  <c:v>0.13564357259641754</c:v>
                </c:pt>
                <c:pt idx="83">
                  <c:v>0.15479396936850673</c:v>
                </c:pt>
                <c:pt idx="84">
                  <c:v>0.2352034831345686</c:v>
                </c:pt>
                <c:pt idx="85">
                  <c:v>0.29453913877225468</c:v>
                </c:pt>
                <c:pt idx="86">
                  <c:v>0.26797986958233588</c:v>
                </c:pt>
                <c:pt idx="87">
                  <c:v>0.32427251782276756</c:v>
                </c:pt>
                <c:pt idx="88">
                  <c:v>0.21826083698616702</c:v>
                </c:pt>
                <c:pt idx="89">
                  <c:v>0.31008712796085569</c:v>
                </c:pt>
                <c:pt idx="90">
                  <c:v>0.26083141088404099</c:v>
                </c:pt>
                <c:pt idx="91">
                  <c:v>0.17190320000870835</c:v>
                </c:pt>
                <c:pt idx="92">
                  <c:v>0.20386330282968676</c:v>
                </c:pt>
                <c:pt idx="93">
                  <c:v>0.2562046061708273</c:v>
                </c:pt>
                <c:pt idx="94">
                  <c:v>0.19312581729373399</c:v>
                </c:pt>
                <c:pt idx="95">
                  <c:v>0.31812626123732268</c:v>
                </c:pt>
                <c:pt idx="96">
                  <c:v>0.22852688182856856</c:v>
                </c:pt>
                <c:pt idx="97">
                  <c:v>0.22068090572493562</c:v>
                </c:pt>
                <c:pt idx="98">
                  <c:v>0.3238240450206778</c:v>
                </c:pt>
                <c:pt idx="99">
                  <c:v>0.2245247458937866</c:v>
                </c:pt>
                <c:pt idx="100">
                  <c:v>0.27147188655279747</c:v>
                </c:pt>
                <c:pt idx="101">
                  <c:v>0.30215058897453856</c:v>
                </c:pt>
                <c:pt idx="102">
                  <c:v>0.16559131164643109</c:v>
                </c:pt>
                <c:pt idx="103">
                  <c:v>0.17418347712143262</c:v>
                </c:pt>
                <c:pt idx="104">
                  <c:v>0.17726859836157469</c:v>
                </c:pt>
                <c:pt idx="105">
                  <c:v>0.16032193507127626</c:v>
                </c:pt>
                <c:pt idx="106">
                  <c:v>0.28449806900749747</c:v>
                </c:pt>
                <c:pt idx="107">
                  <c:v>0.40319599621383334</c:v>
                </c:pt>
                <c:pt idx="108">
                  <c:v>0.38433302563073002</c:v>
                </c:pt>
                <c:pt idx="109">
                  <c:v>0.24685776158599904</c:v>
                </c:pt>
                <c:pt idx="110">
                  <c:v>0.37609812741173981</c:v>
                </c:pt>
                <c:pt idx="111">
                  <c:v>0.22490813621020811</c:v>
                </c:pt>
                <c:pt idx="112">
                  <c:v>0.19942484606427047</c:v>
                </c:pt>
                <c:pt idx="113">
                  <c:v>0.281818719324606</c:v>
                </c:pt>
                <c:pt idx="114">
                  <c:v>0.28277322742828476</c:v>
                </c:pt>
                <c:pt idx="115">
                  <c:v>0.3839803660553287</c:v>
                </c:pt>
                <c:pt idx="116">
                  <c:v>#N/A</c:v>
                </c:pt>
                <c:pt idx="117">
                  <c:v>#N/A</c:v>
                </c:pt>
                <c:pt idx="118">
                  <c:v>#N/A</c:v>
                </c:pt>
                <c:pt idx="119">
                  <c:v>#N/A</c:v>
                </c:pt>
                <c:pt idx="120">
                  <c:v>#N/A</c:v>
                </c:pt>
                <c:pt idx="121">
                  <c:v>#N/A</c:v>
                </c:pt>
                <c:pt idx="122">
                  <c:v>#N/A</c:v>
                </c:pt>
                <c:pt idx="123">
                  <c:v>#N/A</c:v>
                </c:pt>
                <c:pt idx="124">
                  <c:v>0.38955393689032747</c:v>
                </c:pt>
                <c:pt idx="125">
                  <c:v>0.41931936541541204</c:v>
                </c:pt>
                <c:pt idx="126">
                  <c:v>0.3022897964821582</c:v>
                </c:pt>
                <c:pt idx="127">
                  <c:v>0.3022897964821582</c:v>
                </c:pt>
                <c:pt idx="128">
                  <c:v>0.34456571405760156</c:v>
                </c:pt>
                <c:pt idx="129">
                  <c:v>0.32806042722189011</c:v>
                </c:pt>
                <c:pt idx="130">
                  <c:v>0.31234577184605744</c:v>
                </c:pt>
                <c:pt idx="131">
                  <c:v>0.53159753422996803</c:v>
                </c:pt>
                <c:pt idx="132">
                  <c:v>0.56292975945594959</c:v>
                </c:pt>
                <c:pt idx="133">
                  <c:v>0.62609995658685913</c:v>
                </c:pt>
                <c:pt idx="134">
                  <c:v>0.95027323887179593</c:v>
                </c:pt>
                <c:pt idx="135">
                  <c:v>1.0743456653442474</c:v>
                </c:pt>
                <c:pt idx="136">
                  <c:v>1.6041419259635914</c:v>
                </c:pt>
                <c:pt idx="137">
                  <c:v>0.39762280324794341</c:v>
                </c:pt>
                <c:pt idx="138">
                  <c:v>0.35110762238948906</c:v>
                </c:pt>
                <c:pt idx="139">
                  <c:v>0.3118761317731959</c:v>
                </c:pt>
                <c:pt idx="140">
                  <c:v>0.2992070328369692</c:v>
                </c:pt>
                <c:pt idx="141">
                  <c:v>0.41939904410146706</c:v>
                </c:pt>
                <c:pt idx="142">
                  <c:v>0.44499639812222946</c:v>
                </c:pt>
                <c:pt idx="143">
                  <c:v>0.46109873569917537</c:v>
                </c:pt>
                <c:pt idx="144">
                  <c:v>0.60196979325447642</c:v>
                </c:pt>
                <c:pt idx="145">
                  <c:v>0.82402182416060177</c:v>
                </c:pt>
                <c:pt idx="146">
                  <c:v>1.2475045270927856</c:v>
                </c:pt>
                <c:pt idx="147">
                  <c:v>0.29222202097363392</c:v>
                </c:pt>
                <c:pt idx="148">
                  <c:v>0.234304685559169</c:v>
                </c:pt>
                <c:pt idx="149">
                  <c:v>0.22126347205761535</c:v>
                </c:pt>
                <c:pt idx="150">
                  <c:v>0.21239512485531817</c:v>
                </c:pt>
                <c:pt idx="151">
                  <c:v>0.2089481221860954</c:v>
                </c:pt>
                <c:pt idx="152">
                  <c:v>0.20555706160786749</c:v>
                </c:pt>
                <c:pt idx="153">
                  <c:v>0.24012649456431293</c:v>
                </c:pt>
                <c:pt idx="154">
                  <c:v>0.26273835390627037</c:v>
                </c:pt>
                <c:pt idx="155">
                  <c:v>0.28747949175132603</c:v>
                </c:pt>
                <c:pt idx="156">
                  <c:v>0.34699777623386224</c:v>
                </c:pt>
                <c:pt idx="157">
                  <c:v>0.45084144898790657</c:v>
                </c:pt>
                <c:pt idx="158">
                  <c:v>0.58098904895370651</c:v>
                </c:pt>
                <c:pt idx="159">
                  <c:v>0.6731666479539854</c:v>
                </c:pt>
                <c:pt idx="160">
                  <c:v>0.95698059107511413</c:v>
                </c:pt>
                <c:pt idx="161">
                  <c:v>0.86749444058465663</c:v>
                </c:pt>
                <c:pt idx="162">
                  <c:v>0.30177159481585053</c:v>
                </c:pt>
                <c:pt idx="163">
                  <c:v>0.20777116908169746</c:v>
                </c:pt>
                <c:pt idx="164">
                  <c:v>0.19010419228441863</c:v>
                </c:pt>
                <c:pt idx="165">
                  <c:v>0.18675531753105906</c:v>
                </c:pt>
                <c:pt idx="166">
                  <c:v>0.22307975292688204</c:v>
                </c:pt>
                <c:pt idx="167">
                  <c:v>0.28273292921091303</c:v>
                </c:pt>
                <c:pt idx="168">
                  <c:v>0.30177159481585053</c:v>
                </c:pt>
                <c:pt idx="169">
                  <c:v>0.33772528047119454</c:v>
                </c:pt>
                <c:pt idx="170">
                  <c:v>0.39866208841663964</c:v>
                </c:pt>
                <c:pt idx="171">
                  <c:v>0.57902592908259642</c:v>
                </c:pt>
                <c:pt idx="172">
                  <c:v>0.84099049368239565</c:v>
                </c:pt>
                <c:pt idx="173">
                  <c:v>1.0045655139823491</c:v>
                </c:pt>
                <c:pt idx="174">
                  <c:v>0.22572326583598407</c:v>
                </c:pt>
                <c:pt idx="175">
                  <c:v>0.19322737104026258</c:v>
                </c:pt>
                <c:pt idx="176">
                  <c:v>0.18548272435530894</c:v>
                </c:pt>
                <c:pt idx="177">
                  <c:v>0.18700641382567429</c:v>
                </c:pt>
                <c:pt idx="178">
                  <c:v>0.18247248837939781</c:v>
                </c:pt>
                <c:pt idx="179">
                  <c:v>0.18854261998518254</c:v>
                </c:pt>
                <c:pt idx="180">
                  <c:v>0.26368413783907368</c:v>
                </c:pt>
                <c:pt idx="181">
                  <c:v>0.25519482428669626</c:v>
                </c:pt>
                <c:pt idx="182">
                  <c:v>0.38104004151776222</c:v>
                </c:pt>
                <c:pt idx="183">
                  <c:v>0.33156524979597468</c:v>
                </c:pt>
                <c:pt idx="184">
                  <c:v>0.56894380066558803</c:v>
                </c:pt>
                <c:pt idx="185">
                  <c:v>0.48703670162272333</c:v>
                </c:pt>
                <c:pt idx="186">
                  <c:v>0.46370681088827237</c:v>
                </c:pt>
                <c:pt idx="187">
                  <c:v>0.51574252256048314</c:v>
                </c:pt>
                <c:pt idx="188">
                  <c:v>0.70379844054274177</c:v>
                </c:pt>
                <c:pt idx="189">
                  <c:v>0.78277647551548768</c:v>
                </c:pt>
                <c:pt idx="190">
                  <c:v>1.033810603795414</c:v>
                </c:pt>
                <c:pt idx="191">
                  <c:v>1.168790086410471</c:v>
                </c:pt>
                <c:pt idx="192">
                  <c:v>0.17029918819162476</c:v>
                </c:pt>
                <c:pt idx="193">
                  <c:v>0.12479500926461229</c:v>
                </c:pt>
                <c:pt idx="194">
                  <c:v>0.12479500926461229</c:v>
                </c:pt>
                <c:pt idx="195">
                  <c:v>0.11405486739299127</c:v>
                </c:pt>
                <c:pt idx="196">
                  <c:v>0.13107366177086094</c:v>
                </c:pt>
                <c:pt idx="197">
                  <c:v>0.18033657959516219</c:v>
                </c:pt>
                <c:pt idx="198">
                  <c:v>0.19253430188409193</c:v>
                </c:pt>
                <c:pt idx="199">
                  <c:v>0.20057338017566478</c:v>
                </c:pt>
                <c:pt idx="200">
                  <c:v>0.24012649456431401</c:v>
                </c:pt>
                <c:pt idx="201">
                  <c:v>0.28050962073851138</c:v>
                </c:pt>
                <c:pt idx="202">
                  <c:v>0.29948291201875293</c:v>
                </c:pt>
                <c:pt idx="203">
                  <c:v>0.45084144898790601</c:v>
                </c:pt>
                <c:pt idx="204">
                  <c:v>0.70703482494443437</c:v>
                </c:pt>
                <c:pt idx="205">
                  <c:v>0.7799688079038315</c:v>
                </c:pt>
                <c:pt idx="206">
                  <c:v>0.98075885316822609</c:v>
                </c:pt>
                <c:pt idx="207">
                  <c:v>1.0908165096552418</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6.9210826691294761E-2</c:v>
                </c:pt>
                <c:pt idx="287">
                  <c:v>#N/A</c:v>
                </c:pt>
                <c:pt idx="288">
                  <c:v>#N/A</c:v>
                </c:pt>
                <c:pt idx="289">
                  <c:v>7.514318326483431E-2</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0.42771599999999999</c:v>
                </c:pt>
                <c:pt idx="331">
                  <c:v>0.27138580199999995</c:v>
                </c:pt>
                <c:pt idx="332">
                  <c:v>0.29184929999999987</c:v>
                </c:pt>
                <c:pt idx="333">
                  <c:v>0.23985917999999989</c:v>
                </c:pt>
                <c:pt idx="334">
                  <c:v>0.23571871884000001</c:v>
                </c:pt>
                <c:pt idx="335">
                  <c:v>0.24338875135999993</c:v>
                </c:pt>
                <c:pt idx="336">
                  <c:v>0.34413609999999989</c:v>
                </c:pt>
                <c:pt idx="337">
                  <c:v>0.3196530139999999</c:v>
                </c:pt>
                <c:pt idx="338">
                  <c:v>0.50927094399999995</c:v>
                </c:pt>
                <c:pt idx="339">
                  <c:v>0.4312937664</c:v>
                </c:pt>
                <c:pt idx="340">
                  <c:v>0.52387499999999998</c:v>
                </c:pt>
                <c:pt idx="341">
                  <c:v>0.45737555200000007</c:v>
                </c:pt>
                <c:pt idx="342">
                  <c:v>0.43835797819999983</c:v>
                </c:pt>
                <c:pt idx="343">
                  <c:v>0.47803004479999994</c:v>
                </c:pt>
                <c:pt idx="344">
                  <c:v>0.53287276559999996</c:v>
                </c:pt>
                <c:pt idx="345">
                  <c:v>0.61648933120000005</c:v>
                </c:pt>
                <c:pt idx="346">
                  <c:v>0.56545467995999987</c:v>
                </c:pt>
                <c:pt idx="347">
                  <c:v>0.3775583857999999</c:v>
                </c:pt>
                <c:pt idx="348">
                  <c:v>0.56394322559999988</c:v>
                </c:pt>
                <c:pt idx="349">
                  <c:v>0.42306675839999996</c:v>
                </c:pt>
                <c:pt idx="350">
                  <c:v>0.61871454590399988</c:v>
                </c:pt>
                <c:pt idx="351">
                  <c:v>0.43547121499999997</c:v>
                </c:pt>
                <c:pt idx="352">
                  <c:v>0.4599989504</c:v>
                </c:pt>
                <c:pt idx="353">
                  <c:v>0.36746714999999996</c:v>
                </c:pt>
                <c:pt idx="354">
                  <c:v>0.56827368435199987</c:v>
                </c:pt>
                <c:pt idx="355">
                  <c:v>0.50634389759999987</c:v>
                </c:pt>
                <c:pt idx="356">
                  <c:v>0.33816467999999994</c:v>
                </c:pt>
                <c:pt idx="357">
                  <c:v>0.48195655200000015</c:v>
                </c:pt>
                <c:pt idx="358">
                  <c:v>0.53619439999999985</c:v>
                </c:pt>
                <c:pt idx="359">
                  <c:v>0.41151967999999983</c:v>
                </c:pt>
                <c:pt idx="360">
                  <c:v>0.49791821040000001</c:v>
                </c:pt>
                <c:pt idx="361">
                  <c:v>0.44512243200000001</c:v>
                </c:pt>
                <c:pt idx="362">
                  <c:v>0.46633806719999993</c:v>
                </c:pt>
                <c:pt idx="363">
                  <c:v>0.41633958719999981</c:v>
                </c:pt>
                <c:pt idx="364">
                  <c:v>0.48944316159999995</c:v>
                </c:pt>
                <c:pt idx="365">
                  <c:v>0.51134197999999986</c:v>
                </c:pt>
                <c:pt idx="366">
                  <c:v>0.55232072999999982</c:v>
                </c:pt>
                <c:pt idx="367">
                  <c:v>0.50567622299999992</c:v>
                </c:pt>
                <c:pt idx="368">
                  <c:v>0.44147024999999984</c:v>
                </c:pt>
                <c:pt idx="369">
                  <c:v>0.42526421839999989</c:v>
                </c:pt>
                <c:pt idx="370">
                  <c:v>0.53759447203199984</c:v>
                </c:pt>
                <c:pt idx="371">
                  <c:v>0.47839674999999982</c:v>
                </c:pt>
                <c:pt idx="372">
                  <c:v>0.4475704191999999</c:v>
                </c:pt>
                <c:pt idx="373">
                  <c:v>0.50817047680000005</c:v>
                </c:pt>
                <c:pt idx="374">
                  <c:v>0.54756302660000011</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0.3865102652449865</c:v>
                </c:pt>
                <c:pt idx="425">
                  <c:v>0.43885019699691169</c:v>
                </c:pt>
                <c:pt idx="426">
                  <c:v>0.46502016287287429</c:v>
                </c:pt>
                <c:pt idx="427">
                  <c:v>0.38922963123581278</c:v>
                </c:pt>
                <c:pt idx="428">
                  <c:v>0.2835085920793407</c:v>
                </c:pt>
                <c:pt idx="429">
                  <c:v>0.2835085920793407</c:v>
                </c:pt>
                <c:pt idx="430">
                  <c:v>0.29199248411835044</c:v>
                </c:pt>
                <c:pt idx="431">
                  <c:v>0.30367218348308445</c:v>
                </c:pt>
                <c:pt idx="432">
                  <c:v>0.32703158221255252</c:v>
                </c:pt>
                <c:pt idx="433">
                  <c:v>0.48403905964765487</c:v>
                </c:pt>
                <c:pt idx="434">
                  <c:v>0.51367410411587855</c:v>
                </c:pt>
                <c:pt idx="435">
                  <c:v>0.26572580735592816</c:v>
                </c:pt>
                <c:pt idx="436">
                  <c:v>0.28479600243205516</c:v>
                </c:pt>
                <c:pt idx="437">
                  <c:v>0.34915989898169963</c:v>
                </c:pt>
                <c:pt idx="438">
                  <c:v>0.34745112296710728</c:v>
                </c:pt>
                <c:pt idx="439">
                  <c:v>0.37593072321031284</c:v>
                </c:pt>
                <c:pt idx="440">
                  <c:v>0.32384510638040481</c:v>
                </c:pt>
                <c:pt idx="441">
                  <c:v>0.37176096395709735</c:v>
                </c:pt>
                <c:pt idx="442">
                  <c:v>0.56177212331294712</c:v>
                </c:pt>
                <c:pt idx="443">
                  <c:v>0.42132909248471029</c:v>
                </c:pt>
                <c:pt idx="444">
                  <c:v>0.31393148067488225</c:v>
                </c:pt>
                <c:pt idx="445">
                  <c:v>0.57829483282215133</c:v>
                </c:pt>
                <c:pt idx="446">
                  <c:v>0.29410422926383706</c:v>
                </c:pt>
                <c:pt idx="447">
                  <c:v>0.4708972210123234</c:v>
                </c:pt>
                <c:pt idx="448">
                  <c:v>0.3965451034025998</c:v>
                </c:pt>
                <c:pt idx="449">
                  <c:v>0.39654509130017851</c:v>
                </c:pt>
                <c:pt idx="450">
                  <c:v>0.38828374708171226</c:v>
                </c:pt>
                <c:pt idx="451">
                  <c:v>0.59481763695026779</c:v>
                </c:pt>
                <c:pt idx="452">
                  <c:v>0.49568136412522307</c:v>
                </c:pt>
                <c:pt idx="453">
                  <c:v>0.72699933405032724</c:v>
                </c:pt>
                <c:pt idx="454">
                  <c:v>0.28914746547496278</c:v>
                </c:pt>
                <c:pt idx="455">
                  <c:v>0.45437458860351299</c:v>
                </c:pt>
                <c:pt idx="456">
                  <c:v>0.57829492481276024</c:v>
                </c:pt>
                <c:pt idx="457">
                  <c:v>0.38002239076082484</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0.19619800025297726</c:v>
                </c:pt>
                <c:pt idx="586">
                  <c:v>0.2605048763774504</c:v>
                </c:pt>
                <c:pt idx="587">
                  <c:v>0.27605400006503689</c:v>
                </c:pt>
                <c:pt idx="588">
                  <c:v>0.22127468095561878</c:v>
                </c:pt>
                <c:pt idx="589">
                  <c:v>0.24808670536612881</c:v>
                </c:pt>
                <c:pt idx="590">
                  <c:v>0.25547922865223549</c:v>
                </c:pt>
                <c:pt idx="591">
                  <c:v>0.23737378469400774</c:v>
                </c:pt>
                <c:pt idx="592">
                  <c:v>0.22526042799014018</c:v>
                </c:pt>
                <c:pt idx="593">
                  <c:v>0.34051170774888662</c:v>
                </c:pt>
                <c:pt idx="594">
                  <c:v>0.30907789481575498</c:v>
                </c:pt>
                <c:pt idx="595">
                  <c:v>0.30372978401170414</c:v>
                </c:pt>
                <c:pt idx="596">
                  <c:v>0.28074882478938595</c:v>
                </c:pt>
                <c:pt idx="597">
                  <c:v>0.28387285280970181</c:v>
                </c:pt>
                <c:pt idx="598">
                  <c:v>0.28975667680445677</c:v>
                </c:pt>
                <c:pt idx="599">
                  <c:v>0.26763995929768397</c:v>
                </c:pt>
                <c:pt idx="600">
                  <c:v>0.24196501805912921</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0.31987969738637678</c:v>
                </c:pt>
                <c:pt idx="614">
                  <c:v>0.2354486408964809</c:v>
                </c:pt>
                <c:pt idx="615">
                  <c:v>0.22525963538400162</c:v>
                </c:pt>
                <c:pt idx="616">
                  <c:v>0.35758763435205265</c:v>
                </c:pt>
                <c:pt idx="617">
                  <c:v>0.404363297365402</c:v>
                </c:pt>
                <c:pt idx="618">
                  <c:v>0.35697216510187701</c:v>
                </c:pt>
                <c:pt idx="619">
                  <c:v>0.41728815161909072</c:v>
                </c:pt>
                <c:pt idx="620">
                  <c:v>0.29098809145882698</c:v>
                </c:pt>
                <c:pt idx="621">
                  <c:v>0.27576099754119998</c:v>
                </c:pt>
                <c:pt idx="622">
                  <c:v>0.19678090601240975</c:v>
                </c:pt>
                <c:pt idx="623">
                  <c:v>0.19209564634544757</c:v>
                </c:pt>
                <c:pt idx="624">
                  <c:v>0.18356178052348082</c:v>
                </c:pt>
                <c:pt idx="625">
                  <c:v>0.18724305597609392</c:v>
                </c:pt>
                <c:pt idx="626">
                  <c:v>0.20916337798938103</c:v>
                </c:pt>
                <c:pt idx="627">
                  <c:v>0.20447811832241894</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5-5784-4D5F-9FF1-3749E403C31D}"/>
            </c:ext>
          </c:extLst>
        </c:ser>
        <c:ser>
          <c:idx val="3"/>
          <c:order val="6"/>
          <c:tx>
            <c:v>Electroformed</c:v>
          </c:tx>
          <c:spPr>
            <a:ln w="19050" cap="rnd">
              <a:noFill/>
              <a:round/>
            </a:ln>
            <a:effectLst/>
          </c:spPr>
          <c:marker>
            <c:symbol val="diamond"/>
            <c:size val="5"/>
            <c:spPr>
              <a:solidFill>
                <a:schemeClr val="accent6">
                  <a:lumMod val="75000"/>
                </a:schemeClr>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Data'!$Y$15:$Y$684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0.76004473552548202</c:v>
                </c:pt>
                <c:pt idx="60">
                  <c:v>0.72369476991339388</c:v>
                </c:pt>
                <c:pt idx="61">
                  <c:v>0.71873795642083627</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0.44468790808964898</c:v>
                </c:pt>
                <c:pt idx="464">
                  <c:v>0.77082755851496021</c:v>
                </c:pt>
                <c:pt idx="465">
                  <c:v>0.42628936420237257</c:v>
                </c:pt>
                <c:pt idx="466">
                  <c:v>0.4358908350631388</c:v>
                </c:pt>
                <c:pt idx="467">
                  <c:v>0.68488190596219656</c:v>
                </c:pt>
                <c:pt idx="468">
                  <c:v>0.58957605981876582</c:v>
                </c:pt>
                <c:pt idx="469">
                  <c:v>0.6121371483285547</c:v>
                </c:pt>
                <c:pt idx="470">
                  <c:v>0.57798283048033117</c:v>
                </c:pt>
                <c:pt idx="471">
                  <c:v>0.6137884263619946</c:v>
                </c:pt>
                <c:pt idx="472">
                  <c:v>0.57499999999999996</c:v>
                </c:pt>
                <c:pt idx="473">
                  <c:v>0.65800000000000003</c:v>
                </c:pt>
                <c:pt idx="474">
                  <c:v>0.73599999999999999</c:v>
                </c:pt>
                <c:pt idx="475">
                  <c:v>0.56100000000000005</c:v>
                </c:pt>
                <c:pt idx="476">
                  <c:v>0.67300000000000004</c:v>
                </c:pt>
                <c:pt idx="477">
                  <c:v>0.91</c:v>
                </c:pt>
                <c:pt idx="478">
                  <c:v>0.96</c:v>
                </c:pt>
                <c:pt idx="479">
                  <c:v>0.83</c:v>
                </c:pt>
                <c:pt idx="480">
                  <c:v>0.85</c:v>
                </c:pt>
                <c:pt idx="481">
                  <c:v>0.81</c:v>
                </c:pt>
                <c:pt idx="482">
                  <c:v>0.8</c:v>
                </c:pt>
                <c:pt idx="483">
                  <c:v>0.86</c:v>
                </c:pt>
                <c:pt idx="484">
                  <c:v>0.84</c:v>
                </c:pt>
                <c:pt idx="485">
                  <c:v>0.84</c:v>
                </c:pt>
                <c:pt idx="486">
                  <c:v>0.91</c:v>
                </c:pt>
                <c:pt idx="487">
                  <c:v>0.86</c:v>
                </c:pt>
                <c:pt idx="488">
                  <c:v>0.8</c:v>
                </c:pt>
                <c:pt idx="489">
                  <c:v>0.9</c:v>
                </c:pt>
                <c:pt idx="490">
                  <c:v>0.81</c:v>
                </c:pt>
                <c:pt idx="491">
                  <c:v>0.85</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0.68161893022015496</c:v>
                </c:pt>
                <c:pt idx="575">
                  <c:v>0.83917908494441196</c:v>
                </c:pt>
                <c:pt idx="576">
                  <c:v>0.81040723060346065</c:v>
                </c:pt>
                <c:pt idx="577">
                  <c:v>0.61799999999999999</c:v>
                </c:pt>
                <c:pt idx="578">
                  <c:v>0.65600000000000003</c:v>
                </c:pt>
                <c:pt idx="579">
                  <c:v>0.68700000000000006</c:v>
                </c:pt>
                <c:pt idx="580">
                  <c:v>0.68400000000000005</c:v>
                </c:pt>
                <c:pt idx="581">
                  <c:v>0.68799999999999994</c:v>
                </c:pt>
                <c:pt idx="582">
                  <c:v>0.67400000000000004</c:v>
                </c:pt>
                <c:pt idx="583">
                  <c:v>0.61199999999999999</c:v>
                </c:pt>
                <c:pt idx="584">
                  <c:v>0.65500000000000003</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0.66666666666666663</c:v>
                </c:pt>
                <c:pt idx="609">
                  <c:v>#N/A</c:v>
                </c:pt>
                <c:pt idx="610">
                  <c:v>0.60810810810810823</c:v>
                </c:pt>
                <c:pt idx="611">
                  <c:v>0.62857142857142845</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6-5784-4D5F-9FF1-3749E403C31D}"/>
            </c:ext>
          </c:extLst>
        </c:ser>
        <c:ser>
          <c:idx val="6"/>
          <c:order val="7"/>
          <c:tx>
            <c:v>Miscellaneous</c:v>
          </c:tx>
          <c:spPr>
            <a:ln w="19050" cap="rnd">
              <a:noFill/>
              <a:round/>
            </a:ln>
            <a:effectLst/>
          </c:spPr>
          <c:marker>
            <c:symbol val="circle"/>
            <c:size val="4"/>
            <c:spPr>
              <a:solidFill>
                <a:schemeClr val="bg1"/>
              </a:solidFill>
              <a:ln w="3175">
                <a:solidFill>
                  <a:schemeClr val="tx1"/>
                </a:solidFill>
              </a:ln>
              <a:effectLst/>
            </c:spPr>
          </c:marker>
          <c:xVal>
            <c:numRef>
              <c:f>'Figure 1 Data'!$D$15:$D$684</c:f>
              <c:numCache>
                <c:formatCode>General</c:formatCode>
                <c:ptCount val="670"/>
                <c:pt idx="0">
                  <c:v>0.47570278474289773</c:v>
                </c:pt>
                <c:pt idx="1">
                  <c:v>0.47805914917453252</c:v>
                </c:pt>
                <c:pt idx="2">
                  <c:v>0.47570278474289773</c:v>
                </c:pt>
                <c:pt idx="3">
                  <c:v>0.47805914917453252</c:v>
                </c:pt>
                <c:pt idx="4">
                  <c:v>0.47805914917453252</c:v>
                </c:pt>
                <c:pt idx="5">
                  <c:v>0.47914277537453276</c:v>
                </c:pt>
                <c:pt idx="6">
                  <c:v>0.47959353802703941</c:v>
                </c:pt>
                <c:pt idx="7">
                  <c:v>0.47351730583085017</c:v>
                </c:pt>
                <c:pt idx="8">
                  <c:v>0.47296936733220801</c:v>
                </c:pt>
                <c:pt idx="9">
                  <c:v>#N/A</c:v>
                </c:pt>
                <c:pt idx="10">
                  <c:v>0.99510148015665967</c:v>
                </c:pt>
                <c:pt idx="11">
                  <c:v>1.0039654620235532</c:v>
                </c:pt>
                <c:pt idx="12">
                  <c:v>0.99092334270835547</c:v>
                </c:pt>
                <c:pt idx="13">
                  <c:v>1.023744937019164</c:v>
                </c:pt>
                <c:pt idx="14">
                  <c:v>0.28955881151529872</c:v>
                </c:pt>
                <c:pt idx="15">
                  <c:v>0.34811673772961743</c:v>
                </c:pt>
                <c:pt idx="16">
                  <c:v>0.41275676901614267</c:v>
                </c:pt>
                <c:pt idx="17">
                  <c:v>0.6215214163767635</c:v>
                </c:pt>
                <c:pt idx="18">
                  <c:v>0.69895940390994538</c:v>
                </c:pt>
                <c:pt idx="19">
                  <c:v>0.87871812185243192</c:v>
                </c:pt>
                <c:pt idx="20">
                  <c:v>0.2904529502640128</c:v>
                </c:pt>
                <c:pt idx="21">
                  <c:v>0.29045295192943954</c:v>
                </c:pt>
                <c:pt idx="22">
                  <c:v>0.2904529502640128</c:v>
                </c:pt>
                <c:pt idx="23">
                  <c:v>#N/A</c:v>
                </c:pt>
                <c:pt idx="24">
                  <c:v>0.34699757954794924</c:v>
                </c:pt>
                <c:pt idx="25">
                  <c:v>0.41223288877962527</c:v>
                </c:pt>
                <c:pt idx="26">
                  <c:v>0.61803471886786676</c:v>
                </c:pt>
                <c:pt idx="27">
                  <c:v>0.68905790665899724</c:v>
                </c:pt>
                <c:pt idx="28">
                  <c:v>0.86193359579353368</c:v>
                </c:pt>
                <c:pt idx="29">
                  <c:v>0.28955877823379816</c:v>
                </c:pt>
                <c:pt idx="30">
                  <c:v>0.19022461668224497</c:v>
                </c:pt>
                <c:pt idx="31">
                  <c:v>0.18816807392247489</c:v>
                </c:pt>
                <c:pt idx="32">
                  <c:v>0.18816807392247489</c:v>
                </c:pt>
                <c:pt idx="33">
                  <c:v>0.18891052001747102</c:v>
                </c:pt>
                <c:pt idx="34">
                  <c:v>1.1116784305997409</c:v>
                </c:pt>
                <c:pt idx="35">
                  <c:v>1.1116784305997409</c:v>
                </c:pt>
                <c:pt idx="36">
                  <c:v>0.6807612282568416</c:v>
                </c:pt>
                <c:pt idx="37">
                  <c:v>0.6807612282568416</c:v>
                </c:pt>
                <c:pt idx="38">
                  <c:v>0.39303767838794779</c:v>
                </c:pt>
                <c:pt idx="39">
                  <c:v>0.39303767838794779</c:v>
                </c:pt>
                <c:pt idx="40">
                  <c:v>1.3986844385452473</c:v>
                </c:pt>
                <c:pt idx="41">
                  <c:v>1.3986844385452473</c:v>
                </c:pt>
                <c:pt idx="42">
                  <c:v>0.9382660450974899</c:v>
                </c:pt>
                <c:pt idx="43">
                  <c:v>0.9382660450974899</c:v>
                </c:pt>
                <c:pt idx="44">
                  <c:v>0.54170815370852132</c:v>
                </c:pt>
                <c:pt idx="45">
                  <c:v>0.54170815370852132</c:v>
                </c:pt>
                <c:pt idx="46">
                  <c:v>0.95932605377995417</c:v>
                </c:pt>
                <c:pt idx="47">
                  <c:v>1.0455230378367246</c:v>
                </c:pt>
                <c:pt idx="48">
                  <c:v>1.0455230378367246</c:v>
                </c:pt>
                <c:pt idx="49">
                  <c:v>1.0455230378367246</c:v>
                </c:pt>
                <c:pt idx="50">
                  <c:v>1.0455230378367246</c:v>
                </c:pt>
                <c:pt idx="51">
                  <c:v>0.93514423385800027</c:v>
                </c:pt>
                <c:pt idx="52">
                  <c:v>0.93514423385800027</c:v>
                </c:pt>
                <c:pt idx="53">
                  <c:v>0.93514423385800027</c:v>
                </c:pt>
                <c:pt idx="54">
                  <c:v>0.93514423385800027</c:v>
                </c:pt>
                <c:pt idx="55">
                  <c:v>0.83641843026937968</c:v>
                </c:pt>
                <c:pt idx="56">
                  <c:v>0.83641843026937968</c:v>
                </c:pt>
                <c:pt idx="57">
                  <c:v>0.83641843026937968</c:v>
                </c:pt>
                <c:pt idx="58">
                  <c:v>0.83641843026937968</c:v>
                </c:pt>
                <c:pt idx="59">
                  <c:v>#N/A</c:v>
                </c:pt>
                <c:pt idx="60">
                  <c:v>#N/A</c:v>
                </c:pt>
                <c:pt idx="61">
                  <c:v>#N/A</c:v>
                </c:pt>
                <c:pt idx="62">
                  <c:v>1.3043572584079364</c:v>
                </c:pt>
                <c:pt idx="63">
                  <c:v>1.3043572584079364</c:v>
                </c:pt>
                <c:pt idx="64">
                  <c:v>1.3043572584079364</c:v>
                </c:pt>
                <c:pt idx="65">
                  <c:v>1.3043572584079364</c:v>
                </c:pt>
                <c:pt idx="66">
                  <c:v>1.2959690218293991</c:v>
                </c:pt>
                <c:pt idx="67">
                  <c:v>1.2959690218293991</c:v>
                </c:pt>
                <c:pt idx="68">
                  <c:v>1.2959690218293991</c:v>
                </c:pt>
                <c:pt idx="69">
                  <c:v>1.2959690218293991</c:v>
                </c:pt>
                <c:pt idx="70">
                  <c:v>0.86360671149709767</c:v>
                </c:pt>
                <c:pt idx="71">
                  <c:v>0.74964264803580472</c:v>
                </c:pt>
                <c:pt idx="72">
                  <c:v>0.79875243134875684</c:v>
                </c:pt>
                <c:pt idx="73">
                  <c:v>0.79875243134875684</c:v>
                </c:pt>
                <c:pt idx="74">
                  <c:v>0.70155827817383309</c:v>
                </c:pt>
                <c:pt idx="75">
                  <c:v>0.70155827817383309</c:v>
                </c:pt>
                <c:pt idx="76">
                  <c:v>1.7210211525783869</c:v>
                </c:pt>
                <c:pt idx="77">
                  <c:v>1.7517013072344625</c:v>
                </c:pt>
                <c:pt idx="78">
                  <c:v>1.3900010576948674</c:v>
                </c:pt>
                <c:pt idx="79">
                  <c:v>1.4245711945951272</c:v>
                </c:pt>
                <c:pt idx="80">
                  <c:v>0.99928053952212859</c:v>
                </c:pt>
                <c:pt idx="81">
                  <c:v>1.021085591297769</c:v>
                </c:pt>
                <c:pt idx="82">
                  <c:v>1.9826798145395317</c:v>
                </c:pt>
                <c:pt idx="83">
                  <c:v>2.0106719734485279</c:v>
                </c:pt>
                <c:pt idx="84">
                  <c:v>1.6087120305460052</c:v>
                </c:pt>
                <c:pt idx="85">
                  <c:v>1.6274841014414423</c:v>
                </c:pt>
                <c:pt idx="86">
                  <c:v>1.1761688394095855</c:v>
                </c:pt>
                <c:pt idx="87">
                  <c:v>1.1819485736722875</c:v>
                </c:pt>
                <c:pt idx="88">
                  <c:v>1.797547968546114</c:v>
                </c:pt>
                <c:pt idx="89">
                  <c:v>1.434931848879802</c:v>
                </c:pt>
                <c:pt idx="90">
                  <c:v>1.0173521762696611</c:v>
                </c:pt>
                <c:pt idx="91">
                  <c:v>2.0704078890671718</c:v>
                </c:pt>
                <c:pt idx="92">
                  <c:v>1.6753614870861464</c:v>
                </c:pt>
                <c:pt idx="93">
                  <c:v>1.0063929462860501</c:v>
                </c:pt>
                <c:pt idx="94">
                  <c:v>1.1937683534406605</c:v>
                </c:pt>
                <c:pt idx="95">
                  <c:v>1.1956060729533817</c:v>
                </c:pt>
                <c:pt idx="96">
                  <c:v>0.96166401276432378</c:v>
                </c:pt>
                <c:pt idx="97">
                  <c:v>0.96654146085350201</c:v>
                </c:pt>
                <c:pt idx="98">
                  <c:v>0.6893698099828417</c:v>
                </c:pt>
                <c:pt idx="99">
                  <c:v>1.7039554411480944</c:v>
                </c:pt>
                <c:pt idx="100">
                  <c:v>0.98745998471764174</c:v>
                </c:pt>
                <c:pt idx="101">
                  <c:v>0.98579056681248256</c:v>
                </c:pt>
                <c:pt idx="102">
                  <c:v>2.02500051528239</c:v>
                </c:pt>
                <c:pt idx="103">
                  <c:v>2.0747622477646366</c:v>
                </c:pt>
                <c:pt idx="104">
                  <c:v>1.6390819524780058</c:v>
                </c:pt>
                <c:pt idx="105">
                  <c:v>1.6626670775048462</c:v>
                </c:pt>
                <c:pt idx="106">
                  <c:v>1.1865711122003584</c:v>
                </c:pt>
                <c:pt idx="107">
                  <c:v>1.1956637441145663</c:v>
                </c:pt>
                <c:pt idx="108">
                  <c:v>1.1956637441145663</c:v>
                </c:pt>
                <c:pt idx="109">
                  <c:v>0.96005453211704062</c:v>
                </c:pt>
                <c:pt idx="110">
                  <c:v>0.68701700513324093</c:v>
                </c:pt>
                <c:pt idx="111">
                  <c:v>2.1173259057998375</c:v>
                </c:pt>
                <c:pt idx="112">
                  <c:v>1.6626670775048462</c:v>
                </c:pt>
                <c:pt idx="113">
                  <c:v>1.1864830446485537</c:v>
                </c:pt>
                <c:pt idx="114">
                  <c:v>0.96572339768462767</c:v>
                </c:pt>
                <c:pt idx="115">
                  <c:v>0.68123879482235938</c:v>
                </c:pt>
                <c:pt idx="116">
                  <c:v>1.3927701890768724</c:v>
                </c:pt>
                <c:pt idx="117">
                  <c:v>1.3927701890768724</c:v>
                </c:pt>
                <c:pt idx="118">
                  <c:v>1.3927701890768724</c:v>
                </c:pt>
                <c:pt idx="119">
                  <c:v>1.3927701890768724</c:v>
                </c:pt>
                <c:pt idx="120">
                  <c:v>1.3927701890768724</c:v>
                </c:pt>
                <c:pt idx="121">
                  <c:v>1.3927701890768724</c:v>
                </c:pt>
                <c:pt idx="122">
                  <c:v>1.3927701890768724</c:v>
                </c:pt>
                <c:pt idx="123">
                  <c:v>1.3927701890768724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0.40625543654636848</c:v>
                </c:pt>
                <c:pt idx="209">
                  <c:v>0.31416949751362527</c:v>
                </c:pt>
                <c:pt idx="210">
                  <c:v>0.2401963411674162</c:v>
                </c:pt>
                <c:pt idx="211">
                  <c:v>0.39507927304092705</c:v>
                </c:pt>
                <c:pt idx="212">
                  <c:v>0.2927151292985638</c:v>
                </c:pt>
                <c:pt idx="213">
                  <c:v>0.23883157818281384</c:v>
                </c:pt>
                <c:pt idx="214">
                  <c:v>0.39355680389791659</c:v>
                </c:pt>
                <c:pt idx="215">
                  <c:v>0.39975493014683794</c:v>
                </c:pt>
                <c:pt idx="216">
                  <c:v>0.50402735227397011</c:v>
                </c:pt>
                <c:pt idx="217">
                  <c:v>0.50304003036161793</c:v>
                </c:pt>
                <c:pt idx="218">
                  <c:v>0.50402735227397011</c:v>
                </c:pt>
                <c:pt idx="219">
                  <c:v>0.48399787786005671</c:v>
                </c:pt>
                <c:pt idx="220">
                  <c:v>0.50930790270001947</c:v>
                </c:pt>
                <c:pt idx="221">
                  <c:v>0.41480931829921625</c:v>
                </c:pt>
                <c:pt idx="222">
                  <c:v>0.58643390838255893</c:v>
                </c:pt>
                <c:pt idx="223">
                  <c:v>0.4177379126351709</c:v>
                </c:pt>
                <c:pt idx="224">
                  <c:v>0.59277391867351714</c:v>
                </c:pt>
                <c:pt idx="225">
                  <c:v>0.61489355819879721</c:v>
                </c:pt>
                <c:pt idx="226">
                  <c:v>0.59116965614151651</c:v>
                </c:pt>
                <c:pt idx="227">
                  <c:v>0.5947977344575035</c:v>
                </c:pt>
                <c:pt idx="228">
                  <c:v>0.60566633621786048</c:v>
                </c:pt>
                <c:pt idx="229">
                  <c:v>0.61044741485387466</c:v>
                </c:pt>
                <c:pt idx="230">
                  <c:v>0.60352994036777496</c:v>
                </c:pt>
                <c:pt idx="231">
                  <c:v>0.59932410557114979</c:v>
                </c:pt>
                <c:pt idx="232">
                  <c:v>0.59932410557114979</c:v>
                </c:pt>
                <c:pt idx="233">
                  <c:v>1.0814268940158085</c:v>
                </c:pt>
                <c:pt idx="234">
                  <c:v>0.70990369982036505</c:v>
                </c:pt>
                <c:pt idx="235">
                  <c:v>0.89815024903872442</c:v>
                </c:pt>
                <c:pt idx="236">
                  <c:v>1.0308759098857585</c:v>
                </c:pt>
                <c:pt idx="237">
                  <c:v>1.3659495552588206</c:v>
                </c:pt>
                <c:pt idx="238">
                  <c:v>1.1167148032767167</c:v>
                </c:pt>
                <c:pt idx="239">
                  <c:v>0.91179381874681753</c:v>
                </c:pt>
                <c:pt idx="240">
                  <c:v>0.75836074384012342</c:v>
                </c:pt>
                <c:pt idx="241">
                  <c:v>0.58110549445608406</c:v>
                </c:pt>
                <c:pt idx="242">
                  <c:v>0.59900842923715092</c:v>
                </c:pt>
                <c:pt idx="243">
                  <c:v>0.58974292048580867</c:v>
                </c:pt>
                <c:pt idx="244">
                  <c:v>0.58638724069742743</c:v>
                </c:pt>
                <c:pt idx="245">
                  <c:v>0.50598503249121529</c:v>
                </c:pt>
                <c:pt idx="246">
                  <c:v>0.53550017609716916</c:v>
                </c:pt>
                <c:pt idx="247">
                  <c:v>0.60720317283264569</c:v>
                </c:pt>
                <c:pt idx="248">
                  <c:v>0.5481726393695614</c:v>
                </c:pt>
                <c:pt idx="249">
                  <c:v>0.49430718136621271</c:v>
                </c:pt>
                <c:pt idx="250">
                  <c:v>0.49955414383058894</c:v>
                </c:pt>
                <c:pt idx="251">
                  <c:v>0.69888264642922793</c:v>
                </c:pt>
                <c:pt idx="252">
                  <c:v>0.91984304452712873</c:v>
                </c:pt>
                <c:pt idx="253">
                  <c:v>0.89586112181004085</c:v>
                </c:pt>
                <c:pt idx="254">
                  <c:v>0.57382397712795674</c:v>
                </c:pt>
                <c:pt idx="255">
                  <c:v>0.58169037332592877</c:v>
                </c:pt>
                <c:pt idx="256">
                  <c:v>0.95391112701722314</c:v>
                </c:pt>
                <c:pt idx="257">
                  <c:v>0.94451275863421391</c:v>
                </c:pt>
                <c:pt idx="258">
                  <c:v>1.1459357224888604</c:v>
                </c:pt>
                <c:pt idx="259">
                  <c:v>1.0904258213959641</c:v>
                </c:pt>
                <c:pt idx="260">
                  <c:v>1.3013240428093602</c:v>
                </c:pt>
                <c:pt idx="261">
                  <c:v>1.5794827845583594</c:v>
                </c:pt>
                <c:pt idx="262">
                  <c:v>0.99045856852064684</c:v>
                </c:pt>
                <c:pt idx="263">
                  <c:v>1.0127778652551334</c:v>
                </c:pt>
                <c:pt idx="264">
                  <c:v>1.0409515245154519</c:v>
                </c:pt>
                <c:pt idx="265">
                  <c:v>1.0409515245154519</c:v>
                </c:pt>
                <c:pt idx="266">
                  <c:v>0.70266527472493745</c:v>
                </c:pt>
                <c:pt idx="267">
                  <c:v>0.71034490471292777</c:v>
                </c:pt>
                <c:pt idx="268">
                  <c:v>0.70647378649404347</c:v>
                </c:pt>
                <c:pt idx="269">
                  <c:v>0.85920099924923787</c:v>
                </c:pt>
                <c:pt idx="270">
                  <c:v>0.87046969048388478</c:v>
                </c:pt>
                <c:pt idx="271">
                  <c:v>1.0935140151648302</c:v>
                </c:pt>
                <c:pt idx="272">
                  <c:v>1.1140100369810504</c:v>
                </c:pt>
                <c:pt idx="273">
                  <c:v>1.4857929670636589</c:v>
                </c:pt>
                <c:pt idx="274">
                  <c:v>1.5306007792776573</c:v>
                </c:pt>
                <c:pt idx="275">
                  <c:v>0.25238436792586039</c:v>
                </c:pt>
                <c:pt idx="276">
                  <c:v>0.30796514017858079</c:v>
                </c:pt>
                <c:pt idx="277">
                  <c:v>0.35736361033099262</c:v>
                </c:pt>
                <c:pt idx="278">
                  <c:v>0.40071807098306678</c:v>
                </c:pt>
                <c:pt idx="279">
                  <c:v>0.35736361033099262</c:v>
                </c:pt>
                <c:pt idx="280">
                  <c:v>0.34203951467201471</c:v>
                </c:pt>
                <c:pt idx="281">
                  <c:v>0.31359465510973783</c:v>
                </c:pt>
                <c:pt idx="282">
                  <c:v>0.27981004185148683</c:v>
                </c:pt>
                <c:pt idx="283">
                  <c:v>0.26184499351775142</c:v>
                </c:pt>
                <c:pt idx="284">
                  <c:v>0.23040151980371659</c:v>
                </c:pt>
                <c:pt idx="285">
                  <c:v>0.20382831493677156</c:v>
                </c:pt>
                <c:pt idx="286">
                  <c:v>0.2502385249863856</c:v>
                </c:pt>
                <c:pt idx="287">
                  <c:v>#N/A</c:v>
                </c:pt>
                <c:pt idx="288">
                  <c:v>#N/A</c:v>
                </c:pt>
                <c:pt idx="289">
                  <c:v>0.2889505595250092</c:v>
                </c:pt>
                <c:pt idx="290">
                  <c:v>#N/A</c:v>
                </c:pt>
                <c:pt idx="291">
                  <c:v>#N/A</c:v>
                </c:pt>
                <c:pt idx="292">
                  <c:v>#N/A</c:v>
                </c:pt>
                <c:pt idx="293">
                  <c:v>#N/A</c:v>
                </c:pt>
                <c:pt idx="294">
                  <c:v>#N/A</c:v>
                </c:pt>
                <c:pt idx="295">
                  <c:v>#N/A</c:v>
                </c:pt>
                <c:pt idx="296">
                  <c:v>#N/A</c:v>
                </c:pt>
                <c:pt idx="297">
                  <c:v>#N/A</c:v>
                </c:pt>
                <c:pt idx="298">
                  <c:v>0.40863780013556233</c:v>
                </c:pt>
                <c:pt idx="299">
                  <c:v>#N/A</c:v>
                </c:pt>
                <c:pt idx="300">
                  <c:v>0.5004770499727712</c:v>
                </c:pt>
                <c:pt idx="301">
                  <c:v>#N/A</c:v>
                </c:pt>
                <c:pt idx="302">
                  <c:v>0.17886578339328085</c:v>
                </c:pt>
                <c:pt idx="303">
                  <c:v>0.17757017871410097</c:v>
                </c:pt>
                <c:pt idx="304">
                  <c:v>0.22245665397328121</c:v>
                </c:pt>
                <c:pt idx="305">
                  <c:v>0.25794467871866744</c:v>
                </c:pt>
                <c:pt idx="306">
                  <c:v>#N/A</c:v>
                </c:pt>
                <c:pt idx="307">
                  <c:v>#N/A</c:v>
                </c:pt>
                <c:pt idx="308">
                  <c:v>#N/A</c:v>
                </c:pt>
                <c:pt idx="309">
                  <c:v>#N/A</c:v>
                </c:pt>
                <c:pt idx="310">
                  <c:v>#N/A</c:v>
                </c:pt>
                <c:pt idx="311">
                  <c:v>#N/A</c:v>
                </c:pt>
                <c:pt idx="312">
                  <c:v>#N/A</c:v>
                </c:pt>
                <c:pt idx="313">
                  <c:v>#N/A</c:v>
                </c:pt>
                <c:pt idx="314">
                  <c:v>0.3204208727095576</c:v>
                </c:pt>
                <c:pt idx="315">
                  <c:v>0.31766268123244462</c:v>
                </c:pt>
                <c:pt idx="316">
                  <c:v>0.35205031635472167</c:v>
                </c:pt>
                <c:pt idx="317">
                  <c:v>0.35502442548424701</c:v>
                </c:pt>
                <c:pt idx="318">
                  <c:v>0.47232725242961432</c:v>
                </c:pt>
                <c:pt idx="319">
                  <c:v>0.4697277637193889</c:v>
                </c:pt>
                <c:pt idx="320">
                  <c:v>0.29769210771408505</c:v>
                </c:pt>
                <c:pt idx="321">
                  <c:v>0.29582660308724873</c:v>
                </c:pt>
                <c:pt idx="322">
                  <c:v>0.31445399772968119</c:v>
                </c:pt>
                <c:pt idx="323">
                  <c:v>0.32413175311751147</c:v>
                </c:pt>
                <c:pt idx="324">
                  <c:v>0.26350430838609257</c:v>
                </c:pt>
                <c:pt idx="325">
                  <c:v>0.26365521610911546</c:v>
                </c:pt>
                <c:pt idx="326">
                  <c:v>0.36310021871121562</c:v>
                </c:pt>
                <c:pt idx="327">
                  <c:v>0.36973339957465107</c:v>
                </c:pt>
                <c:pt idx="328">
                  <c:v>0.46139509978243343</c:v>
                </c:pt>
                <c:pt idx="329">
                  <c:v>0.45257503559500378</c:v>
                </c:pt>
                <c:pt idx="330">
                  <c:v>2.7318910024929859</c:v>
                </c:pt>
                <c:pt idx="331">
                  <c:v>2.7318910024929859</c:v>
                </c:pt>
                <c:pt idx="332">
                  <c:v>2.8822703237311318</c:v>
                </c:pt>
                <c:pt idx="333">
                  <c:v>2.8822703237311318</c:v>
                </c:pt>
                <c:pt idx="334">
                  <c:v>2.8572071035247748</c:v>
                </c:pt>
                <c:pt idx="335">
                  <c:v>2.8739159169956792</c:v>
                </c:pt>
                <c:pt idx="336">
                  <c:v>2.2999818971047166</c:v>
                </c:pt>
                <c:pt idx="337">
                  <c:v>2.3167090381745692</c:v>
                </c:pt>
                <c:pt idx="338">
                  <c:v>2.112824657063634</c:v>
                </c:pt>
                <c:pt idx="339">
                  <c:v>2.1820975966394909</c:v>
                </c:pt>
                <c:pt idx="340">
                  <c:v>2.1647793617455267</c:v>
                </c:pt>
                <c:pt idx="341">
                  <c:v>2.0435517174877771</c:v>
                </c:pt>
                <c:pt idx="342">
                  <c:v>2.069529069828723</c:v>
                </c:pt>
                <c:pt idx="343">
                  <c:v>2.0608699523817413</c:v>
                </c:pt>
                <c:pt idx="344">
                  <c:v>2.0608699523817413</c:v>
                </c:pt>
                <c:pt idx="345">
                  <c:v>1.9382223626249933</c:v>
                </c:pt>
                <c:pt idx="346">
                  <c:v>1.9465767693604457</c:v>
                </c:pt>
                <c:pt idx="347">
                  <c:v>1.996703209773161</c:v>
                </c:pt>
                <c:pt idx="348">
                  <c:v>1.904804735683183</c:v>
                </c:pt>
                <c:pt idx="349">
                  <c:v>1.9549311760958983</c:v>
                </c:pt>
                <c:pt idx="350">
                  <c:v>1.9549311760958983</c:v>
                </c:pt>
                <c:pt idx="351">
                  <c:v>1.9632855828313509</c:v>
                </c:pt>
                <c:pt idx="352">
                  <c:v>2.0384752434504239</c:v>
                </c:pt>
                <c:pt idx="353">
                  <c:v>1.9632855828313509</c:v>
                </c:pt>
                <c:pt idx="354">
                  <c:v>1.9382223626249933</c:v>
                </c:pt>
                <c:pt idx="355">
                  <c:v>1.9382223626249933</c:v>
                </c:pt>
                <c:pt idx="356">
                  <c:v>1.9883488030377086</c:v>
                </c:pt>
                <c:pt idx="357">
                  <c:v>1.9298679558895411</c:v>
                </c:pt>
                <c:pt idx="358">
                  <c:v>1.9215135491540878</c:v>
                </c:pt>
                <c:pt idx="359">
                  <c:v>1.9215135491540878</c:v>
                </c:pt>
                <c:pt idx="360">
                  <c:v>1.9549311760958983</c:v>
                </c:pt>
                <c:pt idx="361">
                  <c:v>1.9716399895668035</c:v>
                </c:pt>
                <c:pt idx="362">
                  <c:v>1.904804735683183</c:v>
                </c:pt>
                <c:pt idx="363">
                  <c:v>1.9131591424186352</c:v>
                </c:pt>
                <c:pt idx="364">
                  <c:v>1.9382223626249933</c:v>
                </c:pt>
                <c:pt idx="365">
                  <c:v>1.9215135491540878</c:v>
                </c:pt>
                <c:pt idx="366">
                  <c:v>1.6308962543106174</c:v>
                </c:pt>
                <c:pt idx="367">
                  <c:v>1.6308962543106174</c:v>
                </c:pt>
                <c:pt idx="368">
                  <c:v>1.6308962543106174</c:v>
                </c:pt>
                <c:pt idx="369">
                  <c:v>1.6225326837756908</c:v>
                </c:pt>
                <c:pt idx="370">
                  <c:v>1.4893682008809219</c:v>
                </c:pt>
                <c:pt idx="371">
                  <c:v>1.4633908485399758</c:v>
                </c:pt>
                <c:pt idx="372">
                  <c:v>1.4893682008809219</c:v>
                </c:pt>
                <c:pt idx="373">
                  <c:v>1.4980273183279045</c:v>
                </c:pt>
                <c:pt idx="374">
                  <c:v>1.4980273183279045</c:v>
                </c:pt>
                <c:pt idx="375">
                  <c:v>0.22488032531694971</c:v>
                </c:pt>
                <c:pt idx="376">
                  <c:v>0.22488032531694971</c:v>
                </c:pt>
                <c:pt idx="377">
                  <c:v>0.23974092335795624</c:v>
                </c:pt>
                <c:pt idx="378">
                  <c:v>0.23974092335795624</c:v>
                </c:pt>
                <c:pt idx="379">
                  <c:v>0.28951467015495597</c:v>
                </c:pt>
                <c:pt idx="380">
                  <c:v>0.28951467015495597</c:v>
                </c:pt>
                <c:pt idx="381">
                  <c:v>0.23974092335795624</c:v>
                </c:pt>
                <c:pt idx="382">
                  <c:v>0.22488032531694971</c:v>
                </c:pt>
                <c:pt idx="383">
                  <c:v>0.28951467015495597</c:v>
                </c:pt>
                <c:pt idx="384">
                  <c:v>0.28951467015495597</c:v>
                </c:pt>
                <c:pt idx="385">
                  <c:v>0.91096260846253096</c:v>
                </c:pt>
                <c:pt idx="386">
                  <c:v>0.91096260846253096</c:v>
                </c:pt>
                <c:pt idx="387">
                  <c:v>0.97715251177903528</c:v>
                </c:pt>
                <c:pt idx="388">
                  <c:v>0.7141188168613557</c:v>
                </c:pt>
                <c:pt idx="389">
                  <c:v>0.76986679333632768</c:v>
                </c:pt>
                <c:pt idx="390">
                  <c:v>1.0339664593628208</c:v>
                </c:pt>
                <c:pt idx="391">
                  <c:v>1.1792262274677314</c:v>
                </c:pt>
                <c:pt idx="392">
                  <c:v>1.1792262274677314</c:v>
                </c:pt>
                <c:pt idx="393">
                  <c:v>0.27422137900921711</c:v>
                </c:pt>
                <c:pt idx="394">
                  <c:v>0.30973625905190222</c:v>
                </c:pt>
                <c:pt idx="395">
                  <c:v>0.35419696312329474</c:v>
                </c:pt>
                <c:pt idx="396">
                  <c:v>0.43380091404773102</c:v>
                </c:pt>
                <c:pt idx="397">
                  <c:v>0.28504848843895608</c:v>
                </c:pt>
                <c:pt idx="398">
                  <c:v>0.768687036520039</c:v>
                </c:pt>
                <c:pt idx="399">
                  <c:v>0.61806001674406175</c:v>
                </c:pt>
                <c:pt idx="400">
                  <c:v>0.56472631332742684</c:v>
                </c:pt>
                <c:pt idx="401">
                  <c:v>0.50025952088993719</c:v>
                </c:pt>
                <c:pt idx="402">
                  <c:v>0.33365955692237836</c:v>
                </c:pt>
                <c:pt idx="403">
                  <c:v>0.360310321703327</c:v>
                </c:pt>
                <c:pt idx="404">
                  <c:v>0.42985053500354037</c:v>
                </c:pt>
                <c:pt idx="405">
                  <c:v>0.42985053500354037</c:v>
                </c:pt>
                <c:pt idx="406">
                  <c:v>0.46175636279042831</c:v>
                </c:pt>
                <c:pt idx="407">
                  <c:v>0.56479884407332515</c:v>
                </c:pt>
                <c:pt idx="408">
                  <c:v>0.76898849679172598</c:v>
                </c:pt>
                <c:pt idx="409">
                  <c:v>#N/A</c:v>
                </c:pt>
                <c:pt idx="410">
                  <c:v>#N/A</c:v>
                </c:pt>
                <c:pt idx="411">
                  <c:v>#N/A</c:v>
                </c:pt>
                <c:pt idx="412">
                  <c:v>#N/A</c:v>
                </c:pt>
                <c:pt idx="413">
                  <c:v>#N/A</c:v>
                </c:pt>
                <c:pt idx="414">
                  <c:v>#N/A</c:v>
                </c:pt>
                <c:pt idx="415">
                  <c:v>0.26343004554493188</c:v>
                </c:pt>
                <c:pt idx="416">
                  <c:v>0.3477555666755387</c:v>
                </c:pt>
                <c:pt idx="417">
                  <c:v>0.52524477786217494</c:v>
                </c:pt>
                <c:pt idx="418">
                  <c:v>0.50911418700127697</c:v>
                </c:pt>
                <c:pt idx="419">
                  <c:v>0.53114357696186398</c:v>
                </c:pt>
                <c:pt idx="420">
                  <c:v>0.67669428194511583</c:v>
                </c:pt>
                <c:pt idx="421">
                  <c:v>0.4693642741959001</c:v>
                </c:pt>
                <c:pt idx="422">
                  <c:v>0.57485148763586424</c:v>
                </c:pt>
                <c:pt idx="423">
                  <c:v>0.51416280132826886</c:v>
                </c:pt>
                <c:pt idx="424">
                  <c:v>1.1828034630256554</c:v>
                </c:pt>
                <c:pt idx="425">
                  <c:v>1.1828034630256554</c:v>
                </c:pt>
                <c:pt idx="426">
                  <c:v>1.1828034630256554</c:v>
                </c:pt>
                <c:pt idx="427">
                  <c:v>0.89118836804024459</c:v>
                </c:pt>
                <c:pt idx="428">
                  <c:v>1.2914800778037814</c:v>
                </c:pt>
                <c:pt idx="429">
                  <c:v>1.2914800778037814</c:v>
                </c:pt>
                <c:pt idx="430">
                  <c:v>1.2245857832908482</c:v>
                </c:pt>
                <c:pt idx="431">
                  <c:v>1.2245857832908482</c:v>
                </c:pt>
                <c:pt idx="432">
                  <c:v>1.2245857832908482</c:v>
                </c:pt>
                <c:pt idx="433">
                  <c:v>0.91443112921122494</c:v>
                </c:pt>
                <c:pt idx="434">
                  <c:v>0.91443112921122494</c:v>
                </c:pt>
                <c:pt idx="435">
                  <c:v>1.6705108341757928</c:v>
                </c:pt>
                <c:pt idx="436">
                  <c:v>0.69153065309309791</c:v>
                </c:pt>
                <c:pt idx="437">
                  <c:v>0.69153065309309791</c:v>
                </c:pt>
                <c:pt idx="438">
                  <c:v>0.69153065309309791</c:v>
                </c:pt>
                <c:pt idx="439">
                  <c:v>0.69153065309309791</c:v>
                </c:pt>
                <c:pt idx="440">
                  <c:v>0.87351472926276308</c:v>
                </c:pt>
                <c:pt idx="441">
                  <c:v>0.87351472926276308</c:v>
                </c:pt>
                <c:pt idx="442">
                  <c:v>1.3021588759859088</c:v>
                </c:pt>
                <c:pt idx="443">
                  <c:v>1.3021588759859088</c:v>
                </c:pt>
                <c:pt idx="444">
                  <c:v>1.7470294585255262</c:v>
                </c:pt>
                <c:pt idx="445">
                  <c:v>1.7470294585255262</c:v>
                </c:pt>
                <c:pt idx="446">
                  <c:v>1.9532383139788632</c:v>
                </c:pt>
                <c:pt idx="447">
                  <c:v>1.9532383139788632</c:v>
                </c:pt>
                <c:pt idx="448">
                  <c:v>0.66791697647315873</c:v>
                </c:pt>
                <c:pt idx="449">
                  <c:v>0.98406917019690632</c:v>
                </c:pt>
                <c:pt idx="450">
                  <c:v>0.74675388136005527</c:v>
                </c:pt>
                <c:pt idx="451">
                  <c:v>1.1002227795610464</c:v>
                </c:pt>
                <c:pt idx="452">
                  <c:v>1.3916839668057024</c:v>
                </c:pt>
                <c:pt idx="453">
                  <c:v>1.3916839668057024</c:v>
                </c:pt>
                <c:pt idx="454">
                  <c:v>2.8014797159771994</c:v>
                </c:pt>
                <c:pt idx="455">
                  <c:v>2.8014797159771994</c:v>
                </c:pt>
                <c:pt idx="456">
                  <c:v>0.98406917019690632</c:v>
                </c:pt>
                <c:pt idx="457">
                  <c:v>0.94457724666757248</c:v>
                </c:pt>
                <c:pt idx="458">
                  <c:v>1.0988307805859157</c:v>
                </c:pt>
                <c:pt idx="459">
                  <c:v>1.0988307805859157</c:v>
                </c:pt>
                <c:pt idx="460">
                  <c:v>1.0588598348061427</c:v>
                </c:pt>
                <c:pt idx="461">
                  <c:v>1.0988307805859157</c:v>
                </c:pt>
                <c:pt idx="462">
                  <c:v>1.1436993375562656</c:v>
                </c:pt>
                <c:pt idx="463">
                  <c:v>2.7489462732735608</c:v>
                </c:pt>
                <c:pt idx="464">
                  <c:v>2.7219529368722433</c:v>
                </c:pt>
                <c:pt idx="465">
                  <c:v>2.7114739751962613</c:v>
                </c:pt>
                <c:pt idx="466">
                  <c:v>2.7565554226210427</c:v>
                </c:pt>
                <c:pt idx="467">
                  <c:v>2.926890565569622</c:v>
                </c:pt>
                <c:pt idx="468">
                  <c:v>2.6116201014986458</c:v>
                </c:pt>
                <c:pt idx="469">
                  <c:v>2.7974133101936434</c:v>
                </c:pt>
                <c:pt idx="470">
                  <c:v>2.764820974673293</c:v>
                </c:pt>
                <c:pt idx="471">
                  <c:v>2.7887007486023769</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0.46423445597154384</c:v>
                </c:pt>
                <c:pt idx="493">
                  <c:v>0.55074084596637307</c:v>
                </c:pt>
                <c:pt idx="494">
                  <c:v>0.46423445597154384</c:v>
                </c:pt>
                <c:pt idx="495">
                  <c:v>0.55074084596637307</c:v>
                </c:pt>
                <c:pt idx="496">
                  <c:v>0.42378613917792241</c:v>
                </c:pt>
                <c:pt idx="497">
                  <c:v>0.54783454153201261</c:v>
                </c:pt>
                <c:pt idx="498">
                  <c:v>0.58243833816776025</c:v>
                </c:pt>
                <c:pt idx="499">
                  <c:v>0.56589512312144497</c:v>
                </c:pt>
                <c:pt idx="500">
                  <c:v>0.58243833816776025</c:v>
                </c:pt>
                <c:pt idx="501">
                  <c:v>0.50775797138340706</c:v>
                </c:pt>
                <c:pt idx="502">
                  <c:v>0.52094868673804884</c:v>
                </c:pt>
                <c:pt idx="503">
                  <c:v>0.24129977859268206</c:v>
                </c:pt>
                <c:pt idx="504">
                  <c:v>0.25647540059121776</c:v>
                </c:pt>
                <c:pt idx="505">
                  <c:v>0.26341393509354877</c:v>
                </c:pt>
                <c:pt idx="506">
                  <c:v>0.22800685913256571</c:v>
                </c:pt>
                <c:pt idx="507">
                  <c:v>0.25894552565918427</c:v>
                </c:pt>
                <c:pt idx="508">
                  <c:v>0.21635534258758049</c:v>
                </c:pt>
                <c:pt idx="509">
                  <c:v>0.21655140546658899</c:v>
                </c:pt>
                <c:pt idx="510">
                  <c:v>0.1998584534906761</c:v>
                </c:pt>
                <c:pt idx="511">
                  <c:v>0.28470595517876596</c:v>
                </c:pt>
                <c:pt idx="512">
                  <c:v>0.27095858726259175</c:v>
                </c:pt>
                <c:pt idx="513">
                  <c:v>0.26661665377238258</c:v>
                </c:pt>
                <c:pt idx="514">
                  <c:v>0.29495570336891813</c:v>
                </c:pt>
                <c:pt idx="515">
                  <c:v>0.29495570336891813</c:v>
                </c:pt>
                <c:pt idx="516">
                  <c:v>0.27561724240749319</c:v>
                </c:pt>
                <c:pt idx="517">
                  <c:v>0.19641927636115525</c:v>
                </c:pt>
                <c:pt idx="518">
                  <c:v>0.19708753746486549</c:v>
                </c:pt>
                <c:pt idx="519">
                  <c:v>0.25347229616623929</c:v>
                </c:pt>
                <c:pt idx="520">
                  <c:v>0.25355672553545666</c:v>
                </c:pt>
                <c:pt idx="521">
                  <c:v>0.24994717144247963</c:v>
                </c:pt>
                <c:pt idx="522">
                  <c:v>0.29835528985461507</c:v>
                </c:pt>
                <c:pt idx="523">
                  <c:v>0.29831572196480871</c:v>
                </c:pt>
                <c:pt idx="524">
                  <c:v>0.33020640121242489</c:v>
                </c:pt>
                <c:pt idx="525">
                  <c:v>0.3427884630065019</c:v>
                </c:pt>
                <c:pt idx="526">
                  <c:v>0.34288490250275433</c:v>
                </c:pt>
                <c:pt idx="527">
                  <c:v>0.35500149749190096</c:v>
                </c:pt>
                <c:pt idx="528">
                  <c:v>0.37213987056682507</c:v>
                </c:pt>
                <c:pt idx="529">
                  <c:v>0.38302528963221549</c:v>
                </c:pt>
                <c:pt idx="530">
                  <c:v>0.38368593487389618</c:v>
                </c:pt>
                <c:pt idx="531">
                  <c:v>0.40707717152378514</c:v>
                </c:pt>
                <c:pt idx="532">
                  <c:v>0.40363177156377028</c:v>
                </c:pt>
                <c:pt idx="533">
                  <c:v>0.38134422624060965</c:v>
                </c:pt>
                <c:pt idx="534">
                  <c:v>0.38312299356921936</c:v>
                </c:pt>
                <c:pt idx="535">
                  <c:v>0.43752387395572567</c:v>
                </c:pt>
                <c:pt idx="536">
                  <c:v>0.43766903544548874</c:v>
                </c:pt>
                <c:pt idx="537">
                  <c:v>0.45089153443557384</c:v>
                </c:pt>
                <c:pt idx="538">
                  <c:v>0.45138823940454592</c:v>
                </c:pt>
                <c:pt idx="539">
                  <c:v>0.20832510228242127</c:v>
                </c:pt>
                <c:pt idx="540">
                  <c:v>0.20714343166888258</c:v>
                </c:pt>
                <c:pt idx="541">
                  <c:v>0.23132968880070068</c:v>
                </c:pt>
                <c:pt idx="542">
                  <c:v>0.25965655543785615</c:v>
                </c:pt>
                <c:pt idx="543">
                  <c:v>0.26029836722590582</c:v>
                </c:pt>
                <c:pt idx="544">
                  <c:v>0.28801808700427434</c:v>
                </c:pt>
                <c:pt idx="545">
                  <c:v>0.27812101617518964</c:v>
                </c:pt>
                <c:pt idx="546">
                  <c:v>0.28948922286141932</c:v>
                </c:pt>
                <c:pt idx="547">
                  <c:v>0.27864177175816857</c:v>
                </c:pt>
                <c:pt idx="548">
                  <c:v>0.32329722449730114</c:v>
                </c:pt>
                <c:pt idx="549">
                  <c:v>0.32329722449730114</c:v>
                </c:pt>
                <c:pt idx="550">
                  <c:v>0.37636024351929254</c:v>
                </c:pt>
                <c:pt idx="551">
                  <c:v>0.37916969104399589</c:v>
                </c:pt>
                <c:pt idx="552">
                  <c:v>0.39088439044414336</c:v>
                </c:pt>
                <c:pt idx="553">
                  <c:v>0.38997372249711054</c:v>
                </c:pt>
                <c:pt idx="554">
                  <c:v>0.42425047498696711</c:v>
                </c:pt>
                <c:pt idx="555">
                  <c:v>0.42342609902808787</c:v>
                </c:pt>
                <c:pt idx="556">
                  <c:v>0.43079623415356721</c:v>
                </c:pt>
                <c:pt idx="557">
                  <c:v>0.43027148458141312</c:v>
                </c:pt>
                <c:pt idx="558">
                  <c:v>0.43114690269690109</c:v>
                </c:pt>
                <c:pt idx="559">
                  <c:v>0.43741115462777957</c:v>
                </c:pt>
                <c:pt idx="560">
                  <c:v>0.45313135590429676</c:v>
                </c:pt>
                <c:pt idx="561">
                  <c:v>0.45200557864972907</c:v>
                </c:pt>
                <c:pt idx="562">
                  <c:v>0.50540328080046559</c:v>
                </c:pt>
                <c:pt idx="563">
                  <c:v>0.50745271177557061</c:v>
                </c:pt>
                <c:pt idx="564">
                  <c:v>0.50134190520437827</c:v>
                </c:pt>
                <c:pt idx="565">
                  <c:v>0.56685650811523136</c:v>
                </c:pt>
                <c:pt idx="566">
                  <c:v>0.56733832443533361</c:v>
                </c:pt>
                <c:pt idx="567">
                  <c:v>#N/A</c:v>
                </c:pt>
                <c:pt idx="568">
                  <c:v>#N/A</c:v>
                </c:pt>
                <c:pt idx="569">
                  <c:v>0.65703084006372336</c:v>
                </c:pt>
                <c:pt idx="570">
                  <c:v>0.59472075764221999</c:v>
                </c:pt>
                <c:pt idx="571">
                  <c:v>0.59472075764221999</c:v>
                </c:pt>
                <c:pt idx="572">
                  <c:v>0.67700045695184841</c:v>
                </c:pt>
                <c:pt idx="573">
                  <c:v>0.74187580759138161</c:v>
                </c:pt>
                <c:pt idx="574">
                  <c:v>#N/A</c:v>
                </c:pt>
                <c:pt idx="575">
                  <c:v>#N/A</c:v>
                </c:pt>
                <c:pt idx="576">
                  <c:v>#N/A</c:v>
                </c:pt>
                <c:pt idx="577">
                  <c:v>#N/A</c:v>
                </c:pt>
                <c:pt idx="578">
                  <c:v>#N/A</c:v>
                </c:pt>
                <c:pt idx="579">
                  <c:v>#N/A</c:v>
                </c:pt>
                <c:pt idx="580">
                  <c:v>#N/A</c:v>
                </c:pt>
                <c:pt idx="581">
                  <c:v>#N/A</c:v>
                </c:pt>
                <c:pt idx="582">
                  <c:v>#N/A</c:v>
                </c:pt>
                <c:pt idx="583">
                  <c:v>#N/A</c:v>
                </c:pt>
                <c:pt idx="584">
                  <c:v>#N/A</c:v>
                </c:pt>
                <c:pt idx="585">
                  <c:v>1.6979927069158915</c:v>
                </c:pt>
                <c:pt idx="586">
                  <c:v>1.7160330855221739</c:v>
                </c:pt>
                <c:pt idx="587">
                  <c:v>1.7827465266850737</c:v>
                </c:pt>
                <c:pt idx="588">
                  <c:v>1.1699262352480448</c:v>
                </c:pt>
                <c:pt idx="589">
                  <c:v>1.1071927501539178</c:v>
                </c:pt>
                <c:pt idx="590">
                  <c:v>1.1027808496916107</c:v>
                </c:pt>
                <c:pt idx="591">
                  <c:v>1.044830987952263</c:v>
                </c:pt>
                <c:pt idx="592">
                  <c:v>1.0286412473130768</c:v>
                </c:pt>
                <c:pt idx="593">
                  <c:v>0.88612731391844146</c:v>
                </c:pt>
                <c:pt idx="594">
                  <c:v>0.78720599259469148</c:v>
                </c:pt>
                <c:pt idx="595">
                  <c:v>0.7509519609161065</c:v>
                </c:pt>
                <c:pt idx="596">
                  <c:v>0.69996069716312881</c:v>
                </c:pt>
                <c:pt idx="597">
                  <c:v>0.64802419711259707</c:v>
                </c:pt>
                <c:pt idx="598">
                  <c:v>0.63635091959803869</c:v>
                </c:pt>
                <c:pt idx="599">
                  <c:v>0.62072394133270858</c:v>
                </c:pt>
                <c:pt idx="600">
                  <c:v>0.62446595868682853</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0.78168035347984766</c:v>
                </c:pt>
                <c:pt idx="629">
                  <c:v>0.78177993693823999</c:v>
                </c:pt>
                <c:pt idx="630">
                  <c:v>0.78584018832874736</c:v>
                </c:pt>
                <c:pt idx="631">
                  <c:v>0.97155641252055591</c:v>
                </c:pt>
                <c:pt idx="632">
                  <c:v>1.1003752159579392</c:v>
                </c:pt>
                <c:pt idx="633">
                  <c:v>1.2184529540321307</c:v>
                </c:pt>
                <c:pt idx="634">
                  <c:v>1.2591363721062079</c:v>
                </c:pt>
                <c:pt idx="635">
                  <c:v>1.2184529540321307</c:v>
                </c:pt>
                <c:pt idx="636">
                  <c:v>1.699156790684943</c:v>
                </c:pt>
                <c:pt idx="637">
                  <c:v>1.894386721273368</c:v>
                </c:pt>
                <c:pt idx="638">
                  <c:v>1.9545910119003018</c:v>
                </c:pt>
                <c:pt idx="639">
                  <c:v>0.34281948099173432</c:v>
                </c:pt>
                <c:pt idx="640">
                  <c:v>0.34281948099173432</c:v>
                </c:pt>
                <c:pt idx="641">
                  <c:v>0.34281948099173432</c:v>
                </c:pt>
                <c:pt idx="642">
                  <c:v>0.39132885715957288</c:v>
                </c:pt>
                <c:pt idx="643">
                  <c:v>0.42872945561881576</c:v>
                </c:pt>
                <c:pt idx="644">
                  <c:v>0.54541103723030948</c:v>
                </c:pt>
                <c:pt idx="645">
                  <c:v>0.42156225176784912</c:v>
                </c:pt>
                <c:pt idx="646">
                  <c:v>0.49141257117512094</c:v>
                </c:pt>
                <c:pt idx="647">
                  <c:v>0.241975947938706</c:v>
                </c:pt>
                <c:pt idx="648">
                  <c:v>0.4245053995073802</c:v>
                </c:pt>
                <c:pt idx="649">
                  <c:v>0.56320848058467998</c:v>
                </c:pt>
                <c:pt idx="650">
                  <c:v>0.71742518528170218</c:v>
                </c:pt>
                <c:pt idx="651">
                  <c:v>0.86415918222963573</c:v>
                </c:pt>
                <c:pt idx="652">
                  <c:v>0.9842089657928268</c:v>
                </c:pt>
                <c:pt idx="653">
                  <c:v>0.24123225295325118</c:v>
                </c:pt>
                <c:pt idx="654">
                  <c:v>0.42320071389874231</c:v>
                </c:pt>
                <c:pt idx="655">
                  <c:v>0.56147750142603015</c:v>
                </c:pt>
                <c:pt idx="656">
                  <c:v>0.71522023261066969</c:v>
                </c:pt>
                <c:pt idx="657">
                  <c:v>0.86150325358906799</c:v>
                </c:pt>
                <c:pt idx="658">
                  <c:v>0.98118407311760436</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1 Data'!$AC$15:$AC$684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0.24066656654645777</c:v>
                </c:pt>
                <c:pt idx="117">
                  <c:v>0.23489056894934279</c:v>
                </c:pt>
                <c:pt idx="118">
                  <c:v>0.30227720758235099</c:v>
                </c:pt>
                <c:pt idx="119">
                  <c:v>0.27339721959677615</c:v>
                </c:pt>
                <c:pt idx="120">
                  <c:v>0.34655985582689924</c:v>
                </c:pt>
                <c:pt idx="121">
                  <c:v>0.29265054492049269</c:v>
                </c:pt>
                <c:pt idx="122">
                  <c:v>0.22911457135222785</c:v>
                </c:pt>
                <c:pt idx="123">
                  <c:v>0.23681590148171447</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0.21035603896323504</c:v>
                </c:pt>
                <c:pt idx="257">
                  <c:v>0.20731493830036216</c:v>
                </c:pt>
                <c:pt idx="258">
                  <c:v>0.20164080598741679</c:v>
                </c:pt>
                <c:pt idx="259">
                  <c:v>0.199766118155801</c:v>
                </c:pt>
                <c:pt idx="260">
                  <c:v>0.22244168423990465</c:v>
                </c:pt>
                <c:pt idx="261">
                  <c:v>0.21103265364353677</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7.4469224855689145E-2</c:v>
                </c:pt>
                <c:pt idx="307">
                  <c:v>8.9075535875300829E-2</c:v>
                </c:pt>
                <c:pt idx="308">
                  <c:v>0.12553628027610716</c:v>
                </c:pt>
                <c:pt idx="309">
                  <c:v>9.0518265251719382E-2</c:v>
                </c:pt>
                <c:pt idx="310">
                  <c:v>0.10967906592544101</c:v>
                </c:pt>
                <c:pt idx="311">
                  <c:v>0.11562552130694083</c:v>
                </c:pt>
                <c:pt idx="312">
                  <c:v>0.13379524608374582</c:v>
                </c:pt>
                <c:pt idx="313">
                  <c:v>0.13049165976069035</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0.42132916397780285</c:v>
                </c:pt>
                <c:pt idx="459">
                  <c:v>0.60307899941920817</c:v>
                </c:pt>
                <c:pt idx="460">
                  <c:v>0.66090849251420047</c:v>
                </c:pt>
                <c:pt idx="461">
                  <c:v>0.29906109286267568</c:v>
                </c:pt>
                <c:pt idx="462">
                  <c:v>0.69395391713991061</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0.82483838488084604</c:v>
                </c:pt>
                <c:pt idx="602">
                  <c:v>0.86642738539875586</c:v>
                </c:pt>
                <c:pt idx="603">
                  <c:v>0.83683328755722586</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7-5784-4D5F-9FF1-3749E403C31D}"/>
            </c:ext>
          </c:extLst>
        </c:ser>
        <c:dLbls>
          <c:showLegendKey val="0"/>
          <c:showVal val="0"/>
          <c:showCatName val="0"/>
          <c:showSerName val="0"/>
          <c:showPercent val="0"/>
          <c:showBubbleSize val="0"/>
        </c:dLbls>
        <c:axId val="1026659696"/>
        <c:axId val="1026662192"/>
      </c:scatterChart>
      <c:valAx>
        <c:axId val="1026659696"/>
        <c:scaling>
          <c:orientation val="minMax"/>
          <c:max val="3"/>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λ</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62192"/>
        <c:crosses val="autoZero"/>
        <c:crossBetween val="midCat"/>
      </c:valAx>
      <c:valAx>
        <c:axId val="102666219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α</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59696"/>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6184527228252"/>
          <c:y val="3.5662211756561861E-2"/>
          <c:w val="0.83218166564642315"/>
          <c:h val="0.802988098374118"/>
        </c:manualLayout>
      </c:layout>
      <c:scatterChart>
        <c:scatterStyle val="lineMarker"/>
        <c:varyColors val="0"/>
        <c:ser>
          <c:idx val="7"/>
          <c:order val="0"/>
          <c:tx>
            <c:v>Theorertical solution</c:v>
          </c:tx>
          <c:spPr>
            <a:ln w="19050" cap="rnd">
              <a:solidFill>
                <a:schemeClr val="tx1"/>
              </a:solidFill>
              <a:prstDash val="dash"/>
              <a:round/>
            </a:ln>
            <a:effectLst/>
          </c:spPr>
          <c:marker>
            <c:symbol val="none"/>
          </c:marker>
          <c:xVal>
            <c:numRef>
              <c:f>'Figure 1 Data'!$AI$15:$AI$16</c:f>
              <c:numCache>
                <c:formatCode>General</c:formatCode>
                <c:ptCount val="2"/>
                <c:pt idx="0">
                  <c:v>0</c:v>
                </c:pt>
                <c:pt idx="1">
                  <c:v>1500</c:v>
                </c:pt>
              </c:numCache>
            </c:numRef>
          </c:xVal>
          <c:yVal>
            <c:numRef>
              <c:f>'Figure 1 Data'!$AJ$15:$AJ$16</c:f>
              <c:numCache>
                <c:formatCode>General</c:formatCode>
                <c:ptCount val="2"/>
                <c:pt idx="0">
                  <c:v>1</c:v>
                </c:pt>
                <c:pt idx="1">
                  <c:v>1</c:v>
                </c:pt>
              </c:numCache>
            </c:numRef>
          </c:yVal>
          <c:smooth val="0"/>
          <c:extLst>
            <c:ext xmlns:c16="http://schemas.microsoft.com/office/drawing/2014/chart" uri="{C3380CC4-5D6E-409C-BE32-E72D297353CC}">
              <c16:uniqueId val="{00000000-1419-4A15-B4DE-5CBA74A09C0F}"/>
            </c:ext>
          </c:extLst>
        </c:ser>
        <c:ser>
          <c:idx val="4"/>
          <c:order val="1"/>
          <c:tx>
            <c:v>Circular hollow section</c:v>
          </c:tx>
          <c:spPr>
            <a:ln w="25400" cap="rnd">
              <a:noFill/>
              <a:round/>
            </a:ln>
            <a:effectLst/>
          </c:spPr>
          <c:marker>
            <c:symbol val="triangle"/>
            <c:size val="5"/>
            <c:spPr>
              <a:solidFill>
                <a:schemeClr val="accent4"/>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Data'!$S$15:$S$684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1.2807080054902387</c:v>
                </c:pt>
                <c:pt idx="31">
                  <c:v>1.310877485246057</c:v>
                </c:pt>
                <c:pt idx="32">
                  <c:v>1.3383591935321377</c:v>
                </c:pt>
                <c:pt idx="33">
                  <c:v>1.1507039699495796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1.1111413228196587</c:v>
                </c:pt>
                <c:pt idx="281">
                  <c:v>1.1230610952833175</c:v>
                </c:pt>
                <c:pt idx="282">
                  <c:v>1.1800406797454237</c:v>
                </c:pt>
                <c:pt idx="283">
                  <c:v>1.143095430651031</c:v>
                </c:pt>
                <c:pt idx="284">
                  <c:v>1.1419999999999999</c:v>
                </c:pt>
                <c:pt idx="285">
                  <c:v>1.1741194104421684</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1.5874861716202324</c:v>
                </c:pt>
                <c:pt idx="303">
                  <c:v>1.5869004051105828</c:v>
                </c:pt>
                <c:pt idx="304">
                  <c:v>1.3020624788107931</c:v>
                </c:pt>
                <c:pt idx="305">
                  <c:v>1.1250588124005259</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1.3702623906705538</c:v>
                </c:pt>
                <c:pt idx="504">
                  <c:v>1.296774193548387</c:v>
                </c:pt>
                <c:pt idx="505">
                  <c:v>1.1559633027522933</c:v>
                </c:pt>
                <c:pt idx="506">
                  <c:v>1.546938775510204</c:v>
                </c:pt>
                <c:pt idx="507">
                  <c:v>1.221518987341772</c:v>
                </c:pt>
                <c:pt idx="508">
                  <c:v>1.4732547597461469</c:v>
                </c:pt>
                <c:pt idx="509">
                  <c:v>1.5882352941176472</c:v>
                </c:pt>
                <c:pt idx="510">
                  <c:v>1.5214723926380367</c:v>
                </c:pt>
                <c:pt idx="511">
                  <c:v>1.2041884816753927</c:v>
                </c:pt>
                <c:pt idx="512">
                  <c:v>1.3179190751445087</c:v>
                </c:pt>
                <c:pt idx="513">
                  <c:v>1.3134328358208955</c:v>
                </c:pt>
                <c:pt idx="514">
                  <c:v>1.0780487804878049</c:v>
                </c:pt>
                <c:pt idx="515">
                  <c:v>1.1219512195121952</c:v>
                </c:pt>
                <c:pt idx="516">
                  <c:v>1.240223463687151</c:v>
                </c:pt>
                <c:pt idx="517">
                  <c:v>1.2529999999999999</c:v>
                </c:pt>
                <c:pt idx="518">
                  <c:v>1.2569999999999999</c:v>
                </c:pt>
                <c:pt idx="519">
                  <c:v>1.135</c:v>
                </c:pt>
                <c:pt idx="520">
                  <c:v>1.127</c:v>
                </c:pt>
                <c:pt idx="521">
                  <c:v>1.1080000000000001</c:v>
                </c:pt>
                <c:pt idx="522">
                  <c:v>1.115</c:v>
                </c:pt>
                <c:pt idx="523">
                  <c:v>1.1100000000000001</c:v>
                </c:pt>
                <c:pt idx="524">
                  <c:v>1.052</c:v>
                </c:pt>
                <c:pt idx="525">
                  <c:v>1.0760000000000001</c:v>
                </c:pt>
                <c:pt idx="526">
                  <c:v>1.069</c:v>
                </c:pt>
                <c:pt idx="527">
                  <c:v>1.0189999999999999</c:v>
                </c:pt>
                <c:pt idx="528">
                  <c:v>1.018</c:v>
                </c:pt>
                <c:pt idx="529">
                  <c:v>0.94499999999999995</c:v>
                </c:pt>
                <c:pt idx="530">
                  <c:v>0.95899999999999996</c:v>
                </c:pt>
                <c:pt idx="531">
                  <c:v>0.94599999999999995</c:v>
                </c:pt>
                <c:pt idx="532">
                  <c:v>0.91700000000000004</c:v>
                </c:pt>
                <c:pt idx="533">
                  <c:v>1.2390000000000001</c:v>
                </c:pt>
                <c:pt idx="534">
                  <c:v>1.234</c:v>
                </c:pt>
                <c:pt idx="535">
                  <c:v>1.056</c:v>
                </c:pt>
                <c:pt idx="536">
                  <c:v>1.054</c:v>
                </c:pt>
                <c:pt idx="537">
                  <c:v>1.1319999999999999</c:v>
                </c:pt>
                <c:pt idx="538">
                  <c:v>1.1319999999999999</c:v>
                </c:pt>
                <c:pt idx="539">
                  <c:v>1.756</c:v>
                </c:pt>
                <c:pt idx="540">
                  <c:v>1.6830000000000001</c:v>
                </c:pt>
                <c:pt idx="541">
                  <c:v>1.494</c:v>
                </c:pt>
                <c:pt idx="542">
                  <c:v>1.4159999999999999</c:v>
                </c:pt>
                <c:pt idx="543">
                  <c:v>1.423</c:v>
                </c:pt>
                <c:pt idx="544">
                  <c:v>1.3240000000000001</c:v>
                </c:pt>
                <c:pt idx="545">
                  <c:v>1.431</c:v>
                </c:pt>
                <c:pt idx="546">
                  <c:v>1.35</c:v>
                </c:pt>
                <c:pt idx="547">
                  <c:v>1.413</c:v>
                </c:pt>
                <c:pt idx="548">
                  <c:v>1.3280000000000001</c:v>
                </c:pt>
                <c:pt idx="549">
                  <c:v>1.3280000000000001</c:v>
                </c:pt>
                <c:pt idx="550">
                  <c:v>1.254</c:v>
                </c:pt>
                <c:pt idx="551">
                  <c:v>1.2330000000000001</c:v>
                </c:pt>
                <c:pt idx="552">
                  <c:v>1.198</c:v>
                </c:pt>
                <c:pt idx="553">
                  <c:v>1.2110000000000001</c:v>
                </c:pt>
                <c:pt idx="554">
                  <c:v>1.1779999999999999</c:v>
                </c:pt>
                <c:pt idx="555">
                  <c:v>1.175</c:v>
                </c:pt>
                <c:pt idx="556">
                  <c:v>1.1850000000000001</c:v>
                </c:pt>
                <c:pt idx="557">
                  <c:v>1.1950000000000001</c:v>
                </c:pt>
                <c:pt idx="558">
                  <c:v>1.1850000000000001</c:v>
                </c:pt>
                <c:pt idx="559">
                  <c:v>1.1719999999999999</c:v>
                </c:pt>
                <c:pt idx="560">
                  <c:v>1.145</c:v>
                </c:pt>
                <c:pt idx="561">
                  <c:v>1.141</c:v>
                </c:pt>
                <c:pt idx="562">
                  <c:v>1.038</c:v>
                </c:pt>
                <c:pt idx="563">
                  <c:v>1.081</c:v>
                </c:pt>
                <c:pt idx="564">
                  <c:v>1.109</c:v>
                </c:pt>
                <c:pt idx="565">
                  <c:v>0.99399999999999999</c:v>
                </c:pt>
                <c:pt idx="566">
                  <c:v>0.995</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1-1419-4A15-B4DE-5CBA74A09C0F}"/>
            </c:ext>
          </c:extLst>
        </c:ser>
        <c:ser>
          <c:idx val="5"/>
          <c:order val="2"/>
          <c:tx>
            <c:v>Circumferentially and longitudinally welded</c:v>
          </c:tx>
          <c:spPr>
            <a:ln w="25400" cap="rnd">
              <a:noFill/>
              <a:round/>
            </a:ln>
            <a:effectLst/>
          </c:spPr>
          <c:marker>
            <c:symbol val="star"/>
            <c:size val="4"/>
            <c:spPr>
              <a:noFill/>
              <a:ln w="9525">
                <a:solidFill>
                  <a:srgbClr val="D45AB4"/>
                </a:solidFill>
              </a:ln>
              <a:effectLst/>
            </c:spPr>
          </c:marker>
          <c:dPt>
            <c:idx val="381"/>
            <c:marker>
              <c:symbol val="star"/>
              <c:size val="4"/>
              <c:spPr>
                <a:noFill/>
                <a:ln w="9525">
                  <a:solidFill>
                    <a:srgbClr val="CF45AB"/>
                  </a:solidFill>
                </a:ln>
                <a:effectLst/>
              </c:spPr>
            </c:marker>
            <c:bubble3D val="0"/>
            <c:extLst>
              <c:ext xmlns:c16="http://schemas.microsoft.com/office/drawing/2014/chart" uri="{C3380CC4-5D6E-409C-BE32-E72D297353CC}">
                <c16:uniqueId val="{00000002-1419-4A15-B4DE-5CBA74A09C0F}"/>
              </c:ext>
            </c:extLst>
          </c:dPt>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Data'!$T$15:$T$684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0.68128778293265846</c:v>
                </c:pt>
                <c:pt idx="242">
                  <c:v>0.65484273243730073</c:v>
                </c:pt>
                <c:pt idx="243">
                  <c:v>0.69217143008222515</c:v>
                </c:pt>
                <c:pt idx="244">
                  <c:v>0.7605985037406483</c:v>
                </c:pt>
                <c:pt idx="245">
                  <c:v>0.6097560975609756</c:v>
                </c:pt>
                <c:pt idx="246">
                  <c:v>0.68518518518518523</c:v>
                </c:pt>
                <c:pt idx="247">
                  <c:v>0.5138427464008859</c:v>
                </c:pt>
                <c:pt idx="248">
                  <c:v>0.61154855643044614</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0.75421052631578955</c:v>
                </c:pt>
                <c:pt idx="299">
                  <c:v>#N/A</c:v>
                </c:pt>
                <c:pt idx="300">
                  <c:v>0.58684210526315794</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0.85632181033735433</c:v>
                </c:pt>
                <c:pt idx="315">
                  <c:v>0.72647071495514282</c:v>
                </c:pt>
                <c:pt idx="316">
                  <c:v>0.72307718054039571</c:v>
                </c:pt>
                <c:pt idx="317">
                  <c:v>0.70263144234674091</c:v>
                </c:pt>
                <c:pt idx="318">
                  <c:v>0.53499996192759491</c:v>
                </c:pt>
                <c:pt idx="319">
                  <c:v>0.54499995104976495</c:v>
                </c:pt>
                <c:pt idx="320">
                  <c:v>0.97101473037061137</c:v>
                </c:pt>
                <c:pt idx="321">
                  <c:v>0.9088237138456039</c:v>
                </c:pt>
                <c:pt idx="322">
                  <c:v>0.77187509348136851</c:v>
                </c:pt>
                <c:pt idx="323">
                  <c:v>0.72941199556184444</c:v>
                </c:pt>
                <c:pt idx="324">
                  <c:v>1.0859375920649841</c:v>
                </c:pt>
                <c:pt idx="325">
                  <c:v>1.1243076121164086</c:v>
                </c:pt>
                <c:pt idx="326">
                  <c:v>0.95593752861096426</c:v>
                </c:pt>
                <c:pt idx="327">
                  <c:v>0.95484843557028409</c:v>
                </c:pt>
                <c:pt idx="328">
                  <c:v>0.72765425298947806</c:v>
                </c:pt>
                <c:pt idx="329">
                  <c:v>0.79898979022269889</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0.9667307232158302</c:v>
                </c:pt>
                <c:pt idx="376">
                  <c:v>0.97297777150801645</c:v>
                </c:pt>
                <c:pt idx="377">
                  <c:v>0.77982887538641377</c:v>
                </c:pt>
                <c:pt idx="378">
                  <c:v>0.7887608360736591</c:v>
                </c:pt>
                <c:pt idx="379">
                  <c:v>0.98341477620702389</c:v>
                </c:pt>
                <c:pt idx="380">
                  <c:v>0.94858117751894955</c:v>
                </c:pt>
                <c:pt idx="381">
                  <c:v>0.75990373231486663</c:v>
                </c:pt>
                <c:pt idx="382">
                  <c:v>0.92417270672531104</c:v>
                </c:pt>
                <c:pt idx="383">
                  <c:v>0.96495988948486533</c:v>
                </c:pt>
                <c:pt idx="384">
                  <c:v>0.94442882800646388</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3-1419-4A15-B4DE-5CBA74A09C0F}"/>
            </c:ext>
          </c:extLst>
        </c:ser>
        <c:ser>
          <c:idx val="2"/>
          <c:order val="3"/>
          <c:tx>
            <c:v>Machined</c:v>
          </c:tx>
          <c:spPr>
            <a:ln w="25400" cap="rnd">
              <a:noFill/>
              <a:round/>
            </a:ln>
            <a:effectLst/>
          </c:spPr>
          <c:marker>
            <c:symbol val="triangle"/>
            <c:size val="5"/>
            <c:spPr>
              <a:solidFill>
                <a:srgbClr val="0000FF"/>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Data'!$R$15:$R$684</c:f>
              <c:numCache>
                <c:formatCode>General</c:formatCode>
                <c:ptCount val="670"/>
                <c:pt idx="0">
                  <c:v>1.0371782312925171</c:v>
                </c:pt>
                <c:pt idx="1">
                  <c:v>1.0106292902066485</c:v>
                </c:pt>
                <c:pt idx="2">
                  <c:v>1.0292135541008856</c:v>
                </c:pt>
                <c:pt idx="3">
                  <c:v>1.0548774996791168</c:v>
                </c:pt>
                <c:pt idx="4">
                  <c:v>1.0283285842638943</c:v>
                </c:pt>
                <c:pt idx="5">
                  <c:v>1.0300984982672314</c:v>
                </c:pt>
                <c:pt idx="6">
                  <c:v>1.0300984982672314</c:v>
                </c:pt>
                <c:pt idx="7">
                  <c:v>1.0543465280451803</c:v>
                </c:pt>
                <c:pt idx="8">
                  <c:v>1.040010114234373</c:v>
                </c:pt>
                <c:pt idx="9">
                  <c:v>#N/A</c:v>
                </c:pt>
                <c:pt idx="10">
                  <c:v>0.5846074444872289</c:v>
                </c:pt>
                <c:pt idx="11">
                  <c:v>0.56230635348479008</c:v>
                </c:pt>
                <c:pt idx="12">
                  <c:v>0.63009462199974331</c:v>
                </c:pt>
                <c:pt idx="13">
                  <c:v>0.5877933256321396</c:v>
                </c:pt>
                <c:pt idx="14">
                  <c:v>1.2324013605442177</c:v>
                </c:pt>
                <c:pt idx="15">
                  <c:v>1.1347012963676038</c:v>
                </c:pt>
                <c:pt idx="16">
                  <c:v>1.0899220895905533</c:v>
                </c:pt>
                <c:pt idx="17">
                  <c:v>0.98213343601591574</c:v>
                </c:pt>
                <c:pt idx="18">
                  <c:v>0.90938937235271466</c:v>
                </c:pt>
                <c:pt idx="19">
                  <c:v>0.777883660634065</c:v>
                </c:pt>
                <c:pt idx="20">
                  <c:v>1.2389500962649211</c:v>
                </c:pt>
                <c:pt idx="21">
                  <c:v>1.2269145937620329</c:v>
                </c:pt>
                <c:pt idx="22">
                  <c:v>1.236118213323065</c:v>
                </c:pt>
                <c:pt idx="23">
                  <c:v>#N/A</c:v>
                </c:pt>
                <c:pt idx="24">
                  <c:v>1.1290375304838918</c:v>
                </c:pt>
                <c:pt idx="25">
                  <c:v>1.0881521755872159</c:v>
                </c:pt>
                <c:pt idx="26">
                  <c:v>0.9447879347965602</c:v>
                </c:pt>
                <c:pt idx="27">
                  <c:v>0.89629190091130784</c:v>
                </c:pt>
                <c:pt idx="28">
                  <c:v>0.77328186368887175</c:v>
                </c:pt>
                <c:pt idx="29">
                  <c:v>1.2253216531895776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0.87343532684283731</c:v>
                </c:pt>
                <c:pt idx="209">
                  <c:v>1.0598052851182198</c:v>
                </c:pt>
                <c:pt idx="210">
                  <c:v>1.0681502086230876</c:v>
                </c:pt>
                <c:pt idx="211">
                  <c:v>1.1112656467315716</c:v>
                </c:pt>
                <c:pt idx="212">
                  <c:v>1.023643949930459</c:v>
                </c:pt>
                <c:pt idx="213">
                  <c:v>1.1321279554937416</c:v>
                </c:pt>
                <c:pt idx="214">
                  <c:v>1.1126564673157162</c:v>
                </c:pt>
                <c:pt idx="215">
                  <c:v>1.1293463143254521</c:v>
                </c:pt>
                <c:pt idx="216">
                  <c:v>1.0555555555555556</c:v>
                </c:pt>
                <c:pt idx="217">
                  <c:v>1.1431623931623933</c:v>
                </c:pt>
                <c:pt idx="218">
                  <c:v>0.99145299145299148</c:v>
                </c:pt>
                <c:pt idx="219">
                  <c:v>1.0256410256410258</c:v>
                </c:pt>
                <c:pt idx="220">
                  <c:v>1.0811965811965811</c:v>
                </c:pt>
                <c:pt idx="221">
                  <c:v>1.1858974358974359</c:v>
                </c:pt>
                <c:pt idx="222">
                  <c:v>0.86324786324786329</c:v>
                </c:pt>
                <c:pt idx="223">
                  <c:v>1.1239316239316239</c:v>
                </c:pt>
                <c:pt idx="224">
                  <c:v>0.93376068376068388</c:v>
                </c:pt>
                <c:pt idx="225">
                  <c:v>1.1794871794871795</c:v>
                </c:pt>
                <c:pt idx="226">
                  <c:v>0.97222222222222221</c:v>
                </c:pt>
                <c:pt idx="227">
                  <c:v>0.76923076923076927</c:v>
                </c:pt>
                <c:pt idx="228">
                  <c:v>1.1538461538461537</c:v>
                </c:pt>
                <c:pt idx="229">
                  <c:v>1.0961538461538463</c:v>
                </c:pt>
                <c:pt idx="230">
                  <c:v>1.1239316239316239</c:v>
                </c:pt>
                <c:pt idx="231">
                  <c:v>1.0811965811965811</c:v>
                </c:pt>
                <c:pt idx="232">
                  <c:v>0.84615384615384615</c:v>
                </c:pt>
                <c:pt idx="233">
                  <c:v>0.34265734265734266</c:v>
                </c:pt>
                <c:pt idx="234">
                  <c:v>0.73193473193473202</c:v>
                </c:pt>
                <c:pt idx="235">
                  <c:v>0.53613053613053618</c:v>
                </c:pt>
                <c:pt idx="236">
                  <c:v>0.51515151515151514</c:v>
                </c:pt>
                <c:pt idx="237">
                  <c:v>0.18671328671328674</c:v>
                </c:pt>
                <c:pt idx="238">
                  <c:v>0.3867132867132867</c:v>
                </c:pt>
                <c:pt idx="239">
                  <c:v>0.50815850815850827</c:v>
                </c:pt>
                <c:pt idx="240">
                  <c:v>0.70629370629370636</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0.87058823529411766</c:v>
                </c:pt>
                <c:pt idx="499">
                  <c:v>0.91176470588235292</c:v>
                </c:pt>
                <c:pt idx="500">
                  <c:v>0.90352941176470591</c:v>
                </c:pt>
                <c:pt idx="501">
                  <c:v>0.88823529411764701</c:v>
                </c:pt>
                <c:pt idx="502">
                  <c:v>0.8529411764705882</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0.65910423448974254</c:v>
                </c:pt>
                <c:pt idx="629">
                  <c:v>0.73164020018185083</c:v>
                </c:pt>
                <c:pt idx="630">
                  <c:v>0.74197367799895397</c:v>
                </c:pt>
                <c:pt idx="631">
                  <c:v>0.59943327954300518</c:v>
                </c:pt>
                <c:pt idx="632">
                  <c:v>0.47452014010224142</c:v>
                </c:pt>
                <c:pt idx="633">
                  <c:v>0.41147872227061655</c:v>
                </c:pt>
                <c:pt idx="634">
                  <c:v>0.43648770803450215</c:v>
                </c:pt>
                <c:pt idx="635">
                  <c:v>0.42205831742746502</c:v>
                </c:pt>
                <c:pt idx="636">
                  <c:v>0.13837693892294989</c:v>
                </c:pt>
                <c:pt idx="637">
                  <c:v>7.4429044293290128E-2</c:v>
                </c:pt>
                <c:pt idx="638">
                  <c:v>4.648752281897358E-2</c:v>
                </c:pt>
                <c:pt idx="639">
                  <c:v>1.1842241731176193</c:v>
                </c:pt>
                <c:pt idx="640">
                  <c:v>1.163077312883376</c:v>
                </c:pt>
                <c:pt idx="641">
                  <c:v>1.1654269640205142</c:v>
                </c:pt>
                <c:pt idx="642">
                  <c:v>1.1202160333442182</c:v>
                </c:pt>
                <c:pt idx="643">
                  <c:v>1.1227301564840846</c:v>
                </c:pt>
                <c:pt idx="644">
                  <c:v>0.96771139078826063</c:v>
                </c:pt>
                <c:pt idx="645">
                  <c:v>1.1176821705798701</c:v>
                </c:pt>
                <c:pt idx="646">
                  <c:v>0.96413522634375726</c:v>
                </c:pt>
                <c:pt idx="647">
                  <c:v>1.305863045228943</c:v>
                </c:pt>
                <c:pt idx="648">
                  <c:v>1.082152328475152</c:v>
                </c:pt>
                <c:pt idx="649">
                  <c:v>1.039820577489436</c:v>
                </c:pt>
                <c:pt idx="650">
                  <c:v>0.93907398472989767</c:v>
                </c:pt>
                <c:pt idx="651">
                  <c:v>0.83406953996785571</c:v>
                </c:pt>
                <c:pt idx="652">
                  <c:v>0.76843352990906788</c:v>
                </c:pt>
                <c:pt idx="653">
                  <c:v>1.2109756097560975</c:v>
                </c:pt>
                <c:pt idx="654">
                  <c:v>1.0219512195121949</c:v>
                </c:pt>
                <c:pt idx="655">
                  <c:v>0.97926829268292681</c:v>
                </c:pt>
                <c:pt idx="656">
                  <c:v>0.89390243902439015</c:v>
                </c:pt>
                <c:pt idx="657">
                  <c:v>0.83048780487804874</c:v>
                </c:pt>
                <c:pt idx="658">
                  <c:v>0.73780487804878037</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4-1419-4A15-B4DE-5CBA74A09C0F}"/>
            </c:ext>
          </c:extLst>
        </c:ser>
        <c:ser>
          <c:idx val="0"/>
          <c:order val="4"/>
          <c:tx>
            <c:v>Longitudinally butt-joined</c:v>
          </c:tx>
          <c:spPr>
            <a:ln w="25400" cap="rnd">
              <a:noFill/>
              <a:round/>
            </a:ln>
            <a:effectLst/>
          </c:spPr>
          <c:marker>
            <c:symbol val="circle"/>
            <c:size val="4"/>
            <c:spPr>
              <a:solidFill>
                <a:schemeClr val="tx1"/>
              </a:solidFill>
              <a:ln w="952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Data'!$O$15:$O$684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0.42822134440814413</c:v>
                </c:pt>
                <c:pt idx="35">
                  <c:v>0.28915774314220588</c:v>
                </c:pt>
                <c:pt idx="36">
                  <c:v>0.65657979823389157</c:v>
                </c:pt>
                <c:pt idx="37">
                  <c:v>0.74324833160076531</c:v>
                </c:pt>
                <c:pt idx="38">
                  <c:v>0.89163536600162485</c:v>
                </c:pt>
                <c:pt idx="39">
                  <c:v>0.9018780108540736</c:v>
                </c:pt>
                <c:pt idx="40">
                  <c:v>0.1533524191250033</c:v>
                </c:pt>
                <c:pt idx="41">
                  <c:v>0.19082705307784759</c:v>
                </c:pt>
                <c:pt idx="42">
                  <c:v>0.51366152640248863</c:v>
                </c:pt>
                <c:pt idx="43">
                  <c:v>0.53549006894460627</c:v>
                </c:pt>
                <c:pt idx="44">
                  <c:v>0.83137273947858403</c:v>
                </c:pt>
                <c:pt idx="45">
                  <c:v>0.84251726963721796</c:v>
                </c:pt>
                <c:pt idx="46">
                  <c:v>0.41572751646701595</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0.40704500978473579</c:v>
                </c:pt>
                <c:pt idx="250">
                  <c:v>0.5471349353049908</c:v>
                </c:pt>
                <c:pt idx="251">
                  <c:v>0.33493530499075785</c:v>
                </c:pt>
                <c:pt idx="252">
                  <c:v>0.30219224283305229</c:v>
                </c:pt>
                <c:pt idx="253">
                  <c:v>0.31406491499227207</c:v>
                </c:pt>
                <c:pt idx="254">
                  <c:v>0.67334167709637049</c:v>
                </c:pt>
                <c:pt idx="255">
                  <c:v>0.6707317073170731</c:v>
                </c:pt>
                <c:pt idx="256">
                  <c:v>#N/A</c:v>
                </c:pt>
                <c:pt idx="257">
                  <c:v>#N/A</c:v>
                </c:pt>
                <c:pt idx="258">
                  <c:v>#N/A</c:v>
                </c:pt>
                <c:pt idx="259">
                  <c:v>#N/A</c:v>
                </c:pt>
                <c:pt idx="260">
                  <c:v>#N/A</c:v>
                </c:pt>
                <c:pt idx="261">
                  <c:v>#N/A</c:v>
                </c:pt>
                <c:pt idx="262">
                  <c:v>0.71045576407506705</c:v>
                </c:pt>
                <c:pt idx="263">
                  <c:v>0.54358974358974355</c:v>
                </c:pt>
                <c:pt idx="264">
                  <c:v>0.55024271844660189</c:v>
                </c:pt>
                <c:pt idx="265">
                  <c:v>0.56966019417475722</c:v>
                </c:pt>
                <c:pt idx="266">
                  <c:v>0.97750000000000004</c:v>
                </c:pt>
                <c:pt idx="267">
                  <c:v>1.0875000000000001</c:v>
                </c:pt>
                <c:pt idx="268">
                  <c:v>1.0875000000000001</c:v>
                </c:pt>
                <c:pt idx="269">
                  <c:v>0.75625000000000009</c:v>
                </c:pt>
                <c:pt idx="270">
                  <c:v>0.70250000000000012</c:v>
                </c:pt>
                <c:pt idx="271">
                  <c:v>0.42125000000000007</c:v>
                </c:pt>
                <c:pt idx="272">
                  <c:v>0.4875000000000001</c:v>
                </c:pt>
                <c:pt idx="273">
                  <c:v>0.24375000000000005</c:v>
                </c:pt>
                <c:pt idx="274">
                  <c:v>0.16900000000000001</c:v>
                </c:pt>
                <c:pt idx="275">
                  <c:v>1.0342644271697803</c:v>
                </c:pt>
                <c:pt idx="276">
                  <c:v>1.024778471330511</c:v>
                </c:pt>
                <c:pt idx="277">
                  <c:v>0.84554380320268663</c:v>
                </c:pt>
                <c:pt idx="278">
                  <c:v>0.83163899996276169</c:v>
                </c:pt>
                <c:pt idx="279">
                  <c:v>0.83813195359536996</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0.47700358046184671</c:v>
                </c:pt>
                <c:pt idx="386">
                  <c:v>0.41707321880235193</c:v>
                </c:pt>
                <c:pt idx="387">
                  <c:v>0.50370362718279715</c:v>
                </c:pt>
                <c:pt idx="388">
                  <c:v>0.66901409889285135</c:v>
                </c:pt>
                <c:pt idx="389">
                  <c:v>0.66352651842924859</c:v>
                </c:pt>
                <c:pt idx="390">
                  <c:v>0.57594947399032614</c:v>
                </c:pt>
                <c:pt idx="391">
                  <c:v>0.29304071259381648</c:v>
                </c:pt>
                <c:pt idx="392">
                  <c:v>0.42813907384307182</c:v>
                </c:pt>
                <c:pt idx="393">
                  <c:v>1.056</c:v>
                </c:pt>
                <c:pt idx="394">
                  <c:v>1.004</c:v>
                </c:pt>
                <c:pt idx="395">
                  <c:v>0.999</c:v>
                </c:pt>
                <c:pt idx="396">
                  <c:v>0.88000000000000012</c:v>
                </c:pt>
                <c:pt idx="397">
                  <c:v>1.0089999999999999</c:v>
                </c:pt>
                <c:pt idx="398">
                  <c:v>0.82899999999999985</c:v>
                </c:pt>
                <c:pt idx="399">
                  <c:v>0.81399999999999995</c:v>
                </c:pt>
                <c:pt idx="400">
                  <c:v>0.88900000000000001</c:v>
                </c:pt>
                <c:pt idx="401">
                  <c:v>0.94099999999999995</c:v>
                </c:pt>
                <c:pt idx="402">
                  <c:v>0.94099999999999995</c:v>
                </c:pt>
                <c:pt idx="403">
                  <c:v>1.008</c:v>
                </c:pt>
                <c:pt idx="404">
                  <c:v>0.98899999999999999</c:v>
                </c:pt>
                <c:pt idx="405">
                  <c:v>1.0089999999999999</c:v>
                </c:pt>
                <c:pt idx="406">
                  <c:v>0.95099999999999996</c:v>
                </c:pt>
                <c:pt idx="407">
                  <c:v>0.872</c:v>
                </c:pt>
                <c:pt idx="408">
                  <c:v>0.91200000000000003</c:v>
                </c:pt>
                <c:pt idx="409">
                  <c:v>#N/A</c:v>
                </c:pt>
                <c:pt idx="410">
                  <c:v>#N/A</c:v>
                </c:pt>
                <c:pt idx="411">
                  <c:v>#N/A</c:v>
                </c:pt>
                <c:pt idx="412">
                  <c:v>#N/A</c:v>
                </c:pt>
                <c:pt idx="413">
                  <c:v>#N/A</c:v>
                </c:pt>
                <c:pt idx="414">
                  <c:v>#N/A</c:v>
                </c:pt>
                <c:pt idx="415">
                  <c:v>0.93832837067054176</c:v>
                </c:pt>
                <c:pt idx="416">
                  <c:v>0.78687246647398568</c:v>
                </c:pt>
                <c:pt idx="417">
                  <c:v>0.6899256031818416</c:v>
                </c:pt>
                <c:pt idx="418">
                  <c:v>1.0233330653028985</c:v>
                </c:pt>
                <c:pt idx="419">
                  <c:v>0.85223530437427208</c:v>
                </c:pt>
                <c:pt idx="420">
                  <c:v>0.79607846928771109</c:v>
                </c:pt>
                <c:pt idx="421">
                  <c:v>1.1494521735689953</c:v>
                </c:pt>
                <c:pt idx="422">
                  <c:v>0.84503697907040565</c:v>
                </c:pt>
                <c:pt idx="423">
                  <c:v>0.87989942086025497</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0.82962962962962961</c:v>
                </c:pt>
                <c:pt idx="493">
                  <c:v>0.9</c:v>
                </c:pt>
                <c:pt idx="494">
                  <c:v>0.81481481481481477</c:v>
                </c:pt>
                <c:pt idx="495">
                  <c:v>0.88500000000000001</c:v>
                </c:pt>
                <c:pt idx="496">
                  <c:v>0.80888888888888888</c:v>
                </c:pt>
                <c:pt idx="497">
                  <c:v>0.91249999999999998</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0.61087866108786615</c:v>
                </c:pt>
                <c:pt idx="570">
                  <c:v>0.60591133004926112</c:v>
                </c:pt>
                <c:pt idx="571">
                  <c:v>0.5714285714285714</c:v>
                </c:pt>
                <c:pt idx="572">
                  <c:v>0.60904255319148937</c:v>
                </c:pt>
                <c:pt idx="573">
                  <c:v>0.57843137254901966</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5-1419-4A15-B4DE-5CBA74A09C0F}"/>
            </c:ext>
          </c:extLst>
        </c:ser>
        <c:ser>
          <c:idx val="1"/>
          <c:order val="5"/>
          <c:tx>
            <c:v>Longitudinally overlap-joined</c:v>
          </c:tx>
          <c:spPr>
            <a:ln w="25400" cap="rnd">
              <a:noFill/>
              <a:round/>
            </a:ln>
            <a:effectLst/>
          </c:spPr>
          <c:marker>
            <c:symbol val="square"/>
            <c:size val="4"/>
            <c:spPr>
              <a:solidFill>
                <a:srgbClr val="FF0000"/>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Data'!$P$15:$P$684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0.29887391387072509</c:v>
                </c:pt>
                <c:pt idx="48">
                  <c:v>0.24918383371184996</c:v>
                </c:pt>
                <c:pt idx="49">
                  <c:v>0.25780167049217145</c:v>
                </c:pt>
                <c:pt idx="50">
                  <c:v>0.25670152111596023</c:v>
                </c:pt>
                <c:pt idx="51">
                  <c:v>0.35527490522448896</c:v>
                </c:pt>
                <c:pt idx="52">
                  <c:v>0.34104630662549001</c:v>
                </c:pt>
                <c:pt idx="53">
                  <c:v>0.32197705077116157</c:v>
                </c:pt>
                <c:pt idx="54">
                  <c:v>0.36246254781573584</c:v>
                </c:pt>
                <c:pt idx="55">
                  <c:v>0.375635003013572</c:v>
                </c:pt>
                <c:pt idx="56">
                  <c:v>0.37669114641473478</c:v>
                </c:pt>
                <c:pt idx="57">
                  <c:v>0.36354802853359763</c:v>
                </c:pt>
                <c:pt idx="58">
                  <c:v>0.33644034790375221</c:v>
                </c:pt>
                <c:pt idx="59">
                  <c:v>#N/A</c:v>
                </c:pt>
                <c:pt idx="60">
                  <c:v>#N/A</c:v>
                </c:pt>
                <c:pt idx="61">
                  <c:v>#N/A</c:v>
                </c:pt>
                <c:pt idx="62">
                  <c:v>0.30105781050075592</c:v>
                </c:pt>
                <c:pt idx="63">
                  <c:v>0.25929817872161881</c:v>
                </c:pt>
                <c:pt idx="64">
                  <c:v>0.32533666618630075</c:v>
                </c:pt>
                <c:pt idx="65">
                  <c:v>0.25832702449419703</c:v>
                </c:pt>
                <c:pt idx="66">
                  <c:v>0.35612351643482798</c:v>
                </c:pt>
                <c:pt idx="67">
                  <c:v>0.29316245275574232</c:v>
                </c:pt>
                <c:pt idx="68">
                  <c:v>0.26364945415617097</c:v>
                </c:pt>
                <c:pt idx="69">
                  <c:v>0.34038325051505652</c:v>
                </c:pt>
                <c:pt idx="70">
                  <c:v>0.71778489718164218</c:v>
                </c:pt>
                <c:pt idx="71">
                  <c:v>0.80266698178777074</c:v>
                </c:pt>
                <c:pt idx="72">
                  <c:v>0.72771823441473038</c:v>
                </c:pt>
                <c:pt idx="73">
                  <c:v>0.78469261575680871</c:v>
                </c:pt>
                <c:pt idx="74">
                  <c:v>0.83589776406469851</c:v>
                </c:pt>
                <c:pt idx="75">
                  <c:v>0.8627539171270181</c:v>
                </c:pt>
                <c:pt idx="76">
                  <c:v>8.1418793104341983E-2</c:v>
                </c:pt>
                <c:pt idx="77">
                  <c:v>8.6828336277165408E-2</c:v>
                </c:pt>
                <c:pt idx="78">
                  <c:v>0.12447982158240503</c:v>
                </c:pt>
                <c:pt idx="79">
                  <c:v>0.16397159184501497</c:v>
                </c:pt>
                <c:pt idx="80">
                  <c:v>0.29426774669959133</c:v>
                </c:pt>
                <c:pt idx="81">
                  <c:v>0.41620410022873988</c:v>
                </c:pt>
                <c:pt idx="82">
                  <c:v>3.4505954836150668E-2</c:v>
                </c:pt>
                <c:pt idx="83">
                  <c:v>3.8288785255329569E-2</c:v>
                </c:pt>
                <c:pt idx="84">
                  <c:v>9.0883936512525992E-2</c:v>
                </c:pt>
                <c:pt idx="85">
                  <c:v>0.11120120750457747</c:v>
                </c:pt>
                <c:pt idx="86">
                  <c:v>0.19371481349938846</c:v>
                </c:pt>
                <c:pt idx="87">
                  <c:v>0.23212022446925107</c:v>
                </c:pt>
                <c:pt idx="88">
                  <c:v>6.7548364638132477E-2</c:v>
                </c:pt>
                <c:pt idx="89">
                  <c:v>0.15059868805898122</c:v>
                </c:pt>
                <c:pt idx="90">
                  <c:v>0.25200969786464456</c:v>
                </c:pt>
                <c:pt idx="91">
                  <c:v>4.0102563353280905E-2</c:v>
                </c:pt>
                <c:pt idx="92">
                  <c:v>7.263099613412656E-2</c:v>
                </c:pt>
                <c:pt idx="93">
                  <c:v>0.25295994902458802</c:v>
                </c:pt>
                <c:pt idx="94">
                  <c:v>0.13551900719384577</c:v>
                </c:pt>
                <c:pt idx="95">
                  <c:v>0.22254779560069551</c:v>
                </c:pt>
                <c:pt idx="96">
                  <c:v>0.24711013921243075</c:v>
                </c:pt>
                <c:pt idx="97">
                  <c:v>0.2362238705192902</c:v>
                </c:pt>
                <c:pt idx="98">
                  <c:v>0.68140383445120845</c:v>
                </c:pt>
                <c:pt idx="99">
                  <c:v>7.7329952997042248E-2</c:v>
                </c:pt>
                <c:pt idx="100">
                  <c:v>0.27841065362787754</c:v>
                </c:pt>
                <c:pt idx="101">
                  <c:v>0.3109239161777691</c:v>
                </c:pt>
                <c:pt idx="102">
                  <c:v>4.0381948452635229E-2</c:v>
                </c:pt>
                <c:pt idx="103">
                  <c:v>4.0464136950164348E-2</c:v>
                </c:pt>
                <c:pt idx="104">
                  <c:v>6.5982759430172205E-2</c:v>
                </c:pt>
                <c:pt idx="105">
                  <c:v>5.7993904801096403E-2</c:v>
                </c:pt>
                <c:pt idx="106">
                  <c:v>0.20206531913178805</c:v>
                </c:pt>
                <c:pt idx="107">
                  <c:v>0.28203180703949543</c:v>
                </c:pt>
                <c:pt idx="108">
                  <c:v>0.26883733653472369</c:v>
                </c:pt>
                <c:pt idx="109">
                  <c:v>0.26782738586847804</c:v>
                </c:pt>
                <c:pt idx="110">
                  <c:v>0.79683095538849746</c:v>
                </c:pt>
                <c:pt idx="111">
                  <c:v>5.01683415185235E-2</c:v>
                </c:pt>
                <c:pt idx="112">
                  <c:v>7.2138759630632113E-2</c:v>
                </c:pt>
                <c:pt idx="113">
                  <c:v>0.20019202117574061</c:v>
                </c:pt>
                <c:pt idx="114">
                  <c:v>0.3032025024069207</c:v>
                </c:pt>
                <c:pt idx="115">
                  <c:v>0.82739001284851976</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1.1052631578947369</c:v>
                </c:pt>
                <c:pt idx="287">
                  <c:v>#N/A</c:v>
                </c:pt>
                <c:pt idx="288">
                  <c:v>#N/A</c:v>
                </c:pt>
                <c:pt idx="289">
                  <c:v>0.9</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5.730978260869566E-2</c:v>
                </c:pt>
                <c:pt idx="331">
                  <c:v>3.6363057065217391E-2</c:v>
                </c:pt>
                <c:pt idx="332">
                  <c:v>3.5130896739130439E-2</c:v>
                </c:pt>
                <c:pt idx="333">
                  <c:v>2.8872668478260873E-2</c:v>
                </c:pt>
                <c:pt idx="334">
                  <c:v>2.8874244497282611E-2</c:v>
                </c:pt>
                <c:pt idx="335">
                  <c:v>2.9468117119565217E-2</c:v>
                </c:pt>
                <c:pt idx="336">
                  <c:v>6.5055107246376823E-2</c:v>
                </c:pt>
                <c:pt idx="337">
                  <c:v>5.9557412008281581E-2</c:v>
                </c:pt>
                <c:pt idx="338">
                  <c:v>0.11408327645051196</c:v>
                </c:pt>
                <c:pt idx="339">
                  <c:v>9.0578440535573651E-2</c:v>
                </c:pt>
                <c:pt idx="340">
                  <c:v>0.11178934103439224</c:v>
                </c:pt>
                <c:pt idx="341">
                  <c:v>0.10952207928590181</c:v>
                </c:pt>
                <c:pt idx="342">
                  <c:v>0.10234953006038332</c:v>
                </c:pt>
                <c:pt idx="343">
                  <c:v>0.11255220792859019</c:v>
                </c:pt>
                <c:pt idx="344">
                  <c:v>0.12546493042793386</c:v>
                </c:pt>
                <c:pt idx="345">
                  <c:v>0.1641036970108696</c:v>
                </c:pt>
                <c:pt idx="346">
                  <c:v>0.1492295160326087</c:v>
                </c:pt>
                <c:pt idx="347">
                  <c:v>9.4701550271739141E-2</c:v>
                </c:pt>
                <c:pt idx="348">
                  <c:v>0.15542986141304346</c:v>
                </c:pt>
                <c:pt idx="349">
                  <c:v>0.11069957608695653</c:v>
                </c:pt>
                <c:pt idx="350">
                  <c:v>0.16189274290760869</c:v>
                </c:pt>
                <c:pt idx="351">
                  <c:v>0.11297763994565219</c:v>
                </c:pt>
                <c:pt idx="352">
                  <c:v>0.11069957608695653</c:v>
                </c:pt>
                <c:pt idx="353">
                  <c:v>9.5334823369565225E-2</c:v>
                </c:pt>
                <c:pt idx="354">
                  <c:v>0.15126914254076088</c:v>
                </c:pt>
                <c:pt idx="355">
                  <c:v>0.13478401222826086</c:v>
                </c:pt>
                <c:pt idx="356">
                  <c:v>8.5534850543478272E-2</c:v>
                </c:pt>
                <c:pt idx="357">
                  <c:v>0.12940548913043479</c:v>
                </c:pt>
                <c:pt idx="358">
                  <c:v>0.1452229891304348</c:v>
                </c:pt>
                <c:pt idx="359">
                  <c:v>0.11145606521739131</c:v>
                </c:pt>
                <c:pt idx="360">
                  <c:v>0.13028519429347829</c:v>
                </c:pt>
                <c:pt idx="361">
                  <c:v>0.11450494565217392</c:v>
                </c:pt>
                <c:pt idx="362">
                  <c:v>0.12852864945652173</c:v>
                </c:pt>
                <c:pt idx="363">
                  <c:v>0.11374845652173914</c:v>
                </c:pt>
                <c:pt idx="364">
                  <c:v>0.13028519429347829</c:v>
                </c:pt>
                <c:pt idx="365">
                  <c:v>0.1384919551630435</c:v>
                </c:pt>
                <c:pt idx="366">
                  <c:v>0.20765322153209109</c:v>
                </c:pt>
                <c:pt idx="367">
                  <c:v>0.19011652298136647</c:v>
                </c:pt>
                <c:pt idx="368">
                  <c:v>0.16597732919254657</c:v>
                </c:pt>
                <c:pt idx="369">
                  <c:v>0.1615369710144928</c:v>
                </c:pt>
                <c:pt idx="370">
                  <c:v>0.24235425003938041</c:v>
                </c:pt>
                <c:pt idx="371">
                  <c:v>0.22339196639537937</c:v>
                </c:pt>
                <c:pt idx="372">
                  <c:v>0.20177029141506961</c:v>
                </c:pt>
                <c:pt idx="373">
                  <c:v>0.22644876870569705</c:v>
                </c:pt>
                <c:pt idx="374">
                  <c:v>0.24400270937253873</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0.27627135514766743</c:v>
                </c:pt>
                <c:pt idx="425">
                  <c:v>0.3136831011572474</c:v>
                </c:pt>
                <c:pt idx="426">
                  <c:v>0.33238897416203733</c:v>
                </c:pt>
                <c:pt idx="427">
                  <c:v>0.49007988329055813</c:v>
                </c:pt>
                <c:pt idx="428">
                  <c:v>0.16997725164603367</c:v>
                </c:pt>
                <c:pt idx="429">
                  <c:v>0.16997725164603367</c:v>
                </c:pt>
                <c:pt idx="430">
                  <c:v>0.19471223704293225</c:v>
                </c:pt>
                <c:pt idx="431">
                  <c:v>0.20250072652464954</c:v>
                </c:pt>
                <c:pt idx="432">
                  <c:v>0.21807770548808414</c:v>
                </c:pt>
                <c:pt idx="433">
                  <c:v>0.57886648361551429</c:v>
                </c:pt>
                <c:pt idx="434">
                  <c:v>0.61430728873483142</c:v>
                </c:pt>
                <c:pt idx="435">
                  <c:v>9.5221527074229373E-2</c:v>
                </c:pt>
                <c:pt idx="436">
                  <c:v>0.59554011134042495</c:v>
                </c:pt>
                <c:pt idx="437">
                  <c:v>0.73013217650336104</c:v>
                </c:pt>
                <c:pt idx="438">
                  <c:v>0.72655893583531839</c:v>
                </c:pt>
                <c:pt idx="439">
                  <c:v>0.78611294696936096</c:v>
                </c:pt>
                <c:pt idx="440">
                  <c:v>0.42442100934506605</c:v>
                </c:pt>
                <c:pt idx="441">
                  <c:v>0.48721799542163191</c:v>
                </c:pt>
                <c:pt idx="442">
                  <c:v>0.33130823688670968</c:v>
                </c:pt>
                <c:pt idx="443">
                  <c:v>0.24848117766503225</c:v>
                </c:pt>
                <c:pt idx="444">
                  <c:v>0.10285713236678898</c:v>
                </c:pt>
                <c:pt idx="445">
                  <c:v>0.18947366488619016</c:v>
                </c:pt>
                <c:pt idx="446">
                  <c:v>7.7088713942267087E-2</c:v>
                </c:pt>
                <c:pt idx="447">
                  <c:v>0.12342855884014675</c:v>
                </c:pt>
                <c:pt idx="448">
                  <c:v>0.88888919547159806</c:v>
                </c:pt>
                <c:pt idx="449">
                  <c:v>0.40948813843719867</c:v>
                </c:pt>
                <c:pt idx="450">
                  <c:v>0.6962965364527518</c:v>
                </c:pt>
                <c:pt idx="451">
                  <c:v>0.49138576612463836</c:v>
                </c:pt>
                <c:pt idx="452">
                  <c:v>0.25593008652324917</c:v>
                </c:pt>
                <c:pt idx="453">
                  <c:v>0.37536412690076543</c:v>
                </c:pt>
                <c:pt idx="454">
                  <c:v>3.6842104087588902E-2</c:v>
                </c:pt>
                <c:pt idx="455">
                  <c:v>5.7894734994782565E-2</c:v>
                </c:pt>
                <c:pt idx="456">
                  <c:v>0.5971702018875813</c:v>
                </c:pt>
                <c:pt idx="457">
                  <c:v>0.42592607283014072</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6.8049186129352304E-2</c:v>
                </c:pt>
                <c:pt idx="586">
                  <c:v>8.8463586674812938E-2</c:v>
                </c:pt>
                <c:pt idx="587">
                  <c:v>8.6859004296075348E-2</c:v>
                </c:pt>
                <c:pt idx="588">
                  <c:v>0.16166453715688101</c:v>
                </c:pt>
                <c:pt idx="589">
                  <c:v>0.20237507600746862</c:v>
                </c:pt>
                <c:pt idx="590">
                  <c:v>0.21007635078011105</c:v>
                </c:pt>
                <c:pt idx="591">
                  <c:v>0.21744061368289605</c:v>
                </c:pt>
                <c:pt idx="592">
                  <c:v>0.21289086906615384</c:v>
                </c:pt>
                <c:pt idx="593">
                  <c:v>0.43365045052971174</c:v>
                </c:pt>
                <c:pt idx="594">
                  <c:v>0.49875947891637451</c:v>
                </c:pt>
                <c:pt idx="595">
                  <c:v>0.53859593333860656</c:v>
                </c:pt>
                <c:pt idx="596">
                  <c:v>0.57302113020946721</c:v>
                </c:pt>
                <c:pt idx="597">
                  <c:v>0.67599178306953278</c:v>
                </c:pt>
                <c:pt idx="598">
                  <c:v>0.71555018775255785</c:v>
                </c:pt>
                <c:pt idx="599">
                  <c:v>0.69463068194469424</c:v>
                </c:pt>
                <c:pt idx="600">
                  <c:v>0.62049036917671818</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6-1419-4A15-B4DE-5CBA74A09C0F}"/>
            </c:ext>
          </c:extLst>
        </c:ser>
        <c:ser>
          <c:idx val="3"/>
          <c:order val="6"/>
          <c:tx>
            <c:v>Electroformed</c:v>
          </c:tx>
          <c:spPr>
            <a:ln w="25400" cap="rnd">
              <a:noFill/>
              <a:round/>
            </a:ln>
            <a:effectLst/>
          </c:spPr>
          <c:marker>
            <c:symbol val="diamond"/>
            <c:size val="5"/>
            <c:spPr>
              <a:solidFill>
                <a:schemeClr val="accent6">
                  <a:lumMod val="75000"/>
                </a:schemeClr>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Data'!$Q$15:$Q$684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5.8846795262787806E-2</c:v>
                </c:pt>
                <c:pt idx="464">
                  <c:v>0.10403896169729526</c:v>
                </c:pt>
                <c:pt idx="465">
                  <c:v>5.7982056717038606E-2</c:v>
                </c:pt>
                <c:pt idx="466">
                  <c:v>5.7364641036656873E-2</c:v>
                </c:pt>
                <c:pt idx="467">
                  <c:v>7.9947101535250295E-2</c:v>
                </c:pt>
                <c:pt idx="468">
                  <c:v>8.6441010463035081E-2</c:v>
                </c:pt>
                <c:pt idx="469">
                  <c:v>7.8223179068827683E-2</c:v>
                </c:pt>
                <c:pt idx="470">
                  <c:v>7.5610290476078437E-2</c:v>
                </c:pt>
                <c:pt idx="471">
                  <c:v>7.8925050521305329E-2</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7-1419-4A15-B4DE-5CBA74A09C0F}"/>
            </c:ext>
          </c:extLst>
        </c:ser>
        <c:ser>
          <c:idx val="6"/>
          <c:order val="7"/>
          <c:tx>
            <c:v>Miscellaneous</c:v>
          </c:tx>
          <c:spPr>
            <a:ln w="25400" cap="rnd">
              <a:noFill/>
              <a:round/>
            </a:ln>
            <a:effectLst/>
          </c:spPr>
          <c:marker>
            <c:symbol val="circle"/>
            <c:size val="4"/>
            <c:spPr>
              <a:solidFill>
                <a:schemeClr val="bg1"/>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Data'!$U$15:$U$684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0.12406715888618183</c:v>
                </c:pt>
                <c:pt idx="117">
                  <c:v>0.12108954707291349</c:v>
                </c:pt>
                <c:pt idx="118">
                  <c:v>0.15582835156104441</c:v>
                </c:pt>
                <c:pt idx="119">
                  <c:v>0.14094029249470261</c:v>
                </c:pt>
                <c:pt idx="120">
                  <c:v>0.17865670879610185</c:v>
                </c:pt>
                <c:pt idx="121">
                  <c:v>0.15086566520559713</c:v>
                </c:pt>
                <c:pt idx="122">
                  <c:v>0.11811193525964513</c:v>
                </c:pt>
                <c:pt idx="123">
                  <c:v>0.12208208434400294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0.23117408906882592</c:v>
                </c:pt>
                <c:pt idx="257">
                  <c:v>0.23238866396761132</c:v>
                </c:pt>
                <c:pt idx="258">
                  <c:v>0.15355285961871751</c:v>
                </c:pt>
                <c:pt idx="259">
                  <c:v>0.16800785083415112</c:v>
                </c:pt>
                <c:pt idx="260">
                  <c:v>0.13135459425323651</c:v>
                </c:pt>
                <c:pt idx="261">
                  <c:v>8.4590163934426227E-2</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0.34894733730889366</c:v>
                </c:pt>
                <c:pt idx="459">
                  <c:v>0.49947363967743619</c:v>
                </c:pt>
                <c:pt idx="460">
                  <c:v>0.58947363165303313</c:v>
                </c:pt>
                <c:pt idx="461">
                  <c:v>0.24768418844278331</c:v>
                </c:pt>
                <c:pt idx="462">
                  <c:v>0.53052626848772988</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8-1419-4A15-B4DE-5CBA74A09C0F}"/>
            </c:ext>
          </c:extLst>
        </c:ser>
        <c:dLbls>
          <c:showLegendKey val="0"/>
          <c:showVal val="0"/>
          <c:showCatName val="0"/>
          <c:showSerName val="0"/>
          <c:showPercent val="0"/>
          <c:showBubbleSize val="0"/>
        </c:dLbls>
        <c:axId val="1026659696"/>
        <c:axId val="1026662192"/>
      </c:scatterChart>
      <c:valAx>
        <c:axId val="1026659696"/>
        <c:scaling>
          <c:orientation val="minMax"/>
          <c:max val="15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r/t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62192"/>
        <c:crosses val="autoZero"/>
        <c:crossBetween val="midCat"/>
        <c:majorUnit val="250"/>
      </c:valAx>
      <c:valAx>
        <c:axId val="1026662192"/>
        <c:scaling>
          <c:orientation val="minMax"/>
          <c:max val="1.6"/>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χ</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59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aseline="0">
          <a:latin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7"/>
          <c:order val="0"/>
          <c:tx>
            <c:v>Theorertical solution</c:v>
          </c:tx>
          <c:spPr>
            <a:ln w="19050" cap="rnd">
              <a:solidFill>
                <a:schemeClr val="tx1"/>
              </a:solidFill>
              <a:prstDash val="dash"/>
              <a:round/>
            </a:ln>
            <a:effectLst/>
          </c:spPr>
          <c:marker>
            <c:symbol val="none"/>
          </c:marker>
          <c:xVal>
            <c:numRef>
              <c:f>'Figure 1 Data'!$AI$15:$AI$16</c:f>
              <c:numCache>
                <c:formatCode>General</c:formatCode>
                <c:ptCount val="2"/>
                <c:pt idx="0">
                  <c:v>0</c:v>
                </c:pt>
                <c:pt idx="1">
                  <c:v>1500</c:v>
                </c:pt>
              </c:numCache>
            </c:numRef>
          </c:xVal>
          <c:yVal>
            <c:numRef>
              <c:f>'Figure 1 Data'!$AK$15:$AK$16</c:f>
              <c:numCache>
                <c:formatCode>General</c:formatCode>
                <c:ptCount val="2"/>
                <c:pt idx="0">
                  <c:v>1</c:v>
                </c:pt>
                <c:pt idx="1">
                  <c:v>1</c:v>
                </c:pt>
              </c:numCache>
            </c:numRef>
          </c:yVal>
          <c:smooth val="0"/>
          <c:extLst>
            <c:ext xmlns:c16="http://schemas.microsoft.com/office/drawing/2014/chart" uri="{C3380CC4-5D6E-409C-BE32-E72D297353CC}">
              <c16:uniqueId val="{00000000-112C-4A8A-BD5B-DED592B57D30}"/>
            </c:ext>
          </c:extLst>
        </c:ser>
        <c:ser>
          <c:idx val="4"/>
          <c:order val="1"/>
          <c:tx>
            <c:v>Circular hollow section</c:v>
          </c:tx>
          <c:spPr>
            <a:ln w="19050" cap="rnd">
              <a:noFill/>
              <a:round/>
            </a:ln>
            <a:effectLst/>
          </c:spPr>
          <c:marker>
            <c:symbol val="triangle"/>
            <c:size val="5"/>
            <c:spPr>
              <a:solidFill>
                <a:schemeClr val="accent4"/>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Data'!$AA$15:$AA$684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4.634293759890018E-2</c:v>
                </c:pt>
                <c:pt idx="31">
                  <c:v>4.641453281394127E-2</c:v>
                </c:pt>
                <c:pt idx="32">
                  <c:v>4.738758381632998E-2</c:v>
                </c:pt>
                <c:pt idx="33">
                  <c:v>4.1065384964786705E-2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0.13013613388687759</c:v>
                </c:pt>
                <c:pt idx="281">
                  <c:v>0.11044789816484829</c:v>
                </c:pt>
                <c:pt idx="282">
                  <c:v>9.2318763434484113E-2</c:v>
                </c:pt>
                <c:pt idx="283">
                  <c:v>7.8409679859592532E-2</c:v>
                </c:pt>
                <c:pt idx="284">
                  <c:v>6.0569111778250508E-2</c:v>
                </c:pt>
                <c:pt idx="285">
                  <c:v>4.8771677430958567E-2</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5.0788395033448272E-2</c:v>
                </c:pt>
                <c:pt idx="303">
                  <c:v>5.0036823857674308E-2</c:v>
                </c:pt>
                <c:pt idx="304">
                  <c:v>6.4435117578470175E-2</c:v>
                </c:pt>
                <c:pt idx="305">
                  <c:v>7.4856302549148837E-2</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7.9784326763767843E-2</c:v>
                </c:pt>
                <c:pt idx="504">
                  <c:v>8.5301328082539027E-2</c:v>
                </c:pt>
                <c:pt idx="505">
                  <c:v>8.0208711480596384E-2</c:v>
                </c:pt>
                <c:pt idx="506">
                  <c:v>8.0420903839010655E-2</c:v>
                </c:pt>
                <c:pt idx="507">
                  <c:v>8.1906250347910603E-2</c:v>
                </c:pt>
                <c:pt idx="508">
                  <c:v>6.8962516484639746E-2</c:v>
                </c:pt>
                <c:pt idx="509">
                  <c:v>7.447951780341093E-2</c:v>
                </c:pt>
                <c:pt idx="510">
                  <c:v>6.077278254636697E-2</c:v>
                </c:pt>
                <c:pt idx="511">
                  <c:v>9.7608484870567044E-2</c:v>
                </c:pt>
                <c:pt idx="512">
                  <c:v>9.6759715436909935E-2</c:v>
                </c:pt>
                <c:pt idx="513">
                  <c:v>9.3364637702281511E-2</c:v>
                </c:pt>
                <c:pt idx="514">
                  <c:v>9.3789022419110066E-2</c:v>
                </c:pt>
                <c:pt idx="515">
                  <c:v>9.7608484870567044E-2</c:v>
                </c:pt>
                <c:pt idx="516">
                  <c:v>9.421340713593862E-2</c:v>
                </c:pt>
                <c:pt idx="517">
                  <c:v>4.8341406754178563E-2</c:v>
                </c:pt>
                <c:pt idx="518">
                  <c:v>4.8826276261923693E-2</c:v>
                </c:pt>
                <c:pt idx="519">
                  <c:v>7.2921712588496793E-2</c:v>
                </c:pt>
                <c:pt idx="520">
                  <c:v>7.2455971723424287E-2</c:v>
                </c:pt>
                <c:pt idx="521">
                  <c:v>6.9220736071402708E-2</c:v>
                </c:pt>
                <c:pt idx="522">
                  <c:v>9.9252705067417971E-2</c:v>
                </c:pt>
                <c:pt idx="523">
                  <c:v>9.8781419668237447E-2</c:v>
                </c:pt>
                <c:pt idx="524">
                  <c:v>0.11470615330654728</c:v>
                </c:pt>
                <c:pt idx="525">
                  <c:v>0.12643422907850727</c:v>
                </c:pt>
                <c:pt idx="526">
                  <c:v>0.12568239025346165</c:v>
                </c:pt>
                <c:pt idx="527">
                  <c:v>0.1284205584227005</c:v>
                </c:pt>
                <c:pt idx="528">
                  <c:v>0.14098086876427218</c:v>
                </c:pt>
                <c:pt idx="529">
                  <c:v>0.1386394120104612</c:v>
                </c:pt>
                <c:pt idx="530">
                  <c:v>0.1411790858586334</c:v>
                </c:pt>
                <c:pt idx="531">
                  <c:v>0.15676338510271168</c:v>
                </c:pt>
                <c:pt idx="532">
                  <c:v>0.14939636263340392</c:v>
                </c:pt>
                <c:pt idx="533">
                  <c:v>0.18017961600105406</c:v>
                </c:pt>
                <c:pt idx="534">
                  <c:v>0.18113050360057709</c:v>
                </c:pt>
                <c:pt idx="535">
                  <c:v>0.20214706013697437</c:v>
                </c:pt>
                <c:pt idx="536">
                  <c:v>0.20189811055552487</c:v>
                </c:pt>
                <c:pt idx="537">
                  <c:v>0.23013919503465416</c:v>
                </c:pt>
                <c:pt idx="538">
                  <c:v>0.23064651990553675</c:v>
                </c:pt>
                <c:pt idx="539">
                  <c:v>7.6209255511163129E-2</c:v>
                </c:pt>
                <c:pt idx="540">
                  <c:v>7.2214839360233207E-2</c:v>
                </c:pt>
                <c:pt idx="541">
                  <c:v>7.9949056831419743E-2</c:v>
                </c:pt>
                <c:pt idx="542">
                  <c:v>9.5468881923103058E-2</c:v>
                </c:pt>
                <c:pt idx="543">
                  <c:v>9.6415706492212386E-2</c:v>
                </c:pt>
                <c:pt idx="544">
                  <c:v>0.10983165001668073</c:v>
                </c:pt>
                <c:pt idx="545">
                  <c:v>0.11068970978243604</c:v>
                </c:pt>
                <c:pt idx="546">
                  <c:v>0.11313541370642648</c:v>
                </c:pt>
                <c:pt idx="547">
                  <c:v>0.10970706783653476</c:v>
                </c:pt>
                <c:pt idx="548">
                  <c:v>0.13880401464825026</c:v>
                </c:pt>
                <c:pt idx="549">
                  <c:v>0.13880401464825026</c:v>
                </c:pt>
                <c:pt idx="550">
                  <c:v>0.17762537925898408</c:v>
                </c:pt>
                <c:pt idx="551">
                  <c:v>0.17726798412969036</c:v>
                </c:pt>
                <c:pt idx="552">
                  <c:v>0.18304314681808162</c:v>
                </c:pt>
                <c:pt idx="553">
                  <c:v>0.18416827963252486</c:v>
                </c:pt>
                <c:pt idx="554">
                  <c:v>0.21202641239041395</c:v>
                </c:pt>
                <c:pt idx="555">
                  <c:v>0.21066535207231932</c:v>
                </c:pt>
                <c:pt idx="556">
                  <c:v>0.21991869350266069</c:v>
                </c:pt>
                <c:pt idx="557">
                  <c:v>0.2212345927804524</c:v>
                </c:pt>
                <c:pt idx="558">
                  <c:v>0.22027686727058032</c:v>
                </c:pt>
                <c:pt idx="559">
                  <c:v>0.22423702332197012</c:v>
                </c:pt>
                <c:pt idx="560">
                  <c:v>0.23510058943069806</c:v>
                </c:pt>
                <c:pt idx="561">
                  <c:v>0.2331166182118736</c:v>
                </c:pt>
                <c:pt idx="562">
                  <c:v>0.26513891034114151</c:v>
                </c:pt>
                <c:pt idx="563">
                  <c:v>0.2783664233181391</c:v>
                </c:pt>
                <c:pt idx="564">
                  <c:v>0.27874016985857697</c:v>
                </c:pt>
                <c:pt idx="565">
                  <c:v>0.31939834298783781</c:v>
                </c:pt>
                <c:pt idx="566">
                  <c:v>0.32026341050122636</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1-112C-4A8A-BD5B-DED592B57D30}"/>
            </c:ext>
          </c:extLst>
        </c:ser>
        <c:ser>
          <c:idx val="5"/>
          <c:order val="2"/>
          <c:tx>
            <c:v>Circumferentially and longitudinally welded</c:v>
          </c:tx>
          <c:spPr>
            <a:ln w="19050" cap="rnd">
              <a:noFill/>
              <a:round/>
            </a:ln>
            <a:effectLst/>
          </c:spPr>
          <c:marker>
            <c:symbol val="star"/>
            <c:size val="4"/>
            <c:spPr>
              <a:noFill/>
              <a:ln w="9525">
                <a:solidFill>
                  <a:srgbClr val="D45AB4"/>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Data'!$AB$15:$AB$684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0.23005970823835847</c:v>
                </c:pt>
                <c:pt idx="242">
                  <c:v>0.2349648400377404</c:v>
                </c:pt>
                <c:pt idx="243">
                  <c:v>0.24073494770506743</c:v>
                </c:pt>
                <c:pt idx="244">
                  <c:v>0.26153179250894387</c:v>
                </c:pt>
                <c:pt idx="245">
                  <c:v>0.15611027628361965</c:v>
                </c:pt>
                <c:pt idx="246">
                  <c:v>0.19648400422599385</c:v>
                </c:pt>
                <c:pt idx="247">
                  <c:v>0.18945160752767079</c:v>
                </c:pt>
                <c:pt idx="248">
                  <c:v>0.18376620870063035</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0.12594173288714336</c:v>
                </c:pt>
                <c:pt idx="299">
                  <c:v>#N/A</c:v>
                </c:pt>
                <c:pt idx="300">
                  <c:v>0.14699061287770221</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8.7918162649678389E-2</c:v>
                </c:pt>
                <c:pt idx="315">
                  <c:v>7.3307854036667397E-2</c:v>
                </c:pt>
                <c:pt idx="316">
                  <c:v>8.9617770164284072E-2</c:v>
                </c:pt>
                <c:pt idx="317">
                  <c:v>8.8561313041331746E-2</c:v>
                </c:pt>
                <c:pt idx="318">
                  <c:v>0.11935476436873577</c:v>
                </c:pt>
                <c:pt idx="319">
                  <c:v>0.12025106294422178</c:v>
                </c:pt>
                <c:pt idx="320">
                  <c:v>8.6051899270541202E-2</c:v>
                </c:pt>
                <c:pt idx="321">
                  <c:v>7.953423419951508E-2</c:v>
                </c:pt>
                <c:pt idx="322">
                  <c:v>7.632402556224846E-2</c:v>
                </c:pt>
                <c:pt idx="323">
                  <c:v>7.6633040601107247E-2</c:v>
                </c:pt>
                <c:pt idx="324">
                  <c:v>7.5401556039258216E-2</c:v>
                </c:pt>
                <c:pt idx="325">
                  <c:v>7.8155201402365912E-2</c:v>
                </c:pt>
                <c:pt idx="326">
                  <c:v>0.12603249466126315</c:v>
                </c:pt>
                <c:pt idx="327">
                  <c:v>0.13053044207686629</c:v>
                </c:pt>
                <c:pt idx="328">
                  <c:v>0.15490699443535211</c:v>
                </c:pt>
                <c:pt idx="329">
                  <c:v>0.16365241490312282</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4.8888694771544478E-2</c:v>
                </c:pt>
                <c:pt idx="376">
                  <c:v>4.9204615254720849E-2</c:v>
                </c:pt>
                <c:pt idx="377">
                  <c:v>4.4821218550648606E-2</c:v>
                </c:pt>
                <c:pt idx="378">
                  <c:v>4.5334589335810221E-2</c:v>
                </c:pt>
                <c:pt idx="379">
                  <c:v>8.2428591603750365E-2</c:v>
                </c:pt>
                <c:pt idx="380">
                  <c:v>7.9508883104532371E-2</c:v>
                </c:pt>
                <c:pt idx="381">
                  <c:v>4.3676006799134234E-2</c:v>
                </c:pt>
                <c:pt idx="382">
                  <c:v>4.6736486479905401E-2</c:v>
                </c:pt>
                <c:pt idx="383">
                  <c:v>8.0881726173701096E-2</c:v>
                </c:pt>
                <c:pt idx="384">
                  <c:v>7.9160838382771284E-2</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2-112C-4A8A-BD5B-DED592B57D30}"/>
            </c:ext>
          </c:extLst>
        </c:ser>
        <c:ser>
          <c:idx val="2"/>
          <c:order val="3"/>
          <c:tx>
            <c:v>Machined</c:v>
          </c:tx>
          <c:spPr>
            <a:ln w="19050" cap="rnd">
              <a:noFill/>
              <a:round/>
            </a:ln>
            <a:effectLst/>
          </c:spPr>
          <c:marker>
            <c:symbol val="triangle"/>
            <c:size val="5"/>
            <c:spPr>
              <a:solidFill>
                <a:srgbClr val="0000FF"/>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Data'!$Z$15:$Z$684</c:f>
              <c:numCache>
                <c:formatCode>General</c:formatCode>
                <c:ptCount val="670"/>
                <c:pt idx="0">
                  <c:v>0.23470631808912235</c:v>
                </c:pt>
                <c:pt idx="1">
                  <c:v>0.23096977394057869</c:v>
                </c:pt>
                <c:pt idx="2">
                  <c:v>0.23290396628302373</c:v>
                </c:pt>
                <c:pt idx="3">
                  <c:v>0.241082284074776</c:v>
                </c:pt>
                <c:pt idx="4">
                  <c:v>0.23501478034097101</c:v>
                </c:pt>
                <c:pt idx="5">
                  <c:v>0.23648774618483362</c:v>
                </c:pt>
                <c:pt idx="6">
                  <c:v>0.23693291615148723</c:v>
                </c:pt>
                <c:pt idx="7">
                  <c:v>0.23640414346969585</c:v>
                </c:pt>
                <c:pt idx="8">
                  <c:v>0.23265028588647044</c:v>
                </c:pt>
                <c:pt idx="9">
                  <c:v>#N/A</c:v>
                </c:pt>
                <c:pt idx="10">
                  <c:v>0.57889405009843753</c:v>
                </c:pt>
                <c:pt idx="11">
                  <c:v>0.56677480467050978</c:v>
                </c:pt>
                <c:pt idx="12">
                  <c:v>0.61870822690062544</c:v>
                </c:pt>
                <c:pt idx="13">
                  <c:v>0.6160389674554354</c:v>
                </c:pt>
                <c:pt idx="14">
                  <c:v>0.10332983595783488</c:v>
                </c:pt>
                <c:pt idx="15">
                  <c:v>0.13750907512604812</c:v>
                </c:pt>
                <c:pt idx="16">
                  <c:v>0.1856880104494715</c:v>
                </c:pt>
                <c:pt idx="17">
                  <c:v>0.37938721618464943</c:v>
                </c:pt>
                <c:pt idx="18">
                  <c:v>0.44427694734093015</c:v>
                </c:pt>
                <c:pt idx="19">
                  <c:v>0.60063939738644889</c:v>
                </c:pt>
                <c:pt idx="20">
                  <c:v>0.10452144329222224</c:v>
                </c:pt>
                <c:pt idx="21">
                  <c:v>0.10350609438872335</c:v>
                </c:pt>
                <c:pt idx="22">
                  <c:v>0.10428253738857871</c:v>
                </c:pt>
                <c:pt idx="23">
                  <c:v>#N/A</c:v>
                </c:pt>
                <c:pt idx="24">
                  <c:v>0.13594438346449247</c:v>
                </c:pt>
                <c:pt idx="25">
                  <c:v>0.18491617869933433</c:v>
                </c:pt>
                <c:pt idx="26">
                  <c:v>0.3608777315798819</c:v>
                </c:pt>
                <c:pt idx="27">
                  <c:v>0.42556011044727304</c:v>
                </c:pt>
                <c:pt idx="28">
                  <c:v>0.57449392656608378</c:v>
                </c:pt>
                <c:pt idx="29">
                  <c:v>0.1027362191960427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0.1441548056555573</c:v>
                </c:pt>
                <c:pt idx="209">
                  <c:v>0.1046054027176473</c:v>
                </c:pt>
                <c:pt idx="210">
                  <c:v>6.1626159686014183E-2</c:v>
                </c:pt>
                <c:pt idx="211">
                  <c:v>0.17345482330633011</c:v>
                </c:pt>
                <c:pt idx="212">
                  <c:v>8.7708011311992171E-2</c:v>
                </c:pt>
                <c:pt idx="213">
                  <c:v>6.4577170386866389E-2</c:v>
                </c:pt>
                <c:pt idx="214">
                  <c:v>0.17233597540399795</c:v>
                </c:pt>
                <c:pt idx="215">
                  <c:v>0.18047406313140898</c:v>
                </c:pt>
                <c:pt idx="216">
                  <c:v>0.2681571036092148</c:v>
                </c:pt>
                <c:pt idx="217">
                  <c:v>0.28927641153467182</c:v>
                </c:pt>
                <c:pt idx="218">
                  <c:v>0.25187225926047707</c:v>
                </c:pt>
                <c:pt idx="219">
                  <c:v>0.24026045720311631</c:v>
                </c:pt>
                <c:pt idx="220">
                  <c:v>0.28045648956167174</c:v>
                </c:pt>
                <c:pt idx="221">
                  <c:v>0.20405354199586023</c:v>
                </c:pt>
                <c:pt idx="222">
                  <c:v>0.29687502238448887</c:v>
                </c:pt>
                <c:pt idx="223">
                  <c:v>0.19613164718240897</c:v>
                </c:pt>
                <c:pt idx="224">
                  <c:v>0.32810568686800567</c:v>
                </c:pt>
                <c:pt idx="225">
                  <c:v>0.44595712933490705</c:v>
                </c:pt>
                <c:pt idx="226">
                  <c:v>0.33977374116629883</c:v>
                </c:pt>
                <c:pt idx="227">
                  <c:v>0.27214180378136837</c:v>
                </c:pt>
                <c:pt idx="228">
                  <c:v>0.423267358647192</c:v>
                </c:pt>
                <c:pt idx="229">
                  <c:v>0.40847739690771884</c:v>
                </c:pt>
                <c:pt idx="230">
                  <c:v>0.4093902832737043</c:v>
                </c:pt>
                <c:pt idx="231">
                  <c:v>0.38835433346248149</c:v>
                </c:pt>
                <c:pt idx="232">
                  <c:v>0.30392947836194206</c:v>
                </c:pt>
                <c:pt idx="233">
                  <c:v>0.40073232327226049</c:v>
                </c:pt>
                <c:pt idx="234">
                  <c:v>0.36886821582250323</c:v>
                </c:pt>
                <c:pt idx="235">
                  <c:v>0.43248249432427566</c:v>
                </c:pt>
                <c:pt idx="236">
                  <c:v>0.54745416384568002</c:v>
                </c:pt>
                <c:pt idx="237">
                  <c:v>0.34837304619975001</c:v>
                </c:pt>
                <c:pt idx="238">
                  <c:v>0.48225155900497763</c:v>
                </c:pt>
                <c:pt idx="239">
                  <c:v>0.42246670630132671</c:v>
                </c:pt>
                <c:pt idx="240">
                  <c:v>0.40619729229071527</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0.29533349311534168</c:v>
                </c:pt>
                <c:pt idx="499">
                  <c:v>0.29198105886916753</c:v>
                </c:pt>
                <c:pt idx="500">
                  <c:v>0.30650827393592217</c:v>
                </c:pt>
                <c:pt idx="501">
                  <c:v>0.22900318695889604</c:v>
                </c:pt>
                <c:pt idx="502">
                  <c:v>0.23147760271202458</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0.40272862112889729</c:v>
                </c:pt>
                <c:pt idx="629">
                  <c:v>0.44716376228697385</c:v>
                </c:pt>
                <c:pt idx="630">
                  <c:v>0.45820198776676696</c:v>
                </c:pt>
                <c:pt idx="631">
                  <c:v>0.56581817779648536</c:v>
                </c:pt>
                <c:pt idx="632">
                  <c:v>0.57456114089363219</c:v>
                </c:pt>
                <c:pt idx="633">
                  <c:v>0.61089266838519762</c:v>
                </c:pt>
                <c:pt idx="634">
                  <c:v>0.69201826417221346</c:v>
                </c:pt>
                <c:pt idx="635">
                  <c:v>0.62659942736446694</c:v>
                </c:pt>
                <c:pt idx="636">
                  <c:v>0.3995127374123762</c:v>
                </c:pt>
                <c:pt idx="637">
                  <c:v>0.26710358938624168</c:v>
                </c:pt>
                <c:pt idx="638">
                  <c:v>0.17760214195967022</c:v>
                </c:pt>
                <c:pt idx="639">
                  <c:v>0.13917617870188029</c:v>
                </c:pt>
                <c:pt idx="640">
                  <c:v>0.13669088979648955</c:v>
                </c:pt>
                <c:pt idx="641">
                  <c:v>0.13696703300819965</c:v>
                </c:pt>
                <c:pt idx="642">
                  <c:v>0.17154795035287182</c:v>
                </c:pt>
                <c:pt idx="643">
                  <c:v>0.20636784683510007</c:v>
                </c:pt>
                <c:pt idx="644">
                  <c:v>0.2878682036419668</c:v>
                </c:pt>
                <c:pt idx="645">
                  <c:v>0.19862858753496088</c:v>
                </c:pt>
                <c:pt idx="646">
                  <c:v>0.23282546307648086</c:v>
                </c:pt>
                <c:pt idx="647">
                  <c:v>7.6461362326397136E-2</c:v>
                </c:pt>
                <c:pt idx="648">
                  <c:v>0.1950090809438263</c:v>
                </c:pt>
                <c:pt idx="649">
                  <c:v>0.32983503080577481</c:v>
                </c:pt>
                <c:pt idx="650">
                  <c:v>0.48334034365025358</c:v>
                </c:pt>
                <c:pt idx="651">
                  <c:v>0.62285902135906457</c:v>
                </c:pt>
                <c:pt idx="652">
                  <c:v>0.74435642369191912</c:v>
                </c:pt>
                <c:pt idx="653">
                  <c:v>7.0470303494935424E-2</c:v>
                </c:pt>
                <c:pt idx="654">
                  <c:v>0.1830302822887945</c:v>
                </c:pt>
                <c:pt idx="655">
                  <c:v>0.30872116907306951</c:v>
                </c:pt>
                <c:pt idx="656">
                  <c:v>0.45726683679565744</c:v>
                </c:pt>
                <c:pt idx="657">
                  <c:v>0.61637796329053485</c:v>
                </c:pt>
                <c:pt idx="658">
                  <c:v>0.71030112454937766</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3-112C-4A8A-BD5B-DED592B57D30}"/>
            </c:ext>
          </c:extLst>
        </c:ser>
        <c:ser>
          <c:idx val="0"/>
          <c:order val="4"/>
          <c:tx>
            <c:v>Longitudinally butt-joined</c:v>
          </c:tx>
          <c:spPr>
            <a:ln w="19050" cap="rnd">
              <a:noFill/>
              <a:round/>
            </a:ln>
            <a:effectLst/>
          </c:spPr>
          <c:marker>
            <c:symbol val="circle"/>
            <c:size val="4"/>
            <c:spPr>
              <a:solidFill>
                <a:schemeClr val="tx1"/>
              </a:solidFill>
              <a:ln w="952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Data'!$W$15:$W$684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0.52920832717373667</c:v>
                </c:pt>
                <c:pt idx="35">
                  <c:v>0.35734950519367314</c:v>
                </c:pt>
                <c:pt idx="36">
                  <c:v>0.30428261682022567</c:v>
                </c:pt>
                <c:pt idx="37">
                  <c:v>0.34444792224049547</c:v>
                </c:pt>
                <c:pt idx="38">
                  <c:v>0.1377385978806222</c:v>
                </c:pt>
                <c:pt idx="39">
                  <c:v>0.13932086748808736</c:v>
                </c:pt>
                <c:pt idx="40">
                  <c:v>0.30000612220387285</c:v>
                </c:pt>
                <c:pt idx="41">
                  <c:v>0.37331842909378327</c:v>
                </c:pt>
                <c:pt idx="42">
                  <c:v>0.45219841717054027</c:v>
                </c:pt>
                <c:pt idx="43">
                  <c:v>0.47141502553873432</c:v>
                </c:pt>
                <c:pt idx="44">
                  <c:v>0.24396443802461787</c:v>
                </c:pt>
                <c:pt idx="45">
                  <c:v>0.24723477503242589</c:v>
                </c:pt>
                <c:pt idx="46">
                  <c:v>0.38259672626337743</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9.9457210619263534E-2</c:v>
                </c:pt>
                <c:pt idx="250">
                  <c:v>0.13653989910355002</c:v>
                </c:pt>
                <c:pt idx="251">
                  <c:v>0.16359477998255403</c:v>
                </c:pt>
                <c:pt idx="252">
                  <c:v>0.25568824924188327</c:v>
                </c:pt>
                <c:pt idx="253">
                  <c:v>0.25205818360552606</c:v>
                </c:pt>
                <c:pt idx="254">
                  <c:v>0.22171387824667943</c:v>
                </c:pt>
                <c:pt idx="255">
                  <c:v>0.22695125576955136</c:v>
                </c:pt>
                <c:pt idx="256">
                  <c:v>#N/A</c:v>
                </c:pt>
                <c:pt idx="257">
                  <c:v>#N/A</c:v>
                </c:pt>
                <c:pt idx="258">
                  <c:v>#N/A</c:v>
                </c:pt>
                <c:pt idx="259">
                  <c:v>#N/A</c:v>
                </c:pt>
                <c:pt idx="260">
                  <c:v>#N/A</c:v>
                </c:pt>
                <c:pt idx="261">
                  <c:v>#N/A</c:v>
                </c:pt>
                <c:pt idx="262">
                  <c:v>0.69696291321268566</c:v>
                </c:pt>
                <c:pt idx="263">
                  <c:v>0.55757033057014849</c:v>
                </c:pt>
                <c:pt idx="264">
                  <c:v>0.59623204688798426</c:v>
                </c:pt>
                <c:pt idx="265">
                  <c:v>0.61727243672082011</c:v>
                </c:pt>
                <c:pt idx="266">
                  <c:v>0.48262937231742575</c:v>
                </c:pt>
                <c:pt idx="267">
                  <c:v>0.54874149847113507</c:v>
                </c:pt>
                <c:pt idx="268">
                  <c:v>0.54277691696601416</c:v>
                </c:pt>
                <c:pt idx="269">
                  <c:v>0.55828368256510974</c:v>
                </c:pt>
                <c:pt idx="270">
                  <c:v>0.53229653114090503</c:v>
                </c:pt>
                <c:pt idx="271">
                  <c:v>0.50371933469870411</c:v>
                </c:pt>
                <c:pt idx="272">
                  <c:v>0.60499645171607908</c:v>
                </c:pt>
                <c:pt idx="273">
                  <c:v>0.53809780561285891</c:v>
                </c:pt>
                <c:pt idx="274">
                  <c:v>0.39592284799378785</c:v>
                </c:pt>
                <c:pt idx="275">
                  <c:v>6.5880440172496016E-2</c:v>
                </c:pt>
                <c:pt idx="276">
                  <c:v>9.7192580415400728E-2</c:v>
                </c:pt>
                <c:pt idx="277">
                  <c:v>0.1079833421677923</c:v>
                </c:pt>
                <c:pt idx="278">
                  <c:v>0.1335404094760882</c:v>
                </c:pt>
                <c:pt idx="279">
                  <c:v>0.10703678411933691</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0.39584279216259538</c:v>
                </c:pt>
                <c:pt idx="386">
                  <c:v>0.34610940929859391</c:v>
                </c:pt>
                <c:pt idx="387">
                  <c:v>0.48094983898594235</c:v>
                </c:pt>
                <c:pt idx="388">
                  <c:v>0.34117423294590943</c:v>
                </c:pt>
                <c:pt idx="389">
                  <c:v>0.3932687698735079</c:v>
                </c:pt>
                <c:pt idx="390">
                  <c:v>0.61573988743240926</c:v>
                </c:pt>
                <c:pt idx="391">
                  <c:v>0.4074949410901077</c:v>
                </c:pt>
                <c:pt idx="392">
                  <c:v>0.59535927663362243</c:v>
                </c:pt>
                <c:pt idx="393">
                  <c:v>7.9408417129236825E-2</c:v>
                </c:pt>
                <c:pt idx="394">
                  <c:v>9.6320296372152933E-2</c:v>
                </c:pt>
                <c:pt idx="395">
                  <c:v>0.12533003319707886</c:v>
                </c:pt>
                <c:pt idx="396">
                  <c:v>0.16560124506520929</c:v>
                </c:pt>
                <c:pt idx="397">
                  <c:v>8.1983914528185653E-2</c:v>
                </c:pt>
                <c:pt idx="398">
                  <c:v>0.48983932113447265</c:v>
                </c:pt>
                <c:pt idx="399">
                  <c:v>0.31094652201830331</c:v>
                </c:pt>
                <c:pt idx="400">
                  <c:v>0.28351615416934006</c:v>
                </c:pt>
                <c:pt idx="401">
                  <c:v>0.23549427253480876</c:v>
                </c:pt>
                <c:pt idx="402">
                  <c:v>0.1047603066300252</c:v>
                </c:pt>
                <c:pt idx="403">
                  <c:v>0.13086211614936263</c:v>
                </c:pt>
                <c:pt idx="404">
                  <c:v>0.18273899613595873</c:v>
                </c:pt>
                <c:pt idx="405">
                  <c:v>0.18643442578481531</c:v>
                </c:pt>
                <c:pt idx="406">
                  <c:v>0.20277121058715084</c:v>
                </c:pt>
                <c:pt idx="407">
                  <c:v>0.27816602428044396</c:v>
                </c:pt>
                <c:pt idx="408">
                  <c:v>0.53930509707657448</c:v>
                </c:pt>
                <c:pt idx="409">
                  <c:v>0.39676768308876392</c:v>
                </c:pt>
                <c:pt idx="410">
                  <c:v>0.37033167311551884</c:v>
                </c:pt>
                <c:pt idx="411">
                  <c:v>0.55795464324285493</c:v>
                </c:pt>
                <c:pt idx="412">
                  <c:v>0.47116176195567699</c:v>
                </c:pt>
                <c:pt idx="413">
                  <c:v>0.83900341109296039</c:v>
                </c:pt>
                <c:pt idx="414">
                  <c:v>0.80734306339192341</c:v>
                </c:pt>
                <c:pt idx="415">
                  <c:v>6.5115662194649218E-2</c:v>
                </c:pt>
                <c:pt idx="416">
                  <c:v>9.5159583048022869E-2</c:v>
                </c:pt>
                <c:pt idx="417">
                  <c:v>0.1903381081546337</c:v>
                </c:pt>
                <c:pt idx="418">
                  <c:v>0.26524512189269084</c:v>
                </c:pt>
                <c:pt idx="419">
                  <c:v>0.24042708398480042</c:v>
                </c:pt>
                <c:pt idx="420">
                  <c:v>0.36453639264465204</c:v>
                </c:pt>
                <c:pt idx="421">
                  <c:v>0.25322755746650366</c:v>
                </c:pt>
                <c:pt idx="422">
                  <c:v>0.27924604663774732</c:v>
                </c:pt>
                <c:pt idx="423">
                  <c:v>0.23261319047539386</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0.17879649312928794</c:v>
                </c:pt>
                <c:pt idx="493">
                  <c:v>0.27298393147418071</c:v>
                </c:pt>
                <c:pt idx="494">
                  <c:v>0.17560369860912209</c:v>
                </c:pt>
                <c:pt idx="495">
                  <c:v>0.26843419928294437</c:v>
                </c:pt>
                <c:pt idx="496">
                  <c:v>0.14527215066754645</c:v>
                </c:pt>
                <c:pt idx="497">
                  <c:v>0.27386194996722629</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0.26370991891233025</c:v>
                </c:pt>
                <c:pt idx="570">
                  <c:v>0.21430646249840371</c:v>
                </c:pt>
                <c:pt idx="571">
                  <c:v>0.20211015975459209</c:v>
                </c:pt>
                <c:pt idx="572">
                  <c:v>0.2791422411842544</c:v>
                </c:pt>
                <c:pt idx="573">
                  <c:v>0.31835689332816192</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0.33957021167405349</c:v>
                </c:pt>
                <c:pt idx="660">
                  <c:v>0.33330297622369343</c:v>
                </c:pt>
                <c:pt idx="661">
                  <c:v>0.27177011907470389</c:v>
                </c:pt>
                <c:pt idx="662">
                  <c:v>0.31678026458183517</c:v>
                </c:pt>
                <c:pt idx="663">
                  <c:v>0.2889765291293287</c:v>
                </c:pt>
                <c:pt idx="664">
                  <c:v>0.41021904765993039</c:v>
                </c:pt>
                <c:pt idx="665">
                  <c:v>0.45921743390819986</c:v>
                </c:pt>
                <c:pt idx="666">
                  <c:v>0.42921067023677906</c:v>
                </c:pt>
                <c:pt idx="667">
                  <c:v>0.30386596122957804</c:v>
                </c:pt>
                <c:pt idx="668">
                  <c:v>0.35324417992938445</c:v>
                </c:pt>
                <c:pt idx="669">
                  <c:v>0.43984597887981425</c:v>
                </c:pt>
              </c:numCache>
            </c:numRef>
          </c:yVal>
          <c:smooth val="0"/>
          <c:extLst>
            <c:ext xmlns:c16="http://schemas.microsoft.com/office/drawing/2014/chart" uri="{C3380CC4-5D6E-409C-BE32-E72D297353CC}">
              <c16:uniqueId val="{00000004-112C-4A8A-BD5B-DED592B57D30}"/>
            </c:ext>
          </c:extLst>
        </c:ser>
        <c:ser>
          <c:idx val="1"/>
          <c:order val="5"/>
          <c:tx>
            <c:v>Longitudinally overlap-joined</c:v>
          </c:tx>
          <c:spPr>
            <a:ln w="19050" cap="rnd">
              <a:noFill/>
              <a:round/>
            </a:ln>
            <a:effectLst/>
          </c:spPr>
          <c:marker>
            <c:symbol val="square"/>
            <c:size val="4"/>
            <c:spPr>
              <a:solidFill>
                <a:srgbClr val="FF0000"/>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Data'!$X$15:$X$684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0.32670458130080182</c:v>
                </c:pt>
                <c:pt idx="48">
                  <c:v>0.2723874392563127</c:v>
                </c:pt>
                <c:pt idx="49">
                  <c:v>0.2818077554042499</c:v>
                </c:pt>
                <c:pt idx="50">
                  <c:v>0.28060516185344947</c:v>
                </c:pt>
                <c:pt idx="51">
                  <c:v>0.31068603520413929</c:v>
                </c:pt>
                <c:pt idx="52">
                  <c:v>0.29824320059852344</c:v>
                </c:pt>
                <c:pt idx="53">
                  <c:v>0.2815672366940899</c:v>
                </c:pt>
                <c:pt idx="54">
                  <c:v>0.31697159082965648</c:v>
                </c:pt>
                <c:pt idx="55">
                  <c:v>0.2627926668706061</c:v>
                </c:pt>
                <c:pt idx="56">
                  <c:v>0.26353154034821785</c:v>
                </c:pt>
                <c:pt idx="57">
                  <c:v>0.25433667040460406</c:v>
                </c:pt>
                <c:pt idx="58">
                  <c:v>0.23537225114590049</c:v>
                </c:pt>
                <c:pt idx="59">
                  <c:v>#N/A</c:v>
                </c:pt>
                <c:pt idx="60">
                  <c:v>#N/A</c:v>
                </c:pt>
                <c:pt idx="61">
                  <c:v>#N/A</c:v>
                </c:pt>
                <c:pt idx="62">
                  <c:v>0.51220406089760762</c:v>
                </c:pt>
                <c:pt idx="63">
                  <c:v>0.44115640083761687</c:v>
                </c:pt>
                <c:pt idx="64">
                  <c:v>0.55351084000225337</c:v>
                </c:pt>
                <c:pt idx="65">
                  <c:v>0.43950412967343105</c:v>
                </c:pt>
                <c:pt idx="66">
                  <c:v>0.59812216143527075</c:v>
                </c:pt>
                <c:pt idx="67">
                  <c:v>0.49237680692737751</c:v>
                </c:pt>
                <c:pt idx="68">
                  <c:v>0.44280867200180263</c:v>
                </c:pt>
                <c:pt idx="69">
                  <c:v>0.57168582280829738</c:v>
                </c:pt>
                <c:pt idx="70">
                  <c:v>0.53533585719620902</c:v>
                </c:pt>
                <c:pt idx="71">
                  <c:v>0.45107002782273187</c:v>
                </c:pt>
                <c:pt idx="72">
                  <c:v>0.46428819713621844</c:v>
                </c:pt>
                <c:pt idx="73">
                  <c:v>0.50063816274830664</c:v>
                </c:pt>
                <c:pt idx="74">
                  <c:v>0.41141551988227176</c:v>
                </c:pt>
                <c:pt idx="75">
                  <c:v>0.42463368919575839</c:v>
                </c:pt>
                <c:pt idx="76">
                  <c:v>0.2411554474956889</c:v>
                </c:pt>
                <c:pt idx="77">
                  <c:v>0.26642905703710262</c:v>
                </c:pt>
                <c:pt idx="78">
                  <c:v>0.24050782929894216</c:v>
                </c:pt>
                <c:pt idx="79">
                  <c:v>0.33276445491164647</c:v>
                </c:pt>
                <c:pt idx="80">
                  <c:v>0.29384447099213151</c:v>
                </c:pt>
                <c:pt idx="81">
                  <c:v>0.43394096457861686</c:v>
                </c:pt>
                <c:pt idx="82">
                  <c:v>0.13564357259641754</c:v>
                </c:pt>
                <c:pt idx="83">
                  <c:v>0.15479396936850673</c:v>
                </c:pt>
                <c:pt idx="84">
                  <c:v>0.2352034831345686</c:v>
                </c:pt>
                <c:pt idx="85">
                  <c:v>0.29453913877225468</c:v>
                </c:pt>
                <c:pt idx="86">
                  <c:v>0.26797986958233588</c:v>
                </c:pt>
                <c:pt idx="87">
                  <c:v>0.32427251782276756</c:v>
                </c:pt>
                <c:pt idx="88">
                  <c:v>0.21826083698616702</c:v>
                </c:pt>
                <c:pt idx="89">
                  <c:v>0.31008712796085569</c:v>
                </c:pt>
                <c:pt idx="90">
                  <c:v>0.26083141088404099</c:v>
                </c:pt>
                <c:pt idx="91">
                  <c:v>0.17190320000870835</c:v>
                </c:pt>
                <c:pt idx="92">
                  <c:v>0.20386330282968676</c:v>
                </c:pt>
                <c:pt idx="93">
                  <c:v>0.2562046061708273</c:v>
                </c:pt>
                <c:pt idx="94">
                  <c:v>0.19312581729373399</c:v>
                </c:pt>
                <c:pt idx="95">
                  <c:v>0.31812626123732268</c:v>
                </c:pt>
                <c:pt idx="96">
                  <c:v>0.22852688182856856</c:v>
                </c:pt>
                <c:pt idx="97">
                  <c:v>0.22068090572493562</c:v>
                </c:pt>
                <c:pt idx="98">
                  <c:v>0.3238240450206778</c:v>
                </c:pt>
                <c:pt idx="99">
                  <c:v>0.2245247458937866</c:v>
                </c:pt>
                <c:pt idx="100">
                  <c:v>0.27147188655279747</c:v>
                </c:pt>
                <c:pt idx="101">
                  <c:v>0.30215058897453856</c:v>
                </c:pt>
                <c:pt idx="102">
                  <c:v>0.16559131164643109</c:v>
                </c:pt>
                <c:pt idx="103">
                  <c:v>0.17418347712143262</c:v>
                </c:pt>
                <c:pt idx="104">
                  <c:v>0.17726859836157469</c:v>
                </c:pt>
                <c:pt idx="105">
                  <c:v>0.16032193507127626</c:v>
                </c:pt>
                <c:pt idx="106">
                  <c:v>0.28449806900749747</c:v>
                </c:pt>
                <c:pt idx="107">
                  <c:v>0.40319599621383334</c:v>
                </c:pt>
                <c:pt idx="108">
                  <c:v>0.38433302563073002</c:v>
                </c:pt>
                <c:pt idx="109">
                  <c:v>0.24685776158599904</c:v>
                </c:pt>
                <c:pt idx="110">
                  <c:v>0.37609812741173981</c:v>
                </c:pt>
                <c:pt idx="111">
                  <c:v>0.22490813621020811</c:v>
                </c:pt>
                <c:pt idx="112">
                  <c:v>0.19942484606427047</c:v>
                </c:pt>
                <c:pt idx="113">
                  <c:v>0.281818719324606</c:v>
                </c:pt>
                <c:pt idx="114">
                  <c:v>0.28277322742828476</c:v>
                </c:pt>
                <c:pt idx="115">
                  <c:v>0.3839803660553287</c:v>
                </c:pt>
                <c:pt idx="116">
                  <c:v>#N/A</c:v>
                </c:pt>
                <c:pt idx="117">
                  <c:v>#N/A</c:v>
                </c:pt>
                <c:pt idx="118">
                  <c:v>#N/A</c:v>
                </c:pt>
                <c:pt idx="119">
                  <c:v>#N/A</c:v>
                </c:pt>
                <c:pt idx="120">
                  <c:v>#N/A</c:v>
                </c:pt>
                <c:pt idx="121">
                  <c:v>#N/A</c:v>
                </c:pt>
                <c:pt idx="122">
                  <c:v>#N/A</c:v>
                </c:pt>
                <c:pt idx="123">
                  <c:v>#N/A</c:v>
                </c:pt>
                <c:pt idx="124">
                  <c:v>0.38955393689032747</c:v>
                </c:pt>
                <c:pt idx="125">
                  <c:v>0.41931936541541204</c:v>
                </c:pt>
                <c:pt idx="126">
                  <c:v>0.3022897964821582</c:v>
                </c:pt>
                <c:pt idx="127">
                  <c:v>0.3022897964821582</c:v>
                </c:pt>
                <c:pt idx="128">
                  <c:v>0.34456571405760156</c:v>
                </c:pt>
                <c:pt idx="129">
                  <c:v>0.32806042722189011</c:v>
                </c:pt>
                <c:pt idx="130">
                  <c:v>0.31234577184605744</c:v>
                </c:pt>
                <c:pt idx="131">
                  <c:v>0.53159753422996803</c:v>
                </c:pt>
                <c:pt idx="132">
                  <c:v>0.56292975945594959</c:v>
                </c:pt>
                <c:pt idx="133">
                  <c:v>0.62609995658685913</c:v>
                </c:pt>
                <c:pt idx="134">
                  <c:v>0.95027323887179593</c:v>
                </c:pt>
                <c:pt idx="135">
                  <c:v>1.0743456653442474</c:v>
                </c:pt>
                <c:pt idx="136">
                  <c:v>1.6041419259635914</c:v>
                </c:pt>
                <c:pt idx="137">
                  <c:v>0.39762280324794341</c:v>
                </c:pt>
                <c:pt idx="138">
                  <c:v>0.35110762238948906</c:v>
                </c:pt>
                <c:pt idx="139">
                  <c:v>0.3118761317731959</c:v>
                </c:pt>
                <c:pt idx="140">
                  <c:v>0.2992070328369692</c:v>
                </c:pt>
                <c:pt idx="141">
                  <c:v>0.41939904410146706</c:v>
                </c:pt>
                <c:pt idx="142">
                  <c:v>0.44499639812222946</c:v>
                </c:pt>
                <c:pt idx="143">
                  <c:v>0.46109873569917537</c:v>
                </c:pt>
                <c:pt idx="144">
                  <c:v>0.60196979325447642</c:v>
                </c:pt>
                <c:pt idx="145">
                  <c:v>0.82402182416060177</c:v>
                </c:pt>
                <c:pt idx="146">
                  <c:v>1.2475045270927856</c:v>
                </c:pt>
                <c:pt idx="147">
                  <c:v>0.29222202097363392</c:v>
                </c:pt>
                <c:pt idx="148">
                  <c:v>0.234304685559169</c:v>
                </c:pt>
                <c:pt idx="149">
                  <c:v>0.22126347205761535</c:v>
                </c:pt>
                <c:pt idx="150">
                  <c:v>0.21239512485531817</c:v>
                </c:pt>
                <c:pt idx="151">
                  <c:v>0.2089481221860954</c:v>
                </c:pt>
                <c:pt idx="152">
                  <c:v>0.20555706160786749</c:v>
                </c:pt>
                <c:pt idx="153">
                  <c:v>0.24012649456431293</c:v>
                </c:pt>
                <c:pt idx="154">
                  <c:v>0.26273835390627037</c:v>
                </c:pt>
                <c:pt idx="155">
                  <c:v>0.28747949175132603</c:v>
                </c:pt>
                <c:pt idx="156">
                  <c:v>0.34699777623386224</c:v>
                </c:pt>
                <c:pt idx="157">
                  <c:v>0.45084144898790657</c:v>
                </c:pt>
                <c:pt idx="158">
                  <c:v>0.58098904895370651</c:v>
                </c:pt>
                <c:pt idx="159">
                  <c:v>0.6731666479539854</c:v>
                </c:pt>
                <c:pt idx="160">
                  <c:v>0.95698059107511413</c:v>
                </c:pt>
                <c:pt idx="161">
                  <c:v>0.86749444058465663</c:v>
                </c:pt>
                <c:pt idx="162">
                  <c:v>0.30177159481585053</c:v>
                </c:pt>
                <c:pt idx="163">
                  <c:v>0.20777116908169746</c:v>
                </c:pt>
                <c:pt idx="164">
                  <c:v>0.19010419228441863</c:v>
                </c:pt>
                <c:pt idx="165">
                  <c:v>0.18675531753105906</c:v>
                </c:pt>
                <c:pt idx="166">
                  <c:v>0.22307975292688204</c:v>
                </c:pt>
                <c:pt idx="167">
                  <c:v>0.28273292921091303</c:v>
                </c:pt>
                <c:pt idx="168">
                  <c:v>0.30177159481585053</c:v>
                </c:pt>
                <c:pt idx="169">
                  <c:v>0.33772528047119454</c:v>
                </c:pt>
                <c:pt idx="170">
                  <c:v>0.39866208841663964</c:v>
                </c:pt>
                <c:pt idx="171">
                  <c:v>0.57902592908259642</c:v>
                </c:pt>
                <c:pt idx="172">
                  <c:v>0.84099049368239565</c:v>
                </c:pt>
                <c:pt idx="173">
                  <c:v>1.0045655139823491</c:v>
                </c:pt>
                <c:pt idx="174">
                  <c:v>0.22572326583598407</c:v>
                </c:pt>
                <c:pt idx="175">
                  <c:v>0.19322737104026258</c:v>
                </c:pt>
                <c:pt idx="176">
                  <c:v>0.18548272435530894</c:v>
                </c:pt>
                <c:pt idx="177">
                  <c:v>0.18700641382567429</c:v>
                </c:pt>
                <c:pt idx="178">
                  <c:v>0.18247248837939781</c:v>
                </c:pt>
                <c:pt idx="179">
                  <c:v>0.18854261998518254</c:v>
                </c:pt>
                <c:pt idx="180">
                  <c:v>0.26368413783907368</c:v>
                </c:pt>
                <c:pt idx="181">
                  <c:v>0.25519482428669626</c:v>
                </c:pt>
                <c:pt idx="182">
                  <c:v>0.38104004151776222</c:v>
                </c:pt>
                <c:pt idx="183">
                  <c:v>0.33156524979597468</c:v>
                </c:pt>
                <c:pt idx="184">
                  <c:v>0.56894380066558803</c:v>
                </c:pt>
                <c:pt idx="185">
                  <c:v>0.48703670162272333</c:v>
                </c:pt>
                <c:pt idx="186">
                  <c:v>0.46370681088827237</c:v>
                </c:pt>
                <c:pt idx="187">
                  <c:v>0.51574252256048314</c:v>
                </c:pt>
                <c:pt idx="188">
                  <c:v>0.70379844054274177</c:v>
                </c:pt>
                <c:pt idx="189">
                  <c:v>0.78277647551548768</c:v>
                </c:pt>
                <c:pt idx="190">
                  <c:v>1.033810603795414</c:v>
                </c:pt>
                <c:pt idx="191">
                  <c:v>1.168790086410471</c:v>
                </c:pt>
                <c:pt idx="192">
                  <c:v>0.17029918819162476</c:v>
                </c:pt>
                <c:pt idx="193">
                  <c:v>0.12479500926461229</c:v>
                </c:pt>
                <c:pt idx="194">
                  <c:v>0.12479500926461229</c:v>
                </c:pt>
                <c:pt idx="195">
                  <c:v>0.11405486739299127</c:v>
                </c:pt>
                <c:pt idx="196">
                  <c:v>0.13107366177086094</c:v>
                </c:pt>
                <c:pt idx="197">
                  <c:v>0.18033657959516219</c:v>
                </c:pt>
                <c:pt idx="198">
                  <c:v>0.19253430188409193</c:v>
                </c:pt>
                <c:pt idx="199">
                  <c:v>0.20057338017566478</c:v>
                </c:pt>
                <c:pt idx="200">
                  <c:v>0.24012649456431401</c:v>
                </c:pt>
                <c:pt idx="201">
                  <c:v>0.28050962073851138</c:v>
                </c:pt>
                <c:pt idx="202">
                  <c:v>0.29948291201875293</c:v>
                </c:pt>
                <c:pt idx="203">
                  <c:v>0.45084144898790601</c:v>
                </c:pt>
                <c:pt idx="204">
                  <c:v>0.70703482494443437</c:v>
                </c:pt>
                <c:pt idx="205">
                  <c:v>0.7799688079038315</c:v>
                </c:pt>
                <c:pt idx="206">
                  <c:v>0.98075885316822609</c:v>
                </c:pt>
                <c:pt idx="207">
                  <c:v>1.0908165096552418</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6.9210826691294761E-2</c:v>
                </c:pt>
                <c:pt idx="287">
                  <c:v>#N/A</c:v>
                </c:pt>
                <c:pt idx="288">
                  <c:v>#N/A</c:v>
                </c:pt>
                <c:pt idx="289">
                  <c:v>7.514318326483431E-2</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0.42771599999999999</c:v>
                </c:pt>
                <c:pt idx="331">
                  <c:v>0.27138580199999995</c:v>
                </c:pt>
                <c:pt idx="332">
                  <c:v>0.29184929999999987</c:v>
                </c:pt>
                <c:pt idx="333">
                  <c:v>0.23985917999999989</c:v>
                </c:pt>
                <c:pt idx="334">
                  <c:v>0.23571871884000001</c:v>
                </c:pt>
                <c:pt idx="335">
                  <c:v>0.24338875135999993</c:v>
                </c:pt>
                <c:pt idx="336">
                  <c:v>0.34413609999999989</c:v>
                </c:pt>
                <c:pt idx="337">
                  <c:v>0.3196530139999999</c:v>
                </c:pt>
                <c:pt idx="338">
                  <c:v>0.50927094399999995</c:v>
                </c:pt>
                <c:pt idx="339">
                  <c:v>0.4312937664</c:v>
                </c:pt>
                <c:pt idx="340">
                  <c:v>0.52387499999999998</c:v>
                </c:pt>
                <c:pt idx="341">
                  <c:v>0.45737555200000007</c:v>
                </c:pt>
                <c:pt idx="342">
                  <c:v>0.43835797819999983</c:v>
                </c:pt>
                <c:pt idx="343">
                  <c:v>0.47803004479999994</c:v>
                </c:pt>
                <c:pt idx="344">
                  <c:v>0.53287276559999996</c:v>
                </c:pt>
                <c:pt idx="345">
                  <c:v>0.61648933120000005</c:v>
                </c:pt>
                <c:pt idx="346">
                  <c:v>0.56545467995999987</c:v>
                </c:pt>
                <c:pt idx="347">
                  <c:v>0.3775583857999999</c:v>
                </c:pt>
                <c:pt idx="348">
                  <c:v>0.56394322559999988</c:v>
                </c:pt>
                <c:pt idx="349">
                  <c:v>0.42306675839999996</c:v>
                </c:pt>
                <c:pt idx="350">
                  <c:v>0.61871454590399988</c:v>
                </c:pt>
                <c:pt idx="351">
                  <c:v>0.43547121499999997</c:v>
                </c:pt>
                <c:pt idx="352">
                  <c:v>0.4599989504</c:v>
                </c:pt>
                <c:pt idx="353">
                  <c:v>0.36746714999999996</c:v>
                </c:pt>
                <c:pt idx="354">
                  <c:v>0.56827368435199987</c:v>
                </c:pt>
                <c:pt idx="355">
                  <c:v>0.50634389759999987</c:v>
                </c:pt>
                <c:pt idx="356">
                  <c:v>0.33816467999999994</c:v>
                </c:pt>
                <c:pt idx="357">
                  <c:v>0.48195655200000015</c:v>
                </c:pt>
                <c:pt idx="358">
                  <c:v>0.53619439999999985</c:v>
                </c:pt>
                <c:pt idx="359">
                  <c:v>0.41151967999999983</c:v>
                </c:pt>
                <c:pt idx="360">
                  <c:v>0.49791821040000001</c:v>
                </c:pt>
                <c:pt idx="361">
                  <c:v>0.44512243200000001</c:v>
                </c:pt>
                <c:pt idx="362">
                  <c:v>0.46633806719999993</c:v>
                </c:pt>
                <c:pt idx="363">
                  <c:v>0.41633958719999981</c:v>
                </c:pt>
                <c:pt idx="364">
                  <c:v>0.48944316159999995</c:v>
                </c:pt>
                <c:pt idx="365">
                  <c:v>0.51134197999999986</c:v>
                </c:pt>
                <c:pt idx="366">
                  <c:v>0.55232072999999982</c:v>
                </c:pt>
                <c:pt idx="367">
                  <c:v>0.50567622299999992</c:v>
                </c:pt>
                <c:pt idx="368">
                  <c:v>0.44147024999999984</c:v>
                </c:pt>
                <c:pt idx="369">
                  <c:v>0.42526421839999989</c:v>
                </c:pt>
                <c:pt idx="370">
                  <c:v>0.53759447203199984</c:v>
                </c:pt>
                <c:pt idx="371">
                  <c:v>0.47839674999999982</c:v>
                </c:pt>
                <c:pt idx="372">
                  <c:v>0.4475704191999999</c:v>
                </c:pt>
                <c:pt idx="373">
                  <c:v>0.50817047680000005</c:v>
                </c:pt>
                <c:pt idx="374">
                  <c:v>0.54756302660000011</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0.3865102652449865</c:v>
                </c:pt>
                <c:pt idx="425">
                  <c:v>0.43885019699691169</c:v>
                </c:pt>
                <c:pt idx="426">
                  <c:v>0.46502016287287429</c:v>
                </c:pt>
                <c:pt idx="427">
                  <c:v>0.38922963123581278</c:v>
                </c:pt>
                <c:pt idx="428">
                  <c:v>0.2835085920793407</c:v>
                </c:pt>
                <c:pt idx="429">
                  <c:v>0.2835085920793407</c:v>
                </c:pt>
                <c:pt idx="430">
                  <c:v>0.29199248411835044</c:v>
                </c:pt>
                <c:pt idx="431">
                  <c:v>0.30367218348308445</c:v>
                </c:pt>
                <c:pt idx="432">
                  <c:v>0.32703158221255252</c:v>
                </c:pt>
                <c:pt idx="433">
                  <c:v>0.48403905964765487</c:v>
                </c:pt>
                <c:pt idx="434">
                  <c:v>0.51367410411587855</c:v>
                </c:pt>
                <c:pt idx="435">
                  <c:v>0.26572580735592816</c:v>
                </c:pt>
                <c:pt idx="436">
                  <c:v>0.28479600243205516</c:v>
                </c:pt>
                <c:pt idx="437">
                  <c:v>0.34915989898169963</c:v>
                </c:pt>
                <c:pt idx="438">
                  <c:v>0.34745112296710728</c:v>
                </c:pt>
                <c:pt idx="439">
                  <c:v>0.37593072321031284</c:v>
                </c:pt>
                <c:pt idx="440">
                  <c:v>0.32384510638040481</c:v>
                </c:pt>
                <c:pt idx="441">
                  <c:v>0.37176096395709735</c:v>
                </c:pt>
                <c:pt idx="442">
                  <c:v>0.56177212331294712</c:v>
                </c:pt>
                <c:pt idx="443">
                  <c:v>0.42132909248471029</c:v>
                </c:pt>
                <c:pt idx="444">
                  <c:v>0.31393148067488225</c:v>
                </c:pt>
                <c:pt idx="445">
                  <c:v>0.57829483282215133</c:v>
                </c:pt>
                <c:pt idx="446">
                  <c:v>0.29410422926383706</c:v>
                </c:pt>
                <c:pt idx="447">
                  <c:v>0.4708972210123234</c:v>
                </c:pt>
                <c:pt idx="448">
                  <c:v>0.3965451034025998</c:v>
                </c:pt>
                <c:pt idx="449">
                  <c:v>0.39654509130017851</c:v>
                </c:pt>
                <c:pt idx="450">
                  <c:v>0.38828374708171226</c:v>
                </c:pt>
                <c:pt idx="451">
                  <c:v>0.59481763695026779</c:v>
                </c:pt>
                <c:pt idx="452">
                  <c:v>0.49568136412522307</c:v>
                </c:pt>
                <c:pt idx="453">
                  <c:v>0.72699933405032724</c:v>
                </c:pt>
                <c:pt idx="454">
                  <c:v>0.28914746547496278</c:v>
                </c:pt>
                <c:pt idx="455">
                  <c:v>0.45437458860351299</c:v>
                </c:pt>
                <c:pt idx="456">
                  <c:v>0.57829492481276024</c:v>
                </c:pt>
                <c:pt idx="457">
                  <c:v>0.38002239076082484</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0.19619800025297726</c:v>
                </c:pt>
                <c:pt idx="586">
                  <c:v>0.2605048763774504</c:v>
                </c:pt>
                <c:pt idx="587">
                  <c:v>0.27605400006503689</c:v>
                </c:pt>
                <c:pt idx="588">
                  <c:v>0.22127468095561878</c:v>
                </c:pt>
                <c:pt idx="589">
                  <c:v>0.24808670536612881</c:v>
                </c:pt>
                <c:pt idx="590">
                  <c:v>0.25547922865223549</c:v>
                </c:pt>
                <c:pt idx="591">
                  <c:v>0.23737378469400774</c:v>
                </c:pt>
                <c:pt idx="592">
                  <c:v>0.22526042799014018</c:v>
                </c:pt>
                <c:pt idx="593">
                  <c:v>0.34051170774888662</c:v>
                </c:pt>
                <c:pt idx="594">
                  <c:v>0.30907789481575498</c:v>
                </c:pt>
                <c:pt idx="595">
                  <c:v>0.30372978401170414</c:v>
                </c:pt>
                <c:pt idx="596">
                  <c:v>0.28074882478938595</c:v>
                </c:pt>
                <c:pt idx="597">
                  <c:v>0.28387285280970181</c:v>
                </c:pt>
                <c:pt idx="598">
                  <c:v>0.28975667680445677</c:v>
                </c:pt>
                <c:pt idx="599">
                  <c:v>0.26763995929768397</c:v>
                </c:pt>
                <c:pt idx="600">
                  <c:v>0.24196501805912921</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0.31987969738637678</c:v>
                </c:pt>
                <c:pt idx="614">
                  <c:v>0.2354486408964809</c:v>
                </c:pt>
                <c:pt idx="615">
                  <c:v>0.22525963538400162</c:v>
                </c:pt>
                <c:pt idx="616">
                  <c:v>0.35758763435205265</c:v>
                </c:pt>
                <c:pt idx="617">
                  <c:v>0.404363297365402</c:v>
                </c:pt>
                <c:pt idx="618">
                  <c:v>0.35697216510187701</c:v>
                </c:pt>
                <c:pt idx="619">
                  <c:v>0.41728815161909072</c:v>
                </c:pt>
                <c:pt idx="620">
                  <c:v>0.29098809145882698</c:v>
                </c:pt>
                <c:pt idx="621">
                  <c:v>0.27576099754119998</c:v>
                </c:pt>
                <c:pt idx="622">
                  <c:v>0.19678090601240975</c:v>
                </c:pt>
                <c:pt idx="623">
                  <c:v>0.19209564634544757</c:v>
                </c:pt>
                <c:pt idx="624">
                  <c:v>0.18356178052348082</c:v>
                </c:pt>
                <c:pt idx="625">
                  <c:v>0.18724305597609392</c:v>
                </c:pt>
                <c:pt idx="626">
                  <c:v>0.20916337798938103</c:v>
                </c:pt>
                <c:pt idx="627">
                  <c:v>0.20447811832241894</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5-112C-4A8A-BD5B-DED592B57D30}"/>
            </c:ext>
          </c:extLst>
        </c:ser>
        <c:ser>
          <c:idx val="3"/>
          <c:order val="6"/>
          <c:tx>
            <c:v>Electroformed</c:v>
          </c:tx>
          <c:spPr>
            <a:ln w="19050" cap="rnd">
              <a:noFill/>
              <a:round/>
            </a:ln>
            <a:effectLst/>
          </c:spPr>
          <c:marker>
            <c:symbol val="diamond"/>
            <c:size val="5"/>
            <c:spPr>
              <a:solidFill>
                <a:schemeClr val="accent6">
                  <a:lumMod val="75000"/>
                </a:schemeClr>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Data'!$Y$15:$Y$684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0.76004473552548202</c:v>
                </c:pt>
                <c:pt idx="60">
                  <c:v>0.72369476991339388</c:v>
                </c:pt>
                <c:pt idx="61">
                  <c:v>0.71873795642083627</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0.44468790808964898</c:v>
                </c:pt>
                <c:pt idx="464">
                  <c:v>0.77082755851496021</c:v>
                </c:pt>
                <c:pt idx="465">
                  <c:v>0.42628936420237257</c:v>
                </c:pt>
                <c:pt idx="466">
                  <c:v>0.4358908350631388</c:v>
                </c:pt>
                <c:pt idx="467">
                  <c:v>0.68488190596219656</c:v>
                </c:pt>
                <c:pt idx="468">
                  <c:v>0.58957605981876582</c:v>
                </c:pt>
                <c:pt idx="469">
                  <c:v>0.6121371483285547</c:v>
                </c:pt>
                <c:pt idx="470">
                  <c:v>0.57798283048033117</c:v>
                </c:pt>
                <c:pt idx="471">
                  <c:v>0.6137884263619946</c:v>
                </c:pt>
                <c:pt idx="472">
                  <c:v>0.57499999999999996</c:v>
                </c:pt>
                <c:pt idx="473">
                  <c:v>0.65800000000000003</c:v>
                </c:pt>
                <c:pt idx="474">
                  <c:v>0.73599999999999999</c:v>
                </c:pt>
                <c:pt idx="475">
                  <c:v>0.56100000000000005</c:v>
                </c:pt>
                <c:pt idx="476">
                  <c:v>0.67300000000000004</c:v>
                </c:pt>
                <c:pt idx="477">
                  <c:v>0.91</c:v>
                </c:pt>
                <c:pt idx="478">
                  <c:v>0.96</c:v>
                </c:pt>
                <c:pt idx="479">
                  <c:v>0.83</c:v>
                </c:pt>
                <c:pt idx="480">
                  <c:v>0.85</c:v>
                </c:pt>
                <c:pt idx="481">
                  <c:v>0.81</c:v>
                </c:pt>
                <c:pt idx="482">
                  <c:v>0.8</c:v>
                </c:pt>
                <c:pt idx="483">
                  <c:v>0.86</c:v>
                </c:pt>
                <c:pt idx="484">
                  <c:v>0.84</c:v>
                </c:pt>
                <c:pt idx="485">
                  <c:v>0.84</c:v>
                </c:pt>
                <c:pt idx="486">
                  <c:v>0.91</c:v>
                </c:pt>
                <c:pt idx="487">
                  <c:v>0.86</c:v>
                </c:pt>
                <c:pt idx="488">
                  <c:v>0.8</c:v>
                </c:pt>
                <c:pt idx="489">
                  <c:v>0.9</c:v>
                </c:pt>
                <c:pt idx="490">
                  <c:v>0.81</c:v>
                </c:pt>
                <c:pt idx="491">
                  <c:v>0.85</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0.68161893022015496</c:v>
                </c:pt>
                <c:pt idx="575">
                  <c:v>0.83917908494441196</c:v>
                </c:pt>
                <c:pt idx="576">
                  <c:v>0.81040723060346065</c:v>
                </c:pt>
                <c:pt idx="577">
                  <c:v>0.61799999999999999</c:v>
                </c:pt>
                <c:pt idx="578">
                  <c:v>0.65600000000000003</c:v>
                </c:pt>
                <c:pt idx="579">
                  <c:v>0.68700000000000006</c:v>
                </c:pt>
                <c:pt idx="580">
                  <c:v>0.68400000000000005</c:v>
                </c:pt>
                <c:pt idx="581">
                  <c:v>0.68799999999999994</c:v>
                </c:pt>
                <c:pt idx="582">
                  <c:v>0.67400000000000004</c:v>
                </c:pt>
                <c:pt idx="583">
                  <c:v>0.61199999999999999</c:v>
                </c:pt>
                <c:pt idx="584">
                  <c:v>0.65500000000000003</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0.66666666666666663</c:v>
                </c:pt>
                <c:pt idx="609">
                  <c:v>#N/A</c:v>
                </c:pt>
                <c:pt idx="610">
                  <c:v>0.60810810810810823</c:v>
                </c:pt>
                <c:pt idx="611">
                  <c:v>0.62857142857142845</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6-112C-4A8A-BD5B-DED592B57D30}"/>
            </c:ext>
          </c:extLst>
        </c:ser>
        <c:ser>
          <c:idx val="6"/>
          <c:order val="7"/>
          <c:tx>
            <c:v>Miscellaneous</c:v>
          </c:tx>
          <c:spPr>
            <a:ln w="19050" cap="rnd">
              <a:noFill/>
              <a:round/>
            </a:ln>
            <a:effectLst/>
          </c:spPr>
          <c:marker>
            <c:symbol val="circle"/>
            <c:size val="4"/>
            <c:spPr>
              <a:solidFill>
                <a:schemeClr val="bg1"/>
              </a:solidFill>
              <a:ln w="3175">
                <a:solidFill>
                  <a:schemeClr val="tx1"/>
                </a:solidFill>
              </a:ln>
              <a:effectLst/>
            </c:spPr>
          </c:marker>
          <c:xVal>
            <c:numRef>
              <c:f>'Figure 1 Data'!$C$15:$C$684</c:f>
              <c:numCache>
                <c:formatCode>General</c:formatCode>
                <c:ptCount val="670"/>
                <c:pt idx="0">
                  <c:v>26.18</c:v>
                </c:pt>
                <c:pt idx="1">
                  <c:v>26.44</c:v>
                </c:pt>
                <c:pt idx="2">
                  <c:v>26.18</c:v>
                </c:pt>
                <c:pt idx="3">
                  <c:v>26.44</c:v>
                </c:pt>
                <c:pt idx="4">
                  <c:v>26.44</c:v>
                </c:pt>
                <c:pt idx="5">
                  <c:v>26.56</c:v>
                </c:pt>
                <c:pt idx="6">
                  <c:v>26.61</c:v>
                </c:pt>
                <c:pt idx="7">
                  <c:v>25.94</c:v>
                </c:pt>
                <c:pt idx="8">
                  <c:v>25.88</c:v>
                </c:pt>
                <c:pt idx="9">
                  <c:v>26.04</c:v>
                </c:pt>
                <c:pt idx="10">
                  <c:v>114.56</c:v>
                </c:pt>
                <c:pt idx="11">
                  <c:v>116.61</c:v>
                </c:pt>
                <c:pt idx="12">
                  <c:v>113.6</c:v>
                </c:pt>
                <c:pt idx="13">
                  <c:v>121.25</c:v>
                </c:pt>
                <c:pt idx="14">
                  <c:v>9.6999999999999993</c:v>
                </c:pt>
                <c:pt idx="15">
                  <c:v>14.02</c:v>
                </c:pt>
                <c:pt idx="16">
                  <c:v>19.71</c:v>
                </c:pt>
                <c:pt idx="17">
                  <c:v>44.69</c:v>
                </c:pt>
                <c:pt idx="18">
                  <c:v>56.52</c:v>
                </c:pt>
                <c:pt idx="19">
                  <c:v>89.33</c:v>
                </c:pt>
                <c:pt idx="20">
                  <c:v>9.76</c:v>
                </c:pt>
                <c:pt idx="21">
                  <c:v>9.76</c:v>
                </c:pt>
                <c:pt idx="22">
                  <c:v>9.76</c:v>
                </c:pt>
                <c:pt idx="23">
                  <c:v>9.76</c:v>
                </c:pt>
                <c:pt idx="24">
                  <c:v>13.93</c:v>
                </c:pt>
                <c:pt idx="25">
                  <c:v>19.66</c:v>
                </c:pt>
                <c:pt idx="26">
                  <c:v>44.19</c:v>
                </c:pt>
                <c:pt idx="27">
                  <c:v>54.93</c:v>
                </c:pt>
                <c:pt idx="28">
                  <c:v>85.95</c:v>
                </c:pt>
                <c:pt idx="29">
                  <c:v>9.6999999999999993</c:v>
                </c:pt>
                <c:pt idx="30">
                  <c:v>18.7</c:v>
                </c:pt>
                <c:pt idx="31">
                  <c:v>18.3</c:v>
                </c:pt>
                <c:pt idx="32">
                  <c:v>18.3</c:v>
                </c:pt>
                <c:pt idx="33">
                  <c:v>18.5</c:v>
                </c:pt>
                <c:pt idx="34">
                  <c:v>400</c:v>
                </c:pt>
                <c:pt idx="35">
                  <c:v>400</c:v>
                </c:pt>
                <c:pt idx="36">
                  <c:v>150</c:v>
                </c:pt>
                <c:pt idx="37">
                  <c:v>150</c:v>
                </c:pt>
                <c:pt idx="38">
                  <c:v>50</c:v>
                </c:pt>
                <c:pt idx="39">
                  <c:v>50</c:v>
                </c:pt>
                <c:pt idx="40">
                  <c:v>333.33333333333337</c:v>
                </c:pt>
                <c:pt idx="41">
                  <c:v>333.33333333333337</c:v>
                </c:pt>
                <c:pt idx="42">
                  <c:v>150</c:v>
                </c:pt>
                <c:pt idx="43">
                  <c:v>150</c:v>
                </c:pt>
                <c:pt idx="44">
                  <c:v>50</c:v>
                </c:pt>
                <c:pt idx="45">
                  <c:v>50</c:v>
                </c:pt>
                <c:pt idx="46">
                  <c:v>500</c:v>
                </c:pt>
                <c:pt idx="47">
                  <c:v>437.5</c:v>
                </c:pt>
                <c:pt idx="48">
                  <c:v>437.5</c:v>
                </c:pt>
                <c:pt idx="49">
                  <c:v>437.5</c:v>
                </c:pt>
                <c:pt idx="50">
                  <c:v>437.5</c:v>
                </c:pt>
                <c:pt idx="51">
                  <c:v>350</c:v>
                </c:pt>
                <c:pt idx="52">
                  <c:v>350</c:v>
                </c:pt>
                <c:pt idx="53">
                  <c:v>350</c:v>
                </c:pt>
                <c:pt idx="54">
                  <c:v>350</c:v>
                </c:pt>
                <c:pt idx="55">
                  <c:v>280</c:v>
                </c:pt>
                <c:pt idx="56">
                  <c:v>280</c:v>
                </c:pt>
                <c:pt idx="57">
                  <c:v>280</c:v>
                </c:pt>
                <c:pt idx="58">
                  <c:v>280</c:v>
                </c:pt>
                <c:pt idx="59">
                  <c:v>865.80086580086572</c:v>
                </c:pt>
                <c:pt idx="60">
                  <c:v>898.87640449438209</c:v>
                </c:pt>
                <c:pt idx="61">
                  <c:v>888.88888888888869</c:v>
                </c:pt>
                <c:pt idx="62">
                  <c:v>800</c:v>
                </c:pt>
                <c:pt idx="63">
                  <c:v>800</c:v>
                </c:pt>
                <c:pt idx="64">
                  <c:v>800</c:v>
                </c:pt>
                <c:pt idx="65">
                  <c:v>800</c:v>
                </c:pt>
                <c:pt idx="66">
                  <c:v>400</c:v>
                </c:pt>
                <c:pt idx="67">
                  <c:v>400</c:v>
                </c:pt>
                <c:pt idx="68">
                  <c:v>400</c:v>
                </c:pt>
                <c:pt idx="69">
                  <c:v>400</c:v>
                </c:pt>
                <c:pt idx="70">
                  <c:v>375</c:v>
                </c:pt>
                <c:pt idx="71">
                  <c:v>300</c:v>
                </c:pt>
                <c:pt idx="72">
                  <c:v>300</c:v>
                </c:pt>
                <c:pt idx="73">
                  <c:v>300</c:v>
                </c:pt>
                <c:pt idx="74">
                  <c:v>249</c:v>
                </c:pt>
                <c:pt idx="75">
                  <c:v>249</c:v>
                </c:pt>
                <c:pt idx="76">
                  <c:v>984.37500000000011</c:v>
                </c:pt>
                <c:pt idx="77">
                  <c:v>1019.7841726618706</c:v>
                </c:pt>
                <c:pt idx="78">
                  <c:v>642.1232876712329</c:v>
                </c:pt>
                <c:pt idx="79">
                  <c:v>674.46043165467631</c:v>
                </c:pt>
                <c:pt idx="80">
                  <c:v>331.86619718309862</c:v>
                </c:pt>
                <c:pt idx="81">
                  <c:v>346.50735294117646</c:v>
                </c:pt>
                <c:pt idx="82">
                  <c:v>1306.4516129032259</c:v>
                </c:pt>
                <c:pt idx="83">
                  <c:v>1343.6018957345973</c:v>
                </c:pt>
                <c:pt idx="84">
                  <c:v>860.09174311926608</c:v>
                </c:pt>
                <c:pt idx="85">
                  <c:v>880.28169014084506</c:v>
                </c:pt>
                <c:pt idx="86">
                  <c:v>459.75609756097566</c:v>
                </c:pt>
                <c:pt idx="87">
                  <c:v>464.28571428571433</c:v>
                </c:pt>
                <c:pt idx="88">
                  <c:v>1073.8636363636365</c:v>
                </c:pt>
                <c:pt idx="89">
                  <c:v>684.30656934306569</c:v>
                </c:pt>
                <c:pt idx="90">
                  <c:v>343.978102189781</c:v>
                </c:pt>
                <c:pt idx="91">
                  <c:v>1424.6231155778894</c:v>
                </c:pt>
                <c:pt idx="92">
                  <c:v>932.8358208955226</c:v>
                </c:pt>
                <c:pt idx="93">
                  <c:v>336.60714285714289</c:v>
                </c:pt>
                <c:pt idx="94">
                  <c:v>473.6180904522613</c:v>
                </c:pt>
                <c:pt idx="95">
                  <c:v>486.27787307032594</c:v>
                </c:pt>
                <c:pt idx="96">
                  <c:v>314.59731543624162</c:v>
                </c:pt>
                <c:pt idx="97">
                  <c:v>317.79661016949149</c:v>
                </c:pt>
                <c:pt idx="98">
                  <c:v>161.66380789022298</c:v>
                </c:pt>
                <c:pt idx="99">
                  <c:v>951.34228187919473</c:v>
                </c:pt>
                <c:pt idx="100">
                  <c:v>319.49152542372877</c:v>
                </c:pt>
                <c:pt idx="101">
                  <c:v>318.41216216216213</c:v>
                </c:pt>
                <c:pt idx="102">
                  <c:v>1343.6018957345973</c:v>
                </c:pt>
                <c:pt idx="103">
                  <c:v>1410.4477611940301</c:v>
                </c:pt>
                <c:pt idx="104">
                  <c:v>880.28169014084506</c:v>
                </c:pt>
                <c:pt idx="105">
                  <c:v>905.79710144927549</c:v>
                </c:pt>
                <c:pt idx="106">
                  <c:v>478.95622895622904</c:v>
                </c:pt>
                <c:pt idx="107">
                  <c:v>486.32478632478643</c:v>
                </c:pt>
                <c:pt idx="108">
                  <c:v>486.32478632478643</c:v>
                </c:pt>
                <c:pt idx="109">
                  <c:v>313.54515050167225</c:v>
                </c:pt>
                <c:pt idx="110">
                  <c:v>160.56218057921635</c:v>
                </c:pt>
                <c:pt idx="111">
                  <c:v>1468.9119170984457</c:v>
                </c:pt>
                <c:pt idx="112">
                  <c:v>905.79710144927549</c:v>
                </c:pt>
                <c:pt idx="113">
                  <c:v>478.88513513513516</c:v>
                </c:pt>
                <c:pt idx="114">
                  <c:v>317.25888324873097</c:v>
                </c:pt>
                <c:pt idx="115">
                  <c:v>157.87269681742043</c:v>
                </c:pt>
                <c:pt idx="116">
                  <c:v>635.59322033898309</c:v>
                </c:pt>
                <c:pt idx="117">
                  <c:v>635.59322033898309</c:v>
                </c:pt>
                <c:pt idx="118">
                  <c:v>635.59322033898309</c:v>
                </c:pt>
                <c:pt idx="119">
                  <c:v>635.59322033898309</c:v>
                </c:pt>
                <c:pt idx="120">
                  <c:v>635.59322033898309</c:v>
                </c:pt>
                <c:pt idx="121">
                  <c:v>635.59322033898309</c:v>
                </c:pt>
                <c:pt idx="122">
                  <c:v>635.59322033898309</c:v>
                </c:pt>
                <c:pt idx="123">
                  <c:v>635.59322033898309</c:v>
                </c:pt>
                <c:pt idx="124">
                  <c:v>750.00000000000011</c:v>
                </c:pt>
                <c:pt idx="125">
                  <c:v>750.00000000000011</c:v>
                </c:pt>
                <c:pt idx="126">
                  <c:v>750.00000000000011</c:v>
                </c:pt>
                <c:pt idx="127">
                  <c:v>750.00000000000011</c:v>
                </c:pt>
                <c:pt idx="128">
                  <c:v>750.00000000000011</c:v>
                </c:pt>
                <c:pt idx="129">
                  <c:v>750.00000000000011</c:v>
                </c:pt>
                <c:pt idx="130">
                  <c:v>750.00000000000011</c:v>
                </c:pt>
                <c:pt idx="131">
                  <c:v>750.00000000000011</c:v>
                </c:pt>
                <c:pt idx="132">
                  <c:v>750.00000000000011</c:v>
                </c:pt>
                <c:pt idx="133">
                  <c:v>750.00000000000011</c:v>
                </c:pt>
                <c:pt idx="134">
                  <c:v>750.00000000000011</c:v>
                </c:pt>
                <c:pt idx="135">
                  <c:v>750.00000000000011</c:v>
                </c:pt>
                <c:pt idx="136">
                  <c:v>750.00000000000011</c:v>
                </c:pt>
                <c:pt idx="137">
                  <c:v>1062.5000000000002</c:v>
                </c:pt>
                <c:pt idx="138">
                  <c:v>1062.5000000000002</c:v>
                </c:pt>
                <c:pt idx="139">
                  <c:v>1062.5000000000002</c:v>
                </c:pt>
                <c:pt idx="140">
                  <c:v>1062.5000000000002</c:v>
                </c:pt>
                <c:pt idx="141">
                  <c:v>1062.5000000000002</c:v>
                </c:pt>
                <c:pt idx="142">
                  <c:v>1062.5000000000002</c:v>
                </c:pt>
                <c:pt idx="143">
                  <c:v>1062.5000000000002</c:v>
                </c:pt>
                <c:pt idx="144">
                  <c:v>1062.5000000000002</c:v>
                </c:pt>
                <c:pt idx="145">
                  <c:v>1062.5000000000002</c:v>
                </c:pt>
                <c:pt idx="146">
                  <c:v>1062.5000000000002</c:v>
                </c:pt>
                <c:pt idx="147">
                  <c:v>1275</c:v>
                </c:pt>
                <c:pt idx="148">
                  <c:v>1275</c:v>
                </c:pt>
                <c:pt idx="149">
                  <c:v>1275</c:v>
                </c:pt>
                <c:pt idx="150">
                  <c:v>1275</c:v>
                </c:pt>
                <c:pt idx="151">
                  <c:v>1275</c:v>
                </c:pt>
                <c:pt idx="152">
                  <c:v>1275</c:v>
                </c:pt>
                <c:pt idx="153">
                  <c:v>1275</c:v>
                </c:pt>
                <c:pt idx="154">
                  <c:v>1275</c:v>
                </c:pt>
                <c:pt idx="155">
                  <c:v>1275</c:v>
                </c:pt>
                <c:pt idx="156">
                  <c:v>1275</c:v>
                </c:pt>
                <c:pt idx="157">
                  <c:v>1275</c:v>
                </c:pt>
                <c:pt idx="158">
                  <c:v>1275</c:v>
                </c:pt>
                <c:pt idx="159">
                  <c:v>1275</c:v>
                </c:pt>
                <c:pt idx="160">
                  <c:v>1275</c:v>
                </c:pt>
                <c:pt idx="161">
                  <c:v>1275</c:v>
                </c:pt>
                <c:pt idx="162">
                  <c:v>1593.75</c:v>
                </c:pt>
                <c:pt idx="163">
                  <c:v>1593.75</c:v>
                </c:pt>
                <c:pt idx="164">
                  <c:v>1593.75</c:v>
                </c:pt>
                <c:pt idx="165">
                  <c:v>1593.75</c:v>
                </c:pt>
                <c:pt idx="166">
                  <c:v>1593.75</c:v>
                </c:pt>
                <c:pt idx="167">
                  <c:v>1593.75</c:v>
                </c:pt>
                <c:pt idx="168">
                  <c:v>1593.75</c:v>
                </c:pt>
                <c:pt idx="169">
                  <c:v>1593.75</c:v>
                </c:pt>
                <c:pt idx="170">
                  <c:v>1593.75</c:v>
                </c:pt>
                <c:pt idx="171">
                  <c:v>1593.75</c:v>
                </c:pt>
                <c:pt idx="172">
                  <c:v>1593.75</c:v>
                </c:pt>
                <c:pt idx="173">
                  <c:v>1593.75</c:v>
                </c:pt>
                <c:pt idx="174">
                  <c:v>2125.0000000000005</c:v>
                </c:pt>
                <c:pt idx="175">
                  <c:v>2125.0000000000005</c:v>
                </c:pt>
                <c:pt idx="176">
                  <c:v>2125.0000000000005</c:v>
                </c:pt>
                <c:pt idx="177">
                  <c:v>2125.0000000000005</c:v>
                </c:pt>
                <c:pt idx="178">
                  <c:v>2125.0000000000005</c:v>
                </c:pt>
                <c:pt idx="179">
                  <c:v>2125.0000000000005</c:v>
                </c:pt>
                <c:pt idx="180">
                  <c:v>2125.0000000000005</c:v>
                </c:pt>
                <c:pt idx="181">
                  <c:v>2125.0000000000005</c:v>
                </c:pt>
                <c:pt idx="182">
                  <c:v>2125.0000000000005</c:v>
                </c:pt>
                <c:pt idx="183">
                  <c:v>2125.0000000000005</c:v>
                </c:pt>
                <c:pt idx="184">
                  <c:v>2125.0000000000005</c:v>
                </c:pt>
                <c:pt idx="185">
                  <c:v>2125.0000000000005</c:v>
                </c:pt>
                <c:pt idx="186">
                  <c:v>2125.0000000000005</c:v>
                </c:pt>
                <c:pt idx="187">
                  <c:v>2125.0000000000005</c:v>
                </c:pt>
                <c:pt idx="188">
                  <c:v>2125.0000000000005</c:v>
                </c:pt>
                <c:pt idx="189">
                  <c:v>2125.0000000000005</c:v>
                </c:pt>
                <c:pt idx="190">
                  <c:v>2125.0000000000005</c:v>
                </c:pt>
                <c:pt idx="191">
                  <c:v>2125.0000000000005</c:v>
                </c:pt>
                <c:pt idx="192">
                  <c:v>3187.5</c:v>
                </c:pt>
                <c:pt idx="193">
                  <c:v>3187.5</c:v>
                </c:pt>
                <c:pt idx="194">
                  <c:v>3187.5</c:v>
                </c:pt>
                <c:pt idx="195">
                  <c:v>3187.5</c:v>
                </c:pt>
                <c:pt idx="196">
                  <c:v>3187.5</c:v>
                </c:pt>
                <c:pt idx="197">
                  <c:v>3187.5</c:v>
                </c:pt>
                <c:pt idx="198">
                  <c:v>3187.5</c:v>
                </c:pt>
                <c:pt idx="199">
                  <c:v>3187.5</c:v>
                </c:pt>
                <c:pt idx="200">
                  <c:v>3187.5</c:v>
                </c:pt>
                <c:pt idx="201">
                  <c:v>3187.5</c:v>
                </c:pt>
                <c:pt idx="202">
                  <c:v>3187.5</c:v>
                </c:pt>
                <c:pt idx="203">
                  <c:v>3187.5</c:v>
                </c:pt>
                <c:pt idx="204">
                  <c:v>3187.5</c:v>
                </c:pt>
                <c:pt idx="205">
                  <c:v>3187.5</c:v>
                </c:pt>
                <c:pt idx="206">
                  <c:v>3187.5</c:v>
                </c:pt>
                <c:pt idx="207">
                  <c:v>3187.5</c:v>
                </c:pt>
                <c:pt idx="208">
                  <c:v>81.967213114754088</c:v>
                </c:pt>
                <c:pt idx="209">
                  <c:v>49.019607843137251</c:v>
                </c:pt>
                <c:pt idx="210">
                  <c:v>28.653295128939828</c:v>
                </c:pt>
                <c:pt idx="211">
                  <c:v>77.519379844961236</c:v>
                </c:pt>
                <c:pt idx="212">
                  <c:v>42.553191489361701</c:v>
                </c:pt>
                <c:pt idx="213">
                  <c:v>28.328611898016998</c:v>
                </c:pt>
                <c:pt idx="214">
                  <c:v>76.92307692307692</c:v>
                </c:pt>
                <c:pt idx="215">
                  <c:v>79.365079365079367</c:v>
                </c:pt>
                <c:pt idx="216">
                  <c:v>98.231827111984288</c:v>
                </c:pt>
                <c:pt idx="217">
                  <c:v>97.847358121330728</c:v>
                </c:pt>
                <c:pt idx="218">
                  <c:v>98.231827111984288</c:v>
                </c:pt>
                <c:pt idx="219">
                  <c:v>90.579710144927546</c:v>
                </c:pt>
                <c:pt idx="220">
                  <c:v>100.30090270812438</c:v>
                </c:pt>
                <c:pt idx="221">
                  <c:v>66.533599467731207</c:v>
                </c:pt>
                <c:pt idx="222">
                  <c:v>132.97872340425533</c:v>
                </c:pt>
                <c:pt idx="223">
                  <c:v>67.476383265856953</c:v>
                </c:pt>
                <c:pt idx="224">
                  <c:v>135.86956521739131</c:v>
                </c:pt>
                <c:pt idx="225">
                  <c:v>146.19883040935673</c:v>
                </c:pt>
                <c:pt idx="226">
                  <c:v>135.13513513513513</c:v>
                </c:pt>
                <c:pt idx="227">
                  <c:v>136.79890560875515</c:v>
                </c:pt>
                <c:pt idx="228">
                  <c:v>141.84397163120568</c:v>
                </c:pt>
                <c:pt idx="229">
                  <c:v>144.09221902017291</c:v>
                </c:pt>
                <c:pt idx="230">
                  <c:v>140.8450704225352</c:v>
                </c:pt>
                <c:pt idx="231">
                  <c:v>138.88888888888889</c:v>
                </c:pt>
                <c:pt idx="232">
                  <c:v>138.88888888888889</c:v>
                </c:pt>
                <c:pt idx="233">
                  <c:v>478.46889952153111</c:v>
                </c:pt>
                <c:pt idx="234">
                  <c:v>206.18556701030928</c:v>
                </c:pt>
                <c:pt idx="235">
                  <c:v>330.03300330032999</c:v>
                </c:pt>
                <c:pt idx="236">
                  <c:v>434.78260869565219</c:v>
                </c:pt>
                <c:pt idx="237">
                  <c:v>763.35877862595419</c:v>
                </c:pt>
                <c:pt idx="238">
                  <c:v>510.20408163265307</c:v>
                </c:pt>
                <c:pt idx="239">
                  <c:v>340.13605442176873</c:v>
                </c:pt>
                <c:pt idx="240">
                  <c:v>235.29411764705881</c:v>
                </c:pt>
                <c:pt idx="241">
                  <c:v>167.22408026755852</c:v>
                </c:pt>
                <c:pt idx="242">
                  <c:v>172.11703958691911</c:v>
                </c:pt>
                <c:pt idx="243">
                  <c:v>165.28925619834712</c:v>
                </c:pt>
                <c:pt idx="244">
                  <c:v>167.22408026755852</c:v>
                </c:pt>
                <c:pt idx="245">
                  <c:v>138.88888888888889</c:v>
                </c:pt>
                <c:pt idx="246">
                  <c:v>151.05740181268882</c:v>
                </c:pt>
                <c:pt idx="247">
                  <c:v>141.84397163120568</c:v>
                </c:pt>
                <c:pt idx="248">
                  <c:v>142.24751066856331</c:v>
                </c:pt>
                <c:pt idx="249">
                  <c:v>166.11295681063123</c:v>
                </c:pt>
                <c:pt idx="250">
                  <c:v>168.0672268907563</c:v>
                </c:pt>
                <c:pt idx="251">
                  <c:v>328.9473684210526</c:v>
                </c:pt>
                <c:pt idx="252">
                  <c:v>518.13471502590676</c:v>
                </c:pt>
                <c:pt idx="253">
                  <c:v>450.45045045045043</c:v>
                </c:pt>
                <c:pt idx="254">
                  <c:v>150.15015015015015</c:v>
                </c:pt>
                <c:pt idx="255">
                  <c:v>145.34883720930233</c:v>
                </c:pt>
                <c:pt idx="256">
                  <c:v>666.66666666666663</c:v>
                </c:pt>
                <c:pt idx="257">
                  <c:v>653.59477124183013</c:v>
                </c:pt>
                <c:pt idx="258">
                  <c:v>826.44628099173553</c:v>
                </c:pt>
                <c:pt idx="259">
                  <c:v>847.45762711864404</c:v>
                </c:pt>
                <c:pt idx="260">
                  <c:v>970.87378640776694</c:v>
                </c:pt>
                <c:pt idx="261">
                  <c:v>990.09900990099004</c:v>
                </c:pt>
                <c:pt idx="262">
                  <c:v>303</c:v>
                </c:pt>
                <c:pt idx="263">
                  <c:v>313</c:v>
                </c:pt>
                <c:pt idx="264">
                  <c:v>313</c:v>
                </c:pt>
                <c:pt idx="265">
                  <c:v>313</c:v>
                </c:pt>
                <c:pt idx="266">
                  <c:v>107.52688172043011</c:v>
                </c:pt>
                <c:pt idx="267">
                  <c:v>109.89010989010988</c:v>
                </c:pt>
                <c:pt idx="268">
                  <c:v>108.69565217391305</c:v>
                </c:pt>
                <c:pt idx="269">
                  <c:v>160.77170418006432</c:v>
                </c:pt>
                <c:pt idx="270">
                  <c:v>165.016501650165</c:v>
                </c:pt>
                <c:pt idx="271">
                  <c:v>260.41666666666669</c:v>
                </c:pt>
                <c:pt idx="272">
                  <c:v>270.27027027027026</c:v>
                </c:pt>
                <c:pt idx="273">
                  <c:v>480.76923076923083</c:v>
                </c:pt>
                <c:pt idx="274">
                  <c:v>510.20408163265307</c:v>
                </c:pt>
                <c:pt idx="275">
                  <c:v>26.776315789473685</c:v>
                </c:pt>
                <c:pt idx="276">
                  <c:v>39.868421052631582</c:v>
                </c:pt>
                <c:pt idx="277">
                  <c:v>53.684210526315795</c:v>
                </c:pt>
                <c:pt idx="278">
                  <c:v>67.5</c:v>
                </c:pt>
                <c:pt idx="279">
                  <c:v>53.684210526315795</c:v>
                </c:pt>
                <c:pt idx="280">
                  <c:v>20.818989999999999</c:v>
                </c:pt>
                <c:pt idx="281">
                  <c:v>17.1005</c:v>
                </c:pt>
                <c:pt idx="282">
                  <c:v>13.799390000000001</c:v>
                </c:pt>
                <c:pt idx="283">
                  <c:v>11.0745</c:v>
                </c:pt>
                <c:pt idx="284">
                  <c:v>8.4210189999999994</c:v>
                </c:pt>
                <c:pt idx="285">
                  <c:v>6.5639479999999999</c:v>
                </c:pt>
                <c:pt idx="286">
                  <c:v>37.5</c:v>
                </c:pt>
                <c:pt idx="287">
                  <c:v>37.5</c:v>
                </c:pt>
                <c:pt idx="288">
                  <c:v>37.5</c:v>
                </c:pt>
                <c:pt idx="289">
                  <c:v>50</c:v>
                </c:pt>
                <c:pt idx="290">
                  <c:v>50</c:v>
                </c:pt>
                <c:pt idx="291">
                  <c:v>50</c:v>
                </c:pt>
                <c:pt idx="292">
                  <c:v>62.5</c:v>
                </c:pt>
                <c:pt idx="293">
                  <c:v>62.5</c:v>
                </c:pt>
                <c:pt idx="294">
                  <c:v>62.5</c:v>
                </c:pt>
                <c:pt idx="295">
                  <c:v>75</c:v>
                </c:pt>
                <c:pt idx="296">
                  <c:v>75</c:v>
                </c:pt>
                <c:pt idx="297">
                  <c:v>75</c:v>
                </c:pt>
                <c:pt idx="298">
                  <c:v>100</c:v>
                </c:pt>
                <c:pt idx="299">
                  <c:v>100</c:v>
                </c:pt>
                <c:pt idx="300">
                  <c:v>150</c:v>
                </c:pt>
                <c:pt idx="301">
                  <c:v>150</c:v>
                </c:pt>
                <c:pt idx="302">
                  <c:v>10.36331</c:v>
                </c:pt>
                <c:pt idx="303">
                  <c:v>12.322150000000001</c:v>
                </c:pt>
                <c:pt idx="304">
                  <c:v>19.31315</c:v>
                </c:pt>
                <c:pt idx="305">
                  <c:v>23.438359999999999</c:v>
                </c:pt>
                <c:pt idx="306">
                  <c:v>30.294117647058826</c:v>
                </c:pt>
                <c:pt idx="307">
                  <c:v>34.333333333333336</c:v>
                </c:pt>
                <c:pt idx="308">
                  <c:v>36.428571428571423</c:v>
                </c:pt>
                <c:pt idx="309">
                  <c:v>36.666666666666664</c:v>
                </c:pt>
                <c:pt idx="310">
                  <c:v>48.333333333333329</c:v>
                </c:pt>
                <c:pt idx="311">
                  <c:v>48.333333333333329</c:v>
                </c:pt>
                <c:pt idx="312">
                  <c:v>60.476190476190474</c:v>
                </c:pt>
                <c:pt idx="313">
                  <c:v>60.476190476190474</c:v>
                </c:pt>
                <c:pt idx="314">
                  <c:v>51.050420000000003</c:v>
                </c:pt>
                <c:pt idx="315">
                  <c:v>51.355930000000001</c:v>
                </c:pt>
                <c:pt idx="316">
                  <c:v>55.090910000000001</c:v>
                </c:pt>
                <c:pt idx="317">
                  <c:v>57.5</c:v>
                </c:pt>
                <c:pt idx="318">
                  <c:v>97.25806</c:v>
                </c:pt>
                <c:pt idx="319">
                  <c:v>96.190479999999994</c:v>
                </c:pt>
                <c:pt idx="320">
                  <c:v>48.582999999999998</c:v>
                </c:pt>
                <c:pt idx="321">
                  <c:v>48.681539999999998</c:v>
                </c:pt>
                <c:pt idx="322">
                  <c:v>52.543100000000003</c:v>
                </c:pt>
                <c:pt idx="323">
                  <c:v>52.543100000000003</c:v>
                </c:pt>
                <c:pt idx="324">
                  <c:v>35.12397</c:v>
                </c:pt>
                <c:pt idx="325">
                  <c:v>34.623220000000003</c:v>
                </c:pt>
                <c:pt idx="326">
                  <c:v>65.040649999999999</c:v>
                </c:pt>
                <c:pt idx="327">
                  <c:v>65.395099999999999</c:v>
                </c:pt>
                <c:pt idx="328">
                  <c:v>97.560980000000001</c:v>
                </c:pt>
                <c:pt idx="329">
                  <c:v>96</c:v>
                </c:pt>
                <c:pt idx="330">
                  <c:v>1294.3274968148473</c:v>
                </c:pt>
                <c:pt idx="331">
                  <c:v>1294.3274968148473</c:v>
                </c:pt>
                <c:pt idx="332">
                  <c:v>1440.7441415180838</c:v>
                </c:pt>
                <c:pt idx="333">
                  <c:v>1440.7441415180838</c:v>
                </c:pt>
                <c:pt idx="334">
                  <c:v>1415.7966626214763</c:v>
                </c:pt>
                <c:pt idx="335">
                  <c:v>1432.4041061179078</c:v>
                </c:pt>
                <c:pt idx="336">
                  <c:v>915.40664316156347</c:v>
                </c:pt>
                <c:pt idx="337">
                  <c:v>928.77006708289071</c:v>
                </c:pt>
                <c:pt idx="338">
                  <c:v>720.65652769939629</c:v>
                </c:pt>
                <c:pt idx="339">
                  <c:v>768.68738469199252</c:v>
                </c:pt>
                <c:pt idx="340">
                  <c:v>756.53441583600295</c:v>
                </c:pt>
                <c:pt idx="341">
                  <c:v>674.17505319043255</c:v>
                </c:pt>
                <c:pt idx="342">
                  <c:v>691.42403787149306</c:v>
                </c:pt>
                <c:pt idx="343">
                  <c:v>685.65016720983283</c:v>
                </c:pt>
                <c:pt idx="344">
                  <c:v>685.65016720983283</c:v>
                </c:pt>
                <c:pt idx="345">
                  <c:v>651.51533436731233</c:v>
                </c:pt>
                <c:pt idx="346">
                  <c:v>657.14395042113222</c:v>
                </c:pt>
                <c:pt idx="347">
                  <c:v>691.42403787149306</c:v>
                </c:pt>
                <c:pt idx="348">
                  <c:v>629.2429611651005</c:v>
                </c:pt>
                <c:pt idx="349">
                  <c:v>662.79677557625882</c:v>
                </c:pt>
                <c:pt idx="350">
                  <c:v>662.79677557625882</c:v>
                </c:pt>
                <c:pt idx="351">
                  <c:v>668.47380983269215</c:v>
                </c:pt>
                <c:pt idx="352">
                  <c:v>720.65652769939629</c:v>
                </c:pt>
                <c:pt idx="353">
                  <c:v>668.47380983269215</c:v>
                </c:pt>
                <c:pt idx="354">
                  <c:v>651.51533436731233</c:v>
                </c:pt>
                <c:pt idx="355">
                  <c:v>651.51533436731233</c:v>
                </c:pt>
                <c:pt idx="356">
                  <c:v>685.65016720983283</c:v>
                </c:pt>
                <c:pt idx="357">
                  <c:v>645.9109274147994</c:v>
                </c:pt>
                <c:pt idx="358">
                  <c:v>640.33072956359285</c:v>
                </c:pt>
                <c:pt idx="359">
                  <c:v>640.33072956359285</c:v>
                </c:pt>
                <c:pt idx="360">
                  <c:v>662.79677557625882</c:v>
                </c:pt>
                <c:pt idx="361">
                  <c:v>674.17505319043255</c:v>
                </c:pt>
                <c:pt idx="362">
                  <c:v>629.2429611651005</c:v>
                </c:pt>
                <c:pt idx="363">
                  <c:v>634.77474081369314</c:v>
                </c:pt>
                <c:pt idx="364">
                  <c:v>651.51533436731233</c:v>
                </c:pt>
                <c:pt idx="365">
                  <c:v>640.33072956359285</c:v>
                </c:pt>
                <c:pt idx="366">
                  <c:v>460.27553859462421</c:v>
                </c:pt>
                <c:pt idx="367">
                  <c:v>460.27553859462421</c:v>
                </c:pt>
                <c:pt idx="368">
                  <c:v>460.27553859462421</c:v>
                </c:pt>
                <c:pt idx="369">
                  <c:v>455.5668683904608</c:v>
                </c:pt>
                <c:pt idx="370">
                  <c:v>358.10102652947694</c:v>
                </c:pt>
                <c:pt idx="371">
                  <c:v>345.71807121107321</c:v>
                </c:pt>
                <c:pt idx="372">
                  <c:v>358.10102652947694</c:v>
                </c:pt>
                <c:pt idx="373">
                  <c:v>362.2770965048918</c:v>
                </c:pt>
                <c:pt idx="374">
                  <c:v>362.2770965048918</c:v>
                </c:pt>
                <c:pt idx="375">
                  <c:v>24</c:v>
                </c:pt>
                <c:pt idx="376">
                  <c:v>24</c:v>
                </c:pt>
                <c:pt idx="377">
                  <c:v>24</c:v>
                </c:pt>
                <c:pt idx="378">
                  <c:v>24</c:v>
                </c:pt>
                <c:pt idx="379">
                  <c:v>35</c:v>
                </c:pt>
                <c:pt idx="380">
                  <c:v>35</c:v>
                </c:pt>
                <c:pt idx="381">
                  <c:v>24</c:v>
                </c:pt>
                <c:pt idx="382">
                  <c:v>24</c:v>
                </c:pt>
                <c:pt idx="383">
                  <c:v>35</c:v>
                </c:pt>
                <c:pt idx="384">
                  <c:v>35</c:v>
                </c:pt>
                <c:pt idx="385">
                  <c:v>500</c:v>
                </c:pt>
                <c:pt idx="386">
                  <c:v>500</c:v>
                </c:pt>
                <c:pt idx="387">
                  <c:v>494</c:v>
                </c:pt>
                <c:pt idx="388">
                  <c:v>257</c:v>
                </c:pt>
                <c:pt idx="389">
                  <c:v>256</c:v>
                </c:pt>
                <c:pt idx="390">
                  <c:v>243</c:v>
                </c:pt>
                <c:pt idx="391">
                  <c:v>372</c:v>
                </c:pt>
                <c:pt idx="392">
                  <c:v>372</c:v>
                </c:pt>
                <c:pt idx="393">
                  <c:v>38.732394366197184</c:v>
                </c:pt>
                <c:pt idx="394">
                  <c:v>57.949479940564629</c:v>
                </c:pt>
                <c:pt idx="395">
                  <c:v>75.780089153046063</c:v>
                </c:pt>
                <c:pt idx="396">
                  <c:v>113.67013372956909</c:v>
                </c:pt>
                <c:pt idx="397">
                  <c:v>29.804727646454264</c:v>
                </c:pt>
                <c:pt idx="398">
                  <c:v>116.79389312977099</c:v>
                </c:pt>
                <c:pt idx="399">
                  <c:v>124.68982630272953</c:v>
                </c:pt>
                <c:pt idx="400">
                  <c:v>105.52640783490732</c:v>
                </c:pt>
                <c:pt idx="401">
                  <c:v>82.808674361664913</c:v>
                </c:pt>
                <c:pt idx="402">
                  <c:v>42.939274164570605</c:v>
                </c:pt>
                <c:pt idx="403">
                  <c:v>46.099290780141843</c:v>
                </c:pt>
                <c:pt idx="404">
                  <c:v>71.266019882620668</c:v>
                </c:pt>
                <c:pt idx="405">
                  <c:v>71.266019882620668</c:v>
                </c:pt>
                <c:pt idx="406">
                  <c:v>75.71233047156899</c:v>
                </c:pt>
                <c:pt idx="407">
                  <c:v>105.54943541724043</c:v>
                </c:pt>
                <c:pt idx="408">
                  <c:v>116.89302609491835</c:v>
                </c:pt>
                <c:pt idx="409">
                  <c:v>501</c:v>
                </c:pt>
                <c:pt idx="410">
                  <c:v>496</c:v>
                </c:pt>
                <c:pt idx="411">
                  <c:v>501</c:v>
                </c:pt>
                <c:pt idx="412">
                  <c:v>511</c:v>
                </c:pt>
                <c:pt idx="413">
                  <c:v>496</c:v>
                </c:pt>
                <c:pt idx="414">
                  <c:v>496</c:v>
                </c:pt>
                <c:pt idx="415">
                  <c:v>24.5</c:v>
                </c:pt>
                <c:pt idx="416">
                  <c:v>42.7</c:v>
                </c:pt>
                <c:pt idx="417">
                  <c:v>97.3</c:v>
                </c:pt>
                <c:pt idx="418">
                  <c:v>91.5</c:v>
                </c:pt>
                <c:pt idx="419">
                  <c:v>99</c:v>
                </c:pt>
                <c:pt idx="420">
                  <c:v>162</c:v>
                </c:pt>
                <c:pt idx="421">
                  <c:v>117</c:v>
                </c:pt>
                <c:pt idx="422">
                  <c:v>150</c:v>
                </c:pt>
                <c:pt idx="423">
                  <c:v>140</c:v>
                </c:pt>
                <c:pt idx="424">
                  <c:v>460.78431372549016</c:v>
                </c:pt>
                <c:pt idx="425">
                  <c:v>460.78431372549016</c:v>
                </c:pt>
                <c:pt idx="426">
                  <c:v>460.78431372549016</c:v>
                </c:pt>
                <c:pt idx="427">
                  <c:v>293.75000000000006</c:v>
                </c:pt>
                <c:pt idx="428">
                  <c:v>635.59322033898309</c:v>
                </c:pt>
                <c:pt idx="429">
                  <c:v>635.59322033898309</c:v>
                </c:pt>
                <c:pt idx="430">
                  <c:v>460.78431372549016</c:v>
                </c:pt>
                <c:pt idx="431">
                  <c:v>460.78431372549016</c:v>
                </c:pt>
                <c:pt idx="432">
                  <c:v>460.78431372549016</c:v>
                </c:pt>
                <c:pt idx="433">
                  <c:v>318.64406779661022</c:v>
                </c:pt>
                <c:pt idx="434">
                  <c:v>318.64406779661022</c:v>
                </c:pt>
                <c:pt idx="435">
                  <c:v>919.11764705882342</c:v>
                </c:pt>
                <c:pt idx="436">
                  <c:v>237.97468354430376</c:v>
                </c:pt>
                <c:pt idx="437">
                  <c:v>237.97468354430376</c:v>
                </c:pt>
                <c:pt idx="438">
                  <c:v>237.97468354430376</c:v>
                </c:pt>
                <c:pt idx="439">
                  <c:v>237.97468354430376</c:v>
                </c:pt>
                <c:pt idx="440">
                  <c:v>119</c:v>
                </c:pt>
                <c:pt idx="441">
                  <c:v>119</c:v>
                </c:pt>
                <c:pt idx="442">
                  <c:v>263</c:v>
                </c:pt>
                <c:pt idx="443">
                  <c:v>263</c:v>
                </c:pt>
                <c:pt idx="444">
                  <c:v>475</c:v>
                </c:pt>
                <c:pt idx="445">
                  <c:v>475</c:v>
                </c:pt>
                <c:pt idx="446">
                  <c:v>594</c:v>
                </c:pt>
                <c:pt idx="447">
                  <c:v>594</c:v>
                </c:pt>
                <c:pt idx="448">
                  <c:v>135</c:v>
                </c:pt>
                <c:pt idx="449">
                  <c:v>135</c:v>
                </c:pt>
                <c:pt idx="450">
                  <c:v>169</c:v>
                </c:pt>
                <c:pt idx="451">
                  <c:v>169</c:v>
                </c:pt>
                <c:pt idx="452">
                  <c:v>270</c:v>
                </c:pt>
                <c:pt idx="453">
                  <c:v>270</c:v>
                </c:pt>
                <c:pt idx="454">
                  <c:v>1185</c:v>
                </c:pt>
                <c:pt idx="455">
                  <c:v>1185</c:v>
                </c:pt>
                <c:pt idx="456">
                  <c:v>135</c:v>
                </c:pt>
                <c:pt idx="457">
                  <c:v>270</c:v>
                </c:pt>
                <c:pt idx="458">
                  <c:v>192</c:v>
                </c:pt>
                <c:pt idx="459">
                  <c:v>192</c:v>
                </c:pt>
                <c:pt idx="460">
                  <c:v>179</c:v>
                </c:pt>
                <c:pt idx="461">
                  <c:v>192</c:v>
                </c:pt>
                <c:pt idx="462">
                  <c:v>209</c:v>
                </c:pt>
                <c:pt idx="463">
                  <c:v>826.38888888888891</c:v>
                </c:pt>
                <c:pt idx="464">
                  <c:v>804.05405405405406</c:v>
                </c:pt>
                <c:pt idx="465">
                  <c:v>862.31884057971013</c:v>
                </c:pt>
                <c:pt idx="466">
                  <c:v>850</c:v>
                </c:pt>
                <c:pt idx="467">
                  <c:v>915.38461538461536</c:v>
                </c:pt>
                <c:pt idx="468">
                  <c:v>782.89473684210532</c:v>
                </c:pt>
                <c:pt idx="469">
                  <c:v>826.38888888888891</c:v>
                </c:pt>
                <c:pt idx="470">
                  <c:v>804.05405405405406</c:v>
                </c:pt>
                <c:pt idx="471">
                  <c:v>915.38461538461536</c:v>
                </c:pt>
                <c:pt idx="472">
                  <c:v>890.74321317311978</c:v>
                </c:pt>
                <c:pt idx="473">
                  <c:v>862.71551724137942</c:v>
                </c:pt>
                <c:pt idx="474">
                  <c:v>881.71806167400882</c:v>
                </c:pt>
                <c:pt idx="475">
                  <c:v>844.51476793248935</c:v>
                </c:pt>
                <c:pt idx="476">
                  <c:v>844.51476793248935</c:v>
                </c:pt>
                <c:pt idx="477">
                  <c:v>960</c:v>
                </c:pt>
                <c:pt idx="478">
                  <c:v>950</c:v>
                </c:pt>
                <c:pt idx="479">
                  <c:v>550</c:v>
                </c:pt>
                <c:pt idx="480">
                  <c:v>760</c:v>
                </c:pt>
                <c:pt idx="481">
                  <c:v>470</c:v>
                </c:pt>
                <c:pt idx="482">
                  <c:v>627</c:v>
                </c:pt>
                <c:pt idx="483">
                  <c:v>700</c:v>
                </c:pt>
                <c:pt idx="484">
                  <c:v>930</c:v>
                </c:pt>
                <c:pt idx="485">
                  <c:v>740</c:v>
                </c:pt>
                <c:pt idx="486">
                  <c:v>606</c:v>
                </c:pt>
                <c:pt idx="487">
                  <c:v>478</c:v>
                </c:pt>
                <c:pt idx="488">
                  <c:v>923</c:v>
                </c:pt>
                <c:pt idx="489">
                  <c:v>527</c:v>
                </c:pt>
                <c:pt idx="490">
                  <c:v>850</c:v>
                </c:pt>
                <c:pt idx="491">
                  <c:v>564</c:v>
                </c:pt>
                <c:pt idx="492">
                  <c:v>100</c:v>
                </c:pt>
                <c:pt idx="493">
                  <c:v>95</c:v>
                </c:pt>
                <c:pt idx="494">
                  <c:v>100</c:v>
                </c:pt>
                <c:pt idx="495">
                  <c:v>95</c:v>
                </c:pt>
                <c:pt idx="496">
                  <c:v>100</c:v>
                </c:pt>
                <c:pt idx="497">
                  <c:v>94</c:v>
                </c:pt>
                <c:pt idx="498">
                  <c:v>100</c:v>
                </c:pt>
                <c:pt idx="499">
                  <c:v>118</c:v>
                </c:pt>
                <c:pt idx="500">
                  <c:v>100</c:v>
                </c:pt>
                <c:pt idx="501">
                  <c:v>95</c:v>
                </c:pt>
                <c:pt idx="502">
                  <c:v>100</c:v>
                </c:pt>
                <c:pt idx="503">
                  <c:v>37.5</c:v>
                </c:pt>
                <c:pt idx="504">
                  <c:v>37.5</c:v>
                </c:pt>
                <c:pt idx="505">
                  <c:v>37.5</c:v>
                </c:pt>
                <c:pt idx="506">
                  <c:v>37.5</c:v>
                </c:pt>
                <c:pt idx="507">
                  <c:v>37.5</c:v>
                </c:pt>
                <c:pt idx="508">
                  <c:v>37.5</c:v>
                </c:pt>
                <c:pt idx="509">
                  <c:v>37.5</c:v>
                </c:pt>
                <c:pt idx="510">
                  <c:v>21.653543307086611</c:v>
                </c:pt>
                <c:pt idx="511">
                  <c:v>37.5</c:v>
                </c:pt>
                <c:pt idx="512">
                  <c:v>37.5</c:v>
                </c:pt>
                <c:pt idx="513">
                  <c:v>37.5</c:v>
                </c:pt>
                <c:pt idx="514">
                  <c:v>37.5</c:v>
                </c:pt>
                <c:pt idx="515">
                  <c:v>37.5</c:v>
                </c:pt>
                <c:pt idx="516">
                  <c:v>37.5</c:v>
                </c:pt>
                <c:pt idx="517">
                  <c:v>7.75</c:v>
                </c:pt>
                <c:pt idx="518">
                  <c:v>7.8</c:v>
                </c:pt>
                <c:pt idx="519">
                  <c:v>12</c:v>
                </c:pt>
                <c:pt idx="520">
                  <c:v>12</c:v>
                </c:pt>
                <c:pt idx="521">
                  <c:v>12.3</c:v>
                </c:pt>
                <c:pt idx="522">
                  <c:v>17</c:v>
                </c:pt>
                <c:pt idx="523">
                  <c:v>17</c:v>
                </c:pt>
                <c:pt idx="524">
                  <c:v>21.35</c:v>
                </c:pt>
                <c:pt idx="525">
                  <c:v>22.6</c:v>
                </c:pt>
                <c:pt idx="526">
                  <c:v>22.6</c:v>
                </c:pt>
                <c:pt idx="527">
                  <c:v>26.35</c:v>
                </c:pt>
                <c:pt idx="528">
                  <c:v>27.05</c:v>
                </c:pt>
                <c:pt idx="529">
                  <c:v>28.35</c:v>
                </c:pt>
                <c:pt idx="530">
                  <c:v>28.45</c:v>
                </c:pt>
                <c:pt idx="531">
                  <c:v>30.9</c:v>
                </c:pt>
                <c:pt idx="532">
                  <c:v>30.9</c:v>
                </c:pt>
                <c:pt idx="533">
                  <c:v>39.200000000000003</c:v>
                </c:pt>
                <c:pt idx="534">
                  <c:v>39.549999999999997</c:v>
                </c:pt>
                <c:pt idx="535">
                  <c:v>44.9</c:v>
                </c:pt>
                <c:pt idx="536">
                  <c:v>44.9</c:v>
                </c:pt>
                <c:pt idx="537">
                  <c:v>49.65</c:v>
                </c:pt>
                <c:pt idx="538">
                  <c:v>49.7</c:v>
                </c:pt>
                <c:pt idx="539">
                  <c:v>6.75</c:v>
                </c:pt>
                <c:pt idx="540">
                  <c:v>6.75</c:v>
                </c:pt>
                <c:pt idx="541">
                  <c:v>7.85</c:v>
                </c:pt>
                <c:pt idx="542">
                  <c:v>10.050000000000001</c:v>
                </c:pt>
                <c:pt idx="543">
                  <c:v>10.1</c:v>
                </c:pt>
                <c:pt idx="544">
                  <c:v>12.8</c:v>
                </c:pt>
                <c:pt idx="545">
                  <c:v>12.9</c:v>
                </c:pt>
                <c:pt idx="546">
                  <c:v>12.95</c:v>
                </c:pt>
                <c:pt idx="547">
                  <c:v>12.95</c:v>
                </c:pt>
                <c:pt idx="548">
                  <c:v>17.649999999999999</c:v>
                </c:pt>
                <c:pt idx="549">
                  <c:v>17.649999999999999</c:v>
                </c:pt>
                <c:pt idx="550">
                  <c:v>22.95</c:v>
                </c:pt>
                <c:pt idx="551">
                  <c:v>22.95</c:v>
                </c:pt>
                <c:pt idx="552">
                  <c:v>23.65</c:v>
                </c:pt>
                <c:pt idx="553">
                  <c:v>23.7</c:v>
                </c:pt>
                <c:pt idx="554">
                  <c:v>27.9</c:v>
                </c:pt>
                <c:pt idx="555">
                  <c:v>27.95</c:v>
                </c:pt>
                <c:pt idx="556">
                  <c:v>30.7</c:v>
                </c:pt>
                <c:pt idx="557">
                  <c:v>30.75</c:v>
                </c:pt>
                <c:pt idx="558">
                  <c:v>30.75</c:v>
                </c:pt>
                <c:pt idx="559">
                  <c:v>31.1</c:v>
                </c:pt>
                <c:pt idx="560">
                  <c:v>31.85</c:v>
                </c:pt>
                <c:pt idx="561">
                  <c:v>31.85</c:v>
                </c:pt>
                <c:pt idx="562">
                  <c:v>39.049999999999997</c:v>
                </c:pt>
                <c:pt idx="563">
                  <c:v>39.200000000000003</c:v>
                </c:pt>
                <c:pt idx="564">
                  <c:v>39.6</c:v>
                </c:pt>
                <c:pt idx="565">
                  <c:v>48.95</c:v>
                </c:pt>
                <c:pt idx="566">
                  <c:v>49.2</c:v>
                </c:pt>
                <c:pt idx="567">
                  <c:v>214.3</c:v>
                </c:pt>
                <c:pt idx="568">
                  <c:v>214.3</c:v>
                </c:pt>
                <c:pt idx="569">
                  <c:v>214.3</c:v>
                </c:pt>
                <c:pt idx="570">
                  <c:v>215.6</c:v>
                </c:pt>
                <c:pt idx="571">
                  <c:v>215.6</c:v>
                </c:pt>
                <c:pt idx="572">
                  <c:v>149</c:v>
                </c:pt>
                <c:pt idx="573">
                  <c:v>222.2</c:v>
                </c:pt>
                <c:pt idx="574">
                  <c:v>363.24999999999994</c:v>
                </c:pt>
                <c:pt idx="575">
                  <c:v>363.24999999999994</c:v>
                </c:pt>
                <c:pt idx="576">
                  <c:v>363.24999999999994</c:v>
                </c:pt>
                <c:pt idx="577">
                  <c:v>760</c:v>
                </c:pt>
                <c:pt idx="578">
                  <c:v>910</c:v>
                </c:pt>
                <c:pt idx="579">
                  <c:v>850</c:v>
                </c:pt>
                <c:pt idx="580">
                  <c:v>790</c:v>
                </c:pt>
                <c:pt idx="581">
                  <c:v>1020</c:v>
                </c:pt>
                <c:pt idx="582">
                  <c:v>1160</c:v>
                </c:pt>
                <c:pt idx="583">
                  <c:v>960</c:v>
                </c:pt>
                <c:pt idx="584">
                  <c:v>960</c:v>
                </c:pt>
                <c:pt idx="585">
                  <c:v>1071.4285714285716</c:v>
                </c:pt>
                <c:pt idx="586">
                  <c:v>1071.4285714285716</c:v>
                </c:pt>
                <c:pt idx="587">
                  <c:v>1071.4285714285716</c:v>
                </c:pt>
                <c:pt idx="588">
                  <c:v>562.5</c:v>
                </c:pt>
                <c:pt idx="589">
                  <c:v>562.5</c:v>
                </c:pt>
                <c:pt idx="590">
                  <c:v>562.5</c:v>
                </c:pt>
                <c:pt idx="591">
                  <c:v>562.5</c:v>
                </c:pt>
                <c:pt idx="592">
                  <c:v>562.5</c:v>
                </c:pt>
                <c:pt idx="593">
                  <c:v>300.00000000000006</c:v>
                </c:pt>
                <c:pt idx="594">
                  <c:v>300.00000000000006</c:v>
                </c:pt>
                <c:pt idx="595">
                  <c:v>300</c:v>
                </c:pt>
                <c:pt idx="596">
                  <c:v>300</c:v>
                </c:pt>
                <c:pt idx="597">
                  <c:v>300</c:v>
                </c:pt>
                <c:pt idx="598">
                  <c:v>300</c:v>
                </c:pt>
                <c:pt idx="599">
                  <c:v>300</c:v>
                </c:pt>
                <c:pt idx="600">
                  <c:v>300</c:v>
                </c:pt>
                <c:pt idx="601">
                  <c:v>183.95303326810173</c:v>
                </c:pt>
                <c:pt idx="602">
                  <c:v>182.87937743190659</c:v>
                </c:pt>
                <c:pt idx="603">
                  <c:v>178.36812144212522</c:v>
                </c:pt>
                <c:pt idx="604">
                  <c:v>540</c:v>
                </c:pt>
                <c:pt idx="605">
                  <c:v>645</c:v>
                </c:pt>
                <c:pt idx="606">
                  <c:v>760</c:v>
                </c:pt>
                <c:pt idx="607">
                  <c:v>645</c:v>
                </c:pt>
                <c:pt idx="608">
                  <c:v>700</c:v>
                </c:pt>
                <c:pt idx="609">
                  <c:v>525</c:v>
                </c:pt>
                <c:pt idx="610">
                  <c:v>840</c:v>
                </c:pt>
                <c:pt idx="611">
                  <c:v>985</c:v>
                </c:pt>
                <c:pt idx="612">
                  <c:v>670</c:v>
                </c:pt>
                <c:pt idx="613">
                  <c:v>602.90963855421683</c:v>
                </c:pt>
                <c:pt idx="614">
                  <c:v>1750</c:v>
                </c:pt>
                <c:pt idx="615">
                  <c:v>1750</c:v>
                </c:pt>
                <c:pt idx="616">
                  <c:v>1005.7471264367817</c:v>
                </c:pt>
                <c:pt idx="617">
                  <c:v>1005.7471264367817</c:v>
                </c:pt>
                <c:pt idx="618">
                  <c:v>1005.7471264367817</c:v>
                </c:pt>
                <c:pt idx="619">
                  <c:v>1005.7471264367817</c:v>
                </c:pt>
                <c:pt idx="620">
                  <c:v>2734.3750000000005</c:v>
                </c:pt>
                <c:pt idx="621">
                  <c:v>2734.3750000000005</c:v>
                </c:pt>
                <c:pt idx="622">
                  <c:v>2734.3750000000005</c:v>
                </c:pt>
                <c:pt idx="623">
                  <c:v>2734.3750000000005</c:v>
                </c:pt>
                <c:pt idx="624">
                  <c:v>2734.3750000000005</c:v>
                </c:pt>
                <c:pt idx="625">
                  <c:v>2734.3750000000005</c:v>
                </c:pt>
                <c:pt idx="626">
                  <c:v>2734.3750000000005</c:v>
                </c:pt>
                <c:pt idx="627">
                  <c:v>2734.3750000000005</c:v>
                </c:pt>
                <c:pt idx="628">
                  <c:v>100.62820512820515</c:v>
                </c:pt>
                <c:pt idx="629">
                  <c:v>100.65384615384616</c:v>
                </c:pt>
                <c:pt idx="630">
                  <c:v>101.70207253886012</c:v>
                </c:pt>
                <c:pt idx="631">
                  <c:v>155.45238095238093</c:v>
                </c:pt>
                <c:pt idx="632">
                  <c:v>199.40816326530611</c:v>
                </c:pt>
                <c:pt idx="633">
                  <c:v>244.49999999999997</c:v>
                </c:pt>
                <c:pt idx="634">
                  <c:v>261.10000000000002</c:v>
                </c:pt>
                <c:pt idx="635">
                  <c:v>244.49999999999997</c:v>
                </c:pt>
                <c:pt idx="636">
                  <c:v>475.47560975609747</c:v>
                </c:pt>
                <c:pt idx="637">
                  <c:v>591.01515151515162</c:v>
                </c:pt>
                <c:pt idx="638">
                  <c:v>629.17741935483889</c:v>
                </c:pt>
                <c:pt idx="639">
                  <c:v>19.354961832061065</c:v>
                </c:pt>
                <c:pt idx="640">
                  <c:v>19.354961832061065</c:v>
                </c:pt>
                <c:pt idx="641">
                  <c:v>19.354961832061065</c:v>
                </c:pt>
                <c:pt idx="642">
                  <c:v>25.220000000000002</c:v>
                </c:pt>
                <c:pt idx="643">
                  <c:v>30.271084337349397</c:v>
                </c:pt>
                <c:pt idx="644">
                  <c:v>48.990196078431374</c:v>
                </c:pt>
                <c:pt idx="645">
                  <c:v>29.267441860465116</c:v>
                </c:pt>
                <c:pt idx="646">
                  <c:v>39.769841269841272</c:v>
                </c:pt>
                <c:pt idx="647">
                  <c:v>4.5</c:v>
                </c:pt>
                <c:pt idx="648">
                  <c:v>13.849514563106792</c:v>
                </c:pt>
                <c:pt idx="649">
                  <c:v>24.378472222222214</c:v>
                </c:pt>
                <c:pt idx="650">
                  <c:v>39.55681818181818</c:v>
                </c:pt>
                <c:pt idx="651">
                  <c:v>57.392561983471069</c:v>
                </c:pt>
                <c:pt idx="652">
                  <c:v>74.446236559139763</c:v>
                </c:pt>
                <c:pt idx="653">
                  <c:v>4.5000000000000009</c:v>
                </c:pt>
                <c:pt idx="654">
                  <c:v>13.849514563106796</c:v>
                </c:pt>
                <c:pt idx="655">
                  <c:v>24.378472222222225</c:v>
                </c:pt>
                <c:pt idx="656">
                  <c:v>39.556818181818173</c:v>
                </c:pt>
                <c:pt idx="657">
                  <c:v>57.392561983471076</c:v>
                </c:pt>
                <c:pt idx="658">
                  <c:v>74.446236559139777</c:v>
                </c:pt>
                <c:pt idx="659">
                  <c:v>500.00000000000006</c:v>
                </c:pt>
                <c:pt idx="660">
                  <c:v>500.00000000000006</c:v>
                </c:pt>
                <c:pt idx="661">
                  <c:v>500.00000000000006</c:v>
                </c:pt>
                <c:pt idx="662">
                  <c:v>500.00000000000006</c:v>
                </c:pt>
                <c:pt idx="663">
                  <c:v>533.33333333333326</c:v>
                </c:pt>
                <c:pt idx="664">
                  <c:v>400</c:v>
                </c:pt>
                <c:pt idx="665">
                  <c:v>400</c:v>
                </c:pt>
                <c:pt idx="666">
                  <c:v>333.33333333333337</c:v>
                </c:pt>
                <c:pt idx="667">
                  <c:v>666.66666666666663</c:v>
                </c:pt>
                <c:pt idx="668">
                  <c:v>666.66666666666663</c:v>
                </c:pt>
                <c:pt idx="669">
                  <c:v>400</c:v>
                </c:pt>
              </c:numCache>
            </c:numRef>
          </c:xVal>
          <c:yVal>
            <c:numRef>
              <c:f>'Figure 1 Data'!$AC$15:$AC$684</c:f>
              <c:numCache>
                <c:formatCode>General</c:formatCode>
                <c:ptCount val="67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0.24066656654645777</c:v>
                </c:pt>
                <c:pt idx="117">
                  <c:v>0.23489056894934279</c:v>
                </c:pt>
                <c:pt idx="118">
                  <c:v>0.30227720758235099</c:v>
                </c:pt>
                <c:pt idx="119">
                  <c:v>0.27339721959677615</c:v>
                </c:pt>
                <c:pt idx="120">
                  <c:v>0.34655985582689924</c:v>
                </c:pt>
                <c:pt idx="121">
                  <c:v>0.29265054492049269</c:v>
                </c:pt>
                <c:pt idx="122">
                  <c:v>0.22911457135222785</c:v>
                </c:pt>
                <c:pt idx="123">
                  <c:v>0.23681590148171447</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0.21035603896323504</c:v>
                </c:pt>
                <c:pt idx="257">
                  <c:v>0.20731493830036216</c:v>
                </c:pt>
                <c:pt idx="258">
                  <c:v>0.20164080598741679</c:v>
                </c:pt>
                <c:pt idx="259">
                  <c:v>0.199766118155801</c:v>
                </c:pt>
                <c:pt idx="260">
                  <c:v>0.22244168423990465</c:v>
                </c:pt>
                <c:pt idx="261">
                  <c:v>0.21103265364353677</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7.4469224855689145E-2</c:v>
                </c:pt>
                <c:pt idx="307">
                  <c:v>8.9075535875300829E-2</c:v>
                </c:pt>
                <c:pt idx="308">
                  <c:v>0.12553628027610716</c:v>
                </c:pt>
                <c:pt idx="309">
                  <c:v>9.0518265251719382E-2</c:v>
                </c:pt>
                <c:pt idx="310">
                  <c:v>0.10967906592544101</c:v>
                </c:pt>
                <c:pt idx="311">
                  <c:v>0.11562552130694083</c:v>
                </c:pt>
                <c:pt idx="312">
                  <c:v>0.13379524608374582</c:v>
                </c:pt>
                <c:pt idx="313">
                  <c:v>0.13049165976069035</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0.42132916397780285</c:v>
                </c:pt>
                <c:pt idx="459">
                  <c:v>0.60307899941920817</c:v>
                </c:pt>
                <c:pt idx="460">
                  <c:v>0.66090849251420047</c:v>
                </c:pt>
                <c:pt idx="461">
                  <c:v>0.29906109286267568</c:v>
                </c:pt>
                <c:pt idx="462">
                  <c:v>0.69395391713991061</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0.82483838488084604</c:v>
                </c:pt>
                <c:pt idx="602">
                  <c:v>0.86642738539875586</c:v>
                </c:pt>
                <c:pt idx="603">
                  <c:v>0.83683328755722586</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7-112C-4A8A-BD5B-DED592B57D30}"/>
            </c:ext>
          </c:extLst>
        </c:ser>
        <c:dLbls>
          <c:showLegendKey val="0"/>
          <c:showVal val="0"/>
          <c:showCatName val="0"/>
          <c:showSerName val="0"/>
          <c:showPercent val="0"/>
          <c:showBubbleSize val="0"/>
        </c:dLbls>
        <c:axId val="1026659696"/>
        <c:axId val="1026662192"/>
      </c:scatterChart>
      <c:valAx>
        <c:axId val="1026659696"/>
        <c:scaling>
          <c:orientation val="minMax"/>
          <c:max val="150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r/t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62192"/>
        <c:crosses val="autoZero"/>
        <c:crossBetween val="midCat"/>
        <c:majorUnit val="250"/>
      </c:valAx>
      <c:valAx>
        <c:axId val="102666219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α</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26659696"/>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2056014319"/>
        <c:axId val="2056013487"/>
      </c:barChart>
      <c:catAx>
        <c:axId val="20560143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013487"/>
        <c:crosses val="autoZero"/>
        <c:auto val="1"/>
        <c:lblAlgn val="ctr"/>
        <c:lblOffset val="100"/>
        <c:noMultiLvlLbl val="0"/>
      </c:catAx>
      <c:valAx>
        <c:axId val="2056013487"/>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014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GB"/>
              <a:t>German dataset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barChart>
        <c:barDir val="col"/>
        <c:grouping val="stacked"/>
        <c:varyColors val="0"/>
        <c:ser>
          <c:idx val="0"/>
          <c:order val="0"/>
          <c:spPr>
            <a:noFill/>
            <a:ln>
              <a:noFill/>
            </a:ln>
            <a:effectLst/>
          </c:spPr>
          <c:invertIfNegative val="0"/>
          <c:cat>
            <c:numRef>
              <c:f>'Figure 2 Data'!$AC$22:$AM$22</c:f>
              <c:numCache>
                <c:formatCode>General</c:formatCode>
                <c:ptCount val="11"/>
                <c:pt idx="0">
                  <c:v>0</c:v>
                </c:pt>
                <c:pt idx="2">
                  <c:v>0.5</c:v>
                </c:pt>
                <c:pt idx="4">
                  <c:v>1</c:v>
                </c:pt>
                <c:pt idx="6">
                  <c:v>1.5</c:v>
                </c:pt>
                <c:pt idx="8">
                  <c:v>2</c:v>
                </c:pt>
                <c:pt idx="10">
                  <c:v>2.5</c:v>
                </c:pt>
              </c:numCache>
            </c:numRef>
          </c:cat>
          <c:val>
            <c:numRef>
              <c:f>'Figure 2 Data'!$AC$23:$AM$23</c:f>
              <c:numCache>
                <c:formatCode>General</c:formatCode>
                <c:ptCount val="11"/>
                <c:pt idx="0">
                  <c:v>0</c:v>
                </c:pt>
                <c:pt idx="1">
                  <c:v>0.74644657491688104</c:v>
                </c:pt>
                <c:pt idx="2">
                  <c:v>0.57486470539599899</c:v>
                </c:pt>
                <c:pt idx="3">
                  <c:v>0.45539479925871901</c:v>
                </c:pt>
                <c:pt idx="4">
                  <c:v>0.19737916910523201</c:v>
                </c:pt>
                <c:pt idx="5">
                  <c:v>0.121861086263409</c:v>
                </c:pt>
                <c:pt idx="6">
                  <c:v>6.4267955626153797E-2</c:v>
                </c:pt>
                <c:pt idx="7">
                  <c:v>5.4936612320550297E-2</c:v>
                </c:pt>
                <c:pt idx="8">
                  <c:v>3.0213911290806601E-2</c:v>
                </c:pt>
                <c:pt idx="9">
                  <c:v>6.9955919872002503E-2</c:v>
                </c:pt>
                <c:pt idx="10">
                  <c:v>4.7371948714621998E-2</c:v>
                </c:pt>
              </c:numCache>
            </c:numRef>
          </c:val>
          <c:extLst>
            <c:ext xmlns:c16="http://schemas.microsoft.com/office/drawing/2014/chart" uri="{C3380CC4-5D6E-409C-BE32-E72D297353CC}">
              <c16:uniqueId val="{00000000-FB3D-4317-BD8D-186F50E6236A}"/>
            </c:ext>
          </c:extLst>
        </c:ser>
        <c:ser>
          <c:idx val="1"/>
          <c:order val="1"/>
          <c:spPr>
            <a:noFill/>
            <a:ln>
              <a:noFill/>
            </a:ln>
            <a:effectLst/>
          </c:spPr>
          <c:invertIfNegative val="0"/>
          <c:errBars>
            <c:errBarType val="minus"/>
            <c:errValType val="cust"/>
            <c:noEndCap val="0"/>
            <c:plus>
              <c:numLit>
                <c:formatCode>General</c:formatCode>
                <c:ptCount val="1"/>
                <c:pt idx="0">
                  <c:v>1</c:v>
                </c:pt>
              </c:numLit>
            </c:plus>
            <c:minus>
              <c:numRef>
                <c:f>'Figure 2 Data'!$AC$24:$AM$24</c:f>
                <c:numCache>
                  <c:formatCode>General</c:formatCode>
                  <c:ptCount val="11"/>
                  <c:pt idx="0">
                    <c:v>0</c:v>
                  </c:pt>
                  <c:pt idx="1">
                    <c:v>0.18979952283597545</c:v>
                  </c:pt>
                  <c:pt idx="2">
                    <c:v>0.23566666416121151</c:v>
                  </c:pt>
                  <c:pt idx="3">
                    <c:v>0.21103191783441749</c:v>
                  </c:pt>
                  <c:pt idx="4">
                    <c:v>8.4452644669261723E-2</c:v>
                  </c:pt>
                  <c:pt idx="5">
                    <c:v>6.7542575743017003E-2</c:v>
                  </c:pt>
                  <c:pt idx="6">
                    <c:v>0.10183227157594719</c:v>
                  </c:pt>
                  <c:pt idx="7">
                    <c:v>1.9524041377878255E-2</c:v>
                  </c:pt>
                  <c:pt idx="8">
                    <c:v>3.1612961371405748E-2</c:v>
                  </c:pt>
                  <c:pt idx="9">
                    <c:v>8.9501630895667539E-3</c:v>
                  </c:pt>
                  <c:pt idx="10">
                    <c:v>1.0126001029407201E-2</c:v>
                  </c:pt>
                </c:numCache>
              </c:numRef>
            </c:minus>
            <c:spPr>
              <a:noFill/>
              <a:ln w="9525" cap="flat" cmpd="sng" algn="ctr">
                <a:solidFill>
                  <a:schemeClr val="tx1">
                    <a:lumMod val="65000"/>
                    <a:lumOff val="35000"/>
                  </a:schemeClr>
                </a:solidFill>
                <a:round/>
              </a:ln>
              <a:effectLst/>
            </c:spPr>
          </c:errBars>
          <c:cat>
            <c:numRef>
              <c:f>'Figure 2 Data'!$AC$22:$AM$22</c:f>
              <c:numCache>
                <c:formatCode>General</c:formatCode>
                <c:ptCount val="11"/>
                <c:pt idx="0">
                  <c:v>0</c:v>
                </c:pt>
                <c:pt idx="2">
                  <c:v>0.5</c:v>
                </c:pt>
                <c:pt idx="4">
                  <c:v>1</c:v>
                </c:pt>
                <c:pt idx="6">
                  <c:v>1.5</c:v>
                </c:pt>
                <c:pt idx="8">
                  <c:v>2</c:v>
                </c:pt>
                <c:pt idx="10">
                  <c:v>2.5</c:v>
                </c:pt>
              </c:numCache>
            </c:numRef>
          </c:cat>
          <c:val>
            <c:numRef>
              <c:f>'Figure 2 Data'!$AC$24:$AM$24</c:f>
              <c:numCache>
                <c:formatCode>General</c:formatCode>
                <c:ptCount val="11"/>
                <c:pt idx="0">
                  <c:v>0</c:v>
                </c:pt>
                <c:pt idx="1">
                  <c:v>0.18979952283597545</c:v>
                </c:pt>
                <c:pt idx="2">
                  <c:v>0.23566666416121151</c:v>
                </c:pt>
                <c:pt idx="3">
                  <c:v>0.21103191783441749</c:v>
                </c:pt>
                <c:pt idx="4">
                  <c:v>8.4452644669261723E-2</c:v>
                </c:pt>
                <c:pt idx="5">
                  <c:v>6.7542575743017003E-2</c:v>
                </c:pt>
                <c:pt idx="6">
                  <c:v>0.10183227157594719</c:v>
                </c:pt>
                <c:pt idx="7">
                  <c:v>1.9524041377878255E-2</c:v>
                </c:pt>
                <c:pt idx="8">
                  <c:v>3.1612961371405748E-2</c:v>
                </c:pt>
                <c:pt idx="9">
                  <c:v>8.9501630895667539E-3</c:v>
                </c:pt>
                <c:pt idx="10">
                  <c:v>1.0126001029407201E-2</c:v>
                </c:pt>
              </c:numCache>
            </c:numRef>
          </c:val>
          <c:extLst>
            <c:ext xmlns:c16="http://schemas.microsoft.com/office/drawing/2014/chart" uri="{C3380CC4-5D6E-409C-BE32-E72D297353CC}">
              <c16:uniqueId val="{00000001-FB3D-4317-BD8D-186F50E6236A}"/>
            </c:ext>
          </c:extLst>
        </c:ser>
        <c:ser>
          <c:idx val="2"/>
          <c:order val="2"/>
          <c:spPr>
            <a:solidFill>
              <a:schemeClr val="accent3"/>
            </a:solidFill>
            <a:ln>
              <a:solidFill>
                <a:schemeClr val="tx1"/>
              </a:solidFill>
            </a:ln>
            <a:effectLst/>
          </c:spPr>
          <c:invertIfNegative val="0"/>
          <c:cat>
            <c:numRef>
              <c:f>'Figure 2 Data'!$AC$22:$AM$22</c:f>
              <c:numCache>
                <c:formatCode>General</c:formatCode>
                <c:ptCount val="11"/>
                <c:pt idx="0">
                  <c:v>0</c:v>
                </c:pt>
                <c:pt idx="2">
                  <c:v>0.5</c:v>
                </c:pt>
                <c:pt idx="4">
                  <c:v>1</c:v>
                </c:pt>
                <c:pt idx="6">
                  <c:v>1.5</c:v>
                </c:pt>
                <c:pt idx="8">
                  <c:v>2</c:v>
                </c:pt>
                <c:pt idx="10">
                  <c:v>2.5</c:v>
                </c:pt>
              </c:numCache>
            </c:numRef>
          </c:cat>
          <c:val>
            <c:numRef>
              <c:f>'Figure 2 Data'!$AC$25:$AM$25</c:f>
              <c:numCache>
                <c:formatCode>General</c:formatCode>
                <c:ptCount val="11"/>
                <c:pt idx="0">
                  <c:v>0</c:v>
                </c:pt>
                <c:pt idx="1">
                  <c:v>9.6256395175493448E-2</c:v>
                </c:pt>
                <c:pt idx="2">
                  <c:v>9.4490617903818519E-2</c:v>
                </c:pt>
                <c:pt idx="3">
                  <c:v>9.1303605267135546E-2</c:v>
                </c:pt>
                <c:pt idx="4">
                  <c:v>0.14384624603407276</c:v>
                </c:pt>
                <c:pt idx="5">
                  <c:v>8.99736894584095E-2</c:v>
                </c:pt>
                <c:pt idx="6">
                  <c:v>5.7448574571090011E-2</c:v>
                </c:pt>
                <c:pt idx="7">
                  <c:v>6.3800069036901441E-2</c:v>
                </c:pt>
                <c:pt idx="8">
                  <c:v>3.2269854075227256E-2</c:v>
                </c:pt>
                <c:pt idx="9">
                  <c:v>1.8803553646888141E-2</c:v>
                </c:pt>
                <c:pt idx="10">
                  <c:v>2.4446261972714094E-2</c:v>
                </c:pt>
              </c:numCache>
            </c:numRef>
          </c:val>
          <c:extLst>
            <c:ext xmlns:c16="http://schemas.microsoft.com/office/drawing/2014/chart" uri="{C3380CC4-5D6E-409C-BE32-E72D297353CC}">
              <c16:uniqueId val="{00000002-FB3D-4317-BD8D-186F50E6236A}"/>
            </c:ext>
          </c:extLst>
        </c:ser>
        <c:ser>
          <c:idx val="3"/>
          <c:order val="3"/>
          <c:spPr>
            <a:solidFill>
              <a:schemeClr val="bg1">
                <a:lumMod val="65000"/>
              </a:schemeClr>
            </a:solidFill>
            <a:ln>
              <a:solidFill>
                <a:schemeClr val="tx1"/>
              </a:solidFill>
            </a:ln>
            <a:effectLst/>
          </c:spPr>
          <c:invertIfNegative val="0"/>
          <c:errBars>
            <c:errBarType val="plus"/>
            <c:errValType val="cust"/>
            <c:noEndCap val="0"/>
            <c:plus>
              <c:numRef>
                <c:f>'Figure 2 Data'!$AC$27:$AM$27</c:f>
                <c:numCache>
                  <c:formatCode>General</c:formatCode>
                  <c:ptCount val="11"/>
                  <c:pt idx="0">
                    <c:v>0</c:v>
                  </c:pt>
                  <c:pt idx="1">
                    <c:v>0.2616795781146799</c:v>
                  </c:pt>
                  <c:pt idx="2">
                    <c:v>0.23080000972951598</c:v>
                  </c:pt>
                  <c:pt idx="3">
                    <c:v>5.7107821030292993E-2</c:v>
                  </c:pt>
                  <c:pt idx="4">
                    <c:v>0.20166468474686972</c:v>
                  </c:pt>
                  <c:pt idx="5">
                    <c:v>0.18435085577374827</c:v>
                  </c:pt>
                  <c:pt idx="6">
                    <c:v>0.12399421192675597</c:v>
                  </c:pt>
                  <c:pt idx="7">
                    <c:v>6.3305587596775986E-2</c:v>
                  </c:pt>
                  <c:pt idx="8">
                    <c:v>7.0451742484847008E-2</c:v>
                  </c:pt>
                  <c:pt idx="9">
                    <c:v>2.6522042916789501E-2</c:v>
                  </c:pt>
                  <c:pt idx="10">
                    <c:v>3.5642998109350177E-2</c:v>
                  </c:pt>
                </c:numCache>
              </c:numRef>
            </c:plus>
            <c:minus>
              <c:numLit>
                <c:formatCode>General</c:formatCode>
                <c:ptCount val="1"/>
                <c:pt idx="0">
                  <c:v>1</c:v>
                </c:pt>
              </c:numLit>
            </c:minus>
            <c:spPr>
              <a:noFill/>
              <a:ln w="9525" cap="flat" cmpd="sng" algn="ctr">
                <a:solidFill>
                  <a:schemeClr val="tx1">
                    <a:lumMod val="65000"/>
                    <a:lumOff val="35000"/>
                  </a:schemeClr>
                </a:solidFill>
                <a:round/>
              </a:ln>
              <a:effectLst/>
            </c:spPr>
          </c:errBars>
          <c:cat>
            <c:numRef>
              <c:f>'Figure 2 Data'!$AC$22:$AM$22</c:f>
              <c:numCache>
                <c:formatCode>General</c:formatCode>
                <c:ptCount val="11"/>
                <c:pt idx="0">
                  <c:v>0</c:v>
                </c:pt>
                <c:pt idx="2">
                  <c:v>0.5</c:v>
                </c:pt>
                <c:pt idx="4">
                  <c:v>1</c:v>
                </c:pt>
                <c:pt idx="6">
                  <c:v>1.5</c:v>
                </c:pt>
                <c:pt idx="8">
                  <c:v>2</c:v>
                </c:pt>
                <c:pt idx="10">
                  <c:v>2.5</c:v>
                </c:pt>
              </c:numCache>
            </c:numRef>
          </c:cat>
          <c:val>
            <c:numRef>
              <c:f>'Figure 2 Data'!$AC$26:$AM$26</c:f>
              <c:numCache>
                <c:formatCode>General</c:formatCode>
                <c:ptCount val="11"/>
                <c:pt idx="0">
                  <c:v>0</c:v>
                </c:pt>
                <c:pt idx="1">
                  <c:v>9.5179701717150067E-2</c:v>
                </c:pt>
                <c:pt idx="2">
                  <c:v>9.5911853268825009E-2</c:v>
                </c:pt>
                <c:pt idx="3">
                  <c:v>0.10422392676720293</c:v>
                </c:pt>
                <c:pt idx="4">
                  <c:v>0.15106009220494282</c:v>
                </c:pt>
                <c:pt idx="5">
                  <c:v>6.1436328120493267E-2</c:v>
                </c:pt>
                <c:pt idx="6">
                  <c:v>2.5297311579026011E-2</c:v>
                </c:pt>
                <c:pt idx="7">
                  <c:v>5.189064306160901E-2</c:v>
                </c:pt>
                <c:pt idx="8">
                  <c:v>1.6750763947445402E-2</c:v>
                </c:pt>
                <c:pt idx="9">
                  <c:v>2.0281562230486092E-2</c:v>
                </c:pt>
                <c:pt idx="10">
                  <c:v>1.1607294076524527E-2</c:v>
                </c:pt>
              </c:numCache>
            </c:numRef>
          </c:val>
          <c:extLst>
            <c:ext xmlns:c16="http://schemas.microsoft.com/office/drawing/2014/chart" uri="{C3380CC4-5D6E-409C-BE32-E72D297353CC}">
              <c16:uniqueId val="{00000003-FB3D-4317-BD8D-186F50E6236A}"/>
            </c:ext>
          </c:extLst>
        </c:ser>
        <c:ser>
          <c:idx val="4"/>
          <c:order val="4"/>
          <c:spPr>
            <a:noFill/>
            <a:ln>
              <a:noFill/>
            </a:ln>
            <a:effectLst/>
          </c:spPr>
          <c:invertIfNegative val="0"/>
          <c:cat>
            <c:numRef>
              <c:f>'Figure 2 Data'!$AC$22:$AM$22</c:f>
              <c:numCache>
                <c:formatCode>General</c:formatCode>
                <c:ptCount val="11"/>
                <c:pt idx="0">
                  <c:v>0</c:v>
                </c:pt>
                <c:pt idx="2">
                  <c:v>0.5</c:v>
                </c:pt>
                <c:pt idx="4">
                  <c:v>1</c:v>
                </c:pt>
                <c:pt idx="6">
                  <c:v>1.5</c:v>
                </c:pt>
                <c:pt idx="8">
                  <c:v>2</c:v>
                </c:pt>
                <c:pt idx="10">
                  <c:v>2.5</c:v>
                </c:pt>
              </c:numCache>
            </c:numRef>
          </c:cat>
          <c:val>
            <c:numRef>
              <c:f>'Figure 2 Data'!$AC$27:$AM$27</c:f>
              <c:numCache>
                <c:formatCode>General</c:formatCode>
                <c:ptCount val="11"/>
                <c:pt idx="0">
                  <c:v>0</c:v>
                </c:pt>
                <c:pt idx="1">
                  <c:v>0.2616795781146799</c:v>
                </c:pt>
                <c:pt idx="2">
                  <c:v>0.23080000972951598</c:v>
                </c:pt>
                <c:pt idx="3">
                  <c:v>5.7107821030292993E-2</c:v>
                </c:pt>
                <c:pt idx="4">
                  <c:v>0.20166468474686972</c:v>
                </c:pt>
                <c:pt idx="5">
                  <c:v>0.18435085577374827</c:v>
                </c:pt>
                <c:pt idx="6">
                  <c:v>0.12399421192675597</c:v>
                </c:pt>
                <c:pt idx="7">
                  <c:v>6.3305587596775986E-2</c:v>
                </c:pt>
                <c:pt idx="8">
                  <c:v>7.0451742484847008E-2</c:v>
                </c:pt>
                <c:pt idx="9">
                  <c:v>2.6522042916789501E-2</c:v>
                </c:pt>
                <c:pt idx="10">
                  <c:v>3.5642998109350177E-2</c:v>
                </c:pt>
              </c:numCache>
            </c:numRef>
          </c:val>
          <c:extLst>
            <c:ext xmlns:c16="http://schemas.microsoft.com/office/drawing/2014/chart" uri="{C3380CC4-5D6E-409C-BE32-E72D297353CC}">
              <c16:uniqueId val="{00000004-FB3D-4317-BD8D-186F50E6236A}"/>
            </c:ext>
          </c:extLst>
        </c:ser>
        <c:dLbls>
          <c:showLegendKey val="0"/>
          <c:showVal val="0"/>
          <c:showCatName val="0"/>
          <c:showSerName val="0"/>
          <c:showPercent val="0"/>
          <c:showBubbleSize val="0"/>
        </c:dLbls>
        <c:gapWidth val="10"/>
        <c:overlap val="100"/>
        <c:axId val="311763584"/>
        <c:axId val="311761088"/>
      </c:barChart>
      <c:scatterChart>
        <c:scatterStyle val="lineMarker"/>
        <c:varyColors val="0"/>
        <c:ser>
          <c:idx val="5"/>
          <c:order val="5"/>
          <c:spPr>
            <a:ln w="25400" cap="rnd">
              <a:noFill/>
              <a:round/>
            </a:ln>
            <a:effectLst/>
          </c:spPr>
          <c:marker>
            <c:symbol val="x"/>
            <c:size val="3"/>
            <c:spPr>
              <a:noFill/>
              <a:ln w="0">
                <a:solidFill>
                  <a:schemeClr val="tx1">
                    <a:lumMod val="65000"/>
                    <a:lumOff val="35000"/>
                  </a:schemeClr>
                </a:solidFill>
              </a:ln>
              <a:effectLst/>
            </c:spPr>
          </c:marker>
          <c:xVal>
            <c:numRef>
              <c:f>'Figure 2 Data'!$Z$11:$Z$712</c:f>
              <c:numCache>
                <c:formatCode>General</c:formatCode>
                <c:ptCount val="702"/>
                <c:pt idx="0">
                  <c:v>8.5236707938820011</c:v>
                </c:pt>
                <c:pt idx="1">
                  <c:v>10.961357934773799</c:v>
                </c:pt>
                <c:pt idx="2">
                  <c:v>10.9697877046748</c:v>
                </c:pt>
                <c:pt idx="3">
                  <c:v>10.78433276685276</c:v>
                </c:pt>
                <c:pt idx="4">
                  <c:v>10.672638315664519</c:v>
                </c:pt>
                <c:pt idx="5">
                  <c:v>10.833974745158679</c:v>
                </c:pt>
                <c:pt idx="6">
                  <c:v>10.838365250315441</c:v>
                </c:pt>
                <c:pt idx="7">
                  <c:v>10.478343827460201</c:v>
                </c:pt>
                <c:pt idx="8">
                  <c:v>10.20027850086468</c:v>
                </c:pt>
                <c:pt idx="9">
                  <c:v>10.428584769016799</c:v>
                </c:pt>
                <c:pt idx="10">
                  <c:v>10.277844091967641</c:v>
                </c:pt>
                <c:pt idx="11">
                  <c:v>10.271990085091961</c:v>
                </c:pt>
                <c:pt idx="12">
                  <c:v>10.17686247336192</c:v>
                </c:pt>
                <c:pt idx="13">
                  <c:v>10.17832597508084</c:v>
                </c:pt>
                <c:pt idx="14">
                  <c:v>10.17832597508084</c:v>
                </c:pt>
                <c:pt idx="15">
                  <c:v>9.8270855625391196</c:v>
                </c:pt>
                <c:pt idx="16">
                  <c:v>9.8885526347339194</c:v>
                </c:pt>
                <c:pt idx="17">
                  <c:v>9.8622096037933193</c:v>
                </c:pt>
                <c:pt idx="18">
                  <c:v>9.8153775487877599</c:v>
                </c:pt>
                <c:pt idx="19">
                  <c:v>9.8109870436309592</c:v>
                </c:pt>
                <c:pt idx="20">
                  <c:v>9.5299947135976009</c:v>
                </c:pt>
                <c:pt idx="21">
                  <c:v>9.6192683184519598</c:v>
                </c:pt>
                <c:pt idx="22">
                  <c:v>9.4919436689056003</c:v>
                </c:pt>
                <c:pt idx="23">
                  <c:v>9.4729181465596</c:v>
                </c:pt>
                <c:pt idx="24">
                  <c:v>9.4495021190568007</c:v>
                </c:pt>
                <c:pt idx="25">
                  <c:v>9.3660825210781606</c:v>
                </c:pt>
                <c:pt idx="26">
                  <c:v>9.3499840021700003</c:v>
                </c:pt>
                <c:pt idx="27">
                  <c:v>9.330958479824</c:v>
                </c:pt>
                <c:pt idx="28">
                  <c:v>9.2870534282562804</c:v>
                </c:pt>
                <c:pt idx="29">
                  <c:v>9.1553382735531201</c:v>
                </c:pt>
                <c:pt idx="30">
                  <c:v>9.0499661497906398</c:v>
                </c:pt>
                <c:pt idx="31">
                  <c:v>8.963619548374119</c:v>
                </c:pt>
                <c:pt idx="32">
                  <c:v>8.9387400191524407</c:v>
                </c:pt>
                <c:pt idx="33">
                  <c:v>8.8275138885142006</c:v>
                </c:pt>
                <c:pt idx="34">
                  <c:v>8.8201963799196008</c:v>
                </c:pt>
                <c:pt idx="35">
                  <c:v>8.8216598816385208</c:v>
                </c:pt>
                <c:pt idx="36">
                  <c:v>8.5860361048918001</c:v>
                </c:pt>
                <c:pt idx="37">
                  <c:v>8.6957987338110811</c:v>
                </c:pt>
                <c:pt idx="38">
                  <c:v>8.700189238967841</c:v>
                </c:pt>
                <c:pt idx="39">
                  <c:v>8.700189238967841</c:v>
                </c:pt>
                <c:pt idx="40">
                  <c:v>8.6972622355300011</c:v>
                </c:pt>
                <c:pt idx="41">
                  <c:v>8.5626200773889991</c:v>
                </c:pt>
                <c:pt idx="42">
                  <c:v>10.19881499914576</c:v>
                </c:pt>
                <c:pt idx="43">
                  <c:v>9.0763091807312399</c:v>
                </c:pt>
                <c:pt idx="44">
                  <c:v>9.0836266893258806</c:v>
                </c:pt>
                <c:pt idx="45">
                  <c:v>9.2050973319965195</c:v>
                </c:pt>
                <c:pt idx="46">
                  <c:v>9.2826629230994797</c:v>
                </c:pt>
                <c:pt idx="47">
                  <c:v>9.3133964591968805</c:v>
                </c:pt>
                <c:pt idx="48">
                  <c:v>9.0646011669798803</c:v>
                </c:pt>
                <c:pt idx="49">
                  <c:v>9.2636374007534794</c:v>
                </c:pt>
                <c:pt idx="50">
                  <c:v>9.2855899265373605</c:v>
                </c:pt>
                <c:pt idx="51">
                  <c:v>9.2021703285586796</c:v>
                </c:pt>
                <c:pt idx="52">
                  <c:v>8.1908906407823991</c:v>
                </c:pt>
                <c:pt idx="53">
                  <c:v>8.1385803034910396</c:v>
                </c:pt>
                <c:pt idx="54">
                  <c:v>7.9908153010476397</c:v>
                </c:pt>
                <c:pt idx="55">
                  <c:v>7.8891069227424397</c:v>
                </c:pt>
                <c:pt idx="56">
                  <c:v>7.8699166626848402</c:v>
                </c:pt>
                <c:pt idx="57">
                  <c:v>7.8181029605293997</c:v>
                </c:pt>
                <c:pt idx="58">
                  <c:v>7.7010423741781198</c:v>
                </c:pt>
                <c:pt idx="59">
                  <c:v>7.7010423741781198</c:v>
                </c:pt>
                <c:pt idx="60">
                  <c:v>7.5334474363418797</c:v>
                </c:pt>
                <c:pt idx="61">
                  <c:v>7.44389288940648</c:v>
                </c:pt>
                <c:pt idx="62">
                  <c:v>7.4390953243920803</c:v>
                </c:pt>
                <c:pt idx="63">
                  <c:v>7.5126579879461604</c:v>
                </c:pt>
                <c:pt idx="64">
                  <c:v>7.5350466246799996</c:v>
                </c:pt>
                <c:pt idx="65">
                  <c:v>7.8005118888099201</c:v>
                </c:pt>
                <c:pt idx="66">
                  <c:v>7.8807378371062002</c:v>
                </c:pt>
                <c:pt idx="67">
                  <c:v>7.9100562899719602</c:v>
                </c:pt>
                <c:pt idx="68">
                  <c:v>7.9886830499301196</c:v>
                </c:pt>
                <c:pt idx="69">
                  <c:v>7.9220502025079602</c:v>
                </c:pt>
                <c:pt idx="70">
                  <c:v>7.9033930052297601</c:v>
                </c:pt>
                <c:pt idx="71">
                  <c:v>8.0886323210634004</c:v>
                </c:pt>
                <c:pt idx="72">
                  <c:v>8.0952956058055996</c:v>
                </c:pt>
                <c:pt idx="73">
                  <c:v>8.0872996641149602</c:v>
                </c:pt>
                <c:pt idx="74">
                  <c:v>8.0819690363211603</c:v>
                </c:pt>
                <c:pt idx="75">
                  <c:v>7.7996678727426003</c:v>
                </c:pt>
                <c:pt idx="76">
                  <c:v>7.6408595863863997</c:v>
                </c:pt>
                <c:pt idx="77">
                  <c:v>7.1022440697238798</c:v>
                </c:pt>
                <c:pt idx="78">
                  <c:v>7.0300584850165198</c:v>
                </c:pt>
                <c:pt idx="79">
                  <c:v>7.1355604934349603</c:v>
                </c:pt>
                <c:pt idx="80">
                  <c:v>7.1100179019231202</c:v>
                </c:pt>
                <c:pt idx="81">
                  <c:v>7.1111284493801596</c:v>
                </c:pt>
                <c:pt idx="82">
                  <c:v>7.4909356796865199</c:v>
                </c:pt>
                <c:pt idx="83">
                  <c:v>7.4942673220576399</c:v>
                </c:pt>
                <c:pt idx="84">
                  <c:v>7.4931567746005996</c:v>
                </c:pt>
                <c:pt idx="85">
                  <c:v>7.4931567746005996</c:v>
                </c:pt>
                <c:pt idx="86">
                  <c:v>7.4964884169717196</c:v>
                </c:pt>
                <c:pt idx="87">
                  <c:v>7.4953778695146802</c:v>
                </c:pt>
                <c:pt idx="88">
                  <c:v>6.74575833601528</c:v>
                </c:pt>
                <c:pt idx="89">
                  <c:v>6.6980047953627198</c:v>
                </c:pt>
                <c:pt idx="90">
                  <c:v>6.5625180056043204</c:v>
                </c:pt>
                <c:pt idx="91">
                  <c:v>6.4747847564984404</c:v>
                </c:pt>
                <c:pt idx="92">
                  <c:v>6.4714531141273204</c:v>
                </c:pt>
                <c:pt idx="93">
                  <c:v>6.4747847564984404</c:v>
                </c:pt>
                <c:pt idx="94">
                  <c:v>6.4736742090414001</c:v>
                </c:pt>
                <c:pt idx="95">
                  <c:v>6.57029183780356</c:v>
                </c:pt>
                <c:pt idx="96">
                  <c:v>6.2027006295245997</c:v>
                </c:pt>
                <c:pt idx="97">
                  <c:v>5.7773609534797199</c:v>
                </c:pt>
                <c:pt idx="98">
                  <c:v>5.6862960620027598</c:v>
                </c:pt>
                <c:pt idx="99">
                  <c:v>5.7162808433427603</c:v>
                </c:pt>
                <c:pt idx="100">
                  <c:v>5.6674167552331598</c:v>
                </c:pt>
                <c:pt idx="101">
                  <c:v>5.7229441280849596</c:v>
                </c:pt>
                <c:pt idx="102">
                  <c:v>5.7073964636864396</c:v>
                </c:pt>
                <c:pt idx="103">
                  <c:v>5.4386439790837198</c:v>
                </c:pt>
                <c:pt idx="104">
                  <c:v>5.4197646723140798</c:v>
                </c:pt>
                <c:pt idx="105">
                  <c:v>5.3897798909741201</c:v>
                </c:pt>
                <c:pt idx="106">
                  <c:v>6.5669601954324399</c:v>
                </c:pt>
                <c:pt idx="107">
                  <c:v>6.2004795346105199</c:v>
                </c:pt>
                <c:pt idx="108">
                  <c:v>5.9261743127226003</c:v>
                </c:pt>
                <c:pt idx="109">
                  <c:v>6.0394501533402796</c:v>
                </c:pt>
                <c:pt idx="110">
                  <c:v>5.9283954076366401</c:v>
                </c:pt>
                <c:pt idx="111">
                  <c:v>5.9261743127226003</c:v>
                </c:pt>
                <c:pt idx="112">
                  <c:v>5.7040648213153604</c:v>
                </c:pt>
                <c:pt idx="113">
                  <c:v>5.7051753687723998</c:v>
                </c:pt>
                <c:pt idx="114">
                  <c:v>5.7229441280849596</c:v>
                </c:pt>
                <c:pt idx="115">
                  <c:v>5.3908904384311596</c:v>
                </c:pt>
                <c:pt idx="116">
                  <c:v>5.1765547792231601</c:v>
                </c:pt>
                <c:pt idx="117">
                  <c:v>5.11642138858236</c:v>
                </c:pt>
                <c:pt idx="118">
                  <c:v>5.0777338243062804</c:v>
                </c:pt>
                <c:pt idx="119">
                  <c:v>5.0259201221507999</c:v>
                </c:pt>
                <c:pt idx="120">
                  <c:v>4.8071511574943404</c:v>
                </c:pt>
                <c:pt idx="121">
                  <c:v>4.7726086893906841</c:v>
                </c:pt>
                <c:pt idx="122">
                  <c:v>4.7726086893906841</c:v>
                </c:pt>
                <c:pt idx="123">
                  <c:v>5.0067298620932004</c:v>
                </c:pt>
                <c:pt idx="124">
                  <c:v>4.8819931717189196</c:v>
                </c:pt>
                <c:pt idx="125">
                  <c:v>4.7937179754540278</c:v>
                </c:pt>
                <c:pt idx="126">
                  <c:v>4.8762360937016442</c:v>
                </c:pt>
                <c:pt idx="127">
                  <c:v>5.7186885102296001</c:v>
                </c:pt>
                <c:pt idx="128">
                  <c:v>6.03916585319128</c:v>
                </c:pt>
                <c:pt idx="129">
                  <c:v>5.8760486427018002</c:v>
                </c:pt>
                <c:pt idx="130">
                  <c:v>5.8760486427018002</c:v>
                </c:pt>
                <c:pt idx="131">
                  <c:v>5.57668058580348</c:v>
                </c:pt>
                <c:pt idx="132">
                  <c:v>5.4097253233024798</c:v>
                </c:pt>
                <c:pt idx="133">
                  <c:v>5.3866970112333998</c:v>
                </c:pt>
                <c:pt idx="134">
                  <c:v>5.3982111672679203</c:v>
                </c:pt>
                <c:pt idx="135">
                  <c:v>5.0854099283293204</c:v>
                </c:pt>
                <c:pt idx="136">
                  <c:v>4.9376449258859161</c:v>
                </c:pt>
                <c:pt idx="137">
                  <c:v>4.7783657674079638</c:v>
                </c:pt>
                <c:pt idx="138">
                  <c:v>4.6459529730106279</c:v>
                </c:pt>
                <c:pt idx="139">
                  <c:v>4.5691919327802886</c:v>
                </c:pt>
                <c:pt idx="140">
                  <c:v>4.5001069965729794</c:v>
                </c:pt>
                <c:pt idx="141">
                  <c:v>4.6440339470048677</c:v>
                </c:pt>
                <c:pt idx="142">
                  <c:v>4.4981879705672245</c:v>
                </c:pt>
                <c:pt idx="143">
                  <c:v>4.4137508263138479</c:v>
                </c:pt>
                <c:pt idx="144">
                  <c:v>4.9069405097937802</c:v>
                </c:pt>
                <c:pt idx="145">
                  <c:v>4.1566013415422116</c:v>
                </c:pt>
                <c:pt idx="146">
                  <c:v>4.0069173130930515</c:v>
                </c:pt>
                <c:pt idx="147">
                  <c:v>4.4847547885269119</c:v>
                </c:pt>
                <c:pt idx="148">
                  <c:v>4.9779444720068442</c:v>
                </c:pt>
                <c:pt idx="149">
                  <c:v>5.0892479803407999</c:v>
                </c:pt>
                <c:pt idx="150">
                  <c:v>5.0930860323523204</c:v>
                </c:pt>
                <c:pt idx="151">
                  <c:v>5.2370129827842398</c:v>
                </c:pt>
                <c:pt idx="152">
                  <c:v>4.9395639518916719</c:v>
                </c:pt>
                <c:pt idx="153">
                  <c:v>5.1410616824962796</c:v>
                </c:pt>
                <c:pt idx="154">
                  <c:v>5.0950050583580797</c:v>
                </c:pt>
                <c:pt idx="155">
                  <c:v>5.0873289543350397</c:v>
                </c:pt>
                <c:pt idx="156">
                  <c:v>4.5615158287572521</c:v>
                </c:pt>
                <c:pt idx="157">
                  <c:v>4.4885928405384323</c:v>
                </c:pt>
                <c:pt idx="158">
                  <c:v>4.8839121977246762</c:v>
                </c:pt>
                <c:pt idx="159">
                  <c:v>4.9318878478686399</c:v>
                </c:pt>
                <c:pt idx="160">
                  <c:v>4.8896692757419515</c:v>
                </c:pt>
                <c:pt idx="161">
                  <c:v>4.9338068738744001</c:v>
                </c:pt>
                <c:pt idx="162">
                  <c:v>4.4828357625211561</c:v>
                </c:pt>
                <c:pt idx="163">
                  <c:v>4.454050372434776</c:v>
                </c:pt>
                <c:pt idx="164">
                  <c:v>4.4847547885269119</c:v>
                </c:pt>
                <c:pt idx="165">
                  <c:v>4.442536216400228</c:v>
                </c:pt>
                <c:pt idx="166">
                  <c:v>4.521216282636324</c:v>
                </c:pt>
                <c:pt idx="167">
                  <c:v>4.1258969254500766</c:v>
                </c:pt>
                <c:pt idx="168">
                  <c:v>4.104787639386732</c:v>
                </c:pt>
                <c:pt idx="169">
                  <c:v>4.074083223294596</c:v>
                </c:pt>
                <c:pt idx="170">
                  <c:v>3.9896460790412238</c:v>
                </c:pt>
                <c:pt idx="171">
                  <c:v>3.8514762066266162</c:v>
                </c:pt>
                <c:pt idx="172">
                  <c:v>3.7094682822004881</c:v>
                </c:pt>
                <c:pt idx="173">
                  <c:v>3.6998731521716959</c:v>
                </c:pt>
                <c:pt idx="174">
                  <c:v>3.6231121119413561</c:v>
                </c:pt>
                <c:pt idx="175">
                  <c:v>3.5943267218549759</c:v>
                </c:pt>
                <c:pt idx="176">
                  <c:v>3.5022134735785722</c:v>
                </c:pt>
                <c:pt idx="177">
                  <c:v>3.3698006791812358</c:v>
                </c:pt>
                <c:pt idx="178">
                  <c:v>3.3410152890948561</c:v>
                </c:pt>
                <c:pt idx="179">
                  <c:v>3.375557757198512</c:v>
                </c:pt>
                <c:pt idx="180">
                  <c:v>3.4830232135209842</c:v>
                </c:pt>
                <c:pt idx="181">
                  <c:v>3.5444320457052561</c:v>
                </c:pt>
                <c:pt idx="182">
                  <c:v>3.7497678283214162</c:v>
                </c:pt>
                <c:pt idx="183">
                  <c:v>4.0644880932658038</c:v>
                </c:pt>
                <c:pt idx="184">
                  <c:v>4.1278159514558359</c:v>
                </c:pt>
                <c:pt idx="185">
                  <c:v>4.0664071192715641</c:v>
                </c:pt>
                <c:pt idx="186">
                  <c:v>3.8687474406784399</c:v>
                </c:pt>
                <c:pt idx="187">
                  <c:v>3.8668284146726801</c:v>
                </c:pt>
                <c:pt idx="188">
                  <c:v>3.9627797149606079</c:v>
                </c:pt>
                <c:pt idx="189">
                  <c:v>3.7862293224308279</c:v>
                </c:pt>
                <c:pt idx="190">
                  <c:v>3.7881483484365841</c:v>
                </c:pt>
                <c:pt idx="191">
                  <c:v>3.66533068406804</c:v>
                </c:pt>
                <c:pt idx="192">
                  <c:v>3.6749258140968322</c:v>
                </c:pt>
                <c:pt idx="193">
                  <c:v>3.6979541261659361</c:v>
                </c:pt>
                <c:pt idx="194">
                  <c:v>3.7919864004481001</c:v>
                </c:pt>
                <c:pt idx="195">
                  <c:v>3.458075875446124</c:v>
                </c:pt>
                <c:pt idx="196">
                  <c:v>3.3413990942960079</c:v>
                </c:pt>
                <c:pt idx="197">
                  <c:v>3.3390962630890999</c:v>
                </c:pt>
                <c:pt idx="198">
                  <c:v>3.3390962630890999</c:v>
                </c:pt>
                <c:pt idx="199">
                  <c:v>3.3390962630890999</c:v>
                </c:pt>
                <c:pt idx="200">
                  <c:v>3.4749633042968</c:v>
                </c:pt>
                <c:pt idx="201">
                  <c:v>3.458843485848428</c:v>
                </c:pt>
                <c:pt idx="202">
                  <c:v>3.5141114348142719</c:v>
                </c:pt>
                <c:pt idx="203">
                  <c:v>3.486477460331352</c:v>
                </c:pt>
                <c:pt idx="204">
                  <c:v>3.45654065464152</c:v>
                </c:pt>
                <c:pt idx="205">
                  <c:v>3.0213055565354958</c:v>
                </c:pt>
                <c:pt idx="206">
                  <c:v>3.0028829068802119</c:v>
                </c:pt>
                <c:pt idx="207">
                  <c:v>3.0351225437769558</c:v>
                </c:pt>
                <c:pt idx="208">
                  <c:v>3.1802009098122959</c:v>
                </c:pt>
                <c:pt idx="209">
                  <c:v>3.1732924161915679</c:v>
                </c:pt>
                <c:pt idx="210">
                  <c:v>2.3972382994628361</c:v>
                </c:pt>
                <c:pt idx="211">
                  <c:v>2.58837328963638</c:v>
                </c:pt>
                <c:pt idx="212">
                  <c:v>2.6943035251542478</c:v>
                </c:pt>
                <c:pt idx="213">
                  <c:v>2.8969526713623441</c:v>
                </c:pt>
                <c:pt idx="214">
                  <c:v>2.8462903848103203</c:v>
                </c:pt>
                <c:pt idx="215">
                  <c:v>2.8508960472241398</c:v>
                </c:pt>
                <c:pt idx="216">
                  <c:v>2.1853778284271002</c:v>
                </c:pt>
                <c:pt idx="217">
                  <c:v>2.1853778284271002</c:v>
                </c:pt>
                <c:pt idx="218">
                  <c:v>1.895221096356416</c:v>
                </c:pt>
                <c:pt idx="219">
                  <c:v>1.713297431010512</c:v>
                </c:pt>
                <c:pt idx="220">
                  <c:v>1.7432342367003439</c:v>
                </c:pt>
                <c:pt idx="221">
                  <c:v>1.5705218961820799</c:v>
                </c:pt>
                <c:pt idx="222">
                  <c:v>1.554402077733712</c:v>
                </c:pt>
                <c:pt idx="223">
                  <c:v>1.5659162337682599</c:v>
                </c:pt>
                <c:pt idx="224">
                  <c:v>1.559007740147532</c:v>
                </c:pt>
                <c:pt idx="225">
                  <c:v>1.7524455615279839</c:v>
                </c:pt>
                <c:pt idx="226">
                  <c:v>1.892918265149508</c:v>
                </c:pt>
                <c:pt idx="227">
                  <c:v>1.899826758770236</c:v>
                </c:pt>
                <c:pt idx="228">
                  <c:v>2.0011513318742837</c:v>
                </c:pt>
                <c:pt idx="229">
                  <c:v>2.1692580099787282</c:v>
                </c:pt>
                <c:pt idx="230">
                  <c:v>1.455380335836572</c:v>
                </c:pt>
                <c:pt idx="231">
                  <c:v>1.641909663596296</c:v>
                </c:pt>
                <c:pt idx="232">
                  <c:v>1.6971776125621401</c:v>
                </c:pt>
                <c:pt idx="233">
                  <c:v>1.7455370679072559</c:v>
                </c:pt>
                <c:pt idx="234">
                  <c:v>1.7524455615279839</c:v>
                </c:pt>
                <c:pt idx="235">
                  <c:v>1.9159465772186079</c:v>
                </c:pt>
                <c:pt idx="236">
                  <c:v>2.1185957234267043</c:v>
                </c:pt>
                <c:pt idx="237">
                  <c:v>1.7570512239418039</c:v>
                </c:pt>
                <c:pt idx="238">
                  <c:v>1.904432421184056</c:v>
                </c:pt>
                <c:pt idx="239">
                  <c:v>1.7501427303210759</c:v>
                </c:pt>
                <c:pt idx="240">
                  <c:v>1.7501427303210759</c:v>
                </c:pt>
                <c:pt idx="241">
                  <c:v>1.902129589977148</c:v>
                </c:pt>
                <c:pt idx="242">
                  <c:v>2.1715608411856397</c:v>
                </c:pt>
                <c:pt idx="243">
                  <c:v>2.3511816753246322</c:v>
                </c:pt>
                <c:pt idx="244">
                  <c:v>2.3626958313591837</c:v>
                </c:pt>
                <c:pt idx="245">
                  <c:v>2.1692580099787282</c:v>
                </c:pt>
                <c:pt idx="246">
                  <c:v>2.5238940158428962</c:v>
                </c:pt>
                <c:pt idx="247">
                  <c:v>2.4571119108424999</c:v>
                </c:pt>
                <c:pt idx="248">
                  <c:v>3.0512423622253282</c:v>
                </c:pt>
                <c:pt idx="249">
                  <c:v>2.779508279809924</c:v>
                </c:pt>
                <c:pt idx="250">
                  <c:v>2.777205448603016</c:v>
                </c:pt>
                <c:pt idx="251">
                  <c:v>2.763388461361552</c:v>
                </c:pt>
                <c:pt idx="252">
                  <c:v>2.2222231277376641</c:v>
                </c:pt>
                <c:pt idx="253">
                  <c:v>2.4908867685438478</c:v>
                </c:pt>
                <c:pt idx="254">
                  <c:v>1.9631546169602681</c:v>
                </c:pt>
                <c:pt idx="255">
                  <c:v>1.965073642966024</c:v>
                </c:pt>
                <c:pt idx="256">
                  <c:v>2.2107089717031121</c:v>
                </c:pt>
                <c:pt idx="257">
                  <c:v>2.2222231277376641</c:v>
                </c:pt>
                <c:pt idx="258">
                  <c:v>2.1876806596340082</c:v>
                </c:pt>
                <c:pt idx="259">
                  <c:v>2.343121766100448</c:v>
                </c:pt>
                <c:pt idx="260">
                  <c:v>2.1147576714151879</c:v>
                </c:pt>
                <c:pt idx="261">
                  <c:v>2.5024009245784002</c:v>
                </c:pt>
                <c:pt idx="262">
                  <c:v>2.5580526787453959</c:v>
                </c:pt>
                <c:pt idx="263">
                  <c:v>1.4833981155206479</c:v>
                </c:pt>
                <c:pt idx="264">
                  <c:v>1.650353378021636</c:v>
                </c:pt>
                <c:pt idx="265">
                  <c:v>1.8326608485686919</c:v>
                </c:pt>
                <c:pt idx="266">
                  <c:v>1.82114669253414</c:v>
                </c:pt>
                <c:pt idx="267">
                  <c:v>2.0418346831963641</c:v>
                </c:pt>
                <c:pt idx="268">
                  <c:v>2.1608142955533918</c:v>
                </c:pt>
                <c:pt idx="269">
                  <c:v>1.558240129745228</c:v>
                </c:pt>
                <c:pt idx="270">
                  <c:v>1.8422559785974841</c:v>
                </c:pt>
                <c:pt idx="271">
                  <c:v>1.7616568863556279</c:v>
                </c:pt>
                <c:pt idx="272">
                  <c:v>2.5887570948375318</c:v>
                </c:pt>
                <c:pt idx="273">
                  <c:v>2.6597610570505958</c:v>
                </c:pt>
                <c:pt idx="274">
                  <c:v>2.57916196480874</c:v>
                </c:pt>
                <c:pt idx="275">
                  <c:v>2.586838068831772</c:v>
                </c:pt>
                <c:pt idx="276">
                  <c:v>2.7019796291772842</c:v>
                </c:pt>
                <c:pt idx="277">
                  <c:v>2.6348137189757361</c:v>
                </c:pt>
                <c:pt idx="278">
                  <c:v>2.57916196480874</c:v>
                </c:pt>
                <c:pt idx="279">
                  <c:v>2.9245866458452681</c:v>
                </c:pt>
                <c:pt idx="280">
                  <c:v>2.9073154117934399</c:v>
                </c:pt>
                <c:pt idx="281">
                  <c:v>2.8823680737185802</c:v>
                </c:pt>
                <c:pt idx="282">
                  <c:v>3.018618920127432</c:v>
                </c:pt>
                <c:pt idx="283">
                  <c:v>2.872772943689788</c:v>
                </c:pt>
                <c:pt idx="284">
                  <c:v>2.8881251517358559</c:v>
                </c:pt>
                <c:pt idx="285">
                  <c:v>2.9572100879431602</c:v>
                </c:pt>
                <c:pt idx="286">
                  <c:v>2.8996393077704079</c:v>
                </c:pt>
                <c:pt idx="287">
                  <c:v>3.022456972138948</c:v>
                </c:pt>
                <c:pt idx="288">
                  <c:v>3.2680923008760359</c:v>
                </c:pt>
                <c:pt idx="289">
                  <c:v>3.0838658043232199</c:v>
                </c:pt>
                <c:pt idx="290">
                  <c:v>3.1894122346399358</c:v>
                </c:pt>
                <c:pt idx="291">
                  <c:v>3.2565781448414839</c:v>
                </c:pt>
                <c:pt idx="292">
                  <c:v>3.3237440550430319</c:v>
                </c:pt>
                <c:pt idx="293">
                  <c:v>3.2469830148126921</c:v>
                </c:pt>
                <c:pt idx="294">
                  <c:v>3.195169312657212</c:v>
                </c:pt>
                <c:pt idx="295">
                  <c:v>3.319906003031516</c:v>
                </c:pt>
                <c:pt idx="296">
                  <c:v>3.195169312657212</c:v>
                </c:pt>
                <c:pt idx="297">
                  <c:v>3.0282140501562238</c:v>
                </c:pt>
                <c:pt idx="298">
                  <c:v>3.0877038563347399</c:v>
                </c:pt>
                <c:pt idx="299">
                  <c:v>3.0282140501562238</c:v>
                </c:pt>
                <c:pt idx="300">
                  <c:v>2.9994286600698481</c:v>
                </c:pt>
                <c:pt idx="301">
                  <c:v>3.030133076161984</c:v>
                </c:pt>
                <c:pt idx="302">
                  <c:v>3.0358901541792598</c:v>
                </c:pt>
                <c:pt idx="303">
                  <c:v>2.8958012557588879</c:v>
                </c:pt>
                <c:pt idx="304">
                  <c:v>3.030133076161984</c:v>
                </c:pt>
                <c:pt idx="305">
                  <c:v>3.030133076161984</c:v>
                </c:pt>
                <c:pt idx="306">
                  <c:v>2.9975096340640883</c:v>
                </c:pt>
                <c:pt idx="307">
                  <c:v>3.0032667120813641</c:v>
                </c:pt>
                <c:pt idx="308">
                  <c:v>2.9898335300410559</c:v>
                </c:pt>
                <c:pt idx="309">
                  <c:v>1.64459630000436</c:v>
                </c:pt>
                <c:pt idx="310">
                  <c:v>1.475722011497612</c:v>
                </c:pt>
                <c:pt idx="311">
                  <c:v>1.4776410375033719</c:v>
                </c:pt>
                <c:pt idx="312">
                  <c:v>2.7230889152406279</c:v>
                </c:pt>
                <c:pt idx="313">
                  <c:v>3.1587078185477999</c:v>
                </c:pt>
                <c:pt idx="314">
                  <c:v>3.2201166507320722</c:v>
                </c:pt>
                <c:pt idx="315">
                  <c:v>3.2316308067666242</c:v>
                </c:pt>
                <c:pt idx="316">
                  <c:v>2.5734048867914643</c:v>
                </c:pt>
                <c:pt idx="317">
                  <c:v>2.410287676301992</c:v>
                </c:pt>
                <c:pt idx="318">
                  <c:v>2.0053731890869519</c:v>
                </c:pt>
                <c:pt idx="319">
                  <c:v>2.0360776051790879</c:v>
                </c:pt>
                <c:pt idx="320">
                  <c:v>1.991940007046644</c:v>
                </c:pt>
                <c:pt idx="321">
                  <c:v>2.1128386454094281</c:v>
                </c:pt>
                <c:pt idx="322">
                  <c:v>1.471883959486096</c:v>
                </c:pt>
                <c:pt idx="323">
                  <c:v>1.46420785546306</c:v>
                </c:pt>
                <c:pt idx="324">
                  <c:v>1.801956432476556</c:v>
                </c:pt>
                <c:pt idx="325">
                  <c:v>1.81922766652838</c:v>
                </c:pt>
                <c:pt idx="326">
                  <c:v>1.452693699428512</c:v>
                </c:pt>
                <c:pt idx="327">
                  <c:v>1.535211817676124</c:v>
                </c:pt>
                <c:pt idx="328">
                  <c:v>1.6887338981368041</c:v>
                </c:pt>
                <c:pt idx="329">
                  <c:v>1.905583836787512</c:v>
                </c:pt>
                <c:pt idx="330">
                  <c:v>2.4544252744344401</c:v>
                </c:pt>
                <c:pt idx="331">
                  <c:v>2.4525062484286799</c:v>
                </c:pt>
                <c:pt idx="332">
                  <c:v>2.4505872224229197</c:v>
                </c:pt>
                <c:pt idx="333">
                  <c:v>2.4486681964171639</c:v>
                </c:pt>
                <c:pt idx="334">
                  <c:v>2.3834213122213761</c:v>
                </c:pt>
                <c:pt idx="335">
                  <c:v>2.339283714088928</c:v>
                </c:pt>
                <c:pt idx="336">
                  <c:v>2.4601823524517159</c:v>
                </c:pt>
                <c:pt idx="337">
                  <c:v>2.6959685468425443</c:v>
                </c:pt>
                <c:pt idx="338">
                  <c:v>1.5389826279301881</c:v>
                </c:pt>
                <c:pt idx="339">
                  <c:v>1.444147716543928</c:v>
                </c:pt>
                <c:pt idx="340">
                  <c:v>1.45468492892018</c:v>
                </c:pt>
                <c:pt idx="341">
                  <c:v>1.505263548326184</c:v>
                </c:pt>
                <c:pt idx="342">
                  <c:v>1.7834459550592081</c:v>
                </c:pt>
                <c:pt idx="343">
                  <c:v>2.00051253000998</c:v>
                </c:pt>
                <c:pt idx="344">
                  <c:v>2.0300167246634802</c:v>
                </c:pt>
                <c:pt idx="345">
                  <c:v>1.89724784872272</c:v>
                </c:pt>
                <c:pt idx="346">
                  <c:v>2.3250586711985077</c:v>
                </c:pt>
                <c:pt idx="347">
                  <c:v>2.4030340427827683</c:v>
                </c:pt>
                <c:pt idx="348">
                  <c:v>2.4030340427827683</c:v>
                </c:pt>
                <c:pt idx="349">
                  <c:v>2.2239014323865001</c:v>
                </c:pt>
                <c:pt idx="350">
                  <c:v>2.6938611043672918</c:v>
                </c:pt>
                <c:pt idx="351">
                  <c:v>2.7086132016940443</c:v>
                </c:pt>
                <c:pt idx="352">
                  <c:v>2.3882819454560158</c:v>
                </c:pt>
                <c:pt idx="353">
                  <c:v>2.3545628658520119</c:v>
                </c:pt>
                <c:pt idx="354">
                  <c:v>2.369314963178764</c:v>
                </c:pt>
                <c:pt idx="355">
                  <c:v>1.775016185158208</c:v>
                </c:pt>
                <c:pt idx="356">
                  <c:v>1.756049202880956</c:v>
                </c:pt>
                <c:pt idx="357">
                  <c:v>1.8087352647622121</c:v>
                </c:pt>
                <c:pt idx="358">
                  <c:v>1.6865036011977002</c:v>
                </c:pt>
                <c:pt idx="359">
                  <c:v>1.6190654419896919</c:v>
                </c:pt>
                <c:pt idx="360">
                  <c:v>1.6928259286234519</c:v>
                </c:pt>
                <c:pt idx="361">
                  <c:v>1.743404548029456</c:v>
                </c:pt>
                <c:pt idx="362">
                  <c:v>1.4083211944646761</c:v>
                </c:pt>
                <c:pt idx="363">
                  <c:v>2.4746870869412723</c:v>
                </c:pt>
                <c:pt idx="364">
                  <c:v>2.481009414367024</c:v>
                </c:pt>
                <c:pt idx="365">
                  <c:v>2.3861745029807642</c:v>
                </c:pt>
              </c:numCache>
            </c:numRef>
          </c:xVal>
          <c:yVal>
            <c:numRef>
              <c:f>'Figure 2 Data'!$Y$11:$Y$712</c:f>
              <c:numCache>
                <c:formatCode>General</c:formatCode>
                <c:ptCount val="702"/>
                <c:pt idx="0">
                  <c:v>0.136485697606538</c:v>
                </c:pt>
                <c:pt idx="1">
                  <c:v>0.129194503902618</c:v>
                </c:pt>
                <c:pt idx="2">
                  <c:v>9.5614148883267094E-2</c:v>
                </c:pt>
                <c:pt idx="3">
                  <c:v>4.7371948714621998E-2</c:v>
                </c:pt>
                <c:pt idx="4">
                  <c:v>5.1155650688633397E-2</c:v>
                </c:pt>
                <c:pt idx="5">
                  <c:v>7.6524846910216604E-2</c:v>
                </c:pt>
                <c:pt idx="6">
                  <c:v>8.7363576523269995E-2</c:v>
                </c:pt>
                <c:pt idx="7">
                  <c:v>7.2583490687288199E-2</c:v>
                </c:pt>
                <c:pt idx="8">
                  <c:v>7.0612812575823997E-2</c:v>
                </c:pt>
                <c:pt idx="9">
                  <c:v>0.102143662359251</c:v>
                </c:pt>
                <c:pt idx="10">
                  <c:v>8.0466203133145106E-2</c:v>
                </c:pt>
                <c:pt idx="11">
                  <c:v>0.10148676965543001</c:v>
                </c:pt>
                <c:pt idx="12">
                  <c:v>0.11790908725096599</c:v>
                </c:pt>
                <c:pt idx="13">
                  <c:v>0.14188567094044699</c:v>
                </c:pt>
                <c:pt idx="14">
                  <c:v>0.14451324175573299</c:v>
                </c:pt>
                <c:pt idx="15">
                  <c:v>8.0137756781234401E-2</c:v>
                </c:pt>
                <c:pt idx="16">
                  <c:v>7.5211061502573798E-2</c:v>
                </c:pt>
                <c:pt idx="17">
                  <c:v>9.9187645192055696E-2</c:v>
                </c:pt>
                <c:pt idx="18">
                  <c:v>0.118237533602876</c:v>
                </c:pt>
                <c:pt idx="19">
                  <c:v>0.13367451214268</c:v>
                </c:pt>
                <c:pt idx="20">
                  <c:v>6.9955919872002503E-2</c:v>
                </c:pt>
                <c:pt idx="21">
                  <c:v>9.6231628024859101E-2</c:v>
                </c:pt>
                <c:pt idx="22">
                  <c:v>8.0794649485055894E-2</c:v>
                </c:pt>
                <c:pt idx="23">
                  <c:v>9.3604057209573502E-2</c:v>
                </c:pt>
                <c:pt idx="24">
                  <c:v>0.100501430599698</c:v>
                </c:pt>
                <c:pt idx="25">
                  <c:v>8.1451542188877193E-2</c:v>
                </c:pt>
                <c:pt idx="26">
                  <c:v>9.5903181672948506E-2</c:v>
                </c:pt>
                <c:pt idx="27">
                  <c:v>4.5979336182520703E-2</c:v>
                </c:pt>
                <c:pt idx="28">
                  <c:v>3.645439197711E-2</c:v>
                </c:pt>
                <c:pt idx="29">
                  <c:v>3.7111284680931299E-2</c:v>
                </c:pt>
                <c:pt idx="30">
                  <c:v>3.34983748099138E-2</c:v>
                </c:pt>
                <c:pt idx="31">
                  <c:v>3.7439731032842198E-2</c:v>
                </c:pt>
                <c:pt idx="32">
                  <c:v>3.0213911290806601E-2</c:v>
                </c:pt>
                <c:pt idx="33">
                  <c:v>5.12344778130919E-2</c:v>
                </c:pt>
                <c:pt idx="34">
                  <c:v>0.114624623731858</c:v>
                </c:pt>
                <c:pt idx="35">
                  <c:v>6.9627473520091604E-2</c:v>
                </c:pt>
                <c:pt idx="36">
                  <c:v>8.2436881244609406E-2</c:v>
                </c:pt>
                <c:pt idx="37">
                  <c:v>5.9774082962770397E-2</c:v>
                </c:pt>
                <c:pt idx="38">
                  <c:v>0.100501430599698</c:v>
                </c:pt>
                <c:pt idx="39">
                  <c:v>9.2618718153841303E-2</c:v>
                </c:pt>
                <c:pt idx="40">
                  <c:v>6.7985241760538204E-2</c:v>
                </c:pt>
                <c:pt idx="41">
                  <c:v>0.18129923316973201</c:v>
                </c:pt>
                <c:pt idx="42">
                  <c:v>8.2436881244609406E-2</c:v>
                </c:pt>
                <c:pt idx="43">
                  <c:v>0.10608501858218</c:v>
                </c:pt>
                <c:pt idx="44">
                  <c:v>9.4917842617216294E-2</c:v>
                </c:pt>
                <c:pt idx="45">
                  <c:v>9.45893962653057E-2</c:v>
                </c:pt>
                <c:pt idx="46">
                  <c:v>0.109369482101287</c:v>
                </c:pt>
                <c:pt idx="47">
                  <c:v>0.11528151643568001</c:v>
                </c:pt>
                <c:pt idx="48">
                  <c:v>0.13170383403121599</c:v>
                </c:pt>
                <c:pt idx="49">
                  <c:v>0.13663052930987599</c:v>
                </c:pt>
                <c:pt idx="50">
                  <c:v>0.12776247780828701</c:v>
                </c:pt>
                <c:pt idx="51">
                  <c:v>0.111340160212751</c:v>
                </c:pt>
                <c:pt idx="52">
                  <c:v>6.3715439185698802E-2</c:v>
                </c:pt>
                <c:pt idx="53">
                  <c:v>8.7596313890162703E-2</c:v>
                </c:pt>
                <c:pt idx="54">
                  <c:v>9.6209861556873597E-2</c:v>
                </c:pt>
                <c:pt idx="55">
                  <c:v>7.6398701923438395E-2</c:v>
                </c:pt>
                <c:pt idx="56">
                  <c:v>8.5873604356820399E-2</c:v>
                </c:pt>
                <c:pt idx="57">
                  <c:v>6.7354476873391994E-2</c:v>
                </c:pt>
                <c:pt idx="58">
                  <c:v>7.0369218556740804E-2</c:v>
                </c:pt>
                <c:pt idx="59">
                  <c:v>7.2522605473418697E-2</c:v>
                </c:pt>
                <c:pt idx="60">
                  <c:v>5.4936612320550297E-2</c:v>
                </c:pt>
                <c:pt idx="61">
                  <c:v>6.4267955626153797E-2</c:v>
                </c:pt>
                <c:pt idx="62">
                  <c:v>8.7237416070716306E-2</c:v>
                </c:pt>
                <c:pt idx="63">
                  <c:v>0.109847978695832</c:v>
                </c:pt>
                <c:pt idx="64">
                  <c:v>7.1087014195633194E-2</c:v>
                </c:pt>
                <c:pt idx="65">
                  <c:v>0.160452571237759</c:v>
                </c:pt>
                <c:pt idx="66">
                  <c:v>0.13826072273532999</c:v>
                </c:pt>
                <c:pt idx="67">
                  <c:v>0.143644190027024</c:v>
                </c:pt>
                <c:pt idx="68">
                  <c:v>0.16966428193687999</c:v>
                </c:pt>
                <c:pt idx="69">
                  <c:v>0.16547714071000699</c:v>
                </c:pt>
                <c:pt idx="70">
                  <c:v>0.17714131984201101</c:v>
                </c:pt>
                <c:pt idx="71">
                  <c:v>0.203161411751867</c:v>
                </c:pt>
                <c:pt idx="72">
                  <c:v>0.22529344395105499</c:v>
                </c:pt>
                <c:pt idx="73">
                  <c:v>0.25250986192573199</c:v>
                </c:pt>
                <c:pt idx="74">
                  <c:v>0.21811548756212901</c:v>
                </c:pt>
                <c:pt idx="75">
                  <c:v>0.25345695339371499</c:v>
                </c:pt>
                <c:pt idx="76">
                  <c:v>0.25320771879687698</c:v>
                </c:pt>
                <c:pt idx="77">
                  <c:v>0.18591437765069799</c:v>
                </c:pt>
                <c:pt idx="78">
                  <c:v>0.206102379994552</c:v>
                </c:pt>
                <c:pt idx="79">
                  <c:v>0.21083783733446801</c:v>
                </c:pt>
                <c:pt idx="80">
                  <c:v>0.22529344395105499</c:v>
                </c:pt>
                <c:pt idx="81">
                  <c:v>0.223548801773191</c:v>
                </c:pt>
                <c:pt idx="82">
                  <c:v>0.309036268488522</c:v>
                </c:pt>
                <c:pt idx="83">
                  <c:v>0.223548801773191</c:v>
                </c:pt>
                <c:pt idx="84">
                  <c:v>0.23551206242139999</c:v>
                </c:pt>
                <c:pt idx="85">
                  <c:v>0.24622915008542101</c:v>
                </c:pt>
                <c:pt idx="86">
                  <c:v>0.25819241073363097</c:v>
                </c:pt>
                <c:pt idx="87">
                  <c:v>0.267912560010302</c:v>
                </c:pt>
                <c:pt idx="88">
                  <c:v>0.14803071893136699</c:v>
                </c:pt>
                <c:pt idx="89">
                  <c:v>0.15949551038590201</c:v>
                </c:pt>
                <c:pt idx="90">
                  <c:v>0.12061491327922</c:v>
                </c:pt>
                <c:pt idx="91">
                  <c:v>0.121861086263409</c:v>
                </c:pt>
                <c:pt idx="92">
                  <c:v>0.141799854010425</c:v>
                </c:pt>
                <c:pt idx="93">
                  <c:v>0.15550775683649801</c:v>
                </c:pt>
                <c:pt idx="94">
                  <c:v>0.18192662410129501</c:v>
                </c:pt>
                <c:pt idx="95">
                  <c:v>0.249718434441149</c:v>
                </c:pt>
                <c:pt idx="96">
                  <c:v>0.24373680411704499</c:v>
                </c:pt>
                <c:pt idx="97">
                  <c:v>0.132827408524268</c:v>
                </c:pt>
                <c:pt idx="98">
                  <c:v>0.15750163361120001</c:v>
                </c:pt>
                <c:pt idx="99">
                  <c:v>0.191896007974803</c:v>
                </c:pt>
                <c:pt idx="100">
                  <c:v>0.20311156483249901</c:v>
                </c:pt>
                <c:pt idx="101">
                  <c:v>0.22778578991943199</c:v>
                </c:pt>
                <c:pt idx="102">
                  <c:v>0.22778578991943199</c:v>
                </c:pt>
                <c:pt idx="103">
                  <c:v>0.19737916910523201</c:v>
                </c:pt>
                <c:pt idx="104">
                  <c:v>0.203610034026175</c:v>
                </c:pt>
                <c:pt idx="105">
                  <c:v>0.24249063113285599</c:v>
                </c:pt>
                <c:pt idx="106">
                  <c:v>0.37284032527897298</c:v>
                </c:pt>
                <c:pt idx="107">
                  <c:v>0.32997197462288902</c:v>
                </c:pt>
                <c:pt idx="108">
                  <c:v>0.28560821638577799</c:v>
                </c:pt>
                <c:pt idx="109">
                  <c:v>0.311528614456899</c:v>
                </c:pt>
                <c:pt idx="110">
                  <c:v>0.33395972817229203</c:v>
                </c:pt>
                <c:pt idx="111">
                  <c:v>0.36137553382443899</c:v>
                </c:pt>
                <c:pt idx="112">
                  <c:v>0.27314648654389301</c:v>
                </c:pt>
                <c:pt idx="113">
                  <c:v>0.28984520453201901</c:v>
                </c:pt>
                <c:pt idx="114">
                  <c:v>0.29059290832253198</c:v>
                </c:pt>
                <c:pt idx="115">
                  <c:v>0.346172223417339</c:v>
                </c:pt>
                <c:pt idx="116">
                  <c:v>0.21607176386806001</c:v>
                </c:pt>
                <c:pt idx="117">
                  <c:v>0.20720403679011001</c:v>
                </c:pt>
                <c:pt idx="118">
                  <c:v>0.237041365907597</c:v>
                </c:pt>
                <c:pt idx="119">
                  <c:v>0.248669655257657</c:v>
                </c:pt>
                <c:pt idx="120">
                  <c:v>0.241778817124288</c:v>
                </c:pt>
                <c:pt idx="121">
                  <c:v>0.25082304217433399</c:v>
                </c:pt>
                <c:pt idx="122">
                  <c:v>0.27407962087445398</c:v>
                </c:pt>
                <c:pt idx="123">
                  <c:v>0.28958400667453299</c:v>
                </c:pt>
                <c:pt idx="124">
                  <c:v>0.28441587807450702</c:v>
                </c:pt>
                <c:pt idx="125">
                  <c:v>0.31025652107464002</c:v>
                </c:pt>
                <c:pt idx="126">
                  <c:v>0.31973142350802197</c:v>
                </c:pt>
                <c:pt idx="127">
                  <c:v>0.42567805980856599</c:v>
                </c:pt>
                <c:pt idx="128">
                  <c:v>0.48468086132553601</c:v>
                </c:pt>
                <c:pt idx="129">
                  <c:v>0.48554221609220699</c:v>
                </c:pt>
                <c:pt idx="130">
                  <c:v>0.49846253759227399</c:v>
                </c:pt>
                <c:pt idx="131">
                  <c:v>0.52516453535907703</c:v>
                </c:pt>
                <c:pt idx="132">
                  <c:v>0.54023824377582197</c:v>
                </c:pt>
                <c:pt idx="133">
                  <c:v>0.49544779590892501</c:v>
                </c:pt>
                <c:pt idx="134">
                  <c:v>0.48468086132553601</c:v>
                </c:pt>
                <c:pt idx="135">
                  <c:v>0.41275773830849999</c:v>
                </c:pt>
                <c:pt idx="136">
                  <c:v>0.40758960970847302</c:v>
                </c:pt>
                <c:pt idx="137">
                  <c:v>0.42438602765855998</c:v>
                </c:pt>
                <c:pt idx="138">
                  <c:v>0.41620315737518399</c:v>
                </c:pt>
                <c:pt idx="139">
                  <c:v>0.42697009195857299</c:v>
                </c:pt>
                <c:pt idx="140">
                  <c:v>0.42050993120854002</c:v>
                </c:pt>
                <c:pt idx="141">
                  <c:v>0.47563663627549002</c:v>
                </c:pt>
                <c:pt idx="142">
                  <c:v>0.48295815179219398</c:v>
                </c:pt>
                <c:pt idx="143">
                  <c:v>0.45539479925871901</c:v>
                </c:pt>
                <c:pt idx="144">
                  <c:v>0.50190795665895804</c:v>
                </c:pt>
                <c:pt idx="145">
                  <c:v>0.49415576375891801</c:v>
                </c:pt>
                <c:pt idx="146">
                  <c:v>0.53722350209247305</c:v>
                </c:pt>
                <c:pt idx="147">
                  <c:v>0.58244462734270497</c:v>
                </c:pt>
                <c:pt idx="148">
                  <c:v>0.54325298545917</c:v>
                </c:pt>
                <c:pt idx="149">
                  <c:v>0.54669840452585505</c:v>
                </c:pt>
                <c:pt idx="150">
                  <c:v>0.627665752592937</c:v>
                </c:pt>
                <c:pt idx="151">
                  <c:v>0.58416733687604705</c:v>
                </c:pt>
                <c:pt idx="152">
                  <c:v>0.59450359407610098</c:v>
                </c:pt>
                <c:pt idx="153">
                  <c:v>0.57426175705933002</c:v>
                </c:pt>
                <c:pt idx="154">
                  <c:v>0.58804343332606701</c:v>
                </c:pt>
                <c:pt idx="155">
                  <c:v>0.57253904752598705</c:v>
                </c:pt>
                <c:pt idx="156">
                  <c:v>0.62809642997627302</c:v>
                </c:pt>
                <c:pt idx="157">
                  <c:v>0.64747691222637305</c:v>
                </c:pt>
                <c:pt idx="158">
                  <c:v>0.68666855410990701</c:v>
                </c:pt>
                <c:pt idx="159">
                  <c:v>0.71121716496003295</c:v>
                </c:pt>
                <c:pt idx="160">
                  <c:v>0.71121716496003295</c:v>
                </c:pt>
                <c:pt idx="161">
                  <c:v>0.73878051749350804</c:v>
                </c:pt>
                <c:pt idx="162">
                  <c:v>0.75213151637691</c:v>
                </c:pt>
                <c:pt idx="163">
                  <c:v>0.83137615491065098</c:v>
                </c:pt>
                <c:pt idx="164">
                  <c:v>0.78830841657709605</c:v>
                </c:pt>
                <c:pt idx="165">
                  <c:v>0.773234708160352</c:v>
                </c:pt>
                <c:pt idx="166">
                  <c:v>0.77840283676037902</c:v>
                </c:pt>
                <c:pt idx="167">
                  <c:v>0.75773032236027205</c:v>
                </c:pt>
                <c:pt idx="168">
                  <c:v>0.64101675147633896</c:v>
                </c:pt>
                <c:pt idx="169">
                  <c:v>0.66384265279312304</c:v>
                </c:pt>
                <c:pt idx="170">
                  <c:v>0.69442074700994705</c:v>
                </c:pt>
                <c:pt idx="171">
                  <c:v>0.66901078139314996</c:v>
                </c:pt>
                <c:pt idx="172">
                  <c:v>0.705187681593336</c:v>
                </c:pt>
                <c:pt idx="173">
                  <c:v>0.74524067824354201</c:v>
                </c:pt>
                <c:pt idx="174">
                  <c:v>0.68623787672657199</c:v>
                </c:pt>
                <c:pt idx="175">
                  <c:v>0.67030281354315702</c:v>
                </c:pt>
                <c:pt idx="176">
                  <c:v>0.61689881800954904</c:v>
                </c:pt>
                <c:pt idx="177">
                  <c:v>0.658243846809761</c:v>
                </c:pt>
                <c:pt idx="178">
                  <c:v>0.627665752592937</c:v>
                </c:pt>
                <c:pt idx="179">
                  <c:v>0.61862152754289101</c:v>
                </c:pt>
                <c:pt idx="180">
                  <c:v>0.68752990887657806</c:v>
                </c:pt>
                <c:pt idx="181">
                  <c:v>0.71293987449337604</c:v>
                </c:pt>
                <c:pt idx="182">
                  <c:v>0.77452674031035895</c:v>
                </c:pt>
                <c:pt idx="183">
                  <c:v>0.82663870369395998</c:v>
                </c:pt>
                <c:pt idx="184">
                  <c:v>0.88521082782759397</c:v>
                </c:pt>
                <c:pt idx="185">
                  <c:v>0.91277418036106905</c:v>
                </c:pt>
                <c:pt idx="186">
                  <c:v>0.89683911717765397</c:v>
                </c:pt>
                <c:pt idx="187">
                  <c:v>0.87358253847753398</c:v>
                </c:pt>
                <c:pt idx="188">
                  <c:v>0.86496899081082401</c:v>
                </c:pt>
                <c:pt idx="189">
                  <c:v>0.90329927792768705</c:v>
                </c:pt>
                <c:pt idx="190">
                  <c:v>0.909328761294385</c:v>
                </c:pt>
                <c:pt idx="191">
                  <c:v>0.88779489212760798</c:v>
                </c:pt>
                <c:pt idx="192">
                  <c:v>0.85893950744412595</c:v>
                </c:pt>
                <c:pt idx="193">
                  <c:v>0.82577734892728905</c:v>
                </c:pt>
                <c:pt idx="194">
                  <c:v>0.815441091727236</c:v>
                </c:pt>
                <c:pt idx="195">
                  <c:v>0.81501041434389998</c:v>
                </c:pt>
                <c:pt idx="196">
                  <c:v>1.05550066519847</c:v>
                </c:pt>
                <c:pt idx="197">
                  <c:v>1.0368954022383701</c:v>
                </c:pt>
                <c:pt idx="198">
                  <c:v>1.0275927707583199</c:v>
                </c:pt>
                <c:pt idx="199">
                  <c:v>1.0115715720982399</c:v>
                </c:pt>
                <c:pt idx="200">
                  <c:v>0.98366367765810003</c:v>
                </c:pt>
                <c:pt idx="201">
                  <c:v>0.94696996459791205</c:v>
                </c:pt>
                <c:pt idx="202">
                  <c:v>0.91906207015776797</c:v>
                </c:pt>
                <c:pt idx="203">
                  <c:v>0.90820900009771199</c:v>
                </c:pt>
                <c:pt idx="204">
                  <c:v>0.89115417571762501</c:v>
                </c:pt>
                <c:pt idx="205">
                  <c:v>0.89012054999761903</c:v>
                </c:pt>
                <c:pt idx="206">
                  <c:v>0.57486470539599899</c:v>
                </c:pt>
                <c:pt idx="207">
                  <c:v>0.59657084551611095</c:v>
                </c:pt>
                <c:pt idx="208">
                  <c:v>0.81104818241721299</c:v>
                </c:pt>
                <c:pt idx="209">
                  <c:v>0.74024482059684904</c:v>
                </c:pt>
                <c:pt idx="210">
                  <c:v>0.817249936737245</c:v>
                </c:pt>
                <c:pt idx="211">
                  <c:v>0.807430492397195</c:v>
                </c:pt>
                <c:pt idx="212">
                  <c:v>0.81001455669720801</c:v>
                </c:pt>
                <c:pt idx="213">
                  <c:v>0.81880037531725303</c:v>
                </c:pt>
                <c:pt idx="214">
                  <c:v>0.83120388395731704</c:v>
                </c:pt>
                <c:pt idx="215">
                  <c:v>0.81673312387724195</c:v>
                </c:pt>
                <c:pt idx="216">
                  <c:v>0.894771865737643</c:v>
                </c:pt>
                <c:pt idx="217">
                  <c:v>0.91544438013774998</c:v>
                </c:pt>
                <c:pt idx="218">
                  <c:v>0.86221265555747595</c:v>
                </c:pt>
                <c:pt idx="219">
                  <c:v>0.85084277263741803</c:v>
                </c:pt>
                <c:pt idx="220">
                  <c:v>0.82241806533727202</c:v>
                </c:pt>
                <c:pt idx="221">
                  <c:v>0.82810300679730098</c:v>
                </c:pt>
                <c:pt idx="222">
                  <c:v>0.80277917665717102</c:v>
                </c:pt>
                <c:pt idx="223">
                  <c:v>0.78314028797707003</c:v>
                </c:pt>
                <c:pt idx="224">
                  <c:v>0.74644657491688104</c:v>
                </c:pt>
                <c:pt idx="225">
                  <c:v>0.86996484845751598</c:v>
                </c:pt>
                <c:pt idx="226">
                  <c:v>0.89735593003765701</c:v>
                </c:pt>
                <c:pt idx="227">
                  <c:v>0.96040709895798104</c:v>
                </c:pt>
                <c:pt idx="228">
                  <c:v>0.98831499339812401</c:v>
                </c:pt>
                <c:pt idx="229">
                  <c:v>0.98469730337810502</c:v>
                </c:pt>
                <c:pt idx="230">
                  <c:v>1.1474933542789401</c:v>
                </c:pt>
                <c:pt idx="231">
                  <c:v>1.1361234713588799</c:v>
                </c:pt>
                <c:pt idx="232">
                  <c:v>1.1237199627188199</c:v>
                </c:pt>
                <c:pt idx="233">
                  <c:v>1.11235007979876</c:v>
                </c:pt>
                <c:pt idx="234">
                  <c:v>1.15162785715896</c:v>
                </c:pt>
                <c:pt idx="235">
                  <c:v>1.1598968629190001</c:v>
                </c:pt>
                <c:pt idx="236">
                  <c:v>1.21416221321928</c:v>
                </c:pt>
                <c:pt idx="237">
                  <c:v>1.2808310721596201</c:v>
                </c:pt>
                <c:pt idx="238">
                  <c:v>1.2865160136196501</c:v>
                </c:pt>
                <c:pt idx="239">
                  <c:v>1.31028940517977</c:v>
                </c:pt>
                <c:pt idx="240">
                  <c:v>1.3381972996199201</c:v>
                </c:pt>
                <c:pt idx="241">
                  <c:v>1.3412981767799299</c:v>
                </c:pt>
                <c:pt idx="242">
                  <c:v>1.3630043169000401</c:v>
                </c:pt>
                <c:pt idx="243">
                  <c:v>1.3893617727601799</c:v>
                </c:pt>
                <c:pt idx="244">
                  <c:v>1.34956718253998</c:v>
                </c:pt>
                <c:pt idx="245">
                  <c:v>1.2555072420194899</c:v>
                </c:pt>
                <c:pt idx="246">
                  <c:v>1.23173385045937</c:v>
                </c:pt>
                <c:pt idx="247">
                  <c:v>1.2027923302992201</c:v>
                </c:pt>
                <c:pt idx="248">
                  <c:v>1.16196411435901</c:v>
                </c:pt>
                <c:pt idx="249">
                  <c:v>0.92991514021782395</c:v>
                </c:pt>
                <c:pt idx="250">
                  <c:v>0.89942318147766698</c:v>
                </c:pt>
                <c:pt idx="251">
                  <c:v>0.86996484845751598</c:v>
                </c:pt>
                <c:pt idx="252">
                  <c:v>1.1438756642589201</c:v>
                </c:pt>
                <c:pt idx="253">
                  <c:v>1.15481486979564</c:v>
                </c:pt>
                <c:pt idx="254">
                  <c:v>1.20778818794591</c:v>
                </c:pt>
                <c:pt idx="255">
                  <c:v>1.2142483486959501</c:v>
                </c:pt>
                <c:pt idx="256">
                  <c:v>1.19745193074586</c:v>
                </c:pt>
                <c:pt idx="257">
                  <c:v>1.1896997378458201</c:v>
                </c:pt>
                <c:pt idx="258">
                  <c:v>1.09064393967865</c:v>
                </c:pt>
                <c:pt idx="259">
                  <c:v>1.08073835986193</c:v>
                </c:pt>
                <c:pt idx="260">
                  <c:v>1.1104550993120801</c:v>
                </c:pt>
                <c:pt idx="261">
                  <c:v>1.0915052944453201</c:v>
                </c:pt>
                <c:pt idx="262">
                  <c:v>1.1199300017454601</c:v>
                </c:pt>
                <c:pt idx="263">
                  <c:v>1.0915052944453201</c:v>
                </c:pt>
                <c:pt idx="264">
                  <c:v>1.0622192323785</c:v>
                </c:pt>
                <c:pt idx="265">
                  <c:v>1.05274432994512</c:v>
                </c:pt>
                <c:pt idx="266">
                  <c:v>1.0234582678783</c:v>
                </c:pt>
                <c:pt idx="267">
                  <c:v>1.0325024929283499</c:v>
                </c:pt>
                <c:pt idx="268">
                  <c:v>1.0217355583449601</c:v>
                </c:pt>
                <c:pt idx="269">
                  <c:v>0.89253234334429798</c:v>
                </c:pt>
                <c:pt idx="270">
                  <c:v>0.88693353736093605</c:v>
                </c:pt>
                <c:pt idx="271">
                  <c:v>0.89253234334429798</c:v>
                </c:pt>
                <c:pt idx="272">
                  <c:v>0.92870924354448403</c:v>
                </c:pt>
                <c:pt idx="273">
                  <c:v>0.86238492651081</c:v>
                </c:pt>
                <c:pt idx="274">
                  <c:v>0.878750667077561</c:v>
                </c:pt>
                <c:pt idx="275">
                  <c:v>0.90329927792768705</c:v>
                </c:pt>
                <c:pt idx="276">
                  <c:v>0.99029610936146795</c:v>
                </c:pt>
                <c:pt idx="277">
                  <c:v>1.0406853632117199</c:v>
                </c:pt>
                <c:pt idx="278">
                  <c:v>1.0682487157452001</c:v>
                </c:pt>
                <c:pt idx="279">
                  <c:v>1.0561897490118</c:v>
                </c:pt>
                <c:pt idx="280">
                  <c:v>1.0299184286283301</c:v>
                </c:pt>
                <c:pt idx="281">
                  <c:v>1.0402546858283901</c:v>
                </c:pt>
                <c:pt idx="282">
                  <c:v>1.0406853632117199</c:v>
                </c:pt>
                <c:pt idx="283">
                  <c:v>1.0544670394784601</c:v>
                </c:pt>
                <c:pt idx="284">
                  <c:v>0.95282717701127495</c:v>
                </c:pt>
                <c:pt idx="285">
                  <c:v>0.96359411159466402</c:v>
                </c:pt>
                <c:pt idx="286">
                  <c:v>0.96617817589467703</c:v>
                </c:pt>
                <c:pt idx="287">
                  <c:v>0.92870924354448403</c:v>
                </c:pt>
                <c:pt idx="288">
                  <c:v>0.94119888766121496</c:v>
                </c:pt>
                <c:pt idx="289">
                  <c:v>0.963163434211328</c:v>
                </c:pt>
                <c:pt idx="290">
                  <c:v>0.91492756727774704</c:v>
                </c:pt>
                <c:pt idx="291">
                  <c:v>0.914066212511076</c:v>
                </c:pt>
                <c:pt idx="292">
                  <c:v>0.90631401961103597</c:v>
                </c:pt>
                <c:pt idx="293">
                  <c:v>0.90502198746102902</c:v>
                </c:pt>
                <c:pt idx="294">
                  <c:v>0.88779489212760798</c:v>
                </c:pt>
                <c:pt idx="295">
                  <c:v>0.87401321586087</c:v>
                </c:pt>
                <c:pt idx="296">
                  <c:v>0.87444389324420602</c:v>
                </c:pt>
                <c:pt idx="297">
                  <c:v>0.84429647641071703</c:v>
                </c:pt>
                <c:pt idx="298">
                  <c:v>0.85247934669409298</c:v>
                </c:pt>
                <c:pt idx="299">
                  <c:v>0.63541794549297703</c:v>
                </c:pt>
                <c:pt idx="300">
                  <c:v>0.65479842774307695</c:v>
                </c:pt>
                <c:pt idx="301">
                  <c:v>0.67030281354315702</c:v>
                </c:pt>
                <c:pt idx="302">
                  <c:v>0.68839126364324998</c:v>
                </c:pt>
                <c:pt idx="303">
                  <c:v>0.71250919711004002</c:v>
                </c:pt>
                <c:pt idx="304">
                  <c:v>0.71767732571006704</c:v>
                </c:pt>
                <c:pt idx="305">
                  <c:v>0.78572435227708304</c:v>
                </c:pt>
                <c:pt idx="306">
                  <c:v>0.77452674031035895</c:v>
                </c:pt>
                <c:pt idx="307">
                  <c:v>0.75299287114358104</c:v>
                </c:pt>
                <c:pt idx="308">
                  <c:v>0.73705780796016596</c:v>
                </c:pt>
                <c:pt idx="309">
                  <c:v>0.92741721139447797</c:v>
                </c:pt>
                <c:pt idx="310">
                  <c:v>0.93947617812787299</c:v>
                </c:pt>
                <c:pt idx="311">
                  <c:v>0.909328761294385</c:v>
                </c:pt>
                <c:pt idx="312">
                  <c:v>0.87401321586087</c:v>
                </c:pt>
                <c:pt idx="313">
                  <c:v>0.96962359496136097</c:v>
                </c:pt>
                <c:pt idx="314">
                  <c:v>0.989004077211461</c:v>
                </c:pt>
                <c:pt idx="315">
                  <c:v>0.96660885327801205</c:v>
                </c:pt>
                <c:pt idx="316">
                  <c:v>1.13629574231221</c:v>
                </c:pt>
                <c:pt idx="317">
                  <c:v>1.13155829109552</c:v>
                </c:pt>
                <c:pt idx="318">
                  <c:v>1.12337542081215</c:v>
                </c:pt>
                <c:pt idx="319">
                  <c:v>1.1238060981954801</c:v>
                </c:pt>
                <c:pt idx="320">
                  <c:v>1.1100244219287401</c:v>
                </c:pt>
                <c:pt idx="321">
                  <c:v>1.0488682334951001</c:v>
                </c:pt>
                <c:pt idx="322">
                  <c:v>1.07600090864524</c:v>
                </c:pt>
                <c:pt idx="323">
                  <c:v>1.07083278004521</c:v>
                </c:pt>
                <c:pt idx="324">
                  <c:v>1.1027029064120399</c:v>
                </c:pt>
                <c:pt idx="325">
                  <c:v>1.0915052944453201</c:v>
                </c:pt>
                <c:pt idx="326">
                  <c:v>1.04326942751174</c:v>
                </c:pt>
                <c:pt idx="327">
                  <c:v>1.0415467179783899</c:v>
                </c:pt>
                <c:pt idx="328">
                  <c:v>1.00924591422823</c:v>
                </c:pt>
                <c:pt idx="329">
                  <c:v>0.93129330784449804</c:v>
                </c:pt>
                <c:pt idx="330">
                  <c:v>0.86798373249417204</c:v>
                </c:pt>
                <c:pt idx="331">
                  <c:v>0.85161799192742205</c:v>
                </c:pt>
                <c:pt idx="332">
                  <c:v>0.83783631566068395</c:v>
                </c:pt>
                <c:pt idx="333">
                  <c:v>0.90071521362767404</c:v>
                </c:pt>
                <c:pt idx="334">
                  <c:v>0.93301601737784001</c:v>
                </c:pt>
                <c:pt idx="335">
                  <c:v>0.95971801514464405</c:v>
                </c:pt>
                <c:pt idx="336">
                  <c:v>0.977375787861401</c:v>
                </c:pt>
                <c:pt idx="337">
                  <c:v>1.12194330933385</c:v>
                </c:pt>
                <c:pt idx="338">
                  <c:v>1.00795928736675</c:v>
                </c:pt>
                <c:pt idx="339">
                  <c:v>1.0098511383537601</c:v>
                </c:pt>
                <c:pt idx="340">
                  <c:v>0.98147337354867903</c:v>
                </c:pt>
                <c:pt idx="341">
                  <c:v>0.96870337938639095</c:v>
                </c:pt>
                <c:pt idx="342">
                  <c:v>1.0708633326846899</c:v>
                </c:pt>
                <c:pt idx="343">
                  <c:v>1.0907277680482499</c:v>
                </c:pt>
                <c:pt idx="344">
                  <c:v>1.0675525934574299</c:v>
                </c:pt>
                <c:pt idx="345">
                  <c:v>1.0789036993794701</c:v>
                </c:pt>
                <c:pt idx="346">
                  <c:v>1.04390445611986</c:v>
                </c:pt>
                <c:pt idx="347">
                  <c:v>1.0566744502821499</c:v>
                </c:pt>
                <c:pt idx="348">
                  <c:v>1.02451298350305</c:v>
                </c:pt>
                <c:pt idx="349">
                  <c:v>1.01032410110051</c:v>
                </c:pt>
                <c:pt idx="350">
                  <c:v>1.0240400207563001</c:v>
                </c:pt>
                <c:pt idx="351">
                  <c:v>1.0401207541458499</c:v>
                </c:pt>
                <c:pt idx="352">
                  <c:v>1.1848473546517899</c:v>
                </c:pt>
                <c:pt idx="353">
                  <c:v>1.1432266329376599</c:v>
                </c:pt>
                <c:pt idx="354">
                  <c:v>1.16356403104797</c:v>
                </c:pt>
                <c:pt idx="355">
                  <c:v>0.91809636548398899</c:v>
                </c:pt>
                <c:pt idx="356">
                  <c:v>0.94410931655531705</c:v>
                </c:pt>
                <c:pt idx="357">
                  <c:v>0.98809485200319902</c:v>
                </c:pt>
                <c:pt idx="358">
                  <c:v>0.956406347970854</c:v>
                </c:pt>
                <c:pt idx="359">
                  <c:v>0.97816263432141903</c:v>
                </c:pt>
                <c:pt idx="360">
                  <c:v>0.99187855397721103</c:v>
                </c:pt>
                <c:pt idx="361">
                  <c:v>0.97296004410715398</c:v>
                </c:pt>
                <c:pt idx="362">
                  <c:v>0.994243367710968</c:v>
                </c:pt>
                <c:pt idx="363">
                  <c:v>0.96066301269161702</c:v>
                </c:pt>
                <c:pt idx="364">
                  <c:v>0.93039339689952605</c:v>
                </c:pt>
                <c:pt idx="365">
                  <c:v>0.99944595792523305</c:v>
                </c:pt>
              </c:numCache>
            </c:numRef>
          </c:yVal>
          <c:smooth val="0"/>
          <c:extLst>
            <c:ext xmlns:c16="http://schemas.microsoft.com/office/drawing/2014/chart" uri="{C3380CC4-5D6E-409C-BE32-E72D297353CC}">
              <c16:uniqueId val="{00000005-FB3D-4317-BD8D-186F50E6236A}"/>
            </c:ext>
          </c:extLst>
        </c:ser>
        <c:ser>
          <c:idx val="6"/>
          <c:order val="6"/>
          <c:spPr>
            <a:ln w="25400" cap="rnd">
              <a:noFill/>
              <a:round/>
            </a:ln>
            <a:effectLst/>
          </c:spPr>
          <c:marker>
            <c:symbol val="circle"/>
            <c:size val="4"/>
            <c:spPr>
              <a:solidFill>
                <a:srgbClr val="FF0000"/>
              </a:solidFill>
              <a:ln w="9525">
                <a:noFill/>
              </a:ln>
              <a:effectLst/>
            </c:spPr>
          </c:marker>
          <c:xVal>
            <c:numRef>
              <c:f>'Figure 2 Data'!$AC$29:$AM$29</c:f>
              <c:numCache>
                <c:formatCode>General</c:formatCode>
                <c:ptCount val="11"/>
                <c:pt idx="0">
                  <c:v>1</c:v>
                </c:pt>
                <c:pt idx="1">
                  <c:v>2</c:v>
                </c:pt>
                <c:pt idx="2">
                  <c:v>3</c:v>
                </c:pt>
                <c:pt idx="3">
                  <c:v>4</c:v>
                </c:pt>
                <c:pt idx="4">
                  <c:v>5</c:v>
                </c:pt>
                <c:pt idx="5">
                  <c:v>6</c:v>
                </c:pt>
                <c:pt idx="6">
                  <c:v>7</c:v>
                </c:pt>
                <c:pt idx="7">
                  <c:v>8</c:v>
                </c:pt>
                <c:pt idx="8">
                  <c:v>9</c:v>
                </c:pt>
                <c:pt idx="9">
                  <c:v>10</c:v>
                </c:pt>
                <c:pt idx="10">
                  <c:v>11</c:v>
                </c:pt>
              </c:numCache>
            </c:numRef>
          </c:xVal>
          <c:yVal>
            <c:numRef>
              <c:f>'Figure 2 Data'!$AC$30:$AM$30</c:f>
              <c:numCache>
                <c:formatCode>General</c:formatCode>
                <c:ptCount val="11"/>
                <c:pt idx="1">
                  <c:v>1.041200246739667</c:v>
                </c:pt>
                <c:pt idx="2">
                  <c:v>0.89472084225747062</c:v>
                </c:pt>
                <c:pt idx="3">
                  <c:v>0.74462050281153869</c:v>
                </c:pt>
                <c:pt idx="4">
                  <c:v>0.44402878047184985</c:v>
                </c:pt>
                <c:pt idx="5">
                  <c:v>0.28672071654786274</c:v>
                </c:pt>
                <c:pt idx="6">
                  <c:v>0.21079629823499513</c:v>
                </c:pt>
                <c:pt idx="7">
                  <c:v>0.1398389969956064</c:v>
                </c:pt>
                <c:pt idx="8">
                  <c:v>8.8574000301894856E-2</c:v>
                </c:pt>
                <c:pt idx="9">
                  <c:v>9.9167117295060975E-2</c:v>
                </c:pt>
                <c:pt idx="10">
                  <c:v>8.1204112603771167E-2</c:v>
                </c:pt>
              </c:numCache>
            </c:numRef>
          </c:yVal>
          <c:smooth val="0"/>
          <c:extLst>
            <c:ext xmlns:c16="http://schemas.microsoft.com/office/drawing/2014/chart" uri="{C3380CC4-5D6E-409C-BE32-E72D297353CC}">
              <c16:uniqueId val="{00000006-FB3D-4317-BD8D-186F50E6236A}"/>
            </c:ext>
          </c:extLst>
        </c:ser>
        <c:ser>
          <c:idx val="7"/>
          <c:order val="7"/>
          <c:spPr>
            <a:ln w="15875" cap="rnd">
              <a:solidFill>
                <a:schemeClr val="tx1"/>
              </a:solidFill>
              <a:prstDash val="dash"/>
              <a:round/>
            </a:ln>
            <a:effectLst/>
          </c:spPr>
          <c:marker>
            <c:symbol val="none"/>
          </c:marker>
          <c:xVal>
            <c:numRef>
              <c:f>'Figure 2 Data'!$AQ$11:$AQ$36</c:f>
              <c:numCache>
                <c:formatCode>General</c:formatCode>
                <c:ptCount val="26"/>
                <c:pt idx="0">
                  <c:v>1</c:v>
                </c:pt>
                <c:pt idx="1">
                  <c:v>1.4</c:v>
                </c:pt>
                <c:pt idx="2">
                  <c:v>1.8</c:v>
                </c:pt>
                <c:pt idx="3">
                  <c:v>2.2000000000000002</c:v>
                </c:pt>
                <c:pt idx="4">
                  <c:v>2.6</c:v>
                </c:pt>
                <c:pt idx="5">
                  <c:v>3</c:v>
                </c:pt>
                <c:pt idx="6">
                  <c:v>3.4</c:v>
                </c:pt>
                <c:pt idx="7">
                  <c:v>3.8</c:v>
                </c:pt>
                <c:pt idx="8">
                  <c:v>4.2</c:v>
                </c:pt>
                <c:pt idx="9">
                  <c:v>4.5999999999999996</c:v>
                </c:pt>
                <c:pt idx="10">
                  <c:v>5</c:v>
                </c:pt>
                <c:pt idx="11">
                  <c:v>5.4</c:v>
                </c:pt>
                <c:pt idx="12">
                  <c:v>5.8</c:v>
                </c:pt>
                <c:pt idx="13">
                  <c:v>6.2</c:v>
                </c:pt>
                <c:pt idx="14">
                  <c:v>6.6</c:v>
                </c:pt>
                <c:pt idx="15">
                  <c:v>7</c:v>
                </c:pt>
                <c:pt idx="16">
                  <c:v>7.4</c:v>
                </c:pt>
                <c:pt idx="17">
                  <c:v>7.8</c:v>
                </c:pt>
                <c:pt idx="18">
                  <c:v>8.1999999999999993</c:v>
                </c:pt>
                <c:pt idx="19">
                  <c:v>8.6</c:v>
                </c:pt>
                <c:pt idx="20">
                  <c:v>9</c:v>
                </c:pt>
                <c:pt idx="21">
                  <c:v>9.4</c:v>
                </c:pt>
                <c:pt idx="22">
                  <c:v>9.8000000000000007</c:v>
                </c:pt>
                <c:pt idx="23">
                  <c:v>10.199999999999999</c:v>
                </c:pt>
                <c:pt idx="24">
                  <c:v>10.6</c:v>
                </c:pt>
                <c:pt idx="25">
                  <c:v>11</c:v>
                </c:pt>
              </c:numCache>
            </c:numRef>
          </c:xVal>
          <c:yVal>
            <c:numRef>
              <c:f>'Figure 2 Data'!$AP$11:$AP$36</c:f>
              <c:numCache>
                <c:formatCode>General</c:formatCode>
                <c:ptCount val="26"/>
                <c:pt idx="0">
                  <c:v>1</c:v>
                </c:pt>
                <c:pt idx="1">
                  <c:v>1</c:v>
                </c:pt>
                <c:pt idx="2">
                  <c:v>1</c:v>
                </c:pt>
                <c:pt idx="3">
                  <c:v>1</c:v>
                </c:pt>
                <c:pt idx="4">
                  <c:v>1</c:v>
                </c:pt>
                <c:pt idx="5">
                  <c:v>1</c:v>
                </c:pt>
                <c:pt idx="6">
                  <c:v>1</c:v>
                </c:pt>
                <c:pt idx="7">
                  <c:v>1</c:v>
                </c:pt>
                <c:pt idx="8">
                  <c:v>1</c:v>
                </c:pt>
                <c:pt idx="9">
                  <c:v>1</c:v>
                </c:pt>
                <c:pt idx="10">
                  <c:v>1</c:v>
                </c:pt>
                <c:pt idx="11">
                  <c:v>0.82644628099173545</c:v>
                </c:pt>
                <c:pt idx="12">
                  <c:v>0.69444444444444442</c:v>
                </c:pt>
                <c:pt idx="13">
                  <c:v>0.59171597633136086</c:v>
                </c:pt>
                <c:pt idx="14">
                  <c:v>0.51020408163265318</c:v>
                </c:pt>
                <c:pt idx="15">
                  <c:v>0.44444444444444442</c:v>
                </c:pt>
                <c:pt idx="16">
                  <c:v>0.39062499999999994</c:v>
                </c:pt>
                <c:pt idx="17">
                  <c:v>0.34602076124567477</c:v>
                </c:pt>
                <c:pt idx="18">
                  <c:v>0.30864197530864196</c:v>
                </c:pt>
                <c:pt idx="19">
                  <c:v>0.2770083102493075</c:v>
                </c:pt>
                <c:pt idx="20">
                  <c:v>0.25</c:v>
                </c:pt>
                <c:pt idx="21">
                  <c:v>0.22675736961451246</c:v>
                </c:pt>
                <c:pt idx="22">
                  <c:v>0.20661157024793386</c:v>
                </c:pt>
                <c:pt idx="23">
                  <c:v>0.18903591682419663</c:v>
                </c:pt>
                <c:pt idx="24">
                  <c:v>0.1736111111111111</c:v>
                </c:pt>
                <c:pt idx="25">
                  <c:v>0.16</c:v>
                </c:pt>
              </c:numCache>
            </c:numRef>
          </c:yVal>
          <c:smooth val="0"/>
          <c:extLst>
            <c:ext xmlns:c16="http://schemas.microsoft.com/office/drawing/2014/chart" uri="{C3380CC4-5D6E-409C-BE32-E72D297353CC}">
              <c16:uniqueId val="{00000007-FB3D-4317-BD8D-186F50E6236A}"/>
            </c:ext>
          </c:extLst>
        </c:ser>
        <c:dLbls>
          <c:showLegendKey val="0"/>
          <c:showVal val="0"/>
          <c:showCatName val="0"/>
          <c:showSerName val="0"/>
          <c:showPercent val="0"/>
          <c:showBubbleSize val="0"/>
        </c:dLbls>
        <c:axId val="311763584"/>
        <c:axId val="311761088"/>
      </c:scatterChart>
      <c:catAx>
        <c:axId val="311763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λ</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311761088"/>
        <c:crosses val="autoZero"/>
        <c:auto val="1"/>
        <c:lblAlgn val="ctr"/>
        <c:lblOffset val="100"/>
        <c:noMultiLvlLbl val="0"/>
      </c:catAx>
      <c:valAx>
        <c:axId val="311761088"/>
        <c:scaling>
          <c:orientation val="minMax"/>
          <c:max val="1.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χ</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311763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GB"/>
              <a:t>Present work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barChart>
        <c:barDir val="col"/>
        <c:grouping val="stacked"/>
        <c:varyColors val="0"/>
        <c:ser>
          <c:idx val="0"/>
          <c:order val="0"/>
          <c:spPr>
            <a:noFill/>
            <a:ln>
              <a:noFill/>
            </a:ln>
            <a:effectLst/>
          </c:spPr>
          <c:invertIfNegative val="0"/>
          <c:cat>
            <c:numRef>
              <c:f>'Figure 2 Data'!$H$22:$T$22</c:f>
              <c:numCache>
                <c:formatCode>General</c:formatCode>
                <c:ptCount val="13"/>
                <c:pt idx="0">
                  <c:v>0</c:v>
                </c:pt>
                <c:pt idx="2">
                  <c:v>0.5</c:v>
                </c:pt>
                <c:pt idx="4">
                  <c:v>1</c:v>
                </c:pt>
                <c:pt idx="6">
                  <c:v>1.5</c:v>
                </c:pt>
                <c:pt idx="8">
                  <c:v>2</c:v>
                </c:pt>
                <c:pt idx="10">
                  <c:v>2.5</c:v>
                </c:pt>
                <c:pt idx="12">
                  <c:v>3</c:v>
                </c:pt>
              </c:numCache>
            </c:numRef>
          </c:cat>
          <c:val>
            <c:numRef>
              <c:f>'Figure 2 Data'!$H$23:$T$23</c:f>
              <c:numCache>
                <c:formatCode>General</c:formatCode>
                <c:ptCount val="13"/>
                <c:pt idx="0">
                  <c:v>0</c:v>
                </c:pt>
                <c:pt idx="1">
                  <c:v>0.70263144234674091</c:v>
                </c:pt>
                <c:pt idx="2">
                  <c:v>0.40704500978473579</c:v>
                </c:pt>
                <c:pt idx="3">
                  <c:v>0.33493530499075785</c:v>
                </c:pt>
                <c:pt idx="4">
                  <c:v>0.16800785083415112</c:v>
                </c:pt>
                <c:pt idx="5">
                  <c:v>0.13135459425323651</c:v>
                </c:pt>
                <c:pt idx="6">
                  <c:v>8.4590163934426227E-2</c:v>
                </c:pt>
                <c:pt idx="7">
                  <c:v>5.7993904801096403E-2</c:v>
                </c:pt>
                <c:pt idx="8">
                  <c:v>3.4505954836150668E-2</c:v>
                </c:pt>
                <c:pt idx="9">
                  <c:v>5.9557412008281581E-2</c:v>
                </c:pt>
                <c:pt idx="10">
                  <c:v>8.6441010463035081E-2</c:v>
                </c:pt>
                <c:pt idx="11">
                  <c:v>2.8874244497282611E-2</c:v>
                </c:pt>
                <c:pt idx="12">
                  <c:v>2.8872668478260873E-2</c:v>
                </c:pt>
              </c:numCache>
            </c:numRef>
          </c:val>
          <c:extLst>
            <c:ext xmlns:c16="http://schemas.microsoft.com/office/drawing/2014/chart" uri="{C3380CC4-5D6E-409C-BE32-E72D297353CC}">
              <c16:uniqueId val="{00000000-4C45-47A9-A191-8FEE64939E81}"/>
            </c:ext>
          </c:extLst>
        </c:ser>
        <c:ser>
          <c:idx val="1"/>
          <c:order val="1"/>
          <c:spPr>
            <a:noFill/>
            <a:ln>
              <a:noFill/>
            </a:ln>
            <a:effectLst/>
          </c:spPr>
          <c:invertIfNegative val="0"/>
          <c:errBars>
            <c:errBarType val="minus"/>
            <c:errValType val="cust"/>
            <c:noEndCap val="0"/>
            <c:plus>
              <c:numLit>
                <c:formatCode>General</c:formatCode>
                <c:ptCount val="1"/>
                <c:pt idx="0">
                  <c:v>1</c:v>
                </c:pt>
              </c:numLit>
            </c:plus>
            <c:minus>
              <c:numRef>
                <c:f>'Figure 2 Data'!$H$32:$T$32</c:f>
                <c:numCache>
                  <c:formatCode>General</c:formatCode>
                  <c:ptCount val="13"/>
                  <c:pt idx="0">
                    <c:v>0</c:v>
                  </c:pt>
                  <c:pt idx="1">
                    <c:v>0.28857594575677104</c:v>
                  </c:pt>
                  <c:pt idx="2">
                    <c:v>0.32930445059462898</c:v>
                  </c:pt>
                  <c:pt idx="3">
                    <c:v>0.28736864038361465</c:v>
                  </c:pt>
                  <c:pt idx="4">
                    <c:v>0.1184631199294727</c:v>
                  </c:pt>
                  <c:pt idx="5">
                    <c:v>6.7467480889302017E-2</c:v>
                  </c:pt>
                  <c:pt idx="6">
                    <c:v>3.9889657647978805E-2</c:v>
                  </c:pt>
                  <c:pt idx="7">
                    <c:v>1.4390973081282933E-2</c:v>
                  </c:pt>
                  <c:pt idx="8">
                    <c:v>4.8917361557024808E-2</c:v>
                  </c:pt>
                  <c:pt idx="9">
                    <c:v>4.1232714285714331E-3</c:v>
                  </c:pt>
                  <c:pt idx="10">
                    <c:v>0</c:v>
                  </c:pt>
                  <c:pt idx="11">
                    <c:v>7.9678595903062907E-3</c:v>
                  </c:pt>
                  <c:pt idx="12">
                    <c:v>3.1291141304347833E-3</c:v>
                  </c:pt>
                </c:numCache>
              </c:numRef>
            </c:minus>
            <c:spPr>
              <a:noFill/>
              <a:ln w="9525" cap="flat" cmpd="sng" algn="ctr">
                <a:solidFill>
                  <a:schemeClr val="tx1">
                    <a:lumMod val="65000"/>
                    <a:lumOff val="35000"/>
                  </a:schemeClr>
                </a:solidFill>
                <a:round/>
              </a:ln>
              <a:effectLst/>
            </c:spPr>
          </c:errBars>
          <c:cat>
            <c:numRef>
              <c:f>'Figure 2 Data'!$H$22:$T$22</c:f>
              <c:numCache>
                <c:formatCode>General</c:formatCode>
                <c:ptCount val="13"/>
                <c:pt idx="0">
                  <c:v>0</c:v>
                </c:pt>
                <c:pt idx="2">
                  <c:v>0.5</c:v>
                </c:pt>
                <c:pt idx="4">
                  <c:v>1</c:v>
                </c:pt>
                <c:pt idx="6">
                  <c:v>1.5</c:v>
                </c:pt>
                <c:pt idx="8">
                  <c:v>2</c:v>
                </c:pt>
                <c:pt idx="10">
                  <c:v>2.5</c:v>
                </c:pt>
                <c:pt idx="12">
                  <c:v>3</c:v>
                </c:pt>
              </c:numCache>
            </c:numRef>
          </c:cat>
          <c:val>
            <c:numRef>
              <c:f>'Figure 2 Data'!$H$24:$T$24</c:f>
              <c:numCache>
                <c:formatCode>General</c:formatCode>
                <c:ptCount val="13"/>
                <c:pt idx="0">
                  <c:v>0</c:v>
                </c:pt>
                <c:pt idx="1">
                  <c:v>0.28857594575677104</c:v>
                </c:pt>
                <c:pt idx="2">
                  <c:v>0.43610218721077909</c:v>
                </c:pt>
                <c:pt idx="3">
                  <c:v>0.28736864038361465</c:v>
                </c:pt>
                <c:pt idx="4">
                  <c:v>0.1184631199294727</c:v>
                </c:pt>
                <c:pt idx="5">
                  <c:v>6.7467480889302017E-2</c:v>
                </c:pt>
                <c:pt idx="6">
                  <c:v>3.9889657647978805E-2</c:v>
                </c:pt>
                <c:pt idx="7">
                  <c:v>1.4390973081282933E-2</c:v>
                </c:pt>
                <c:pt idx="8">
                  <c:v>4.8917361557024808E-2</c:v>
                </c:pt>
                <c:pt idx="9">
                  <c:v>4.1232714285714331E-3</c:v>
                </c:pt>
                <c:pt idx="10">
                  <c:v>0</c:v>
                </c:pt>
                <c:pt idx="11">
                  <c:v>7.9678595903062907E-3</c:v>
                </c:pt>
                <c:pt idx="12">
                  <c:v>3.1291141304347833E-3</c:v>
                </c:pt>
              </c:numCache>
            </c:numRef>
          </c:val>
          <c:extLst>
            <c:ext xmlns:c16="http://schemas.microsoft.com/office/drawing/2014/chart" uri="{C3380CC4-5D6E-409C-BE32-E72D297353CC}">
              <c16:uniqueId val="{00000001-4C45-47A9-A191-8FEE64939E81}"/>
            </c:ext>
          </c:extLst>
        </c:ser>
        <c:ser>
          <c:idx val="2"/>
          <c:order val="2"/>
          <c:spPr>
            <a:solidFill>
              <a:schemeClr val="bg1">
                <a:lumMod val="65000"/>
              </a:schemeClr>
            </a:solidFill>
            <a:ln>
              <a:solidFill>
                <a:schemeClr val="tx1"/>
              </a:solidFill>
            </a:ln>
            <a:effectLst/>
          </c:spPr>
          <c:invertIfNegative val="0"/>
          <c:cat>
            <c:numRef>
              <c:f>'Figure 2 Data'!$H$22:$T$22</c:f>
              <c:numCache>
                <c:formatCode>General</c:formatCode>
                <c:ptCount val="13"/>
                <c:pt idx="0">
                  <c:v>0</c:v>
                </c:pt>
                <c:pt idx="2">
                  <c:v>0.5</c:v>
                </c:pt>
                <c:pt idx="4">
                  <c:v>1</c:v>
                </c:pt>
                <c:pt idx="6">
                  <c:v>1.5</c:v>
                </c:pt>
                <c:pt idx="8">
                  <c:v>2</c:v>
                </c:pt>
                <c:pt idx="10">
                  <c:v>2.5</c:v>
                </c:pt>
                <c:pt idx="12">
                  <c:v>3</c:v>
                </c:pt>
              </c:numCache>
            </c:numRef>
          </c:cat>
          <c:val>
            <c:numRef>
              <c:f>'Figure 2 Data'!$H$25:$T$25</c:f>
              <c:numCache>
                <c:formatCode>General</c:formatCode>
                <c:ptCount val="13"/>
                <c:pt idx="0">
                  <c:v>0</c:v>
                </c:pt>
                <c:pt idx="1">
                  <c:v>0.13385142429701391</c:v>
                </c:pt>
                <c:pt idx="2">
                  <c:v>0.13259806045705957</c:v>
                </c:pt>
                <c:pt idx="3">
                  <c:v>0.10662126008467321</c:v>
                </c:pt>
                <c:pt idx="4">
                  <c:v>0.13016768875192208</c:v>
                </c:pt>
                <c:pt idx="5">
                  <c:v>6.2651741296356367E-2</c:v>
                </c:pt>
                <c:pt idx="6">
                  <c:v>3.7057149432087766E-2</c:v>
                </c:pt>
                <c:pt idx="7">
                  <c:v>1.4474126413696012E-2</c:v>
                </c:pt>
                <c:pt idx="8">
                  <c:v>2.9341607543945714E-2</c:v>
                </c:pt>
                <c:pt idx="9">
                  <c:v>1.413609045412223E-2</c:v>
                </c:pt>
                <c:pt idx="10">
                  <c:v>0</c:v>
                </c:pt>
                <c:pt idx="11">
                  <c:v>2.1052630907193663E-2</c:v>
                </c:pt>
                <c:pt idx="12">
                  <c:v>3.1291141304347833E-3</c:v>
                </c:pt>
              </c:numCache>
            </c:numRef>
          </c:val>
          <c:extLst>
            <c:ext xmlns:c16="http://schemas.microsoft.com/office/drawing/2014/chart" uri="{C3380CC4-5D6E-409C-BE32-E72D297353CC}">
              <c16:uniqueId val="{00000002-4C45-47A9-A191-8FEE64939E81}"/>
            </c:ext>
          </c:extLst>
        </c:ser>
        <c:ser>
          <c:idx val="3"/>
          <c:order val="3"/>
          <c:spPr>
            <a:solidFill>
              <a:schemeClr val="bg1">
                <a:lumMod val="65000"/>
              </a:schemeClr>
            </a:solidFill>
            <a:ln>
              <a:solidFill>
                <a:schemeClr val="tx1"/>
              </a:solidFill>
            </a:ln>
            <a:effectLst/>
          </c:spPr>
          <c:invertIfNegative val="0"/>
          <c:errBars>
            <c:errBarType val="plus"/>
            <c:errValType val="cust"/>
            <c:noEndCap val="0"/>
            <c:plus>
              <c:numRef>
                <c:f>'Figure 2 Data'!$H$33:$T$33</c:f>
                <c:numCache>
                  <c:formatCode>General</c:formatCode>
                  <c:ptCount val="13"/>
                  <c:pt idx="0">
                    <c:v>0</c:v>
                  </c:pt>
                  <c:pt idx="1">
                    <c:v>0.48714599725488061</c:v>
                  </c:pt>
                  <c:pt idx="2">
                    <c:v>0.15940409298697711</c:v>
                  </c:pt>
                  <c:pt idx="3">
                    <c:v>0.25890249678787036</c:v>
                  </c:pt>
                  <c:pt idx="4">
                    <c:v>0.23988832263872695</c:v>
                  </c:pt>
                  <c:pt idx="5">
                    <c:v>0.10965814917309918</c:v>
                  </c:pt>
                  <c:pt idx="6">
                    <c:v>3.2538120127869802E-2</c:v>
                  </c:pt>
                  <c:pt idx="7">
                    <c:v>8.2864148318327419E-2</c:v>
                  </c:pt>
                  <c:pt idx="8">
                    <c:v>3.3818502717391313E-2</c:v>
                  </c:pt>
                  <c:pt idx="9">
                    <c:v>1.5908175374113945E-2</c:v>
                  </c:pt>
                  <c:pt idx="10">
                    <c:v>0</c:v>
                  </c:pt>
                  <c:pt idx="11">
                    <c:v>2.8428671221216825E-2</c:v>
                  </c:pt>
                  <c:pt idx="12">
                    <c:v>2.2408102398059931E-2</c:v>
                  </c:pt>
                </c:numCache>
              </c:numRef>
            </c:plus>
            <c:minus>
              <c:numLit>
                <c:formatCode>General</c:formatCode>
                <c:ptCount val="1"/>
                <c:pt idx="0">
                  <c:v>1</c:v>
                </c:pt>
              </c:numLit>
            </c:minus>
            <c:spPr>
              <a:noFill/>
              <a:ln w="9525" cap="flat" cmpd="sng" algn="ctr">
                <a:solidFill>
                  <a:schemeClr val="tx1">
                    <a:lumMod val="65000"/>
                    <a:lumOff val="35000"/>
                  </a:schemeClr>
                </a:solidFill>
                <a:round/>
              </a:ln>
              <a:effectLst/>
            </c:spPr>
          </c:errBars>
          <c:cat>
            <c:numRef>
              <c:f>'Figure 2 Data'!$H$22:$T$22</c:f>
              <c:numCache>
                <c:formatCode>General</c:formatCode>
                <c:ptCount val="13"/>
                <c:pt idx="0">
                  <c:v>0</c:v>
                </c:pt>
                <c:pt idx="2">
                  <c:v>0.5</c:v>
                </c:pt>
                <c:pt idx="4">
                  <c:v>1</c:v>
                </c:pt>
                <c:pt idx="6">
                  <c:v>1.5</c:v>
                </c:pt>
                <c:pt idx="8">
                  <c:v>2</c:v>
                </c:pt>
                <c:pt idx="10">
                  <c:v>2.5</c:v>
                </c:pt>
                <c:pt idx="12">
                  <c:v>3</c:v>
                </c:pt>
              </c:numCache>
            </c:numRef>
          </c:cat>
          <c:val>
            <c:numRef>
              <c:f>'Figure 2 Data'!$H$26:$T$26</c:f>
              <c:numCache>
                <c:formatCode>General</c:formatCode>
                <c:ptCount val="13"/>
                <c:pt idx="0">
                  <c:v>0</c:v>
                </c:pt>
                <c:pt idx="1">
                  <c:v>0.14379519034459354</c:v>
                </c:pt>
                <c:pt idx="2">
                  <c:v>0.11885064956044844</c:v>
                </c:pt>
                <c:pt idx="3">
                  <c:v>9.967229775308406E-2</c:v>
                </c:pt>
                <c:pt idx="4">
                  <c:v>0.12135667847979215</c:v>
                </c:pt>
                <c:pt idx="5">
                  <c:v>6.5355742422508079E-2</c:v>
                </c:pt>
                <c:pt idx="6">
                  <c:v>6.1854995380886568E-2</c:v>
                </c:pt>
                <c:pt idx="7">
                  <c:v>3.7930068917688325E-2</c:v>
                </c:pt>
                <c:pt idx="8">
                  <c:v>1.7520270356357101E-2</c:v>
                </c:pt>
                <c:pt idx="9">
                  <c:v>1.8064391769303051E-2</c:v>
                </c:pt>
                <c:pt idx="10">
                  <c:v>0</c:v>
                </c:pt>
                <c:pt idx="11">
                  <c:v>1.7715555481295872E-2</c:v>
                </c:pt>
                <c:pt idx="12">
                  <c:v>2.2408102398059924E-2</c:v>
                </c:pt>
              </c:numCache>
            </c:numRef>
          </c:val>
          <c:extLst>
            <c:ext xmlns:c16="http://schemas.microsoft.com/office/drawing/2014/chart" uri="{C3380CC4-5D6E-409C-BE32-E72D297353CC}">
              <c16:uniqueId val="{00000003-4C45-47A9-A191-8FEE64939E81}"/>
            </c:ext>
          </c:extLst>
        </c:ser>
        <c:ser>
          <c:idx val="4"/>
          <c:order val="4"/>
          <c:spPr>
            <a:noFill/>
            <a:ln>
              <a:noFill/>
            </a:ln>
            <a:effectLst/>
          </c:spPr>
          <c:invertIfNegative val="0"/>
          <c:cat>
            <c:numRef>
              <c:f>'Figure 2 Data'!$H$22:$T$22</c:f>
              <c:numCache>
                <c:formatCode>General</c:formatCode>
                <c:ptCount val="13"/>
                <c:pt idx="0">
                  <c:v>0</c:v>
                </c:pt>
                <c:pt idx="2">
                  <c:v>0.5</c:v>
                </c:pt>
                <c:pt idx="4">
                  <c:v>1</c:v>
                </c:pt>
                <c:pt idx="6">
                  <c:v>1.5</c:v>
                </c:pt>
                <c:pt idx="8">
                  <c:v>2</c:v>
                </c:pt>
                <c:pt idx="10">
                  <c:v>2.5</c:v>
                </c:pt>
                <c:pt idx="12">
                  <c:v>3</c:v>
                </c:pt>
              </c:numCache>
            </c:numRef>
          </c:cat>
          <c:val>
            <c:numRef>
              <c:f>'Figure 2 Data'!$H$27:$T$27</c:f>
              <c:numCache>
                <c:formatCode>General</c:formatCode>
                <c:ptCount val="13"/>
                <c:pt idx="0">
                  <c:v>0</c:v>
                </c:pt>
                <c:pt idx="1">
                  <c:v>0.48714599725488061</c:v>
                </c:pt>
                <c:pt idx="2">
                  <c:v>0.15940409298697711</c:v>
                </c:pt>
                <c:pt idx="3">
                  <c:v>0.25890249678787036</c:v>
                </c:pt>
                <c:pt idx="4">
                  <c:v>0.23988832263872695</c:v>
                </c:pt>
                <c:pt idx="5">
                  <c:v>0.20369670962632691</c:v>
                </c:pt>
                <c:pt idx="6">
                  <c:v>0.15197216050538606</c:v>
                </c:pt>
                <c:pt idx="7">
                  <c:v>8.2864148318327419E-2</c:v>
                </c:pt>
                <c:pt idx="8">
                  <c:v>3.3818502717391313E-2</c:v>
                </c:pt>
                <c:pt idx="9">
                  <c:v>1.5908175374113945E-2</c:v>
                </c:pt>
                <c:pt idx="10">
                  <c:v>0</c:v>
                </c:pt>
                <c:pt idx="11">
                  <c:v>2.8428671221216825E-2</c:v>
                </c:pt>
                <c:pt idx="12">
                  <c:v>2.2408102398059931E-2</c:v>
                </c:pt>
              </c:numCache>
            </c:numRef>
          </c:val>
          <c:extLst>
            <c:ext xmlns:c16="http://schemas.microsoft.com/office/drawing/2014/chart" uri="{C3380CC4-5D6E-409C-BE32-E72D297353CC}">
              <c16:uniqueId val="{00000004-4C45-47A9-A191-8FEE64939E81}"/>
            </c:ext>
          </c:extLst>
        </c:ser>
        <c:dLbls>
          <c:showLegendKey val="0"/>
          <c:showVal val="0"/>
          <c:showCatName val="0"/>
          <c:showSerName val="0"/>
          <c:showPercent val="0"/>
          <c:showBubbleSize val="0"/>
        </c:dLbls>
        <c:gapWidth val="10"/>
        <c:overlap val="100"/>
        <c:axId val="311763584"/>
        <c:axId val="311761088"/>
      </c:barChart>
      <c:scatterChart>
        <c:scatterStyle val="lineMarker"/>
        <c:varyColors val="0"/>
        <c:ser>
          <c:idx val="5"/>
          <c:order val="5"/>
          <c:tx>
            <c:v>DATA POINTS</c:v>
          </c:tx>
          <c:spPr>
            <a:ln w="25400" cap="rnd">
              <a:noFill/>
              <a:round/>
            </a:ln>
            <a:effectLst/>
          </c:spPr>
          <c:marker>
            <c:symbol val="x"/>
            <c:size val="3"/>
            <c:spPr>
              <a:noFill/>
              <a:ln w="0">
                <a:solidFill>
                  <a:schemeClr val="tx1">
                    <a:lumMod val="65000"/>
                    <a:lumOff val="35000"/>
                  </a:schemeClr>
                </a:solidFill>
              </a:ln>
              <a:effectLst/>
            </c:spPr>
          </c:marker>
          <c:xVal>
            <c:numRef>
              <c:f>'Figure 2 Data'!$E$11:$E$712</c:f>
              <c:numCache>
                <c:formatCode>General</c:formatCode>
                <c:ptCount val="702"/>
                <c:pt idx="0">
                  <c:v>2.9028111389715909</c:v>
                </c:pt>
                <c:pt idx="1">
                  <c:v>2.9122365966981301</c:v>
                </c:pt>
                <c:pt idx="2">
                  <c:v>2.9028111389715909</c:v>
                </c:pt>
                <c:pt idx="3">
                  <c:v>2.9122365966981301</c:v>
                </c:pt>
                <c:pt idx="4">
                  <c:v>2.9122365966981301</c:v>
                </c:pt>
                <c:pt idx="5">
                  <c:v>2.916571101498131</c:v>
                </c:pt>
                <c:pt idx="6">
                  <c:v>2.9183741521081576</c:v>
                </c:pt>
                <c:pt idx="7">
                  <c:v>2.8940692233234007</c:v>
                </c:pt>
                <c:pt idx="8">
                  <c:v>2.8918774693288318</c:v>
                </c:pt>
                <c:pt idx="9">
                  <c:v>#N/A</c:v>
                </c:pt>
                <c:pt idx="10">
                  <c:v>4.9804059206266391</c:v>
                </c:pt>
                <c:pt idx="11">
                  <c:v>5.0158618480942128</c:v>
                </c:pt>
                <c:pt idx="12">
                  <c:v>4.9636933708334219</c:v>
                </c:pt>
                <c:pt idx="13">
                  <c:v>5.0949797480766561</c:v>
                </c:pt>
                <c:pt idx="14">
                  <c:v>2.1582352460611949</c:v>
                </c:pt>
                <c:pt idx="15">
                  <c:v>2.3924669509184699</c:v>
                </c:pt>
                <c:pt idx="16">
                  <c:v>2.6510270760645707</c:v>
                </c:pt>
                <c:pt idx="17">
                  <c:v>3.486085665507054</c:v>
                </c:pt>
                <c:pt idx="18">
                  <c:v>3.7958376156397815</c:v>
                </c:pt>
                <c:pt idx="19">
                  <c:v>4.5148724874097272</c:v>
                </c:pt>
                <c:pt idx="20">
                  <c:v>2.161811801056051</c:v>
                </c:pt>
                <c:pt idx="21">
                  <c:v>2.1618118077177582</c:v>
                </c:pt>
                <c:pt idx="22">
                  <c:v>2.161811801056051</c:v>
                </c:pt>
                <c:pt idx="23">
                  <c:v>#N/A</c:v>
                </c:pt>
                <c:pt idx="24">
                  <c:v>2.3879903181917967</c:v>
                </c:pt>
                <c:pt idx="25">
                  <c:v>2.6489315551185011</c:v>
                </c:pt>
                <c:pt idx="26">
                  <c:v>3.472138875471467</c:v>
                </c:pt>
                <c:pt idx="27">
                  <c:v>3.756231626635989</c:v>
                </c:pt>
                <c:pt idx="28">
                  <c:v>4.4477343831741347</c:v>
                </c:pt>
                <c:pt idx="29">
                  <c:v>2.1582351129351927</c:v>
                </c:pt>
                <c:pt idx="30">
                  <c:v>1.76089846672898</c:v>
                </c:pt>
                <c:pt idx="31">
                  <c:v>1.7526722956898997</c:v>
                </c:pt>
                <c:pt idx="32">
                  <c:v>1.7526722956898997</c:v>
                </c:pt>
                <c:pt idx="33">
                  <c:v>1.755642080069884</c:v>
                </c:pt>
                <c:pt idx="34">
                  <c:v>5.4467137223989637</c:v>
                </c:pt>
                <c:pt idx="35">
                  <c:v>5.4467137223989637</c:v>
                </c:pt>
                <c:pt idx="36">
                  <c:v>3.7230449130273664</c:v>
                </c:pt>
                <c:pt idx="37">
                  <c:v>3.7230449130273664</c:v>
                </c:pt>
                <c:pt idx="38">
                  <c:v>2.5721507135517911</c:v>
                </c:pt>
                <c:pt idx="39">
                  <c:v>2.5721507135517911</c:v>
                </c:pt>
                <c:pt idx="40">
                  <c:v>6.5947377541809891</c:v>
                </c:pt>
                <c:pt idx="41">
                  <c:v>6.5947377541809891</c:v>
                </c:pt>
                <c:pt idx="42">
                  <c:v>4.7530641803899591</c:v>
                </c:pt>
                <c:pt idx="43">
                  <c:v>4.7530641803899591</c:v>
                </c:pt>
                <c:pt idx="44">
                  <c:v>3.1668326148340853</c:v>
                </c:pt>
                <c:pt idx="45">
                  <c:v>3.1668326148340853</c:v>
                </c:pt>
                <c:pt idx="46">
                  <c:v>4.8373042151198167</c:v>
                </c:pt>
                <c:pt idx="47">
                  <c:v>5.1820921513468985</c:v>
                </c:pt>
                <c:pt idx="48">
                  <c:v>5.1820921513468985</c:v>
                </c:pt>
                <c:pt idx="49">
                  <c:v>5.1820921513468985</c:v>
                </c:pt>
                <c:pt idx="50">
                  <c:v>5.1820921513468985</c:v>
                </c:pt>
                <c:pt idx="51">
                  <c:v>4.7405769354320011</c:v>
                </c:pt>
                <c:pt idx="52">
                  <c:v>4.7405769354320011</c:v>
                </c:pt>
                <c:pt idx="53">
                  <c:v>4.7405769354320011</c:v>
                </c:pt>
                <c:pt idx="54">
                  <c:v>4.7405769354320011</c:v>
                </c:pt>
                <c:pt idx="55">
                  <c:v>4.3456737210775191</c:v>
                </c:pt>
                <c:pt idx="56">
                  <c:v>4.3456737210775191</c:v>
                </c:pt>
                <c:pt idx="57">
                  <c:v>4.3456737210775191</c:v>
                </c:pt>
                <c:pt idx="58">
                  <c:v>4.3456737210775191</c:v>
                </c:pt>
                <c:pt idx="59">
                  <c:v>#N/A</c:v>
                </c:pt>
                <c:pt idx="60">
                  <c:v>#N/A</c:v>
                </c:pt>
                <c:pt idx="61">
                  <c:v>#N/A</c:v>
                </c:pt>
                <c:pt idx="62">
                  <c:v>6.2174290336317455</c:v>
                </c:pt>
                <c:pt idx="63">
                  <c:v>6.2174290336317455</c:v>
                </c:pt>
                <c:pt idx="64">
                  <c:v>6.2174290336317455</c:v>
                </c:pt>
                <c:pt idx="65">
                  <c:v>6.2174290336317455</c:v>
                </c:pt>
                <c:pt idx="66">
                  <c:v>6.1838760873175964</c:v>
                </c:pt>
                <c:pt idx="67">
                  <c:v>6.1838760873175964</c:v>
                </c:pt>
                <c:pt idx="68">
                  <c:v>6.1838760873175964</c:v>
                </c:pt>
                <c:pt idx="69">
                  <c:v>6.1838760873175964</c:v>
                </c:pt>
                <c:pt idx="70">
                  <c:v>4.4544268459883902</c:v>
                </c:pt>
                <c:pt idx="71">
                  <c:v>3.9985705921432189</c:v>
                </c:pt>
                <c:pt idx="72">
                  <c:v>4.1950097253950274</c:v>
                </c:pt>
                <c:pt idx="73">
                  <c:v>4.1950097253950274</c:v>
                </c:pt>
                <c:pt idx="74">
                  <c:v>3.8062331126953324</c:v>
                </c:pt>
                <c:pt idx="75">
                  <c:v>3.8062331126953324</c:v>
                </c:pt>
                <c:pt idx="76">
                  <c:v>7.8840846103135478</c:v>
                </c:pt>
                <c:pt idx="77">
                  <c:v>8.00680522893785</c:v>
                </c:pt>
                <c:pt idx="78">
                  <c:v>6.5600042307794695</c:v>
                </c:pt>
                <c:pt idx="79">
                  <c:v>6.6982847783805086</c:v>
                </c:pt>
                <c:pt idx="80">
                  <c:v>4.9971221580885139</c:v>
                </c:pt>
                <c:pt idx="81">
                  <c:v>5.084342365191076</c:v>
                </c:pt>
                <c:pt idx="82">
                  <c:v>8.9307192581581276</c:v>
                </c:pt>
                <c:pt idx="83">
                  <c:v>9.0426878937941115</c:v>
                </c:pt>
                <c:pt idx="84">
                  <c:v>7.4348481221840208</c:v>
                </c:pt>
                <c:pt idx="85">
                  <c:v>7.5099364057657692</c:v>
                </c:pt>
                <c:pt idx="86">
                  <c:v>5.704675357638342</c:v>
                </c:pt>
                <c:pt idx="87">
                  <c:v>5.7277942946891498</c:v>
                </c:pt>
                <c:pt idx="88">
                  <c:v>8.1901918741844568</c:v>
                </c:pt>
                <c:pt idx="89">
                  <c:v>6.7397273955192079</c:v>
                </c:pt>
                <c:pt idx="90">
                  <c:v>5.0694087050786445</c:v>
                </c:pt>
                <c:pt idx="91">
                  <c:v>9.2816315562686871</c:v>
                </c:pt>
                <c:pt idx="92">
                  <c:v>7.7014459483445856</c:v>
                </c:pt>
                <c:pt idx="93">
                  <c:v>5.0255717851442006</c:v>
                </c:pt>
                <c:pt idx="94">
                  <c:v>5.7750734137626418</c:v>
                </c:pt>
                <c:pt idx="95">
                  <c:v>5.7824242918135269</c:v>
                </c:pt>
                <c:pt idx="96">
                  <c:v>4.8466560510572947</c:v>
                </c:pt>
                <c:pt idx="97">
                  <c:v>4.8661658434140076</c:v>
                </c:pt>
                <c:pt idx="98">
                  <c:v>3.7574792399313668</c:v>
                </c:pt>
                <c:pt idx="99">
                  <c:v>7.8158217645923775</c:v>
                </c:pt>
                <c:pt idx="100">
                  <c:v>4.9498399388705669</c:v>
                </c:pt>
                <c:pt idx="101">
                  <c:v>4.9431622672499298</c:v>
                </c:pt>
                <c:pt idx="102">
                  <c:v>9.10000206112956</c:v>
                </c:pt>
                <c:pt idx="103">
                  <c:v>9.2990489910585463</c:v>
                </c:pt>
                <c:pt idx="104">
                  <c:v>7.5563278099120232</c:v>
                </c:pt>
                <c:pt idx="105">
                  <c:v>7.6506683100193849</c:v>
                </c:pt>
                <c:pt idx="106">
                  <c:v>5.7462844488014335</c:v>
                </c:pt>
                <c:pt idx="107">
                  <c:v>5.7826549764582653</c:v>
                </c:pt>
                <c:pt idx="108">
                  <c:v>5.7826549764582653</c:v>
                </c:pt>
                <c:pt idx="109">
                  <c:v>4.8402181284681625</c:v>
                </c:pt>
                <c:pt idx="110">
                  <c:v>3.7480680205329637</c:v>
                </c:pt>
                <c:pt idx="111">
                  <c:v>9.4693036231993499</c:v>
                </c:pt>
                <c:pt idx="112">
                  <c:v>7.6506683100193849</c:v>
                </c:pt>
                <c:pt idx="113">
                  <c:v>5.7459321785942148</c:v>
                </c:pt>
                <c:pt idx="114">
                  <c:v>4.8628935907385102</c:v>
                </c:pt>
                <c:pt idx="115">
                  <c:v>3.7249551792894375</c:v>
                </c:pt>
                <c:pt idx="116">
                  <c:v>6.5710807563074898</c:v>
                </c:pt>
                <c:pt idx="117">
                  <c:v>6.5710807563074898</c:v>
                </c:pt>
                <c:pt idx="118">
                  <c:v>6.5710807563074898</c:v>
                </c:pt>
                <c:pt idx="119">
                  <c:v>6.5710807563074898</c:v>
                </c:pt>
                <c:pt idx="120">
                  <c:v>6.5710807563074898</c:v>
                </c:pt>
                <c:pt idx="121">
                  <c:v>6.5710807563074898</c:v>
                </c:pt>
                <c:pt idx="122">
                  <c:v>6.5710807563074898</c:v>
                </c:pt>
                <c:pt idx="123">
                  <c:v>6.5710807563074898</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2.6250217461854737</c:v>
                </c:pt>
                <c:pt idx="209">
                  <c:v>2.2566779900545013</c:v>
                </c:pt>
                <c:pt idx="210">
                  <c:v>1.9607853646696647</c:v>
                </c:pt>
                <c:pt idx="211">
                  <c:v>2.5803170921637082</c:v>
                </c:pt>
                <c:pt idx="212">
                  <c:v>2.1708605171942552</c:v>
                </c:pt>
                <c:pt idx="213">
                  <c:v>1.9553263127312555</c:v>
                </c:pt>
                <c:pt idx="214">
                  <c:v>2.5742272155916663</c:v>
                </c:pt>
                <c:pt idx="215">
                  <c:v>2.5990197205873518</c:v>
                </c:pt>
                <c:pt idx="216">
                  <c:v>3.0161094090958804</c:v>
                </c:pt>
                <c:pt idx="217">
                  <c:v>3.0121601214464717</c:v>
                </c:pt>
                <c:pt idx="218">
                  <c:v>3.0161094090958804</c:v>
                </c:pt>
                <c:pt idx="219">
                  <c:v>2.9359915114402266</c:v>
                </c:pt>
                <c:pt idx="220">
                  <c:v>3.0372316108000779</c:v>
                </c:pt>
                <c:pt idx="221">
                  <c:v>2.6592372731968652</c:v>
                </c:pt>
                <c:pt idx="222">
                  <c:v>3.3457356335302357</c:v>
                </c:pt>
                <c:pt idx="223">
                  <c:v>2.6709516505406836</c:v>
                </c:pt>
                <c:pt idx="224">
                  <c:v>3.3710956746940686</c:v>
                </c:pt>
                <c:pt idx="225">
                  <c:v>3.4595742327951888</c:v>
                </c:pt>
                <c:pt idx="226">
                  <c:v>3.364678624566066</c:v>
                </c:pt>
                <c:pt idx="227">
                  <c:v>3.379190937830014</c:v>
                </c:pt>
                <c:pt idx="228">
                  <c:v>3.4226653448714419</c:v>
                </c:pt>
                <c:pt idx="229">
                  <c:v>3.4417896594154986</c:v>
                </c:pt>
                <c:pt idx="230">
                  <c:v>3.4141197614710999</c:v>
                </c:pt>
                <c:pt idx="231">
                  <c:v>3.3972964222845992</c:v>
                </c:pt>
                <c:pt idx="232">
                  <c:v>3.3972964222845992</c:v>
                </c:pt>
                <c:pt idx="233">
                  <c:v>5.325707576063234</c:v>
                </c:pt>
                <c:pt idx="234">
                  <c:v>3.8396147992814602</c:v>
                </c:pt>
                <c:pt idx="235">
                  <c:v>4.5926009961548981</c:v>
                </c:pt>
                <c:pt idx="236">
                  <c:v>5.123503639543034</c:v>
                </c:pt>
                <c:pt idx="237">
                  <c:v>6.4637982210352822</c:v>
                </c:pt>
                <c:pt idx="238">
                  <c:v>5.4668592131068667</c:v>
                </c:pt>
                <c:pt idx="239">
                  <c:v>4.6471752749872701</c:v>
                </c:pt>
                <c:pt idx="240">
                  <c:v>4.0334429753604937</c:v>
                </c:pt>
                <c:pt idx="241">
                  <c:v>3.3244219778243362</c:v>
                </c:pt>
                <c:pt idx="242">
                  <c:v>3.3960337169486037</c:v>
                </c:pt>
                <c:pt idx="243">
                  <c:v>3.3589716819432347</c:v>
                </c:pt>
                <c:pt idx="244">
                  <c:v>3.3455489627897097</c:v>
                </c:pt>
                <c:pt idx="245">
                  <c:v>3.0239401299648612</c:v>
                </c:pt>
                <c:pt idx="246">
                  <c:v>3.1420007043886766</c:v>
                </c:pt>
                <c:pt idx="247">
                  <c:v>3.4288126913305828</c:v>
                </c:pt>
                <c:pt idx="248">
                  <c:v>3.1926905574782456</c:v>
                </c:pt>
                <c:pt idx="249">
                  <c:v>2.9772287254648511</c:v>
                </c:pt>
                <c:pt idx="250">
                  <c:v>2.9982165753223557</c:v>
                </c:pt>
                <c:pt idx="251">
                  <c:v>3.7955305857169117</c:v>
                </c:pt>
                <c:pt idx="252">
                  <c:v>4.6793721781085154</c:v>
                </c:pt>
                <c:pt idx="253">
                  <c:v>4.583444487240163</c:v>
                </c:pt>
                <c:pt idx="254">
                  <c:v>3.295295908511827</c:v>
                </c:pt>
                <c:pt idx="255">
                  <c:v>3.3267614933037151</c:v>
                </c:pt>
                <c:pt idx="256">
                  <c:v>4.8156445080688925</c:v>
                </c:pt>
                <c:pt idx="257">
                  <c:v>4.7780510345368556</c:v>
                </c:pt>
                <c:pt idx="258">
                  <c:v>5.5837428899554418</c:v>
                </c:pt>
                <c:pt idx="259">
                  <c:v>5.3617032855838564</c:v>
                </c:pt>
                <c:pt idx="260">
                  <c:v>6.2052961712374408</c:v>
                </c:pt>
                <c:pt idx="261">
                  <c:v>7.3179311382334378</c:v>
                </c:pt>
                <c:pt idx="262">
                  <c:v>4.9618342740825874</c:v>
                </c:pt>
                <c:pt idx="263">
                  <c:v>5.0511114610205334</c:v>
                </c:pt>
                <c:pt idx="264">
                  <c:v>5.1638060980618077</c:v>
                </c:pt>
                <c:pt idx="265">
                  <c:v>5.1638060980618077</c:v>
                </c:pt>
                <c:pt idx="266">
                  <c:v>3.8106610988997498</c:v>
                </c:pt>
                <c:pt idx="267">
                  <c:v>3.8413796188517111</c:v>
                </c:pt>
                <c:pt idx="268">
                  <c:v>3.8258951459761739</c:v>
                </c:pt>
                <c:pt idx="269">
                  <c:v>4.4368039969969519</c:v>
                </c:pt>
                <c:pt idx="270">
                  <c:v>4.4818787619355387</c:v>
                </c:pt>
                <c:pt idx="271">
                  <c:v>5.3740560606593206</c:v>
                </c:pt>
                <c:pt idx="272">
                  <c:v>5.4560401479242016</c:v>
                </c:pt>
                <c:pt idx="273">
                  <c:v>6.9431718682546357</c:v>
                </c:pt>
                <c:pt idx="274">
                  <c:v>7.122403117110629</c:v>
                </c:pt>
                <c:pt idx="275">
                  <c:v>2.0095374717034415</c:v>
                </c:pt>
                <c:pt idx="276">
                  <c:v>2.2318605607143231</c:v>
                </c:pt>
                <c:pt idx="277">
                  <c:v>2.4294544413239705</c:v>
                </c:pt>
                <c:pt idx="278">
                  <c:v>2.6028722839322671</c:v>
                </c:pt>
                <c:pt idx="279">
                  <c:v>2.4294544413239705</c:v>
                </c:pt>
                <c:pt idx="280">
                  <c:v>2.3681580586880591</c:v>
                </c:pt>
                <c:pt idx="281">
                  <c:v>2.2543786204389513</c:v>
                </c:pt>
                <c:pt idx="282">
                  <c:v>2.1192401674059473</c:v>
                </c:pt>
                <c:pt idx="283">
                  <c:v>2.0473799740710055</c:v>
                </c:pt>
                <c:pt idx="284">
                  <c:v>1.9216060792148664</c:v>
                </c:pt>
                <c:pt idx="285">
                  <c:v>1.8153132597470862</c:v>
                </c:pt>
                <c:pt idx="286">
                  <c:v>2.0009540999455426</c:v>
                </c:pt>
                <c:pt idx="287">
                  <c:v>#N/A</c:v>
                </c:pt>
                <c:pt idx="288">
                  <c:v>#N/A</c:v>
                </c:pt>
                <c:pt idx="289">
                  <c:v>2.155802238100037</c:v>
                </c:pt>
                <c:pt idx="290">
                  <c:v>#N/A</c:v>
                </c:pt>
                <c:pt idx="291">
                  <c:v>#N/A</c:v>
                </c:pt>
                <c:pt idx="292">
                  <c:v>#N/A</c:v>
                </c:pt>
                <c:pt idx="293">
                  <c:v>#N/A</c:v>
                </c:pt>
                <c:pt idx="294">
                  <c:v>#N/A</c:v>
                </c:pt>
                <c:pt idx="295">
                  <c:v>#N/A</c:v>
                </c:pt>
                <c:pt idx="296">
                  <c:v>#N/A</c:v>
                </c:pt>
                <c:pt idx="297">
                  <c:v>#N/A</c:v>
                </c:pt>
                <c:pt idx="298">
                  <c:v>2.6345512005422496</c:v>
                </c:pt>
                <c:pt idx="299">
                  <c:v>#N/A</c:v>
                </c:pt>
                <c:pt idx="300">
                  <c:v>3.0019081998910848</c:v>
                </c:pt>
                <c:pt idx="301">
                  <c:v>#N/A</c:v>
                </c:pt>
                <c:pt idx="302">
                  <c:v>1.7154631335731234</c:v>
                </c:pt>
                <c:pt idx="303">
                  <c:v>1.7102807148564039</c:v>
                </c:pt>
                <c:pt idx="304">
                  <c:v>1.8898266158931247</c:v>
                </c:pt>
                <c:pt idx="305">
                  <c:v>2.0317787148746698</c:v>
                </c:pt>
                <c:pt idx="306">
                  <c:v>#N/A</c:v>
                </c:pt>
                <c:pt idx="307">
                  <c:v>#N/A</c:v>
                </c:pt>
                <c:pt idx="308">
                  <c:v>#N/A</c:v>
                </c:pt>
                <c:pt idx="309">
                  <c:v>#N/A</c:v>
                </c:pt>
                <c:pt idx="310">
                  <c:v>#N/A</c:v>
                </c:pt>
                <c:pt idx="311">
                  <c:v>#N/A</c:v>
                </c:pt>
                <c:pt idx="312">
                  <c:v>#N/A</c:v>
                </c:pt>
                <c:pt idx="313">
                  <c:v>#N/A</c:v>
                </c:pt>
                <c:pt idx="314">
                  <c:v>2.2816834908382306</c:v>
                </c:pt>
                <c:pt idx="315">
                  <c:v>2.2706507249297783</c:v>
                </c:pt>
                <c:pt idx="316">
                  <c:v>2.4082012654188869</c:v>
                </c:pt>
                <c:pt idx="317">
                  <c:v>2.4200977019369878</c:v>
                </c:pt>
                <c:pt idx="318">
                  <c:v>2.8893090097184571</c:v>
                </c:pt>
                <c:pt idx="319">
                  <c:v>2.8789110548775554</c:v>
                </c:pt>
                <c:pt idx="320">
                  <c:v>2.1907684308563402</c:v>
                </c:pt>
                <c:pt idx="321">
                  <c:v>2.1833064123489949</c:v>
                </c:pt>
                <c:pt idx="322">
                  <c:v>2.2578159909187248</c:v>
                </c:pt>
                <c:pt idx="323">
                  <c:v>2.2965270124700456</c:v>
                </c:pt>
                <c:pt idx="324">
                  <c:v>2.0540172335443705</c:v>
                </c:pt>
                <c:pt idx="325">
                  <c:v>2.0546208644364619</c:v>
                </c:pt>
                <c:pt idx="326">
                  <c:v>2.4524008748448622</c:v>
                </c:pt>
                <c:pt idx="327">
                  <c:v>2.478933598298604</c:v>
                </c:pt>
                <c:pt idx="328">
                  <c:v>2.8455803991297337</c:v>
                </c:pt>
                <c:pt idx="329">
                  <c:v>2.8103001423800151</c:v>
                </c:pt>
                <c:pt idx="330">
                  <c:v>11.927564009971944</c:v>
                </c:pt>
                <c:pt idx="331">
                  <c:v>11.927564009971944</c:v>
                </c:pt>
                <c:pt idx="332">
                  <c:v>12.529081294924527</c:v>
                </c:pt>
                <c:pt idx="333">
                  <c:v>12.529081294924527</c:v>
                </c:pt>
                <c:pt idx="334">
                  <c:v>12.428828414099099</c:v>
                </c:pt>
                <c:pt idx="335">
                  <c:v>12.495663667982717</c:v>
                </c:pt>
                <c:pt idx="336">
                  <c:v>10.199927588418866</c:v>
                </c:pt>
                <c:pt idx="337">
                  <c:v>10.266836152698277</c:v>
                </c:pt>
                <c:pt idx="338">
                  <c:v>9.4512986282545359</c:v>
                </c:pt>
                <c:pt idx="339">
                  <c:v>9.7283903865579635</c:v>
                </c:pt>
                <c:pt idx="340">
                  <c:v>9.6591174469821066</c:v>
                </c:pt>
                <c:pt idx="341">
                  <c:v>9.1742068699511083</c:v>
                </c:pt>
                <c:pt idx="342">
                  <c:v>9.2781162793148919</c:v>
                </c:pt>
                <c:pt idx="343">
                  <c:v>9.2434798095269652</c:v>
                </c:pt>
                <c:pt idx="344">
                  <c:v>9.2434798095269652</c:v>
                </c:pt>
                <c:pt idx="345">
                  <c:v>8.752889450499973</c:v>
                </c:pt>
                <c:pt idx="346">
                  <c:v>8.7863070774417835</c:v>
                </c:pt>
                <c:pt idx="347">
                  <c:v>8.9868128390926429</c:v>
                </c:pt>
                <c:pt idx="348">
                  <c:v>8.6192189427327328</c:v>
                </c:pt>
                <c:pt idx="349">
                  <c:v>8.8197247043835922</c:v>
                </c:pt>
                <c:pt idx="350">
                  <c:v>8.8197247043835922</c:v>
                </c:pt>
                <c:pt idx="351">
                  <c:v>8.8531423313254045</c:v>
                </c:pt>
                <c:pt idx="352">
                  <c:v>9.1539009738016954</c:v>
                </c:pt>
                <c:pt idx="353">
                  <c:v>8.8531423313254045</c:v>
                </c:pt>
                <c:pt idx="354">
                  <c:v>8.752889450499973</c:v>
                </c:pt>
                <c:pt idx="355">
                  <c:v>8.752889450499973</c:v>
                </c:pt>
                <c:pt idx="356">
                  <c:v>8.9533952121508342</c:v>
                </c:pt>
                <c:pt idx="357">
                  <c:v>8.7194718235581643</c:v>
                </c:pt>
                <c:pt idx="358">
                  <c:v>8.6860541966163503</c:v>
                </c:pt>
                <c:pt idx="359">
                  <c:v>8.6860541966163503</c:v>
                </c:pt>
                <c:pt idx="360">
                  <c:v>8.8197247043835922</c:v>
                </c:pt>
                <c:pt idx="361">
                  <c:v>8.8865599582672132</c:v>
                </c:pt>
                <c:pt idx="362">
                  <c:v>8.6192189427327328</c:v>
                </c:pt>
                <c:pt idx="363">
                  <c:v>8.6526365696745415</c:v>
                </c:pt>
                <c:pt idx="364">
                  <c:v>8.752889450499973</c:v>
                </c:pt>
                <c:pt idx="365">
                  <c:v>8.6860541966163503</c:v>
                </c:pt>
                <c:pt idx="366">
                  <c:v>7.5235850172424694</c:v>
                </c:pt>
                <c:pt idx="367">
                  <c:v>7.5235850172424694</c:v>
                </c:pt>
                <c:pt idx="368">
                  <c:v>7.5235850172424694</c:v>
                </c:pt>
                <c:pt idx="369">
                  <c:v>7.4901307351027633</c:v>
                </c:pt>
                <c:pt idx="370">
                  <c:v>6.9574728035236877</c:v>
                </c:pt>
                <c:pt idx="371">
                  <c:v>6.8535633941599032</c:v>
                </c:pt>
                <c:pt idx="372">
                  <c:v>6.9574728035236877</c:v>
                </c:pt>
                <c:pt idx="373">
                  <c:v>6.9921092733116179</c:v>
                </c:pt>
                <c:pt idx="374">
                  <c:v>6.9921092733116179</c:v>
                </c:pt>
                <c:pt idx="375">
                  <c:v>1.8995213012677987</c:v>
                </c:pt>
                <c:pt idx="376">
                  <c:v>1.8995213012677987</c:v>
                </c:pt>
                <c:pt idx="377">
                  <c:v>1.9589636934318251</c:v>
                </c:pt>
                <c:pt idx="378">
                  <c:v>1.9589636934318251</c:v>
                </c:pt>
                <c:pt idx="379">
                  <c:v>2.1580586806198241</c:v>
                </c:pt>
                <c:pt idx="380">
                  <c:v>2.1580586806198241</c:v>
                </c:pt>
                <c:pt idx="381">
                  <c:v>1.9589636934318251</c:v>
                </c:pt>
                <c:pt idx="382">
                  <c:v>1.8995213012677987</c:v>
                </c:pt>
                <c:pt idx="383">
                  <c:v>2.1580586806198241</c:v>
                </c:pt>
                <c:pt idx="384">
                  <c:v>2.1580586806198241</c:v>
                </c:pt>
                <c:pt idx="385">
                  <c:v>4.6438504338501243</c:v>
                </c:pt>
                <c:pt idx="386">
                  <c:v>4.6438504338501243</c:v>
                </c:pt>
                <c:pt idx="387">
                  <c:v>4.9086100471161416</c:v>
                </c:pt>
                <c:pt idx="388">
                  <c:v>3.8564752674454228</c:v>
                </c:pt>
                <c:pt idx="389">
                  <c:v>4.0794671733453107</c:v>
                </c:pt>
                <c:pt idx="390">
                  <c:v>5.1358658374512833</c:v>
                </c:pt>
                <c:pt idx="391">
                  <c:v>5.7169049098709257</c:v>
                </c:pt>
                <c:pt idx="392">
                  <c:v>5.7169049098709257</c:v>
                </c:pt>
                <c:pt idx="393">
                  <c:v>2.0968855160368687</c:v>
                </c:pt>
                <c:pt idx="394">
                  <c:v>2.2389450362076087</c:v>
                </c:pt>
                <c:pt idx="395">
                  <c:v>2.416787852493179</c:v>
                </c:pt>
                <c:pt idx="396">
                  <c:v>2.7352036561909241</c:v>
                </c:pt>
                <c:pt idx="397">
                  <c:v>2.1401939537558246</c:v>
                </c:pt>
                <c:pt idx="398">
                  <c:v>4.0747481460801556</c:v>
                </c:pt>
                <c:pt idx="399">
                  <c:v>3.472240066976247</c:v>
                </c:pt>
                <c:pt idx="400">
                  <c:v>3.2589052533097074</c:v>
                </c:pt>
                <c:pt idx="401">
                  <c:v>3.0010380835597488</c:v>
                </c:pt>
                <c:pt idx="402">
                  <c:v>2.3346382276895135</c:v>
                </c:pt>
                <c:pt idx="403">
                  <c:v>2.441241286813308</c:v>
                </c:pt>
                <c:pt idx="404">
                  <c:v>2.7194021400141617</c:v>
                </c:pt>
                <c:pt idx="405">
                  <c:v>2.7194021400141617</c:v>
                </c:pt>
                <c:pt idx="406">
                  <c:v>2.8470254511617132</c:v>
                </c:pt>
                <c:pt idx="407">
                  <c:v>3.2591953762933006</c:v>
                </c:pt>
                <c:pt idx="408">
                  <c:v>4.0759539871669039</c:v>
                </c:pt>
                <c:pt idx="409">
                  <c:v>#N/A</c:v>
                </c:pt>
                <c:pt idx="410">
                  <c:v>#N/A</c:v>
                </c:pt>
                <c:pt idx="411">
                  <c:v>#N/A</c:v>
                </c:pt>
                <c:pt idx="412">
                  <c:v>#N/A</c:v>
                </c:pt>
                <c:pt idx="413">
                  <c:v>#N/A</c:v>
                </c:pt>
                <c:pt idx="414">
                  <c:v>#N/A</c:v>
                </c:pt>
                <c:pt idx="415">
                  <c:v>2.0537201821797275</c:v>
                </c:pt>
                <c:pt idx="416">
                  <c:v>2.391022266702155</c:v>
                </c:pt>
                <c:pt idx="417">
                  <c:v>3.1009791114486998</c:v>
                </c:pt>
                <c:pt idx="418">
                  <c:v>3.0364567480051079</c:v>
                </c:pt>
                <c:pt idx="419">
                  <c:v>3.1245743078474559</c:v>
                </c:pt>
                <c:pt idx="420">
                  <c:v>3.7067771277804633</c:v>
                </c:pt>
                <c:pt idx="421">
                  <c:v>2.8774570967836004</c:v>
                </c:pt>
                <c:pt idx="422">
                  <c:v>3.299405950543457</c:v>
                </c:pt>
                <c:pt idx="423">
                  <c:v>3.0566512053130754</c:v>
                </c:pt>
                <c:pt idx="424">
                  <c:v>5.7312138521026217</c:v>
                </c:pt>
                <c:pt idx="425">
                  <c:v>5.7312138521026217</c:v>
                </c:pt>
                <c:pt idx="426">
                  <c:v>5.7312138521026217</c:v>
                </c:pt>
                <c:pt idx="427">
                  <c:v>4.5647534721609784</c:v>
                </c:pt>
                <c:pt idx="428">
                  <c:v>6.1659203112151255</c:v>
                </c:pt>
                <c:pt idx="429">
                  <c:v>6.1659203112151255</c:v>
                </c:pt>
                <c:pt idx="430">
                  <c:v>5.8983431331633929</c:v>
                </c:pt>
                <c:pt idx="431">
                  <c:v>5.8983431331633929</c:v>
                </c:pt>
                <c:pt idx="432">
                  <c:v>5.8983431331633929</c:v>
                </c:pt>
                <c:pt idx="433">
                  <c:v>4.6577245168448993</c:v>
                </c:pt>
                <c:pt idx="434">
                  <c:v>4.6577245168448993</c:v>
                </c:pt>
                <c:pt idx="435">
                  <c:v>7.6820433367031713</c:v>
                </c:pt>
                <c:pt idx="436">
                  <c:v>3.7661226123723917</c:v>
                </c:pt>
                <c:pt idx="437">
                  <c:v>3.7661226123723917</c:v>
                </c:pt>
                <c:pt idx="438">
                  <c:v>3.7661226123723917</c:v>
                </c:pt>
                <c:pt idx="439">
                  <c:v>3.7661226123723917</c:v>
                </c:pt>
                <c:pt idx="440">
                  <c:v>4.4940589170510528</c:v>
                </c:pt>
                <c:pt idx="441">
                  <c:v>4.4940589170510528</c:v>
                </c:pt>
                <c:pt idx="442">
                  <c:v>6.2086355039436354</c:v>
                </c:pt>
                <c:pt idx="443">
                  <c:v>6.2086355039436354</c:v>
                </c:pt>
                <c:pt idx="444">
                  <c:v>7.9881178341021046</c:v>
                </c:pt>
                <c:pt idx="445">
                  <c:v>7.9881178341021046</c:v>
                </c:pt>
                <c:pt idx="446">
                  <c:v>8.8129532559154526</c:v>
                </c:pt>
                <c:pt idx="447">
                  <c:v>8.8129532559154526</c:v>
                </c:pt>
                <c:pt idx="448">
                  <c:v>3.6716679058926349</c:v>
                </c:pt>
                <c:pt idx="449">
                  <c:v>4.9362766807876248</c:v>
                </c:pt>
                <c:pt idx="450">
                  <c:v>3.9870155254402211</c:v>
                </c:pt>
                <c:pt idx="451">
                  <c:v>5.4008911182441857</c:v>
                </c:pt>
                <c:pt idx="452">
                  <c:v>6.5667358672228096</c:v>
                </c:pt>
                <c:pt idx="453">
                  <c:v>6.5667358672228096</c:v>
                </c:pt>
                <c:pt idx="454">
                  <c:v>12.205918863908797</c:v>
                </c:pt>
                <c:pt idx="455">
                  <c:v>12.205918863908797</c:v>
                </c:pt>
                <c:pt idx="456">
                  <c:v>4.9362766807876248</c:v>
                </c:pt>
                <c:pt idx="457">
                  <c:v>4.7783089866702895</c:v>
                </c:pt>
                <c:pt idx="458">
                  <c:v>5.3953231223436626</c:v>
                </c:pt>
                <c:pt idx="459">
                  <c:v>5.3953231223436626</c:v>
                </c:pt>
                <c:pt idx="460">
                  <c:v>5.2354393392245706</c:v>
                </c:pt>
                <c:pt idx="461">
                  <c:v>5.3953231223436626</c:v>
                </c:pt>
                <c:pt idx="462">
                  <c:v>5.5747973502250625</c:v>
                </c:pt>
                <c:pt idx="463">
                  <c:v>11.995785093094243</c:v>
                </c:pt>
                <c:pt idx="464">
                  <c:v>11.887811747488973</c:v>
                </c:pt>
                <c:pt idx="465">
                  <c:v>11.845895900785045</c:v>
                </c:pt>
                <c:pt idx="466">
                  <c:v>12.026221690484171</c:v>
                </c:pt>
                <c:pt idx="467">
                  <c:v>12.707562262278488</c:v>
                </c:pt>
                <c:pt idx="468">
                  <c:v>11.446480405994583</c:v>
                </c:pt>
                <c:pt idx="469">
                  <c:v>12.189653240774573</c:v>
                </c:pt>
                <c:pt idx="470">
                  <c:v>12.059283898693172</c:v>
                </c:pt>
                <c:pt idx="471">
                  <c:v>12.154802994409508</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2.8569378238861756</c:v>
                </c:pt>
                <c:pt idx="493">
                  <c:v>3.2029633838654923</c:v>
                </c:pt>
                <c:pt idx="494">
                  <c:v>2.8569378238861756</c:v>
                </c:pt>
                <c:pt idx="495">
                  <c:v>3.2029633838654923</c:v>
                </c:pt>
                <c:pt idx="496">
                  <c:v>2.6951445567116896</c:v>
                </c:pt>
                <c:pt idx="497">
                  <c:v>3.1913381661280504</c:v>
                </c:pt>
                <c:pt idx="498">
                  <c:v>3.329753352671041</c:v>
                </c:pt>
                <c:pt idx="499">
                  <c:v>3.2635804924857799</c:v>
                </c:pt>
                <c:pt idx="500">
                  <c:v>3.329753352671041</c:v>
                </c:pt>
                <c:pt idx="501">
                  <c:v>3.0310318855336282</c:v>
                </c:pt>
                <c:pt idx="502">
                  <c:v>3.0837947469521954</c:v>
                </c:pt>
                <c:pt idx="503">
                  <c:v>1.9651991143707281</c:v>
                </c:pt>
                <c:pt idx="504">
                  <c:v>2.025901602364871</c:v>
                </c:pt>
                <c:pt idx="505">
                  <c:v>2.0536557403741948</c:v>
                </c:pt>
                <c:pt idx="506">
                  <c:v>1.9120274365302627</c:v>
                </c:pt>
                <c:pt idx="507">
                  <c:v>2.0357821026367371</c:v>
                </c:pt>
                <c:pt idx="508">
                  <c:v>1.865421370350322</c:v>
                </c:pt>
                <c:pt idx="509">
                  <c:v>1.8662056218663561</c:v>
                </c:pt>
                <c:pt idx="510">
                  <c:v>1.7994338139627044</c:v>
                </c:pt>
                <c:pt idx="511">
                  <c:v>2.1388238207150638</c:v>
                </c:pt>
                <c:pt idx="512">
                  <c:v>2.0838343490503668</c:v>
                </c:pt>
                <c:pt idx="513">
                  <c:v>2.0664666150895306</c:v>
                </c:pt>
                <c:pt idx="514">
                  <c:v>2.1798228134756723</c:v>
                </c:pt>
                <c:pt idx="515">
                  <c:v>2.1798228134756723</c:v>
                </c:pt>
                <c:pt idx="516">
                  <c:v>2.1024689696299728</c:v>
                </c:pt>
                <c:pt idx="517">
                  <c:v>1.785677105444621</c:v>
                </c:pt>
                <c:pt idx="518">
                  <c:v>1.7883501498594621</c:v>
                </c:pt>
                <c:pt idx="519">
                  <c:v>2.0138891846649569</c:v>
                </c:pt>
                <c:pt idx="520">
                  <c:v>2.0142269021418269</c:v>
                </c:pt>
                <c:pt idx="521">
                  <c:v>1.9997886857699185</c:v>
                </c:pt>
                <c:pt idx="522">
                  <c:v>2.1934211594184605</c:v>
                </c:pt>
                <c:pt idx="523">
                  <c:v>2.1932628878592348</c:v>
                </c:pt>
                <c:pt idx="524">
                  <c:v>2.3208256048496994</c:v>
                </c:pt>
                <c:pt idx="525">
                  <c:v>2.3711538520260076</c:v>
                </c:pt>
                <c:pt idx="526">
                  <c:v>2.3715396100110171</c:v>
                </c:pt>
                <c:pt idx="527">
                  <c:v>2.4200059899676036</c:v>
                </c:pt>
                <c:pt idx="528">
                  <c:v>2.4885594822673003</c:v>
                </c:pt>
                <c:pt idx="529">
                  <c:v>2.532101158528862</c:v>
                </c:pt>
                <c:pt idx="530">
                  <c:v>2.5347437394955845</c:v>
                </c:pt>
                <c:pt idx="531">
                  <c:v>2.6283086860951403</c:v>
                </c:pt>
                <c:pt idx="532">
                  <c:v>2.6145270862550811</c:v>
                </c:pt>
                <c:pt idx="533">
                  <c:v>2.5253769049624388</c:v>
                </c:pt>
                <c:pt idx="534">
                  <c:v>2.5324919742768772</c:v>
                </c:pt>
                <c:pt idx="535">
                  <c:v>2.7500954958229027</c:v>
                </c:pt>
                <c:pt idx="536">
                  <c:v>2.750676141781955</c:v>
                </c:pt>
                <c:pt idx="537">
                  <c:v>2.8035661377422953</c:v>
                </c:pt>
                <c:pt idx="538">
                  <c:v>2.8055529576181835</c:v>
                </c:pt>
                <c:pt idx="539">
                  <c:v>1.8333004091296852</c:v>
                </c:pt>
                <c:pt idx="540">
                  <c:v>1.8285737266755304</c:v>
                </c:pt>
                <c:pt idx="541">
                  <c:v>1.9253187552028028</c:v>
                </c:pt>
                <c:pt idx="542">
                  <c:v>2.0386262217514246</c:v>
                </c:pt>
                <c:pt idx="543">
                  <c:v>2.0411934689036233</c:v>
                </c:pt>
                <c:pt idx="544">
                  <c:v>2.1520723480170973</c:v>
                </c:pt>
                <c:pt idx="545">
                  <c:v>2.1124840647007588</c:v>
                </c:pt>
                <c:pt idx="546">
                  <c:v>2.1579568914456773</c:v>
                </c:pt>
                <c:pt idx="547">
                  <c:v>2.1145670870326745</c:v>
                </c:pt>
                <c:pt idx="548">
                  <c:v>2.2931888979892046</c:v>
                </c:pt>
                <c:pt idx="549">
                  <c:v>2.2931888979892046</c:v>
                </c:pt>
                <c:pt idx="550">
                  <c:v>2.5054409740771701</c:v>
                </c:pt>
                <c:pt idx="551">
                  <c:v>2.5166787641759836</c:v>
                </c:pt>
                <c:pt idx="552">
                  <c:v>2.5635375617765734</c:v>
                </c:pt>
                <c:pt idx="553">
                  <c:v>2.5598948899884419</c:v>
                </c:pt>
                <c:pt idx="554">
                  <c:v>2.6970018999478684</c:v>
                </c:pt>
                <c:pt idx="555">
                  <c:v>2.6937043961123512</c:v>
                </c:pt>
                <c:pt idx="556">
                  <c:v>2.7231849366142686</c:v>
                </c:pt>
                <c:pt idx="557">
                  <c:v>2.7210859383256523</c:v>
                </c:pt>
                <c:pt idx="558">
                  <c:v>2.7245876107876041</c:v>
                </c:pt>
                <c:pt idx="559">
                  <c:v>2.7496446185111183</c:v>
                </c:pt>
                <c:pt idx="560">
                  <c:v>2.812525423617187</c:v>
                </c:pt>
                <c:pt idx="561">
                  <c:v>2.808022314598916</c:v>
                </c:pt>
                <c:pt idx="562">
                  <c:v>3.0216131232018624</c:v>
                </c:pt>
                <c:pt idx="563">
                  <c:v>3.0298108471022824</c:v>
                </c:pt>
                <c:pt idx="564">
                  <c:v>3.0053676208175131</c:v>
                </c:pt>
                <c:pt idx="565">
                  <c:v>3.2674260324609254</c:v>
                </c:pt>
                <c:pt idx="566">
                  <c:v>3.2693532977413344</c:v>
                </c:pt>
                <c:pt idx="567">
                  <c:v>#N/A</c:v>
                </c:pt>
                <c:pt idx="568">
                  <c:v>#N/A</c:v>
                </c:pt>
                <c:pt idx="569">
                  <c:v>3.6281233602548935</c:v>
                </c:pt>
                <c:pt idx="570">
                  <c:v>3.37888303056888</c:v>
                </c:pt>
                <c:pt idx="571">
                  <c:v>3.37888303056888</c:v>
                </c:pt>
                <c:pt idx="572">
                  <c:v>3.7080018278073936</c:v>
                </c:pt>
                <c:pt idx="573">
                  <c:v>3.9675032303655264</c:v>
                </c:pt>
                <c:pt idx="574">
                  <c:v>#N/A</c:v>
                </c:pt>
                <c:pt idx="575">
                  <c:v>#N/A</c:v>
                </c:pt>
                <c:pt idx="576">
                  <c:v>#N/A</c:v>
                </c:pt>
                <c:pt idx="577">
                  <c:v>#N/A</c:v>
                </c:pt>
                <c:pt idx="578">
                  <c:v>#N/A</c:v>
                </c:pt>
                <c:pt idx="579">
                  <c:v>#N/A</c:v>
                </c:pt>
                <c:pt idx="580">
                  <c:v>#N/A</c:v>
                </c:pt>
                <c:pt idx="581">
                  <c:v>#N/A</c:v>
                </c:pt>
                <c:pt idx="582">
                  <c:v>#N/A</c:v>
                </c:pt>
                <c:pt idx="583">
                  <c:v>#N/A</c:v>
                </c:pt>
                <c:pt idx="584">
                  <c:v>#N/A</c:v>
                </c:pt>
                <c:pt idx="585">
                  <c:v>7.7919708276635662</c:v>
                </c:pt>
                <c:pt idx="586">
                  <c:v>7.8641323420886957</c:v>
                </c:pt>
                <c:pt idx="587">
                  <c:v>8.1309861067402949</c:v>
                </c:pt>
                <c:pt idx="588">
                  <c:v>5.6797049409921794</c:v>
                </c:pt>
                <c:pt idx="589">
                  <c:v>5.4287710006156713</c:v>
                </c:pt>
                <c:pt idx="590">
                  <c:v>5.4111233987664429</c:v>
                </c:pt>
                <c:pt idx="591">
                  <c:v>5.1793239518090521</c:v>
                </c:pt>
                <c:pt idx="592">
                  <c:v>5.1145649892523073</c:v>
                </c:pt>
                <c:pt idx="593">
                  <c:v>4.5445092556737663</c:v>
                </c:pt>
                <c:pt idx="594">
                  <c:v>4.1488239703787659</c:v>
                </c:pt>
                <c:pt idx="595">
                  <c:v>4.0038078436644255</c:v>
                </c:pt>
                <c:pt idx="596">
                  <c:v>3.7998427886525152</c:v>
                </c:pt>
                <c:pt idx="597">
                  <c:v>3.5920967884503883</c:v>
                </c:pt>
                <c:pt idx="598">
                  <c:v>3.5454036783921548</c:v>
                </c:pt>
                <c:pt idx="599">
                  <c:v>3.4828957653308343</c:v>
                </c:pt>
                <c:pt idx="600">
                  <c:v>3.4978638347473141</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4.1267214139193911</c:v>
                </c:pt>
                <c:pt idx="629">
                  <c:v>4.1271197477529604</c:v>
                </c:pt>
                <c:pt idx="630">
                  <c:v>4.1433607533149894</c:v>
                </c:pt>
                <c:pt idx="631">
                  <c:v>4.8862256500822241</c:v>
                </c:pt>
                <c:pt idx="632">
                  <c:v>5.4015008638317568</c:v>
                </c:pt>
                <c:pt idx="633">
                  <c:v>5.8738118161285229</c:v>
                </c:pt>
                <c:pt idx="634">
                  <c:v>6.0365454884248315</c:v>
                </c:pt>
                <c:pt idx="635">
                  <c:v>5.8738118161285229</c:v>
                </c:pt>
                <c:pt idx="636">
                  <c:v>7.7966271627397719</c:v>
                </c:pt>
                <c:pt idx="637">
                  <c:v>8.5775468850934722</c:v>
                </c:pt>
                <c:pt idx="638">
                  <c:v>8.8183640476012073</c:v>
                </c:pt>
                <c:pt idx="639">
                  <c:v>2.3712779239669373</c:v>
                </c:pt>
                <c:pt idx="640">
                  <c:v>2.3712779239669373</c:v>
                </c:pt>
                <c:pt idx="641">
                  <c:v>2.3712779239669373</c:v>
                </c:pt>
                <c:pt idx="642">
                  <c:v>2.5653154286382915</c:v>
                </c:pt>
                <c:pt idx="643">
                  <c:v>2.7149178224752628</c:v>
                </c:pt>
                <c:pt idx="644">
                  <c:v>3.1816441489212379</c:v>
                </c:pt>
                <c:pt idx="645">
                  <c:v>2.6862490070713965</c:v>
                </c:pt>
                <c:pt idx="646">
                  <c:v>2.9656502847004838</c:v>
                </c:pt>
                <c:pt idx="647">
                  <c:v>1.9679037917548241</c:v>
                </c:pt>
                <c:pt idx="648">
                  <c:v>2.6980215980295208</c:v>
                </c:pt>
                <c:pt idx="649">
                  <c:v>3.2528339223387199</c:v>
                </c:pt>
                <c:pt idx="650">
                  <c:v>3.8697007411268087</c:v>
                </c:pt>
                <c:pt idx="651">
                  <c:v>4.4566367289185429</c:v>
                </c:pt>
                <c:pt idx="652">
                  <c:v>4.9368358631713072</c:v>
                </c:pt>
                <c:pt idx="653">
                  <c:v>1.9649290118130047</c:v>
                </c:pt>
                <c:pt idx="654">
                  <c:v>2.6928028555949695</c:v>
                </c:pt>
                <c:pt idx="655">
                  <c:v>3.2459100057041206</c:v>
                </c:pt>
                <c:pt idx="656">
                  <c:v>3.8608809304426788</c:v>
                </c:pt>
                <c:pt idx="657">
                  <c:v>4.4460130143562715</c:v>
                </c:pt>
                <c:pt idx="658">
                  <c:v>4.924736292470417</c:v>
                </c:pt>
                <c:pt idx="659">
                  <c:v>#N/A</c:v>
                </c:pt>
                <c:pt idx="660">
                  <c:v>#N/A</c:v>
                </c:pt>
                <c:pt idx="661">
                  <c:v>#N/A</c:v>
                </c:pt>
                <c:pt idx="662">
                  <c:v>#N/A</c:v>
                </c:pt>
                <c:pt idx="663">
                  <c:v>#N/A</c:v>
                </c:pt>
                <c:pt idx="664">
                  <c:v>#N/A</c:v>
                </c:pt>
                <c:pt idx="665">
                  <c:v>#N/A</c:v>
                </c:pt>
                <c:pt idx="666">
                  <c:v>#N/A</c:v>
                </c:pt>
                <c:pt idx="667">
                  <c:v>#N/A</c:v>
                </c:pt>
                <c:pt idx="668">
                  <c:v>#N/A</c:v>
                </c:pt>
                <c:pt idx="669">
                  <c:v>#N/A</c:v>
                </c:pt>
              </c:numCache>
            </c:numRef>
          </c:xVal>
          <c:yVal>
            <c:numRef>
              <c:f>'Figure 2 Data'!$D$11:$D$712</c:f>
              <c:numCache>
                <c:formatCode>General</c:formatCode>
                <c:ptCount val="702"/>
                <c:pt idx="0">
                  <c:v>1.0371782312925171</c:v>
                </c:pt>
                <c:pt idx="1">
                  <c:v>1.0106292902066485</c:v>
                </c:pt>
                <c:pt idx="2">
                  <c:v>1.0292135541008856</c:v>
                </c:pt>
                <c:pt idx="3">
                  <c:v>1.0548774996791168</c:v>
                </c:pt>
                <c:pt idx="4">
                  <c:v>1.0283285842638943</c:v>
                </c:pt>
                <c:pt idx="5">
                  <c:v>1.0300984982672314</c:v>
                </c:pt>
                <c:pt idx="6">
                  <c:v>1.0300984982672314</c:v>
                </c:pt>
                <c:pt idx="7">
                  <c:v>1.0543465280451803</c:v>
                </c:pt>
                <c:pt idx="8">
                  <c:v>1.040010114234373</c:v>
                </c:pt>
                <c:pt idx="9">
                  <c:v>#N/A</c:v>
                </c:pt>
                <c:pt idx="10">
                  <c:v>0.5846074444872289</c:v>
                </c:pt>
                <c:pt idx="11">
                  <c:v>0.56230635348479008</c:v>
                </c:pt>
                <c:pt idx="12">
                  <c:v>0.63009462199974331</c:v>
                </c:pt>
                <c:pt idx="13">
                  <c:v>0.5877933256321396</c:v>
                </c:pt>
                <c:pt idx="14">
                  <c:v>1.2324013605442177</c:v>
                </c:pt>
                <c:pt idx="15">
                  <c:v>1.1347012963676038</c:v>
                </c:pt>
                <c:pt idx="16">
                  <c:v>1.0899220895905533</c:v>
                </c:pt>
                <c:pt idx="17">
                  <c:v>0.98213343601591574</c:v>
                </c:pt>
                <c:pt idx="18">
                  <c:v>0.90938937235271466</c:v>
                </c:pt>
                <c:pt idx="19">
                  <c:v>0.777883660634065</c:v>
                </c:pt>
                <c:pt idx="20">
                  <c:v>1.2389500962649211</c:v>
                </c:pt>
                <c:pt idx="21">
                  <c:v>1.2269145937620329</c:v>
                </c:pt>
                <c:pt idx="22">
                  <c:v>1.236118213323065</c:v>
                </c:pt>
                <c:pt idx="23">
                  <c:v>#N/A</c:v>
                </c:pt>
                <c:pt idx="24">
                  <c:v>1.1290375304838918</c:v>
                </c:pt>
                <c:pt idx="25">
                  <c:v>1.0881521755872159</c:v>
                </c:pt>
                <c:pt idx="26">
                  <c:v>0.9447879347965602</c:v>
                </c:pt>
                <c:pt idx="27">
                  <c:v>0.89629190091130784</c:v>
                </c:pt>
                <c:pt idx="28">
                  <c:v>0.77328186368887175</c:v>
                </c:pt>
                <c:pt idx="29">
                  <c:v>1.2253216531895776</c:v>
                </c:pt>
                <c:pt idx="30">
                  <c:v>1.2807080054902387</c:v>
                </c:pt>
                <c:pt idx="31">
                  <c:v>1.310877485246057</c:v>
                </c:pt>
                <c:pt idx="32">
                  <c:v>1.3383591935321377</c:v>
                </c:pt>
                <c:pt idx="33">
                  <c:v>1.1507039699495796</c:v>
                </c:pt>
                <c:pt idx="34">
                  <c:v>0.42822134440814413</c:v>
                </c:pt>
                <c:pt idx="35">
                  <c:v>0.28915774314220588</c:v>
                </c:pt>
                <c:pt idx="36">
                  <c:v>0.65657979823389157</c:v>
                </c:pt>
                <c:pt idx="37">
                  <c:v>0.74324833160076531</c:v>
                </c:pt>
                <c:pt idx="38">
                  <c:v>0.89163536600162485</c:v>
                </c:pt>
                <c:pt idx="39">
                  <c:v>0.9018780108540736</c:v>
                </c:pt>
                <c:pt idx="40">
                  <c:v>0.1533524191250033</c:v>
                </c:pt>
                <c:pt idx="41">
                  <c:v>0.19082705307784759</c:v>
                </c:pt>
                <c:pt idx="42">
                  <c:v>0.51366152640248863</c:v>
                </c:pt>
                <c:pt idx="43">
                  <c:v>0.53549006894460627</c:v>
                </c:pt>
                <c:pt idx="44">
                  <c:v>0.83137273947858403</c:v>
                </c:pt>
                <c:pt idx="45">
                  <c:v>0.84251726963721796</c:v>
                </c:pt>
                <c:pt idx="46">
                  <c:v>0.41572751646701595</c:v>
                </c:pt>
                <c:pt idx="47">
                  <c:v>0.29887391387072509</c:v>
                </c:pt>
                <c:pt idx="48">
                  <c:v>0.24918383371184996</c:v>
                </c:pt>
                <c:pt idx="49">
                  <c:v>0.25780167049217145</c:v>
                </c:pt>
                <c:pt idx="50">
                  <c:v>0.25670152111596023</c:v>
                </c:pt>
                <c:pt idx="51">
                  <c:v>0.35527490522448896</c:v>
                </c:pt>
                <c:pt idx="52">
                  <c:v>0.34104630662549001</c:v>
                </c:pt>
                <c:pt idx="53">
                  <c:v>0.32197705077116157</c:v>
                </c:pt>
                <c:pt idx="54">
                  <c:v>0.36246254781573584</c:v>
                </c:pt>
                <c:pt idx="55">
                  <c:v>0.375635003013572</c:v>
                </c:pt>
                <c:pt idx="56">
                  <c:v>0.37669114641473478</c:v>
                </c:pt>
                <c:pt idx="57">
                  <c:v>0.36354802853359763</c:v>
                </c:pt>
                <c:pt idx="58">
                  <c:v>0.33644034790375221</c:v>
                </c:pt>
                <c:pt idx="59">
                  <c:v>#N/A</c:v>
                </c:pt>
                <c:pt idx="60">
                  <c:v>#N/A</c:v>
                </c:pt>
                <c:pt idx="61">
                  <c:v>#N/A</c:v>
                </c:pt>
                <c:pt idx="62">
                  <c:v>0.30105781050075592</c:v>
                </c:pt>
                <c:pt idx="63">
                  <c:v>0.25929817872161881</c:v>
                </c:pt>
                <c:pt idx="64">
                  <c:v>0.32533666618630075</c:v>
                </c:pt>
                <c:pt idx="65">
                  <c:v>0.25832702449419703</c:v>
                </c:pt>
                <c:pt idx="66">
                  <c:v>0.35612351643482798</c:v>
                </c:pt>
                <c:pt idx="67">
                  <c:v>0.29316245275574232</c:v>
                </c:pt>
                <c:pt idx="68">
                  <c:v>0.26364945415617097</c:v>
                </c:pt>
                <c:pt idx="69">
                  <c:v>0.34038325051505652</c:v>
                </c:pt>
                <c:pt idx="70">
                  <c:v>0.71778489718164218</c:v>
                </c:pt>
                <c:pt idx="71">
                  <c:v>0.80266698178777074</c:v>
                </c:pt>
                <c:pt idx="72">
                  <c:v>0.72771823441473038</c:v>
                </c:pt>
                <c:pt idx="73">
                  <c:v>0.78469261575680871</c:v>
                </c:pt>
                <c:pt idx="74">
                  <c:v>0.83589776406469851</c:v>
                </c:pt>
                <c:pt idx="75">
                  <c:v>0.8627539171270181</c:v>
                </c:pt>
                <c:pt idx="76">
                  <c:v>8.1418793104341983E-2</c:v>
                </c:pt>
                <c:pt idx="77">
                  <c:v>8.6828336277165408E-2</c:v>
                </c:pt>
                <c:pt idx="78">
                  <c:v>0.12447982158240503</c:v>
                </c:pt>
                <c:pt idx="79">
                  <c:v>0.16397159184501497</c:v>
                </c:pt>
                <c:pt idx="80">
                  <c:v>0.29426774669959133</c:v>
                </c:pt>
                <c:pt idx="81">
                  <c:v>0.41620410022873988</c:v>
                </c:pt>
                <c:pt idx="82">
                  <c:v>3.4505954836150668E-2</c:v>
                </c:pt>
                <c:pt idx="83">
                  <c:v>3.8288785255329569E-2</c:v>
                </c:pt>
                <c:pt idx="84">
                  <c:v>9.0883936512525992E-2</c:v>
                </c:pt>
                <c:pt idx="85">
                  <c:v>0.11120120750457747</c:v>
                </c:pt>
                <c:pt idx="86">
                  <c:v>0.19371481349938846</c:v>
                </c:pt>
                <c:pt idx="87">
                  <c:v>0.23212022446925107</c:v>
                </c:pt>
                <c:pt idx="88">
                  <c:v>6.7548364638132477E-2</c:v>
                </c:pt>
                <c:pt idx="89">
                  <c:v>0.15059868805898122</c:v>
                </c:pt>
                <c:pt idx="90">
                  <c:v>0.25200969786464456</c:v>
                </c:pt>
                <c:pt idx="91">
                  <c:v>4.0102563353280905E-2</c:v>
                </c:pt>
                <c:pt idx="92">
                  <c:v>7.263099613412656E-2</c:v>
                </c:pt>
                <c:pt idx="93">
                  <c:v>0.25295994902458802</c:v>
                </c:pt>
                <c:pt idx="94">
                  <c:v>0.13551900719384577</c:v>
                </c:pt>
                <c:pt idx="95">
                  <c:v>0.22254779560069551</c:v>
                </c:pt>
                <c:pt idx="96">
                  <c:v>0.24711013921243075</c:v>
                </c:pt>
                <c:pt idx="97">
                  <c:v>0.2362238705192902</c:v>
                </c:pt>
                <c:pt idx="98">
                  <c:v>0.68140383445120845</c:v>
                </c:pt>
                <c:pt idx="99">
                  <c:v>7.7329952997042248E-2</c:v>
                </c:pt>
                <c:pt idx="100">
                  <c:v>0.27841065362787754</c:v>
                </c:pt>
                <c:pt idx="101">
                  <c:v>0.3109239161777691</c:v>
                </c:pt>
                <c:pt idx="102">
                  <c:v>4.0381948452635229E-2</c:v>
                </c:pt>
                <c:pt idx="103">
                  <c:v>4.0464136950164348E-2</c:v>
                </c:pt>
                <c:pt idx="104">
                  <c:v>6.5982759430172205E-2</c:v>
                </c:pt>
                <c:pt idx="105">
                  <c:v>5.7993904801096403E-2</c:v>
                </c:pt>
                <c:pt idx="106">
                  <c:v>0.20206531913178805</c:v>
                </c:pt>
                <c:pt idx="107">
                  <c:v>0.28203180703949543</c:v>
                </c:pt>
                <c:pt idx="108">
                  <c:v>0.26883733653472369</c:v>
                </c:pt>
                <c:pt idx="109">
                  <c:v>0.26782738586847804</c:v>
                </c:pt>
                <c:pt idx="110">
                  <c:v>0.79683095538849746</c:v>
                </c:pt>
                <c:pt idx="111">
                  <c:v>5.01683415185235E-2</c:v>
                </c:pt>
                <c:pt idx="112">
                  <c:v>7.2138759630632113E-2</c:v>
                </c:pt>
                <c:pt idx="113">
                  <c:v>0.20019202117574061</c:v>
                </c:pt>
                <c:pt idx="114">
                  <c:v>0.3032025024069207</c:v>
                </c:pt>
                <c:pt idx="115">
                  <c:v>0.82739001284851976</c:v>
                </c:pt>
                <c:pt idx="116">
                  <c:v>0.12406715888618183</c:v>
                </c:pt>
                <c:pt idx="117">
                  <c:v>0.12108954707291349</c:v>
                </c:pt>
                <c:pt idx="118">
                  <c:v>0.15582835156104441</c:v>
                </c:pt>
                <c:pt idx="119">
                  <c:v>0.14094029249470261</c:v>
                </c:pt>
                <c:pt idx="120">
                  <c:v>0.17865670879610185</c:v>
                </c:pt>
                <c:pt idx="121">
                  <c:v>0.15086566520559713</c:v>
                </c:pt>
                <c:pt idx="122">
                  <c:v>0.11811193525964513</c:v>
                </c:pt>
                <c:pt idx="123">
                  <c:v>0.12208208434400294</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0.87343532684283731</c:v>
                </c:pt>
                <c:pt idx="209">
                  <c:v>1.0598052851182198</c:v>
                </c:pt>
                <c:pt idx="210">
                  <c:v>1.0681502086230876</c:v>
                </c:pt>
                <c:pt idx="211">
                  <c:v>1.1112656467315716</c:v>
                </c:pt>
                <c:pt idx="212">
                  <c:v>1.023643949930459</c:v>
                </c:pt>
                <c:pt idx="213">
                  <c:v>1.1321279554937416</c:v>
                </c:pt>
                <c:pt idx="214">
                  <c:v>1.1126564673157162</c:v>
                </c:pt>
                <c:pt idx="215">
                  <c:v>1.1293463143254521</c:v>
                </c:pt>
                <c:pt idx="216">
                  <c:v>1.0555555555555556</c:v>
                </c:pt>
                <c:pt idx="217">
                  <c:v>1.1431623931623933</c:v>
                </c:pt>
                <c:pt idx="218">
                  <c:v>0.99145299145299148</c:v>
                </c:pt>
                <c:pt idx="219">
                  <c:v>1.0256410256410258</c:v>
                </c:pt>
                <c:pt idx="220">
                  <c:v>1.0811965811965811</c:v>
                </c:pt>
                <c:pt idx="221">
                  <c:v>1.1858974358974359</c:v>
                </c:pt>
                <c:pt idx="222">
                  <c:v>0.86324786324786329</c:v>
                </c:pt>
                <c:pt idx="223">
                  <c:v>1.1239316239316239</c:v>
                </c:pt>
                <c:pt idx="224">
                  <c:v>0.93376068376068388</c:v>
                </c:pt>
                <c:pt idx="225">
                  <c:v>1.1794871794871795</c:v>
                </c:pt>
                <c:pt idx="226">
                  <c:v>0.97222222222222221</c:v>
                </c:pt>
                <c:pt idx="227">
                  <c:v>0.76923076923076927</c:v>
                </c:pt>
                <c:pt idx="228">
                  <c:v>1.1538461538461537</c:v>
                </c:pt>
                <c:pt idx="229">
                  <c:v>1.0961538461538463</c:v>
                </c:pt>
                <c:pt idx="230">
                  <c:v>1.1239316239316239</c:v>
                </c:pt>
                <c:pt idx="231">
                  <c:v>1.0811965811965811</c:v>
                </c:pt>
                <c:pt idx="232">
                  <c:v>0.84615384615384615</c:v>
                </c:pt>
                <c:pt idx="233">
                  <c:v>0.34265734265734266</c:v>
                </c:pt>
                <c:pt idx="234">
                  <c:v>0.73193473193473202</c:v>
                </c:pt>
                <c:pt idx="235">
                  <c:v>0.53613053613053618</c:v>
                </c:pt>
                <c:pt idx="236">
                  <c:v>0.51515151515151514</c:v>
                </c:pt>
                <c:pt idx="237">
                  <c:v>0.18671328671328674</c:v>
                </c:pt>
                <c:pt idx="238">
                  <c:v>0.3867132867132867</c:v>
                </c:pt>
                <c:pt idx="239">
                  <c:v>0.50815850815850827</c:v>
                </c:pt>
                <c:pt idx="240">
                  <c:v>0.70629370629370636</c:v>
                </c:pt>
                <c:pt idx="241">
                  <c:v>0.68128778293265846</c:v>
                </c:pt>
                <c:pt idx="242">
                  <c:v>0.65484273243730073</c:v>
                </c:pt>
                <c:pt idx="243">
                  <c:v>0.69217143008222515</c:v>
                </c:pt>
                <c:pt idx="244">
                  <c:v>0.7605985037406483</c:v>
                </c:pt>
                <c:pt idx="245">
                  <c:v>0.6097560975609756</c:v>
                </c:pt>
                <c:pt idx="246">
                  <c:v>0.68518518518518523</c:v>
                </c:pt>
                <c:pt idx="247">
                  <c:v>0.5138427464008859</c:v>
                </c:pt>
                <c:pt idx="248">
                  <c:v>0.61154855643044614</c:v>
                </c:pt>
                <c:pt idx="249">
                  <c:v>0.40704500978473579</c:v>
                </c:pt>
                <c:pt idx="250">
                  <c:v>0.5471349353049908</c:v>
                </c:pt>
                <c:pt idx="251">
                  <c:v>0.33493530499075785</c:v>
                </c:pt>
                <c:pt idx="252">
                  <c:v>0.30219224283305229</c:v>
                </c:pt>
                <c:pt idx="253">
                  <c:v>0.31406491499227207</c:v>
                </c:pt>
                <c:pt idx="254">
                  <c:v>0.67334167709637049</c:v>
                </c:pt>
                <c:pt idx="255">
                  <c:v>0.6707317073170731</c:v>
                </c:pt>
                <c:pt idx="256">
                  <c:v>0.23117408906882592</c:v>
                </c:pt>
                <c:pt idx="257">
                  <c:v>0.23238866396761132</c:v>
                </c:pt>
                <c:pt idx="258">
                  <c:v>0.15355285961871751</c:v>
                </c:pt>
                <c:pt idx="259">
                  <c:v>0.16800785083415112</c:v>
                </c:pt>
                <c:pt idx="260">
                  <c:v>0.13135459425323651</c:v>
                </c:pt>
                <c:pt idx="261">
                  <c:v>8.4590163934426227E-2</c:v>
                </c:pt>
                <c:pt idx="262">
                  <c:v>0.71045576407506705</c:v>
                </c:pt>
                <c:pt idx="263">
                  <c:v>0.54358974358974355</c:v>
                </c:pt>
                <c:pt idx="264">
                  <c:v>0.55024271844660189</c:v>
                </c:pt>
                <c:pt idx="265">
                  <c:v>0.56966019417475722</c:v>
                </c:pt>
                <c:pt idx="266">
                  <c:v>0.97750000000000004</c:v>
                </c:pt>
                <c:pt idx="267">
                  <c:v>1.0875000000000001</c:v>
                </c:pt>
                <c:pt idx="268">
                  <c:v>1.0875000000000001</c:v>
                </c:pt>
                <c:pt idx="269">
                  <c:v>0.75625000000000009</c:v>
                </c:pt>
                <c:pt idx="270">
                  <c:v>0.70250000000000012</c:v>
                </c:pt>
                <c:pt idx="271">
                  <c:v>0.42125000000000007</c:v>
                </c:pt>
                <c:pt idx="272">
                  <c:v>0.4875000000000001</c:v>
                </c:pt>
                <c:pt idx="273">
                  <c:v>0.24375000000000005</c:v>
                </c:pt>
                <c:pt idx="274">
                  <c:v>0.16900000000000001</c:v>
                </c:pt>
                <c:pt idx="275">
                  <c:v>1.0342644271697803</c:v>
                </c:pt>
                <c:pt idx="276">
                  <c:v>1.024778471330511</c:v>
                </c:pt>
                <c:pt idx="277">
                  <c:v>0.84554380320268663</c:v>
                </c:pt>
                <c:pt idx="278">
                  <c:v>0.83163899996276169</c:v>
                </c:pt>
                <c:pt idx="279">
                  <c:v>0.83813195359536996</c:v>
                </c:pt>
                <c:pt idx="280">
                  <c:v>1.1111413228196587</c:v>
                </c:pt>
                <c:pt idx="281">
                  <c:v>1.1230610952833175</c:v>
                </c:pt>
                <c:pt idx="282">
                  <c:v>1.1800406797454237</c:v>
                </c:pt>
                <c:pt idx="283">
                  <c:v>1.143095430651031</c:v>
                </c:pt>
                <c:pt idx="284">
                  <c:v>1.1419999999999999</c:v>
                </c:pt>
                <c:pt idx="285">
                  <c:v>1.1741194104421684</c:v>
                </c:pt>
                <c:pt idx="286">
                  <c:v>1.1052631578947369</c:v>
                </c:pt>
                <c:pt idx="287">
                  <c:v>#N/A</c:v>
                </c:pt>
                <c:pt idx="288">
                  <c:v>#N/A</c:v>
                </c:pt>
                <c:pt idx="289">
                  <c:v>0.9</c:v>
                </c:pt>
                <c:pt idx="290">
                  <c:v>#N/A</c:v>
                </c:pt>
                <c:pt idx="291">
                  <c:v>#N/A</c:v>
                </c:pt>
                <c:pt idx="292">
                  <c:v>#N/A</c:v>
                </c:pt>
                <c:pt idx="293">
                  <c:v>#N/A</c:v>
                </c:pt>
                <c:pt idx="294">
                  <c:v>#N/A</c:v>
                </c:pt>
                <c:pt idx="295">
                  <c:v>#N/A</c:v>
                </c:pt>
                <c:pt idx="296">
                  <c:v>#N/A</c:v>
                </c:pt>
                <c:pt idx="297">
                  <c:v>#N/A</c:v>
                </c:pt>
                <c:pt idx="298">
                  <c:v>0.75421052631578955</c:v>
                </c:pt>
                <c:pt idx="299">
                  <c:v>#N/A</c:v>
                </c:pt>
                <c:pt idx="300">
                  <c:v>0.58684210526315794</c:v>
                </c:pt>
                <c:pt idx="301">
                  <c:v>#N/A</c:v>
                </c:pt>
                <c:pt idx="302">
                  <c:v>1.5874861716202324</c:v>
                </c:pt>
                <c:pt idx="303">
                  <c:v>1.5869004051105828</c:v>
                </c:pt>
                <c:pt idx="304">
                  <c:v>1.3020624788107931</c:v>
                </c:pt>
                <c:pt idx="305">
                  <c:v>1.1250588124005259</c:v>
                </c:pt>
                <c:pt idx="306">
                  <c:v>#N/A</c:v>
                </c:pt>
                <c:pt idx="307">
                  <c:v>#N/A</c:v>
                </c:pt>
                <c:pt idx="308">
                  <c:v>#N/A</c:v>
                </c:pt>
                <c:pt idx="309">
                  <c:v>#N/A</c:v>
                </c:pt>
                <c:pt idx="310">
                  <c:v>#N/A</c:v>
                </c:pt>
                <c:pt idx="311">
                  <c:v>#N/A</c:v>
                </c:pt>
                <c:pt idx="312">
                  <c:v>#N/A</c:v>
                </c:pt>
                <c:pt idx="313">
                  <c:v>#N/A</c:v>
                </c:pt>
                <c:pt idx="314">
                  <c:v>0.85632181033735433</c:v>
                </c:pt>
                <c:pt idx="315">
                  <c:v>0.72647071495514282</c:v>
                </c:pt>
                <c:pt idx="316">
                  <c:v>0.72307718054039571</c:v>
                </c:pt>
                <c:pt idx="317">
                  <c:v>0.70263144234674091</c:v>
                </c:pt>
                <c:pt idx="318">
                  <c:v>0.53499996192759491</c:v>
                </c:pt>
                <c:pt idx="319">
                  <c:v>0.54499995104976495</c:v>
                </c:pt>
                <c:pt idx="320">
                  <c:v>0.97101473037061137</c:v>
                </c:pt>
                <c:pt idx="321">
                  <c:v>0.9088237138456039</c:v>
                </c:pt>
                <c:pt idx="322">
                  <c:v>0.77187509348136851</c:v>
                </c:pt>
                <c:pt idx="323">
                  <c:v>0.72941199556184444</c:v>
                </c:pt>
                <c:pt idx="324">
                  <c:v>1.0859375920649841</c:v>
                </c:pt>
                <c:pt idx="325">
                  <c:v>1.1243076121164086</c:v>
                </c:pt>
                <c:pt idx="326">
                  <c:v>0.95593752861096426</c:v>
                </c:pt>
                <c:pt idx="327">
                  <c:v>0.95484843557028409</c:v>
                </c:pt>
                <c:pt idx="328">
                  <c:v>0.72765425298947806</c:v>
                </c:pt>
                <c:pt idx="329">
                  <c:v>0.79898979022269889</c:v>
                </c:pt>
                <c:pt idx="330">
                  <c:v>5.730978260869566E-2</c:v>
                </c:pt>
                <c:pt idx="331">
                  <c:v>3.6363057065217391E-2</c:v>
                </c:pt>
                <c:pt idx="332">
                  <c:v>3.5130896739130439E-2</c:v>
                </c:pt>
                <c:pt idx="333">
                  <c:v>2.8872668478260873E-2</c:v>
                </c:pt>
                <c:pt idx="334">
                  <c:v>2.8874244497282611E-2</c:v>
                </c:pt>
                <c:pt idx="335">
                  <c:v>2.9468117119565217E-2</c:v>
                </c:pt>
                <c:pt idx="336">
                  <c:v>6.5055107246376823E-2</c:v>
                </c:pt>
                <c:pt idx="337">
                  <c:v>5.9557412008281581E-2</c:v>
                </c:pt>
                <c:pt idx="338">
                  <c:v>0.11408327645051196</c:v>
                </c:pt>
                <c:pt idx="339">
                  <c:v>9.0578440535573651E-2</c:v>
                </c:pt>
                <c:pt idx="340">
                  <c:v>0.11178934103439224</c:v>
                </c:pt>
                <c:pt idx="341">
                  <c:v>0.10952207928590181</c:v>
                </c:pt>
                <c:pt idx="342">
                  <c:v>0.10234953006038332</c:v>
                </c:pt>
                <c:pt idx="343">
                  <c:v>0.11255220792859019</c:v>
                </c:pt>
                <c:pt idx="344">
                  <c:v>0.12546493042793386</c:v>
                </c:pt>
                <c:pt idx="345">
                  <c:v>0.1641036970108696</c:v>
                </c:pt>
                <c:pt idx="346">
                  <c:v>0.1492295160326087</c:v>
                </c:pt>
                <c:pt idx="347">
                  <c:v>9.4701550271739141E-2</c:v>
                </c:pt>
                <c:pt idx="348">
                  <c:v>0.15542986141304346</c:v>
                </c:pt>
                <c:pt idx="349">
                  <c:v>0.11069957608695653</c:v>
                </c:pt>
                <c:pt idx="350">
                  <c:v>0.16189274290760869</c:v>
                </c:pt>
                <c:pt idx="351">
                  <c:v>0.11297763994565219</c:v>
                </c:pt>
                <c:pt idx="352">
                  <c:v>0.11069957608695653</c:v>
                </c:pt>
                <c:pt idx="353">
                  <c:v>9.5334823369565225E-2</c:v>
                </c:pt>
                <c:pt idx="354">
                  <c:v>0.15126914254076088</c:v>
                </c:pt>
                <c:pt idx="355">
                  <c:v>0.13478401222826086</c:v>
                </c:pt>
                <c:pt idx="356">
                  <c:v>8.5534850543478272E-2</c:v>
                </c:pt>
                <c:pt idx="357">
                  <c:v>0.12940548913043479</c:v>
                </c:pt>
                <c:pt idx="358">
                  <c:v>0.1452229891304348</c:v>
                </c:pt>
                <c:pt idx="359">
                  <c:v>0.11145606521739131</c:v>
                </c:pt>
                <c:pt idx="360">
                  <c:v>0.13028519429347829</c:v>
                </c:pt>
                <c:pt idx="361">
                  <c:v>0.11450494565217392</c:v>
                </c:pt>
                <c:pt idx="362">
                  <c:v>0.12852864945652173</c:v>
                </c:pt>
                <c:pt idx="363">
                  <c:v>0.11374845652173914</c:v>
                </c:pt>
                <c:pt idx="364">
                  <c:v>0.13028519429347829</c:v>
                </c:pt>
                <c:pt idx="365">
                  <c:v>0.1384919551630435</c:v>
                </c:pt>
                <c:pt idx="366">
                  <c:v>0.20765322153209109</c:v>
                </c:pt>
                <c:pt idx="367">
                  <c:v>0.19011652298136647</c:v>
                </c:pt>
                <c:pt idx="368">
                  <c:v>0.16597732919254657</c:v>
                </c:pt>
                <c:pt idx="369">
                  <c:v>0.1615369710144928</c:v>
                </c:pt>
                <c:pt idx="370">
                  <c:v>0.24235425003938041</c:v>
                </c:pt>
                <c:pt idx="371">
                  <c:v>0.22339196639537937</c:v>
                </c:pt>
                <c:pt idx="372">
                  <c:v>0.20177029141506961</c:v>
                </c:pt>
                <c:pt idx="373">
                  <c:v>0.22644876870569705</c:v>
                </c:pt>
                <c:pt idx="374">
                  <c:v>0.24400270937253873</c:v>
                </c:pt>
                <c:pt idx="375">
                  <c:v>0.9667307232158302</c:v>
                </c:pt>
                <c:pt idx="376">
                  <c:v>0.97297777150801645</c:v>
                </c:pt>
                <c:pt idx="377">
                  <c:v>0.77982887538641377</c:v>
                </c:pt>
                <c:pt idx="378">
                  <c:v>0.7887608360736591</c:v>
                </c:pt>
                <c:pt idx="379">
                  <c:v>0.98341477620702389</c:v>
                </c:pt>
                <c:pt idx="380">
                  <c:v>0.94858117751894955</c:v>
                </c:pt>
                <c:pt idx="381">
                  <c:v>0.75990373231486663</c:v>
                </c:pt>
                <c:pt idx="382">
                  <c:v>0.92417270672531104</c:v>
                </c:pt>
                <c:pt idx="383">
                  <c:v>0.96495988948486533</c:v>
                </c:pt>
                <c:pt idx="384">
                  <c:v>0.94442882800646388</c:v>
                </c:pt>
                <c:pt idx="385">
                  <c:v>0.47700358046184671</c:v>
                </c:pt>
                <c:pt idx="386">
                  <c:v>0.41707321880235193</c:v>
                </c:pt>
                <c:pt idx="387">
                  <c:v>0.50370362718279715</c:v>
                </c:pt>
                <c:pt idx="388">
                  <c:v>0.66901409889285135</c:v>
                </c:pt>
                <c:pt idx="389">
                  <c:v>0.66352651842924859</c:v>
                </c:pt>
                <c:pt idx="390">
                  <c:v>0.57594947399032614</c:v>
                </c:pt>
                <c:pt idx="391">
                  <c:v>0.29304071259381648</c:v>
                </c:pt>
                <c:pt idx="392">
                  <c:v>0.42813907384307182</c:v>
                </c:pt>
                <c:pt idx="393">
                  <c:v>1.056</c:v>
                </c:pt>
                <c:pt idx="394">
                  <c:v>1.004</c:v>
                </c:pt>
                <c:pt idx="395">
                  <c:v>0.999</c:v>
                </c:pt>
                <c:pt idx="396">
                  <c:v>0.88000000000000012</c:v>
                </c:pt>
                <c:pt idx="397">
                  <c:v>1.0089999999999999</c:v>
                </c:pt>
                <c:pt idx="398">
                  <c:v>0.82899999999999985</c:v>
                </c:pt>
                <c:pt idx="399">
                  <c:v>0.81399999999999995</c:v>
                </c:pt>
                <c:pt idx="400">
                  <c:v>0.88900000000000001</c:v>
                </c:pt>
                <c:pt idx="401">
                  <c:v>0.94099999999999995</c:v>
                </c:pt>
                <c:pt idx="402">
                  <c:v>0.94099999999999995</c:v>
                </c:pt>
                <c:pt idx="403">
                  <c:v>1.008</c:v>
                </c:pt>
                <c:pt idx="404">
                  <c:v>0.98899999999999999</c:v>
                </c:pt>
                <c:pt idx="405">
                  <c:v>1.0089999999999999</c:v>
                </c:pt>
                <c:pt idx="406">
                  <c:v>0.95099999999999996</c:v>
                </c:pt>
                <c:pt idx="407">
                  <c:v>0.872</c:v>
                </c:pt>
                <c:pt idx="408">
                  <c:v>0.91200000000000003</c:v>
                </c:pt>
                <c:pt idx="409">
                  <c:v>#N/A</c:v>
                </c:pt>
                <c:pt idx="410">
                  <c:v>#N/A</c:v>
                </c:pt>
                <c:pt idx="411">
                  <c:v>#N/A</c:v>
                </c:pt>
                <c:pt idx="412">
                  <c:v>#N/A</c:v>
                </c:pt>
                <c:pt idx="413">
                  <c:v>#N/A</c:v>
                </c:pt>
                <c:pt idx="414">
                  <c:v>#N/A</c:v>
                </c:pt>
                <c:pt idx="415">
                  <c:v>0.93832837067054176</c:v>
                </c:pt>
                <c:pt idx="416">
                  <c:v>0.78687246647398568</c:v>
                </c:pt>
                <c:pt idx="417">
                  <c:v>0.6899256031818416</c:v>
                </c:pt>
                <c:pt idx="418">
                  <c:v>1.0233330653028985</c:v>
                </c:pt>
                <c:pt idx="419">
                  <c:v>0.85223530437427208</c:v>
                </c:pt>
                <c:pt idx="420">
                  <c:v>0.79607846928771109</c:v>
                </c:pt>
                <c:pt idx="421">
                  <c:v>1.1494521735689953</c:v>
                </c:pt>
                <c:pt idx="422">
                  <c:v>0.84503697907040565</c:v>
                </c:pt>
                <c:pt idx="423">
                  <c:v>0.87989942086025497</c:v>
                </c:pt>
                <c:pt idx="424">
                  <c:v>0.27627135514766743</c:v>
                </c:pt>
                <c:pt idx="425">
                  <c:v>0.3136831011572474</c:v>
                </c:pt>
                <c:pt idx="426">
                  <c:v>0.33238897416203733</c:v>
                </c:pt>
                <c:pt idx="427">
                  <c:v>0.49007988329055813</c:v>
                </c:pt>
                <c:pt idx="428">
                  <c:v>0.16997725164603367</c:v>
                </c:pt>
                <c:pt idx="429">
                  <c:v>0.16997725164603367</c:v>
                </c:pt>
                <c:pt idx="430">
                  <c:v>0.19471223704293225</c:v>
                </c:pt>
                <c:pt idx="431">
                  <c:v>0.20250072652464954</c:v>
                </c:pt>
                <c:pt idx="432">
                  <c:v>0.21807770548808414</c:v>
                </c:pt>
                <c:pt idx="433">
                  <c:v>0.57886648361551429</c:v>
                </c:pt>
                <c:pt idx="434">
                  <c:v>0.61430728873483142</c:v>
                </c:pt>
                <c:pt idx="435">
                  <c:v>9.5221527074229373E-2</c:v>
                </c:pt>
                <c:pt idx="436">
                  <c:v>0.59554011134042495</c:v>
                </c:pt>
                <c:pt idx="437">
                  <c:v>0.73013217650336104</c:v>
                </c:pt>
                <c:pt idx="438">
                  <c:v>0.72655893583531839</c:v>
                </c:pt>
                <c:pt idx="439">
                  <c:v>0.78611294696936096</c:v>
                </c:pt>
                <c:pt idx="440">
                  <c:v>0.42442100934506605</c:v>
                </c:pt>
                <c:pt idx="441">
                  <c:v>0.48721799542163191</c:v>
                </c:pt>
                <c:pt idx="442">
                  <c:v>0.33130823688670968</c:v>
                </c:pt>
                <c:pt idx="443">
                  <c:v>0.24848117766503225</c:v>
                </c:pt>
                <c:pt idx="444">
                  <c:v>0.10285713236678898</c:v>
                </c:pt>
                <c:pt idx="445">
                  <c:v>0.18947366488619016</c:v>
                </c:pt>
                <c:pt idx="446">
                  <c:v>7.7088713942267087E-2</c:v>
                </c:pt>
                <c:pt idx="447">
                  <c:v>0.12342855884014675</c:v>
                </c:pt>
                <c:pt idx="448">
                  <c:v>0.88888919547159806</c:v>
                </c:pt>
                <c:pt idx="449">
                  <c:v>0.40948813843719867</c:v>
                </c:pt>
                <c:pt idx="450">
                  <c:v>0.6962965364527518</c:v>
                </c:pt>
                <c:pt idx="451">
                  <c:v>0.49138576612463836</c:v>
                </c:pt>
                <c:pt idx="452">
                  <c:v>0.25593008652324917</c:v>
                </c:pt>
                <c:pt idx="453">
                  <c:v>0.37536412690076543</c:v>
                </c:pt>
                <c:pt idx="454">
                  <c:v>3.6842104087588902E-2</c:v>
                </c:pt>
                <c:pt idx="455">
                  <c:v>5.7894734994782565E-2</c:v>
                </c:pt>
                <c:pt idx="456">
                  <c:v>0.5971702018875813</c:v>
                </c:pt>
                <c:pt idx="457">
                  <c:v>0.42592607283014072</c:v>
                </c:pt>
                <c:pt idx="458">
                  <c:v>0.34894733730889366</c:v>
                </c:pt>
                <c:pt idx="459">
                  <c:v>0.49947363967743619</c:v>
                </c:pt>
                <c:pt idx="460">
                  <c:v>0.58947363165303313</c:v>
                </c:pt>
                <c:pt idx="461">
                  <c:v>0.24768418844278331</c:v>
                </c:pt>
                <c:pt idx="462">
                  <c:v>0.53052626848772988</c:v>
                </c:pt>
                <c:pt idx="463">
                  <c:v>5.8846795262787806E-2</c:v>
                </c:pt>
                <c:pt idx="464">
                  <c:v>0.10403896169729526</c:v>
                </c:pt>
                <c:pt idx="465">
                  <c:v>5.7982056717038606E-2</c:v>
                </c:pt>
                <c:pt idx="466">
                  <c:v>5.7364641036656873E-2</c:v>
                </c:pt>
                <c:pt idx="467">
                  <c:v>7.9947101535250295E-2</c:v>
                </c:pt>
                <c:pt idx="468">
                  <c:v>8.6441010463035081E-2</c:v>
                </c:pt>
                <c:pt idx="469">
                  <c:v>7.8223179068827683E-2</c:v>
                </c:pt>
                <c:pt idx="470">
                  <c:v>7.5610290476078437E-2</c:v>
                </c:pt>
                <c:pt idx="471">
                  <c:v>7.8925050521305329E-2</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0.82962962962962961</c:v>
                </c:pt>
                <c:pt idx="493">
                  <c:v>0.9</c:v>
                </c:pt>
                <c:pt idx="494">
                  <c:v>0.81481481481481477</c:v>
                </c:pt>
                <c:pt idx="495">
                  <c:v>0.88500000000000001</c:v>
                </c:pt>
                <c:pt idx="496">
                  <c:v>0.80888888888888888</c:v>
                </c:pt>
                <c:pt idx="497">
                  <c:v>0.91249999999999998</c:v>
                </c:pt>
                <c:pt idx="498">
                  <c:v>0.87058823529411766</c:v>
                </c:pt>
                <c:pt idx="499">
                  <c:v>0.91176470588235292</c:v>
                </c:pt>
                <c:pt idx="500">
                  <c:v>0.90352941176470591</c:v>
                </c:pt>
                <c:pt idx="501">
                  <c:v>0.88823529411764701</c:v>
                </c:pt>
                <c:pt idx="502">
                  <c:v>0.8529411764705882</c:v>
                </c:pt>
                <c:pt idx="503">
                  <c:v>1.3702623906705538</c:v>
                </c:pt>
                <c:pt idx="504">
                  <c:v>1.296774193548387</c:v>
                </c:pt>
                <c:pt idx="505">
                  <c:v>1.1559633027522933</c:v>
                </c:pt>
                <c:pt idx="506">
                  <c:v>1.546938775510204</c:v>
                </c:pt>
                <c:pt idx="507">
                  <c:v>1.221518987341772</c:v>
                </c:pt>
                <c:pt idx="508">
                  <c:v>1.4732547597461469</c:v>
                </c:pt>
                <c:pt idx="509">
                  <c:v>1.5882352941176472</c:v>
                </c:pt>
                <c:pt idx="510">
                  <c:v>1.5214723926380367</c:v>
                </c:pt>
                <c:pt idx="511">
                  <c:v>1.2041884816753927</c:v>
                </c:pt>
                <c:pt idx="512">
                  <c:v>1.3179190751445087</c:v>
                </c:pt>
                <c:pt idx="513">
                  <c:v>1.3134328358208955</c:v>
                </c:pt>
                <c:pt idx="514">
                  <c:v>1.0780487804878049</c:v>
                </c:pt>
                <c:pt idx="515">
                  <c:v>1.1219512195121952</c:v>
                </c:pt>
                <c:pt idx="516">
                  <c:v>1.240223463687151</c:v>
                </c:pt>
                <c:pt idx="517">
                  <c:v>1.2529999999999999</c:v>
                </c:pt>
                <c:pt idx="518">
                  <c:v>1.2569999999999999</c:v>
                </c:pt>
                <c:pt idx="519">
                  <c:v>1.135</c:v>
                </c:pt>
                <c:pt idx="520">
                  <c:v>1.127</c:v>
                </c:pt>
                <c:pt idx="521">
                  <c:v>1.1080000000000001</c:v>
                </c:pt>
                <c:pt idx="522">
                  <c:v>1.115</c:v>
                </c:pt>
                <c:pt idx="523">
                  <c:v>1.1100000000000001</c:v>
                </c:pt>
                <c:pt idx="524">
                  <c:v>1.052</c:v>
                </c:pt>
                <c:pt idx="525">
                  <c:v>1.0760000000000001</c:v>
                </c:pt>
                <c:pt idx="526">
                  <c:v>1.069</c:v>
                </c:pt>
                <c:pt idx="527">
                  <c:v>1.0189999999999999</c:v>
                </c:pt>
                <c:pt idx="528">
                  <c:v>1.018</c:v>
                </c:pt>
                <c:pt idx="529">
                  <c:v>0.94499999999999995</c:v>
                </c:pt>
                <c:pt idx="530">
                  <c:v>0.95899999999999996</c:v>
                </c:pt>
                <c:pt idx="531">
                  <c:v>0.94599999999999995</c:v>
                </c:pt>
                <c:pt idx="532">
                  <c:v>0.91700000000000004</c:v>
                </c:pt>
                <c:pt idx="533">
                  <c:v>1.2390000000000001</c:v>
                </c:pt>
                <c:pt idx="534">
                  <c:v>1.234</c:v>
                </c:pt>
                <c:pt idx="535">
                  <c:v>1.056</c:v>
                </c:pt>
                <c:pt idx="536">
                  <c:v>1.054</c:v>
                </c:pt>
                <c:pt idx="537">
                  <c:v>1.1319999999999999</c:v>
                </c:pt>
                <c:pt idx="538">
                  <c:v>1.1319999999999999</c:v>
                </c:pt>
                <c:pt idx="539">
                  <c:v>1.756</c:v>
                </c:pt>
                <c:pt idx="540">
                  <c:v>1.6830000000000001</c:v>
                </c:pt>
                <c:pt idx="541">
                  <c:v>1.494</c:v>
                </c:pt>
                <c:pt idx="542">
                  <c:v>1.4159999999999999</c:v>
                </c:pt>
                <c:pt idx="543">
                  <c:v>1.423</c:v>
                </c:pt>
                <c:pt idx="544">
                  <c:v>1.3240000000000001</c:v>
                </c:pt>
                <c:pt idx="545">
                  <c:v>1.431</c:v>
                </c:pt>
                <c:pt idx="546">
                  <c:v>1.35</c:v>
                </c:pt>
                <c:pt idx="547">
                  <c:v>1.413</c:v>
                </c:pt>
                <c:pt idx="548">
                  <c:v>1.3280000000000001</c:v>
                </c:pt>
                <c:pt idx="549">
                  <c:v>1.3280000000000001</c:v>
                </c:pt>
                <c:pt idx="550">
                  <c:v>1.254</c:v>
                </c:pt>
                <c:pt idx="551">
                  <c:v>1.2330000000000001</c:v>
                </c:pt>
                <c:pt idx="552">
                  <c:v>1.198</c:v>
                </c:pt>
                <c:pt idx="553">
                  <c:v>1.2110000000000001</c:v>
                </c:pt>
                <c:pt idx="554">
                  <c:v>1.1779999999999999</c:v>
                </c:pt>
                <c:pt idx="555">
                  <c:v>1.175</c:v>
                </c:pt>
                <c:pt idx="556">
                  <c:v>1.1850000000000001</c:v>
                </c:pt>
                <c:pt idx="557">
                  <c:v>1.1950000000000001</c:v>
                </c:pt>
                <c:pt idx="558">
                  <c:v>1.1850000000000001</c:v>
                </c:pt>
                <c:pt idx="559">
                  <c:v>1.1719999999999999</c:v>
                </c:pt>
                <c:pt idx="560">
                  <c:v>1.145</c:v>
                </c:pt>
                <c:pt idx="561">
                  <c:v>1.141</c:v>
                </c:pt>
                <c:pt idx="562">
                  <c:v>1.038</c:v>
                </c:pt>
                <c:pt idx="563">
                  <c:v>1.081</c:v>
                </c:pt>
                <c:pt idx="564">
                  <c:v>1.109</c:v>
                </c:pt>
                <c:pt idx="565">
                  <c:v>0.99399999999999999</c:v>
                </c:pt>
                <c:pt idx="566">
                  <c:v>0.995</c:v>
                </c:pt>
                <c:pt idx="567">
                  <c:v>#N/A</c:v>
                </c:pt>
                <c:pt idx="568">
                  <c:v>#N/A</c:v>
                </c:pt>
                <c:pt idx="569">
                  <c:v>0.61087866108786615</c:v>
                </c:pt>
                <c:pt idx="570">
                  <c:v>0.60591133004926112</c:v>
                </c:pt>
                <c:pt idx="571">
                  <c:v>0.5714285714285714</c:v>
                </c:pt>
                <c:pt idx="572">
                  <c:v>0.60904255319148937</c:v>
                </c:pt>
                <c:pt idx="573">
                  <c:v>0.57843137254901966</c:v>
                </c:pt>
                <c:pt idx="574">
                  <c:v>#N/A</c:v>
                </c:pt>
                <c:pt idx="575">
                  <c:v>#N/A</c:v>
                </c:pt>
                <c:pt idx="576">
                  <c:v>#N/A</c:v>
                </c:pt>
                <c:pt idx="577">
                  <c:v>#N/A</c:v>
                </c:pt>
                <c:pt idx="578">
                  <c:v>#N/A</c:v>
                </c:pt>
                <c:pt idx="579">
                  <c:v>#N/A</c:v>
                </c:pt>
                <c:pt idx="580">
                  <c:v>#N/A</c:v>
                </c:pt>
                <c:pt idx="581">
                  <c:v>#N/A</c:v>
                </c:pt>
                <c:pt idx="582">
                  <c:v>#N/A</c:v>
                </c:pt>
                <c:pt idx="583">
                  <c:v>#N/A</c:v>
                </c:pt>
                <c:pt idx="584">
                  <c:v>#N/A</c:v>
                </c:pt>
                <c:pt idx="585">
                  <c:v>6.8049186129352304E-2</c:v>
                </c:pt>
                <c:pt idx="586">
                  <c:v>8.8463586674812938E-2</c:v>
                </c:pt>
                <c:pt idx="587">
                  <c:v>8.6859004296075348E-2</c:v>
                </c:pt>
                <c:pt idx="588">
                  <c:v>0.16166453715688101</c:v>
                </c:pt>
                <c:pt idx="589">
                  <c:v>0.20237507600746862</c:v>
                </c:pt>
                <c:pt idx="590">
                  <c:v>0.21007635078011105</c:v>
                </c:pt>
                <c:pt idx="591">
                  <c:v>0.21744061368289605</c:v>
                </c:pt>
                <c:pt idx="592">
                  <c:v>0.21289086906615384</c:v>
                </c:pt>
                <c:pt idx="593">
                  <c:v>0.43365045052971174</c:v>
                </c:pt>
                <c:pt idx="594">
                  <c:v>0.49875947891637451</c:v>
                </c:pt>
                <c:pt idx="595">
                  <c:v>0.53859593333860656</c:v>
                </c:pt>
                <c:pt idx="596">
                  <c:v>0.57302113020946721</c:v>
                </c:pt>
                <c:pt idx="597">
                  <c:v>0.67599178306953278</c:v>
                </c:pt>
                <c:pt idx="598">
                  <c:v>0.71555018775255785</c:v>
                </c:pt>
                <c:pt idx="599">
                  <c:v>0.69463068194469424</c:v>
                </c:pt>
                <c:pt idx="600">
                  <c:v>0.62049036917671818</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0.65910423448974254</c:v>
                </c:pt>
                <c:pt idx="629">
                  <c:v>0.73164020018185083</c:v>
                </c:pt>
                <c:pt idx="630">
                  <c:v>0.74197367799895397</c:v>
                </c:pt>
                <c:pt idx="631">
                  <c:v>0.59943327954300518</c:v>
                </c:pt>
                <c:pt idx="632">
                  <c:v>0.47452014010224142</c:v>
                </c:pt>
                <c:pt idx="633">
                  <c:v>0.41147872227061655</c:v>
                </c:pt>
                <c:pt idx="634">
                  <c:v>0.43648770803450215</c:v>
                </c:pt>
                <c:pt idx="635">
                  <c:v>0.42205831742746502</c:v>
                </c:pt>
                <c:pt idx="636">
                  <c:v>0.13837693892294989</c:v>
                </c:pt>
                <c:pt idx="637">
                  <c:v>7.4429044293290128E-2</c:v>
                </c:pt>
                <c:pt idx="638">
                  <c:v>4.648752281897358E-2</c:v>
                </c:pt>
                <c:pt idx="639">
                  <c:v>1.1842241731176193</c:v>
                </c:pt>
                <c:pt idx="640">
                  <c:v>1.163077312883376</c:v>
                </c:pt>
                <c:pt idx="641">
                  <c:v>1.1654269640205142</c:v>
                </c:pt>
                <c:pt idx="642">
                  <c:v>1.1202160333442182</c:v>
                </c:pt>
                <c:pt idx="643">
                  <c:v>1.1227301564840846</c:v>
                </c:pt>
                <c:pt idx="644">
                  <c:v>0.96771139078826063</c:v>
                </c:pt>
                <c:pt idx="645">
                  <c:v>1.1176821705798701</c:v>
                </c:pt>
                <c:pt idx="646">
                  <c:v>0.96413522634375726</c:v>
                </c:pt>
                <c:pt idx="647">
                  <c:v>1.305863045228943</c:v>
                </c:pt>
                <c:pt idx="648">
                  <c:v>1.082152328475152</c:v>
                </c:pt>
                <c:pt idx="649">
                  <c:v>1.039820577489436</c:v>
                </c:pt>
                <c:pt idx="650">
                  <c:v>0.93907398472989767</c:v>
                </c:pt>
                <c:pt idx="651">
                  <c:v>0.83406953996785571</c:v>
                </c:pt>
                <c:pt idx="652">
                  <c:v>0.76843352990906788</c:v>
                </c:pt>
                <c:pt idx="653">
                  <c:v>1.2109756097560975</c:v>
                </c:pt>
                <c:pt idx="654">
                  <c:v>1.0219512195121949</c:v>
                </c:pt>
                <c:pt idx="655">
                  <c:v>0.97926829268292681</c:v>
                </c:pt>
                <c:pt idx="656">
                  <c:v>0.89390243902439015</c:v>
                </c:pt>
                <c:pt idx="657">
                  <c:v>0.83048780487804874</c:v>
                </c:pt>
                <c:pt idx="658">
                  <c:v>0.73780487804878037</c:v>
                </c:pt>
                <c:pt idx="659">
                  <c:v>#N/A</c:v>
                </c:pt>
                <c:pt idx="660">
                  <c:v>#N/A</c:v>
                </c:pt>
                <c:pt idx="661">
                  <c:v>#N/A</c:v>
                </c:pt>
                <c:pt idx="662">
                  <c:v>#N/A</c:v>
                </c:pt>
                <c:pt idx="663">
                  <c:v>#N/A</c:v>
                </c:pt>
                <c:pt idx="664">
                  <c:v>#N/A</c:v>
                </c:pt>
                <c:pt idx="665">
                  <c:v>#N/A</c:v>
                </c:pt>
                <c:pt idx="666">
                  <c:v>#N/A</c:v>
                </c:pt>
                <c:pt idx="667">
                  <c:v>#N/A</c:v>
                </c:pt>
                <c:pt idx="668">
                  <c:v>#N/A</c:v>
                </c:pt>
                <c:pt idx="669">
                  <c:v>#N/A</c:v>
                </c:pt>
              </c:numCache>
            </c:numRef>
          </c:yVal>
          <c:smooth val="0"/>
          <c:extLst>
            <c:ext xmlns:c16="http://schemas.microsoft.com/office/drawing/2014/chart" uri="{C3380CC4-5D6E-409C-BE32-E72D297353CC}">
              <c16:uniqueId val="{00000005-4C45-47A9-A191-8FEE64939E81}"/>
            </c:ext>
          </c:extLst>
        </c:ser>
        <c:ser>
          <c:idx val="6"/>
          <c:order val="6"/>
          <c:tx>
            <c:v>Bin mean</c:v>
          </c:tx>
          <c:spPr>
            <a:ln w="25400" cap="rnd">
              <a:noFill/>
              <a:round/>
            </a:ln>
            <a:effectLst/>
          </c:spPr>
          <c:marker>
            <c:symbol val="circle"/>
            <c:size val="4"/>
            <c:spPr>
              <a:solidFill>
                <a:srgbClr val="FF0000"/>
              </a:solidFill>
              <a:ln w="9525">
                <a:noFill/>
              </a:ln>
              <a:effectLst/>
            </c:spPr>
          </c:marker>
          <c:xVal>
            <c:numRef>
              <c:f>'Figure 2 Data'!$I$29:$T$29</c:f>
              <c:numCache>
                <c:formatCode>General</c:formatCode>
                <c:ptCount val="12"/>
                <c:pt idx="0">
                  <c:v>2</c:v>
                </c:pt>
                <c:pt idx="1">
                  <c:v>3</c:v>
                </c:pt>
                <c:pt idx="2">
                  <c:v>4</c:v>
                </c:pt>
                <c:pt idx="3">
                  <c:v>5</c:v>
                </c:pt>
                <c:pt idx="4">
                  <c:v>6</c:v>
                </c:pt>
                <c:pt idx="5">
                  <c:v>7</c:v>
                </c:pt>
                <c:pt idx="6">
                  <c:v>8</c:v>
                </c:pt>
                <c:pt idx="7">
                  <c:v>9</c:v>
                </c:pt>
                <c:pt idx="8">
                  <c:v>10</c:v>
                </c:pt>
                <c:pt idx="9">
                  <c:v>11</c:v>
                </c:pt>
                <c:pt idx="10">
                  <c:v>12</c:v>
                </c:pt>
                <c:pt idx="11">
                  <c:v>13</c:v>
                </c:pt>
              </c:numCache>
            </c:numRef>
          </c:xVal>
          <c:yVal>
            <c:numRef>
              <c:f>'Figure 2 Data'!$I$30:$T$30</c:f>
              <c:numCache>
                <c:formatCode>General</c:formatCode>
                <c:ptCount val="12"/>
                <c:pt idx="0">
                  <c:v>1.1365256065868232</c:v>
                </c:pt>
                <c:pt idx="1">
                  <c:v>0.94590718815678765</c:v>
                </c:pt>
                <c:pt idx="2">
                  <c:v>0.71274018007830131</c:v>
                </c:pt>
                <c:pt idx="3">
                  <c:v>0.42014559423180858</c:v>
                </c:pt>
                <c:pt idx="4">
                  <c:v>0.27074335489375978</c:v>
                </c:pt>
                <c:pt idx="5">
                  <c:v>0.17655578352491863</c:v>
                </c:pt>
                <c:pt idx="6">
                  <c:v>0.1066379572933521</c:v>
                </c:pt>
                <c:pt idx="7">
                  <c:v>0.10549732004750774</c:v>
                </c:pt>
                <c:pt idx="8">
                  <c:v>8.1745075206156079E-2</c:v>
                </c:pt>
                <c:pt idx="9">
                  <c:v>8.6441010463035081E-2</c:v>
                </c:pt>
                <c:pt idx="10">
                  <c:v>5.8287924242547876E-2</c:v>
                </c:pt>
                <c:pt idx="11">
                  <c:v>4.7983555584213876E-2</c:v>
                </c:pt>
              </c:numCache>
            </c:numRef>
          </c:yVal>
          <c:smooth val="0"/>
          <c:extLst>
            <c:ext xmlns:c16="http://schemas.microsoft.com/office/drawing/2014/chart" uri="{C3380CC4-5D6E-409C-BE32-E72D297353CC}">
              <c16:uniqueId val="{00000006-4C45-47A9-A191-8FEE64939E81}"/>
            </c:ext>
          </c:extLst>
        </c:ser>
        <c:ser>
          <c:idx val="7"/>
          <c:order val="7"/>
          <c:tx>
            <c:v>Classic Linear Solution</c:v>
          </c:tx>
          <c:spPr>
            <a:ln w="15875" cap="rnd">
              <a:solidFill>
                <a:schemeClr val="tx1"/>
              </a:solidFill>
              <a:prstDash val="dash"/>
              <a:round/>
            </a:ln>
            <a:effectLst/>
          </c:spPr>
          <c:marker>
            <c:symbol val="none"/>
          </c:marker>
          <c:xVal>
            <c:numRef>
              <c:f>'Figure 2 Data'!$AQ$11:$AQ$41</c:f>
              <c:numCache>
                <c:formatCode>General</c:formatCode>
                <c:ptCount val="31"/>
                <c:pt idx="0">
                  <c:v>1</c:v>
                </c:pt>
                <c:pt idx="1">
                  <c:v>1.4</c:v>
                </c:pt>
                <c:pt idx="2">
                  <c:v>1.8</c:v>
                </c:pt>
                <c:pt idx="3">
                  <c:v>2.2000000000000002</c:v>
                </c:pt>
                <c:pt idx="4">
                  <c:v>2.6</c:v>
                </c:pt>
                <c:pt idx="5">
                  <c:v>3</c:v>
                </c:pt>
                <c:pt idx="6">
                  <c:v>3.4</c:v>
                </c:pt>
                <c:pt idx="7">
                  <c:v>3.8</c:v>
                </c:pt>
                <c:pt idx="8">
                  <c:v>4.2</c:v>
                </c:pt>
                <c:pt idx="9">
                  <c:v>4.5999999999999996</c:v>
                </c:pt>
                <c:pt idx="10">
                  <c:v>5</c:v>
                </c:pt>
                <c:pt idx="11">
                  <c:v>5.4</c:v>
                </c:pt>
                <c:pt idx="12">
                  <c:v>5.8</c:v>
                </c:pt>
                <c:pt idx="13">
                  <c:v>6.2</c:v>
                </c:pt>
                <c:pt idx="14">
                  <c:v>6.6</c:v>
                </c:pt>
                <c:pt idx="15">
                  <c:v>7</c:v>
                </c:pt>
                <c:pt idx="16">
                  <c:v>7.4</c:v>
                </c:pt>
                <c:pt idx="17">
                  <c:v>7.8</c:v>
                </c:pt>
                <c:pt idx="18">
                  <c:v>8.1999999999999993</c:v>
                </c:pt>
                <c:pt idx="19">
                  <c:v>8.6</c:v>
                </c:pt>
                <c:pt idx="20">
                  <c:v>9</c:v>
                </c:pt>
                <c:pt idx="21">
                  <c:v>9.4</c:v>
                </c:pt>
                <c:pt idx="22">
                  <c:v>9.8000000000000007</c:v>
                </c:pt>
                <c:pt idx="23">
                  <c:v>10.199999999999999</c:v>
                </c:pt>
                <c:pt idx="24">
                  <c:v>10.6</c:v>
                </c:pt>
                <c:pt idx="25">
                  <c:v>11</c:v>
                </c:pt>
                <c:pt idx="26">
                  <c:v>11.4</c:v>
                </c:pt>
                <c:pt idx="27">
                  <c:v>11.8</c:v>
                </c:pt>
                <c:pt idx="28">
                  <c:v>12.2</c:v>
                </c:pt>
                <c:pt idx="29">
                  <c:v>12.6</c:v>
                </c:pt>
                <c:pt idx="30">
                  <c:v>13</c:v>
                </c:pt>
              </c:numCache>
            </c:numRef>
          </c:xVal>
          <c:yVal>
            <c:numRef>
              <c:f>'Figure 2 Data'!$AP$11:$AP$41</c:f>
              <c:numCache>
                <c:formatCode>General</c:formatCode>
                <c:ptCount val="31"/>
                <c:pt idx="0">
                  <c:v>1</c:v>
                </c:pt>
                <c:pt idx="1">
                  <c:v>1</c:v>
                </c:pt>
                <c:pt idx="2">
                  <c:v>1</c:v>
                </c:pt>
                <c:pt idx="3">
                  <c:v>1</c:v>
                </c:pt>
                <c:pt idx="4">
                  <c:v>1</c:v>
                </c:pt>
                <c:pt idx="5">
                  <c:v>1</c:v>
                </c:pt>
                <c:pt idx="6">
                  <c:v>1</c:v>
                </c:pt>
                <c:pt idx="7">
                  <c:v>1</c:v>
                </c:pt>
                <c:pt idx="8">
                  <c:v>1</c:v>
                </c:pt>
                <c:pt idx="9">
                  <c:v>1</c:v>
                </c:pt>
                <c:pt idx="10">
                  <c:v>1</c:v>
                </c:pt>
                <c:pt idx="11">
                  <c:v>0.82644628099173545</c:v>
                </c:pt>
                <c:pt idx="12">
                  <c:v>0.69444444444444442</c:v>
                </c:pt>
                <c:pt idx="13">
                  <c:v>0.59171597633136086</c:v>
                </c:pt>
                <c:pt idx="14">
                  <c:v>0.51020408163265318</c:v>
                </c:pt>
                <c:pt idx="15">
                  <c:v>0.44444444444444442</c:v>
                </c:pt>
                <c:pt idx="16">
                  <c:v>0.39062499999999994</c:v>
                </c:pt>
                <c:pt idx="17">
                  <c:v>0.34602076124567477</c:v>
                </c:pt>
                <c:pt idx="18">
                  <c:v>0.30864197530864196</c:v>
                </c:pt>
                <c:pt idx="19">
                  <c:v>0.2770083102493075</c:v>
                </c:pt>
                <c:pt idx="20">
                  <c:v>0.25</c:v>
                </c:pt>
                <c:pt idx="21">
                  <c:v>0.22675736961451246</c:v>
                </c:pt>
                <c:pt idx="22">
                  <c:v>0.20661157024793386</c:v>
                </c:pt>
                <c:pt idx="23">
                  <c:v>0.18903591682419663</c:v>
                </c:pt>
                <c:pt idx="24">
                  <c:v>0.1736111111111111</c:v>
                </c:pt>
                <c:pt idx="25">
                  <c:v>0.16</c:v>
                </c:pt>
                <c:pt idx="26">
                  <c:v>0.14792899408284022</c:v>
                </c:pt>
                <c:pt idx="27">
                  <c:v>0.1371742112482853</c:v>
                </c:pt>
                <c:pt idx="28">
                  <c:v>0.1275510204081633</c:v>
                </c:pt>
                <c:pt idx="29">
                  <c:v>0.11890606420927467</c:v>
                </c:pt>
                <c:pt idx="30">
                  <c:v>0.1111111111111111</c:v>
                </c:pt>
              </c:numCache>
            </c:numRef>
          </c:yVal>
          <c:smooth val="0"/>
          <c:extLst>
            <c:ext xmlns:c16="http://schemas.microsoft.com/office/drawing/2014/chart" uri="{C3380CC4-5D6E-409C-BE32-E72D297353CC}">
              <c16:uniqueId val="{00000007-4C45-47A9-A191-8FEE64939E81}"/>
            </c:ext>
          </c:extLst>
        </c:ser>
        <c:ser>
          <c:idx val="8"/>
          <c:order val="8"/>
          <c:tx>
            <c:v>Outliers</c:v>
          </c:tx>
          <c:spPr>
            <a:ln w="25400" cap="rnd">
              <a:noFill/>
              <a:round/>
            </a:ln>
            <a:effectLst/>
          </c:spPr>
          <c:marker>
            <c:symbol val="plus"/>
            <c:size val="3"/>
            <c:spPr>
              <a:noFill/>
              <a:ln w="9525">
                <a:solidFill>
                  <a:srgbClr val="FF0000"/>
                </a:solidFill>
              </a:ln>
              <a:effectLst/>
            </c:spPr>
          </c:marker>
          <c:xVal>
            <c:numRef>
              <c:f>'Figure 2 Data'!$H$29:$T$29</c:f>
              <c:numCache>
                <c:formatCode>General</c:formatCode>
                <c:ptCount val="13"/>
                <c:pt idx="0">
                  <c:v>1</c:v>
                </c:pt>
                <c:pt idx="1">
                  <c:v>2</c:v>
                </c:pt>
                <c:pt idx="2">
                  <c:v>3</c:v>
                </c:pt>
                <c:pt idx="3">
                  <c:v>4</c:v>
                </c:pt>
                <c:pt idx="4">
                  <c:v>5</c:v>
                </c:pt>
                <c:pt idx="5">
                  <c:v>6</c:v>
                </c:pt>
                <c:pt idx="6">
                  <c:v>7</c:v>
                </c:pt>
                <c:pt idx="7">
                  <c:v>8</c:v>
                </c:pt>
                <c:pt idx="8">
                  <c:v>9</c:v>
                </c:pt>
                <c:pt idx="9">
                  <c:v>10</c:v>
                </c:pt>
                <c:pt idx="10">
                  <c:v>11</c:v>
                </c:pt>
                <c:pt idx="11">
                  <c:v>12</c:v>
                </c:pt>
                <c:pt idx="12">
                  <c:v>13</c:v>
                </c:pt>
              </c:numCache>
            </c:numRef>
          </c:xVal>
          <c:yVal>
            <c:numRef>
              <c:f>'Figure 2 Data'!$H$35:$T$35</c:f>
              <c:numCache>
                <c:formatCode>General</c:formatCode>
                <c:ptCount val="13"/>
                <c:pt idx="2">
                  <c:v>0.40704500978473579</c:v>
                </c:pt>
                <c:pt idx="5">
                  <c:v>0.53052626848772988</c:v>
                </c:pt>
                <c:pt idx="6">
                  <c:v>0.37536412690076543</c:v>
                </c:pt>
              </c:numCache>
            </c:numRef>
          </c:yVal>
          <c:smooth val="0"/>
          <c:extLst>
            <c:ext xmlns:c16="http://schemas.microsoft.com/office/drawing/2014/chart" uri="{C3380CC4-5D6E-409C-BE32-E72D297353CC}">
              <c16:uniqueId val="{00000008-4C45-47A9-A191-8FEE64939E81}"/>
            </c:ext>
          </c:extLst>
        </c:ser>
        <c:dLbls>
          <c:showLegendKey val="0"/>
          <c:showVal val="0"/>
          <c:showCatName val="0"/>
          <c:showSerName val="0"/>
          <c:showPercent val="0"/>
          <c:showBubbleSize val="0"/>
        </c:dLbls>
        <c:axId val="311763584"/>
        <c:axId val="311761088"/>
      </c:scatterChart>
      <c:catAx>
        <c:axId val="311763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λ</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311761088"/>
        <c:crosses val="autoZero"/>
        <c:auto val="1"/>
        <c:lblAlgn val="ctr"/>
        <c:lblOffset val="100"/>
        <c:noMultiLvlLbl val="0"/>
      </c:catAx>
      <c:valAx>
        <c:axId val="311761088"/>
        <c:scaling>
          <c:orientation val="minMax"/>
          <c:max val="1.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χ</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311763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2128907983"/>
        <c:axId val="2128906319"/>
      </c:barChart>
      <c:catAx>
        <c:axId val="21289079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906319"/>
        <c:crosses val="autoZero"/>
        <c:auto val="1"/>
        <c:lblAlgn val="ctr"/>
        <c:lblOffset val="100"/>
        <c:noMultiLvlLbl val="0"/>
      </c:catAx>
      <c:valAx>
        <c:axId val="2128906319"/>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90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Observed</c:v>
          </c:tx>
          <c:spPr>
            <a:ln w="25400" cap="rnd">
              <a:noFill/>
              <a:round/>
            </a:ln>
            <a:effectLst/>
          </c:spPr>
          <c:marker>
            <c:symbol val="none"/>
          </c:marker>
          <c:errBars>
            <c:errDir val="x"/>
            <c:errBarType val="both"/>
            <c:errValType val="cust"/>
            <c:noEndCap val="1"/>
            <c:plus>
              <c:numRef>
                <c:f>'Figure 7 Data'!$CG$12:$CG$23</c:f>
                <c:numCache>
                  <c:formatCode>General</c:formatCode>
                  <c:ptCount val="12"/>
                  <c:pt idx="0">
                    <c:v>0</c:v>
                  </c:pt>
                  <c:pt idx="1">
                    <c:v>3.8744912792950878E-5</c:v>
                  </c:pt>
                  <c:pt idx="2">
                    <c:v>5.6437389770723108E-3</c:v>
                  </c:pt>
                  <c:pt idx="3">
                    <c:v>1.111111111111111E-2</c:v>
                  </c:pt>
                  <c:pt idx="4">
                    <c:v>5.3787208959622732E-3</c:v>
                  </c:pt>
                  <c:pt idx="5">
                    <c:v>1.7683465959328348E-4</c:v>
                  </c:pt>
                  <c:pt idx="6">
                    <c:v>1.3888888888888909E-3</c:v>
                  </c:pt>
                  <c:pt idx="7">
                    <c:v>1.157407407407407E-2</c:v>
                  </c:pt>
                  <c:pt idx="8">
                    <c:v>2.0193065405831365E-2</c:v>
                  </c:pt>
                  <c:pt idx="9">
                    <c:v>1.7730496453900735E-4</c:v>
                  </c:pt>
                  <c:pt idx="10">
                    <c:v>1.2280701754385961E-2</c:v>
                  </c:pt>
                </c:numCache>
              </c:numRef>
            </c:plus>
            <c:minus>
              <c:numLit>
                <c:formatCode>General</c:formatCode>
                <c:ptCount val="1"/>
                <c:pt idx="0">
                  <c:v>0</c:v>
                </c:pt>
              </c:numLit>
            </c:minus>
            <c:spPr>
              <a:noFill/>
              <a:ln w="9525" cap="flat" cmpd="sng" algn="ctr">
                <a:solidFill>
                  <a:schemeClr val="tx1">
                    <a:lumMod val="95000"/>
                    <a:lumOff val="5000"/>
                  </a:schemeClr>
                </a:solidFill>
                <a:round/>
              </a:ln>
              <a:effectLst/>
            </c:spPr>
          </c:errBars>
          <c:errBars>
            <c:errDir val="y"/>
            <c:errBarType val="both"/>
            <c:errValType val="cust"/>
            <c:noEndCap val="1"/>
            <c:plus>
              <c:numLit>
                <c:formatCode>General</c:formatCode>
                <c:ptCount val="1"/>
                <c:pt idx="0">
                  <c:v>0</c:v>
                </c:pt>
              </c:numLit>
            </c:plus>
            <c:minus>
              <c:numRef>
                <c:f>'Figure 7 Data'!$CH$12:$CH$23</c:f>
                <c:numCache>
                  <c:formatCode>General</c:formatCode>
                  <c:ptCount val="12"/>
                  <c:pt idx="1">
                    <c:v>2.2222222222222223E-2</c:v>
                  </c:pt>
                  <c:pt idx="2">
                    <c:v>8.8888888888888878E-2</c:v>
                  </c:pt>
                  <c:pt idx="3">
                    <c:v>0.11851851851851852</c:v>
                  </c:pt>
                  <c:pt idx="4">
                    <c:v>9.6296296296296324E-2</c:v>
                  </c:pt>
                  <c:pt idx="5">
                    <c:v>8.8888888888888851E-2</c:v>
                  </c:pt>
                  <c:pt idx="6">
                    <c:v>0.13333333333333336</c:v>
                  </c:pt>
                  <c:pt idx="7">
                    <c:v>2.2222222222222254E-2</c:v>
                  </c:pt>
                  <c:pt idx="8">
                    <c:v>3.7037037037036979E-2</c:v>
                  </c:pt>
                  <c:pt idx="9">
                    <c:v>9.6296296296296324E-2</c:v>
                  </c:pt>
                  <c:pt idx="10">
                    <c:v>0.22222222222222221</c:v>
                  </c:pt>
                  <c:pt idx="11">
                    <c:v>7.407407407407407E-2</c:v>
                  </c:pt>
                </c:numCache>
              </c:numRef>
            </c:minus>
            <c:spPr>
              <a:noFill/>
              <a:ln w="9525" cap="flat" cmpd="sng" algn="ctr">
                <a:solidFill>
                  <a:schemeClr val="tx1">
                    <a:lumMod val="95000"/>
                    <a:lumOff val="5000"/>
                  </a:schemeClr>
                </a:solidFill>
                <a:round/>
              </a:ln>
              <a:effectLst/>
            </c:spPr>
          </c:errBars>
          <c:xVal>
            <c:numRef>
              <c:f>'Figure 7 Data'!$CF$12:$CF$23</c:f>
              <c:numCache>
                <c:formatCode>General</c:formatCode>
                <c:ptCount val="12"/>
                <c:pt idx="0">
                  <c:v>1.0984182776801405E-2</c:v>
                </c:pt>
                <c:pt idx="1">
                  <c:v>1.0984182776801405E-2</c:v>
                </c:pt>
                <c:pt idx="2">
                  <c:v>1.1022927689594356E-2</c:v>
                </c:pt>
                <c:pt idx="3">
                  <c:v>1.6666666666666666E-2</c:v>
                </c:pt>
                <c:pt idx="4">
                  <c:v>2.7777777777777776E-2</c:v>
                </c:pt>
                <c:pt idx="5">
                  <c:v>3.3156498673740049E-2</c:v>
                </c:pt>
                <c:pt idx="6">
                  <c:v>3.3333333333333333E-2</c:v>
                </c:pt>
                <c:pt idx="7">
                  <c:v>3.4722222222222224E-2</c:v>
                </c:pt>
                <c:pt idx="8">
                  <c:v>4.6296296296296294E-2</c:v>
                </c:pt>
                <c:pt idx="9">
                  <c:v>6.6489361702127658E-2</c:v>
                </c:pt>
                <c:pt idx="10">
                  <c:v>6.6666666666666666E-2</c:v>
                </c:pt>
                <c:pt idx="11">
                  <c:v>7.8947368421052627E-2</c:v>
                </c:pt>
              </c:numCache>
            </c:numRef>
          </c:xVal>
          <c:yVal>
            <c:numRef>
              <c:f>'Figure 7 Data'!$CE$12:$CE$23</c:f>
              <c:numCache>
                <c:formatCode>General</c:formatCode>
                <c:ptCount val="12"/>
                <c:pt idx="0">
                  <c:v>0</c:v>
                </c:pt>
                <c:pt idx="1">
                  <c:v>2.2222222222222223E-2</c:v>
                </c:pt>
                <c:pt idx="2">
                  <c:v>0.1111111111111111</c:v>
                </c:pt>
                <c:pt idx="3">
                  <c:v>0.22962962962962963</c:v>
                </c:pt>
                <c:pt idx="4">
                  <c:v>0.32592592592592595</c:v>
                </c:pt>
                <c:pt idx="5">
                  <c:v>0.4148148148148148</c:v>
                </c:pt>
                <c:pt idx="6">
                  <c:v>0.54814814814814816</c:v>
                </c:pt>
                <c:pt idx="7">
                  <c:v>0.57037037037037042</c:v>
                </c:pt>
                <c:pt idx="8">
                  <c:v>0.6074074074074074</c:v>
                </c:pt>
                <c:pt idx="9">
                  <c:v>0.70370370370370372</c:v>
                </c:pt>
                <c:pt idx="10">
                  <c:v>0.92592592592592593</c:v>
                </c:pt>
                <c:pt idx="11">
                  <c:v>1</c:v>
                </c:pt>
              </c:numCache>
            </c:numRef>
          </c:yVal>
          <c:smooth val="0"/>
          <c:extLst>
            <c:ext xmlns:c16="http://schemas.microsoft.com/office/drawing/2014/chart" uri="{C3380CC4-5D6E-409C-BE32-E72D297353CC}">
              <c16:uniqueId val="{00000000-D314-4876-8389-8A629FF0B7E7}"/>
            </c:ext>
          </c:extLst>
        </c:ser>
        <c:ser>
          <c:idx val="1"/>
          <c:order val="1"/>
          <c:tx>
            <c:v>Piecewise</c:v>
          </c:tx>
          <c:spPr>
            <a:ln w="12700" cap="rnd">
              <a:solidFill>
                <a:schemeClr val="tx1">
                  <a:lumMod val="65000"/>
                  <a:lumOff val="35000"/>
                </a:schemeClr>
              </a:solidFill>
              <a:prstDash val="dash"/>
              <a:round/>
            </a:ln>
            <a:effectLst/>
          </c:spPr>
          <c:marker>
            <c:symbol val="none"/>
          </c:marker>
          <c:xVal>
            <c:numRef>
              <c:f>'Figure 7 Data'!$CF$12:$CF$23</c:f>
              <c:numCache>
                <c:formatCode>General</c:formatCode>
                <c:ptCount val="12"/>
                <c:pt idx="0">
                  <c:v>1.0984182776801405E-2</c:v>
                </c:pt>
                <c:pt idx="1">
                  <c:v>1.0984182776801405E-2</c:v>
                </c:pt>
                <c:pt idx="2">
                  <c:v>1.1022927689594356E-2</c:v>
                </c:pt>
                <c:pt idx="3">
                  <c:v>1.6666666666666666E-2</c:v>
                </c:pt>
                <c:pt idx="4">
                  <c:v>2.7777777777777776E-2</c:v>
                </c:pt>
                <c:pt idx="5">
                  <c:v>3.3156498673740049E-2</c:v>
                </c:pt>
                <c:pt idx="6">
                  <c:v>3.3333333333333333E-2</c:v>
                </c:pt>
                <c:pt idx="7">
                  <c:v>3.4722222222222224E-2</c:v>
                </c:pt>
                <c:pt idx="8">
                  <c:v>4.6296296296296294E-2</c:v>
                </c:pt>
                <c:pt idx="9">
                  <c:v>6.6489361702127658E-2</c:v>
                </c:pt>
                <c:pt idx="10">
                  <c:v>6.6666666666666666E-2</c:v>
                </c:pt>
                <c:pt idx="11">
                  <c:v>7.8947368421052627E-2</c:v>
                </c:pt>
              </c:numCache>
            </c:numRef>
          </c:xVal>
          <c:yVal>
            <c:numRef>
              <c:f>'Figure 7 Data'!$CE$12:$CE$23</c:f>
              <c:numCache>
                <c:formatCode>General</c:formatCode>
                <c:ptCount val="12"/>
                <c:pt idx="0">
                  <c:v>0</c:v>
                </c:pt>
                <c:pt idx="1">
                  <c:v>2.2222222222222223E-2</c:v>
                </c:pt>
                <c:pt idx="2">
                  <c:v>0.1111111111111111</c:v>
                </c:pt>
                <c:pt idx="3">
                  <c:v>0.22962962962962963</c:v>
                </c:pt>
                <c:pt idx="4">
                  <c:v>0.32592592592592595</c:v>
                </c:pt>
                <c:pt idx="5">
                  <c:v>0.4148148148148148</c:v>
                </c:pt>
                <c:pt idx="6">
                  <c:v>0.54814814814814816</c:v>
                </c:pt>
                <c:pt idx="7">
                  <c:v>0.57037037037037042</c:v>
                </c:pt>
                <c:pt idx="8">
                  <c:v>0.6074074074074074</c:v>
                </c:pt>
                <c:pt idx="9">
                  <c:v>0.70370370370370372</c:v>
                </c:pt>
                <c:pt idx="10">
                  <c:v>0.92592592592592593</c:v>
                </c:pt>
                <c:pt idx="11">
                  <c:v>1</c:v>
                </c:pt>
              </c:numCache>
            </c:numRef>
          </c:yVal>
          <c:smooth val="0"/>
          <c:extLst>
            <c:ext xmlns:c16="http://schemas.microsoft.com/office/drawing/2014/chart" uri="{C3380CC4-5D6E-409C-BE32-E72D297353CC}">
              <c16:uniqueId val="{00000001-D314-4876-8389-8A629FF0B7E7}"/>
            </c:ext>
          </c:extLst>
        </c:ser>
        <c:ser>
          <c:idx val="2"/>
          <c:order val="2"/>
          <c:tx>
            <c:v>Reproduced</c:v>
          </c:tx>
          <c:spPr>
            <a:ln w="19050" cap="rnd">
              <a:noFill/>
              <a:round/>
            </a:ln>
            <a:effectLst/>
          </c:spPr>
          <c:marker>
            <c:symbol val="none"/>
          </c:marker>
          <c:errBars>
            <c:errDir val="x"/>
            <c:errBarType val="both"/>
            <c:errValType val="cust"/>
            <c:noEndCap val="1"/>
            <c:plus>
              <c:numRef>
                <c:f>'Figure 7 Data'!$CL$12:$CL$236</c:f>
                <c:numCache>
                  <c:formatCode>General</c:formatCode>
                  <c:ptCount val="225"/>
                  <c:pt idx="0">
                    <c:v>0</c:v>
                  </c:pt>
                  <c:pt idx="1">
                    <c:v>0</c:v>
                  </c:pt>
                  <c:pt idx="2">
                    <c:v>0</c:v>
                  </c:pt>
                  <c:pt idx="3">
                    <c:v>5.0832109000000653E-6</c:v>
                  </c:pt>
                  <c:pt idx="4">
                    <c:v>6.7147500000010185E-7</c:v>
                  </c:pt>
                  <c:pt idx="5">
                    <c:v>4.8595201000006805E-6</c:v>
                  </c:pt>
                  <c:pt idx="6">
                    <c:v>4.1240719999939557E-7</c:v>
                  </c:pt>
                  <c:pt idx="7">
                    <c:v>1.7220250000081483E-7</c:v>
                  </c:pt>
                  <c:pt idx="8">
                    <c:v>2.5254929999999481E-6</c:v>
                  </c:pt>
                  <c:pt idx="9">
                    <c:v>8.0895749999913835E-7</c:v>
                  </c:pt>
                  <c:pt idx="10">
                    <c:v>2.0020600000059119E-7</c:v>
                  </c:pt>
                  <c:pt idx="11">
                    <c:v>2.083729099999071E-6</c:v>
                  </c:pt>
                  <c:pt idx="12">
                    <c:v>4.4996300000224587E-8</c:v>
                  </c:pt>
                  <c:pt idx="13">
                    <c:v>5.5256939000009747E-6</c:v>
                  </c:pt>
                  <c:pt idx="14">
                    <c:v>3.0265919999904189E-7</c:v>
                  </c:pt>
                  <c:pt idx="15">
                    <c:v>1.4886799999998951E-6</c:v>
                  </c:pt>
                  <c:pt idx="16">
                    <c:v>3.5466759000010034E-6</c:v>
                  </c:pt>
                  <c:pt idx="17">
                    <c:v>8.7296199999947754E-7</c:v>
                  </c:pt>
                  <c:pt idx="18">
                    <c:v>3.298065500000058E-6</c:v>
                  </c:pt>
                  <c:pt idx="19">
                    <c:v>1.9931970000018617E-7</c:v>
                  </c:pt>
                  <c:pt idx="20">
                    <c:v>1.2446182999989452E-6</c:v>
                  </c:pt>
                  <c:pt idx="21">
                    <c:v>4.1645548000002891E-6</c:v>
                  </c:pt>
                  <c:pt idx="22">
                    <c:v>6.0121281500000179E-5</c:v>
                  </c:pt>
                  <c:pt idx="23">
                    <c:v>6.2682365200000117E-5</c:v>
                  </c:pt>
                  <c:pt idx="24">
                    <c:v>3.8200474420000026E-4</c:v>
                  </c:pt>
                  <c:pt idx="25">
                    <c:v>3.622956320999994E-4</c:v>
                  </c:pt>
                  <c:pt idx="26">
                    <c:v>1.1829682700000357E-5</c:v>
                  </c:pt>
                  <c:pt idx="27">
                    <c:v>6.5385727099999402E-5</c:v>
                  </c:pt>
                  <c:pt idx="28">
                    <c:v>2.2209641250000092E-4</c:v>
                  </c:pt>
                  <c:pt idx="29">
                    <c:v>2.8846860639999972E-4</c:v>
                  </c:pt>
                  <c:pt idx="30">
                    <c:v>4.296135589999979E-5</c:v>
                  </c:pt>
                  <c:pt idx="31">
                    <c:v>1.4630225510000108E-4</c:v>
                  </c:pt>
                  <c:pt idx="32">
                    <c:v>3.2182434509999899E-4</c:v>
                  </c:pt>
                  <c:pt idx="33">
                    <c:v>1.8368727800000331E-5</c:v>
                  </c:pt>
                  <c:pt idx="34">
                    <c:v>1.7253316130000015E-4</c:v>
                  </c:pt>
                  <c:pt idx="35">
                    <c:v>5.8907678699999383E-5</c:v>
                  </c:pt>
                  <c:pt idx="36">
                    <c:v>1.7836451700000561E-5</c:v>
                  </c:pt>
                  <c:pt idx="37">
                    <c:v>9.4594336669999966E-4</c:v>
                  </c:pt>
                  <c:pt idx="38">
                    <c:v>2.8739702340000069E-4</c:v>
                  </c:pt>
                  <c:pt idx="39">
                    <c:v>1.9758681180000008E-4</c:v>
                  </c:pt>
                  <c:pt idx="40">
                    <c:v>1.6423832210000003E-4</c:v>
                  </c:pt>
                  <c:pt idx="41">
                    <c:v>8.4439727999988806E-6</c:v>
                  </c:pt>
                  <c:pt idx="42">
                    <c:v>2.9720716100000918E-5</c:v>
                  </c:pt>
                  <c:pt idx="43">
                    <c:v>2.0202779269999985E-4</c:v>
                  </c:pt>
                  <c:pt idx="44">
                    <c:v>1.9263660209999957E-4</c:v>
                  </c:pt>
                  <c:pt idx="45">
                    <c:v>1.1554775189999943E-4</c:v>
                  </c:pt>
                  <c:pt idx="46">
                    <c:v>1.5673805710000009E-4</c:v>
                  </c:pt>
                  <c:pt idx="47">
                    <c:v>2.0696574630000089E-4</c:v>
                  </c:pt>
                  <c:pt idx="48">
                    <c:v>4.3816286210000138E-4</c:v>
                  </c:pt>
                  <c:pt idx="49">
                    <c:v>4.5128878499996888E-5</c:v>
                  </c:pt>
                  <c:pt idx="50">
                    <c:v>7.9493746480000307E-4</c:v>
                  </c:pt>
                  <c:pt idx="51">
                    <c:v>1.2833558044999978E-3</c:v>
                  </c:pt>
                  <c:pt idx="52">
                    <c:v>4.5227436949999908E-4</c:v>
                  </c:pt>
                  <c:pt idx="53">
                    <c:v>1.2739905617000016E-3</c:v>
                  </c:pt>
                  <c:pt idx="54">
                    <c:v>3.2752618170000039E-4</c:v>
                  </c:pt>
                  <c:pt idx="55">
                    <c:v>5.0393872710000065E-4</c:v>
                  </c:pt>
                  <c:pt idx="56">
                    <c:v>7.2194817229999722E-4</c:v>
                  </c:pt>
                  <c:pt idx="57">
                    <c:v>4.0011057500000113E-4</c:v>
                  </c:pt>
                  <c:pt idx="58">
                    <c:v>7.630350072999996E-4</c:v>
                  </c:pt>
                  <c:pt idx="59">
                    <c:v>1.3413378930000192E-4</c:v>
                  </c:pt>
                  <c:pt idx="60">
                    <c:v>2.7450521559999747E-4</c:v>
                  </c:pt>
                  <c:pt idx="61">
                    <c:v>1.0356615090000021E-4</c:v>
                  </c:pt>
                  <c:pt idx="62">
                    <c:v>5.0831142380000291E-4</c:v>
                  </c:pt>
                  <c:pt idx="63">
                    <c:v>2.598281941000001E-4</c:v>
                  </c:pt>
                  <c:pt idx="64">
                    <c:v>7.2655135889999889E-4</c:v>
                  </c:pt>
                  <c:pt idx="65">
                    <c:v>6.1756662999984391E-6</c:v>
                  </c:pt>
                  <c:pt idx="66">
                    <c:v>1.2583700960000152E-4</c:v>
                  </c:pt>
                  <c:pt idx="67">
                    <c:v>1.5704203298999991E-3</c:v>
                  </c:pt>
                  <c:pt idx="68">
                    <c:v>1.8228671970000124E-4</c:v>
                  </c:pt>
                  <c:pt idx="69">
                    <c:v>4.8652380999998635E-5</c:v>
                  </c:pt>
                  <c:pt idx="70">
                    <c:v>1.9338788279999949E-4</c:v>
                  </c:pt>
                  <c:pt idx="71">
                    <c:v>5.9087079620000205E-4</c:v>
                  </c:pt>
                  <c:pt idx="72">
                    <c:v>2.6331171279999829E-4</c:v>
                  </c:pt>
                  <c:pt idx="73">
                    <c:v>5.3119402000000038E-5</c:v>
                  </c:pt>
                  <c:pt idx="74">
                    <c:v>1.3168433370000163E-4</c:v>
                  </c:pt>
                  <c:pt idx="75">
                    <c:v>2.5850959570000026E-4</c:v>
                  </c:pt>
                  <c:pt idx="76">
                    <c:v>1.2225426827999972E-3</c:v>
                  </c:pt>
                  <c:pt idx="77">
                    <c:v>2.7589669500000316E-4</c:v>
                  </c:pt>
                  <c:pt idx="78">
                    <c:v>7.5700174799998854E-5</c:v>
                  </c:pt>
                  <c:pt idx="79">
                    <c:v>3.1279904599999797E-4</c:v>
                  </c:pt>
                  <c:pt idx="80">
                    <c:v>1.8708248990000065E-4</c:v>
                  </c:pt>
                  <c:pt idx="81">
                    <c:v>8.5736202800001937E-5</c:v>
                  </c:pt>
                  <c:pt idx="82">
                    <c:v>2.1207974200000007E-4</c:v>
                  </c:pt>
                  <c:pt idx="83">
                    <c:v>3.7596274200000362E-5</c:v>
                  </c:pt>
                  <c:pt idx="84">
                    <c:v>1.7622554469999899E-4</c:v>
                  </c:pt>
                  <c:pt idx="85">
                    <c:v>2.7436160569999785E-4</c:v>
                  </c:pt>
                  <c:pt idx="86">
                    <c:v>4.5993010269999857E-4</c:v>
                  </c:pt>
                  <c:pt idx="87">
                    <c:v>8.8698071300005732E-5</c:v>
                  </c:pt>
                  <c:pt idx="88">
                    <c:v>7.9419149999968019E-6</c:v>
                  </c:pt>
                  <c:pt idx="89">
                    <c:v>1.4763612379999763E-4</c:v>
                  </c:pt>
                  <c:pt idx="90">
                    <c:v>8.0749329270000253E-4</c:v>
                  </c:pt>
                  <c:pt idx="91">
                    <c:v>3.3249435120000226E-4</c:v>
                  </c:pt>
                  <c:pt idx="92">
                    <c:v>2.5633064579999587E-4</c:v>
                  </c:pt>
                  <c:pt idx="93">
                    <c:v>7.9677450000315009E-7</c:v>
                  </c:pt>
                  <c:pt idx="94">
                    <c:v>9.7862330000059172E-7</c:v>
                  </c:pt>
                  <c:pt idx="95">
                    <c:v>1.560108600001664E-6</c:v>
                  </c:pt>
                  <c:pt idx="96">
                    <c:v>6.0591601999948619E-6</c:v>
                  </c:pt>
                  <c:pt idx="97">
                    <c:v>5.6263782000007256E-6</c:v>
                  </c:pt>
                  <c:pt idx="98">
                    <c:v>2.1704294400001767E-5</c:v>
                  </c:pt>
                  <c:pt idx="99">
                    <c:v>7.1122743000029409E-6</c:v>
                  </c:pt>
                  <c:pt idx="100">
                    <c:v>3.6803245999986189E-6</c:v>
                  </c:pt>
                  <c:pt idx="101">
                    <c:v>2.8708770999988364E-6</c:v>
                  </c:pt>
                  <c:pt idx="102">
                    <c:v>4.5032764999994312E-6</c:v>
                  </c:pt>
                  <c:pt idx="103">
                    <c:v>1.1416957000007222E-6</c:v>
                  </c:pt>
                  <c:pt idx="104">
                    <c:v>3.4412610999956517E-6</c:v>
                  </c:pt>
                  <c:pt idx="105">
                    <c:v>5.3289215000001944E-6</c:v>
                  </c:pt>
                  <c:pt idx="106">
                    <c:v>4.0579527300001195E-5</c:v>
                  </c:pt>
                  <c:pt idx="107">
                    <c:v>6.9189832999985712E-6</c:v>
                  </c:pt>
                  <c:pt idx="108">
                    <c:v>1.3048165700003944E-5</c:v>
                  </c:pt>
                  <c:pt idx="109">
                    <c:v>2.4458173999986066E-6</c:v>
                  </c:pt>
                  <c:pt idx="110">
                    <c:v>1.2798320000000085E-5</c:v>
                  </c:pt>
                  <c:pt idx="111">
                    <c:v>1.3634158500003268E-5</c:v>
                  </c:pt>
                  <c:pt idx="112">
                    <c:v>2.0539541999986533E-6</c:v>
                  </c:pt>
                  <c:pt idx="113">
                    <c:v>6.2314815000019674E-6</c:v>
                  </c:pt>
                  <c:pt idx="114">
                    <c:v>4.5996068999965001E-6</c:v>
                  </c:pt>
                  <c:pt idx="115">
                    <c:v>2.4214796699999208E-5</c:v>
                  </c:pt>
                  <c:pt idx="116">
                    <c:v>6.3013586999997873E-5</c:v>
                  </c:pt>
                  <c:pt idx="117">
                    <c:v>2.4474346440000322E-4</c:v>
                  </c:pt>
                  <c:pt idx="118">
                    <c:v>3.7588513089999859E-4</c:v>
                  </c:pt>
                  <c:pt idx="119">
                    <c:v>6.6520651290000177E-4</c:v>
                  </c:pt>
                  <c:pt idx="120">
                    <c:v>3.5887511970000147E-4</c:v>
                  </c:pt>
                  <c:pt idx="121">
                    <c:v>2.5075859250999963E-3</c:v>
                  </c:pt>
                  <c:pt idx="122">
                    <c:v>1.900197133500002E-3</c:v>
                  </c:pt>
                  <c:pt idx="123">
                    <c:v>1.6590856119000005E-3</c:v>
                  </c:pt>
                  <c:pt idx="124">
                    <c:v>1.1541327519999645E-4</c:v>
                  </c:pt>
                  <c:pt idx="125">
                    <c:v>1.3730515046000008E-3</c:v>
                  </c:pt>
                  <c:pt idx="126">
                    <c:v>6.4044269999993797E-6</c:v>
                  </c:pt>
                  <c:pt idx="127">
                    <c:v>1.0196792090000351E-4</c:v>
                  </c:pt>
                  <c:pt idx="128">
                    <c:v>3.7158233136000002E-3</c:v>
                  </c:pt>
                  <c:pt idx="129">
                    <c:v>5.8277851389999802E-4</c:v>
                  </c:pt>
                  <c:pt idx="130">
                    <c:v>9.1196841900000047E-4</c:v>
                  </c:pt>
                  <c:pt idx="131">
                    <c:v>1.7962688418000014E-3</c:v>
                  </c:pt>
                  <c:pt idx="132">
                    <c:v>8.7304091000023343E-6</c:v>
                  </c:pt>
                  <c:pt idx="133">
                    <c:v>5.2741566219999952E-4</c:v>
                  </c:pt>
                  <c:pt idx="134">
                    <c:v>1.0019147584999985E-3</c:v>
                  </c:pt>
                  <c:pt idx="135">
                    <c:v>1.5368594959999649E-4</c:v>
                  </c:pt>
                  <c:pt idx="136">
                    <c:v>1.4427020799000004E-3</c:v>
                  </c:pt>
                  <c:pt idx="137">
                    <c:v>2.4762944257E-3</c:v>
                  </c:pt>
                  <c:pt idx="138">
                    <c:v>2.3163242904000042E-3</c:v>
                  </c:pt>
                  <c:pt idx="139">
                    <c:v>4.1800397199999451E-4</c:v>
                  </c:pt>
                  <c:pt idx="140">
                    <c:v>7.0225059900001774E-5</c:v>
                  </c:pt>
                  <c:pt idx="141">
                    <c:v>2.0792712434000021E-3</c:v>
                  </c:pt>
                  <c:pt idx="142">
                    <c:v>8.0221208879999867E-4</c:v>
                  </c:pt>
                  <c:pt idx="143">
                    <c:v>1.6209439450000362E-4</c:v>
                  </c:pt>
                  <c:pt idx="144">
                    <c:v>2.4049549258E-3</c:v>
                  </c:pt>
                  <c:pt idx="145">
                    <c:v>1.7982231684999933E-3</c:v>
                  </c:pt>
                  <c:pt idx="146">
                    <c:v>1.0014332640000123E-4</c:v>
                  </c:pt>
                  <c:pt idx="147">
                    <c:v>8.7885958270000897E-4</c:v>
                  </c:pt>
                  <c:pt idx="148">
                    <c:v>1.0696365469999025E-4</c:v>
                  </c:pt>
                  <c:pt idx="149">
                    <c:v>1.7891510900008845E-5</c:v>
                  </c:pt>
                  <c:pt idx="150">
                    <c:v>1.026679499999128E-6</c:v>
                  </c:pt>
                  <c:pt idx="151">
                    <c:v>9.3906079999539482E-7</c:v>
                  </c:pt>
                  <c:pt idx="152">
                    <c:v>7.0668979999799486E-7</c:v>
                  </c:pt>
                  <c:pt idx="153">
                    <c:v>5.7811709999744387E-7</c:v>
                  </c:pt>
                  <c:pt idx="154">
                    <c:v>2.5932846000054077E-6</c:v>
                  </c:pt>
                  <c:pt idx="155">
                    <c:v>9.2177640000079553E-7</c:v>
                  </c:pt>
                  <c:pt idx="156">
                    <c:v>7.7872850000326732E-7</c:v>
                  </c:pt>
                  <c:pt idx="157">
                    <c:v>1.9651672999998482E-6</c:v>
                  </c:pt>
                  <c:pt idx="158">
                    <c:v>3.4188839999893528E-6</c:v>
                  </c:pt>
                  <c:pt idx="159">
                    <c:v>3.4617922999996553E-6</c:v>
                  </c:pt>
                  <c:pt idx="160">
                    <c:v>6.295061000111124E-7</c:v>
                  </c:pt>
                  <c:pt idx="161">
                    <c:v>2.8669020999960715E-6</c:v>
                  </c:pt>
                  <c:pt idx="162">
                    <c:v>2.7354715999988732E-6</c:v>
                  </c:pt>
                  <c:pt idx="163">
                    <c:v>2.8799691999953358E-6</c:v>
                  </c:pt>
                  <c:pt idx="164">
                    <c:v>6.0022502000045552E-6</c:v>
                  </c:pt>
                  <c:pt idx="165">
                    <c:v>4.7475870000590614E-7</c:v>
                  </c:pt>
                  <c:pt idx="166">
                    <c:v>1.6821922999982197E-6</c:v>
                  </c:pt>
                  <c:pt idx="167">
                    <c:v>5.3622960000110353E-7</c:v>
                  </c:pt>
                  <c:pt idx="168">
                    <c:v>4.2683855999980924E-6</c:v>
                  </c:pt>
                  <c:pt idx="169">
                    <c:v>4.6320124999915668E-6</c:v>
                  </c:pt>
                  <c:pt idx="170">
                    <c:v>5.0309430001116429E-7</c:v>
                  </c:pt>
                  <c:pt idx="171">
                    <c:v>2.721309399988936E-6</c:v>
                  </c:pt>
                  <c:pt idx="172">
                    <c:v>4.2149215000036877E-6</c:v>
                  </c:pt>
                  <c:pt idx="173">
                    <c:v>8.4592919999959548E-6</c:v>
                  </c:pt>
                  <c:pt idx="174">
                    <c:v>4.667952000075859E-7</c:v>
                  </c:pt>
                  <c:pt idx="175">
                    <c:v>2.9802761999930816E-6</c:v>
                  </c:pt>
                  <c:pt idx="176">
                    <c:v>2.6339457000063016E-6</c:v>
                  </c:pt>
                  <c:pt idx="177">
                    <c:v>8.6692869999405175E-7</c:v>
                  </c:pt>
                  <c:pt idx="178">
                    <c:v>1.4432416000076387E-6</c:v>
                  </c:pt>
                  <c:pt idx="179">
                    <c:v>5.5329701000028653E-6</c:v>
                  </c:pt>
                  <c:pt idx="180">
                    <c:v>1.9446780999965441E-6</c:v>
                  </c:pt>
                  <c:pt idx="181">
                    <c:v>4.0456117999937424E-6</c:v>
                  </c:pt>
                  <c:pt idx="182">
                    <c:v>3.5720230000257924E-7</c:v>
                  </c:pt>
                  <c:pt idx="183">
                    <c:v>5.7900880000294475E-7</c:v>
                  </c:pt>
                  <c:pt idx="184">
                    <c:v>1.0635520600002502E-5</c:v>
                  </c:pt>
                  <c:pt idx="185">
                    <c:v>3.0361840999970635E-6</c:v>
                  </c:pt>
                  <c:pt idx="186">
                    <c:v>1.5589586999931182E-6</c:v>
                  </c:pt>
                  <c:pt idx="187">
                    <c:v>1.4115244000023619E-6</c:v>
                  </c:pt>
                  <c:pt idx="188">
                    <c:v>1.7842545000090748E-6</c:v>
                  </c:pt>
                  <c:pt idx="189">
                    <c:v>1.3036078999884015E-6</c:v>
                  </c:pt>
                  <c:pt idx="190">
                    <c:v>3.7551577000000114E-6</c:v>
                  </c:pt>
                  <c:pt idx="191">
                    <c:v>2.5997440000063987E-6</c:v>
                  </c:pt>
                  <c:pt idx="192">
                    <c:v>5.6967652000000646E-6</c:v>
                  </c:pt>
                  <c:pt idx="193">
                    <c:v>3.7378258000014819E-6</c:v>
                  </c:pt>
                  <c:pt idx="194">
                    <c:v>3.375424500004498E-6</c:v>
                  </c:pt>
                  <c:pt idx="195">
                    <c:v>1.2554169999401399E-7</c:v>
                  </c:pt>
                  <c:pt idx="196">
                    <c:v>3.0923836999985355E-6</c:v>
                  </c:pt>
                  <c:pt idx="197">
                    <c:v>2.7502272999940791E-6</c:v>
                  </c:pt>
                  <c:pt idx="198">
                    <c:v>1.7898744000127698E-6</c:v>
                  </c:pt>
                  <c:pt idx="199">
                    <c:v>3.1904209998878663E-7</c:v>
                  </c:pt>
                  <c:pt idx="200">
                    <c:v>2.4096509999987914E-6</c:v>
                  </c:pt>
                  <c:pt idx="201">
                    <c:v>7.6431376000024587E-6</c:v>
                  </c:pt>
                  <c:pt idx="202">
                    <c:v>3.6304280000287736E-7</c:v>
                  </c:pt>
                  <c:pt idx="203">
                    <c:v>1.2754499000011688E-6</c:v>
                  </c:pt>
                  <c:pt idx="204">
                    <c:v>2.9467709999897451E-7</c:v>
                  </c:pt>
                  <c:pt idx="205">
                    <c:v>8.3451769999909331E-7</c:v>
                  </c:pt>
                  <c:pt idx="206">
                    <c:v>6.353259400002087E-6</c:v>
                  </c:pt>
                  <c:pt idx="207">
                    <c:v>2.7794363000044342E-6</c:v>
                  </c:pt>
                  <c:pt idx="208">
                    <c:v>1.7222970000174698E-7</c:v>
                  </c:pt>
                  <c:pt idx="209">
                    <c:v>8.0385470999921882E-6</c:v>
                  </c:pt>
                  <c:pt idx="210">
                    <c:v>2.0486867000069076E-6</c:v>
                  </c:pt>
                  <c:pt idx="211">
                    <c:v>3.6405739999023634E-7</c:v>
                  </c:pt>
                  <c:pt idx="212">
                    <c:v>3.0652947000109343E-6</c:v>
                  </c:pt>
                  <c:pt idx="213">
                    <c:v>1.6969371999936422E-6</c:v>
                  </c:pt>
                  <c:pt idx="214">
                    <c:v>1.7504358000020037E-6</c:v>
                  </c:pt>
                  <c:pt idx="215">
                    <c:v>2.5534848999975157E-6</c:v>
                  </c:pt>
                  <c:pt idx="216">
                    <c:v>5.0045194889999922E-4</c:v>
                  </c:pt>
                  <c:pt idx="217">
                    <c:v>2.0933316036000071E-3</c:v>
                  </c:pt>
                  <c:pt idx="218">
                    <c:v>1.962970513799997E-3</c:v>
                  </c:pt>
                  <c:pt idx="219">
                    <c:v>1.8720011554999999E-3</c:v>
                  </c:pt>
                  <c:pt idx="220">
                    <c:v>1.895602128899998E-3</c:v>
                  </c:pt>
                  <c:pt idx="221">
                    <c:v>5.1594017589999541E-4</c:v>
                  </c:pt>
                  <c:pt idx="222">
                    <c:v>1.7841494812000092E-3</c:v>
                  </c:pt>
                  <c:pt idx="223">
                    <c:v>4.8876027599994987E-5</c:v>
                  </c:pt>
                </c:numCache>
              </c:numRef>
            </c:plus>
            <c:minus>
              <c:numLit>
                <c:formatCode>General</c:formatCode>
                <c:ptCount val="1"/>
                <c:pt idx="0">
                  <c:v>0</c:v>
                </c:pt>
              </c:numLit>
            </c:minus>
            <c:spPr>
              <a:noFill/>
              <a:ln w="9525" cap="flat" cmpd="sng" algn="ctr">
                <a:solidFill>
                  <a:schemeClr val="tx1">
                    <a:lumMod val="50000"/>
                    <a:lumOff val="50000"/>
                  </a:schemeClr>
                </a:solidFill>
                <a:prstDash val="sysDash"/>
                <a:round/>
              </a:ln>
              <a:effectLst/>
            </c:spPr>
          </c:errBars>
          <c:errBars>
            <c:errDir val="y"/>
            <c:errBarType val="both"/>
            <c:errValType val="cust"/>
            <c:noEndCap val="1"/>
            <c:plus>
              <c:numLit>
                <c:formatCode>General</c:formatCode>
                <c:ptCount val="1"/>
                <c:pt idx="0">
                  <c:v>0</c:v>
                </c:pt>
              </c:numLit>
            </c:plus>
            <c:minus>
              <c:numRef>
                <c:f>'Figure 7 Data'!$CM$12:$CM$236</c:f>
                <c:numCache>
                  <c:formatCode>General</c:formatCode>
                  <c:ptCount val="225"/>
                  <c:pt idx="1">
                    <c:v>4.464285714285714E-3</c:v>
                  </c:pt>
                  <c:pt idx="2">
                    <c:v>4.464285714285714E-3</c:v>
                  </c:pt>
                  <c:pt idx="3">
                    <c:v>4.464285714285714E-3</c:v>
                  </c:pt>
                  <c:pt idx="4">
                    <c:v>4.464285714285714E-3</c:v>
                  </c:pt>
                  <c:pt idx="5">
                    <c:v>4.4642857142857158E-3</c:v>
                  </c:pt>
                  <c:pt idx="6">
                    <c:v>4.4642857142857123E-3</c:v>
                  </c:pt>
                  <c:pt idx="7">
                    <c:v>4.4642857142857158E-3</c:v>
                  </c:pt>
                  <c:pt idx="8">
                    <c:v>4.4642857142857123E-3</c:v>
                  </c:pt>
                  <c:pt idx="9">
                    <c:v>4.4642857142857192E-3</c:v>
                  </c:pt>
                  <c:pt idx="10">
                    <c:v>4.4642857142857123E-3</c:v>
                  </c:pt>
                  <c:pt idx="11">
                    <c:v>4.4642857142857123E-3</c:v>
                  </c:pt>
                  <c:pt idx="12">
                    <c:v>4.4642857142857123E-3</c:v>
                  </c:pt>
                  <c:pt idx="13">
                    <c:v>4.4642857142857192E-3</c:v>
                  </c:pt>
                  <c:pt idx="14">
                    <c:v>4.4642857142857123E-3</c:v>
                  </c:pt>
                  <c:pt idx="15">
                    <c:v>4.4642857142857123E-3</c:v>
                  </c:pt>
                  <c:pt idx="16">
                    <c:v>4.4642857142857123E-3</c:v>
                  </c:pt>
                  <c:pt idx="17">
                    <c:v>4.4642857142857123E-3</c:v>
                  </c:pt>
                  <c:pt idx="18">
                    <c:v>4.4642857142857262E-3</c:v>
                  </c:pt>
                  <c:pt idx="19">
                    <c:v>4.4642857142857123E-3</c:v>
                  </c:pt>
                  <c:pt idx="20">
                    <c:v>4.4642857142857123E-3</c:v>
                  </c:pt>
                  <c:pt idx="21">
                    <c:v>4.4642857142857123E-3</c:v>
                  </c:pt>
                  <c:pt idx="22">
                    <c:v>4.4642857142857123E-3</c:v>
                  </c:pt>
                  <c:pt idx="23">
                    <c:v>4.4642857142857123E-3</c:v>
                  </c:pt>
                  <c:pt idx="24">
                    <c:v>4.4642857142857123E-3</c:v>
                  </c:pt>
                  <c:pt idx="25">
                    <c:v>4.4642857142857262E-3</c:v>
                  </c:pt>
                  <c:pt idx="26">
                    <c:v>4.4642857142857123E-3</c:v>
                  </c:pt>
                  <c:pt idx="27">
                    <c:v>4.4642857142857123E-3</c:v>
                  </c:pt>
                  <c:pt idx="28">
                    <c:v>4.4642857142857123E-3</c:v>
                  </c:pt>
                  <c:pt idx="29">
                    <c:v>4.4642857142857262E-3</c:v>
                  </c:pt>
                  <c:pt idx="30">
                    <c:v>4.4642857142856984E-3</c:v>
                  </c:pt>
                  <c:pt idx="31">
                    <c:v>4.4642857142857262E-3</c:v>
                  </c:pt>
                  <c:pt idx="32">
                    <c:v>4.4642857142856984E-3</c:v>
                  </c:pt>
                  <c:pt idx="33">
                    <c:v>4.4642857142857262E-3</c:v>
                  </c:pt>
                  <c:pt idx="34">
                    <c:v>4.4642857142856984E-3</c:v>
                  </c:pt>
                  <c:pt idx="35">
                    <c:v>4.4642857142857262E-3</c:v>
                  </c:pt>
                  <c:pt idx="36">
                    <c:v>4.4642857142857262E-3</c:v>
                  </c:pt>
                  <c:pt idx="37">
                    <c:v>4.4642857142856984E-3</c:v>
                  </c:pt>
                  <c:pt idx="38">
                    <c:v>4.4642857142857262E-3</c:v>
                  </c:pt>
                  <c:pt idx="39">
                    <c:v>4.4642857142856984E-3</c:v>
                  </c:pt>
                  <c:pt idx="40">
                    <c:v>4.4642857142857262E-3</c:v>
                  </c:pt>
                  <c:pt idx="41">
                    <c:v>4.4642857142856984E-3</c:v>
                  </c:pt>
                  <c:pt idx="42">
                    <c:v>4.4642857142857262E-3</c:v>
                  </c:pt>
                  <c:pt idx="43">
                    <c:v>4.4642857142857262E-3</c:v>
                  </c:pt>
                  <c:pt idx="44">
                    <c:v>4.4642857142856984E-3</c:v>
                  </c:pt>
                  <c:pt idx="45">
                    <c:v>4.4642857142857262E-3</c:v>
                  </c:pt>
                  <c:pt idx="46">
                    <c:v>4.4642857142856984E-3</c:v>
                  </c:pt>
                  <c:pt idx="47">
                    <c:v>4.4642857142857262E-3</c:v>
                  </c:pt>
                  <c:pt idx="48">
                    <c:v>4.4642857142856984E-3</c:v>
                  </c:pt>
                  <c:pt idx="49">
                    <c:v>4.4642857142857262E-3</c:v>
                  </c:pt>
                  <c:pt idx="50">
                    <c:v>4.4642857142857262E-3</c:v>
                  </c:pt>
                  <c:pt idx="51">
                    <c:v>4.4642857142856984E-3</c:v>
                  </c:pt>
                  <c:pt idx="52">
                    <c:v>4.4642857142857262E-3</c:v>
                  </c:pt>
                  <c:pt idx="53">
                    <c:v>4.4642857142856984E-3</c:v>
                  </c:pt>
                  <c:pt idx="54">
                    <c:v>4.4642857142857262E-3</c:v>
                  </c:pt>
                  <c:pt idx="55">
                    <c:v>4.4642857142856984E-3</c:v>
                  </c:pt>
                  <c:pt idx="56">
                    <c:v>4.4642857142857262E-3</c:v>
                  </c:pt>
                  <c:pt idx="57">
                    <c:v>4.4642857142856984E-3</c:v>
                  </c:pt>
                  <c:pt idx="58">
                    <c:v>4.4642857142857539E-3</c:v>
                  </c:pt>
                  <c:pt idx="59">
                    <c:v>4.4642857142856984E-3</c:v>
                  </c:pt>
                  <c:pt idx="60">
                    <c:v>4.4642857142856984E-3</c:v>
                  </c:pt>
                  <c:pt idx="61">
                    <c:v>4.4642857142856984E-3</c:v>
                  </c:pt>
                  <c:pt idx="62">
                    <c:v>4.4642857142857539E-3</c:v>
                  </c:pt>
                  <c:pt idx="63">
                    <c:v>4.4642857142856984E-3</c:v>
                  </c:pt>
                  <c:pt idx="64">
                    <c:v>4.4642857142856984E-3</c:v>
                  </c:pt>
                  <c:pt idx="65">
                    <c:v>4.4642857142857539E-3</c:v>
                  </c:pt>
                  <c:pt idx="66">
                    <c:v>4.4642857142856984E-3</c:v>
                  </c:pt>
                  <c:pt idx="67">
                    <c:v>4.4642857142856984E-3</c:v>
                  </c:pt>
                  <c:pt idx="68">
                    <c:v>4.4642857142856984E-3</c:v>
                  </c:pt>
                  <c:pt idx="69">
                    <c:v>4.4642857142857539E-3</c:v>
                  </c:pt>
                  <c:pt idx="70">
                    <c:v>4.4642857142856984E-3</c:v>
                  </c:pt>
                  <c:pt idx="71">
                    <c:v>4.4642857142856984E-3</c:v>
                  </c:pt>
                  <c:pt idx="72">
                    <c:v>4.4642857142857539E-3</c:v>
                  </c:pt>
                  <c:pt idx="73">
                    <c:v>4.4642857142856984E-3</c:v>
                  </c:pt>
                  <c:pt idx="74">
                    <c:v>4.4642857142856984E-3</c:v>
                  </c:pt>
                  <c:pt idx="75">
                    <c:v>4.4642857142856984E-3</c:v>
                  </c:pt>
                  <c:pt idx="76">
                    <c:v>4.4642857142857539E-3</c:v>
                  </c:pt>
                  <c:pt idx="77">
                    <c:v>4.4642857142856984E-3</c:v>
                  </c:pt>
                  <c:pt idx="78">
                    <c:v>4.4642857142856984E-3</c:v>
                  </c:pt>
                  <c:pt idx="79">
                    <c:v>4.4642857142857539E-3</c:v>
                  </c:pt>
                  <c:pt idx="80">
                    <c:v>4.4642857142856984E-3</c:v>
                  </c:pt>
                  <c:pt idx="81">
                    <c:v>4.4642857142856984E-3</c:v>
                  </c:pt>
                  <c:pt idx="82">
                    <c:v>4.4642857142856984E-3</c:v>
                  </c:pt>
                  <c:pt idx="83">
                    <c:v>4.4642857142857539E-3</c:v>
                  </c:pt>
                  <c:pt idx="84">
                    <c:v>4.4642857142856984E-3</c:v>
                  </c:pt>
                  <c:pt idx="85">
                    <c:v>4.4642857142856984E-3</c:v>
                  </c:pt>
                  <c:pt idx="86">
                    <c:v>4.4642857142857539E-3</c:v>
                  </c:pt>
                  <c:pt idx="87">
                    <c:v>4.4642857142856984E-3</c:v>
                  </c:pt>
                  <c:pt idx="88">
                    <c:v>4.4642857142856984E-3</c:v>
                  </c:pt>
                  <c:pt idx="89">
                    <c:v>4.4642857142856984E-3</c:v>
                  </c:pt>
                  <c:pt idx="90">
                    <c:v>4.4642857142857539E-3</c:v>
                  </c:pt>
                  <c:pt idx="91">
                    <c:v>4.4642857142856984E-3</c:v>
                  </c:pt>
                  <c:pt idx="92">
                    <c:v>4.4642857142856984E-3</c:v>
                  </c:pt>
                  <c:pt idx="93">
                    <c:v>4.4642857142857539E-3</c:v>
                  </c:pt>
                  <c:pt idx="94">
                    <c:v>4.4642857142856984E-3</c:v>
                  </c:pt>
                  <c:pt idx="95">
                    <c:v>4.4642857142856984E-3</c:v>
                  </c:pt>
                  <c:pt idx="96">
                    <c:v>4.4642857142856984E-3</c:v>
                  </c:pt>
                  <c:pt idx="97">
                    <c:v>4.4642857142857539E-3</c:v>
                  </c:pt>
                  <c:pt idx="98">
                    <c:v>4.4642857142856984E-3</c:v>
                  </c:pt>
                  <c:pt idx="99">
                    <c:v>4.4642857142856984E-3</c:v>
                  </c:pt>
                  <c:pt idx="100">
                    <c:v>4.4642857142857539E-3</c:v>
                  </c:pt>
                  <c:pt idx="101">
                    <c:v>4.4642857142856984E-3</c:v>
                  </c:pt>
                  <c:pt idx="102">
                    <c:v>4.4642857142856984E-3</c:v>
                  </c:pt>
                  <c:pt idx="103">
                    <c:v>4.4642857142856984E-3</c:v>
                  </c:pt>
                  <c:pt idx="104">
                    <c:v>4.4642857142857539E-3</c:v>
                  </c:pt>
                  <c:pt idx="105">
                    <c:v>4.4642857142856984E-3</c:v>
                  </c:pt>
                  <c:pt idx="106">
                    <c:v>4.4642857142856984E-3</c:v>
                  </c:pt>
                  <c:pt idx="107">
                    <c:v>4.4642857142857539E-3</c:v>
                  </c:pt>
                  <c:pt idx="108">
                    <c:v>4.4642857142856984E-3</c:v>
                  </c:pt>
                  <c:pt idx="109">
                    <c:v>4.4642857142856984E-3</c:v>
                  </c:pt>
                  <c:pt idx="110">
                    <c:v>4.4642857142856984E-3</c:v>
                  </c:pt>
                  <c:pt idx="111">
                    <c:v>4.4642857142857539E-3</c:v>
                  </c:pt>
                  <c:pt idx="112">
                    <c:v>4.4642857142856984E-3</c:v>
                  </c:pt>
                  <c:pt idx="113">
                    <c:v>4.4642857142856984E-3</c:v>
                  </c:pt>
                  <c:pt idx="114">
                    <c:v>4.4642857142856984E-3</c:v>
                  </c:pt>
                  <c:pt idx="115">
                    <c:v>4.4642857142856984E-3</c:v>
                  </c:pt>
                  <c:pt idx="116">
                    <c:v>4.4642857142858094E-3</c:v>
                  </c:pt>
                  <c:pt idx="117">
                    <c:v>4.4642857142856984E-3</c:v>
                  </c:pt>
                  <c:pt idx="118">
                    <c:v>4.4642857142856984E-3</c:v>
                  </c:pt>
                  <c:pt idx="119">
                    <c:v>4.4642857142856984E-3</c:v>
                  </c:pt>
                  <c:pt idx="120">
                    <c:v>4.4642857142856984E-3</c:v>
                  </c:pt>
                  <c:pt idx="121">
                    <c:v>4.4642857142856984E-3</c:v>
                  </c:pt>
                  <c:pt idx="122">
                    <c:v>4.4642857142856984E-3</c:v>
                  </c:pt>
                  <c:pt idx="123">
                    <c:v>4.4642857142858094E-3</c:v>
                  </c:pt>
                  <c:pt idx="124">
                    <c:v>4.4642857142856984E-3</c:v>
                  </c:pt>
                  <c:pt idx="125">
                    <c:v>4.4642857142856984E-3</c:v>
                  </c:pt>
                  <c:pt idx="126">
                    <c:v>4.4642857142856984E-3</c:v>
                  </c:pt>
                  <c:pt idx="127">
                    <c:v>4.4642857142856984E-3</c:v>
                  </c:pt>
                  <c:pt idx="128">
                    <c:v>4.4642857142856984E-3</c:v>
                  </c:pt>
                  <c:pt idx="129">
                    <c:v>4.4642857142856984E-3</c:v>
                  </c:pt>
                  <c:pt idx="130">
                    <c:v>4.4642857142858094E-3</c:v>
                  </c:pt>
                  <c:pt idx="131">
                    <c:v>4.4642857142856984E-3</c:v>
                  </c:pt>
                  <c:pt idx="132">
                    <c:v>4.4642857142856984E-3</c:v>
                  </c:pt>
                  <c:pt idx="133">
                    <c:v>4.4642857142856984E-3</c:v>
                  </c:pt>
                  <c:pt idx="134">
                    <c:v>4.4642857142856984E-3</c:v>
                  </c:pt>
                  <c:pt idx="135">
                    <c:v>4.4642857142856984E-3</c:v>
                  </c:pt>
                  <c:pt idx="136">
                    <c:v>4.4642857142856984E-3</c:v>
                  </c:pt>
                  <c:pt idx="137">
                    <c:v>4.4642857142858094E-3</c:v>
                  </c:pt>
                  <c:pt idx="138">
                    <c:v>4.4642857142856984E-3</c:v>
                  </c:pt>
                  <c:pt idx="139">
                    <c:v>4.4642857142856984E-3</c:v>
                  </c:pt>
                  <c:pt idx="140">
                    <c:v>4.4642857142856984E-3</c:v>
                  </c:pt>
                  <c:pt idx="141">
                    <c:v>4.4642857142856984E-3</c:v>
                  </c:pt>
                  <c:pt idx="142">
                    <c:v>4.4642857142856984E-3</c:v>
                  </c:pt>
                  <c:pt idx="143">
                    <c:v>4.4642857142856984E-3</c:v>
                  </c:pt>
                  <c:pt idx="144">
                    <c:v>4.4642857142858094E-3</c:v>
                  </c:pt>
                  <c:pt idx="145">
                    <c:v>4.4642857142856984E-3</c:v>
                  </c:pt>
                  <c:pt idx="146">
                    <c:v>4.4642857142856984E-3</c:v>
                  </c:pt>
                  <c:pt idx="147">
                    <c:v>4.4642857142856984E-3</c:v>
                  </c:pt>
                  <c:pt idx="148">
                    <c:v>4.4642857142856984E-3</c:v>
                  </c:pt>
                  <c:pt idx="149">
                    <c:v>4.4642857142856984E-3</c:v>
                  </c:pt>
                  <c:pt idx="150">
                    <c:v>4.4642857142856984E-3</c:v>
                  </c:pt>
                  <c:pt idx="151">
                    <c:v>4.4642857142858094E-3</c:v>
                  </c:pt>
                  <c:pt idx="152">
                    <c:v>4.4642857142856984E-3</c:v>
                  </c:pt>
                  <c:pt idx="153">
                    <c:v>4.4642857142856984E-3</c:v>
                  </c:pt>
                  <c:pt idx="154">
                    <c:v>4.4642857142856984E-3</c:v>
                  </c:pt>
                  <c:pt idx="155">
                    <c:v>4.4642857142856984E-3</c:v>
                  </c:pt>
                  <c:pt idx="156">
                    <c:v>4.4642857142856984E-3</c:v>
                  </c:pt>
                  <c:pt idx="157">
                    <c:v>4.4642857142856984E-3</c:v>
                  </c:pt>
                  <c:pt idx="158">
                    <c:v>4.4642857142858094E-3</c:v>
                  </c:pt>
                  <c:pt idx="159">
                    <c:v>4.4642857142856984E-3</c:v>
                  </c:pt>
                  <c:pt idx="160">
                    <c:v>4.4642857142856984E-3</c:v>
                  </c:pt>
                  <c:pt idx="161">
                    <c:v>4.4642857142856984E-3</c:v>
                  </c:pt>
                  <c:pt idx="162">
                    <c:v>4.4642857142856984E-3</c:v>
                  </c:pt>
                  <c:pt idx="163">
                    <c:v>4.4642857142856984E-3</c:v>
                  </c:pt>
                  <c:pt idx="164">
                    <c:v>4.4642857142856984E-3</c:v>
                  </c:pt>
                  <c:pt idx="165">
                    <c:v>4.4642857142858094E-3</c:v>
                  </c:pt>
                  <c:pt idx="166">
                    <c:v>4.4642857142856984E-3</c:v>
                  </c:pt>
                  <c:pt idx="167">
                    <c:v>4.4642857142856984E-3</c:v>
                  </c:pt>
                  <c:pt idx="168">
                    <c:v>4.4642857142856984E-3</c:v>
                  </c:pt>
                  <c:pt idx="169">
                    <c:v>4.4642857142856984E-3</c:v>
                  </c:pt>
                  <c:pt idx="170">
                    <c:v>4.4642857142856984E-3</c:v>
                  </c:pt>
                  <c:pt idx="171">
                    <c:v>4.4642857142856984E-3</c:v>
                  </c:pt>
                  <c:pt idx="172">
                    <c:v>4.4642857142858094E-3</c:v>
                  </c:pt>
                  <c:pt idx="173">
                    <c:v>4.4642857142856984E-3</c:v>
                  </c:pt>
                  <c:pt idx="174">
                    <c:v>4.4642857142856984E-3</c:v>
                  </c:pt>
                  <c:pt idx="175">
                    <c:v>4.4642857142856984E-3</c:v>
                  </c:pt>
                  <c:pt idx="176">
                    <c:v>4.4642857142856984E-3</c:v>
                  </c:pt>
                  <c:pt idx="177">
                    <c:v>4.4642857142856984E-3</c:v>
                  </c:pt>
                  <c:pt idx="178">
                    <c:v>4.4642857142856984E-3</c:v>
                  </c:pt>
                  <c:pt idx="179">
                    <c:v>4.4642857142858094E-3</c:v>
                  </c:pt>
                  <c:pt idx="180">
                    <c:v>4.4642857142856984E-3</c:v>
                  </c:pt>
                  <c:pt idx="181">
                    <c:v>4.4642857142856984E-3</c:v>
                  </c:pt>
                  <c:pt idx="182">
                    <c:v>4.4642857142856984E-3</c:v>
                  </c:pt>
                  <c:pt idx="183">
                    <c:v>4.4642857142856984E-3</c:v>
                  </c:pt>
                  <c:pt idx="184">
                    <c:v>4.4642857142856984E-3</c:v>
                  </c:pt>
                  <c:pt idx="185">
                    <c:v>4.4642857142856984E-3</c:v>
                  </c:pt>
                  <c:pt idx="186">
                    <c:v>4.4642857142858094E-3</c:v>
                  </c:pt>
                  <c:pt idx="187">
                    <c:v>4.4642857142856984E-3</c:v>
                  </c:pt>
                  <c:pt idx="188">
                    <c:v>4.4642857142856984E-3</c:v>
                  </c:pt>
                  <c:pt idx="189">
                    <c:v>4.4642857142856984E-3</c:v>
                  </c:pt>
                  <c:pt idx="190">
                    <c:v>4.4642857142856984E-3</c:v>
                  </c:pt>
                  <c:pt idx="191">
                    <c:v>4.4642857142856984E-3</c:v>
                  </c:pt>
                  <c:pt idx="192">
                    <c:v>4.4642857142856984E-3</c:v>
                  </c:pt>
                  <c:pt idx="193">
                    <c:v>4.4642857142858094E-3</c:v>
                  </c:pt>
                  <c:pt idx="194">
                    <c:v>4.4642857142856984E-3</c:v>
                  </c:pt>
                  <c:pt idx="195">
                    <c:v>4.4642857142856984E-3</c:v>
                  </c:pt>
                  <c:pt idx="196">
                    <c:v>4.4642857142856984E-3</c:v>
                  </c:pt>
                  <c:pt idx="197">
                    <c:v>4.4642857142856984E-3</c:v>
                  </c:pt>
                  <c:pt idx="198">
                    <c:v>4.4642857142856984E-3</c:v>
                  </c:pt>
                  <c:pt idx="199">
                    <c:v>4.4642857142856984E-3</c:v>
                  </c:pt>
                  <c:pt idx="200">
                    <c:v>4.4642857142858094E-3</c:v>
                  </c:pt>
                  <c:pt idx="201">
                    <c:v>4.4642857142856984E-3</c:v>
                  </c:pt>
                  <c:pt idx="202">
                    <c:v>4.4642857142856984E-3</c:v>
                  </c:pt>
                  <c:pt idx="203">
                    <c:v>4.4642857142856984E-3</c:v>
                  </c:pt>
                  <c:pt idx="204">
                    <c:v>4.4642857142856984E-3</c:v>
                  </c:pt>
                  <c:pt idx="205">
                    <c:v>4.4642857142856984E-3</c:v>
                  </c:pt>
                  <c:pt idx="206">
                    <c:v>4.4642857142856984E-3</c:v>
                  </c:pt>
                  <c:pt idx="207">
                    <c:v>4.4642857142858094E-3</c:v>
                  </c:pt>
                  <c:pt idx="208">
                    <c:v>4.4642857142856984E-3</c:v>
                  </c:pt>
                  <c:pt idx="209">
                    <c:v>4.4642857142856984E-3</c:v>
                  </c:pt>
                  <c:pt idx="210">
                    <c:v>4.4642857142856984E-3</c:v>
                  </c:pt>
                  <c:pt idx="211">
                    <c:v>4.4642857142856984E-3</c:v>
                  </c:pt>
                  <c:pt idx="212">
                    <c:v>4.4642857142856984E-3</c:v>
                  </c:pt>
                  <c:pt idx="213">
                    <c:v>4.4642857142856984E-3</c:v>
                  </c:pt>
                  <c:pt idx="214">
                    <c:v>4.4642857142858094E-3</c:v>
                  </c:pt>
                  <c:pt idx="215">
                    <c:v>4.4642857142856984E-3</c:v>
                  </c:pt>
                  <c:pt idx="216">
                    <c:v>4.4642857142856984E-3</c:v>
                  </c:pt>
                  <c:pt idx="217">
                    <c:v>4.4642857142856984E-3</c:v>
                  </c:pt>
                  <c:pt idx="218">
                    <c:v>4.4642857142856984E-3</c:v>
                  </c:pt>
                  <c:pt idx="219">
                    <c:v>4.4642857142856984E-3</c:v>
                  </c:pt>
                  <c:pt idx="220">
                    <c:v>4.4642857142856984E-3</c:v>
                  </c:pt>
                  <c:pt idx="221">
                    <c:v>4.4642857142858094E-3</c:v>
                  </c:pt>
                  <c:pt idx="222">
                    <c:v>4.4642857142856984E-3</c:v>
                  </c:pt>
                  <c:pt idx="223">
                    <c:v>4.4642857142856984E-3</c:v>
                  </c:pt>
                  <c:pt idx="224">
                    <c:v>4.4642857142856984E-3</c:v>
                  </c:pt>
                </c:numCache>
              </c:numRef>
            </c:minus>
            <c:spPr>
              <a:noFill/>
              <a:ln w="9525" cap="flat" cmpd="sng" algn="ctr">
                <a:solidFill>
                  <a:schemeClr val="tx1">
                    <a:lumMod val="50000"/>
                    <a:lumOff val="50000"/>
                  </a:schemeClr>
                </a:solidFill>
                <a:prstDash val="sysDash"/>
                <a:round/>
              </a:ln>
              <a:effectLst/>
            </c:spPr>
          </c:errBars>
          <c:xVal>
            <c:numRef>
              <c:f>'Figure 7 Data'!$CK$12:$CK$236</c:f>
              <c:numCache>
                <c:formatCode>General</c:formatCode>
                <c:ptCount val="225"/>
                <c:pt idx="0">
                  <c:v>1.09841827768E-2</c:v>
                </c:pt>
                <c:pt idx="1">
                  <c:v>1.09841827768E-2</c:v>
                </c:pt>
                <c:pt idx="2">
                  <c:v>1.09841827768E-2</c:v>
                </c:pt>
                <c:pt idx="3">
                  <c:v>1.09841827768E-2</c:v>
                </c:pt>
                <c:pt idx="4">
                  <c:v>1.09892659877E-2</c:v>
                </c:pt>
                <c:pt idx="5">
                  <c:v>1.09899374627E-2</c:v>
                </c:pt>
                <c:pt idx="6">
                  <c:v>1.09947969828E-2</c:v>
                </c:pt>
                <c:pt idx="7">
                  <c:v>1.099520939E-2</c:v>
                </c:pt>
                <c:pt idx="8">
                  <c:v>1.0995381592500001E-2</c:v>
                </c:pt>
                <c:pt idx="9">
                  <c:v>1.0997907085500001E-2</c:v>
                </c:pt>
                <c:pt idx="10">
                  <c:v>1.0998716043E-2</c:v>
                </c:pt>
                <c:pt idx="11">
                  <c:v>1.0998916249E-2</c:v>
                </c:pt>
                <c:pt idx="12">
                  <c:v>1.1000999978099999E-2</c:v>
                </c:pt>
                <c:pt idx="13">
                  <c:v>1.10010449744E-2</c:v>
                </c:pt>
                <c:pt idx="14">
                  <c:v>1.1006570668300001E-2</c:v>
                </c:pt>
                <c:pt idx="15">
                  <c:v>1.10068733275E-2</c:v>
                </c:pt>
                <c:pt idx="16">
                  <c:v>1.10083620075E-2</c:v>
                </c:pt>
                <c:pt idx="17">
                  <c:v>1.1011908683400001E-2</c:v>
                </c:pt>
                <c:pt idx="18">
                  <c:v>1.10127816454E-2</c:v>
                </c:pt>
                <c:pt idx="19">
                  <c:v>1.10160797109E-2</c:v>
                </c:pt>
                <c:pt idx="20">
                  <c:v>1.10162790306E-2</c:v>
                </c:pt>
                <c:pt idx="21">
                  <c:v>1.1017523648899999E-2</c:v>
                </c:pt>
                <c:pt idx="22">
                  <c:v>1.10216882037E-2</c:v>
                </c:pt>
                <c:pt idx="23">
                  <c:v>1.10818094852E-2</c:v>
                </c:pt>
                <c:pt idx="24">
                  <c:v>1.11444918504E-2</c:v>
                </c:pt>
                <c:pt idx="25">
                  <c:v>1.15264965946E-2</c:v>
                </c:pt>
                <c:pt idx="26">
                  <c:v>1.18887922267E-2</c:v>
                </c:pt>
                <c:pt idx="27">
                  <c:v>1.19006219094E-2</c:v>
                </c:pt>
                <c:pt idx="28">
                  <c:v>1.1966007636499999E-2</c:v>
                </c:pt>
                <c:pt idx="29">
                  <c:v>1.2188104049E-2</c:v>
                </c:pt>
                <c:pt idx="30">
                  <c:v>1.24765726554E-2</c:v>
                </c:pt>
                <c:pt idx="31">
                  <c:v>1.25195340113E-2</c:v>
                </c:pt>
                <c:pt idx="32">
                  <c:v>1.2665836266400001E-2</c:v>
                </c:pt>
                <c:pt idx="33">
                  <c:v>1.29876606115E-2</c:v>
                </c:pt>
                <c:pt idx="34">
                  <c:v>1.30060293393E-2</c:v>
                </c:pt>
                <c:pt idx="35">
                  <c:v>1.31785625006E-2</c:v>
                </c:pt>
                <c:pt idx="36">
                  <c:v>1.32374701793E-2</c:v>
                </c:pt>
                <c:pt idx="37">
                  <c:v>1.3255306631E-2</c:v>
                </c:pt>
                <c:pt idx="38">
                  <c:v>1.42012499977E-2</c:v>
                </c:pt>
                <c:pt idx="39">
                  <c:v>1.4488647021100001E-2</c:v>
                </c:pt>
                <c:pt idx="40">
                  <c:v>1.4686233832900001E-2</c:v>
                </c:pt>
                <c:pt idx="41">
                  <c:v>1.4850472155000001E-2</c:v>
                </c:pt>
                <c:pt idx="42">
                  <c:v>1.48589161278E-2</c:v>
                </c:pt>
                <c:pt idx="43">
                  <c:v>1.48886368439E-2</c:v>
                </c:pt>
                <c:pt idx="44">
                  <c:v>1.50906646366E-2</c:v>
                </c:pt>
                <c:pt idx="45">
                  <c:v>1.52833012387E-2</c:v>
                </c:pt>
                <c:pt idx="46">
                  <c:v>1.5398848990599999E-2</c:v>
                </c:pt>
                <c:pt idx="47">
                  <c:v>1.5555587047699999E-2</c:v>
                </c:pt>
                <c:pt idx="48">
                  <c:v>1.5762552794E-2</c:v>
                </c:pt>
                <c:pt idx="49">
                  <c:v>1.6200715656100002E-2</c:v>
                </c:pt>
                <c:pt idx="50">
                  <c:v>1.6245844534599999E-2</c:v>
                </c:pt>
                <c:pt idx="51">
                  <c:v>1.7040781999400002E-2</c:v>
                </c:pt>
                <c:pt idx="52">
                  <c:v>1.8324137803899999E-2</c:v>
                </c:pt>
                <c:pt idx="53">
                  <c:v>1.8776412173399998E-2</c:v>
                </c:pt>
                <c:pt idx="54">
                  <c:v>2.00504027351E-2</c:v>
                </c:pt>
                <c:pt idx="55">
                  <c:v>2.0377928916800001E-2</c:v>
                </c:pt>
                <c:pt idx="56">
                  <c:v>2.0881867643900001E-2</c:v>
                </c:pt>
                <c:pt idx="57">
                  <c:v>2.1603815816199998E-2</c:v>
                </c:pt>
                <c:pt idx="58">
                  <c:v>2.20039263912E-2</c:v>
                </c:pt>
                <c:pt idx="59">
                  <c:v>2.2766961398499999E-2</c:v>
                </c:pt>
                <c:pt idx="60">
                  <c:v>2.2901095187800001E-2</c:v>
                </c:pt>
                <c:pt idx="61">
                  <c:v>2.3175600403399998E-2</c:v>
                </c:pt>
                <c:pt idx="62">
                  <c:v>2.3279166554299999E-2</c:v>
                </c:pt>
                <c:pt idx="63">
                  <c:v>2.3787477978100002E-2</c:v>
                </c:pt>
                <c:pt idx="64">
                  <c:v>2.4047306172200002E-2</c:v>
                </c:pt>
                <c:pt idx="65">
                  <c:v>2.4773857531100001E-2</c:v>
                </c:pt>
                <c:pt idx="66">
                  <c:v>2.4780033197399999E-2</c:v>
                </c:pt>
                <c:pt idx="67">
                  <c:v>2.4905870207000001E-2</c:v>
                </c:pt>
                <c:pt idx="68">
                  <c:v>2.64762905369E-2</c:v>
                </c:pt>
                <c:pt idx="69">
                  <c:v>2.6658577256600001E-2</c:v>
                </c:pt>
                <c:pt idx="70">
                  <c:v>2.67072296376E-2</c:v>
                </c:pt>
                <c:pt idx="71">
                  <c:v>2.6900617520399999E-2</c:v>
                </c:pt>
                <c:pt idx="72">
                  <c:v>2.7491488316600001E-2</c:v>
                </c:pt>
                <c:pt idx="73">
                  <c:v>2.7754800029399999E-2</c:v>
                </c:pt>
                <c:pt idx="74">
                  <c:v>2.7807919431399999E-2</c:v>
                </c:pt>
                <c:pt idx="75">
                  <c:v>2.7939603765100001E-2</c:v>
                </c:pt>
                <c:pt idx="76">
                  <c:v>2.8198113360800001E-2</c:v>
                </c:pt>
                <c:pt idx="77">
                  <c:v>2.9420656043599999E-2</c:v>
                </c:pt>
                <c:pt idx="78">
                  <c:v>2.9696552738600002E-2</c:v>
                </c:pt>
                <c:pt idx="79">
                  <c:v>2.9772252913400001E-2</c:v>
                </c:pt>
                <c:pt idx="80">
                  <c:v>3.0085051959399998E-2</c:v>
                </c:pt>
                <c:pt idx="81">
                  <c:v>3.0272134449299999E-2</c:v>
                </c:pt>
                <c:pt idx="82">
                  <c:v>3.0357870652100001E-2</c:v>
                </c:pt>
                <c:pt idx="83">
                  <c:v>3.0569950394100001E-2</c:v>
                </c:pt>
                <c:pt idx="84">
                  <c:v>3.0607546668300002E-2</c:v>
                </c:pt>
                <c:pt idx="85">
                  <c:v>3.0783772213E-2</c:v>
                </c:pt>
                <c:pt idx="86">
                  <c:v>3.1058133818699998E-2</c:v>
                </c:pt>
                <c:pt idx="87">
                  <c:v>3.1518063921399997E-2</c:v>
                </c:pt>
                <c:pt idx="88">
                  <c:v>3.1606761992700003E-2</c:v>
                </c:pt>
                <c:pt idx="89">
                  <c:v>3.1614703907699999E-2</c:v>
                </c:pt>
                <c:pt idx="90">
                  <c:v>3.1762340031499997E-2</c:v>
                </c:pt>
                <c:pt idx="91">
                  <c:v>3.25698333242E-2</c:v>
                </c:pt>
                <c:pt idx="92">
                  <c:v>3.2902327675400002E-2</c:v>
                </c:pt>
                <c:pt idx="93">
                  <c:v>3.3158658321199998E-2</c:v>
                </c:pt>
                <c:pt idx="94">
                  <c:v>3.3159455095700001E-2</c:v>
                </c:pt>
                <c:pt idx="95">
                  <c:v>3.3160433719000001E-2</c:v>
                </c:pt>
                <c:pt idx="96">
                  <c:v>3.3161993827600003E-2</c:v>
                </c:pt>
                <c:pt idx="97">
                  <c:v>3.3168052987799998E-2</c:v>
                </c:pt>
                <c:pt idx="98">
                  <c:v>3.3173679365999999E-2</c:v>
                </c:pt>
                <c:pt idx="99">
                  <c:v>3.31953836604E-2</c:v>
                </c:pt>
                <c:pt idx="100">
                  <c:v>3.3202495934700003E-2</c:v>
                </c:pt>
                <c:pt idx="101">
                  <c:v>3.3206176259300002E-2</c:v>
                </c:pt>
                <c:pt idx="102">
                  <c:v>3.3209047136400001E-2</c:v>
                </c:pt>
                <c:pt idx="103">
                  <c:v>3.32135504129E-2</c:v>
                </c:pt>
                <c:pt idx="104">
                  <c:v>3.3214692108600001E-2</c:v>
                </c:pt>
                <c:pt idx="105">
                  <c:v>3.3218133369699997E-2</c:v>
                </c:pt>
                <c:pt idx="106">
                  <c:v>3.3223462291199997E-2</c:v>
                </c:pt>
                <c:pt idx="107">
                  <c:v>3.3264041818499998E-2</c:v>
                </c:pt>
                <c:pt idx="108">
                  <c:v>3.3270960801799997E-2</c:v>
                </c:pt>
                <c:pt idx="109">
                  <c:v>3.3284008967500001E-2</c:v>
                </c:pt>
                <c:pt idx="110">
                  <c:v>3.3286454784899999E-2</c:v>
                </c:pt>
                <c:pt idx="111">
                  <c:v>3.3299253104899999E-2</c:v>
                </c:pt>
                <c:pt idx="112">
                  <c:v>3.3312887263400003E-2</c:v>
                </c:pt>
                <c:pt idx="113">
                  <c:v>3.3314941217600001E-2</c:v>
                </c:pt>
                <c:pt idx="114">
                  <c:v>3.3321172699100003E-2</c:v>
                </c:pt>
                <c:pt idx="115">
                  <c:v>3.3325772306E-2</c:v>
                </c:pt>
                <c:pt idx="116">
                  <c:v>3.3349987102699999E-2</c:v>
                </c:pt>
                <c:pt idx="117">
                  <c:v>3.3413000689699997E-2</c:v>
                </c:pt>
                <c:pt idx="118">
                  <c:v>3.36577441541E-2</c:v>
                </c:pt>
                <c:pt idx="119">
                  <c:v>3.4033629284999999E-2</c:v>
                </c:pt>
                <c:pt idx="120">
                  <c:v>3.46988357979E-2</c:v>
                </c:pt>
                <c:pt idx="121">
                  <c:v>3.5057710917600002E-2</c:v>
                </c:pt>
                <c:pt idx="122">
                  <c:v>3.7565296842699998E-2</c:v>
                </c:pt>
                <c:pt idx="123">
                  <c:v>3.94654939762E-2</c:v>
                </c:pt>
                <c:pt idx="124">
                  <c:v>4.1124579588100001E-2</c:v>
                </c:pt>
                <c:pt idx="125">
                  <c:v>4.1239992863299997E-2</c:v>
                </c:pt>
                <c:pt idx="126">
                  <c:v>4.2613044367899998E-2</c:v>
                </c:pt>
                <c:pt idx="127">
                  <c:v>4.2619448794899997E-2</c:v>
                </c:pt>
                <c:pt idx="128">
                  <c:v>4.2721416715800001E-2</c:v>
                </c:pt>
                <c:pt idx="129">
                  <c:v>4.6437240029400001E-2</c:v>
                </c:pt>
                <c:pt idx="130">
                  <c:v>4.7020018543299999E-2</c:v>
                </c:pt>
                <c:pt idx="131">
                  <c:v>4.7931986962299999E-2</c:v>
                </c:pt>
                <c:pt idx="132">
                  <c:v>4.9728255804100001E-2</c:v>
                </c:pt>
                <c:pt idx="133">
                  <c:v>4.9736986213200003E-2</c:v>
                </c:pt>
                <c:pt idx="134">
                  <c:v>5.0264401875400003E-2</c:v>
                </c:pt>
                <c:pt idx="135">
                  <c:v>5.1266316633900001E-2</c:v>
                </c:pt>
                <c:pt idx="136">
                  <c:v>5.1420002583499998E-2</c:v>
                </c:pt>
                <c:pt idx="137">
                  <c:v>5.2862704663399998E-2</c:v>
                </c:pt>
                <c:pt idx="138">
                  <c:v>5.5338999089099998E-2</c:v>
                </c:pt>
                <c:pt idx="139">
                  <c:v>5.7655323379500002E-2</c:v>
                </c:pt>
                <c:pt idx="140">
                  <c:v>5.8073327351499997E-2</c:v>
                </c:pt>
                <c:pt idx="141">
                  <c:v>5.8143552411399999E-2</c:v>
                </c:pt>
                <c:pt idx="142">
                  <c:v>6.0222823654800001E-2</c:v>
                </c:pt>
                <c:pt idx="143">
                  <c:v>6.1025035743599999E-2</c:v>
                </c:pt>
                <c:pt idx="144">
                  <c:v>6.1187130138100003E-2</c:v>
                </c:pt>
                <c:pt idx="145">
                  <c:v>6.3592085063900003E-2</c:v>
                </c:pt>
                <c:pt idx="146">
                  <c:v>6.5390308232399996E-2</c:v>
                </c:pt>
                <c:pt idx="147">
                  <c:v>6.5490451558799997E-2</c:v>
                </c:pt>
                <c:pt idx="148">
                  <c:v>6.6369311141500006E-2</c:v>
                </c:pt>
                <c:pt idx="149">
                  <c:v>6.6476274796199997E-2</c:v>
                </c:pt>
                <c:pt idx="150">
                  <c:v>6.6494166307100006E-2</c:v>
                </c:pt>
                <c:pt idx="151">
                  <c:v>6.6495192986600005E-2</c:v>
                </c:pt>
                <c:pt idx="152">
                  <c:v>6.64961320474E-2</c:v>
                </c:pt>
                <c:pt idx="153">
                  <c:v>6.6496838737199998E-2</c:v>
                </c:pt>
                <c:pt idx="154">
                  <c:v>6.6497416854299995E-2</c:v>
                </c:pt>
                <c:pt idx="155">
                  <c:v>6.6500010138900001E-2</c:v>
                </c:pt>
                <c:pt idx="156">
                  <c:v>6.6500931915300002E-2</c:v>
                </c:pt>
                <c:pt idx="157">
                  <c:v>6.6501710643800005E-2</c:v>
                </c:pt>
                <c:pt idx="158">
                  <c:v>6.6503675811100005E-2</c:v>
                </c:pt>
                <c:pt idx="159">
                  <c:v>6.6507094695099994E-2</c:v>
                </c:pt>
                <c:pt idx="160">
                  <c:v>6.6510556487399994E-2</c:v>
                </c:pt>
                <c:pt idx="161">
                  <c:v>6.6511185993500005E-2</c:v>
                </c:pt>
                <c:pt idx="162">
                  <c:v>6.6514052895600001E-2</c:v>
                </c:pt>
                <c:pt idx="163">
                  <c:v>6.65167883672E-2</c:v>
                </c:pt>
                <c:pt idx="164">
                  <c:v>6.6519668336399995E-2</c:v>
                </c:pt>
                <c:pt idx="165">
                  <c:v>6.65256705866E-2</c:v>
                </c:pt>
                <c:pt idx="166">
                  <c:v>6.6526145345300006E-2</c:v>
                </c:pt>
                <c:pt idx="167">
                  <c:v>6.6527827537600004E-2</c:v>
                </c:pt>
                <c:pt idx="168">
                  <c:v>6.6528363767200005E-2</c:v>
                </c:pt>
                <c:pt idx="169">
                  <c:v>6.6532632152800003E-2</c:v>
                </c:pt>
                <c:pt idx="170">
                  <c:v>6.6537264165299995E-2</c:v>
                </c:pt>
                <c:pt idx="171">
                  <c:v>6.6537767259600006E-2</c:v>
                </c:pt>
                <c:pt idx="172">
                  <c:v>6.6540488568999995E-2</c:v>
                </c:pt>
                <c:pt idx="173">
                  <c:v>6.6544703490499998E-2</c:v>
                </c:pt>
                <c:pt idx="174">
                  <c:v>6.6553162782499994E-2</c:v>
                </c:pt>
                <c:pt idx="175">
                  <c:v>6.6553629577700002E-2</c:v>
                </c:pt>
                <c:pt idx="176">
                  <c:v>6.6556609853899995E-2</c:v>
                </c:pt>
                <c:pt idx="177">
                  <c:v>6.6559243799600001E-2</c:v>
                </c:pt>
                <c:pt idx="178">
                  <c:v>6.6560110728299995E-2</c:v>
                </c:pt>
                <c:pt idx="179">
                  <c:v>6.6561553969900003E-2</c:v>
                </c:pt>
                <c:pt idx="180">
                  <c:v>6.6567086940000006E-2</c:v>
                </c:pt>
                <c:pt idx="181">
                  <c:v>6.6569031618100002E-2</c:v>
                </c:pt>
                <c:pt idx="182">
                  <c:v>6.6573077229899996E-2</c:v>
                </c:pt>
                <c:pt idx="183">
                  <c:v>6.6573434432199999E-2</c:v>
                </c:pt>
                <c:pt idx="184">
                  <c:v>6.6574013441000002E-2</c:v>
                </c:pt>
                <c:pt idx="185">
                  <c:v>6.6584648961600004E-2</c:v>
                </c:pt>
                <c:pt idx="186">
                  <c:v>6.6587685145700001E-2</c:v>
                </c:pt>
                <c:pt idx="187">
                  <c:v>6.6589244104399994E-2</c:v>
                </c:pt>
                <c:pt idx="188">
                  <c:v>6.6590655628799997E-2</c:v>
                </c:pt>
                <c:pt idx="189">
                  <c:v>6.6592439883300006E-2</c:v>
                </c:pt>
                <c:pt idx="190">
                  <c:v>6.6593743491199994E-2</c:v>
                </c:pt>
                <c:pt idx="191">
                  <c:v>6.6597498648899994E-2</c:v>
                </c:pt>
                <c:pt idx="192">
                  <c:v>6.6600098392900001E-2</c:v>
                </c:pt>
                <c:pt idx="193">
                  <c:v>6.6605795158100001E-2</c:v>
                </c:pt>
                <c:pt idx="194">
                  <c:v>6.6609532983900002E-2</c:v>
                </c:pt>
                <c:pt idx="195">
                  <c:v>6.6612908408400007E-2</c:v>
                </c:pt>
                <c:pt idx="196">
                  <c:v>6.6613033950100001E-2</c:v>
                </c:pt>
                <c:pt idx="197">
                  <c:v>6.6616126333799999E-2</c:v>
                </c:pt>
                <c:pt idx="198">
                  <c:v>6.6618876561099993E-2</c:v>
                </c:pt>
                <c:pt idx="199">
                  <c:v>6.6620666435500006E-2</c:v>
                </c:pt>
                <c:pt idx="200">
                  <c:v>6.6620985477599995E-2</c:v>
                </c:pt>
                <c:pt idx="201">
                  <c:v>6.6623395128599994E-2</c:v>
                </c:pt>
                <c:pt idx="202">
                  <c:v>6.6631038266199996E-2</c:v>
                </c:pt>
                <c:pt idx="203">
                  <c:v>6.6631401308999999E-2</c:v>
                </c:pt>
                <c:pt idx="204">
                  <c:v>6.66326767589E-2</c:v>
                </c:pt>
                <c:pt idx="205">
                  <c:v>6.6632971435999999E-2</c:v>
                </c:pt>
                <c:pt idx="206">
                  <c:v>6.6633805953699998E-2</c:v>
                </c:pt>
                <c:pt idx="207">
                  <c:v>6.66401592131E-2</c:v>
                </c:pt>
                <c:pt idx="208">
                  <c:v>6.6642938649400005E-2</c:v>
                </c:pt>
                <c:pt idx="209">
                  <c:v>6.6643110879100007E-2</c:v>
                </c:pt>
                <c:pt idx="210">
                  <c:v>6.6651149426199999E-2</c:v>
                </c:pt>
                <c:pt idx="211">
                  <c:v>6.6653198112900006E-2</c:v>
                </c:pt>
                <c:pt idx="212">
                  <c:v>6.6653562170299996E-2</c:v>
                </c:pt>
                <c:pt idx="213">
                  <c:v>6.6656627465000007E-2</c:v>
                </c:pt>
                <c:pt idx="214">
                  <c:v>6.66583244022E-2</c:v>
                </c:pt>
                <c:pt idx="215">
                  <c:v>6.6660074838000002E-2</c:v>
                </c:pt>
                <c:pt idx="216">
                  <c:v>6.66626283229E-2</c:v>
                </c:pt>
                <c:pt idx="217">
                  <c:v>6.7163080271799999E-2</c:v>
                </c:pt>
                <c:pt idx="218">
                  <c:v>6.9256411875400006E-2</c:v>
                </c:pt>
                <c:pt idx="219">
                  <c:v>7.1219382389200003E-2</c:v>
                </c:pt>
                <c:pt idx="220">
                  <c:v>7.3091383544700003E-2</c:v>
                </c:pt>
                <c:pt idx="221">
                  <c:v>7.4986985673600001E-2</c:v>
                </c:pt>
                <c:pt idx="222">
                  <c:v>7.5502925849499997E-2</c:v>
                </c:pt>
                <c:pt idx="223">
                  <c:v>7.7287075330700006E-2</c:v>
                </c:pt>
                <c:pt idx="224">
                  <c:v>7.7335951358300001E-2</c:v>
                </c:pt>
              </c:numCache>
            </c:numRef>
          </c:xVal>
          <c:yVal>
            <c:numRef>
              <c:f>'Figure 7 Data'!$CJ$12:$CJ$236</c:f>
              <c:numCache>
                <c:formatCode>General</c:formatCode>
                <c:ptCount val="225"/>
                <c:pt idx="0">
                  <c:v>0</c:v>
                </c:pt>
                <c:pt idx="1">
                  <c:v>4.464285714285714E-3</c:v>
                </c:pt>
                <c:pt idx="2">
                  <c:v>8.9285714285714281E-3</c:v>
                </c:pt>
                <c:pt idx="3">
                  <c:v>1.3392857142857142E-2</c:v>
                </c:pt>
                <c:pt idx="4">
                  <c:v>1.7857142857142856E-2</c:v>
                </c:pt>
                <c:pt idx="5">
                  <c:v>2.2321428571428572E-2</c:v>
                </c:pt>
                <c:pt idx="6">
                  <c:v>2.6785714285714284E-2</c:v>
                </c:pt>
                <c:pt idx="7">
                  <c:v>3.125E-2</c:v>
                </c:pt>
                <c:pt idx="8">
                  <c:v>3.5714285714285712E-2</c:v>
                </c:pt>
                <c:pt idx="9">
                  <c:v>4.0178571428571432E-2</c:v>
                </c:pt>
                <c:pt idx="10">
                  <c:v>4.4642857142857144E-2</c:v>
                </c:pt>
                <c:pt idx="11">
                  <c:v>4.9107142857142856E-2</c:v>
                </c:pt>
                <c:pt idx="12">
                  <c:v>5.3571428571428568E-2</c:v>
                </c:pt>
                <c:pt idx="13">
                  <c:v>5.8035714285714288E-2</c:v>
                </c:pt>
                <c:pt idx="14">
                  <c:v>6.25E-2</c:v>
                </c:pt>
                <c:pt idx="15">
                  <c:v>6.6964285714285712E-2</c:v>
                </c:pt>
                <c:pt idx="16">
                  <c:v>7.1428571428571425E-2</c:v>
                </c:pt>
                <c:pt idx="17">
                  <c:v>7.5892857142857137E-2</c:v>
                </c:pt>
                <c:pt idx="18">
                  <c:v>8.0357142857142863E-2</c:v>
                </c:pt>
                <c:pt idx="19">
                  <c:v>8.4821428571428575E-2</c:v>
                </c:pt>
                <c:pt idx="20">
                  <c:v>8.9285714285714288E-2</c:v>
                </c:pt>
                <c:pt idx="21">
                  <c:v>9.375E-2</c:v>
                </c:pt>
                <c:pt idx="22">
                  <c:v>9.8214285714285712E-2</c:v>
                </c:pt>
                <c:pt idx="23">
                  <c:v>0.10267857142857142</c:v>
                </c:pt>
                <c:pt idx="24">
                  <c:v>0.10714285714285714</c:v>
                </c:pt>
                <c:pt idx="25">
                  <c:v>0.11160714285714286</c:v>
                </c:pt>
                <c:pt idx="26">
                  <c:v>0.11607142857142858</c:v>
                </c:pt>
                <c:pt idx="27">
                  <c:v>0.12053571428571429</c:v>
                </c:pt>
                <c:pt idx="28">
                  <c:v>0.125</c:v>
                </c:pt>
                <c:pt idx="29">
                  <c:v>0.12946428571428573</c:v>
                </c:pt>
                <c:pt idx="30">
                  <c:v>0.13392857142857142</c:v>
                </c:pt>
                <c:pt idx="31">
                  <c:v>0.13839285714285715</c:v>
                </c:pt>
                <c:pt idx="32">
                  <c:v>0.14285714285714285</c:v>
                </c:pt>
                <c:pt idx="33">
                  <c:v>0.14732142857142858</c:v>
                </c:pt>
                <c:pt idx="34">
                  <c:v>0.15178571428571427</c:v>
                </c:pt>
                <c:pt idx="35">
                  <c:v>0.15625</c:v>
                </c:pt>
                <c:pt idx="36">
                  <c:v>0.16071428571428573</c:v>
                </c:pt>
                <c:pt idx="37">
                  <c:v>0.16517857142857142</c:v>
                </c:pt>
                <c:pt idx="38">
                  <c:v>0.16964285714285715</c:v>
                </c:pt>
                <c:pt idx="39">
                  <c:v>0.17410714285714285</c:v>
                </c:pt>
                <c:pt idx="40">
                  <c:v>0.17857142857142858</c:v>
                </c:pt>
                <c:pt idx="41">
                  <c:v>0.18303571428571427</c:v>
                </c:pt>
                <c:pt idx="42">
                  <c:v>0.1875</c:v>
                </c:pt>
                <c:pt idx="43">
                  <c:v>0.19196428571428573</c:v>
                </c:pt>
                <c:pt idx="44">
                  <c:v>0.19642857142857142</c:v>
                </c:pt>
                <c:pt idx="45">
                  <c:v>0.20089285714285715</c:v>
                </c:pt>
                <c:pt idx="46">
                  <c:v>0.20535714285714285</c:v>
                </c:pt>
                <c:pt idx="47">
                  <c:v>0.20982142857142858</c:v>
                </c:pt>
                <c:pt idx="48">
                  <c:v>0.21428571428571427</c:v>
                </c:pt>
                <c:pt idx="49">
                  <c:v>0.21875</c:v>
                </c:pt>
                <c:pt idx="50">
                  <c:v>0.22321428571428573</c:v>
                </c:pt>
                <c:pt idx="51">
                  <c:v>0.22767857142857142</c:v>
                </c:pt>
                <c:pt idx="52">
                  <c:v>0.23214285714285715</c:v>
                </c:pt>
                <c:pt idx="53">
                  <c:v>0.23660714285714285</c:v>
                </c:pt>
                <c:pt idx="54">
                  <c:v>0.24107142857142858</c:v>
                </c:pt>
                <c:pt idx="55">
                  <c:v>0.24553571428571427</c:v>
                </c:pt>
                <c:pt idx="56">
                  <c:v>0.25</c:v>
                </c:pt>
                <c:pt idx="57">
                  <c:v>0.2544642857142857</c:v>
                </c:pt>
                <c:pt idx="58">
                  <c:v>0.25892857142857145</c:v>
                </c:pt>
                <c:pt idx="59">
                  <c:v>0.26339285714285715</c:v>
                </c:pt>
                <c:pt idx="60">
                  <c:v>0.26785714285714285</c:v>
                </c:pt>
                <c:pt idx="61">
                  <c:v>0.27232142857142855</c:v>
                </c:pt>
                <c:pt idx="62">
                  <c:v>0.2767857142857143</c:v>
                </c:pt>
                <c:pt idx="63">
                  <c:v>0.28125</c:v>
                </c:pt>
                <c:pt idx="64">
                  <c:v>0.2857142857142857</c:v>
                </c:pt>
                <c:pt idx="65">
                  <c:v>0.29017857142857145</c:v>
                </c:pt>
                <c:pt idx="66">
                  <c:v>0.29464285714285715</c:v>
                </c:pt>
                <c:pt idx="67">
                  <c:v>0.29910714285714285</c:v>
                </c:pt>
                <c:pt idx="68">
                  <c:v>0.30357142857142855</c:v>
                </c:pt>
                <c:pt idx="69">
                  <c:v>0.3080357142857143</c:v>
                </c:pt>
                <c:pt idx="70">
                  <c:v>0.3125</c:v>
                </c:pt>
                <c:pt idx="71">
                  <c:v>0.3169642857142857</c:v>
                </c:pt>
                <c:pt idx="72">
                  <c:v>0.32142857142857145</c:v>
                </c:pt>
                <c:pt idx="73">
                  <c:v>0.32589285714285715</c:v>
                </c:pt>
                <c:pt idx="74">
                  <c:v>0.33035714285714285</c:v>
                </c:pt>
                <c:pt idx="75">
                  <c:v>0.33482142857142855</c:v>
                </c:pt>
                <c:pt idx="76">
                  <c:v>0.3392857142857143</c:v>
                </c:pt>
                <c:pt idx="77">
                  <c:v>0.34375</c:v>
                </c:pt>
                <c:pt idx="78">
                  <c:v>0.3482142857142857</c:v>
                </c:pt>
                <c:pt idx="79">
                  <c:v>0.35267857142857145</c:v>
                </c:pt>
                <c:pt idx="80">
                  <c:v>0.35714285714285715</c:v>
                </c:pt>
                <c:pt idx="81">
                  <c:v>0.36160714285714285</c:v>
                </c:pt>
                <c:pt idx="82">
                  <c:v>0.36607142857142855</c:v>
                </c:pt>
                <c:pt idx="83">
                  <c:v>0.3705357142857143</c:v>
                </c:pt>
                <c:pt idx="84">
                  <c:v>0.375</c:v>
                </c:pt>
                <c:pt idx="85">
                  <c:v>0.3794642857142857</c:v>
                </c:pt>
                <c:pt idx="86">
                  <c:v>0.38392857142857145</c:v>
                </c:pt>
                <c:pt idx="87">
                  <c:v>0.38839285714285715</c:v>
                </c:pt>
                <c:pt idx="88">
                  <c:v>0.39285714285714285</c:v>
                </c:pt>
                <c:pt idx="89">
                  <c:v>0.39732142857142855</c:v>
                </c:pt>
                <c:pt idx="90">
                  <c:v>0.4017857142857143</c:v>
                </c:pt>
                <c:pt idx="91">
                  <c:v>0.40625</c:v>
                </c:pt>
                <c:pt idx="92">
                  <c:v>0.4107142857142857</c:v>
                </c:pt>
                <c:pt idx="93">
                  <c:v>0.41517857142857145</c:v>
                </c:pt>
                <c:pt idx="94">
                  <c:v>0.41964285714285715</c:v>
                </c:pt>
                <c:pt idx="95">
                  <c:v>0.42410714285714285</c:v>
                </c:pt>
                <c:pt idx="96">
                  <c:v>0.42857142857142855</c:v>
                </c:pt>
                <c:pt idx="97">
                  <c:v>0.4330357142857143</c:v>
                </c:pt>
                <c:pt idx="98">
                  <c:v>0.4375</c:v>
                </c:pt>
                <c:pt idx="99">
                  <c:v>0.4419642857142857</c:v>
                </c:pt>
                <c:pt idx="100">
                  <c:v>0.44642857142857145</c:v>
                </c:pt>
                <c:pt idx="101">
                  <c:v>0.45089285714285715</c:v>
                </c:pt>
                <c:pt idx="102">
                  <c:v>0.45535714285714285</c:v>
                </c:pt>
                <c:pt idx="103">
                  <c:v>0.45982142857142855</c:v>
                </c:pt>
                <c:pt idx="104">
                  <c:v>0.4642857142857143</c:v>
                </c:pt>
                <c:pt idx="105">
                  <c:v>0.46875</c:v>
                </c:pt>
                <c:pt idx="106">
                  <c:v>0.4732142857142857</c:v>
                </c:pt>
                <c:pt idx="107">
                  <c:v>0.47767857142857145</c:v>
                </c:pt>
                <c:pt idx="108">
                  <c:v>0.48214285714285715</c:v>
                </c:pt>
                <c:pt idx="109">
                  <c:v>0.48660714285714285</c:v>
                </c:pt>
                <c:pt idx="110">
                  <c:v>0.49107142857142855</c:v>
                </c:pt>
                <c:pt idx="111">
                  <c:v>0.4955357142857143</c:v>
                </c:pt>
                <c:pt idx="112">
                  <c:v>0.5</c:v>
                </c:pt>
                <c:pt idx="113">
                  <c:v>0.5044642857142857</c:v>
                </c:pt>
                <c:pt idx="114">
                  <c:v>0.5089285714285714</c:v>
                </c:pt>
                <c:pt idx="115">
                  <c:v>0.5133928571428571</c:v>
                </c:pt>
                <c:pt idx="116">
                  <c:v>0.5178571428571429</c:v>
                </c:pt>
                <c:pt idx="117">
                  <c:v>0.5223214285714286</c:v>
                </c:pt>
                <c:pt idx="118">
                  <c:v>0.5267857142857143</c:v>
                </c:pt>
                <c:pt idx="119">
                  <c:v>0.53125</c:v>
                </c:pt>
                <c:pt idx="120">
                  <c:v>0.5357142857142857</c:v>
                </c:pt>
                <c:pt idx="121">
                  <c:v>0.5401785714285714</c:v>
                </c:pt>
                <c:pt idx="122">
                  <c:v>0.5446428571428571</c:v>
                </c:pt>
                <c:pt idx="123">
                  <c:v>0.5491071428571429</c:v>
                </c:pt>
                <c:pt idx="124">
                  <c:v>0.5535714285714286</c:v>
                </c:pt>
                <c:pt idx="125">
                  <c:v>0.5580357142857143</c:v>
                </c:pt>
                <c:pt idx="126">
                  <c:v>0.5625</c:v>
                </c:pt>
                <c:pt idx="127">
                  <c:v>0.5669642857142857</c:v>
                </c:pt>
                <c:pt idx="128">
                  <c:v>0.5714285714285714</c:v>
                </c:pt>
                <c:pt idx="129">
                  <c:v>0.5758928571428571</c:v>
                </c:pt>
                <c:pt idx="130">
                  <c:v>0.5803571428571429</c:v>
                </c:pt>
                <c:pt idx="131">
                  <c:v>0.5848214285714286</c:v>
                </c:pt>
                <c:pt idx="132">
                  <c:v>0.5892857142857143</c:v>
                </c:pt>
                <c:pt idx="133">
                  <c:v>0.59375</c:v>
                </c:pt>
                <c:pt idx="134">
                  <c:v>0.5982142857142857</c:v>
                </c:pt>
                <c:pt idx="135">
                  <c:v>0.6026785714285714</c:v>
                </c:pt>
                <c:pt idx="136">
                  <c:v>0.6071428571428571</c:v>
                </c:pt>
                <c:pt idx="137">
                  <c:v>0.6116071428571429</c:v>
                </c:pt>
                <c:pt idx="138">
                  <c:v>0.6160714285714286</c:v>
                </c:pt>
                <c:pt idx="139">
                  <c:v>0.6205357142857143</c:v>
                </c:pt>
                <c:pt idx="140">
                  <c:v>0.625</c:v>
                </c:pt>
                <c:pt idx="141">
                  <c:v>0.6294642857142857</c:v>
                </c:pt>
                <c:pt idx="142">
                  <c:v>0.6339285714285714</c:v>
                </c:pt>
                <c:pt idx="143">
                  <c:v>0.6383928571428571</c:v>
                </c:pt>
                <c:pt idx="144">
                  <c:v>0.6428571428571429</c:v>
                </c:pt>
                <c:pt idx="145">
                  <c:v>0.6473214285714286</c:v>
                </c:pt>
                <c:pt idx="146">
                  <c:v>0.6517857142857143</c:v>
                </c:pt>
                <c:pt idx="147">
                  <c:v>0.65625</c:v>
                </c:pt>
                <c:pt idx="148">
                  <c:v>0.6607142857142857</c:v>
                </c:pt>
                <c:pt idx="149">
                  <c:v>0.6651785714285714</c:v>
                </c:pt>
                <c:pt idx="150">
                  <c:v>0.6696428571428571</c:v>
                </c:pt>
                <c:pt idx="151">
                  <c:v>0.6741071428571429</c:v>
                </c:pt>
                <c:pt idx="152">
                  <c:v>0.6785714285714286</c:v>
                </c:pt>
                <c:pt idx="153">
                  <c:v>0.6830357142857143</c:v>
                </c:pt>
                <c:pt idx="154">
                  <c:v>0.6875</c:v>
                </c:pt>
                <c:pt idx="155">
                  <c:v>0.6919642857142857</c:v>
                </c:pt>
                <c:pt idx="156">
                  <c:v>0.6964285714285714</c:v>
                </c:pt>
                <c:pt idx="157">
                  <c:v>0.7008928571428571</c:v>
                </c:pt>
                <c:pt idx="158">
                  <c:v>0.7053571428571429</c:v>
                </c:pt>
                <c:pt idx="159">
                  <c:v>0.7098214285714286</c:v>
                </c:pt>
                <c:pt idx="160">
                  <c:v>0.7142857142857143</c:v>
                </c:pt>
                <c:pt idx="161">
                  <c:v>0.71875</c:v>
                </c:pt>
                <c:pt idx="162">
                  <c:v>0.7232142857142857</c:v>
                </c:pt>
                <c:pt idx="163">
                  <c:v>0.7276785714285714</c:v>
                </c:pt>
                <c:pt idx="164">
                  <c:v>0.7321428571428571</c:v>
                </c:pt>
                <c:pt idx="165">
                  <c:v>0.7366071428571429</c:v>
                </c:pt>
                <c:pt idx="166">
                  <c:v>0.7410714285714286</c:v>
                </c:pt>
                <c:pt idx="167">
                  <c:v>0.7455357142857143</c:v>
                </c:pt>
                <c:pt idx="168">
                  <c:v>0.75</c:v>
                </c:pt>
                <c:pt idx="169">
                  <c:v>0.7544642857142857</c:v>
                </c:pt>
                <c:pt idx="170">
                  <c:v>0.7589285714285714</c:v>
                </c:pt>
                <c:pt idx="171">
                  <c:v>0.7633928571428571</c:v>
                </c:pt>
                <c:pt idx="172">
                  <c:v>0.7678571428571429</c:v>
                </c:pt>
                <c:pt idx="173">
                  <c:v>0.7723214285714286</c:v>
                </c:pt>
                <c:pt idx="174">
                  <c:v>0.7767857142857143</c:v>
                </c:pt>
                <c:pt idx="175">
                  <c:v>0.78125</c:v>
                </c:pt>
                <c:pt idx="176">
                  <c:v>0.7857142857142857</c:v>
                </c:pt>
                <c:pt idx="177">
                  <c:v>0.7901785714285714</c:v>
                </c:pt>
                <c:pt idx="178">
                  <c:v>0.7946428571428571</c:v>
                </c:pt>
                <c:pt idx="179">
                  <c:v>0.7991071428571429</c:v>
                </c:pt>
                <c:pt idx="180">
                  <c:v>0.8035714285714286</c:v>
                </c:pt>
                <c:pt idx="181">
                  <c:v>0.8080357142857143</c:v>
                </c:pt>
                <c:pt idx="182">
                  <c:v>0.8125</c:v>
                </c:pt>
                <c:pt idx="183">
                  <c:v>0.8169642857142857</c:v>
                </c:pt>
                <c:pt idx="184">
                  <c:v>0.8214285714285714</c:v>
                </c:pt>
                <c:pt idx="185">
                  <c:v>0.8258928571428571</c:v>
                </c:pt>
                <c:pt idx="186">
                  <c:v>0.8303571428571429</c:v>
                </c:pt>
                <c:pt idx="187">
                  <c:v>0.8348214285714286</c:v>
                </c:pt>
                <c:pt idx="188">
                  <c:v>0.8392857142857143</c:v>
                </c:pt>
                <c:pt idx="189">
                  <c:v>0.84375</c:v>
                </c:pt>
                <c:pt idx="190">
                  <c:v>0.8482142857142857</c:v>
                </c:pt>
                <c:pt idx="191">
                  <c:v>0.8526785714285714</c:v>
                </c:pt>
                <c:pt idx="192">
                  <c:v>0.8571428571428571</c:v>
                </c:pt>
                <c:pt idx="193">
                  <c:v>0.8616071428571429</c:v>
                </c:pt>
                <c:pt idx="194">
                  <c:v>0.8660714285714286</c:v>
                </c:pt>
                <c:pt idx="195">
                  <c:v>0.8705357142857143</c:v>
                </c:pt>
                <c:pt idx="196">
                  <c:v>0.875</c:v>
                </c:pt>
                <c:pt idx="197">
                  <c:v>0.8794642857142857</c:v>
                </c:pt>
                <c:pt idx="198">
                  <c:v>0.8839285714285714</c:v>
                </c:pt>
                <c:pt idx="199">
                  <c:v>0.8883928571428571</c:v>
                </c:pt>
                <c:pt idx="200">
                  <c:v>0.8928571428571429</c:v>
                </c:pt>
                <c:pt idx="201">
                  <c:v>0.8973214285714286</c:v>
                </c:pt>
                <c:pt idx="202">
                  <c:v>0.9017857142857143</c:v>
                </c:pt>
                <c:pt idx="203">
                  <c:v>0.90625</c:v>
                </c:pt>
                <c:pt idx="204">
                  <c:v>0.9107142857142857</c:v>
                </c:pt>
                <c:pt idx="205">
                  <c:v>0.9151785714285714</c:v>
                </c:pt>
                <c:pt idx="206">
                  <c:v>0.9196428571428571</c:v>
                </c:pt>
                <c:pt idx="207">
                  <c:v>0.9241071428571429</c:v>
                </c:pt>
                <c:pt idx="208">
                  <c:v>0.9285714285714286</c:v>
                </c:pt>
                <c:pt idx="209">
                  <c:v>0.9330357142857143</c:v>
                </c:pt>
                <c:pt idx="210">
                  <c:v>0.9375</c:v>
                </c:pt>
                <c:pt idx="211">
                  <c:v>0.9419642857142857</c:v>
                </c:pt>
                <c:pt idx="212">
                  <c:v>0.9464285714285714</c:v>
                </c:pt>
                <c:pt idx="213">
                  <c:v>0.9508928571428571</c:v>
                </c:pt>
                <c:pt idx="214">
                  <c:v>0.9553571428571429</c:v>
                </c:pt>
                <c:pt idx="215">
                  <c:v>0.9598214285714286</c:v>
                </c:pt>
                <c:pt idx="216">
                  <c:v>0.9642857142857143</c:v>
                </c:pt>
                <c:pt idx="217">
                  <c:v>0.96875</c:v>
                </c:pt>
                <c:pt idx="218">
                  <c:v>0.9732142857142857</c:v>
                </c:pt>
                <c:pt idx="219">
                  <c:v>0.9776785714285714</c:v>
                </c:pt>
                <c:pt idx="220">
                  <c:v>0.9821428571428571</c:v>
                </c:pt>
                <c:pt idx="221">
                  <c:v>0.9866071428571429</c:v>
                </c:pt>
                <c:pt idx="222">
                  <c:v>0.9910714285714286</c:v>
                </c:pt>
                <c:pt idx="223">
                  <c:v>0.9955357142857143</c:v>
                </c:pt>
                <c:pt idx="224">
                  <c:v>1</c:v>
                </c:pt>
              </c:numCache>
            </c:numRef>
          </c:yVal>
          <c:smooth val="0"/>
          <c:extLst>
            <c:ext xmlns:c16="http://schemas.microsoft.com/office/drawing/2014/chart" uri="{C3380CC4-5D6E-409C-BE32-E72D297353CC}">
              <c16:uniqueId val="{00000002-D314-4876-8389-8A629FF0B7E7}"/>
            </c:ext>
          </c:extLst>
        </c:ser>
        <c:dLbls>
          <c:showLegendKey val="0"/>
          <c:showVal val="0"/>
          <c:showCatName val="0"/>
          <c:showSerName val="0"/>
          <c:showPercent val="0"/>
          <c:showBubbleSize val="0"/>
        </c:dLbls>
        <c:axId val="1765199631"/>
        <c:axId val="1765200463"/>
      </c:scatterChart>
      <c:valAx>
        <c:axId val="1765199631"/>
        <c:scaling>
          <c:orientation val="minMax"/>
          <c:max val="8.0000000000000016E-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θ</a:t>
                </a:r>
                <a:r>
                  <a:rPr lang="en-GB" sz="700"/>
                  <a:t>0</a:t>
                </a:r>
                <a:r>
                  <a:rPr lang="en-GB"/>
                  <a:t> [rad]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765200463"/>
        <c:crosses val="autoZero"/>
        <c:crossBetween val="midCat"/>
        <c:majorUnit val="2.0000000000000004E-2"/>
      </c:valAx>
      <c:valAx>
        <c:axId val="1765200463"/>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765199631"/>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585459476985543"/>
          <c:y val="2.3869798365986718E-2"/>
          <c:w val="0.87015920517803802"/>
          <c:h val="0.78977597530349275"/>
        </c:manualLayout>
      </c:layout>
      <c:scatterChart>
        <c:scatterStyle val="lineMarker"/>
        <c:varyColors val="0"/>
        <c:ser>
          <c:idx val="0"/>
          <c:order val="0"/>
          <c:tx>
            <c:v>Observed in test database</c:v>
          </c:tx>
          <c:spPr>
            <a:ln w="19050" cap="rnd">
              <a:noFill/>
              <a:round/>
            </a:ln>
            <a:effectLst/>
          </c:spPr>
          <c:marker>
            <c:symbol val="none"/>
          </c:marker>
          <c:errBars>
            <c:errDir val="y"/>
            <c:errBarType val="both"/>
            <c:errValType val="cust"/>
            <c:noEndCap val="1"/>
            <c:plus>
              <c:numLit>
                <c:formatCode>General</c:formatCode>
                <c:ptCount val="1"/>
                <c:pt idx="0">
                  <c:v>0</c:v>
                </c:pt>
              </c:numLit>
            </c:plus>
            <c:minus>
              <c:numRef>
                <c:f>'Figure 7 Data'!$BQ$12:$BQ$115</c:f>
                <c:numCache>
                  <c:formatCode>General</c:formatCode>
                  <c:ptCount val="104"/>
                  <c:pt idx="1">
                    <c:v>6.8027210884353739E-3</c:v>
                  </c:pt>
                  <c:pt idx="2">
                    <c:v>6.8027210884353739E-3</c:v>
                  </c:pt>
                  <c:pt idx="3">
                    <c:v>6.802721088435373E-3</c:v>
                  </c:pt>
                  <c:pt idx="4">
                    <c:v>6.8027210884353748E-3</c:v>
                  </c:pt>
                  <c:pt idx="5">
                    <c:v>6.8027210884353782E-3</c:v>
                  </c:pt>
                  <c:pt idx="6">
                    <c:v>6.8027210884353678E-3</c:v>
                  </c:pt>
                  <c:pt idx="7">
                    <c:v>6.8027210884353748E-3</c:v>
                  </c:pt>
                  <c:pt idx="8">
                    <c:v>6.8027210884353748E-3</c:v>
                  </c:pt>
                  <c:pt idx="9">
                    <c:v>6.8027210884353748E-3</c:v>
                  </c:pt>
                  <c:pt idx="10">
                    <c:v>6.8027210884353817E-3</c:v>
                  </c:pt>
                  <c:pt idx="11">
                    <c:v>6.8027210884353678E-3</c:v>
                  </c:pt>
                  <c:pt idx="12">
                    <c:v>6.8027210884353678E-3</c:v>
                  </c:pt>
                  <c:pt idx="13">
                    <c:v>6.8027210884353817E-3</c:v>
                  </c:pt>
                  <c:pt idx="14">
                    <c:v>1.360544217687075E-2</c:v>
                  </c:pt>
                  <c:pt idx="15">
                    <c:v>1.360544217687075E-2</c:v>
                  </c:pt>
                  <c:pt idx="16">
                    <c:v>6.8027210884353678E-3</c:v>
                  </c:pt>
                  <c:pt idx="17">
                    <c:v>6.8027210884353817E-3</c:v>
                  </c:pt>
                  <c:pt idx="18">
                    <c:v>6.8027210884353817E-3</c:v>
                  </c:pt>
                  <c:pt idx="19">
                    <c:v>1.3605442176870736E-2</c:v>
                  </c:pt>
                  <c:pt idx="20">
                    <c:v>6.8027210884353817E-3</c:v>
                  </c:pt>
                  <c:pt idx="21">
                    <c:v>6.8027210884353539E-3</c:v>
                  </c:pt>
                  <c:pt idx="22">
                    <c:v>6.8027210884353817E-3</c:v>
                  </c:pt>
                  <c:pt idx="23">
                    <c:v>6.8027210884353817E-3</c:v>
                  </c:pt>
                  <c:pt idx="24">
                    <c:v>1.3605442176870736E-2</c:v>
                  </c:pt>
                  <c:pt idx="25">
                    <c:v>2.0408163265306145E-2</c:v>
                  </c:pt>
                  <c:pt idx="26">
                    <c:v>6.8027210884353539E-3</c:v>
                  </c:pt>
                  <c:pt idx="27">
                    <c:v>1.3605442176870763E-2</c:v>
                  </c:pt>
                  <c:pt idx="28">
                    <c:v>1.3605442176870736E-2</c:v>
                  </c:pt>
                  <c:pt idx="29">
                    <c:v>6.8027210884353817E-3</c:v>
                  </c:pt>
                  <c:pt idx="30">
                    <c:v>6.8027210884353817E-3</c:v>
                  </c:pt>
                  <c:pt idx="31">
                    <c:v>6.8027210884353817E-3</c:v>
                  </c:pt>
                  <c:pt idx="32">
                    <c:v>2.040816326530609E-2</c:v>
                  </c:pt>
                  <c:pt idx="33">
                    <c:v>6.8027210884353817E-3</c:v>
                  </c:pt>
                  <c:pt idx="34">
                    <c:v>1.3605442176870763E-2</c:v>
                  </c:pt>
                  <c:pt idx="35">
                    <c:v>6.8027210884353817E-3</c:v>
                  </c:pt>
                  <c:pt idx="36">
                    <c:v>6.8027210884353817E-3</c:v>
                  </c:pt>
                  <c:pt idx="37">
                    <c:v>1.3605442176870708E-2</c:v>
                  </c:pt>
                  <c:pt idx="38">
                    <c:v>2.7210884353741527E-2</c:v>
                  </c:pt>
                  <c:pt idx="39">
                    <c:v>6.8027210884353817E-3</c:v>
                  </c:pt>
                  <c:pt idx="40">
                    <c:v>6.8027210884353817E-3</c:v>
                  </c:pt>
                  <c:pt idx="41">
                    <c:v>6.8027210884353262E-3</c:v>
                  </c:pt>
                  <c:pt idx="42">
                    <c:v>2.7210884353741527E-2</c:v>
                  </c:pt>
                  <c:pt idx="43">
                    <c:v>1.3605442176870763E-2</c:v>
                  </c:pt>
                  <c:pt idx="44">
                    <c:v>2.7210884353741471E-2</c:v>
                  </c:pt>
                  <c:pt idx="45">
                    <c:v>6.8027210884353817E-3</c:v>
                  </c:pt>
                  <c:pt idx="46">
                    <c:v>6.8027210884353817E-3</c:v>
                  </c:pt>
                  <c:pt idx="47">
                    <c:v>6.8027210884353817E-3</c:v>
                  </c:pt>
                  <c:pt idx="48">
                    <c:v>6.8027210884353262E-3</c:v>
                  </c:pt>
                  <c:pt idx="49">
                    <c:v>6.8027210884353817E-3</c:v>
                  </c:pt>
                  <c:pt idx="50">
                    <c:v>6.8027210884353817E-3</c:v>
                  </c:pt>
                  <c:pt idx="51">
                    <c:v>1.3605442176870763E-2</c:v>
                  </c:pt>
                  <c:pt idx="52">
                    <c:v>6.8027210884353817E-3</c:v>
                  </c:pt>
                  <c:pt idx="53">
                    <c:v>6.8027210884353817E-3</c:v>
                  </c:pt>
                  <c:pt idx="54">
                    <c:v>1.3605442176870763E-2</c:v>
                  </c:pt>
                  <c:pt idx="55">
                    <c:v>6.8027210884353817E-3</c:v>
                  </c:pt>
                  <c:pt idx="56">
                    <c:v>6.8027210884353817E-3</c:v>
                  </c:pt>
                  <c:pt idx="57">
                    <c:v>6.8027210884352707E-3</c:v>
                  </c:pt>
                  <c:pt idx="58">
                    <c:v>1.3605442176870763E-2</c:v>
                  </c:pt>
                  <c:pt idx="59">
                    <c:v>6.8027210884353817E-3</c:v>
                  </c:pt>
                  <c:pt idx="60">
                    <c:v>1.3605442176870763E-2</c:v>
                  </c:pt>
                  <c:pt idx="61">
                    <c:v>6.8027210884353817E-3</c:v>
                  </c:pt>
                  <c:pt idx="62">
                    <c:v>6.8027210884353817E-3</c:v>
                  </c:pt>
                  <c:pt idx="63">
                    <c:v>6.8027210884353817E-3</c:v>
                  </c:pt>
                  <c:pt idx="64">
                    <c:v>6.8027210884353817E-3</c:v>
                  </c:pt>
                  <c:pt idx="65">
                    <c:v>6.8027210884353817E-3</c:v>
                  </c:pt>
                  <c:pt idx="66">
                    <c:v>6.8027210884353817E-3</c:v>
                  </c:pt>
                  <c:pt idx="67">
                    <c:v>6.8027210884353817E-3</c:v>
                  </c:pt>
                  <c:pt idx="68">
                    <c:v>1.3605442176870763E-2</c:v>
                  </c:pt>
                  <c:pt idx="69">
                    <c:v>1.3605442176870652E-2</c:v>
                  </c:pt>
                  <c:pt idx="70">
                    <c:v>6.8027210884353817E-3</c:v>
                  </c:pt>
                  <c:pt idx="71">
                    <c:v>6.8027210884353817E-3</c:v>
                  </c:pt>
                  <c:pt idx="72">
                    <c:v>1.3605442176870763E-2</c:v>
                  </c:pt>
                  <c:pt idx="73">
                    <c:v>6.8027210884353817E-3</c:v>
                  </c:pt>
                  <c:pt idx="74">
                    <c:v>6.8027210884353817E-3</c:v>
                  </c:pt>
                  <c:pt idx="75">
                    <c:v>6.8027210884353817E-3</c:v>
                  </c:pt>
                  <c:pt idx="76">
                    <c:v>2.0408163265306145E-2</c:v>
                  </c:pt>
                  <c:pt idx="77">
                    <c:v>2.0408163265306145E-2</c:v>
                  </c:pt>
                  <c:pt idx="78">
                    <c:v>1.3605442176870652E-2</c:v>
                  </c:pt>
                  <c:pt idx="79">
                    <c:v>6.8027210884353817E-3</c:v>
                  </c:pt>
                  <c:pt idx="80">
                    <c:v>6.8027210884353817E-3</c:v>
                  </c:pt>
                  <c:pt idx="81">
                    <c:v>6.8027210884353817E-3</c:v>
                  </c:pt>
                  <c:pt idx="82">
                    <c:v>1.3605442176870763E-2</c:v>
                  </c:pt>
                  <c:pt idx="83">
                    <c:v>6.8027210884353817E-3</c:v>
                  </c:pt>
                  <c:pt idx="84">
                    <c:v>6.8027210884353817E-3</c:v>
                  </c:pt>
                  <c:pt idx="85">
                    <c:v>1.3605442176870763E-2</c:v>
                  </c:pt>
                  <c:pt idx="86">
                    <c:v>6.8027210884353817E-3</c:v>
                  </c:pt>
                  <c:pt idx="87">
                    <c:v>6.8027210884353817E-3</c:v>
                  </c:pt>
                  <c:pt idx="88">
                    <c:v>6.8027210884353817E-3</c:v>
                  </c:pt>
                  <c:pt idx="89">
                    <c:v>6.8027210884352707E-3</c:v>
                  </c:pt>
                  <c:pt idx="90">
                    <c:v>2.7210884353741527E-2</c:v>
                  </c:pt>
                  <c:pt idx="91">
                    <c:v>2.0408163265306145E-2</c:v>
                  </c:pt>
                  <c:pt idx="92">
                    <c:v>1.3605442176870763E-2</c:v>
                  </c:pt>
                  <c:pt idx="93">
                    <c:v>6.8027210884353817E-3</c:v>
                  </c:pt>
                  <c:pt idx="94">
                    <c:v>6.8027210884353817E-3</c:v>
                  </c:pt>
                  <c:pt idx="95">
                    <c:v>2.0408163265306145E-2</c:v>
                  </c:pt>
                  <c:pt idx="96">
                    <c:v>6.8027210884352707E-3</c:v>
                  </c:pt>
                  <c:pt idx="97">
                    <c:v>6.8027210884353817E-3</c:v>
                  </c:pt>
                  <c:pt idx="98">
                    <c:v>6.8027210884353817E-3</c:v>
                  </c:pt>
                  <c:pt idx="99">
                    <c:v>6.8027210884353817E-3</c:v>
                  </c:pt>
                  <c:pt idx="100">
                    <c:v>6.8027210884353817E-3</c:v>
                  </c:pt>
                  <c:pt idx="101">
                    <c:v>6.8027210884353817E-3</c:v>
                  </c:pt>
                  <c:pt idx="102">
                    <c:v>6.8027210884353817E-3</c:v>
                  </c:pt>
                  <c:pt idx="103">
                    <c:v>6.8027210884353817E-3</c:v>
                  </c:pt>
                </c:numCache>
              </c:numRef>
            </c:minus>
            <c:spPr>
              <a:noFill/>
              <a:ln w="9525" cap="flat" cmpd="sng" algn="ctr">
                <a:solidFill>
                  <a:schemeClr val="tx1"/>
                </a:solidFill>
                <a:round/>
              </a:ln>
              <a:effectLst/>
            </c:spPr>
          </c:errBars>
          <c:errBars>
            <c:errDir val="x"/>
            <c:errBarType val="both"/>
            <c:errValType val="cust"/>
            <c:noEndCap val="1"/>
            <c:plus>
              <c:numRef>
                <c:f>'Figure 7 Data'!$BP$12:$BP$115</c:f>
                <c:numCache>
                  <c:formatCode>General</c:formatCode>
                  <c:ptCount val="104"/>
                  <c:pt idx="0">
                    <c:v>0</c:v>
                  </c:pt>
                  <c:pt idx="1">
                    <c:v>6.2238240186923846E-3</c:v>
                  </c:pt>
                  <c:pt idx="2">
                    <c:v>7.2510571091561477E-4</c:v>
                  </c:pt>
                  <c:pt idx="3">
                    <c:v>3.2267204135745017E-3</c:v>
                  </c:pt>
                  <c:pt idx="4">
                    <c:v>9.0954728262073598E-4</c:v>
                  </c:pt>
                  <c:pt idx="5">
                    <c:v>1.4427301724329045E-4</c:v>
                  </c:pt>
                  <c:pt idx="6">
                    <c:v>4.4700984031117649E-4</c:v>
                  </c:pt>
                  <c:pt idx="7">
                    <c:v>3.896529291415457E-4</c:v>
                  </c:pt>
                  <c:pt idx="8">
                    <c:v>4.8965827318730656E-4</c:v>
                  </c:pt>
                  <c:pt idx="9">
                    <c:v>8.4072074203859343E-5</c:v>
                  </c:pt>
                  <c:pt idx="10">
                    <c:v>3.4366304016663837E-4</c:v>
                  </c:pt>
                  <c:pt idx="11">
                    <c:v>3.2888745538136172E-3</c:v>
                  </c:pt>
                  <c:pt idx="12">
                    <c:v>1.9190097808307847E-3</c:v>
                  </c:pt>
                  <c:pt idx="13">
                    <c:v>1.0743735326627576E-4</c:v>
                  </c:pt>
                  <c:pt idx="14">
                    <c:v>1.1743152566314335E-3</c:v>
                  </c:pt>
                  <c:pt idx="15">
                    <c:v>1.545151653462376E-4</c:v>
                  </c:pt>
                  <c:pt idx="16">
                    <c:v>6.2363882619890648E-3</c:v>
                  </c:pt>
                  <c:pt idx="17">
                    <c:v>2.3863997601122205E-4</c:v>
                  </c:pt>
                  <c:pt idx="18">
                    <c:v>2.3037023817736868E-3</c:v>
                  </c:pt>
                  <c:pt idx="19">
                    <c:v>1.8954809666040309E-3</c:v>
                  </c:pt>
                  <c:pt idx="20">
                    <c:v>7.793058582830914E-4</c:v>
                  </c:pt>
                  <c:pt idx="21">
                    <c:v>4.8343380361288296E-4</c:v>
                  </c:pt>
                  <c:pt idx="22">
                    <c:v>1.638874880333166E-4</c:v>
                  </c:pt>
                  <c:pt idx="23">
                    <c:v>5.0013940313613225E-4</c:v>
                  </c:pt>
                  <c:pt idx="24">
                    <c:v>7.4336959149891371E-3</c:v>
                  </c:pt>
                  <c:pt idx="25">
                    <c:v>2.4026434275251085E-4</c:v>
                  </c:pt>
                  <c:pt idx="26">
                    <c:v>3.1484531632615248E-3</c:v>
                  </c:pt>
                  <c:pt idx="27">
                    <c:v>2.5387288227009391E-3</c:v>
                  </c:pt>
                  <c:pt idx="28">
                    <c:v>3.0545772571338725E-4</c:v>
                  </c:pt>
                  <c:pt idx="29">
                    <c:v>9.3806248310794593E-4</c:v>
                  </c:pt>
                  <c:pt idx="30">
                    <c:v>2.5710939468184743E-3</c:v>
                  </c:pt>
                  <c:pt idx="31">
                    <c:v>9.3153151531847472E-4</c:v>
                  </c:pt>
                  <c:pt idx="32">
                    <c:v>4.5015242530335037E-4</c:v>
                  </c:pt>
                  <c:pt idx="33">
                    <c:v>3.125572563600354E-6</c:v>
                  </c:pt>
                  <c:pt idx="34">
                    <c:v>8.1516719331206633E-4</c:v>
                  </c:pt>
                  <c:pt idx="35">
                    <c:v>4.6746009650761727E-4</c:v>
                  </c:pt>
                  <c:pt idx="36">
                    <c:v>2.566120860058585E-4</c:v>
                  </c:pt>
                  <c:pt idx="37">
                    <c:v>2.1915080412742427E-3</c:v>
                  </c:pt>
                  <c:pt idx="38">
                    <c:v>4.8052328638685665E-3</c:v>
                  </c:pt>
                  <c:pt idx="39">
                    <c:v>1.1814501176299758E-3</c:v>
                  </c:pt>
                  <c:pt idx="40">
                    <c:v>1.1611107882121274E-3</c:v>
                  </c:pt>
                  <c:pt idx="41">
                    <c:v>1.0762567057250039E-4</c:v>
                  </c:pt>
                  <c:pt idx="42">
                    <c:v>1.986358769745622E-3</c:v>
                  </c:pt>
                  <c:pt idx="43">
                    <c:v>6.1254467671277013E-3</c:v>
                  </c:pt>
                  <c:pt idx="44">
                    <c:v>1.9099448987230927E-4</c:v>
                  </c:pt>
                  <c:pt idx="45">
                    <c:v>6.5835144765517828E-4</c:v>
                  </c:pt>
                  <c:pt idx="46">
                    <c:v>2.0443544953502729E-3</c:v>
                  </c:pt>
                  <c:pt idx="47">
                    <c:v>1.6244691183914944E-2</c:v>
                  </c:pt>
                  <c:pt idx="48">
                    <c:v>1.9694499449169206E-3</c:v>
                  </c:pt>
                  <c:pt idx="49">
                    <c:v>1.2831087307531713E-3</c:v>
                  </c:pt>
                  <c:pt idx="50">
                    <c:v>7.7292482175475574E-4</c:v>
                  </c:pt>
                  <c:pt idx="51">
                    <c:v>3.2795558988644447E-3</c:v>
                  </c:pt>
                  <c:pt idx="52">
                    <c:v>3.0452295464868939E-3</c:v>
                  </c:pt>
                  <c:pt idx="53">
                    <c:v>1.5299316513060351E-3</c:v>
                  </c:pt>
                  <c:pt idx="54">
                    <c:v>1.2585573783883419E-3</c:v>
                  </c:pt>
                  <c:pt idx="55">
                    <c:v>1.3277192581569452E-3</c:v>
                  </c:pt>
                  <c:pt idx="56">
                    <c:v>1.7035606093861178E-3</c:v>
                  </c:pt>
                  <c:pt idx="57">
                    <c:v>2.9325324371562433E-4</c:v>
                  </c:pt>
                  <c:pt idx="58">
                    <c:v>3.0322462516207405E-3</c:v>
                  </c:pt>
                  <c:pt idx="59">
                    <c:v>6.061461796767198E-4</c:v>
                  </c:pt>
                  <c:pt idx="60">
                    <c:v>2.4785837171015651E-3</c:v>
                  </c:pt>
                  <c:pt idx="61">
                    <c:v>4.6625310658823804E-3</c:v>
                  </c:pt>
                  <c:pt idx="62">
                    <c:v>3.0644864747101097E-3</c:v>
                  </c:pt>
                  <c:pt idx="63">
                    <c:v>4.6304882959966043E-4</c:v>
                  </c:pt>
                  <c:pt idx="64">
                    <c:v>2.422757152124061E-3</c:v>
                  </c:pt>
                  <c:pt idx="65">
                    <c:v>5.033689593626145E-2</c:v>
                  </c:pt>
                  <c:pt idx="66">
                    <c:v>9.104259746418597E-4</c:v>
                  </c:pt>
                  <c:pt idx="67">
                    <c:v>7.9330967306568967E-3</c:v>
                  </c:pt>
                  <c:pt idx="68">
                    <c:v>2.9170922133119337E-3</c:v>
                  </c:pt>
                  <c:pt idx="69">
                    <c:v>1.4656545226303108E-3</c:v>
                  </c:pt>
                  <c:pt idx="70">
                    <c:v>1.6814258325412584E-2</c:v>
                  </c:pt>
                  <c:pt idx="71">
                    <c:v>1.0344637086230624E-3</c:v>
                  </c:pt>
                  <c:pt idx="72">
                    <c:v>2.0700762221449454E-3</c:v>
                  </c:pt>
                  <c:pt idx="73">
                    <c:v>3.2005724031220734E-2</c:v>
                  </c:pt>
                  <c:pt idx="74">
                    <c:v>8.834405287867747E-3</c:v>
                  </c:pt>
                  <c:pt idx="75">
                    <c:v>9.916851019771411E-3</c:v>
                  </c:pt>
                  <c:pt idx="76">
                    <c:v>7.0737240816305946E-3</c:v>
                  </c:pt>
                  <c:pt idx="77">
                    <c:v>1.2041763536676631E-2</c:v>
                  </c:pt>
                  <c:pt idx="78">
                    <c:v>6.1530957469430603E-3</c:v>
                  </c:pt>
                  <c:pt idx="79">
                    <c:v>6.7702643816902608E-3</c:v>
                  </c:pt>
                  <c:pt idx="80">
                    <c:v>1.4518288854509231E-3</c:v>
                  </c:pt>
                  <c:pt idx="81">
                    <c:v>1.9857055525540845E-2</c:v>
                  </c:pt>
                  <c:pt idx="82">
                    <c:v>1.3148878234338912E-2</c:v>
                  </c:pt>
                  <c:pt idx="83">
                    <c:v>1.2087040663259219E-2</c:v>
                  </c:pt>
                  <c:pt idx="84">
                    <c:v>1.4329056801853923E-4</c:v>
                  </c:pt>
                  <c:pt idx="85">
                    <c:v>7.3191924611759052E-3</c:v>
                  </c:pt>
                  <c:pt idx="86">
                    <c:v>6.7032777410431788E-3</c:v>
                  </c:pt>
                  <c:pt idx="87">
                    <c:v>6.031434685729864E-4</c:v>
                  </c:pt>
                  <c:pt idx="88">
                    <c:v>4.6756639857047921E-3</c:v>
                  </c:pt>
                  <c:pt idx="89">
                    <c:v>5.0956594131348898E-3</c:v>
                  </c:pt>
                  <c:pt idx="90">
                    <c:v>1.5986443776754677E-2</c:v>
                  </c:pt>
                  <c:pt idx="91">
                    <c:v>3.8642115637617491E-2</c:v>
                  </c:pt>
                  <c:pt idx="92">
                    <c:v>6.2403398245223174E-2</c:v>
                  </c:pt>
                  <c:pt idx="93">
                    <c:v>1.7121354479147033E-2</c:v>
                  </c:pt>
                  <c:pt idx="94">
                    <c:v>6.0077335485551164E-2</c:v>
                  </c:pt>
                  <c:pt idx="95">
                    <c:v>0.12572935529154761</c:v>
                  </c:pt>
                  <c:pt idx="96">
                    <c:v>0.16203770458527256</c:v>
                  </c:pt>
                  <c:pt idx="97">
                    <c:v>4.9754668823707715E-2</c:v>
                  </c:pt>
                  <c:pt idx="98">
                    <c:v>8.1513090865706572E-2</c:v>
                  </c:pt>
                  <c:pt idx="99">
                    <c:v>2.5000937746688101E-2</c:v>
                  </c:pt>
                  <c:pt idx="100">
                    <c:v>0.38313526147277144</c:v>
                  </c:pt>
                  <c:pt idx="101">
                    <c:v>7.4668528452870975E-2</c:v>
                  </c:pt>
                  <c:pt idx="102">
                    <c:v>1.070697968525044</c:v>
                  </c:pt>
                </c:numCache>
              </c:numRef>
            </c:plus>
            <c:minus>
              <c:numLit>
                <c:formatCode>General</c:formatCode>
                <c:ptCount val="1"/>
                <c:pt idx="0">
                  <c:v>0</c:v>
                </c:pt>
              </c:numLit>
            </c:minus>
            <c:spPr>
              <a:noFill/>
              <a:ln w="9525" cap="flat" cmpd="sng" algn="ctr">
                <a:solidFill>
                  <a:schemeClr val="tx1"/>
                </a:solidFill>
                <a:round/>
              </a:ln>
              <a:effectLst/>
            </c:spPr>
          </c:errBars>
          <c:xVal>
            <c:numRef>
              <c:f>'Figure 7 Data'!$BO$12:$BO$115</c:f>
              <c:numCache>
                <c:formatCode>General</c:formatCode>
                <c:ptCount val="104"/>
                <c:pt idx="0">
                  <c:v>6.9489297296079994E-3</c:v>
                </c:pt>
                <c:pt idx="1">
                  <c:v>6.9489297296079994E-3</c:v>
                </c:pt>
                <c:pt idx="2">
                  <c:v>1.3172753748300384E-2</c:v>
                </c:pt>
                <c:pt idx="3">
                  <c:v>1.3897859459215999E-2</c:v>
                </c:pt>
                <c:pt idx="4">
                  <c:v>1.71245798727905E-2</c:v>
                </c:pt>
                <c:pt idx="5">
                  <c:v>1.8034127155411236E-2</c:v>
                </c:pt>
                <c:pt idx="6">
                  <c:v>1.8178400172654527E-2</c:v>
                </c:pt>
                <c:pt idx="7">
                  <c:v>1.8625410012965703E-2</c:v>
                </c:pt>
                <c:pt idx="8">
                  <c:v>1.9015062942107249E-2</c:v>
                </c:pt>
                <c:pt idx="9">
                  <c:v>1.9504721215294556E-2</c:v>
                </c:pt>
                <c:pt idx="10">
                  <c:v>1.9588793289498415E-2</c:v>
                </c:pt>
                <c:pt idx="11">
                  <c:v>1.9932456329665053E-2</c:v>
                </c:pt>
                <c:pt idx="12">
                  <c:v>2.3221330883478671E-2</c:v>
                </c:pt>
                <c:pt idx="13">
                  <c:v>2.5140340664309455E-2</c:v>
                </c:pt>
                <c:pt idx="14">
                  <c:v>2.5247778017575731E-2</c:v>
                </c:pt>
                <c:pt idx="15">
                  <c:v>2.6422093274207165E-2</c:v>
                </c:pt>
                <c:pt idx="16">
                  <c:v>2.6576608439553402E-2</c:v>
                </c:pt>
                <c:pt idx="17">
                  <c:v>3.2812996701542467E-2</c:v>
                </c:pt>
                <c:pt idx="18">
                  <c:v>3.3051636677553689E-2</c:v>
                </c:pt>
                <c:pt idx="19">
                  <c:v>3.5355339059327376E-2</c:v>
                </c:pt>
                <c:pt idx="20">
                  <c:v>3.7250820025931407E-2</c:v>
                </c:pt>
                <c:pt idx="21">
                  <c:v>3.8030125884214498E-2</c:v>
                </c:pt>
                <c:pt idx="22">
                  <c:v>3.8513559687827381E-2</c:v>
                </c:pt>
                <c:pt idx="23">
                  <c:v>3.8677447175860698E-2</c:v>
                </c:pt>
                <c:pt idx="24">
                  <c:v>3.917758657899683E-2</c:v>
                </c:pt>
                <c:pt idx="25">
                  <c:v>4.6611282493985967E-2</c:v>
                </c:pt>
                <c:pt idx="26">
                  <c:v>4.6851546836738478E-2</c:v>
                </c:pt>
                <c:pt idx="27">
                  <c:v>0.05</c:v>
                </c:pt>
                <c:pt idx="28">
                  <c:v>5.2538728822700942E-2</c:v>
                </c:pt>
                <c:pt idx="29">
                  <c:v>5.2844186548414329E-2</c:v>
                </c:pt>
                <c:pt idx="30">
                  <c:v>5.3782249031522275E-2</c:v>
                </c:pt>
                <c:pt idx="31">
                  <c:v>5.6353342978340749E-2</c:v>
                </c:pt>
                <c:pt idx="32">
                  <c:v>5.7284874493659224E-2</c:v>
                </c:pt>
                <c:pt idx="33">
                  <c:v>5.7735026918962574E-2</c:v>
                </c:pt>
                <c:pt idx="34">
                  <c:v>5.7738152491526175E-2</c:v>
                </c:pt>
                <c:pt idx="35">
                  <c:v>5.8553319684838241E-2</c:v>
                </c:pt>
                <c:pt idx="36">
                  <c:v>5.9020779781345858E-2</c:v>
                </c:pt>
                <c:pt idx="37">
                  <c:v>5.9277391867351717E-2</c:v>
                </c:pt>
                <c:pt idx="38">
                  <c:v>6.146889990862596E-2</c:v>
                </c:pt>
                <c:pt idx="39">
                  <c:v>6.6274132772494526E-2</c:v>
                </c:pt>
                <c:pt idx="40">
                  <c:v>6.7455582890124502E-2</c:v>
                </c:pt>
                <c:pt idx="41">
                  <c:v>6.8616693678336629E-2</c:v>
                </c:pt>
                <c:pt idx="42">
                  <c:v>6.872431934890913E-2</c:v>
                </c:pt>
                <c:pt idx="43">
                  <c:v>7.0710678118654752E-2</c:v>
                </c:pt>
                <c:pt idx="44">
                  <c:v>7.6836124885782453E-2</c:v>
                </c:pt>
                <c:pt idx="45">
                  <c:v>7.7027119375654762E-2</c:v>
                </c:pt>
                <c:pt idx="46">
                  <c:v>7.7685470823309941E-2</c:v>
                </c:pt>
                <c:pt idx="47">
                  <c:v>7.9729825318660213E-2</c:v>
                </c:pt>
                <c:pt idx="48">
                  <c:v>9.5974516502575158E-2</c:v>
                </c:pt>
                <c:pt idx="49">
                  <c:v>9.7943966447492078E-2</c:v>
                </c:pt>
                <c:pt idx="50">
                  <c:v>9.922707517824525E-2</c:v>
                </c:pt>
                <c:pt idx="51">
                  <c:v>0.1</c:v>
                </c:pt>
                <c:pt idx="52">
                  <c:v>0.10327955589886445</c:v>
                </c:pt>
                <c:pt idx="53">
                  <c:v>0.10632478544535134</c:v>
                </c:pt>
                <c:pt idx="54">
                  <c:v>0.10785471709665738</c:v>
                </c:pt>
                <c:pt idx="55">
                  <c:v>0.10911327447504572</c:v>
                </c:pt>
                <c:pt idx="56">
                  <c:v>0.11044099373320267</c:v>
                </c:pt>
                <c:pt idx="57">
                  <c:v>0.11214455434258878</c:v>
                </c:pt>
                <c:pt idx="58">
                  <c:v>0.11243780758630441</c:v>
                </c:pt>
                <c:pt idx="59">
                  <c:v>0.11547005383792515</c:v>
                </c:pt>
                <c:pt idx="60">
                  <c:v>0.11607620001760187</c:v>
                </c:pt>
                <c:pt idx="61">
                  <c:v>0.11855478373470343</c:v>
                </c:pt>
                <c:pt idx="62">
                  <c:v>0.12321731480058581</c:v>
                </c:pt>
                <c:pt idx="63">
                  <c:v>0.12628180127529592</c:v>
                </c:pt>
                <c:pt idx="64">
                  <c:v>0.12674485010489558</c:v>
                </c:pt>
                <c:pt idx="65">
                  <c:v>0.12916760725701965</c:v>
                </c:pt>
                <c:pt idx="66">
                  <c:v>0.1795045031932811</c:v>
                </c:pt>
                <c:pt idx="67">
                  <c:v>0.18041492916792295</c:v>
                </c:pt>
                <c:pt idx="68">
                  <c:v>0.18834802589857985</c:v>
                </c:pt>
                <c:pt idx="69">
                  <c:v>0.19126511811189179</c:v>
                </c:pt>
                <c:pt idx="70">
                  <c:v>0.1927307726345221</c:v>
                </c:pt>
                <c:pt idx="71">
                  <c:v>0.20954503095993468</c:v>
                </c:pt>
                <c:pt idx="72">
                  <c:v>0.21057949466855774</c:v>
                </c:pt>
                <c:pt idx="73">
                  <c:v>0.21264957089070269</c:v>
                </c:pt>
                <c:pt idx="74">
                  <c:v>0.24465529492192342</c:v>
                </c:pt>
                <c:pt idx="75">
                  <c:v>0.25348970020979117</c:v>
                </c:pt>
                <c:pt idx="76">
                  <c:v>0.26340655122956258</c:v>
                </c:pt>
                <c:pt idx="77">
                  <c:v>0.27048027531119317</c:v>
                </c:pt>
                <c:pt idx="78">
                  <c:v>0.28252203884786981</c:v>
                </c:pt>
                <c:pt idx="79">
                  <c:v>0.28867513459481287</c:v>
                </c:pt>
                <c:pt idx="80">
                  <c:v>0.29544539897650313</c:v>
                </c:pt>
                <c:pt idx="81">
                  <c:v>0.29689722786195405</c:v>
                </c:pt>
                <c:pt idx="82">
                  <c:v>0.31675428338749489</c:v>
                </c:pt>
                <c:pt idx="83">
                  <c:v>0.32990316162183381</c:v>
                </c:pt>
                <c:pt idx="84">
                  <c:v>0.34199020228509303</c:v>
                </c:pt>
                <c:pt idx="85">
                  <c:v>0.34213349285311156</c:v>
                </c:pt>
                <c:pt idx="86">
                  <c:v>0.34945268531428747</c:v>
                </c:pt>
                <c:pt idx="87">
                  <c:v>0.35615596305533065</c:v>
                </c:pt>
                <c:pt idx="88">
                  <c:v>0.35675910652390364</c:v>
                </c:pt>
                <c:pt idx="89">
                  <c:v>0.36143477050960843</c:v>
                </c:pt>
                <c:pt idx="90">
                  <c:v>0.36653042992274332</c:v>
                </c:pt>
                <c:pt idx="91">
                  <c:v>0.38251687369949799</c:v>
                </c:pt>
                <c:pt idx="92">
                  <c:v>0.42115898933711549</c:v>
                </c:pt>
                <c:pt idx="93">
                  <c:v>0.48356238758233866</c:v>
                </c:pt>
                <c:pt idx="94">
                  <c:v>0.50068374206148569</c:v>
                </c:pt>
                <c:pt idx="95">
                  <c:v>0.56076107754703686</c:v>
                </c:pt>
                <c:pt idx="96">
                  <c:v>0.68649043283858446</c:v>
                </c:pt>
                <c:pt idx="97">
                  <c:v>0.84852813742385702</c:v>
                </c:pt>
                <c:pt idx="98">
                  <c:v>0.89828280624756474</c:v>
                </c:pt>
                <c:pt idx="99">
                  <c:v>0.97979589711327131</c:v>
                </c:pt>
                <c:pt idx="100">
                  <c:v>1.0047968348599594</c:v>
                </c:pt>
                <c:pt idx="101">
                  <c:v>1.3879320963327308</c:v>
                </c:pt>
                <c:pt idx="102">
                  <c:v>1.4626006247856018</c:v>
                </c:pt>
                <c:pt idx="103">
                  <c:v>2.5332985933106458</c:v>
                </c:pt>
              </c:numCache>
            </c:numRef>
          </c:xVal>
          <c:yVal>
            <c:numRef>
              <c:f>'Figure 7 Data'!$BN$12:$BN$115</c:f>
              <c:numCache>
                <c:formatCode>General</c:formatCode>
                <c:ptCount val="104"/>
                <c:pt idx="0">
                  <c:v>0</c:v>
                </c:pt>
                <c:pt idx="1">
                  <c:v>6.8027210884353739E-3</c:v>
                </c:pt>
                <c:pt idx="2">
                  <c:v>1.3605442176870748E-2</c:v>
                </c:pt>
                <c:pt idx="3">
                  <c:v>2.0408163265306121E-2</c:v>
                </c:pt>
                <c:pt idx="4">
                  <c:v>2.7210884353741496E-2</c:v>
                </c:pt>
                <c:pt idx="5">
                  <c:v>3.4013605442176874E-2</c:v>
                </c:pt>
                <c:pt idx="6">
                  <c:v>4.0816326530612242E-2</c:v>
                </c:pt>
                <c:pt idx="7">
                  <c:v>4.7619047619047616E-2</c:v>
                </c:pt>
                <c:pt idx="8">
                  <c:v>5.4421768707482991E-2</c:v>
                </c:pt>
                <c:pt idx="9">
                  <c:v>6.1224489795918366E-2</c:v>
                </c:pt>
                <c:pt idx="10">
                  <c:v>6.8027210884353748E-2</c:v>
                </c:pt>
                <c:pt idx="11">
                  <c:v>7.4829931972789115E-2</c:v>
                </c:pt>
                <c:pt idx="12">
                  <c:v>8.1632653061224483E-2</c:v>
                </c:pt>
                <c:pt idx="13">
                  <c:v>8.8435374149659865E-2</c:v>
                </c:pt>
                <c:pt idx="14">
                  <c:v>0.10204081632653061</c:v>
                </c:pt>
                <c:pt idx="15">
                  <c:v>0.11564625850340136</c:v>
                </c:pt>
                <c:pt idx="16">
                  <c:v>0.12244897959183673</c:v>
                </c:pt>
                <c:pt idx="17">
                  <c:v>0.12925170068027211</c:v>
                </c:pt>
                <c:pt idx="18">
                  <c:v>0.1360544217687075</c:v>
                </c:pt>
                <c:pt idx="19">
                  <c:v>0.14965986394557823</c:v>
                </c:pt>
                <c:pt idx="20">
                  <c:v>0.15646258503401361</c:v>
                </c:pt>
                <c:pt idx="21">
                  <c:v>0.16326530612244897</c:v>
                </c:pt>
                <c:pt idx="22">
                  <c:v>0.17006802721088435</c:v>
                </c:pt>
                <c:pt idx="23">
                  <c:v>0.17687074829931973</c:v>
                </c:pt>
                <c:pt idx="24">
                  <c:v>0.19047619047619047</c:v>
                </c:pt>
                <c:pt idx="25">
                  <c:v>0.21088435374149661</c:v>
                </c:pt>
                <c:pt idx="26">
                  <c:v>0.21768707482993196</c:v>
                </c:pt>
                <c:pt idx="27">
                  <c:v>0.23129251700680273</c:v>
                </c:pt>
                <c:pt idx="28">
                  <c:v>0.24489795918367346</c:v>
                </c:pt>
                <c:pt idx="29">
                  <c:v>0.25170068027210885</c:v>
                </c:pt>
                <c:pt idx="30">
                  <c:v>0.25850340136054423</c:v>
                </c:pt>
                <c:pt idx="31">
                  <c:v>0.26530612244897961</c:v>
                </c:pt>
                <c:pt idx="32">
                  <c:v>0.2857142857142857</c:v>
                </c:pt>
                <c:pt idx="33">
                  <c:v>0.29251700680272108</c:v>
                </c:pt>
                <c:pt idx="34">
                  <c:v>0.30612244897959184</c:v>
                </c:pt>
                <c:pt idx="35">
                  <c:v>0.31292517006802723</c:v>
                </c:pt>
                <c:pt idx="36">
                  <c:v>0.31972789115646261</c:v>
                </c:pt>
                <c:pt idx="37">
                  <c:v>0.33333333333333331</c:v>
                </c:pt>
                <c:pt idx="38">
                  <c:v>0.36054421768707484</c:v>
                </c:pt>
                <c:pt idx="39">
                  <c:v>0.36734693877551022</c:v>
                </c:pt>
                <c:pt idx="40">
                  <c:v>0.37414965986394561</c:v>
                </c:pt>
                <c:pt idx="41">
                  <c:v>0.38095238095238093</c:v>
                </c:pt>
                <c:pt idx="42">
                  <c:v>0.40816326530612246</c:v>
                </c:pt>
                <c:pt idx="43">
                  <c:v>0.42176870748299322</c:v>
                </c:pt>
                <c:pt idx="44">
                  <c:v>0.44897959183673469</c:v>
                </c:pt>
                <c:pt idx="45">
                  <c:v>0.45578231292517007</c:v>
                </c:pt>
                <c:pt idx="46">
                  <c:v>0.46258503401360546</c:v>
                </c:pt>
                <c:pt idx="47">
                  <c:v>0.46938775510204084</c:v>
                </c:pt>
                <c:pt idx="48">
                  <c:v>0.47619047619047616</c:v>
                </c:pt>
                <c:pt idx="49">
                  <c:v>0.48299319727891155</c:v>
                </c:pt>
                <c:pt idx="50">
                  <c:v>0.48979591836734693</c:v>
                </c:pt>
                <c:pt idx="51">
                  <c:v>0.50340136054421769</c:v>
                </c:pt>
                <c:pt idx="52">
                  <c:v>0.51020408163265307</c:v>
                </c:pt>
                <c:pt idx="53">
                  <c:v>0.51700680272108845</c:v>
                </c:pt>
                <c:pt idx="54">
                  <c:v>0.53061224489795922</c:v>
                </c:pt>
                <c:pt idx="55">
                  <c:v>0.5374149659863946</c:v>
                </c:pt>
                <c:pt idx="56">
                  <c:v>0.54421768707482998</c:v>
                </c:pt>
                <c:pt idx="57">
                  <c:v>0.55102040816326525</c:v>
                </c:pt>
                <c:pt idx="58">
                  <c:v>0.56462585034013602</c:v>
                </c:pt>
                <c:pt idx="59">
                  <c:v>0.5714285714285714</c:v>
                </c:pt>
                <c:pt idx="60">
                  <c:v>0.58503401360544216</c:v>
                </c:pt>
                <c:pt idx="61">
                  <c:v>0.59183673469387754</c:v>
                </c:pt>
                <c:pt idx="62">
                  <c:v>0.59863945578231292</c:v>
                </c:pt>
                <c:pt idx="63">
                  <c:v>0.60544217687074831</c:v>
                </c:pt>
                <c:pt idx="64">
                  <c:v>0.61224489795918369</c:v>
                </c:pt>
                <c:pt idx="65">
                  <c:v>0.61904761904761907</c:v>
                </c:pt>
                <c:pt idx="66">
                  <c:v>0.62585034013605445</c:v>
                </c:pt>
                <c:pt idx="67">
                  <c:v>0.63265306122448983</c:v>
                </c:pt>
                <c:pt idx="68">
                  <c:v>0.6462585034013606</c:v>
                </c:pt>
                <c:pt idx="69">
                  <c:v>0.65986394557823125</c:v>
                </c:pt>
                <c:pt idx="70">
                  <c:v>0.66666666666666663</c:v>
                </c:pt>
                <c:pt idx="71">
                  <c:v>0.67346938775510201</c:v>
                </c:pt>
                <c:pt idx="72">
                  <c:v>0.68707482993197277</c:v>
                </c:pt>
                <c:pt idx="73">
                  <c:v>0.69387755102040816</c:v>
                </c:pt>
                <c:pt idx="74">
                  <c:v>0.70068027210884354</c:v>
                </c:pt>
                <c:pt idx="75">
                  <c:v>0.70748299319727892</c:v>
                </c:pt>
                <c:pt idx="76">
                  <c:v>0.72789115646258506</c:v>
                </c:pt>
                <c:pt idx="77">
                  <c:v>0.74829931972789121</c:v>
                </c:pt>
                <c:pt idx="78">
                  <c:v>0.76190476190476186</c:v>
                </c:pt>
                <c:pt idx="79">
                  <c:v>0.76870748299319724</c:v>
                </c:pt>
                <c:pt idx="80">
                  <c:v>0.77551020408163263</c:v>
                </c:pt>
                <c:pt idx="81">
                  <c:v>0.78231292517006801</c:v>
                </c:pt>
                <c:pt idx="82">
                  <c:v>0.79591836734693877</c:v>
                </c:pt>
                <c:pt idx="83">
                  <c:v>0.80272108843537415</c:v>
                </c:pt>
                <c:pt idx="84">
                  <c:v>0.80952380952380953</c:v>
                </c:pt>
                <c:pt idx="85">
                  <c:v>0.8231292517006803</c:v>
                </c:pt>
                <c:pt idx="86">
                  <c:v>0.82993197278911568</c:v>
                </c:pt>
                <c:pt idx="87">
                  <c:v>0.83673469387755106</c:v>
                </c:pt>
                <c:pt idx="88">
                  <c:v>0.84353741496598644</c:v>
                </c:pt>
                <c:pt idx="89">
                  <c:v>0.85034013605442171</c:v>
                </c:pt>
                <c:pt idx="90">
                  <c:v>0.87755102040816324</c:v>
                </c:pt>
                <c:pt idx="91">
                  <c:v>0.89795918367346939</c:v>
                </c:pt>
                <c:pt idx="92">
                  <c:v>0.91156462585034015</c:v>
                </c:pt>
                <c:pt idx="93">
                  <c:v>0.91836734693877553</c:v>
                </c:pt>
                <c:pt idx="94">
                  <c:v>0.92517006802721091</c:v>
                </c:pt>
                <c:pt idx="95">
                  <c:v>0.94557823129251706</c:v>
                </c:pt>
                <c:pt idx="96">
                  <c:v>0.95238095238095233</c:v>
                </c:pt>
                <c:pt idx="97">
                  <c:v>0.95918367346938771</c:v>
                </c:pt>
                <c:pt idx="98">
                  <c:v>0.96598639455782309</c:v>
                </c:pt>
                <c:pt idx="99">
                  <c:v>0.97278911564625847</c:v>
                </c:pt>
                <c:pt idx="100">
                  <c:v>0.97959183673469385</c:v>
                </c:pt>
                <c:pt idx="101">
                  <c:v>0.98639455782312924</c:v>
                </c:pt>
                <c:pt idx="102">
                  <c:v>0.99319727891156462</c:v>
                </c:pt>
                <c:pt idx="103">
                  <c:v>1</c:v>
                </c:pt>
              </c:numCache>
            </c:numRef>
          </c:yVal>
          <c:smooth val="0"/>
          <c:extLst>
            <c:ext xmlns:c16="http://schemas.microsoft.com/office/drawing/2014/chart" uri="{C3380CC4-5D6E-409C-BE32-E72D297353CC}">
              <c16:uniqueId val="{00000000-459B-4884-A56A-F521755C8A9B}"/>
            </c:ext>
          </c:extLst>
        </c:ser>
        <c:ser>
          <c:idx val="1"/>
          <c:order val="1"/>
          <c:tx>
            <c:v>Piecewise-linear approximation</c:v>
          </c:tx>
          <c:spPr>
            <a:ln w="12700" cap="rnd">
              <a:solidFill>
                <a:schemeClr val="tx1">
                  <a:lumMod val="65000"/>
                  <a:lumOff val="35000"/>
                </a:schemeClr>
              </a:solidFill>
              <a:prstDash val="dash"/>
              <a:round/>
            </a:ln>
            <a:effectLst/>
          </c:spPr>
          <c:marker>
            <c:symbol val="none"/>
          </c:marker>
          <c:xVal>
            <c:numRef>
              <c:f>'Figure 7 Data'!$BO$12:$BO$115</c:f>
              <c:numCache>
                <c:formatCode>General</c:formatCode>
                <c:ptCount val="104"/>
                <c:pt idx="0">
                  <c:v>6.9489297296079994E-3</c:v>
                </c:pt>
                <c:pt idx="1">
                  <c:v>6.9489297296079994E-3</c:v>
                </c:pt>
                <c:pt idx="2">
                  <c:v>1.3172753748300384E-2</c:v>
                </c:pt>
                <c:pt idx="3">
                  <c:v>1.3897859459215999E-2</c:v>
                </c:pt>
                <c:pt idx="4">
                  <c:v>1.71245798727905E-2</c:v>
                </c:pt>
                <c:pt idx="5">
                  <c:v>1.8034127155411236E-2</c:v>
                </c:pt>
                <c:pt idx="6">
                  <c:v>1.8178400172654527E-2</c:v>
                </c:pt>
                <c:pt idx="7">
                  <c:v>1.8625410012965703E-2</c:v>
                </c:pt>
                <c:pt idx="8">
                  <c:v>1.9015062942107249E-2</c:v>
                </c:pt>
                <c:pt idx="9">
                  <c:v>1.9504721215294556E-2</c:v>
                </c:pt>
                <c:pt idx="10">
                  <c:v>1.9588793289498415E-2</c:v>
                </c:pt>
                <c:pt idx="11">
                  <c:v>1.9932456329665053E-2</c:v>
                </c:pt>
                <c:pt idx="12">
                  <c:v>2.3221330883478671E-2</c:v>
                </c:pt>
                <c:pt idx="13">
                  <c:v>2.5140340664309455E-2</c:v>
                </c:pt>
                <c:pt idx="14">
                  <c:v>2.5247778017575731E-2</c:v>
                </c:pt>
                <c:pt idx="15">
                  <c:v>2.6422093274207165E-2</c:v>
                </c:pt>
                <c:pt idx="16">
                  <c:v>2.6576608439553402E-2</c:v>
                </c:pt>
                <c:pt idx="17">
                  <c:v>3.2812996701542467E-2</c:v>
                </c:pt>
                <c:pt idx="18">
                  <c:v>3.3051636677553689E-2</c:v>
                </c:pt>
                <c:pt idx="19">
                  <c:v>3.5355339059327376E-2</c:v>
                </c:pt>
                <c:pt idx="20">
                  <c:v>3.7250820025931407E-2</c:v>
                </c:pt>
                <c:pt idx="21">
                  <c:v>3.8030125884214498E-2</c:v>
                </c:pt>
                <c:pt idx="22">
                  <c:v>3.8513559687827381E-2</c:v>
                </c:pt>
                <c:pt idx="23">
                  <c:v>3.8677447175860698E-2</c:v>
                </c:pt>
                <c:pt idx="24">
                  <c:v>3.917758657899683E-2</c:v>
                </c:pt>
                <c:pt idx="25">
                  <c:v>4.6611282493985967E-2</c:v>
                </c:pt>
                <c:pt idx="26">
                  <c:v>4.6851546836738478E-2</c:v>
                </c:pt>
                <c:pt idx="27">
                  <c:v>0.05</c:v>
                </c:pt>
                <c:pt idx="28">
                  <c:v>5.2538728822700942E-2</c:v>
                </c:pt>
                <c:pt idx="29">
                  <c:v>5.2844186548414329E-2</c:v>
                </c:pt>
                <c:pt idx="30">
                  <c:v>5.3782249031522275E-2</c:v>
                </c:pt>
                <c:pt idx="31">
                  <c:v>5.6353342978340749E-2</c:v>
                </c:pt>
                <c:pt idx="32">
                  <c:v>5.7284874493659224E-2</c:v>
                </c:pt>
                <c:pt idx="33">
                  <c:v>5.7735026918962574E-2</c:v>
                </c:pt>
                <c:pt idx="34">
                  <c:v>5.7738152491526175E-2</c:v>
                </c:pt>
                <c:pt idx="35">
                  <c:v>5.8553319684838241E-2</c:v>
                </c:pt>
                <c:pt idx="36">
                  <c:v>5.9020779781345858E-2</c:v>
                </c:pt>
                <c:pt idx="37">
                  <c:v>5.9277391867351717E-2</c:v>
                </c:pt>
                <c:pt idx="38">
                  <c:v>6.146889990862596E-2</c:v>
                </c:pt>
                <c:pt idx="39">
                  <c:v>6.6274132772494526E-2</c:v>
                </c:pt>
                <c:pt idx="40">
                  <c:v>6.7455582890124502E-2</c:v>
                </c:pt>
                <c:pt idx="41">
                  <c:v>6.8616693678336629E-2</c:v>
                </c:pt>
                <c:pt idx="42">
                  <c:v>6.872431934890913E-2</c:v>
                </c:pt>
                <c:pt idx="43">
                  <c:v>7.0710678118654752E-2</c:v>
                </c:pt>
                <c:pt idx="44">
                  <c:v>7.6836124885782453E-2</c:v>
                </c:pt>
                <c:pt idx="45">
                  <c:v>7.7027119375654762E-2</c:v>
                </c:pt>
                <c:pt idx="46">
                  <c:v>7.7685470823309941E-2</c:v>
                </c:pt>
                <c:pt idx="47">
                  <c:v>7.9729825318660213E-2</c:v>
                </c:pt>
                <c:pt idx="48">
                  <c:v>9.5974516502575158E-2</c:v>
                </c:pt>
                <c:pt idx="49">
                  <c:v>9.7943966447492078E-2</c:v>
                </c:pt>
                <c:pt idx="50">
                  <c:v>9.922707517824525E-2</c:v>
                </c:pt>
                <c:pt idx="51">
                  <c:v>0.1</c:v>
                </c:pt>
                <c:pt idx="52">
                  <c:v>0.10327955589886445</c:v>
                </c:pt>
                <c:pt idx="53">
                  <c:v>0.10632478544535134</c:v>
                </c:pt>
                <c:pt idx="54">
                  <c:v>0.10785471709665738</c:v>
                </c:pt>
                <c:pt idx="55">
                  <c:v>0.10911327447504572</c:v>
                </c:pt>
                <c:pt idx="56">
                  <c:v>0.11044099373320267</c:v>
                </c:pt>
                <c:pt idx="57">
                  <c:v>0.11214455434258878</c:v>
                </c:pt>
                <c:pt idx="58">
                  <c:v>0.11243780758630441</c:v>
                </c:pt>
                <c:pt idx="59">
                  <c:v>0.11547005383792515</c:v>
                </c:pt>
                <c:pt idx="60">
                  <c:v>0.11607620001760187</c:v>
                </c:pt>
                <c:pt idx="61">
                  <c:v>0.11855478373470343</c:v>
                </c:pt>
                <c:pt idx="62">
                  <c:v>0.12321731480058581</c:v>
                </c:pt>
                <c:pt idx="63">
                  <c:v>0.12628180127529592</c:v>
                </c:pt>
                <c:pt idx="64">
                  <c:v>0.12674485010489558</c:v>
                </c:pt>
                <c:pt idx="65">
                  <c:v>0.12916760725701965</c:v>
                </c:pt>
                <c:pt idx="66">
                  <c:v>0.1795045031932811</c:v>
                </c:pt>
                <c:pt idx="67">
                  <c:v>0.18041492916792295</c:v>
                </c:pt>
                <c:pt idx="68">
                  <c:v>0.18834802589857985</c:v>
                </c:pt>
                <c:pt idx="69">
                  <c:v>0.19126511811189179</c:v>
                </c:pt>
                <c:pt idx="70">
                  <c:v>0.1927307726345221</c:v>
                </c:pt>
                <c:pt idx="71">
                  <c:v>0.20954503095993468</c:v>
                </c:pt>
                <c:pt idx="72">
                  <c:v>0.21057949466855774</c:v>
                </c:pt>
                <c:pt idx="73">
                  <c:v>0.21264957089070269</c:v>
                </c:pt>
                <c:pt idx="74">
                  <c:v>0.24465529492192342</c:v>
                </c:pt>
                <c:pt idx="75">
                  <c:v>0.25348970020979117</c:v>
                </c:pt>
                <c:pt idx="76">
                  <c:v>0.26340655122956258</c:v>
                </c:pt>
                <c:pt idx="77">
                  <c:v>0.27048027531119317</c:v>
                </c:pt>
                <c:pt idx="78">
                  <c:v>0.28252203884786981</c:v>
                </c:pt>
                <c:pt idx="79">
                  <c:v>0.28867513459481287</c:v>
                </c:pt>
                <c:pt idx="80">
                  <c:v>0.29544539897650313</c:v>
                </c:pt>
                <c:pt idx="81">
                  <c:v>0.29689722786195405</c:v>
                </c:pt>
                <c:pt idx="82">
                  <c:v>0.31675428338749489</c:v>
                </c:pt>
                <c:pt idx="83">
                  <c:v>0.32990316162183381</c:v>
                </c:pt>
                <c:pt idx="84">
                  <c:v>0.34199020228509303</c:v>
                </c:pt>
                <c:pt idx="85">
                  <c:v>0.34213349285311156</c:v>
                </c:pt>
                <c:pt idx="86">
                  <c:v>0.34945268531428747</c:v>
                </c:pt>
                <c:pt idx="87">
                  <c:v>0.35615596305533065</c:v>
                </c:pt>
                <c:pt idx="88">
                  <c:v>0.35675910652390364</c:v>
                </c:pt>
                <c:pt idx="89">
                  <c:v>0.36143477050960843</c:v>
                </c:pt>
                <c:pt idx="90">
                  <c:v>0.36653042992274332</c:v>
                </c:pt>
                <c:pt idx="91">
                  <c:v>0.38251687369949799</c:v>
                </c:pt>
                <c:pt idx="92">
                  <c:v>0.42115898933711549</c:v>
                </c:pt>
                <c:pt idx="93">
                  <c:v>0.48356238758233866</c:v>
                </c:pt>
                <c:pt idx="94">
                  <c:v>0.50068374206148569</c:v>
                </c:pt>
                <c:pt idx="95">
                  <c:v>0.56076107754703686</c:v>
                </c:pt>
                <c:pt idx="96">
                  <c:v>0.68649043283858446</c:v>
                </c:pt>
                <c:pt idx="97">
                  <c:v>0.84852813742385702</c:v>
                </c:pt>
                <c:pt idx="98">
                  <c:v>0.89828280624756474</c:v>
                </c:pt>
                <c:pt idx="99">
                  <c:v>0.97979589711327131</c:v>
                </c:pt>
                <c:pt idx="100">
                  <c:v>1.0047968348599594</c:v>
                </c:pt>
                <c:pt idx="101">
                  <c:v>1.3879320963327308</c:v>
                </c:pt>
                <c:pt idx="102">
                  <c:v>1.4626006247856018</c:v>
                </c:pt>
                <c:pt idx="103">
                  <c:v>2.5332985933106458</c:v>
                </c:pt>
              </c:numCache>
            </c:numRef>
          </c:xVal>
          <c:yVal>
            <c:numRef>
              <c:f>'Figure 7 Data'!$BN$12:$BN$115</c:f>
              <c:numCache>
                <c:formatCode>General</c:formatCode>
                <c:ptCount val="104"/>
                <c:pt idx="0">
                  <c:v>0</c:v>
                </c:pt>
                <c:pt idx="1">
                  <c:v>6.8027210884353739E-3</c:v>
                </c:pt>
                <c:pt idx="2">
                  <c:v>1.3605442176870748E-2</c:v>
                </c:pt>
                <c:pt idx="3">
                  <c:v>2.0408163265306121E-2</c:v>
                </c:pt>
                <c:pt idx="4">
                  <c:v>2.7210884353741496E-2</c:v>
                </c:pt>
                <c:pt idx="5">
                  <c:v>3.4013605442176874E-2</c:v>
                </c:pt>
                <c:pt idx="6">
                  <c:v>4.0816326530612242E-2</c:v>
                </c:pt>
                <c:pt idx="7">
                  <c:v>4.7619047619047616E-2</c:v>
                </c:pt>
                <c:pt idx="8">
                  <c:v>5.4421768707482991E-2</c:v>
                </c:pt>
                <c:pt idx="9">
                  <c:v>6.1224489795918366E-2</c:v>
                </c:pt>
                <c:pt idx="10">
                  <c:v>6.8027210884353748E-2</c:v>
                </c:pt>
                <c:pt idx="11">
                  <c:v>7.4829931972789115E-2</c:v>
                </c:pt>
                <c:pt idx="12">
                  <c:v>8.1632653061224483E-2</c:v>
                </c:pt>
                <c:pt idx="13">
                  <c:v>8.8435374149659865E-2</c:v>
                </c:pt>
                <c:pt idx="14">
                  <c:v>0.10204081632653061</c:v>
                </c:pt>
                <c:pt idx="15">
                  <c:v>0.11564625850340136</c:v>
                </c:pt>
                <c:pt idx="16">
                  <c:v>0.12244897959183673</c:v>
                </c:pt>
                <c:pt idx="17">
                  <c:v>0.12925170068027211</c:v>
                </c:pt>
                <c:pt idx="18">
                  <c:v>0.1360544217687075</c:v>
                </c:pt>
                <c:pt idx="19">
                  <c:v>0.14965986394557823</c:v>
                </c:pt>
                <c:pt idx="20">
                  <c:v>0.15646258503401361</c:v>
                </c:pt>
                <c:pt idx="21">
                  <c:v>0.16326530612244897</c:v>
                </c:pt>
                <c:pt idx="22">
                  <c:v>0.17006802721088435</c:v>
                </c:pt>
                <c:pt idx="23">
                  <c:v>0.17687074829931973</c:v>
                </c:pt>
                <c:pt idx="24">
                  <c:v>0.19047619047619047</c:v>
                </c:pt>
                <c:pt idx="25">
                  <c:v>0.21088435374149661</c:v>
                </c:pt>
                <c:pt idx="26">
                  <c:v>0.21768707482993196</c:v>
                </c:pt>
                <c:pt idx="27">
                  <c:v>0.23129251700680273</c:v>
                </c:pt>
                <c:pt idx="28">
                  <c:v>0.24489795918367346</c:v>
                </c:pt>
                <c:pt idx="29">
                  <c:v>0.25170068027210885</c:v>
                </c:pt>
                <c:pt idx="30">
                  <c:v>0.25850340136054423</c:v>
                </c:pt>
                <c:pt idx="31">
                  <c:v>0.26530612244897961</c:v>
                </c:pt>
                <c:pt idx="32">
                  <c:v>0.2857142857142857</c:v>
                </c:pt>
                <c:pt idx="33">
                  <c:v>0.29251700680272108</c:v>
                </c:pt>
                <c:pt idx="34">
                  <c:v>0.30612244897959184</c:v>
                </c:pt>
                <c:pt idx="35">
                  <c:v>0.31292517006802723</c:v>
                </c:pt>
                <c:pt idx="36">
                  <c:v>0.31972789115646261</c:v>
                </c:pt>
                <c:pt idx="37">
                  <c:v>0.33333333333333331</c:v>
                </c:pt>
                <c:pt idx="38">
                  <c:v>0.36054421768707484</c:v>
                </c:pt>
                <c:pt idx="39">
                  <c:v>0.36734693877551022</c:v>
                </c:pt>
                <c:pt idx="40">
                  <c:v>0.37414965986394561</c:v>
                </c:pt>
                <c:pt idx="41">
                  <c:v>0.38095238095238093</c:v>
                </c:pt>
                <c:pt idx="42">
                  <c:v>0.40816326530612246</c:v>
                </c:pt>
                <c:pt idx="43">
                  <c:v>0.42176870748299322</c:v>
                </c:pt>
                <c:pt idx="44">
                  <c:v>0.44897959183673469</c:v>
                </c:pt>
                <c:pt idx="45">
                  <c:v>0.45578231292517007</c:v>
                </c:pt>
                <c:pt idx="46">
                  <c:v>0.46258503401360546</c:v>
                </c:pt>
                <c:pt idx="47">
                  <c:v>0.46938775510204084</c:v>
                </c:pt>
                <c:pt idx="48">
                  <c:v>0.47619047619047616</c:v>
                </c:pt>
                <c:pt idx="49">
                  <c:v>0.48299319727891155</c:v>
                </c:pt>
                <c:pt idx="50">
                  <c:v>0.48979591836734693</c:v>
                </c:pt>
                <c:pt idx="51">
                  <c:v>0.50340136054421769</c:v>
                </c:pt>
                <c:pt idx="52">
                  <c:v>0.51020408163265307</c:v>
                </c:pt>
                <c:pt idx="53">
                  <c:v>0.51700680272108845</c:v>
                </c:pt>
                <c:pt idx="54">
                  <c:v>0.53061224489795922</c:v>
                </c:pt>
                <c:pt idx="55">
                  <c:v>0.5374149659863946</c:v>
                </c:pt>
                <c:pt idx="56">
                  <c:v>0.54421768707482998</c:v>
                </c:pt>
                <c:pt idx="57">
                  <c:v>0.55102040816326525</c:v>
                </c:pt>
                <c:pt idx="58">
                  <c:v>0.56462585034013602</c:v>
                </c:pt>
                <c:pt idx="59">
                  <c:v>0.5714285714285714</c:v>
                </c:pt>
                <c:pt idx="60">
                  <c:v>0.58503401360544216</c:v>
                </c:pt>
                <c:pt idx="61">
                  <c:v>0.59183673469387754</c:v>
                </c:pt>
                <c:pt idx="62">
                  <c:v>0.59863945578231292</c:v>
                </c:pt>
                <c:pt idx="63">
                  <c:v>0.60544217687074831</c:v>
                </c:pt>
                <c:pt idx="64">
                  <c:v>0.61224489795918369</c:v>
                </c:pt>
                <c:pt idx="65">
                  <c:v>0.61904761904761907</c:v>
                </c:pt>
                <c:pt idx="66">
                  <c:v>0.62585034013605445</c:v>
                </c:pt>
                <c:pt idx="67">
                  <c:v>0.63265306122448983</c:v>
                </c:pt>
                <c:pt idx="68">
                  <c:v>0.6462585034013606</c:v>
                </c:pt>
                <c:pt idx="69">
                  <c:v>0.65986394557823125</c:v>
                </c:pt>
                <c:pt idx="70">
                  <c:v>0.66666666666666663</c:v>
                </c:pt>
                <c:pt idx="71">
                  <c:v>0.67346938775510201</c:v>
                </c:pt>
                <c:pt idx="72">
                  <c:v>0.68707482993197277</c:v>
                </c:pt>
                <c:pt idx="73">
                  <c:v>0.69387755102040816</c:v>
                </c:pt>
                <c:pt idx="74">
                  <c:v>0.70068027210884354</c:v>
                </c:pt>
                <c:pt idx="75">
                  <c:v>0.70748299319727892</c:v>
                </c:pt>
                <c:pt idx="76">
                  <c:v>0.72789115646258506</c:v>
                </c:pt>
                <c:pt idx="77">
                  <c:v>0.74829931972789121</c:v>
                </c:pt>
                <c:pt idx="78">
                  <c:v>0.76190476190476186</c:v>
                </c:pt>
                <c:pt idx="79">
                  <c:v>0.76870748299319724</c:v>
                </c:pt>
                <c:pt idx="80">
                  <c:v>0.77551020408163263</c:v>
                </c:pt>
                <c:pt idx="81">
                  <c:v>0.78231292517006801</c:v>
                </c:pt>
                <c:pt idx="82">
                  <c:v>0.79591836734693877</c:v>
                </c:pt>
                <c:pt idx="83">
                  <c:v>0.80272108843537415</c:v>
                </c:pt>
                <c:pt idx="84">
                  <c:v>0.80952380952380953</c:v>
                </c:pt>
                <c:pt idx="85">
                  <c:v>0.8231292517006803</c:v>
                </c:pt>
                <c:pt idx="86">
                  <c:v>0.82993197278911568</c:v>
                </c:pt>
                <c:pt idx="87">
                  <c:v>0.83673469387755106</c:v>
                </c:pt>
                <c:pt idx="88">
                  <c:v>0.84353741496598644</c:v>
                </c:pt>
                <c:pt idx="89">
                  <c:v>0.85034013605442171</c:v>
                </c:pt>
                <c:pt idx="90">
                  <c:v>0.87755102040816324</c:v>
                </c:pt>
                <c:pt idx="91">
                  <c:v>0.89795918367346939</c:v>
                </c:pt>
                <c:pt idx="92">
                  <c:v>0.91156462585034015</c:v>
                </c:pt>
                <c:pt idx="93">
                  <c:v>0.91836734693877553</c:v>
                </c:pt>
                <c:pt idx="94">
                  <c:v>0.92517006802721091</c:v>
                </c:pt>
                <c:pt idx="95">
                  <c:v>0.94557823129251706</c:v>
                </c:pt>
                <c:pt idx="96">
                  <c:v>0.95238095238095233</c:v>
                </c:pt>
                <c:pt idx="97">
                  <c:v>0.95918367346938771</c:v>
                </c:pt>
                <c:pt idx="98">
                  <c:v>0.96598639455782309</c:v>
                </c:pt>
                <c:pt idx="99">
                  <c:v>0.97278911564625847</c:v>
                </c:pt>
                <c:pt idx="100">
                  <c:v>0.97959183673469385</c:v>
                </c:pt>
                <c:pt idx="101">
                  <c:v>0.98639455782312924</c:v>
                </c:pt>
                <c:pt idx="102">
                  <c:v>0.99319727891156462</c:v>
                </c:pt>
                <c:pt idx="103">
                  <c:v>1</c:v>
                </c:pt>
              </c:numCache>
            </c:numRef>
          </c:yVal>
          <c:smooth val="0"/>
          <c:extLst>
            <c:ext xmlns:c16="http://schemas.microsoft.com/office/drawing/2014/chart" uri="{C3380CC4-5D6E-409C-BE32-E72D297353CC}">
              <c16:uniqueId val="{00000001-459B-4884-A56A-F521755C8A9B}"/>
            </c:ext>
          </c:extLst>
        </c:ser>
        <c:ser>
          <c:idx val="2"/>
          <c:order val="2"/>
          <c:tx>
            <c:v>Reproduced in Monte Carlo simulation</c:v>
          </c:tx>
          <c:spPr>
            <a:ln w="19050" cap="rnd">
              <a:noFill/>
              <a:round/>
            </a:ln>
            <a:effectLst/>
          </c:spPr>
          <c:marker>
            <c:symbol val="none"/>
          </c:marker>
          <c:errBars>
            <c:errDir val="x"/>
            <c:errBarType val="both"/>
            <c:errValType val="cust"/>
            <c:noEndCap val="1"/>
            <c:plus>
              <c:numRef>
                <c:f>'Figure 7 Data'!$BU$12:$BU$236</c:f>
                <c:numCache>
                  <c:formatCode>General</c:formatCode>
                  <c:ptCount val="225"/>
                  <c:pt idx="0">
                    <c:v>0</c:v>
                  </c:pt>
                  <c:pt idx="1">
                    <c:v>2.4941527271602551E-3</c:v>
                  </c:pt>
                  <c:pt idx="2">
                    <c:v>1.5130471557406131E-3</c:v>
                  </c:pt>
                  <c:pt idx="3">
                    <c:v>2.9090492984214823E-3</c:v>
                  </c:pt>
                  <c:pt idx="4">
                    <c:v>4.6641467877984663E-4</c:v>
                  </c:pt>
                  <c:pt idx="5">
                    <c:v>6.1178121404861091E-4</c:v>
                  </c:pt>
                  <c:pt idx="6">
                    <c:v>3.3439985793138824E-4</c:v>
                  </c:pt>
                  <c:pt idx="7">
                    <c:v>2.3641754073445986E-4</c:v>
                  </c:pt>
                  <c:pt idx="8">
                    <c:v>3.1435170519253028E-4</c:v>
                  </c:pt>
                  <c:pt idx="9">
                    <c:v>7.595529443415322E-6</c:v>
                  </c:pt>
                  <c:pt idx="10">
                    <c:v>3.6550552732976839E-3</c:v>
                  </c:pt>
                  <c:pt idx="11">
                    <c:v>5.3723472239820824E-4</c:v>
                  </c:pt>
                  <c:pt idx="12">
                    <c:v>1.4217492648077763E-3</c:v>
                  </c:pt>
                  <c:pt idx="13">
                    <c:v>5.7153941954792703E-5</c:v>
                  </c:pt>
                  <c:pt idx="14">
                    <c:v>2.9799546797842566E-4</c:v>
                  </c:pt>
                  <c:pt idx="15">
                    <c:v>6.3186084970802761E-4</c:v>
                  </c:pt>
                  <c:pt idx="16">
                    <c:v>2.665674658667537E-4</c:v>
                  </c:pt>
                  <c:pt idx="17">
                    <c:v>4.3882431171076569E-5</c:v>
                  </c:pt>
                  <c:pt idx="18">
                    <c:v>8.2480383033156635E-5</c:v>
                  </c:pt>
                  <c:pt idx="19">
                    <c:v>6.3277948685341381E-3</c:v>
                  </c:pt>
                  <c:pt idx="20">
                    <c:v>8.559316805489825E-6</c:v>
                  </c:pt>
                  <c:pt idx="21">
                    <c:v>9.6855666184613581E-4</c:v>
                  </c:pt>
                  <c:pt idx="22">
                    <c:v>5.5994305352242979E-4</c:v>
                  </c:pt>
                  <c:pt idx="23">
                    <c:v>1.8822203307745228E-4</c:v>
                  </c:pt>
                  <c:pt idx="24">
                    <c:v>5.0639013535586086E-4</c:v>
                  </c:pt>
                  <c:pt idx="25">
                    <c:v>1.2110412849720281E-4</c:v>
                  </c:pt>
                  <c:pt idx="26">
                    <c:v>2.6028143515695323E-4</c:v>
                  </c:pt>
                  <c:pt idx="27">
                    <c:v>2.6296188514534219E-3</c:v>
                  </c:pt>
                  <c:pt idx="28">
                    <c:v>1.6388360109532984E-4</c:v>
                  </c:pt>
                  <c:pt idx="29">
                    <c:v>3.779278361858221E-4</c:v>
                  </c:pt>
                  <c:pt idx="30">
                    <c:v>1.614737258063409E-5</c:v>
                  </c:pt>
                  <c:pt idx="31">
                    <c:v>4.1782361420342196E-5</c:v>
                  </c:pt>
                  <c:pt idx="32">
                    <c:v>5.9384548268662241E-5</c:v>
                  </c:pt>
                  <c:pt idx="33">
                    <c:v>2.5360957946883589E-4</c:v>
                  </c:pt>
                  <c:pt idx="34">
                    <c:v>2.0350963671290911E-5</c:v>
                  </c:pt>
                  <c:pt idx="35">
                    <c:v>1.9674670163896471E-3</c:v>
                  </c:pt>
                  <c:pt idx="36">
                    <c:v>8.407232584199606E-4</c:v>
                  </c:pt>
                  <c:pt idx="37">
                    <c:v>5.7035315105098683E-5</c:v>
                  </c:pt>
                  <c:pt idx="38">
                    <c:v>4.8605967445493337E-4</c:v>
                  </c:pt>
                  <c:pt idx="39">
                    <c:v>2.3315393705558574E-4</c:v>
                  </c:pt>
                  <c:pt idx="40">
                    <c:v>1.2997425747842892E-3</c:v>
                  </c:pt>
                  <c:pt idx="41">
                    <c:v>1.6117614057270802E-3</c:v>
                  </c:pt>
                  <c:pt idx="42">
                    <c:v>1.3652100148295321E-4</c:v>
                  </c:pt>
                  <c:pt idx="43">
                    <c:v>4.1726143757463141E-5</c:v>
                  </c:pt>
                  <c:pt idx="44">
                    <c:v>1.0612430527699862E-3</c:v>
                  </c:pt>
                  <c:pt idx="45">
                    <c:v>1.2090924958265553E-3</c:v>
                  </c:pt>
                  <c:pt idx="46">
                    <c:v>5.5549790383181696E-4</c:v>
                  </c:pt>
                  <c:pt idx="47">
                    <c:v>1.9649211196679645E-4</c:v>
                  </c:pt>
                  <c:pt idx="48">
                    <c:v>1.0827600258682887E-3</c:v>
                  </c:pt>
                  <c:pt idx="49">
                    <c:v>1.5691146472846043E-3</c:v>
                  </c:pt>
                  <c:pt idx="50">
                    <c:v>1.2467776590747298E-3</c:v>
                  </c:pt>
                  <c:pt idx="51">
                    <c:v>6.5777321728022198E-6</c:v>
                  </c:pt>
                  <c:pt idx="52">
                    <c:v>1.6547140354352535E-4</c:v>
                  </c:pt>
                  <c:pt idx="53">
                    <c:v>2.3906795903395894E-5</c:v>
                  </c:pt>
                  <c:pt idx="54">
                    <c:v>2.1569279487194948E-4</c:v>
                  </c:pt>
                  <c:pt idx="55">
                    <c:v>4.4719060517489639E-4</c:v>
                  </c:pt>
                  <c:pt idx="56">
                    <c:v>9.4421289276072629E-5</c:v>
                  </c:pt>
                  <c:pt idx="57">
                    <c:v>1.2437681903074704E-3</c:v>
                  </c:pt>
                  <c:pt idx="58">
                    <c:v>2.1049463500127791E-3</c:v>
                  </c:pt>
                  <c:pt idx="59">
                    <c:v>1.3738388396008355E-4</c:v>
                  </c:pt>
                  <c:pt idx="60">
                    <c:v>3.6508453423123033E-5</c:v>
                  </c:pt>
                  <c:pt idx="61">
                    <c:v>1.4130230466829347E-4</c:v>
                  </c:pt>
                  <c:pt idx="62">
                    <c:v>1.8039065382342845E-5</c:v>
                  </c:pt>
                  <c:pt idx="63">
                    <c:v>9.4714170542770093E-6</c:v>
                  </c:pt>
                  <c:pt idx="64">
                    <c:v>1.8790857607094841E-4</c:v>
                  </c:pt>
                  <c:pt idx="65">
                    <c:v>2.0777938808270308E-4</c:v>
                  </c:pt>
                  <c:pt idx="66">
                    <c:v>6.0938322747457196E-5</c:v>
                  </c:pt>
                  <c:pt idx="67">
                    <c:v>7.3225458361442231E-7</c:v>
                  </c:pt>
                  <c:pt idx="68">
                    <c:v>1.3492301626727432E-4</c:v>
                  </c:pt>
                  <c:pt idx="69">
                    <c:v>8.117257356088578E-4</c:v>
                  </c:pt>
                  <c:pt idx="70">
                    <c:v>1.1794371575653273E-4</c:v>
                  </c:pt>
                  <c:pt idx="71">
                    <c:v>1.2987348901212503E-5</c:v>
                  </c:pt>
                  <c:pt idx="72">
                    <c:v>1.6551276433249273E-4</c:v>
                  </c:pt>
                  <c:pt idx="73">
                    <c:v>3.9019981472578069E-5</c:v>
                  </c:pt>
                  <c:pt idx="74">
                    <c:v>3.9493505676703455E-5</c:v>
                  </c:pt>
                  <c:pt idx="75">
                    <c:v>1.0624278597021197E-5</c:v>
                  </c:pt>
                  <c:pt idx="76">
                    <c:v>5.4093280450452641E-5</c:v>
                  </c:pt>
                  <c:pt idx="77">
                    <c:v>3.6781535930459353E-5</c:v>
                  </c:pt>
                  <c:pt idx="78">
                    <c:v>6.4547491913632959E-5</c:v>
                  </c:pt>
                  <c:pt idx="79">
                    <c:v>2.2378471149567258E-4</c:v>
                  </c:pt>
                  <c:pt idx="80">
                    <c:v>2.0945787686858092E-4</c:v>
                  </c:pt>
                  <c:pt idx="81">
                    <c:v>1.2496011013200803E-4</c:v>
                  </c:pt>
                  <c:pt idx="82">
                    <c:v>6.1515129555819725E-4</c:v>
                  </c:pt>
                  <c:pt idx="83">
                    <c:v>4.9831291442126863E-4</c:v>
                  </c:pt>
                  <c:pt idx="84">
                    <c:v>1.8742773048178313E-4</c:v>
                  </c:pt>
                  <c:pt idx="85">
                    <c:v>4.4354206704144417E-3</c:v>
                  </c:pt>
                  <c:pt idx="86">
                    <c:v>3.0168377921224732E-4</c:v>
                  </c:pt>
                  <c:pt idx="87">
                    <c:v>1.1236657543459427E-3</c:v>
                  </c:pt>
                  <c:pt idx="88">
                    <c:v>1.4705238470143212E-4</c:v>
                  </c:pt>
                  <c:pt idx="89">
                    <c:v>1.5473959005749688E-3</c:v>
                  </c:pt>
                  <c:pt idx="90">
                    <c:v>1.1334573081514532E-5</c:v>
                  </c:pt>
                  <c:pt idx="91">
                    <c:v>9.1957489827682037E-6</c:v>
                  </c:pt>
                  <c:pt idx="92">
                    <c:v>6.0985284631998038E-6</c:v>
                  </c:pt>
                  <c:pt idx="93">
                    <c:v>1.0670000479356956E-5</c:v>
                  </c:pt>
                  <c:pt idx="94">
                    <c:v>1.8265015412743946E-5</c:v>
                  </c:pt>
                  <c:pt idx="95">
                    <c:v>5.0403675762172861E-6</c:v>
                  </c:pt>
                  <c:pt idx="96">
                    <c:v>6.4599328386261146E-6</c:v>
                  </c:pt>
                  <c:pt idx="97">
                    <c:v>1.151724067519469E-3</c:v>
                  </c:pt>
                  <c:pt idx="98">
                    <c:v>2.8287683105268635E-5</c:v>
                  </c:pt>
                  <c:pt idx="99">
                    <c:v>6.1123698961119965E-4</c:v>
                  </c:pt>
                  <c:pt idx="100">
                    <c:v>3.8480338342183895E-4</c:v>
                  </c:pt>
                  <c:pt idx="101">
                    <c:v>6.1013394124925791E-6</c:v>
                  </c:pt>
                  <c:pt idx="102">
                    <c:v>4.0139495177558826E-4</c:v>
                  </c:pt>
                  <c:pt idx="103">
                    <c:v>5.9385593434435613E-6</c:v>
                  </c:pt>
                  <c:pt idx="104">
                    <c:v>1.323924275290711E-3</c:v>
                  </c:pt>
                  <c:pt idx="105">
                    <c:v>4.5760934320886182E-4</c:v>
                  </c:pt>
                  <c:pt idx="106">
                    <c:v>8.8395456605827594E-7</c:v>
                  </c:pt>
                  <c:pt idx="107">
                    <c:v>1.2271984452627144E-3</c:v>
                  </c:pt>
                  <c:pt idx="108">
                    <c:v>5.4582276878087366E-5</c:v>
                  </c:pt>
                  <c:pt idx="109">
                    <c:v>4.5485824586488643E-4</c:v>
                  </c:pt>
                  <c:pt idx="110">
                    <c:v>1.9670446087115406E-3</c:v>
                  </c:pt>
                  <c:pt idx="111">
                    <c:v>2.0935107243197359E-4</c:v>
                  </c:pt>
                  <c:pt idx="112">
                    <c:v>2.6661155820173477E-5</c:v>
                  </c:pt>
                  <c:pt idx="113">
                    <c:v>1.0208560041436443E-3</c:v>
                  </c:pt>
                  <c:pt idx="114">
                    <c:v>1.01469769031165E-5</c:v>
                  </c:pt>
                  <c:pt idx="115">
                    <c:v>3.5507713842213018E-4</c:v>
                  </c:pt>
                  <c:pt idx="116">
                    <c:v>1.2965976610902763E-3</c:v>
                  </c:pt>
                  <c:pt idx="117">
                    <c:v>4.9296703866218983E-3</c:v>
                  </c:pt>
                  <c:pt idx="118">
                    <c:v>5.7579155480595862E-3</c:v>
                  </c:pt>
                  <c:pt idx="119">
                    <c:v>7.065535172374765E-3</c:v>
                  </c:pt>
                  <c:pt idx="120">
                    <c:v>1.0438988369979585E-3</c:v>
                  </c:pt>
                  <c:pt idx="121">
                    <c:v>1.1974398227784788E-4</c:v>
                  </c:pt>
                  <c:pt idx="122">
                    <c:v>3.7013354459404513E-4</c:v>
                  </c:pt>
                  <c:pt idx="123">
                    <c:v>4.3320864883206189E-5</c:v>
                  </c:pt>
                  <c:pt idx="124">
                    <c:v>7.4321335379198827E-4</c:v>
                  </c:pt>
                  <c:pt idx="125">
                    <c:v>2.7238956498559785E-5</c:v>
                  </c:pt>
                  <c:pt idx="126">
                    <c:v>2.5026633069899495E-4</c:v>
                  </c:pt>
                  <c:pt idx="127">
                    <c:v>1.2965848559644277E-3</c:v>
                  </c:pt>
                  <c:pt idx="128">
                    <c:v>1.1532709608370884E-4</c:v>
                  </c:pt>
                  <c:pt idx="129">
                    <c:v>1.1136906296333321E-3</c:v>
                  </c:pt>
                  <c:pt idx="130">
                    <c:v>3.1664041350000921E-3</c:v>
                  </c:pt>
                  <c:pt idx="131">
                    <c:v>9.5907131547309787E-4</c:v>
                  </c:pt>
                  <c:pt idx="132">
                    <c:v>1.8876328423358957E-5</c:v>
                  </c:pt>
                  <c:pt idx="133">
                    <c:v>4.67166587424378E-5</c:v>
                  </c:pt>
                  <c:pt idx="134">
                    <c:v>6.3937020372689668E-5</c:v>
                  </c:pt>
                  <c:pt idx="135">
                    <c:v>7.8068186444721355E-4</c:v>
                  </c:pt>
                  <c:pt idx="136">
                    <c:v>8.9091844389396768E-4</c:v>
                  </c:pt>
                  <c:pt idx="137">
                    <c:v>1.2018988333471065E-3</c:v>
                  </c:pt>
                  <c:pt idx="138">
                    <c:v>7.6910797925350272E-5</c:v>
                  </c:pt>
                  <c:pt idx="139">
                    <c:v>1.769344551551949E-4</c:v>
                  </c:pt>
                  <c:pt idx="140">
                    <c:v>5.6343951301021655E-4</c:v>
                  </c:pt>
                  <c:pt idx="141">
                    <c:v>1.0164001367903991E-3</c:v>
                  </c:pt>
                  <c:pt idx="142">
                    <c:v>3.00086305587699E-4</c:v>
                  </c:pt>
                  <c:pt idx="143">
                    <c:v>2.0253908278368427E-4</c:v>
                  </c:pt>
                  <c:pt idx="144">
                    <c:v>1.5424963584691198E-4</c:v>
                  </c:pt>
                  <c:pt idx="145">
                    <c:v>1.9240431894357313E-5</c:v>
                  </c:pt>
                  <c:pt idx="146">
                    <c:v>9.0405360217385433E-5</c:v>
                  </c:pt>
                  <c:pt idx="147">
                    <c:v>1.1538762066337638E-4</c:v>
                  </c:pt>
                  <c:pt idx="148">
                    <c:v>1.5722252084963972E-4</c:v>
                  </c:pt>
                  <c:pt idx="149">
                    <c:v>3.2621171103401486E-3</c:v>
                  </c:pt>
                  <c:pt idx="150">
                    <c:v>1.4288538939377649E-4</c:v>
                  </c:pt>
                  <c:pt idx="151">
                    <c:v>1.9524998260118664E-3</c:v>
                  </c:pt>
                  <c:pt idx="152">
                    <c:v>3.1850919147563828E-3</c:v>
                  </c:pt>
                  <c:pt idx="153">
                    <c:v>4.7994712298621289E-4</c:v>
                  </c:pt>
                  <c:pt idx="154">
                    <c:v>1.910145728773599E-4</c:v>
                  </c:pt>
                  <c:pt idx="155">
                    <c:v>2.9095693130390538E-3</c:v>
                  </c:pt>
                  <c:pt idx="156">
                    <c:v>1.7209774428510044E-3</c:v>
                  </c:pt>
                  <c:pt idx="157">
                    <c:v>1.8843090468306789E-4</c:v>
                  </c:pt>
                  <c:pt idx="158">
                    <c:v>7.1080412461926867E-5</c:v>
                  </c:pt>
                  <c:pt idx="159">
                    <c:v>5.2345725340047222E-5</c:v>
                  </c:pt>
                  <c:pt idx="160">
                    <c:v>8.6888328055825803E-4</c:v>
                  </c:pt>
                  <c:pt idx="161">
                    <c:v>3.765731981887066E-4</c:v>
                  </c:pt>
                  <c:pt idx="162">
                    <c:v>2.3973270425541704E-2</c:v>
                  </c:pt>
                  <c:pt idx="163">
                    <c:v>4.9167253263643074E-3</c:v>
                  </c:pt>
                  <c:pt idx="164">
                    <c:v>2.2279070858225475E-2</c:v>
                  </c:pt>
                  <c:pt idx="165">
                    <c:v>5.6822128386191384E-4</c:v>
                  </c:pt>
                  <c:pt idx="166">
                    <c:v>2.4667995753474559E-4</c:v>
                  </c:pt>
                  <c:pt idx="167">
                    <c:v>1.1926123965411151E-4</c:v>
                  </c:pt>
                  <c:pt idx="168">
                    <c:v>3.8087850517147248E-3</c:v>
                  </c:pt>
                  <c:pt idx="169">
                    <c:v>8.7962904491531435E-4</c:v>
                  </c:pt>
                  <c:pt idx="170">
                    <c:v>3.7524140547824936E-3</c:v>
                  </c:pt>
                  <c:pt idx="171">
                    <c:v>4.7671366684212679E-4</c:v>
                  </c:pt>
                  <c:pt idx="172">
                    <c:v>3.0251959367647019E-4</c:v>
                  </c:pt>
                  <c:pt idx="173">
                    <c:v>3.3674841499992114E-5</c:v>
                  </c:pt>
                  <c:pt idx="174">
                    <c:v>2.8946047133462938E-4</c:v>
                  </c:pt>
                  <c:pt idx="175">
                    <c:v>9.8671844822950661E-4</c:v>
                  </c:pt>
                  <c:pt idx="176">
                    <c:v>1.2069562141323043E-4</c:v>
                  </c:pt>
                  <c:pt idx="177">
                    <c:v>1.2388529163739892E-4</c:v>
                  </c:pt>
                  <c:pt idx="178">
                    <c:v>1.4330206184453298E-3</c:v>
                  </c:pt>
                  <c:pt idx="179">
                    <c:v>6.8681181754665366E-3</c:v>
                  </c:pt>
                  <c:pt idx="180">
                    <c:v>1.0398269164696605E-2</c:v>
                  </c:pt>
                  <c:pt idx="181">
                    <c:v>2.369351374285622E-4</c:v>
                  </c:pt>
                  <c:pt idx="182">
                    <c:v>3.1715697675091525E-4</c:v>
                  </c:pt>
                  <c:pt idx="183">
                    <c:v>2.0843801556222341E-4</c:v>
                  </c:pt>
                  <c:pt idx="184">
                    <c:v>7.8631449013710775E-5</c:v>
                  </c:pt>
                  <c:pt idx="185">
                    <c:v>4.6915396249097574E-5</c:v>
                  </c:pt>
                  <c:pt idx="186">
                    <c:v>3.3105689364321123E-6</c:v>
                  </c:pt>
                  <c:pt idx="187">
                    <c:v>4.5653711979218303E-4</c:v>
                  </c:pt>
                  <c:pt idx="188">
                    <c:v>1.322416163400425E-3</c:v>
                  </c:pt>
                  <c:pt idx="189">
                    <c:v>8.6756790241643844E-3</c:v>
                  </c:pt>
                  <c:pt idx="190">
                    <c:v>3.6427374703568743E-2</c:v>
                  </c:pt>
                  <c:pt idx="191">
                    <c:v>7.0153599867526228E-3</c:v>
                  </c:pt>
                  <c:pt idx="192">
                    <c:v>1.6390278000125602E-2</c:v>
                  </c:pt>
                  <c:pt idx="193">
                    <c:v>3.0645284515437021E-3</c:v>
                  </c:pt>
                  <c:pt idx="194">
                    <c:v>6.1183950897436556E-5</c:v>
                  </c:pt>
                  <c:pt idx="195">
                    <c:v>7.4228180893005091E-3</c:v>
                  </c:pt>
                  <c:pt idx="196">
                    <c:v>6.0220172882374801E-5</c:v>
                  </c:pt>
                  <c:pt idx="197">
                    <c:v>1.2785657852056875E-3</c:v>
                  </c:pt>
                  <c:pt idx="198">
                    <c:v>2.3962166757496295E-3</c:v>
                  </c:pt>
                  <c:pt idx="199">
                    <c:v>1.5860395071830569E-3</c:v>
                  </c:pt>
                  <c:pt idx="200">
                    <c:v>2.3230538430550896E-3</c:v>
                  </c:pt>
                  <c:pt idx="201">
                    <c:v>7.269447882218838E-5</c:v>
                  </c:pt>
                  <c:pt idx="202">
                    <c:v>2.1892308209863098E-2</c:v>
                  </c:pt>
                  <c:pt idx="203">
                    <c:v>5.52892976418079E-3</c:v>
                  </c:pt>
                  <c:pt idx="204">
                    <c:v>8.306294115229651E-3</c:v>
                  </c:pt>
                  <c:pt idx="205">
                    <c:v>1.1194221041903596E-3</c:v>
                  </c:pt>
                  <c:pt idx="206">
                    <c:v>6.1893509944144776E-3</c:v>
                  </c:pt>
                  <c:pt idx="207">
                    <c:v>5.4547209319744105E-5</c:v>
                  </c:pt>
                  <c:pt idx="208">
                    <c:v>1.1526809494642187E-2</c:v>
                  </c:pt>
                  <c:pt idx="209">
                    <c:v>2.7824089673984531E-3</c:v>
                  </c:pt>
                  <c:pt idx="210">
                    <c:v>1.2773708703006648E-4</c:v>
                  </c:pt>
                  <c:pt idx="211">
                    <c:v>5.3663501135731151E-4</c:v>
                  </c:pt>
                  <c:pt idx="212">
                    <c:v>4.3647575360143964E-3</c:v>
                  </c:pt>
                  <c:pt idx="213">
                    <c:v>3.9484085196631602E-3</c:v>
                  </c:pt>
                  <c:pt idx="214">
                    <c:v>5.0484844152048902E-4</c:v>
                  </c:pt>
                  <c:pt idx="215">
                    <c:v>2.8488074101712335E-2</c:v>
                  </c:pt>
                  <c:pt idx="216">
                    <c:v>1.3817943200041649E-2</c:v>
                  </c:pt>
                  <c:pt idx="217">
                    <c:v>1.069575403942713E-2</c:v>
                  </c:pt>
                  <c:pt idx="218">
                    <c:v>0.10727764043384924</c:v>
                  </c:pt>
                  <c:pt idx="219">
                    <c:v>4.3852392092483039E-2</c:v>
                  </c:pt>
                  <c:pt idx="220">
                    <c:v>7.0564348146611056E-2</c:v>
                  </c:pt>
                  <c:pt idx="221">
                    <c:v>1.661155831323502E-2</c:v>
                  </c:pt>
                  <c:pt idx="222">
                    <c:v>0.27306242851900486</c:v>
                  </c:pt>
                  <c:pt idx="223">
                    <c:v>6.2464112174506981E-2</c:v>
                  </c:pt>
                </c:numCache>
              </c:numRef>
            </c:plus>
            <c:minus>
              <c:numLit>
                <c:formatCode>General</c:formatCode>
                <c:ptCount val="1"/>
                <c:pt idx="0">
                  <c:v>0</c:v>
                </c:pt>
              </c:numLit>
            </c:minus>
            <c:spPr>
              <a:noFill/>
              <a:ln w="9525" cap="flat" cmpd="sng" algn="ctr">
                <a:solidFill>
                  <a:schemeClr val="tx1">
                    <a:lumMod val="50000"/>
                    <a:lumOff val="50000"/>
                  </a:schemeClr>
                </a:solidFill>
                <a:prstDash val="sysDash"/>
                <a:round/>
              </a:ln>
              <a:effectLst/>
            </c:spPr>
          </c:errBars>
          <c:errBars>
            <c:errDir val="y"/>
            <c:errBarType val="both"/>
            <c:errValType val="cust"/>
            <c:noEndCap val="1"/>
            <c:plus>
              <c:numLit>
                <c:formatCode>General</c:formatCode>
                <c:ptCount val="1"/>
                <c:pt idx="0">
                  <c:v>0</c:v>
                </c:pt>
              </c:numLit>
            </c:plus>
            <c:minus>
              <c:numRef>
                <c:f>'Figure 7 Data'!$BV$12:$BV$236</c:f>
                <c:numCache>
                  <c:formatCode>General</c:formatCode>
                  <c:ptCount val="225"/>
                  <c:pt idx="1">
                    <c:v>4.464285714285714E-3</c:v>
                  </c:pt>
                  <c:pt idx="2">
                    <c:v>4.464285714285714E-3</c:v>
                  </c:pt>
                  <c:pt idx="3">
                    <c:v>4.464285714285714E-3</c:v>
                  </c:pt>
                  <c:pt idx="4">
                    <c:v>4.464285714285714E-3</c:v>
                  </c:pt>
                  <c:pt idx="5">
                    <c:v>4.4642857142857158E-3</c:v>
                  </c:pt>
                  <c:pt idx="6">
                    <c:v>4.4642857142857123E-3</c:v>
                  </c:pt>
                  <c:pt idx="7">
                    <c:v>4.4642857142857158E-3</c:v>
                  </c:pt>
                  <c:pt idx="8">
                    <c:v>4.4642857142857123E-3</c:v>
                  </c:pt>
                  <c:pt idx="9">
                    <c:v>4.4642857142857192E-3</c:v>
                  </c:pt>
                  <c:pt idx="10">
                    <c:v>4.4642857142857123E-3</c:v>
                  </c:pt>
                  <c:pt idx="11">
                    <c:v>4.4642857142857123E-3</c:v>
                  </c:pt>
                  <c:pt idx="12">
                    <c:v>4.4642857142857123E-3</c:v>
                  </c:pt>
                  <c:pt idx="13">
                    <c:v>4.4642857142857192E-3</c:v>
                  </c:pt>
                  <c:pt idx="14">
                    <c:v>4.4642857142857123E-3</c:v>
                  </c:pt>
                  <c:pt idx="15">
                    <c:v>4.4642857142857123E-3</c:v>
                  </c:pt>
                  <c:pt idx="16">
                    <c:v>4.4642857142857123E-3</c:v>
                  </c:pt>
                  <c:pt idx="17">
                    <c:v>4.4642857142857123E-3</c:v>
                  </c:pt>
                  <c:pt idx="18">
                    <c:v>4.4642857142857262E-3</c:v>
                  </c:pt>
                  <c:pt idx="19">
                    <c:v>4.4642857142857123E-3</c:v>
                  </c:pt>
                  <c:pt idx="20">
                    <c:v>4.4642857142857123E-3</c:v>
                  </c:pt>
                  <c:pt idx="21">
                    <c:v>4.4642857142857123E-3</c:v>
                  </c:pt>
                  <c:pt idx="22">
                    <c:v>4.4642857142857123E-3</c:v>
                  </c:pt>
                  <c:pt idx="23">
                    <c:v>4.4642857142857123E-3</c:v>
                  </c:pt>
                  <c:pt idx="24">
                    <c:v>4.4642857142857123E-3</c:v>
                  </c:pt>
                  <c:pt idx="25">
                    <c:v>4.4642857142857262E-3</c:v>
                  </c:pt>
                  <c:pt idx="26">
                    <c:v>4.4642857142857123E-3</c:v>
                  </c:pt>
                  <c:pt idx="27">
                    <c:v>4.4642857142857123E-3</c:v>
                  </c:pt>
                  <c:pt idx="28">
                    <c:v>4.4642857142857123E-3</c:v>
                  </c:pt>
                  <c:pt idx="29">
                    <c:v>4.4642857142857262E-3</c:v>
                  </c:pt>
                  <c:pt idx="30">
                    <c:v>4.4642857142856984E-3</c:v>
                  </c:pt>
                  <c:pt idx="31">
                    <c:v>4.4642857142857262E-3</c:v>
                  </c:pt>
                  <c:pt idx="32">
                    <c:v>4.4642857142856984E-3</c:v>
                  </c:pt>
                  <c:pt idx="33">
                    <c:v>4.4642857142857262E-3</c:v>
                  </c:pt>
                  <c:pt idx="34">
                    <c:v>4.4642857142856984E-3</c:v>
                  </c:pt>
                  <c:pt idx="35">
                    <c:v>4.4642857142857262E-3</c:v>
                  </c:pt>
                  <c:pt idx="36">
                    <c:v>4.4642857142857262E-3</c:v>
                  </c:pt>
                  <c:pt idx="37">
                    <c:v>4.4642857142856984E-3</c:v>
                  </c:pt>
                  <c:pt idx="38">
                    <c:v>4.4642857142857262E-3</c:v>
                  </c:pt>
                  <c:pt idx="39">
                    <c:v>4.4642857142856984E-3</c:v>
                  </c:pt>
                  <c:pt idx="40">
                    <c:v>4.4642857142857262E-3</c:v>
                  </c:pt>
                  <c:pt idx="41">
                    <c:v>4.4642857142856984E-3</c:v>
                  </c:pt>
                  <c:pt idx="42">
                    <c:v>4.4642857142857262E-3</c:v>
                  </c:pt>
                  <c:pt idx="43">
                    <c:v>4.4642857142857262E-3</c:v>
                  </c:pt>
                  <c:pt idx="44">
                    <c:v>4.4642857142856984E-3</c:v>
                  </c:pt>
                  <c:pt idx="45">
                    <c:v>4.4642857142857262E-3</c:v>
                  </c:pt>
                  <c:pt idx="46">
                    <c:v>4.4642857142856984E-3</c:v>
                  </c:pt>
                  <c:pt idx="47">
                    <c:v>4.4642857142857262E-3</c:v>
                  </c:pt>
                  <c:pt idx="48">
                    <c:v>4.4642857142856984E-3</c:v>
                  </c:pt>
                  <c:pt idx="49">
                    <c:v>4.4642857142857262E-3</c:v>
                  </c:pt>
                  <c:pt idx="50">
                    <c:v>4.4642857142857262E-3</c:v>
                  </c:pt>
                  <c:pt idx="51">
                    <c:v>4.4642857142856984E-3</c:v>
                  </c:pt>
                  <c:pt idx="52">
                    <c:v>4.4642857142857262E-3</c:v>
                  </c:pt>
                  <c:pt idx="53">
                    <c:v>4.4642857142856984E-3</c:v>
                  </c:pt>
                  <c:pt idx="54">
                    <c:v>4.4642857142857262E-3</c:v>
                  </c:pt>
                  <c:pt idx="55">
                    <c:v>4.4642857142856984E-3</c:v>
                  </c:pt>
                  <c:pt idx="56">
                    <c:v>4.4642857142857262E-3</c:v>
                  </c:pt>
                  <c:pt idx="57">
                    <c:v>4.4642857142856984E-3</c:v>
                  </c:pt>
                  <c:pt idx="58">
                    <c:v>4.4642857142857539E-3</c:v>
                  </c:pt>
                  <c:pt idx="59">
                    <c:v>4.4642857142856984E-3</c:v>
                  </c:pt>
                  <c:pt idx="60">
                    <c:v>4.4642857142856984E-3</c:v>
                  </c:pt>
                  <c:pt idx="61">
                    <c:v>4.4642857142856984E-3</c:v>
                  </c:pt>
                  <c:pt idx="62">
                    <c:v>4.4642857142857539E-3</c:v>
                  </c:pt>
                  <c:pt idx="63">
                    <c:v>4.4642857142856984E-3</c:v>
                  </c:pt>
                  <c:pt idx="64">
                    <c:v>4.4642857142856984E-3</c:v>
                  </c:pt>
                  <c:pt idx="65">
                    <c:v>4.4642857142857539E-3</c:v>
                  </c:pt>
                  <c:pt idx="66">
                    <c:v>4.4642857142856984E-3</c:v>
                  </c:pt>
                  <c:pt idx="67">
                    <c:v>4.4642857142856984E-3</c:v>
                  </c:pt>
                  <c:pt idx="68">
                    <c:v>4.4642857142856984E-3</c:v>
                  </c:pt>
                  <c:pt idx="69">
                    <c:v>4.4642857142857539E-3</c:v>
                  </c:pt>
                  <c:pt idx="70">
                    <c:v>4.4642857142856984E-3</c:v>
                  </c:pt>
                  <c:pt idx="71">
                    <c:v>4.4642857142856984E-3</c:v>
                  </c:pt>
                  <c:pt idx="72">
                    <c:v>4.4642857142857539E-3</c:v>
                  </c:pt>
                  <c:pt idx="73">
                    <c:v>4.4642857142856984E-3</c:v>
                  </c:pt>
                  <c:pt idx="74">
                    <c:v>4.4642857142856984E-3</c:v>
                  </c:pt>
                  <c:pt idx="75">
                    <c:v>4.4642857142856984E-3</c:v>
                  </c:pt>
                  <c:pt idx="76">
                    <c:v>4.4642857142857539E-3</c:v>
                  </c:pt>
                  <c:pt idx="77">
                    <c:v>4.4642857142856984E-3</c:v>
                  </c:pt>
                  <c:pt idx="78">
                    <c:v>4.4642857142856984E-3</c:v>
                  </c:pt>
                  <c:pt idx="79">
                    <c:v>4.4642857142857539E-3</c:v>
                  </c:pt>
                  <c:pt idx="80">
                    <c:v>4.4642857142856984E-3</c:v>
                  </c:pt>
                  <c:pt idx="81">
                    <c:v>4.4642857142856984E-3</c:v>
                  </c:pt>
                  <c:pt idx="82">
                    <c:v>4.4642857142856984E-3</c:v>
                  </c:pt>
                  <c:pt idx="83">
                    <c:v>4.4642857142857539E-3</c:v>
                  </c:pt>
                  <c:pt idx="84">
                    <c:v>4.4642857142856984E-3</c:v>
                  </c:pt>
                  <c:pt idx="85">
                    <c:v>4.4642857142856984E-3</c:v>
                  </c:pt>
                  <c:pt idx="86">
                    <c:v>4.4642857142857539E-3</c:v>
                  </c:pt>
                  <c:pt idx="87">
                    <c:v>4.4642857142856984E-3</c:v>
                  </c:pt>
                  <c:pt idx="88">
                    <c:v>4.4642857142856984E-3</c:v>
                  </c:pt>
                  <c:pt idx="89">
                    <c:v>4.4642857142856984E-3</c:v>
                  </c:pt>
                  <c:pt idx="90">
                    <c:v>4.4642857142857539E-3</c:v>
                  </c:pt>
                  <c:pt idx="91">
                    <c:v>4.4642857142856984E-3</c:v>
                  </c:pt>
                  <c:pt idx="92">
                    <c:v>4.4642857142856984E-3</c:v>
                  </c:pt>
                  <c:pt idx="93">
                    <c:v>4.4642857142857539E-3</c:v>
                  </c:pt>
                  <c:pt idx="94">
                    <c:v>4.4642857142856984E-3</c:v>
                  </c:pt>
                  <c:pt idx="95">
                    <c:v>4.4642857142856984E-3</c:v>
                  </c:pt>
                  <c:pt idx="96">
                    <c:v>4.4642857142856984E-3</c:v>
                  </c:pt>
                  <c:pt idx="97">
                    <c:v>4.4642857142857539E-3</c:v>
                  </c:pt>
                  <c:pt idx="98">
                    <c:v>4.4642857142856984E-3</c:v>
                  </c:pt>
                  <c:pt idx="99">
                    <c:v>4.4642857142856984E-3</c:v>
                  </c:pt>
                  <c:pt idx="100">
                    <c:v>4.4642857142857539E-3</c:v>
                  </c:pt>
                  <c:pt idx="101">
                    <c:v>4.4642857142856984E-3</c:v>
                  </c:pt>
                  <c:pt idx="102">
                    <c:v>4.4642857142856984E-3</c:v>
                  </c:pt>
                  <c:pt idx="103">
                    <c:v>4.4642857142856984E-3</c:v>
                  </c:pt>
                  <c:pt idx="104">
                    <c:v>4.4642857142857539E-3</c:v>
                  </c:pt>
                  <c:pt idx="105">
                    <c:v>4.4642857142856984E-3</c:v>
                  </c:pt>
                  <c:pt idx="106">
                    <c:v>4.4642857142856984E-3</c:v>
                  </c:pt>
                  <c:pt idx="107">
                    <c:v>4.4642857142857539E-3</c:v>
                  </c:pt>
                  <c:pt idx="108">
                    <c:v>4.4642857142856984E-3</c:v>
                  </c:pt>
                  <c:pt idx="109">
                    <c:v>4.4642857142856984E-3</c:v>
                  </c:pt>
                  <c:pt idx="110">
                    <c:v>4.4642857142856984E-3</c:v>
                  </c:pt>
                  <c:pt idx="111">
                    <c:v>4.4642857142857539E-3</c:v>
                  </c:pt>
                  <c:pt idx="112">
                    <c:v>4.4642857142856984E-3</c:v>
                  </c:pt>
                  <c:pt idx="113">
                    <c:v>4.4642857142856984E-3</c:v>
                  </c:pt>
                  <c:pt idx="114">
                    <c:v>4.4642857142856984E-3</c:v>
                  </c:pt>
                  <c:pt idx="115">
                    <c:v>4.4642857142856984E-3</c:v>
                  </c:pt>
                  <c:pt idx="116">
                    <c:v>4.4642857142858094E-3</c:v>
                  </c:pt>
                  <c:pt idx="117">
                    <c:v>4.4642857142856984E-3</c:v>
                  </c:pt>
                  <c:pt idx="118">
                    <c:v>4.4642857142856984E-3</c:v>
                  </c:pt>
                  <c:pt idx="119">
                    <c:v>4.4642857142856984E-3</c:v>
                  </c:pt>
                  <c:pt idx="120">
                    <c:v>4.4642857142856984E-3</c:v>
                  </c:pt>
                  <c:pt idx="121">
                    <c:v>4.4642857142856984E-3</c:v>
                  </c:pt>
                  <c:pt idx="122">
                    <c:v>4.4642857142856984E-3</c:v>
                  </c:pt>
                  <c:pt idx="123">
                    <c:v>4.4642857142858094E-3</c:v>
                  </c:pt>
                  <c:pt idx="124">
                    <c:v>4.4642857142856984E-3</c:v>
                  </c:pt>
                  <c:pt idx="125">
                    <c:v>4.4642857142856984E-3</c:v>
                  </c:pt>
                  <c:pt idx="126">
                    <c:v>4.4642857142856984E-3</c:v>
                  </c:pt>
                  <c:pt idx="127">
                    <c:v>4.4642857142856984E-3</c:v>
                  </c:pt>
                  <c:pt idx="128">
                    <c:v>4.4642857142856984E-3</c:v>
                  </c:pt>
                  <c:pt idx="129">
                    <c:v>4.4642857142856984E-3</c:v>
                  </c:pt>
                  <c:pt idx="130">
                    <c:v>4.4642857142858094E-3</c:v>
                  </c:pt>
                  <c:pt idx="131">
                    <c:v>4.4642857142856984E-3</c:v>
                  </c:pt>
                  <c:pt idx="132">
                    <c:v>4.4642857142856984E-3</c:v>
                  </c:pt>
                  <c:pt idx="133">
                    <c:v>4.4642857142856984E-3</c:v>
                  </c:pt>
                  <c:pt idx="134">
                    <c:v>4.4642857142856984E-3</c:v>
                  </c:pt>
                  <c:pt idx="135">
                    <c:v>4.4642857142856984E-3</c:v>
                  </c:pt>
                  <c:pt idx="136">
                    <c:v>4.4642857142856984E-3</c:v>
                  </c:pt>
                  <c:pt idx="137">
                    <c:v>4.4642857142858094E-3</c:v>
                  </c:pt>
                  <c:pt idx="138">
                    <c:v>4.4642857142856984E-3</c:v>
                  </c:pt>
                  <c:pt idx="139">
                    <c:v>4.4642857142856984E-3</c:v>
                  </c:pt>
                  <c:pt idx="140">
                    <c:v>4.4642857142856984E-3</c:v>
                  </c:pt>
                  <c:pt idx="141">
                    <c:v>4.4642857142856984E-3</c:v>
                  </c:pt>
                  <c:pt idx="142">
                    <c:v>4.4642857142856984E-3</c:v>
                  </c:pt>
                  <c:pt idx="143">
                    <c:v>4.4642857142856984E-3</c:v>
                  </c:pt>
                  <c:pt idx="144">
                    <c:v>4.4642857142858094E-3</c:v>
                  </c:pt>
                  <c:pt idx="145">
                    <c:v>4.4642857142856984E-3</c:v>
                  </c:pt>
                  <c:pt idx="146">
                    <c:v>4.4642857142856984E-3</c:v>
                  </c:pt>
                  <c:pt idx="147">
                    <c:v>4.4642857142856984E-3</c:v>
                  </c:pt>
                  <c:pt idx="148">
                    <c:v>4.4642857142856984E-3</c:v>
                  </c:pt>
                  <c:pt idx="149">
                    <c:v>4.4642857142856984E-3</c:v>
                  </c:pt>
                  <c:pt idx="150">
                    <c:v>4.4642857142856984E-3</c:v>
                  </c:pt>
                  <c:pt idx="151">
                    <c:v>4.4642857142858094E-3</c:v>
                  </c:pt>
                  <c:pt idx="152">
                    <c:v>4.4642857142856984E-3</c:v>
                  </c:pt>
                  <c:pt idx="153">
                    <c:v>4.4642857142856984E-3</c:v>
                  </c:pt>
                  <c:pt idx="154">
                    <c:v>4.4642857142856984E-3</c:v>
                  </c:pt>
                  <c:pt idx="155">
                    <c:v>4.4642857142856984E-3</c:v>
                  </c:pt>
                  <c:pt idx="156">
                    <c:v>4.4642857142856984E-3</c:v>
                  </c:pt>
                  <c:pt idx="157">
                    <c:v>4.4642857142856984E-3</c:v>
                  </c:pt>
                  <c:pt idx="158">
                    <c:v>4.4642857142858094E-3</c:v>
                  </c:pt>
                  <c:pt idx="159">
                    <c:v>4.4642857142856984E-3</c:v>
                  </c:pt>
                  <c:pt idx="160">
                    <c:v>4.4642857142856984E-3</c:v>
                  </c:pt>
                  <c:pt idx="161">
                    <c:v>4.4642857142856984E-3</c:v>
                  </c:pt>
                  <c:pt idx="162">
                    <c:v>4.4642857142856984E-3</c:v>
                  </c:pt>
                  <c:pt idx="163">
                    <c:v>4.4642857142856984E-3</c:v>
                  </c:pt>
                  <c:pt idx="164">
                    <c:v>4.4642857142856984E-3</c:v>
                  </c:pt>
                  <c:pt idx="165">
                    <c:v>4.4642857142858094E-3</c:v>
                  </c:pt>
                  <c:pt idx="166">
                    <c:v>4.4642857142856984E-3</c:v>
                  </c:pt>
                  <c:pt idx="167">
                    <c:v>4.4642857142856984E-3</c:v>
                  </c:pt>
                  <c:pt idx="168">
                    <c:v>4.4642857142856984E-3</c:v>
                  </c:pt>
                  <c:pt idx="169">
                    <c:v>4.4642857142856984E-3</c:v>
                  </c:pt>
                  <c:pt idx="170">
                    <c:v>4.4642857142856984E-3</c:v>
                  </c:pt>
                  <c:pt idx="171">
                    <c:v>4.4642857142856984E-3</c:v>
                  </c:pt>
                  <c:pt idx="172">
                    <c:v>4.4642857142858094E-3</c:v>
                  </c:pt>
                  <c:pt idx="173">
                    <c:v>4.4642857142856984E-3</c:v>
                  </c:pt>
                  <c:pt idx="174">
                    <c:v>4.4642857142856984E-3</c:v>
                  </c:pt>
                  <c:pt idx="175">
                    <c:v>4.4642857142856984E-3</c:v>
                  </c:pt>
                  <c:pt idx="176">
                    <c:v>4.4642857142856984E-3</c:v>
                  </c:pt>
                  <c:pt idx="177">
                    <c:v>4.4642857142856984E-3</c:v>
                  </c:pt>
                  <c:pt idx="178">
                    <c:v>4.4642857142856984E-3</c:v>
                  </c:pt>
                  <c:pt idx="179">
                    <c:v>4.4642857142858094E-3</c:v>
                  </c:pt>
                  <c:pt idx="180">
                    <c:v>4.4642857142856984E-3</c:v>
                  </c:pt>
                  <c:pt idx="181">
                    <c:v>4.4642857142856984E-3</c:v>
                  </c:pt>
                  <c:pt idx="182">
                    <c:v>4.4642857142856984E-3</c:v>
                  </c:pt>
                  <c:pt idx="183">
                    <c:v>4.4642857142856984E-3</c:v>
                  </c:pt>
                  <c:pt idx="184">
                    <c:v>4.4642857142856984E-3</c:v>
                  </c:pt>
                  <c:pt idx="185">
                    <c:v>4.4642857142856984E-3</c:v>
                  </c:pt>
                  <c:pt idx="186">
                    <c:v>4.4642857142858094E-3</c:v>
                  </c:pt>
                  <c:pt idx="187">
                    <c:v>4.4642857142856984E-3</c:v>
                  </c:pt>
                  <c:pt idx="188">
                    <c:v>4.4642857142856984E-3</c:v>
                  </c:pt>
                  <c:pt idx="189">
                    <c:v>4.4642857142856984E-3</c:v>
                  </c:pt>
                  <c:pt idx="190">
                    <c:v>4.4642857142856984E-3</c:v>
                  </c:pt>
                  <c:pt idx="191">
                    <c:v>4.4642857142856984E-3</c:v>
                  </c:pt>
                  <c:pt idx="192">
                    <c:v>4.4642857142856984E-3</c:v>
                  </c:pt>
                  <c:pt idx="193">
                    <c:v>4.4642857142858094E-3</c:v>
                  </c:pt>
                  <c:pt idx="194">
                    <c:v>4.4642857142856984E-3</c:v>
                  </c:pt>
                  <c:pt idx="195">
                    <c:v>4.4642857142856984E-3</c:v>
                  </c:pt>
                  <c:pt idx="196">
                    <c:v>4.4642857142856984E-3</c:v>
                  </c:pt>
                  <c:pt idx="197">
                    <c:v>4.4642857142856984E-3</c:v>
                  </c:pt>
                  <c:pt idx="198">
                    <c:v>4.4642857142856984E-3</c:v>
                  </c:pt>
                  <c:pt idx="199">
                    <c:v>4.4642857142856984E-3</c:v>
                  </c:pt>
                  <c:pt idx="200">
                    <c:v>4.4642857142858094E-3</c:v>
                  </c:pt>
                  <c:pt idx="201">
                    <c:v>4.4642857142856984E-3</c:v>
                  </c:pt>
                  <c:pt idx="202">
                    <c:v>4.4642857142856984E-3</c:v>
                  </c:pt>
                  <c:pt idx="203">
                    <c:v>4.4642857142856984E-3</c:v>
                  </c:pt>
                  <c:pt idx="204">
                    <c:v>4.4642857142856984E-3</c:v>
                  </c:pt>
                  <c:pt idx="205">
                    <c:v>4.4642857142856984E-3</c:v>
                  </c:pt>
                  <c:pt idx="206">
                    <c:v>4.4642857142856984E-3</c:v>
                  </c:pt>
                  <c:pt idx="207">
                    <c:v>4.4642857142858094E-3</c:v>
                  </c:pt>
                  <c:pt idx="208">
                    <c:v>4.4642857142856984E-3</c:v>
                  </c:pt>
                  <c:pt idx="209">
                    <c:v>4.4642857142856984E-3</c:v>
                  </c:pt>
                  <c:pt idx="210">
                    <c:v>4.4642857142856984E-3</c:v>
                  </c:pt>
                  <c:pt idx="211">
                    <c:v>4.4642857142856984E-3</c:v>
                  </c:pt>
                  <c:pt idx="212">
                    <c:v>4.4642857142856984E-3</c:v>
                  </c:pt>
                  <c:pt idx="213">
                    <c:v>4.4642857142856984E-3</c:v>
                  </c:pt>
                  <c:pt idx="214">
                    <c:v>4.4642857142858094E-3</c:v>
                  </c:pt>
                  <c:pt idx="215">
                    <c:v>4.4642857142856984E-3</c:v>
                  </c:pt>
                  <c:pt idx="216">
                    <c:v>4.4642857142856984E-3</c:v>
                  </c:pt>
                  <c:pt idx="217">
                    <c:v>4.4642857142856984E-3</c:v>
                  </c:pt>
                  <c:pt idx="218">
                    <c:v>4.4642857142856984E-3</c:v>
                  </c:pt>
                  <c:pt idx="219">
                    <c:v>4.4642857142856984E-3</c:v>
                  </c:pt>
                  <c:pt idx="220">
                    <c:v>4.4642857142856984E-3</c:v>
                  </c:pt>
                  <c:pt idx="221">
                    <c:v>4.4642857142858094E-3</c:v>
                  </c:pt>
                  <c:pt idx="222">
                    <c:v>4.4642857142856984E-3</c:v>
                  </c:pt>
                  <c:pt idx="223">
                    <c:v>4.4642857142856984E-3</c:v>
                  </c:pt>
                  <c:pt idx="224">
                    <c:v>4.4642857142856984E-3</c:v>
                  </c:pt>
                </c:numCache>
              </c:numRef>
            </c:minus>
            <c:spPr>
              <a:noFill/>
              <a:ln w="9525" cap="flat" cmpd="sng" algn="ctr">
                <a:solidFill>
                  <a:schemeClr val="tx1">
                    <a:lumMod val="50000"/>
                    <a:lumOff val="50000"/>
                  </a:schemeClr>
                </a:solidFill>
                <a:prstDash val="sysDash"/>
                <a:round/>
              </a:ln>
              <a:effectLst/>
            </c:spPr>
          </c:errBars>
          <c:xVal>
            <c:numRef>
              <c:f>'Figure 7 Data'!$BT$12:$BT$236</c:f>
              <c:numCache>
                <c:formatCode>General</c:formatCode>
                <c:ptCount val="225"/>
                <c:pt idx="0">
                  <c:v>1.0655964094124308E-2</c:v>
                </c:pt>
                <c:pt idx="1">
                  <c:v>1.0655964094124308E-2</c:v>
                </c:pt>
                <c:pt idx="2">
                  <c:v>1.3150116821284563E-2</c:v>
                </c:pt>
                <c:pt idx="3">
                  <c:v>1.4663163977025176E-2</c:v>
                </c:pt>
                <c:pt idx="4">
                  <c:v>1.7572213275446658E-2</c:v>
                </c:pt>
                <c:pt idx="5">
                  <c:v>1.8038627954226505E-2</c:v>
                </c:pt>
                <c:pt idx="6">
                  <c:v>1.8650409168275116E-2</c:v>
                </c:pt>
                <c:pt idx="7">
                  <c:v>1.8984809026206504E-2</c:v>
                </c:pt>
                <c:pt idx="8">
                  <c:v>1.9221226566940964E-2</c:v>
                </c:pt>
                <c:pt idx="9">
                  <c:v>1.9535578272133494E-2</c:v>
                </c:pt>
                <c:pt idx="10">
                  <c:v>1.954317380157691E-2</c:v>
                </c:pt>
                <c:pt idx="11">
                  <c:v>2.3198229074874593E-2</c:v>
                </c:pt>
                <c:pt idx="12">
                  <c:v>2.3735463797272802E-2</c:v>
                </c:pt>
                <c:pt idx="13">
                  <c:v>2.5157213062080578E-2</c:v>
                </c:pt>
                <c:pt idx="14">
                  <c:v>2.5214367004035371E-2</c:v>
                </c:pt>
                <c:pt idx="15">
                  <c:v>2.5512362472013796E-2</c:v>
                </c:pt>
                <c:pt idx="16">
                  <c:v>2.6144223321721824E-2</c:v>
                </c:pt>
                <c:pt idx="17">
                  <c:v>2.6410790787588578E-2</c:v>
                </c:pt>
                <c:pt idx="18">
                  <c:v>2.6454673218759654E-2</c:v>
                </c:pt>
                <c:pt idx="19">
                  <c:v>2.6537153601792811E-2</c:v>
                </c:pt>
                <c:pt idx="20">
                  <c:v>3.2864948470326949E-2</c:v>
                </c:pt>
                <c:pt idx="21">
                  <c:v>3.2873507787132439E-2</c:v>
                </c:pt>
                <c:pt idx="22">
                  <c:v>3.3842064448978575E-2</c:v>
                </c:pt>
                <c:pt idx="23">
                  <c:v>3.4402007502501004E-2</c:v>
                </c:pt>
                <c:pt idx="24">
                  <c:v>3.4590229535578457E-2</c:v>
                </c:pt>
                <c:pt idx="25">
                  <c:v>3.5096619670934318E-2</c:v>
                </c:pt>
                <c:pt idx="26">
                  <c:v>3.521772379943152E-2</c:v>
                </c:pt>
                <c:pt idx="27">
                  <c:v>3.5478005234588474E-2</c:v>
                </c:pt>
                <c:pt idx="28">
                  <c:v>3.8107624086041895E-2</c:v>
                </c:pt>
                <c:pt idx="29">
                  <c:v>3.8271507687137225E-2</c:v>
                </c:pt>
                <c:pt idx="30">
                  <c:v>3.8649435523323047E-2</c:v>
                </c:pt>
                <c:pt idx="31">
                  <c:v>3.8665582895903682E-2</c:v>
                </c:pt>
                <c:pt idx="32">
                  <c:v>3.8707365257324024E-2</c:v>
                </c:pt>
                <c:pt idx="33">
                  <c:v>3.8766749805592686E-2</c:v>
                </c:pt>
                <c:pt idx="34">
                  <c:v>3.9020359385061522E-2</c:v>
                </c:pt>
                <c:pt idx="35">
                  <c:v>3.9040710348732813E-2</c:v>
                </c:pt>
                <c:pt idx="36">
                  <c:v>4.100817736512246E-2</c:v>
                </c:pt>
                <c:pt idx="37">
                  <c:v>4.184890062354242E-2</c:v>
                </c:pt>
                <c:pt idx="38">
                  <c:v>4.1905935938647519E-2</c:v>
                </c:pt>
                <c:pt idx="39">
                  <c:v>4.2391995613102453E-2</c:v>
                </c:pt>
                <c:pt idx="40">
                  <c:v>4.2625149550158038E-2</c:v>
                </c:pt>
                <c:pt idx="41">
                  <c:v>4.3924892124942327E-2</c:v>
                </c:pt>
                <c:pt idx="42">
                  <c:v>4.5536653530669408E-2</c:v>
                </c:pt>
                <c:pt idx="43">
                  <c:v>4.5673174532152361E-2</c:v>
                </c:pt>
                <c:pt idx="44">
                  <c:v>4.5714900675909824E-2</c:v>
                </c:pt>
                <c:pt idx="45">
                  <c:v>4.677614372867981E-2</c:v>
                </c:pt>
                <c:pt idx="46">
                  <c:v>4.7985236224506365E-2</c:v>
                </c:pt>
                <c:pt idx="47">
                  <c:v>4.8540734128338182E-2</c:v>
                </c:pt>
                <c:pt idx="48">
                  <c:v>4.8737226240304979E-2</c:v>
                </c:pt>
                <c:pt idx="49">
                  <c:v>4.9819986266173268E-2</c:v>
                </c:pt>
                <c:pt idx="50">
                  <c:v>5.1389100913457872E-2</c:v>
                </c:pt>
                <c:pt idx="51">
                  <c:v>5.2635878572532602E-2</c:v>
                </c:pt>
                <c:pt idx="52">
                  <c:v>5.2642456304705404E-2</c:v>
                </c:pt>
                <c:pt idx="53">
                  <c:v>5.2807927708248929E-2</c:v>
                </c:pt>
                <c:pt idx="54">
                  <c:v>5.2831834504152325E-2</c:v>
                </c:pt>
                <c:pt idx="55">
                  <c:v>5.3047527299024275E-2</c:v>
                </c:pt>
                <c:pt idx="56">
                  <c:v>5.3494717904199171E-2</c:v>
                </c:pt>
                <c:pt idx="57">
                  <c:v>5.3589139193475244E-2</c:v>
                </c:pt>
                <c:pt idx="58">
                  <c:v>5.4832907383782714E-2</c:v>
                </c:pt>
                <c:pt idx="59">
                  <c:v>5.6937853733795493E-2</c:v>
                </c:pt>
                <c:pt idx="60">
                  <c:v>5.7075237617755577E-2</c:v>
                </c:pt>
                <c:pt idx="61">
                  <c:v>5.71117460711787E-2</c:v>
                </c:pt>
                <c:pt idx="62">
                  <c:v>5.7253048375846993E-2</c:v>
                </c:pt>
                <c:pt idx="63">
                  <c:v>5.7271087441229336E-2</c:v>
                </c:pt>
                <c:pt idx="64">
                  <c:v>5.7280558858283613E-2</c:v>
                </c:pt>
                <c:pt idx="65">
                  <c:v>5.7468467434354562E-2</c:v>
                </c:pt>
                <c:pt idx="66">
                  <c:v>5.7676246822437265E-2</c:v>
                </c:pt>
                <c:pt idx="67">
                  <c:v>5.7737185145184722E-2</c:v>
                </c:pt>
                <c:pt idx="68">
                  <c:v>5.7737917399768336E-2</c:v>
                </c:pt>
                <c:pt idx="69">
                  <c:v>5.7872840416035611E-2</c:v>
                </c:pt>
                <c:pt idx="70">
                  <c:v>5.8684566151644468E-2</c:v>
                </c:pt>
                <c:pt idx="71">
                  <c:v>5.8802509867401001E-2</c:v>
                </c:pt>
                <c:pt idx="72">
                  <c:v>5.8815497216302214E-2</c:v>
                </c:pt>
                <c:pt idx="73">
                  <c:v>5.8981009980634706E-2</c:v>
                </c:pt>
                <c:pt idx="74">
                  <c:v>5.9020029962107284E-2</c:v>
                </c:pt>
                <c:pt idx="75">
                  <c:v>5.9059523467783988E-2</c:v>
                </c:pt>
                <c:pt idx="76">
                  <c:v>5.9070147746381009E-2</c:v>
                </c:pt>
                <c:pt idx="77">
                  <c:v>5.9124241026831462E-2</c:v>
                </c:pt>
                <c:pt idx="78">
                  <c:v>5.9161022562761921E-2</c:v>
                </c:pt>
                <c:pt idx="79">
                  <c:v>5.9225570054675554E-2</c:v>
                </c:pt>
                <c:pt idx="80">
                  <c:v>5.9449354766171227E-2</c:v>
                </c:pt>
                <c:pt idx="81">
                  <c:v>5.9658812643039807E-2</c:v>
                </c:pt>
                <c:pt idx="82">
                  <c:v>5.9783772753171815E-2</c:v>
                </c:pt>
                <c:pt idx="83">
                  <c:v>6.0398924048730013E-2</c:v>
                </c:pt>
                <c:pt idx="84">
                  <c:v>6.0897236963151281E-2</c:v>
                </c:pt>
                <c:pt idx="85">
                  <c:v>6.1084664693633065E-2</c:v>
                </c:pt>
                <c:pt idx="86">
                  <c:v>6.5520085364047506E-2</c:v>
                </c:pt>
                <c:pt idx="87">
                  <c:v>6.5821769143259753E-2</c:v>
                </c:pt>
                <c:pt idx="88">
                  <c:v>6.6945434897605696E-2</c:v>
                </c:pt>
                <c:pt idx="89">
                  <c:v>6.7092487282307128E-2</c:v>
                </c:pt>
                <c:pt idx="90">
                  <c:v>6.8639883182882097E-2</c:v>
                </c:pt>
                <c:pt idx="91">
                  <c:v>6.8651217755963612E-2</c:v>
                </c:pt>
                <c:pt idx="92">
                  <c:v>6.866041350494638E-2</c:v>
                </c:pt>
                <c:pt idx="93">
                  <c:v>6.866651203340958E-2</c:v>
                </c:pt>
                <c:pt idx="94">
                  <c:v>6.8677182033888937E-2</c:v>
                </c:pt>
                <c:pt idx="95">
                  <c:v>6.8695447049301681E-2</c:v>
                </c:pt>
                <c:pt idx="96">
                  <c:v>6.8700487416877898E-2</c:v>
                </c:pt>
                <c:pt idx="97">
                  <c:v>6.8706947349716524E-2</c:v>
                </c:pt>
                <c:pt idx="98">
                  <c:v>6.9858671417235993E-2</c:v>
                </c:pt>
                <c:pt idx="99">
                  <c:v>6.9886959100341262E-2</c:v>
                </c:pt>
                <c:pt idx="100">
                  <c:v>7.0498196089952461E-2</c:v>
                </c:pt>
                <c:pt idx="101">
                  <c:v>7.08829994733743E-2</c:v>
                </c:pt>
                <c:pt idx="102">
                  <c:v>7.0889100812786793E-2</c:v>
                </c:pt>
                <c:pt idx="103">
                  <c:v>7.1290495764562381E-2</c:v>
                </c:pt>
                <c:pt idx="104">
                  <c:v>7.1296434323905825E-2</c:v>
                </c:pt>
                <c:pt idx="105">
                  <c:v>7.2620358599196536E-2</c:v>
                </c:pt>
                <c:pt idx="106">
                  <c:v>7.3077967942405397E-2</c:v>
                </c:pt>
                <c:pt idx="107">
                  <c:v>7.3078851896971456E-2</c:v>
                </c:pt>
                <c:pt idx="108">
                  <c:v>7.430605034223417E-2</c:v>
                </c:pt>
                <c:pt idx="109">
                  <c:v>7.4360632619112257E-2</c:v>
                </c:pt>
                <c:pt idx="110">
                  <c:v>7.4815490864977144E-2</c:v>
                </c:pt>
                <c:pt idx="111">
                  <c:v>7.6782535473688684E-2</c:v>
                </c:pt>
                <c:pt idx="112">
                  <c:v>7.6991886546120658E-2</c:v>
                </c:pt>
                <c:pt idx="113">
                  <c:v>7.7018547701940832E-2</c:v>
                </c:pt>
                <c:pt idx="114">
                  <c:v>7.8039403706084476E-2</c:v>
                </c:pt>
                <c:pt idx="115">
                  <c:v>7.8049550682987592E-2</c:v>
                </c:pt>
                <c:pt idx="116">
                  <c:v>7.8404627821409723E-2</c:v>
                </c:pt>
                <c:pt idx="117">
                  <c:v>7.9701225482499999E-2</c:v>
                </c:pt>
                <c:pt idx="118">
                  <c:v>8.4630895869121897E-2</c:v>
                </c:pt>
                <c:pt idx="119">
                  <c:v>9.0388811417181483E-2</c:v>
                </c:pt>
                <c:pt idx="120">
                  <c:v>9.7454346589556248E-2</c:v>
                </c:pt>
                <c:pt idx="121">
                  <c:v>9.8498245426554207E-2</c:v>
                </c:pt>
                <c:pt idx="122">
                  <c:v>9.8617989408832055E-2</c:v>
                </c:pt>
                <c:pt idx="123">
                  <c:v>9.89881229534261E-2</c:v>
                </c:pt>
                <c:pt idx="124">
                  <c:v>9.9031443818309306E-2</c:v>
                </c:pt>
                <c:pt idx="125">
                  <c:v>9.9774657172101294E-2</c:v>
                </c:pt>
                <c:pt idx="126">
                  <c:v>9.9801896128599854E-2</c:v>
                </c:pt>
                <c:pt idx="127">
                  <c:v>0.10005216245929885</c:v>
                </c:pt>
                <c:pt idx="128">
                  <c:v>0.10134874731526328</c:v>
                </c:pt>
                <c:pt idx="129">
                  <c:v>0.10146407441134699</c:v>
                </c:pt>
                <c:pt idx="130">
                  <c:v>0.10257776504098032</c:v>
                </c:pt>
                <c:pt idx="131">
                  <c:v>0.10574416917598041</c:v>
                </c:pt>
                <c:pt idx="132">
                  <c:v>0.10670324049145351</c:v>
                </c:pt>
                <c:pt idx="133">
                  <c:v>0.10672211681987687</c:v>
                </c:pt>
                <c:pt idx="134">
                  <c:v>0.1067688334786193</c:v>
                </c:pt>
                <c:pt idx="135">
                  <c:v>0.10683277049899199</c:v>
                </c:pt>
                <c:pt idx="136">
                  <c:v>0.10761345236343921</c:v>
                </c:pt>
                <c:pt idx="137">
                  <c:v>0.10850437080733318</c:v>
                </c:pt>
                <c:pt idx="138">
                  <c:v>0.10970626964068028</c:v>
                </c:pt>
                <c:pt idx="139">
                  <c:v>0.10978318043860563</c:v>
                </c:pt>
                <c:pt idx="140">
                  <c:v>0.10996011489376083</c:v>
                </c:pt>
                <c:pt idx="141">
                  <c:v>0.11052355440677104</c:v>
                </c:pt>
                <c:pt idx="142">
                  <c:v>0.11153995454356144</c:v>
                </c:pt>
                <c:pt idx="143">
                  <c:v>0.11184004084914914</c:v>
                </c:pt>
                <c:pt idx="144">
                  <c:v>0.11204257993193283</c:v>
                </c:pt>
                <c:pt idx="145">
                  <c:v>0.11219682956777974</c:v>
                </c:pt>
                <c:pt idx="146">
                  <c:v>0.1122160699996741</c:v>
                </c:pt>
                <c:pt idx="147">
                  <c:v>0.11230647535989148</c:v>
                </c:pt>
                <c:pt idx="148">
                  <c:v>0.11242186298055486</c:v>
                </c:pt>
                <c:pt idx="149">
                  <c:v>0.1125790855014045</c:v>
                </c:pt>
                <c:pt idx="150">
                  <c:v>0.11584120261174465</c:v>
                </c:pt>
                <c:pt idx="151">
                  <c:v>0.11598408800113842</c:v>
                </c:pt>
                <c:pt idx="152">
                  <c:v>0.11793658782715029</c:v>
                </c:pt>
                <c:pt idx="153">
                  <c:v>0.12112167974190667</c:v>
                </c:pt>
                <c:pt idx="154">
                  <c:v>0.12160162686489288</c:v>
                </c:pt>
                <c:pt idx="155">
                  <c:v>0.12179264143777024</c:v>
                </c:pt>
                <c:pt idx="156">
                  <c:v>0.1247022107508093</c:v>
                </c:pt>
                <c:pt idx="157">
                  <c:v>0.1264231881936603</c:v>
                </c:pt>
                <c:pt idx="158">
                  <c:v>0.12661161909834337</c:v>
                </c:pt>
                <c:pt idx="159">
                  <c:v>0.1266826995108053</c:v>
                </c:pt>
                <c:pt idx="160">
                  <c:v>0.12673504523614534</c:v>
                </c:pt>
                <c:pt idx="161">
                  <c:v>0.1276039285167036</c:v>
                </c:pt>
                <c:pt idx="162">
                  <c:v>0.12798050171489231</c:v>
                </c:pt>
                <c:pt idx="163">
                  <c:v>0.15195377214043401</c:v>
                </c:pt>
                <c:pt idx="164">
                  <c:v>0.15687049746679832</c:v>
                </c:pt>
                <c:pt idx="165">
                  <c:v>0.17914956832502379</c:v>
                </c:pt>
                <c:pt idx="166">
                  <c:v>0.17971778960888571</c:v>
                </c:pt>
                <c:pt idx="167">
                  <c:v>0.17996446956642045</c:v>
                </c:pt>
                <c:pt idx="168">
                  <c:v>0.18008373080607457</c:v>
                </c:pt>
                <c:pt idx="169">
                  <c:v>0.18389251585778929</c:v>
                </c:pt>
                <c:pt idx="170">
                  <c:v>0.1847721449027046</c:v>
                </c:pt>
                <c:pt idx="171">
                  <c:v>0.1885245589574871</c:v>
                </c:pt>
                <c:pt idx="172">
                  <c:v>0.18900127262432923</c:v>
                </c:pt>
                <c:pt idx="173">
                  <c:v>0.1893037922180057</c:v>
                </c:pt>
                <c:pt idx="174">
                  <c:v>0.18933746705950569</c:v>
                </c:pt>
                <c:pt idx="175">
                  <c:v>0.18962692753084032</c:v>
                </c:pt>
                <c:pt idx="176">
                  <c:v>0.19061364597906982</c:v>
                </c:pt>
                <c:pt idx="177">
                  <c:v>0.19073434160048305</c:v>
                </c:pt>
                <c:pt idx="178">
                  <c:v>0.19085822689212045</c:v>
                </c:pt>
                <c:pt idx="179">
                  <c:v>0.19229124751056578</c:v>
                </c:pt>
                <c:pt idx="180">
                  <c:v>0.19915936568603232</c:v>
                </c:pt>
                <c:pt idx="181">
                  <c:v>0.20955763485072892</c:v>
                </c:pt>
                <c:pt idx="182">
                  <c:v>0.20979456998815749</c:v>
                </c:pt>
                <c:pt idx="183">
                  <c:v>0.2101117269649084</c:v>
                </c:pt>
                <c:pt idx="184">
                  <c:v>0.21032016498047063</c:v>
                </c:pt>
                <c:pt idx="185">
                  <c:v>0.21039879642948434</c:v>
                </c:pt>
                <c:pt idx="186">
                  <c:v>0.21044571182573343</c:v>
                </c:pt>
                <c:pt idx="187">
                  <c:v>0.21044902239466987</c:v>
                </c:pt>
                <c:pt idx="188">
                  <c:v>0.21090555951446205</c:v>
                </c:pt>
                <c:pt idx="189">
                  <c:v>0.21222797567786247</c:v>
                </c:pt>
                <c:pt idx="190">
                  <c:v>0.22090365470202686</c:v>
                </c:pt>
                <c:pt idx="191">
                  <c:v>0.2573310294055956</c:v>
                </c:pt>
                <c:pt idx="192">
                  <c:v>0.26434638939234822</c:v>
                </c:pt>
                <c:pt idx="193">
                  <c:v>0.28073666739247383</c:v>
                </c:pt>
                <c:pt idx="194">
                  <c:v>0.28380119584401753</c:v>
                </c:pt>
                <c:pt idx="195">
                  <c:v>0.28386237979491497</c:v>
                </c:pt>
                <c:pt idx="196">
                  <c:v>0.29128519788421547</c:v>
                </c:pt>
                <c:pt idx="197">
                  <c:v>0.29134541805709785</c:v>
                </c:pt>
                <c:pt idx="198">
                  <c:v>0.29262398384230354</c:v>
                </c:pt>
                <c:pt idx="199">
                  <c:v>0.29502020051805317</c:v>
                </c:pt>
                <c:pt idx="200">
                  <c:v>0.29660624002523622</c:v>
                </c:pt>
                <c:pt idx="201">
                  <c:v>0.29892929386829131</c:v>
                </c:pt>
                <c:pt idx="202">
                  <c:v>0.2990019883471135</c:v>
                </c:pt>
                <c:pt idx="203">
                  <c:v>0.3208942965569766</c:v>
                </c:pt>
                <c:pt idx="204">
                  <c:v>0.32642322632115739</c:v>
                </c:pt>
                <c:pt idx="205">
                  <c:v>0.33472952043638704</c:v>
                </c:pt>
                <c:pt idx="206">
                  <c:v>0.3358489425405774</c:v>
                </c:pt>
                <c:pt idx="207">
                  <c:v>0.34203829353499188</c:v>
                </c:pt>
                <c:pt idx="208">
                  <c:v>0.34209284074431162</c:v>
                </c:pt>
                <c:pt idx="209">
                  <c:v>0.35361965023895381</c:v>
                </c:pt>
                <c:pt idx="210">
                  <c:v>0.35640205920635226</c:v>
                </c:pt>
                <c:pt idx="211">
                  <c:v>0.35652979629338233</c:v>
                </c:pt>
                <c:pt idx="212">
                  <c:v>0.35706643130473964</c:v>
                </c:pt>
                <c:pt idx="213">
                  <c:v>0.36143118884075404</c:v>
                </c:pt>
                <c:pt idx="214">
                  <c:v>0.3653795973604172</c:v>
                </c:pt>
                <c:pt idx="215">
                  <c:v>0.36588444580193769</c:v>
                </c:pt>
                <c:pt idx="216">
                  <c:v>0.39437251990365002</c:v>
                </c:pt>
                <c:pt idx="217">
                  <c:v>0.40819046310369167</c:v>
                </c:pt>
                <c:pt idx="218">
                  <c:v>0.4188862171431188</c:v>
                </c:pt>
                <c:pt idx="219">
                  <c:v>0.52616385757696804</c:v>
                </c:pt>
                <c:pt idx="220">
                  <c:v>0.57001624966945108</c:v>
                </c:pt>
                <c:pt idx="221">
                  <c:v>0.64058059781606214</c:v>
                </c:pt>
                <c:pt idx="222">
                  <c:v>0.65719215612929716</c:v>
                </c:pt>
                <c:pt idx="223">
                  <c:v>0.93025458464830202</c:v>
                </c:pt>
                <c:pt idx="224">
                  <c:v>0.992718696822809</c:v>
                </c:pt>
              </c:numCache>
            </c:numRef>
          </c:xVal>
          <c:yVal>
            <c:numRef>
              <c:f>'Figure 7 Data'!$BS$12:$BS$236</c:f>
              <c:numCache>
                <c:formatCode>General</c:formatCode>
                <c:ptCount val="225"/>
                <c:pt idx="0">
                  <c:v>0</c:v>
                </c:pt>
                <c:pt idx="1">
                  <c:v>4.464285714285714E-3</c:v>
                </c:pt>
                <c:pt idx="2">
                  <c:v>8.9285714285714281E-3</c:v>
                </c:pt>
                <c:pt idx="3">
                  <c:v>1.3392857142857142E-2</c:v>
                </c:pt>
                <c:pt idx="4">
                  <c:v>1.7857142857142856E-2</c:v>
                </c:pt>
                <c:pt idx="5">
                  <c:v>2.2321428571428572E-2</c:v>
                </c:pt>
                <c:pt idx="6">
                  <c:v>2.6785714285714284E-2</c:v>
                </c:pt>
                <c:pt idx="7">
                  <c:v>3.125E-2</c:v>
                </c:pt>
                <c:pt idx="8">
                  <c:v>3.5714285714285712E-2</c:v>
                </c:pt>
                <c:pt idx="9">
                  <c:v>4.0178571428571432E-2</c:v>
                </c:pt>
                <c:pt idx="10">
                  <c:v>4.4642857142857144E-2</c:v>
                </c:pt>
                <c:pt idx="11">
                  <c:v>4.9107142857142856E-2</c:v>
                </c:pt>
                <c:pt idx="12">
                  <c:v>5.3571428571428568E-2</c:v>
                </c:pt>
                <c:pt idx="13">
                  <c:v>5.8035714285714288E-2</c:v>
                </c:pt>
                <c:pt idx="14">
                  <c:v>6.25E-2</c:v>
                </c:pt>
                <c:pt idx="15">
                  <c:v>6.6964285714285712E-2</c:v>
                </c:pt>
                <c:pt idx="16">
                  <c:v>7.1428571428571425E-2</c:v>
                </c:pt>
                <c:pt idx="17">
                  <c:v>7.5892857142857137E-2</c:v>
                </c:pt>
                <c:pt idx="18">
                  <c:v>8.0357142857142863E-2</c:v>
                </c:pt>
                <c:pt idx="19">
                  <c:v>8.4821428571428575E-2</c:v>
                </c:pt>
                <c:pt idx="20">
                  <c:v>8.9285714285714288E-2</c:v>
                </c:pt>
                <c:pt idx="21">
                  <c:v>9.375E-2</c:v>
                </c:pt>
                <c:pt idx="22">
                  <c:v>9.8214285714285712E-2</c:v>
                </c:pt>
                <c:pt idx="23">
                  <c:v>0.10267857142857142</c:v>
                </c:pt>
                <c:pt idx="24">
                  <c:v>0.10714285714285714</c:v>
                </c:pt>
                <c:pt idx="25">
                  <c:v>0.11160714285714286</c:v>
                </c:pt>
                <c:pt idx="26">
                  <c:v>0.11607142857142858</c:v>
                </c:pt>
                <c:pt idx="27">
                  <c:v>0.12053571428571429</c:v>
                </c:pt>
                <c:pt idx="28">
                  <c:v>0.125</c:v>
                </c:pt>
                <c:pt idx="29">
                  <c:v>0.12946428571428573</c:v>
                </c:pt>
                <c:pt idx="30">
                  <c:v>0.13392857142857142</c:v>
                </c:pt>
                <c:pt idx="31">
                  <c:v>0.13839285714285715</c:v>
                </c:pt>
                <c:pt idx="32">
                  <c:v>0.14285714285714285</c:v>
                </c:pt>
                <c:pt idx="33">
                  <c:v>0.14732142857142858</c:v>
                </c:pt>
                <c:pt idx="34">
                  <c:v>0.15178571428571427</c:v>
                </c:pt>
                <c:pt idx="35">
                  <c:v>0.15625</c:v>
                </c:pt>
                <c:pt idx="36">
                  <c:v>0.16071428571428573</c:v>
                </c:pt>
                <c:pt idx="37">
                  <c:v>0.16517857142857142</c:v>
                </c:pt>
                <c:pt idx="38">
                  <c:v>0.16964285714285715</c:v>
                </c:pt>
                <c:pt idx="39">
                  <c:v>0.17410714285714285</c:v>
                </c:pt>
                <c:pt idx="40">
                  <c:v>0.17857142857142858</c:v>
                </c:pt>
                <c:pt idx="41">
                  <c:v>0.18303571428571427</c:v>
                </c:pt>
                <c:pt idx="42">
                  <c:v>0.1875</c:v>
                </c:pt>
                <c:pt idx="43">
                  <c:v>0.19196428571428573</c:v>
                </c:pt>
                <c:pt idx="44">
                  <c:v>0.19642857142857142</c:v>
                </c:pt>
                <c:pt idx="45">
                  <c:v>0.20089285714285715</c:v>
                </c:pt>
                <c:pt idx="46">
                  <c:v>0.20535714285714285</c:v>
                </c:pt>
                <c:pt idx="47">
                  <c:v>0.20982142857142858</c:v>
                </c:pt>
                <c:pt idx="48">
                  <c:v>0.21428571428571427</c:v>
                </c:pt>
                <c:pt idx="49">
                  <c:v>0.21875</c:v>
                </c:pt>
                <c:pt idx="50">
                  <c:v>0.22321428571428573</c:v>
                </c:pt>
                <c:pt idx="51">
                  <c:v>0.22767857142857142</c:v>
                </c:pt>
                <c:pt idx="52">
                  <c:v>0.23214285714285715</c:v>
                </c:pt>
                <c:pt idx="53">
                  <c:v>0.23660714285714285</c:v>
                </c:pt>
                <c:pt idx="54">
                  <c:v>0.24107142857142858</c:v>
                </c:pt>
                <c:pt idx="55">
                  <c:v>0.24553571428571427</c:v>
                </c:pt>
                <c:pt idx="56">
                  <c:v>0.25</c:v>
                </c:pt>
                <c:pt idx="57">
                  <c:v>0.2544642857142857</c:v>
                </c:pt>
                <c:pt idx="58">
                  <c:v>0.25892857142857145</c:v>
                </c:pt>
                <c:pt idx="59">
                  <c:v>0.26339285714285715</c:v>
                </c:pt>
                <c:pt idx="60">
                  <c:v>0.26785714285714285</c:v>
                </c:pt>
                <c:pt idx="61">
                  <c:v>0.27232142857142855</c:v>
                </c:pt>
                <c:pt idx="62">
                  <c:v>0.2767857142857143</c:v>
                </c:pt>
                <c:pt idx="63">
                  <c:v>0.28125</c:v>
                </c:pt>
                <c:pt idx="64">
                  <c:v>0.2857142857142857</c:v>
                </c:pt>
                <c:pt idx="65">
                  <c:v>0.29017857142857145</c:v>
                </c:pt>
                <c:pt idx="66">
                  <c:v>0.29464285714285715</c:v>
                </c:pt>
                <c:pt idx="67">
                  <c:v>0.29910714285714285</c:v>
                </c:pt>
                <c:pt idx="68">
                  <c:v>0.30357142857142855</c:v>
                </c:pt>
                <c:pt idx="69">
                  <c:v>0.3080357142857143</c:v>
                </c:pt>
                <c:pt idx="70">
                  <c:v>0.3125</c:v>
                </c:pt>
                <c:pt idx="71">
                  <c:v>0.3169642857142857</c:v>
                </c:pt>
                <c:pt idx="72">
                  <c:v>0.32142857142857145</c:v>
                </c:pt>
                <c:pt idx="73">
                  <c:v>0.32589285714285715</c:v>
                </c:pt>
                <c:pt idx="74">
                  <c:v>0.33035714285714285</c:v>
                </c:pt>
                <c:pt idx="75">
                  <c:v>0.33482142857142855</c:v>
                </c:pt>
                <c:pt idx="76">
                  <c:v>0.3392857142857143</c:v>
                </c:pt>
                <c:pt idx="77">
                  <c:v>0.34375</c:v>
                </c:pt>
                <c:pt idx="78">
                  <c:v>0.3482142857142857</c:v>
                </c:pt>
                <c:pt idx="79">
                  <c:v>0.35267857142857145</c:v>
                </c:pt>
                <c:pt idx="80">
                  <c:v>0.35714285714285715</c:v>
                </c:pt>
                <c:pt idx="81">
                  <c:v>0.36160714285714285</c:v>
                </c:pt>
                <c:pt idx="82">
                  <c:v>0.36607142857142855</c:v>
                </c:pt>
                <c:pt idx="83">
                  <c:v>0.3705357142857143</c:v>
                </c:pt>
                <c:pt idx="84">
                  <c:v>0.375</c:v>
                </c:pt>
                <c:pt idx="85">
                  <c:v>0.3794642857142857</c:v>
                </c:pt>
                <c:pt idx="86">
                  <c:v>0.38392857142857145</c:v>
                </c:pt>
                <c:pt idx="87">
                  <c:v>0.38839285714285715</c:v>
                </c:pt>
                <c:pt idx="88">
                  <c:v>0.39285714285714285</c:v>
                </c:pt>
                <c:pt idx="89">
                  <c:v>0.39732142857142855</c:v>
                </c:pt>
                <c:pt idx="90">
                  <c:v>0.4017857142857143</c:v>
                </c:pt>
                <c:pt idx="91">
                  <c:v>0.40625</c:v>
                </c:pt>
                <c:pt idx="92">
                  <c:v>0.4107142857142857</c:v>
                </c:pt>
                <c:pt idx="93">
                  <c:v>0.41517857142857145</c:v>
                </c:pt>
                <c:pt idx="94">
                  <c:v>0.41964285714285715</c:v>
                </c:pt>
                <c:pt idx="95">
                  <c:v>0.42410714285714285</c:v>
                </c:pt>
                <c:pt idx="96">
                  <c:v>0.42857142857142855</c:v>
                </c:pt>
                <c:pt idx="97">
                  <c:v>0.4330357142857143</c:v>
                </c:pt>
                <c:pt idx="98">
                  <c:v>0.4375</c:v>
                </c:pt>
                <c:pt idx="99">
                  <c:v>0.4419642857142857</c:v>
                </c:pt>
                <c:pt idx="100">
                  <c:v>0.44642857142857145</c:v>
                </c:pt>
                <c:pt idx="101">
                  <c:v>0.45089285714285715</c:v>
                </c:pt>
                <c:pt idx="102">
                  <c:v>0.45535714285714285</c:v>
                </c:pt>
                <c:pt idx="103">
                  <c:v>0.45982142857142855</c:v>
                </c:pt>
                <c:pt idx="104">
                  <c:v>0.4642857142857143</c:v>
                </c:pt>
                <c:pt idx="105">
                  <c:v>0.46875</c:v>
                </c:pt>
                <c:pt idx="106">
                  <c:v>0.4732142857142857</c:v>
                </c:pt>
                <c:pt idx="107">
                  <c:v>0.47767857142857145</c:v>
                </c:pt>
                <c:pt idx="108">
                  <c:v>0.48214285714285715</c:v>
                </c:pt>
                <c:pt idx="109">
                  <c:v>0.48660714285714285</c:v>
                </c:pt>
                <c:pt idx="110">
                  <c:v>0.49107142857142855</c:v>
                </c:pt>
                <c:pt idx="111">
                  <c:v>0.4955357142857143</c:v>
                </c:pt>
                <c:pt idx="112">
                  <c:v>0.5</c:v>
                </c:pt>
                <c:pt idx="113">
                  <c:v>0.5044642857142857</c:v>
                </c:pt>
                <c:pt idx="114">
                  <c:v>0.5089285714285714</c:v>
                </c:pt>
                <c:pt idx="115">
                  <c:v>0.5133928571428571</c:v>
                </c:pt>
                <c:pt idx="116">
                  <c:v>0.5178571428571429</c:v>
                </c:pt>
                <c:pt idx="117">
                  <c:v>0.5223214285714286</c:v>
                </c:pt>
                <c:pt idx="118">
                  <c:v>0.5267857142857143</c:v>
                </c:pt>
                <c:pt idx="119">
                  <c:v>0.53125</c:v>
                </c:pt>
                <c:pt idx="120">
                  <c:v>0.5357142857142857</c:v>
                </c:pt>
                <c:pt idx="121">
                  <c:v>0.5401785714285714</c:v>
                </c:pt>
                <c:pt idx="122">
                  <c:v>0.5446428571428571</c:v>
                </c:pt>
                <c:pt idx="123">
                  <c:v>0.5491071428571429</c:v>
                </c:pt>
                <c:pt idx="124">
                  <c:v>0.5535714285714286</c:v>
                </c:pt>
                <c:pt idx="125">
                  <c:v>0.5580357142857143</c:v>
                </c:pt>
                <c:pt idx="126">
                  <c:v>0.5625</c:v>
                </c:pt>
                <c:pt idx="127">
                  <c:v>0.5669642857142857</c:v>
                </c:pt>
                <c:pt idx="128">
                  <c:v>0.5714285714285714</c:v>
                </c:pt>
                <c:pt idx="129">
                  <c:v>0.5758928571428571</c:v>
                </c:pt>
                <c:pt idx="130">
                  <c:v>0.5803571428571429</c:v>
                </c:pt>
                <c:pt idx="131">
                  <c:v>0.5848214285714286</c:v>
                </c:pt>
                <c:pt idx="132">
                  <c:v>0.5892857142857143</c:v>
                </c:pt>
                <c:pt idx="133">
                  <c:v>0.59375</c:v>
                </c:pt>
                <c:pt idx="134">
                  <c:v>0.5982142857142857</c:v>
                </c:pt>
                <c:pt idx="135">
                  <c:v>0.6026785714285714</c:v>
                </c:pt>
                <c:pt idx="136">
                  <c:v>0.6071428571428571</c:v>
                </c:pt>
                <c:pt idx="137">
                  <c:v>0.6116071428571429</c:v>
                </c:pt>
                <c:pt idx="138">
                  <c:v>0.6160714285714286</c:v>
                </c:pt>
                <c:pt idx="139">
                  <c:v>0.6205357142857143</c:v>
                </c:pt>
                <c:pt idx="140">
                  <c:v>0.625</c:v>
                </c:pt>
                <c:pt idx="141">
                  <c:v>0.6294642857142857</c:v>
                </c:pt>
                <c:pt idx="142">
                  <c:v>0.6339285714285714</c:v>
                </c:pt>
                <c:pt idx="143">
                  <c:v>0.6383928571428571</c:v>
                </c:pt>
                <c:pt idx="144">
                  <c:v>0.6428571428571429</c:v>
                </c:pt>
                <c:pt idx="145">
                  <c:v>0.6473214285714286</c:v>
                </c:pt>
                <c:pt idx="146">
                  <c:v>0.6517857142857143</c:v>
                </c:pt>
                <c:pt idx="147">
                  <c:v>0.65625</c:v>
                </c:pt>
                <c:pt idx="148">
                  <c:v>0.6607142857142857</c:v>
                </c:pt>
                <c:pt idx="149">
                  <c:v>0.6651785714285714</c:v>
                </c:pt>
                <c:pt idx="150">
                  <c:v>0.6696428571428571</c:v>
                </c:pt>
                <c:pt idx="151">
                  <c:v>0.6741071428571429</c:v>
                </c:pt>
                <c:pt idx="152">
                  <c:v>0.6785714285714286</c:v>
                </c:pt>
                <c:pt idx="153">
                  <c:v>0.6830357142857143</c:v>
                </c:pt>
                <c:pt idx="154">
                  <c:v>0.6875</c:v>
                </c:pt>
                <c:pt idx="155">
                  <c:v>0.6919642857142857</c:v>
                </c:pt>
                <c:pt idx="156">
                  <c:v>0.6964285714285714</c:v>
                </c:pt>
                <c:pt idx="157">
                  <c:v>0.7008928571428571</c:v>
                </c:pt>
                <c:pt idx="158">
                  <c:v>0.7053571428571429</c:v>
                </c:pt>
                <c:pt idx="159">
                  <c:v>0.7098214285714286</c:v>
                </c:pt>
                <c:pt idx="160">
                  <c:v>0.7142857142857143</c:v>
                </c:pt>
                <c:pt idx="161">
                  <c:v>0.71875</c:v>
                </c:pt>
                <c:pt idx="162">
                  <c:v>0.7232142857142857</c:v>
                </c:pt>
                <c:pt idx="163">
                  <c:v>0.7276785714285714</c:v>
                </c:pt>
                <c:pt idx="164">
                  <c:v>0.7321428571428571</c:v>
                </c:pt>
                <c:pt idx="165">
                  <c:v>0.7366071428571429</c:v>
                </c:pt>
                <c:pt idx="166">
                  <c:v>0.7410714285714286</c:v>
                </c:pt>
                <c:pt idx="167">
                  <c:v>0.7455357142857143</c:v>
                </c:pt>
                <c:pt idx="168">
                  <c:v>0.75</c:v>
                </c:pt>
                <c:pt idx="169">
                  <c:v>0.7544642857142857</c:v>
                </c:pt>
                <c:pt idx="170">
                  <c:v>0.7589285714285714</c:v>
                </c:pt>
                <c:pt idx="171">
                  <c:v>0.7633928571428571</c:v>
                </c:pt>
                <c:pt idx="172">
                  <c:v>0.7678571428571429</c:v>
                </c:pt>
                <c:pt idx="173">
                  <c:v>0.7723214285714286</c:v>
                </c:pt>
                <c:pt idx="174">
                  <c:v>0.7767857142857143</c:v>
                </c:pt>
                <c:pt idx="175">
                  <c:v>0.78125</c:v>
                </c:pt>
                <c:pt idx="176">
                  <c:v>0.7857142857142857</c:v>
                </c:pt>
                <c:pt idx="177">
                  <c:v>0.7901785714285714</c:v>
                </c:pt>
                <c:pt idx="178">
                  <c:v>0.7946428571428571</c:v>
                </c:pt>
                <c:pt idx="179">
                  <c:v>0.7991071428571429</c:v>
                </c:pt>
                <c:pt idx="180">
                  <c:v>0.8035714285714286</c:v>
                </c:pt>
                <c:pt idx="181">
                  <c:v>0.8080357142857143</c:v>
                </c:pt>
                <c:pt idx="182">
                  <c:v>0.8125</c:v>
                </c:pt>
                <c:pt idx="183">
                  <c:v>0.8169642857142857</c:v>
                </c:pt>
                <c:pt idx="184">
                  <c:v>0.8214285714285714</c:v>
                </c:pt>
                <c:pt idx="185">
                  <c:v>0.8258928571428571</c:v>
                </c:pt>
                <c:pt idx="186">
                  <c:v>0.8303571428571429</c:v>
                </c:pt>
                <c:pt idx="187">
                  <c:v>0.8348214285714286</c:v>
                </c:pt>
                <c:pt idx="188">
                  <c:v>0.8392857142857143</c:v>
                </c:pt>
                <c:pt idx="189">
                  <c:v>0.84375</c:v>
                </c:pt>
                <c:pt idx="190">
                  <c:v>0.8482142857142857</c:v>
                </c:pt>
                <c:pt idx="191">
                  <c:v>0.8526785714285714</c:v>
                </c:pt>
                <c:pt idx="192">
                  <c:v>0.8571428571428571</c:v>
                </c:pt>
                <c:pt idx="193">
                  <c:v>0.8616071428571429</c:v>
                </c:pt>
                <c:pt idx="194">
                  <c:v>0.8660714285714286</c:v>
                </c:pt>
                <c:pt idx="195">
                  <c:v>0.8705357142857143</c:v>
                </c:pt>
                <c:pt idx="196">
                  <c:v>0.875</c:v>
                </c:pt>
                <c:pt idx="197">
                  <c:v>0.8794642857142857</c:v>
                </c:pt>
                <c:pt idx="198">
                  <c:v>0.8839285714285714</c:v>
                </c:pt>
                <c:pt idx="199">
                  <c:v>0.8883928571428571</c:v>
                </c:pt>
                <c:pt idx="200">
                  <c:v>0.8928571428571429</c:v>
                </c:pt>
                <c:pt idx="201">
                  <c:v>0.8973214285714286</c:v>
                </c:pt>
                <c:pt idx="202">
                  <c:v>0.9017857142857143</c:v>
                </c:pt>
                <c:pt idx="203">
                  <c:v>0.90625</c:v>
                </c:pt>
                <c:pt idx="204">
                  <c:v>0.9107142857142857</c:v>
                </c:pt>
                <c:pt idx="205">
                  <c:v>0.9151785714285714</c:v>
                </c:pt>
                <c:pt idx="206">
                  <c:v>0.9196428571428571</c:v>
                </c:pt>
                <c:pt idx="207">
                  <c:v>0.9241071428571429</c:v>
                </c:pt>
                <c:pt idx="208">
                  <c:v>0.9285714285714286</c:v>
                </c:pt>
                <c:pt idx="209">
                  <c:v>0.9330357142857143</c:v>
                </c:pt>
                <c:pt idx="210">
                  <c:v>0.9375</c:v>
                </c:pt>
                <c:pt idx="211">
                  <c:v>0.9419642857142857</c:v>
                </c:pt>
                <c:pt idx="212">
                  <c:v>0.9464285714285714</c:v>
                </c:pt>
                <c:pt idx="213">
                  <c:v>0.9508928571428571</c:v>
                </c:pt>
                <c:pt idx="214">
                  <c:v>0.9553571428571429</c:v>
                </c:pt>
                <c:pt idx="215">
                  <c:v>0.9598214285714286</c:v>
                </c:pt>
                <c:pt idx="216">
                  <c:v>0.9642857142857143</c:v>
                </c:pt>
                <c:pt idx="217">
                  <c:v>0.96875</c:v>
                </c:pt>
                <c:pt idx="218">
                  <c:v>0.9732142857142857</c:v>
                </c:pt>
                <c:pt idx="219">
                  <c:v>0.9776785714285714</c:v>
                </c:pt>
                <c:pt idx="220">
                  <c:v>0.9821428571428571</c:v>
                </c:pt>
                <c:pt idx="221">
                  <c:v>0.9866071428571429</c:v>
                </c:pt>
                <c:pt idx="222">
                  <c:v>0.9910714285714286</c:v>
                </c:pt>
                <c:pt idx="223">
                  <c:v>0.9955357142857143</c:v>
                </c:pt>
                <c:pt idx="224">
                  <c:v>1</c:v>
                </c:pt>
              </c:numCache>
            </c:numRef>
          </c:yVal>
          <c:smooth val="0"/>
          <c:extLst>
            <c:ext xmlns:c16="http://schemas.microsoft.com/office/drawing/2014/chart" uri="{C3380CC4-5D6E-409C-BE32-E72D297353CC}">
              <c16:uniqueId val="{00000002-459B-4884-A56A-F521755C8A9B}"/>
            </c:ext>
          </c:extLst>
        </c:ser>
        <c:dLbls>
          <c:showLegendKey val="0"/>
          <c:showVal val="0"/>
          <c:showCatName val="0"/>
          <c:showSerName val="0"/>
          <c:showPercent val="0"/>
          <c:showBubbleSize val="0"/>
        </c:dLbls>
        <c:axId val="1006316079"/>
        <c:axId val="1006316495"/>
      </c:scatterChart>
      <c:valAx>
        <c:axId val="1006316079"/>
        <c:scaling>
          <c:orientation val="minMax"/>
          <c:max val="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l-GR"/>
                  <a:t>Ω</a:t>
                </a:r>
                <a:r>
                  <a:rPr lang="en-GB"/>
                  <a: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06316495"/>
        <c:crosses val="autoZero"/>
        <c:crossBetween val="midCat"/>
        <c:majorUnit val="0.2"/>
      </c:valAx>
      <c:valAx>
        <c:axId val="100631649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006316079"/>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Observed</c:v>
          </c:tx>
          <c:spPr>
            <a:ln w="19050" cap="rnd">
              <a:noFill/>
              <a:round/>
            </a:ln>
            <a:effectLst/>
          </c:spPr>
          <c:marker>
            <c:symbol val="none"/>
          </c:marker>
          <c:errBars>
            <c:errDir val="x"/>
            <c:errBarType val="both"/>
            <c:errValType val="cust"/>
            <c:noEndCap val="1"/>
            <c:plus>
              <c:numRef>
                <c:f>'Figure 7 Data'!$AY$12:$AY$99</c:f>
                <c:numCache>
                  <c:formatCode>General</c:formatCode>
                  <c:ptCount val="88"/>
                  <c:pt idx="0">
                    <c:v>0</c:v>
                  </c:pt>
                  <c:pt idx="1">
                    <c:v>12.5</c:v>
                  </c:pt>
                  <c:pt idx="2">
                    <c:v>69</c:v>
                  </c:pt>
                  <c:pt idx="3">
                    <c:v>16</c:v>
                  </c:pt>
                  <c:pt idx="4">
                    <c:v>22.872696817420433</c:v>
                  </c:pt>
                  <c:pt idx="5">
                    <c:v>2.6894837617959126</c:v>
                  </c:pt>
                  <c:pt idx="6">
                    <c:v>1.1016273110066379</c:v>
                  </c:pt>
                  <c:pt idx="7">
                    <c:v>7.3361921097770164</c:v>
                  </c:pt>
                  <c:pt idx="8">
                    <c:v>68.974683544303758</c:v>
                  </c:pt>
                  <c:pt idx="9">
                    <c:v>11.025316455696242</c:v>
                  </c:pt>
                  <c:pt idx="10">
                    <c:v>14</c:v>
                  </c:pt>
                  <c:pt idx="11">
                    <c:v>7</c:v>
                  </c:pt>
                  <c:pt idx="12">
                    <c:v>10</c:v>
                  </c:pt>
                  <c:pt idx="13">
                    <c:v>13.750000000000057</c:v>
                  </c:pt>
                  <c:pt idx="14">
                    <c:v>6.25</c:v>
                  </c:pt>
                  <c:pt idx="15">
                    <c:v>13.545150501672197</c:v>
                  </c:pt>
                  <c:pt idx="16">
                    <c:v>1.0521649345693618</c:v>
                  </c:pt>
                  <c:pt idx="17">
                    <c:v>2.661567812489352</c:v>
                  </c:pt>
                  <c:pt idx="18">
                    <c:v>0.53772692076051953</c:v>
                  </c:pt>
                  <c:pt idx="19">
                    <c:v>0.61555199267064609</c:v>
                  </c:pt>
                  <c:pt idx="20">
                    <c:v>0.23190563444808276</c:v>
                  </c:pt>
                  <c:pt idx="21">
                    <c:v>0.84745762711855832</c:v>
                  </c:pt>
                  <c:pt idx="22">
                    <c:v>12.374671759369846</c:v>
                  </c:pt>
                  <c:pt idx="23">
                    <c:v>4.7409456740442693</c:v>
                  </c:pt>
                  <c:pt idx="24">
                    <c:v>7.3709593326381082</c:v>
                  </c:pt>
                  <c:pt idx="25">
                    <c:v>1.739969021292211</c:v>
                  </c:pt>
                  <c:pt idx="26">
                    <c:v>0.78928173010325509</c:v>
                  </c:pt>
                  <c:pt idx="27">
                    <c:v>3.4926470588235361</c:v>
                  </c:pt>
                  <c:pt idx="28">
                    <c:v>8.1010265294769397</c:v>
                  </c:pt>
                  <c:pt idx="29">
                    <c:v>4.1760699754148618</c:v>
                  </c:pt>
                  <c:pt idx="30">
                    <c:v>12.722903495108199</c:v>
                  </c:pt>
                  <c:pt idx="31">
                    <c:v>25</c:v>
                  </c:pt>
                  <c:pt idx="32">
                    <c:v>37.5</c:v>
                  </c:pt>
                  <c:pt idx="33">
                    <c:v>18.066868390460797</c:v>
                  </c:pt>
                  <c:pt idx="34">
                    <c:v>4.1892291705148637</c:v>
                  </c:pt>
                  <c:pt idx="35">
                    <c:v>0.51944103364854755</c:v>
                  </c:pt>
                  <c:pt idx="36">
                    <c:v>0.50877513086595627</c:v>
                  </c:pt>
                  <c:pt idx="37">
                    <c:v>3.5014005602241696</c:v>
                  </c:pt>
                  <c:pt idx="38">
                    <c:v>9.3323761665469647</c:v>
                  </c:pt>
                  <c:pt idx="39">
                    <c:v>1.3819095477387009</c:v>
                  </c:pt>
                  <c:pt idx="40">
                    <c:v>3.8851351351351582</c:v>
                  </c:pt>
                  <c:pt idx="41">
                    <c:v>7.109382109388207E-2</c:v>
                  </c:pt>
                  <c:pt idx="42">
                    <c:v>7.3216441140968982</c:v>
                  </c:pt>
                  <c:pt idx="43">
                    <c:v>4.6913254460491771E-2</c:v>
                  </c:pt>
                  <c:pt idx="44">
                    <c:v>76.17521367521357</c:v>
                  </c:pt>
                  <c:pt idx="45">
                    <c:v>31.5</c:v>
                  </c:pt>
                  <c:pt idx="46">
                    <c:v>35.242961165100496</c:v>
                  </c:pt>
                  <c:pt idx="47">
                    <c:v>5.5317796485926465</c:v>
                  </c:pt>
                  <c:pt idx="48">
                    <c:v>0.81847952528994483</c:v>
                  </c:pt>
                  <c:pt idx="49">
                    <c:v>4.7375092246097665</c:v>
                  </c:pt>
                  <c:pt idx="50">
                    <c:v>1.7925581076400476</c:v>
                  </c:pt>
                  <c:pt idx="51">
                    <c:v>3.7876397435665012</c:v>
                  </c:pt>
                  <c:pt idx="52">
                    <c:v>5.6044069525129316</c:v>
                  </c:pt>
                  <c:pt idx="53">
                    <c:v>5.6286160538198828</c:v>
                  </c:pt>
                  <c:pt idx="54">
                    <c:v>5.6528251551266067</c:v>
                  </c:pt>
                  <c:pt idx="55">
                    <c:v>5.6770342564333305</c:v>
                  </c:pt>
                  <c:pt idx="56">
                    <c:v>5.7012433577403954</c:v>
                  </c:pt>
                  <c:pt idx="57">
                    <c:v>0.28537846424376312</c:v>
                  </c:pt>
                  <c:pt idx="58">
                    <c:v>9.8461376883893763</c:v>
                  </c:pt>
                  <c:pt idx="59">
                    <c:v>1.3435978667671407</c:v>
                  </c:pt>
                  <c:pt idx="60">
                    <c:v>5.7738706616602258</c:v>
                  </c:pt>
                  <c:pt idx="61">
                    <c:v>29.232489827903237</c:v>
                  </c:pt>
                  <c:pt idx="62">
                    <c:v>35.877888136606657</c:v>
                  </c:pt>
                  <c:pt idx="63">
                    <c:v>12.15296885598957</c:v>
                  </c:pt>
                  <c:pt idx="64">
                    <c:v>31.31261530800748</c:v>
                  </c:pt>
                  <c:pt idx="65">
                    <c:v>60.091743119266084</c:v>
                  </c:pt>
                  <c:pt idx="66">
                    <c:v>20.189947021578973</c:v>
                  </c:pt>
                  <c:pt idx="67">
                    <c:v>25.51541130843043</c:v>
                  </c:pt>
                  <c:pt idx="68">
                    <c:v>9.609541712287978</c:v>
                  </c:pt>
                  <c:pt idx="69">
                    <c:v>3.7110038972599568</c:v>
                  </c:pt>
                  <c:pt idx="70">
                    <c:v>9.6524200240672826</c:v>
                  </c:pt>
                  <c:pt idx="71">
                    <c:v>4.0657538126318968</c:v>
                  </c:pt>
                  <c:pt idx="72">
                    <c:v>18.506460983672127</c:v>
                  </c:pt>
                  <c:pt idx="73">
                    <c:v>33.032718120805384</c:v>
                  </c:pt>
                  <c:pt idx="74">
                    <c:v>35.409172661870457</c:v>
                  </c:pt>
                  <c:pt idx="75">
                    <c:v>51.644398766700988</c:v>
                  </c:pt>
                  <c:pt idx="76">
                    <c:v>2.4350649350649292</c:v>
                  </c:pt>
                  <c:pt idx="77">
                    <c:v>111.13636363636351</c:v>
                  </c:pt>
                  <c:pt idx="78">
                    <c:v>109.32749681484734</c:v>
                  </c:pt>
                  <c:pt idx="79">
                    <c:v>12.124116088378514</c:v>
                  </c:pt>
                  <c:pt idx="80">
                    <c:v>37.150282831371442</c:v>
                  </c:pt>
                  <c:pt idx="81">
                    <c:v>66.845865459432844</c:v>
                  </c:pt>
                  <c:pt idx="82">
                    <c:v>5.3489014274462079</c:v>
                  </c:pt>
                  <c:pt idx="83">
                    <c:v>8.8264529564130498</c:v>
                  </c:pt>
                  <c:pt idx="84">
                    <c:v>7.7809905400183652</c:v>
                  </c:pt>
                  <c:pt idx="85">
                    <c:v>8.3400354001760206</c:v>
                  </c:pt>
                  <c:pt idx="86">
                    <c:v>28.167775580361877</c:v>
                  </c:pt>
                </c:numCache>
              </c:numRef>
            </c:plus>
            <c:minus>
              <c:numLit>
                <c:formatCode>General</c:formatCode>
                <c:ptCount val="1"/>
                <c:pt idx="0">
                  <c:v>0</c:v>
                </c:pt>
              </c:numLit>
            </c:minus>
            <c:spPr>
              <a:noFill/>
              <a:ln w="9525" cap="flat" cmpd="sng" algn="ctr">
                <a:solidFill>
                  <a:schemeClr val="tx1">
                    <a:lumMod val="95000"/>
                    <a:lumOff val="5000"/>
                  </a:schemeClr>
                </a:solidFill>
                <a:prstDash val="solid"/>
                <a:round/>
              </a:ln>
              <a:effectLst/>
            </c:spPr>
          </c:errBars>
          <c:errBars>
            <c:errDir val="y"/>
            <c:errBarType val="both"/>
            <c:errValType val="cust"/>
            <c:noEndCap val="1"/>
            <c:plus>
              <c:numLit>
                <c:formatCode>General</c:formatCode>
                <c:ptCount val="1"/>
                <c:pt idx="0">
                  <c:v>0</c:v>
                </c:pt>
              </c:numLit>
            </c:plus>
            <c:minus>
              <c:numRef>
                <c:f>'Figure 7 Data'!$AZ$12:$AZ$99</c:f>
                <c:numCache>
                  <c:formatCode>General</c:formatCode>
                  <c:ptCount val="88"/>
                  <c:pt idx="1">
                    <c:v>6.1349693251533744E-3</c:v>
                  </c:pt>
                  <c:pt idx="2">
                    <c:v>6.1349693251533744E-3</c:v>
                  </c:pt>
                  <c:pt idx="3">
                    <c:v>1.2269938650306749E-2</c:v>
                  </c:pt>
                  <c:pt idx="4">
                    <c:v>1.8404907975460124E-2</c:v>
                  </c:pt>
                  <c:pt idx="5">
                    <c:v>6.1349693251533735E-3</c:v>
                  </c:pt>
                  <c:pt idx="6">
                    <c:v>6.1349693251533735E-3</c:v>
                  </c:pt>
                  <c:pt idx="7">
                    <c:v>6.1349693251533735E-3</c:v>
                  </c:pt>
                  <c:pt idx="8">
                    <c:v>1.2269938650306754E-2</c:v>
                  </c:pt>
                  <c:pt idx="9">
                    <c:v>2.4539877300613494E-2</c:v>
                  </c:pt>
                  <c:pt idx="10">
                    <c:v>1.2269938650306747E-2</c:v>
                  </c:pt>
                  <c:pt idx="11">
                    <c:v>1.2269938650306747E-2</c:v>
                  </c:pt>
                  <c:pt idx="12">
                    <c:v>1.8404907975460114E-2</c:v>
                  </c:pt>
                  <c:pt idx="13">
                    <c:v>2.4539877300613494E-2</c:v>
                  </c:pt>
                  <c:pt idx="14">
                    <c:v>6.1349693251533943E-3</c:v>
                  </c:pt>
                  <c:pt idx="15">
                    <c:v>6.7484662576687116E-2</c:v>
                  </c:pt>
                  <c:pt idx="16">
                    <c:v>6.1349693251533666E-3</c:v>
                  </c:pt>
                  <c:pt idx="17">
                    <c:v>6.1349693251533666E-3</c:v>
                  </c:pt>
                  <c:pt idx="18">
                    <c:v>6.1349693251533943E-3</c:v>
                  </c:pt>
                  <c:pt idx="19">
                    <c:v>6.1349693251533388E-3</c:v>
                  </c:pt>
                  <c:pt idx="20">
                    <c:v>6.1349693251533943E-3</c:v>
                  </c:pt>
                  <c:pt idx="21">
                    <c:v>1.2269938650306733E-2</c:v>
                  </c:pt>
                  <c:pt idx="22">
                    <c:v>6.1349693251533943E-3</c:v>
                  </c:pt>
                  <c:pt idx="23">
                    <c:v>6.1349693251533943E-3</c:v>
                  </c:pt>
                  <c:pt idx="24">
                    <c:v>6.1349693251533388E-3</c:v>
                  </c:pt>
                  <c:pt idx="25">
                    <c:v>6.1349693251533943E-3</c:v>
                  </c:pt>
                  <c:pt idx="26">
                    <c:v>6.1349693251533943E-3</c:v>
                  </c:pt>
                  <c:pt idx="27">
                    <c:v>6.1349693251533388E-3</c:v>
                  </c:pt>
                  <c:pt idx="28">
                    <c:v>2.4539877300613522E-2</c:v>
                  </c:pt>
                  <c:pt idx="29">
                    <c:v>1.2269938650306733E-2</c:v>
                  </c:pt>
                  <c:pt idx="30">
                    <c:v>1.2269938650306733E-2</c:v>
                  </c:pt>
                  <c:pt idx="31">
                    <c:v>6.1349693251533943E-3</c:v>
                  </c:pt>
                  <c:pt idx="32">
                    <c:v>2.4539877300613466E-2</c:v>
                  </c:pt>
                  <c:pt idx="33">
                    <c:v>2.4539877300613522E-2</c:v>
                  </c:pt>
                  <c:pt idx="34">
                    <c:v>6.1349693251533943E-3</c:v>
                  </c:pt>
                  <c:pt idx="35">
                    <c:v>6.1349693251533388E-3</c:v>
                  </c:pt>
                  <c:pt idx="36">
                    <c:v>1.8404907975460127E-2</c:v>
                  </c:pt>
                  <c:pt idx="37">
                    <c:v>3.6809815950920255E-2</c:v>
                  </c:pt>
                  <c:pt idx="38">
                    <c:v>6.1349693251533943E-3</c:v>
                  </c:pt>
                  <c:pt idx="39">
                    <c:v>6.1349693251533388E-3</c:v>
                  </c:pt>
                  <c:pt idx="40">
                    <c:v>1.2269938650306789E-2</c:v>
                  </c:pt>
                  <c:pt idx="41">
                    <c:v>6.1349693251533388E-3</c:v>
                  </c:pt>
                  <c:pt idx="42">
                    <c:v>6.1349693251533388E-3</c:v>
                  </c:pt>
                  <c:pt idx="43">
                    <c:v>6.1349693251534498E-3</c:v>
                  </c:pt>
                  <c:pt idx="44">
                    <c:v>1.2269938650306678E-2</c:v>
                  </c:pt>
                  <c:pt idx="45">
                    <c:v>3.0674846625766916E-2</c:v>
                  </c:pt>
                  <c:pt idx="46">
                    <c:v>1.2269938650306789E-2</c:v>
                  </c:pt>
                  <c:pt idx="47">
                    <c:v>1.2269938650306678E-2</c:v>
                  </c:pt>
                  <c:pt idx="48">
                    <c:v>6.1349693251534498E-3</c:v>
                  </c:pt>
                  <c:pt idx="49">
                    <c:v>1.2269938650306678E-2</c:v>
                  </c:pt>
                  <c:pt idx="50">
                    <c:v>1.8404907975460127E-2</c:v>
                  </c:pt>
                  <c:pt idx="51">
                    <c:v>6.1349693251533388E-3</c:v>
                  </c:pt>
                  <c:pt idx="52">
                    <c:v>6.1349693251534498E-3</c:v>
                  </c:pt>
                  <c:pt idx="53">
                    <c:v>2.4539877300613466E-2</c:v>
                  </c:pt>
                  <c:pt idx="54">
                    <c:v>6.1349693251533388E-3</c:v>
                  </c:pt>
                  <c:pt idx="55">
                    <c:v>1.8404907975460127E-2</c:v>
                  </c:pt>
                  <c:pt idx="56">
                    <c:v>1.2269938650306789E-2</c:v>
                  </c:pt>
                  <c:pt idx="57">
                    <c:v>1.2269938650306789E-2</c:v>
                  </c:pt>
                  <c:pt idx="58">
                    <c:v>6.1349693251533388E-3</c:v>
                  </c:pt>
                  <c:pt idx="59">
                    <c:v>6.1349693251533388E-3</c:v>
                  </c:pt>
                  <c:pt idx="60">
                    <c:v>1.8404907975460127E-2</c:v>
                  </c:pt>
                  <c:pt idx="61">
                    <c:v>1.2269938650306789E-2</c:v>
                  </c:pt>
                  <c:pt idx="62">
                    <c:v>1.2269938650306789E-2</c:v>
                  </c:pt>
                  <c:pt idx="63">
                    <c:v>6.1349693251533388E-3</c:v>
                  </c:pt>
                  <c:pt idx="64">
                    <c:v>6.1349693251533388E-3</c:v>
                  </c:pt>
                  <c:pt idx="65">
                    <c:v>2.4539877300613466E-2</c:v>
                  </c:pt>
                  <c:pt idx="66">
                    <c:v>6.1349693251534498E-3</c:v>
                  </c:pt>
                  <c:pt idx="67">
                    <c:v>1.2269938650306678E-2</c:v>
                  </c:pt>
                  <c:pt idx="68">
                    <c:v>1.2269938650306789E-2</c:v>
                  </c:pt>
                  <c:pt idx="69">
                    <c:v>6.1349693251533388E-3</c:v>
                  </c:pt>
                  <c:pt idx="70">
                    <c:v>6.1349693251534498E-3</c:v>
                  </c:pt>
                  <c:pt idx="71">
                    <c:v>6.1349693251533388E-3</c:v>
                  </c:pt>
                  <c:pt idx="72">
                    <c:v>6.1349693251533388E-3</c:v>
                  </c:pt>
                  <c:pt idx="73">
                    <c:v>6.1349693251534498E-3</c:v>
                  </c:pt>
                  <c:pt idx="74">
                    <c:v>6.1349693251533388E-3</c:v>
                  </c:pt>
                  <c:pt idx="75">
                    <c:v>6.1349693251533388E-3</c:v>
                  </c:pt>
                  <c:pt idx="76">
                    <c:v>1.8404907975460127E-2</c:v>
                  </c:pt>
                  <c:pt idx="77">
                    <c:v>6.1349693251534498E-3</c:v>
                  </c:pt>
                  <c:pt idx="78">
                    <c:v>1.2269938650306678E-2</c:v>
                  </c:pt>
                  <c:pt idx="79">
                    <c:v>1.2269938650306789E-2</c:v>
                  </c:pt>
                  <c:pt idx="80">
                    <c:v>6.1349693251533388E-3</c:v>
                  </c:pt>
                  <c:pt idx="81">
                    <c:v>1.2269938650306789E-2</c:v>
                  </c:pt>
                  <c:pt idx="82">
                    <c:v>6.1349693251533388E-3</c:v>
                  </c:pt>
                  <c:pt idx="83">
                    <c:v>6.1349693251533388E-3</c:v>
                  </c:pt>
                  <c:pt idx="84">
                    <c:v>6.1349693251534498E-3</c:v>
                  </c:pt>
                  <c:pt idx="85">
                    <c:v>6.1349693251533388E-3</c:v>
                  </c:pt>
                  <c:pt idx="86">
                    <c:v>1.2269938650306789E-2</c:v>
                  </c:pt>
                  <c:pt idx="87">
                    <c:v>6.1349693251533388E-3</c:v>
                  </c:pt>
                </c:numCache>
              </c:numRef>
            </c:minus>
            <c:spPr>
              <a:noFill/>
              <a:ln w="9525" cap="flat" cmpd="sng" algn="ctr">
                <a:solidFill>
                  <a:schemeClr val="tx1"/>
                </a:solidFill>
                <a:round/>
              </a:ln>
              <a:effectLst/>
            </c:spPr>
          </c:errBars>
          <c:xVal>
            <c:numRef>
              <c:f>'Figure 7 Data'!$AX$12:$AX$99</c:f>
              <c:numCache>
                <c:formatCode>General</c:formatCode>
                <c:ptCount val="88"/>
                <c:pt idx="0">
                  <c:v>37.5</c:v>
                </c:pt>
                <c:pt idx="1">
                  <c:v>37.5</c:v>
                </c:pt>
                <c:pt idx="2">
                  <c:v>50</c:v>
                </c:pt>
                <c:pt idx="3">
                  <c:v>119</c:v>
                </c:pt>
                <c:pt idx="4">
                  <c:v>135</c:v>
                </c:pt>
                <c:pt idx="5">
                  <c:v>157.87269681742043</c:v>
                </c:pt>
                <c:pt idx="6">
                  <c:v>160.56218057921635</c:v>
                </c:pt>
                <c:pt idx="7">
                  <c:v>161.66380789022298</c:v>
                </c:pt>
                <c:pt idx="8">
                  <c:v>169</c:v>
                </c:pt>
                <c:pt idx="9">
                  <c:v>237.97468354430376</c:v>
                </c:pt>
                <c:pt idx="10">
                  <c:v>249</c:v>
                </c:pt>
                <c:pt idx="11">
                  <c:v>263</c:v>
                </c:pt>
                <c:pt idx="12">
                  <c:v>270</c:v>
                </c:pt>
                <c:pt idx="13">
                  <c:v>280</c:v>
                </c:pt>
                <c:pt idx="14">
                  <c:v>293.75000000000006</c:v>
                </c:pt>
                <c:pt idx="15">
                  <c:v>300.00000000000006</c:v>
                </c:pt>
                <c:pt idx="16">
                  <c:v>313.54515050167225</c:v>
                </c:pt>
                <c:pt idx="17">
                  <c:v>314.59731543624162</c:v>
                </c:pt>
                <c:pt idx="18">
                  <c:v>317.25888324873097</c:v>
                </c:pt>
                <c:pt idx="19">
                  <c:v>317.79661016949149</c:v>
                </c:pt>
                <c:pt idx="20">
                  <c:v>318.41216216216213</c:v>
                </c:pt>
                <c:pt idx="21">
                  <c:v>318.64406779661022</c:v>
                </c:pt>
                <c:pt idx="22">
                  <c:v>319.49152542372877</c:v>
                </c:pt>
                <c:pt idx="23">
                  <c:v>331.86619718309862</c:v>
                </c:pt>
                <c:pt idx="24">
                  <c:v>336.60714285714289</c:v>
                </c:pt>
                <c:pt idx="25">
                  <c:v>343.978102189781</c:v>
                </c:pt>
                <c:pt idx="26">
                  <c:v>345.71807121107321</c:v>
                </c:pt>
                <c:pt idx="27">
                  <c:v>346.50735294117646</c:v>
                </c:pt>
                <c:pt idx="28">
                  <c:v>350</c:v>
                </c:pt>
                <c:pt idx="29">
                  <c:v>358.10102652947694</c:v>
                </c:pt>
                <c:pt idx="30">
                  <c:v>362.2770965048918</c:v>
                </c:pt>
                <c:pt idx="31">
                  <c:v>375</c:v>
                </c:pt>
                <c:pt idx="32">
                  <c:v>400</c:v>
                </c:pt>
                <c:pt idx="33">
                  <c:v>437.5</c:v>
                </c:pt>
                <c:pt idx="34">
                  <c:v>455.5668683904608</c:v>
                </c:pt>
                <c:pt idx="35">
                  <c:v>459.75609756097566</c:v>
                </c:pt>
                <c:pt idx="36">
                  <c:v>460.27553859462421</c:v>
                </c:pt>
                <c:pt idx="37">
                  <c:v>460.78431372549016</c:v>
                </c:pt>
                <c:pt idx="38">
                  <c:v>464.28571428571433</c:v>
                </c:pt>
                <c:pt idx="39">
                  <c:v>473.6180904522613</c:v>
                </c:pt>
                <c:pt idx="40">
                  <c:v>475</c:v>
                </c:pt>
                <c:pt idx="41">
                  <c:v>478.88513513513516</c:v>
                </c:pt>
                <c:pt idx="42">
                  <c:v>478.95622895622904</c:v>
                </c:pt>
                <c:pt idx="43">
                  <c:v>486.27787307032594</c:v>
                </c:pt>
                <c:pt idx="44">
                  <c:v>486.32478632478643</c:v>
                </c:pt>
                <c:pt idx="45">
                  <c:v>562.5</c:v>
                </c:pt>
                <c:pt idx="46">
                  <c:v>594</c:v>
                </c:pt>
                <c:pt idx="47">
                  <c:v>629.2429611651005</c:v>
                </c:pt>
                <c:pt idx="48">
                  <c:v>634.77474081369314</c:v>
                </c:pt>
                <c:pt idx="49">
                  <c:v>635.59322033898309</c:v>
                </c:pt>
                <c:pt idx="50">
                  <c:v>640.33072956359285</c:v>
                </c:pt>
                <c:pt idx="51">
                  <c:v>642.1232876712329</c:v>
                </c:pt>
                <c:pt idx="52">
                  <c:v>645.9109274147994</c:v>
                </c:pt>
                <c:pt idx="53">
                  <c:v>651.51533436731233</c:v>
                </c:pt>
                <c:pt idx="54">
                  <c:v>657.14395042113222</c:v>
                </c:pt>
                <c:pt idx="55">
                  <c:v>662.79677557625882</c:v>
                </c:pt>
                <c:pt idx="56">
                  <c:v>668.47380983269215</c:v>
                </c:pt>
                <c:pt idx="57">
                  <c:v>674.17505319043255</c:v>
                </c:pt>
                <c:pt idx="58">
                  <c:v>674.46043165467631</c:v>
                </c:pt>
                <c:pt idx="59">
                  <c:v>684.30656934306569</c:v>
                </c:pt>
                <c:pt idx="60">
                  <c:v>685.65016720983283</c:v>
                </c:pt>
                <c:pt idx="61">
                  <c:v>691.42403787149306</c:v>
                </c:pt>
                <c:pt idx="62">
                  <c:v>720.65652769939629</c:v>
                </c:pt>
                <c:pt idx="63">
                  <c:v>756.53441583600295</c:v>
                </c:pt>
                <c:pt idx="64">
                  <c:v>768.68738469199252</c:v>
                </c:pt>
                <c:pt idx="65">
                  <c:v>800</c:v>
                </c:pt>
                <c:pt idx="66">
                  <c:v>860.09174311926608</c:v>
                </c:pt>
                <c:pt idx="67">
                  <c:v>880.28169014084506</c:v>
                </c:pt>
                <c:pt idx="68">
                  <c:v>905.79710144927549</c:v>
                </c:pt>
                <c:pt idx="69">
                  <c:v>915.40664316156347</c:v>
                </c:pt>
                <c:pt idx="70">
                  <c:v>919.11764705882342</c:v>
                </c:pt>
                <c:pt idx="71">
                  <c:v>928.77006708289071</c:v>
                </c:pt>
                <c:pt idx="72">
                  <c:v>932.8358208955226</c:v>
                </c:pt>
                <c:pt idx="73">
                  <c:v>951.34228187919473</c:v>
                </c:pt>
                <c:pt idx="74">
                  <c:v>984.37500000000011</c:v>
                </c:pt>
                <c:pt idx="75">
                  <c:v>1019.7841726618706</c:v>
                </c:pt>
                <c:pt idx="76">
                  <c:v>1071.4285714285716</c:v>
                </c:pt>
                <c:pt idx="77">
                  <c:v>1073.8636363636365</c:v>
                </c:pt>
                <c:pt idx="78">
                  <c:v>1185</c:v>
                </c:pt>
                <c:pt idx="79">
                  <c:v>1294.3274968148473</c:v>
                </c:pt>
                <c:pt idx="80">
                  <c:v>1306.4516129032259</c:v>
                </c:pt>
                <c:pt idx="81">
                  <c:v>1343.6018957345973</c:v>
                </c:pt>
                <c:pt idx="82">
                  <c:v>1410.4477611940301</c:v>
                </c:pt>
                <c:pt idx="83">
                  <c:v>1415.7966626214763</c:v>
                </c:pt>
                <c:pt idx="84">
                  <c:v>1424.6231155778894</c:v>
                </c:pt>
                <c:pt idx="85">
                  <c:v>1432.4041061179078</c:v>
                </c:pt>
                <c:pt idx="86">
                  <c:v>1440.7441415180838</c:v>
                </c:pt>
                <c:pt idx="87">
                  <c:v>1468.9119170984457</c:v>
                </c:pt>
              </c:numCache>
            </c:numRef>
          </c:xVal>
          <c:yVal>
            <c:numRef>
              <c:f>'Figure 7 Data'!$AW$12:$AW$99</c:f>
              <c:numCache>
                <c:formatCode>General</c:formatCode>
                <c:ptCount val="88"/>
                <c:pt idx="0">
                  <c:v>0</c:v>
                </c:pt>
                <c:pt idx="1">
                  <c:v>6.1349693251533744E-3</c:v>
                </c:pt>
                <c:pt idx="2">
                  <c:v>1.2269938650306749E-2</c:v>
                </c:pt>
                <c:pt idx="3">
                  <c:v>2.4539877300613498E-2</c:v>
                </c:pt>
                <c:pt idx="4">
                  <c:v>4.2944785276073622E-2</c:v>
                </c:pt>
                <c:pt idx="5">
                  <c:v>4.9079754601226995E-2</c:v>
                </c:pt>
                <c:pt idx="6">
                  <c:v>5.5214723926380369E-2</c:v>
                </c:pt>
                <c:pt idx="7">
                  <c:v>6.1349693251533742E-2</c:v>
                </c:pt>
                <c:pt idx="8">
                  <c:v>7.3619631901840496E-2</c:v>
                </c:pt>
                <c:pt idx="9">
                  <c:v>9.815950920245399E-2</c:v>
                </c:pt>
                <c:pt idx="10">
                  <c:v>0.11042944785276074</c:v>
                </c:pt>
                <c:pt idx="11">
                  <c:v>0.12269938650306748</c:v>
                </c:pt>
                <c:pt idx="12">
                  <c:v>0.1411042944785276</c:v>
                </c:pt>
                <c:pt idx="13">
                  <c:v>0.16564417177914109</c:v>
                </c:pt>
                <c:pt idx="14">
                  <c:v>0.17177914110429449</c:v>
                </c:pt>
                <c:pt idx="15">
                  <c:v>0.2392638036809816</c:v>
                </c:pt>
                <c:pt idx="16">
                  <c:v>0.24539877300613497</c:v>
                </c:pt>
                <c:pt idx="17">
                  <c:v>0.25153374233128833</c:v>
                </c:pt>
                <c:pt idx="18">
                  <c:v>0.25766871165644173</c:v>
                </c:pt>
                <c:pt idx="19">
                  <c:v>0.26380368098159507</c:v>
                </c:pt>
                <c:pt idx="20">
                  <c:v>0.26993865030674846</c:v>
                </c:pt>
                <c:pt idx="21">
                  <c:v>0.2822085889570552</c:v>
                </c:pt>
                <c:pt idx="22">
                  <c:v>0.28834355828220859</c:v>
                </c:pt>
                <c:pt idx="23">
                  <c:v>0.29447852760736198</c:v>
                </c:pt>
                <c:pt idx="24">
                  <c:v>0.30061349693251532</c:v>
                </c:pt>
                <c:pt idx="25">
                  <c:v>0.30674846625766872</c:v>
                </c:pt>
                <c:pt idx="26">
                  <c:v>0.31288343558282211</c:v>
                </c:pt>
                <c:pt idx="27">
                  <c:v>0.31901840490797545</c:v>
                </c:pt>
                <c:pt idx="28">
                  <c:v>0.34355828220858897</c:v>
                </c:pt>
                <c:pt idx="29">
                  <c:v>0.35582822085889571</c:v>
                </c:pt>
                <c:pt idx="30">
                  <c:v>0.36809815950920244</c:v>
                </c:pt>
                <c:pt idx="31">
                  <c:v>0.37423312883435583</c:v>
                </c:pt>
                <c:pt idx="32">
                  <c:v>0.3987730061349693</c:v>
                </c:pt>
                <c:pt idx="33">
                  <c:v>0.42331288343558282</c:v>
                </c:pt>
                <c:pt idx="34">
                  <c:v>0.42944785276073622</c:v>
                </c:pt>
                <c:pt idx="35">
                  <c:v>0.43558282208588955</c:v>
                </c:pt>
                <c:pt idx="36">
                  <c:v>0.45398773006134968</c:v>
                </c:pt>
                <c:pt idx="37">
                  <c:v>0.49079754601226994</c:v>
                </c:pt>
                <c:pt idx="38">
                  <c:v>0.49693251533742333</c:v>
                </c:pt>
                <c:pt idx="39">
                  <c:v>0.50306748466257667</c:v>
                </c:pt>
                <c:pt idx="40">
                  <c:v>0.51533742331288346</c:v>
                </c:pt>
                <c:pt idx="41">
                  <c:v>0.5214723926380368</c:v>
                </c:pt>
                <c:pt idx="42">
                  <c:v>0.52760736196319014</c:v>
                </c:pt>
                <c:pt idx="43">
                  <c:v>0.53374233128834359</c:v>
                </c:pt>
                <c:pt idx="44">
                  <c:v>0.54601226993865026</c:v>
                </c:pt>
                <c:pt idx="45">
                  <c:v>0.57668711656441718</c:v>
                </c:pt>
                <c:pt idx="46">
                  <c:v>0.58895705521472397</c:v>
                </c:pt>
                <c:pt idx="47">
                  <c:v>0.60122699386503065</c:v>
                </c:pt>
                <c:pt idx="48">
                  <c:v>0.6073619631901841</c:v>
                </c:pt>
                <c:pt idx="49">
                  <c:v>0.61963190184049077</c:v>
                </c:pt>
                <c:pt idx="50">
                  <c:v>0.6380368098159509</c:v>
                </c:pt>
                <c:pt idx="51">
                  <c:v>0.64417177914110424</c:v>
                </c:pt>
                <c:pt idx="52">
                  <c:v>0.65030674846625769</c:v>
                </c:pt>
                <c:pt idx="53">
                  <c:v>0.67484662576687116</c:v>
                </c:pt>
                <c:pt idx="54">
                  <c:v>0.68098159509202449</c:v>
                </c:pt>
                <c:pt idx="55">
                  <c:v>0.69938650306748462</c:v>
                </c:pt>
                <c:pt idx="56">
                  <c:v>0.71165644171779141</c:v>
                </c:pt>
                <c:pt idx="57">
                  <c:v>0.7239263803680982</c:v>
                </c:pt>
                <c:pt idx="58">
                  <c:v>0.73006134969325154</c:v>
                </c:pt>
                <c:pt idx="59">
                  <c:v>0.73619631901840488</c:v>
                </c:pt>
                <c:pt idx="60">
                  <c:v>0.754601226993865</c:v>
                </c:pt>
                <c:pt idx="61">
                  <c:v>0.76687116564417179</c:v>
                </c:pt>
                <c:pt idx="62">
                  <c:v>0.77914110429447858</c:v>
                </c:pt>
                <c:pt idx="63">
                  <c:v>0.78527607361963192</c:v>
                </c:pt>
                <c:pt idx="64">
                  <c:v>0.79141104294478526</c:v>
                </c:pt>
                <c:pt idx="65">
                  <c:v>0.81595092024539873</c:v>
                </c:pt>
                <c:pt idx="66">
                  <c:v>0.82208588957055218</c:v>
                </c:pt>
                <c:pt idx="67">
                  <c:v>0.83435582822085885</c:v>
                </c:pt>
                <c:pt idx="68">
                  <c:v>0.84662576687116564</c:v>
                </c:pt>
                <c:pt idx="69">
                  <c:v>0.85276073619631898</c:v>
                </c:pt>
                <c:pt idx="70">
                  <c:v>0.85889570552147243</c:v>
                </c:pt>
                <c:pt idx="71">
                  <c:v>0.86503067484662577</c:v>
                </c:pt>
                <c:pt idx="72">
                  <c:v>0.87116564417177911</c:v>
                </c:pt>
                <c:pt idx="73">
                  <c:v>0.87730061349693256</c:v>
                </c:pt>
                <c:pt idx="74">
                  <c:v>0.8834355828220859</c:v>
                </c:pt>
                <c:pt idx="75">
                  <c:v>0.88957055214723924</c:v>
                </c:pt>
                <c:pt idx="76">
                  <c:v>0.90797546012269936</c:v>
                </c:pt>
                <c:pt idx="77">
                  <c:v>0.91411042944785281</c:v>
                </c:pt>
                <c:pt idx="78">
                  <c:v>0.92638036809815949</c:v>
                </c:pt>
                <c:pt idx="79">
                  <c:v>0.93865030674846628</c:v>
                </c:pt>
                <c:pt idx="80">
                  <c:v>0.94478527607361962</c:v>
                </c:pt>
                <c:pt idx="81">
                  <c:v>0.95705521472392641</c:v>
                </c:pt>
                <c:pt idx="82">
                  <c:v>0.96319018404907975</c:v>
                </c:pt>
                <c:pt idx="83">
                  <c:v>0.96932515337423308</c:v>
                </c:pt>
                <c:pt idx="84">
                  <c:v>0.97546012269938653</c:v>
                </c:pt>
                <c:pt idx="85">
                  <c:v>0.98159509202453987</c:v>
                </c:pt>
                <c:pt idx="86">
                  <c:v>0.99386503067484666</c:v>
                </c:pt>
                <c:pt idx="87">
                  <c:v>1</c:v>
                </c:pt>
              </c:numCache>
            </c:numRef>
          </c:yVal>
          <c:smooth val="0"/>
          <c:extLst>
            <c:ext xmlns:c16="http://schemas.microsoft.com/office/drawing/2014/chart" uri="{C3380CC4-5D6E-409C-BE32-E72D297353CC}">
              <c16:uniqueId val="{00000000-D8D1-4EB1-BF61-ED9BD4A3FA3F}"/>
            </c:ext>
          </c:extLst>
        </c:ser>
        <c:ser>
          <c:idx val="1"/>
          <c:order val="1"/>
          <c:tx>
            <c:v>Piece</c:v>
          </c:tx>
          <c:spPr>
            <a:ln w="12700" cap="rnd">
              <a:solidFill>
                <a:schemeClr val="tx1">
                  <a:lumMod val="65000"/>
                  <a:lumOff val="35000"/>
                </a:schemeClr>
              </a:solidFill>
              <a:prstDash val="dash"/>
              <a:round/>
            </a:ln>
            <a:effectLst/>
          </c:spPr>
          <c:marker>
            <c:symbol val="none"/>
          </c:marker>
          <c:xVal>
            <c:numRef>
              <c:f>'Figure 7 Data'!$AX$12:$AX$99</c:f>
              <c:numCache>
                <c:formatCode>General</c:formatCode>
                <c:ptCount val="88"/>
                <c:pt idx="0">
                  <c:v>37.5</c:v>
                </c:pt>
                <c:pt idx="1">
                  <c:v>37.5</c:v>
                </c:pt>
                <c:pt idx="2">
                  <c:v>50</c:v>
                </c:pt>
                <c:pt idx="3">
                  <c:v>119</c:v>
                </c:pt>
                <c:pt idx="4">
                  <c:v>135</c:v>
                </c:pt>
                <c:pt idx="5">
                  <c:v>157.87269681742043</c:v>
                </c:pt>
                <c:pt idx="6">
                  <c:v>160.56218057921635</c:v>
                </c:pt>
                <c:pt idx="7">
                  <c:v>161.66380789022298</c:v>
                </c:pt>
                <c:pt idx="8">
                  <c:v>169</c:v>
                </c:pt>
                <c:pt idx="9">
                  <c:v>237.97468354430376</c:v>
                </c:pt>
                <c:pt idx="10">
                  <c:v>249</c:v>
                </c:pt>
                <c:pt idx="11">
                  <c:v>263</c:v>
                </c:pt>
                <c:pt idx="12">
                  <c:v>270</c:v>
                </c:pt>
                <c:pt idx="13">
                  <c:v>280</c:v>
                </c:pt>
                <c:pt idx="14">
                  <c:v>293.75000000000006</c:v>
                </c:pt>
                <c:pt idx="15">
                  <c:v>300.00000000000006</c:v>
                </c:pt>
                <c:pt idx="16">
                  <c:v>313.54515050167225</c:v>
                </c:pt>
                <c:pt idx="17">
                  <c:v>314.59731543624162</c:v>
                </c:pt>
                <c:pt idx="18">
                  <c:v>317.25888324873097</c:v>
                </c:pt>
                <c:pt idx="19">
                  <c:v>317.79661016949149</c:v>
                </c:pt>
                <c:pt idx="20">
                  <c:v>318.41216216216213</c:v>
                </c:pt>
                <c:pt idx="21">
                  <c:v>318.64406779661022</c:v>
                </c:pt>
                <c:pt idx="22">
                  <c:v>319.49152542372877</c:v>
                </c:pt>
                <c:pt idx="23">
                  <c:v>331.86619718309862</c:v>
                </c:pt>
                <c:pt idx="24">
                  <c:v>336.60714285714289</c:v>
                </c:pt>
                <c:pt idx="25">
                  <c:v>343.978102189781</c:v>
                </c:pt>
                <c:pt idx="26">
                  <c:v>345.71807121107321</c:v>
                </c:pt>
                <c:pt idx="27">
                  <c:v>346.50735294117646</c:v>
                </c:pt>
                <c:pt idx="28">
                  <c:v>350</c:v>
                </c:pt>
                <c:pt idx="29">
                  <c:v>358.10102652947694</c:v>
                </c:pt>
                <c:pt idx="30">
                  <c:v>362.2770965048918</c:v>
                </c:pt>
                <c:pt idx="31">
                  <c:v>375</c:v>
                </c:pt>
                <c:pt idx="32">
                  <c:v>400</c:v>
                </c:pt>
                <c:pt idx="33">
                  <c:v>437.5</c:v>
                </c:pt>
                <c:pt idx="34">
                  <c:v>455.5668683904608</c:v>
                </c:pt>
                <c:pt idx="35">
                  <c:v>459.75609756097566</c:v>
                </c:pt>
                <c:pt idx="36">
                  <c:v>460.27553859462421</c:v>
                </c:pt>
                <c:pt idx="37">
                  <c:v>460.78431372549016</c:v>
                </c:pt>
                <c:pt idx="38">
                  <c:v>464.28571428571433</c:v>
                </c:pt>
                <c:pt idx="39">
                  <c:v>473.6180904522613</c:v>
                </c:pt>
                <c:pt idx="40">
                  <c:v>475</c:v>
                </c:pt>
                <c:pt idx="41">
                  <c:v>478.88513513513516</c:v>
                </c:pt>
                <c:pt idx="42">
                  <c:v>478.95622895622904</c:v>
                </c:pt>
                <c:pt idx="43">
                  <c:v>486.27787307032594</c:v>
                </c:pt>
                <c:pt idx="44">
                  <c:v>486.32478632478643</c:v>
                </c:pt>
                <c:pt idx="45">
                  <c:v>562.5</c:v>
                </c:pt>
                <c:pt idx="46">
                  <c:v>594</c:v>
                </c:pt>
                <c:pt idx="47">
                  <c:v>629.2429611651005</c:v>
                </c:pt>
                <c:pt idx="48">
                  <c:v>634.77474081369314</c:v>
                </c:pt>
                <c:pt idx="49">
                  <c:v>635.59322033898309</c:v>
                </c:pt>
                <c:pt idx="50">
                  <c:v>640.33072956359285</c:v>
                </c:pt>
                <c:pt idx="51">
                  <c:v>642.1232876712329</c:v>
                </c:pt>
                <c:pt idx="52">
                  <c:v>645.9109274147994</c:v>
                </c:pt>
                <c:pt idx="53">
                  <c:v>651.51533436731233</c:v>
                </c:pt>
                <c:pt idx="54">
                  <c:v>657.14395042113222</c:v>
                </c:pt>
                <c:pt idx="55">
                  <c:v>662.79677557625882</c:v>
                </c:pt>
                <c:pt idx="56">
                  <c:v>668.47380983269215</c:v>
                </c:pt>
                <c:pt idx="57">
                  <c:v>674.17505319043255</c:v>
                </c:pt>
                <c:pt idx="58">
                  <c:v>674.46043165467631</c:v>
                </c:pt>
                <c:pt idx="59">
                  <c:v>684.30656934306569</c:v>
                </c:pt>
                <c:pt idx="60">
                  <c:v>685.65016720983283</c:v>
                </c:pt>
                <c:pt idx="61">
                  <c:v>691.42403787149306</c:v>
                </c:pt>
                <c:pt idx="62">
                  <c:v>720.65652769939629</c:v>
                </c:pt>
                <c:pt idx="63">
                  <c:v>756.53441583600295</c:v>
                </c:pt>
                <c:pt idx="64">
                  <c:v>768.68738469199252</c:v>
                </c:pt>
                <c:pt idx="65">
                  <c:v>800</c:v>
                </c:pt>
                <c:pt idx="66">
                  <c:v>860.09174311926608</c:v>
                </c:pt>
                <c:pt idx="67">
                  <c:v>880.28169014084506</c:v>
                </c:pt>
                <c:pt idx="68">
                  <c:v>905.79710144927549</c:v>
                </c:pt>
                <c:pt idx="69">
                  <c:v>915.40664316156347</c:v>
                </c:pt>
                <c:pt idx="70">
                  <c:v>919.11764705882342</c:v>
                </c:pt>
                <c:pt idx="71">
                  <c:v>928.77006708289071</c:v>
                </c:pt>
                <c:pt idx="72">
                  <c:v>932.8358208955226</c:v>
                </c:pt>
                <c:pt idx="73">
                  <c:v>951.34228187919473</c:v>
                </c:pt>
                <c:pt idx="74">
                  <c:v>984.37500000000011</c:v>
                </c:pt>
                <c:pt idx="75">
                  <c:v>1019.7841726618706</c:v>
                </c:pt>
                <c:pt idx="76">
                  <c:v>1071.4285714285716</c:v>
                </c:pt>
                <c:pt idx="77">
                  <c:v>1073.8636363636365</c:v>
                </c:pt>
                <c:pt idx="78">
                  <c:v>1185</c:v>
                </c:pt>
                <c:pt idx="79">
                  <c:v>1294.3274968148473</c:v>
                </c:pt>
                <c:pt idx="80">
                  <c:v>1306.4516129032259</c:v>
                </c:pt>
                <c:pt idx="81">
                  <c:v>1343.6018957345973</c:v>
                </c:pt>
                <c:pt idx="82">
                  <c:v>1410.4477611940301</c:v>
                </c:pt>
                <c:pt idx="83">
                  <c:v>1415.7966626214763</c:v>
                </c:pt>
                <c:pt idx="84">
                  <c:v>1424.6231155778894</c:v>
                </c:pt>
                <c:pt idx="85">
                  <c:v>1432.4041061179078</c:v>
                </c:pt>
                <c:pt idx="86">
                  <c:v>1440.7441415180838</c:v>
                </c:pt>
                <c:pt idx="87">
                  <c:v>1468.9119170984457</c:v>
                </c:pt>
              </c:numCache>
            </c:numRef>
          </c:xVal>
          <c:yVal>
            <c:numRef>
              <c:f>'Figure 7 Data'!$AW$12:$AW$99</c:f>
              <c:numCache>
                <c:formatCode>General</c:formatCode>
                <c:ptCount val="88"/>
                <c:pt idx="0">
                  <c:v>0</c:v>
                </c:pt>
                <c:pt idx="1">
                  <c:v>6.1349693251533744E-3</c:v>
                </c:pt>
                <c:pt idx="2">
                  <c:v>1.2269938650306749E-2</c:v>
                </c:pt>
                <c:pt idx="3">
                  <c:v>2.4539877300613498E-2</c:v>
                </c:pt>
                <c:pt idx="4">
                  <c:v>4.2944785276073622E-2</c:v>
                </c:pt>
                <c:pt idx="5">
                  <c:v>4.9079754601226995E-2</c:v>
                </c:pt>
                <c:pt idx="6">
                  <c:v>5.5214723926380369E-2</c:v>
                </c:pt>
                <c:pt idx="7">
                  <c:v>6.1349693251533742E-2</c:v>
                </c:pt>
                <c:pt idx="8">
                  <c:v>7.3619631901840496E-2</c:v>
                </c:pt>
                <c:pt idx="9">
                  <c:v>9.815950920245399E-2</c:v>
                </c:pt>
                <c:pt idx="10">
                  <c:v>0.11042944785276074</c:v>
                </c:pt>
                <c:pt idx="11">
                  <c:v>0.12269938650306748</c:v>
                </c:pt>
                <c:pt idx="12">
                  <c:v>0.1411042944785276</c:v>
                </c:pt>
                <c:pt idx="13">
                  <c:v>0.16564417177914109</c:v>
                </c:pt>
                <c:pt idx="14">
                  <c:v>0.17177914110429449</c:v>
                </c:pt>
                <c:pt idx="15">
                  <c:v>0.2392638036809816</c:v>
                </c:pt>
                <c:pt idx="16">
                  <c:v>0.24539877300613497</c:v>
                </c:pt>
                <c:pt idx="17">
                  <c:v>0.25153374233128833</c:v>
                </c:pt>
                <c:pt idx="18">
                  <c:v>0.25766871165644173</c:v>
                </c:pt>
                <c:pt idx="19">
                  <c:v>0.26380368098159507</c:v>
                </c:pt>
                <c:pt idx="20">
                  <c:v>0.26993865030674846</c:v>
                </c:pt>
                <c:pt idx="21">
                  <c:v>0.2822085889570552</c:v>
                </c:pt>
                <c:pt idx="22">
                  <c:v>0.28834355828220859</c:v>
                </c:pt>
                <c:pt idx="23">
                  <c:v>0.29447852760736198</c:v>
                </c:pt>
                <c:pt idx="24">
                  <c:v>0.30061349693251532</c:v>
                </c:pt>
                <c:pt idx="25">
                  <c:v>0.30674846625766872</c:v>
                </c:pt>
                <c:pt idx="26">
                  <c:v>0.31288343558282211</c:v>
                </c:pt>
                <c:pt idx="27">
                  <c:v>0.31901840490797545</c:v>
                </c:pt>
                <c:pt idx="28">
                  <c:v>0.34355828220858897</c:v>
                </c:pt>
                <c:pt idx="29">
                  <c:v>0.35582822085889571</c:v>
                </c:pt>
                <c:pt idx="30">
                  <c:v>0.36809815950920244</c:v>
                </c:pt>
                <c:pt idx="31">
                  <c:v>0.37423312883435583</c:v>
                </c:pt>
                <c:pt idx="32">
                  <c:v>0.3987730061349693</c:v>
                </c:pt>
                <c:pt idx="33">
                  <c:v>0.42331288343558282</c:v>
                </c:pt>
                <c:pt idx="34">
                  <c:v>0.42944785276073622</c:v>
                </c:pt>
                <c:pt idx="35">
                  <c:v>0.43558282208588955</c:v>
                </c:pt>
                <c:pt idx="36">
                  <c:v>0.45398773006134968</c:v>
                </c:pt>
                <c:pt idx="37">
                  <c:v>0.49079754601226994</c:v>
                </c:pt>
                <c:pt idx="38">
                  <c:v>0.49693251533742333</c:v>
                </c:pt>
                <c:pt idx="39">
                  <c:v>0.50306748466257667</c:v>
                </c:pt>
                <c:pt idx="40">
                  <c:v>0.51533742331288346</c:v>
                </c:pt>
                <c:pt idx="41">
                  <c:v>0.5214723926380368</c:v>
                </c:pt>
                <c:pt idx="42">
                  <c:v>0.52760736196319014</c:v>
                </c:pt>
                <c:pt idx="43">
                  <c:v>0.53374233128834359</c:v>
                </c:pt>
                <c:pt idx="44">
                  <c:v>0.54601226993865026</c:v>
                </c:pt>
                <c:pt idx="45">
                  <c:v>0.57668711656441718</c:v>
                </c:pt>
                <c:pt idx="46">
                  <c:v>0.58895705521472397</c:v>
                </c:pt>
                <c:pt idx="47">
                  <c:v>0.60122699386503065</c:v>
                </c:pt>
                <c:pt idx="48">
                  <c:v>0.6073619631901841</c:v>
                </c:pt>
                <c:pt idx="49">
                  <c:v>0.61963190184049077</c:v>
                </c:pt>
                <c:pt idx="50">
                  <c:v>0.6380368098159509</c:v>
                </c:pt>
                <c:pt idx="51">
                  <c:v>0.64417177914110424</c:v>
                </c:pt>
                <c:pt idx="52">
                  <c:v>0.65030674846625769</c:v>
                </c:pt>
                <c:pt idx="53">
                  <c:v>0.67484662576687116</c:v>
                </c:pt>
                <c:pt idx="54">
                  <c:v>0.68098159509202449</c:v>
                </c:pt>
                <c:pt idx="55">
                  <c:v>0.69938650306748462</c:v>
                </c:pt>
                <c:pt idx="56">
                  <c:v>0.71165644171779141</c:v>
                </c:pt>
                <c:pt idx="57">
                  <c:v>0.7239263803680982</c:v>
                </c:pt>
                <c:pt idx="58">
                  <c:v>0.73006134969325154</c:v>
                </c:pt>
                <c:pt idx="59">
                  <c:v>0.73619631901840488</c:v>
                </c:pt>
                <c:pt idx="60">
                  <c:v>0.754601226993865</c:v>
                </c:pt>
                <c:pt idx="61">
                  <c:v>0.76687116564417179</c:v>
                </c:pt>
                <c:pt idx="62">
                  <c:v>0.77914110429447858</c:v>
                </c:pt>
                <c:pt idx="63">
                  <c:v>0.78527607361963192</c:v>
                </c:pt>
                <c:pt idx="64">
                  <c:v>0.79141104294478526</c:v>
                </c:pt>
                <c:pt idx="65">
                  <c:v>0.81595092024539873</c:v>
                </c:pt>
                <c:pt idx="66">
                  <c:v>0.82208588957055218</c:v>
                </c:pt>
                <c:pt idx="67">
                  <c:v>0.83435582822085885</c:v>
                </c:pt>
                <c:pt idx="68">
                  <c:v>0.84662576687116564</c:v>
                </c:pt>
                <c:pt idx="69">
                  <c:v>0.85276073619631898</c:v>
                </c:pt>
                <c:pt idx="70">
                  <c:v>0.85889570552147243</c:v>
                </c:pt>
                <c:pt idx="71">
                  <c:v>0.86503067484662577</c:v>
                </c:pt>
                <c:pt idx="72">
                  <c:v>0.87116564417177911</c:v>
                </c:pt>
                <c:pt idx="73">
                  <c:v>0.87730061349693256</c:v>
                </c:pt>
                <c:pt idx="74">
                  <c:v>0.8834355828220859</c:v>
                </c:pt>
                <c:pt idx="75">
                  <c:v>0.88957055214723924</c:v>
                </c:pt>
                <c:pt idx="76">
                  <c:v>0.90797546012269936</c:v>
                </c:pt>
                <c:pt idx="77">
                  <c:v>0.91411042944785281</c:v>
                </c:pt>
                <c:pt idx="78">
                  <c:v>0.92638036809815949</c:v>
                </c:pt>
                <c:pt idx="79">
                  <c:v>0.93865030674846628</c:v>
                </c:pt>
                <c:pt idx="80">
                  <c:v>0.94478527607361962</c:v>
                </c:pt>
                <c:pt idx="81">
                  <c:v>0.95705521472392641</c:v>
                </c:pt>
                <c:pt idx="82">
                  <c:v>0.96319018404907975</c:v>
                </c:pt>
                <c:pt idx="83">
                  <c:v>0.96932515337423308</c:v>
                </c:pt>
                <c:pt idx="84">
                  <c:v>0.97546012269938653</c:v>
                </c:pt>
                <c:pt idx="85">
                  <c:v>0.98159509202453987</c:v>
                </c:pt>
                <c:pt idx="86">
                  <c:v>0.99386503067484666</c:v>
                </c:pt>
                <c:pt idx="87">
                  <c:v>1</c:v>
                </c:pt>
              </c:numCache>
            </c:numRef>
          </c:yVal>
          <c:smooth val="0"/>
          <c:extLst>
            <c:ext xmlns:c16="http://schemas.microsoft.com/office/drawing/2014/chart" uri="{C3380CC4-5D6E-409C-BE32-E72D297353CC}">
              <c16:uniqueId val="{00000001-D8D1-4EB1-BF61-ED9BD4A3FA3F}"/>
            </c:ext>
          </c:extLst>
        </c:ser>
        <c:ser>
          <c:idx val="2"/>
          <c:order val="2"/>
          <c:tx>
            <c:v>Repro</c:v>
          </c:tx>
          <c:spPr>
            <a:ln w="19050" cap="rnd">
              <a:noFill/>
              <a:round/>
            </a:ln>
            <a:effectLst/>
          </c:spPr>
          <c:marker>
            <c:symbol val="none"/>
          </c:marker>
          <c:errBars>
            <c:errDir val="x"/>
            <c:errBarType val="both"/>
            <c:errValType val="cust"/>
            <c:noEndCap val="1"/>
            <c:plus>
              <c:numRef>
                <c:f>'Figure 7 Data'!$BD$12:$BD$236</c:f>
                <c:numCache>
                  <c:formatCode>General</c:formatCode>
                  <c:ptCount val="225"/>
                  <c:pt idx="0">
                    <c:v>0</c:v>
                  </c:pt>
                  <c:pt idx="1">
                    <c:v>56.88734028483956</c:v>
                  </c:pt>
                  <c:pt idx="2">
                    <c:v>4.5760263461921085</c:v>
                  </c:pt>
                  <c:pt idx="3">
                    <c:v>4.6115129190408481</c:v>
                  </c:pt>
                  <c:pt idx="4">
                    <c:v>0.7446413127249798</c:v>
                  </c:pt>
                  <c:pt idx="5">
                    <c:v>0.8767802606220414</c:v>
                  </c:pt>
                  <c:pt idx="6">
                    <c:v>8.2951849972672562</c:v>
                  </c:pt>
                  <c:pt idx="7">
                    <c:v>15.734765101406509</c:v>
                  </c:pt>
                  <c:pt idx="8">
                    <c:v>6.1881001367281385</c:v>
                  </c:pt>
                  <c:pt idx="9">
                    <c:v>0.2380664040726117</c:v>
                  </c:pt>
                  <c:pt idx="10">
                    <c:v>4.3852574068391448</c:v>
                  </c:pt>
                  <c:pt idx="11">
                    <c:v>0.47026130173460956</c:v>
                  </c:pt>
                  <c:pt idx="12">
                    <c:v>2.2530091431228811</c:v>
                  </c:pt>
                  <c:pt idx="13">
                    <c:v>0.53677434291842019</c:v>
                  </c:pt>
                  <c:pt idx="14">
                    <c:v>11.371841351442157</c:v>
                  </c:pt>
                  <c:pt idx="15">
                    <c:v>7.3699814496021645</c:v>
                  </c:pt>
                  <c:pt idx="16">
                    <c:v>1.7977095699608014</c:v>
                  </c:pt>
                  <c:pt idx="17">
                    <c:v>9.9197554386851152</c:v>
                  </c:pt>
                  <c:pt idx="18">
                    <c:v>9.5410988346627903</c:v>
                  </c:pt>
                  <c:pt idx="19">
                    <c:v>25.622918497565678</c:v>
                  </c:pt>
                  <c:pt idx="20">
                    <c:v>5.1274751069080367</c:v>
                  </c:pt>
                  <c:pt idx="21">
                    <c:v>0.84694856939154306</c:v>
                  </c:pt>
                  <c:pt idx="22">
                    <c:v>0.15521878051202975</c:v>
                  </c:pt>
                  <c:pt idx="23">
                    <c:v>6.2586055113515044</c:v>
                  </c:pt>
                  <c:pt idx="24">
                    <c:v>13.125580785987381</c:v>
                  </c:pt>
                  <c:pt idx="25">
                    <c:v>2.4671229563953148</c:v>
                  </c:pt>
                  <c:pt idx="26">
                    <c:v>2.5471762966212168</c:v>
                  </c:pt>
                  <c:pt idx="27">
                    <c:v>0.12775827765341319</c:v>
                  </c:pt>
                  <c:pt idx="28">
                    <c:v>1.8023243430619686</c:v>
                  </c:pt>
                  <c:pt idx="29">
                    <c:v>2.0637430997555271</c:v>
                  </c:pt>
                  <c:pt idx="30">
                    <c:v>2.2379654248679799</c:v>
                  </c:pt>
                  <c:pt idx="31">
                    <c:v>0.26333808950391813</c:v>
                  </c:pt>
                  <c:pt idx="32">
                    <c:v>1.9265626266391109</c:v>
                  </c:pt>
                  <c:pt idx="33">
                    <c:v>5.7658661497780486</c:v>
                  </c:pt>
                  <c:pt idx="34">
                    <c:v>0.66022433509522216</c:v>
                  </c:pt>
                  <c:pt idx="35">
                    <c:v>4.613952981265129</c:v>
                  </c:pt>
                  <c:pt idx="36">
                    <c:v>0.17681933404873007</c:v>
                  </c:pt>
                  <c:pt idx="37">
                    <c:v>0.38740130398525707</c:v>
                  </c:pt>
                  <c:pt idx="38">
                    <c:v>8.9830834934263066</c:v>
                  </c:pt>
                  <c:pt idx="39">
                    <c:v>0.39414400903183378</c:v>
                  </c:pt>
                  <c:pt idx="40">
                    <c:v>0.12401449398817022</c:v>
                  </c:pt>
                  <c:pt idx="41">
                    <c:v>4.6572303601692511E-2</c:v>
                  </c:pt>
                  <c:pt idx="42">
                    <c:v>0.70370064852500036</c:v>
                  </c:pt>
                  <c:pt idx="43">
                    <c:v>0.13335790141252346</c:v>
                  </c:pt>
                  <c:pt idx="44">
                    <c:v>0.24610183721233625</c:v>
                  </c:pt>
                  <c:pt idx="45">
                    <c:v>0.37659459441744048</c:v>
                  </c:pt>
                  <c:pt idx="46">
                    <c:v>0.81173071596788304</c:v>
                  </c:pt>
                  <c:pt idx="47">
                    <c:v>2.6852913017137325E-2</c:v>
                  </c:pt>
                  <c:pt idx="48">
                    <c:v>0.74858729832232029</c:v>
                  </c:pt>
                  <c:pt idx="49">
                    <c:v>0.10065151852040799</c:v>
                  </c:pt>
                  <c:pt idx="50">
                    <c:v>0.10957323560683108</c:v>
                  </c:pt>
                  <c:pt idx="51">
                    <c:v>6.0913798126875918E-2</c:v>
                  </c:pt>
                  <c:pt idx="52">
                    <c:v>7.8222235990324407E-2</c:v>
                  </c:pt>
                  <c:pt idx="53">
                    <c:v>1.0944677992944207</c:v>
                  </c:pt>
                  <c:pt idx="54">
                    <c:v>1.0841891804097372</c:v>
                  </c:pt>
                  <c:pt idx="55">
                    <c:v>5.9935700846835971E-10</c:v>
                  </c:pt>
                  <c:pt idx="56">
                    <c:v>2.6195094637492957</c:v>
                  </c:pt>
                  <c:pt idx="57">
                    <c:v>8.0851662961201782</c:v>
                  </c:pt>
                  <c:pt idx="58">
                    <c:v>3.641993917292325</c:v>
                  </c:pt>
                  <c:pt idx="59">
                    <c:v>1.2199368174845517</c:v>
                  </c:pt>
                  <c:pt idx="60">
                    <c:v>2.8665501367834736</c:v>
                  </c:pt>
                  <c:pt idx="61">
                    <c:v>7.1790120118180312E-2</c:v>
                  </c:pt>
                  <c:pt idx="62">
                    <c:v>4.9884356360166748E-2</c:v>
                  </c:pt>
                  <c:pt idx="63">
                    <c:v>3.1092044657384577E-2</c:v>
                  </c:pt>
                  <c:pt idx="64">
                    <c:v>2.6233413356692381E-2</c:v>
                  </c:pt>
                  <c:pt idx="65">
                    <c:v>0.51069170981656953</c:v>
                  </c:pt>
                  <c:pt idx="66">
                    <c:v>22.490067993230355</c:v>
                  </c:pt>
                  <c:pt idx="67">
                    <c:v>3.2304826860474236</c:v>
                  </c:pt>
                  <c:pt idx="68">
                    <c:v>1.3155680881366152</c:v>
                  </c:pt>
                  <c:pt idx="69">
                    <c:v>0.50235944913265485</c:v>
                  </c:pt>
                  <c:pt idx="70">
                    <c:v>0.49058450667172337</c:v>
                  </c:pt>
                  <c:pt idx="71">
                    <c:v>0.1083282386326232</c:v>
                  </c:pt>
                  <c:pt idx="72">
                    <c:v>1.0958451487661591</c:v>
                  </c:pt>
                  <c:pt idx="73">
                    <c:v>0.46511980364419969</c:v>
                  </c:pt>
                  <c:pt idx="74">
                    <c:v>2.2112897560343754</c:v>
                  </c:pt>
                  <c:pt idx="75">
                    <c:v>2.4865895896322172</c:v>
                  </c:pt>
                  <c:pt idx="76">
                    <c:v>5.1721012487280973</c:v>
                  </c:pt>
                  <c:pt idx="77">
                    <c:v>0.997227043833675</c:v>
                  </c:pt>
                  <c:pt idx="78">
                    <c:v>0.98662176095268705</c:v>
                  </c:pt>
                  <c:pt idx="79">
                    <c:v>0.29241077193296405</c:v>
                  </c:pt>
                  <c:pt idx="80">
                    <c:v>0.46293436900219831</c:v>
                  </c:pt>
                  <c:pt idx="81">
                    <c:v>0.46481127006626366</c:v>
                  </c:pt>
                  <c:pt idx="82">
                    <c:v>13.900035302199399</c:v>
                  </c:pt>
                  <c:pt idx="83">
                    <c:v>0.28185157782178294</c:v>
                  </c:pt>
                  <c:pt idx="84">
                    <c:v>8.5809486786482125</c:v>
                  </c:pt>
                  <c:pt idx="85">
                    <c:v>3.7477258057314202</c:v>
                  </c:pt>
                  <c:pt idx="86">
                    <c:v>3.2500672935820489</c:v>
                  </c:pt>
                  <c:pt idx="87">
                    <c:v>0.34653253595820388</c:v>
                  </c:pt>
                  <c:pt idx="88">
                    <c:v>5.2194701349729371</c:v>
                  </c:pt>
                  <c:pt idx="89">
                    <c:v>1.386329831555031</c:v>
                  </c:pt>
                  <c:pt idx="90">
                    <c:v>4.6050291685964453</c:v>
                  </c:pt>
                  <c:pt idx="91">
                    <c:v>1.3557252022073385</c:v>
                  </c:pt>
                  <c:pt idx="92">
                    <c:v>3.7484423678792496</c:v>
                  </c:pt>
                  <c:pt idx="93">
                    <c:v>22.528029949446307</c:v>
                  </c:pt>
                  <c:pt idx="94">
                    <c:v>0.90824849760974757</c:v>
                  </c:pt>
                  <c:pt idx="95">
                    <c:v>4.1996448667158575</c:v>
                  </c:pt>
                  <c:pt idx="96">
                    <c:v>20.964154241233757</c:v>
                  </c:pt>
                  <c:pt idx="97">
                    <c:v>0.49341743712278685</c:v>
                  </c:pt>
                  <c:pt idx="98">
                    <c:v>0.25394764776262946</c:v>
                  </c:pt>
                  <c:pt idx="99">
                    <c:v>2.1068152692920421</c:v>
                  </c:pt>
                  <c:pt idx="100">
                    <c:v>0.14972519427919906</c:v>
                  </c:pt>
                  <c:pt idx="101">
                    <c:v>7.7576111914424928E-2</c:v>
                  </c:pt>
                  <c:pt idx="102">
                    <c:v>8.1364052897868078E-2</c:v>
                  </c:pt>
                  <c:pt idx="103">
                    <c:v>6.3184595595885185E-2</c:v>
                  </c:pt>
                  <c:pt idx="104">
                    <c:v>0.14352390733557741</c:v>
                  </c:pt>
                  <c:pt idx="105">
                    <c:v>8.7735383015058233E-2</c:v>
                  </c:pt>
                  <c:pt idx="106">
                    <c:v>0.1112790718176484</c:v>
                  </c:pt>
                  <c:pt idx="107">
                    <c:v>2.5355965616199683E-2</c:v>
                  </c:pt>
                  <c:pt idx="108">
                    <c:v>9.0484194447583377E-2</c:v>
                  </c:pt>
                  <c:pt idx="109">
                    <c:v>4.5111172797646759E-2</c:v>
                  </c:pt>
                  <c:pt idx="110">
                    <c:v>1.1369444419572687</c:v>
                  </c:pt>
                  <c:pt idx="111">
                    <c:v>5.0876437193409174</c:v>
                  </c:pt>
                  <c:pt idx="112">
                    <c:v>2.7862951888766361</c:v>
                  </c:pt>
                  <c:pt idx="113">
                    <c:v>4.3646714680823493</c:v>
                  </c:pt>
                  <c:pt idx="114">
                    <c:v>7.4535945259412983E-5</c:v>
                  </c:pt>
                  <c:pt idx="115">
                    <c:v>0.37130506045366474</c:v>
                  </c:pt>
                  <c:pt idx="116">
                    <c:v>0.17076827591756683</c:v>
                  </c:pt>
                  <c:pt idx="117">
                    <c:v>0.26658683216862755</c:v>
                  </c:pt>
                  <c:pt idx="118">
                    <c:v>0.16845098619023702</c:v>
                  </c:pt>
                  <c:pt idx="119">
                    <c:v>0.18058758231688898</c:v>
                  </c:pt>
                  <c:pt idx="120">
                    <c:v>1.1661451983173947</c:v>
                  </c:pt>
                  <c:pt idx="121">
                    <c:v>2.5650039096155979</c:v>
                  </c:pt>
                  <c:pt idx="122">
                    <c:v>2.2722820965498158E-2</c:v>
                  </c:pt>
                  <c:pt idx="123">
                    <c:v>8.9483513306731766E-3</c:v>
                  </c:pt>
                  <c:pt idx="124">
                    <c:v>0.53795387532250061</c:v>
                  </c:pt>
                  <c:pt idx="125">
                    <c:v>6.8136029828569917</c:v>
                  </c:pt>
                  <c:pt idx="126">
                    <c:v>5.8745046901549358E-3</c:v>
                  </c:pt>
                  <c:pt idx="127">
                    <c:v>4.0545909860156826E-3</c:v>
                  </c:pt>
                  <c:pt idx="128">
                    <c:v>1.8162078158127315E-2</c:v>
                  </c:pt>
                  <c:pt idx="129">
                    <c:v>5.4378340814938042</c:v>
                  </c:pt>
                  <c:pt idx="130">
                    <c:v>3.5708379241498278</c:v>
                  </c:pt>
                  <c:pt idx="131">
                    <c:v>14.838260941276303</c:v>
                  </c:pt>
                  <c:pt idx="132">
                    <c:v>6.9042220318469845</c:v>
                  </c:pt>
                  <c:pt idx="133">
                    <c:v>3.7871245628820134</c:v>
                  </c:pt>
                  <c:pt idx="134">
                    <c:v>1.057050197761896</c:v>
                  </c:pt>
                  <c:pt idx="135">
                    <c:v>9.7134220232172765</c:v>
                  </c:pt>
                  <c:pt idx="136">
                    <c:v>4.5565985981730819</c:v>
                  </c:pt>
                  <c:pt idx="137">
                    <c:v>0.92359931820146812</c:v>
                  </c:pt>
                  <c:pt idx="138">
                    <c:v>0.23449776675181511</c:v>
                  </c:pt>
                  <c:pt idx="139">
                    <c:v>33.121021359708379</c:v>
                  </c:pt>
                  <c:pt idx="140">
                    <c:v>6.6323062848643985</c:v>
                  </c:pt>
                  <c:pt idx="141">
                    <c:v>16.157578960096316</c:v>
                  </c:pt>
                  <c:pt idx="142">
                    <c:v>3.5003577216936037</c:v>
                  </c:pt>
                  <c:pt idx="143">
                    <c:v>12.158011002784178</c:v>
                  </c:pt>
                  <c:pt idx="144">
                    <c:v>4.1866262201463087</c:v>
                  </c:pt>
                  <c:pt idx="145">
                    <c:v>13.020296678790487</c:v>
                  </c:pt>
                  <c:pt idx="146">
                    <c:v>8.0077689445420219</c:v>
                  </c:pt>
                  <c:pt idx="147">
                    <c:v>0.84705105054354135</c:v>
                  </c:pt>
                  <c:pt idx="148">
                    <c:v>0.4248325466650158</c:v>
                  </c:pt>
                  <c:pt idx="149">
                    <c:v>9.3721328826973149E-2</c:v>
                  </c:pt>
                  <c:pt idx="150">
                    <c:v>8.654573500166407E-2</c:v>
                  </c:pt>
                  <c:pt idx="151">
                    <c:v>0.56663705911989837</c:v>
                  </c:pt>
                  <c:pt idx="152">
                    <c:v>1.6401548714135288</c:v>
                  </c:pt>
                  <c:pt idx="153">
                    <c:v>0.25672877992565191</c:v>
                  </c:pt>
                  <c:pt idx="154">
                    <c:v>2.0538299600231085</c:v>
                  </c:pt>
                  <c:pt idx="155">
                    <c:v>0.49684314389878637</c:v>
                  </c:pt>
                  <c:pt idx="156">
                    <c:v>0.50784125664154089</c:v>
                  </c:pt>
                  <c:pt idx="157">
                    <c:v>0.19883249879626419</c:v>
                  </c:pt>
                  <c:pt idx="158">
                    <c:v>0.46286191736749061</c:v>
                  </c:pt>
                  <c:pt idx="159">
                    <c:v>5.4597000020611404</c:v>
                  </c:pt>
                  <c:pt idx="160">
                    <c:v>2.318854904572504</c:v>
                  </c:pt>
                  <c:pt idx="161">
                    <c:v>0.31853124972951719</c:v>
                  </c:pt>
                  <c:pt idx="162">
                    <c:v>0.45456668780718701</c:v>
                  </c:pt>
                  <c:pt idx="163">
                    <c:v>0.35442057519605896</c:v>
                  </c:pt>
                  <c:pt idx="164">
                    <c:v>1.4893252705475106</c:v>
                  </c:pt>
                  <c:pt idx="165">
                    <c:v>0.29550588568520197</c:v>
                  </c:pt>
                  <c:pt idx="166">
                    <c:v>6.7614769918573074</c:v>
                  </c:pt>
                  <c:pt idx="167">
                    <c:v>1.2138010527620509</c:v>
                  </c:pt>
                  <c:pt idx="168">
                    <c:v>7.4951992904971121E-2</c:v>
                  </c:pt>
                  <c:pt idx="169">
                    <c:v>1.707944742748623</c:v>
                  </c:pt>
                  <c:pt idx="170">
                    <c:v>0.16862999716818194</c:v>
                  </c:pt>
                  <c:pt idx="171">
                    <c:v>3.7681392737961232</c:v>
                  </c:pt>
                  <c:pt idx="172">
                    <c:v>0.96759682027845884</c:v>
                  </c:pt>
                  <c:pt idx="173">
                    <c:v>2.5586137303213263</c:v>
                  </c:pt>
                  <c:pt idx="174">
                    <c:v>0.2632609760609057</c:v>
                  </c:pt>
                  <c:pt idx="175">
                    <c:v>14.529243306088119</c:v>
                  </c:pt>
                  <c:pt idx="176">
                    <c:v>5.8533880385084558E-2</c:v>
                  </c:pt>
                  <c:pt idx="177">
                    <c:v>0.11799687170218931</c:v>
                  </c:pt>
                  <c:pt idx="178">
                    <c:v>6.6278550964511851E-2</c:v>
                  </c:pt>
                  <c:pt idx="179">
                    <c:v>0.26260906621371305</c:v>
                  </c:pt>
                  <c:pt idx="180">
                    <c:v>0.3439920886926302</c:v>
                  </c:pt>
                  <c:pt idx="181">
                    <c:v>6.482930933964326E-2</c:v>
                  </c:pt>
                  <c:pt idx="182">
                    <c:v>0.15262508633907146</c:v>
                  </c:pt>
                  <c:pt idx="183">
                    <c:v>7.5476671243450255E-2</c:v>
                  </c:pt>
                  <c:pt idx="184">
                    <c:v>0.64557268318685601</c:v>
                  </c:pt>
                  <c:pt idx="185">
                    <c:v>0.38203858701990612</c:v>
                  </c:pt>
                  <c:pt idx="186">
                    <c:v>10.986048261054634</c:v>
                  </c:pt>
                  <c:pt idx="187">
                    <c:v>5.6773567033443442</c:v>
                  </c:pt>
                  <c:pt idx="188">
                    <c:v>0.17487809577153257</c:v>
                  </c:pt>
                  <c:pt idx="189">
                    <c:v>23.796444790004443</c:v>
                  </c:pt>
                  <c:pt idx="190">
                    <c:v>14.784353007038703</c:v>
                  </c:pt>
                  <c:pt idx="191">
                    <c:v>15.207219356166888</c:v>
                  </c:pt>
                  <c:pt idx="192">
                    <c:v>6.0344528747485811</c:v>
                  </c:pt>
                  <c:pt idx="193">
                    <c:v>0.37807799092377081</c:v>
                  </c:pt>
                  <c:pt idx="194">
                    <c:v>9.2534403162650278</c:v>
                  </c:pt>
                  <c:pt idx="195">
                    <c:v>8.7201786824768988</c:v>
                  </c:pt>
                  <c:pt idx="196">
                    <c:v>2.9415751764369134</c:v>
                  </c:pt>
                  <c:pt idx="197">
                    <c:v>11.00433497081508</c:v>
                  </c:pt>
                  <c:pt idx="198">
                    <c:v>8.833728601302937E-4</c:v>
                  </c:pt>
                  <c:pt idx="199">
                    <c:v>11.338086662995465</c:v>
                  </c:pt>
                  <c:pt idx="200">
                    <c:v>28.094287591712373</c:v>
                  </c:pt>
                  <c:pt idx="201">
                    <c:v>23.320989181225968</c:v>
                  </c:pt>
                  <c:pt idx="202">
                    <c:v>23.459376281619825</c:v>
                  </c:pt>
                  <c:pt idx="203">
                    <c:v>18.587095887790611</c:v>
                  </c:pt>
                  <c:pt idx="204">
                    <c:v>10.832760160055273</c:v>
                  </c:pt>
                  <c:pt idx="205">
                    <c:v>4.7965058819056594</c:v>
                  </c:pt>
                  <c:pt idx="206">
                    <c:v>0.51902474955886646</c:v>
                  </c:pt>
                  <c:pt idx="207">
                    <c:v>14.83177116067111</c:v>
                  </c:pt>
                  <c:pt idx="208">
                    <c:v>0.87394749666782445</c:v>
                  </c:pt>
                  <c:pt idx="209">
                    <c:v>8.1345572015491143</c:v>
                  </c:pt>
                  <c:pt idx="210">
                    <c:v>86.849444642198023</c:v>
                  </c:pt>
                  <c:pt idx="211">
                    <c:v>24.84424917685692</c:v>
                  </c:pt>
                  <c:pt idx="212">
                    <c:v>19.574576351118367</c:v>
                  </c:pt>
                  <c:pt idx="213">
                    <c:v>99.029802644947495</c:v>
                  </c:pt>
                  <c:pt idx="214">
                    <c:v>129.91657667932373</c:v>
                  </c:pt>
                  <c:pt idx="215">
                    <c:v>4.918211591036652</c:v>
                  </c:pt>
                  <c:pt idx="216">
                    <c:v>3.7615221526236837</c:v>
                  </c:pt>
                  <c:pt idx="217">
                    <c:v>4.9588109186913698</c:v>
                  </c:pt>
                  <c:pt idx="218">
                    <c:v>6.9995251480268053</c:v>
                  </c:pt>
                  <c:pt idx="219">
                    <c:v>1.787681886245764</c:v>
                  </c:pt>
                  <c:pt idx="220">
                    <c:v>75.345546793041194</c:v>
                  </c:pt>
                  <c:pt idx="221">
                    <c:v>13.829947730485401</c:v>
                  </c:pt>
                  <c:pt idx="222">
                    <c:v>1.415945821340074</c:v>
                  </c:pt>
                  <c:pt idx="223">
                    <c:v>21.130777080136568</c:v>
                  </c:pt>
                </c:numCache>
              </c:numRef>
            </c:plus>
            <c:minus>
              <c:numLit>
                <c:formatCode>General</c:formatCode>
                <c:ptCount val="1"/>
                <c:pt idx="0">
                  <c:v>0</c:v>
                </c:pt>
              </c:numLit>
            </c:minus>
            <c:spPr>
              <a:noFill/>
              <a:ln w="9525" cap="flat" cmpd="sng" algn="ctr">
                <a:solidFill>
                  <a:schemeClr val="tx1">
                    <a:lumMod val="50000"/>
                    <a:lumOff val="50000"/>
                  </a:schemeClr>
                </a:solidFill>
                <a:prstDash val="sysDash"/>
                <a:round/>
              </a:ln>
              <a:effectLst/>
            </c:spPr>
          </c:errBars>
          <c:errBars>
            <c:errDir val="y"/>
            <c:errBarType val="both"/>
            <c:errValType val="cust"/>
            <c:noEndCap val="1"/>
            <c:plus>
              <c:numLit>
                <c:formatCode>General</c:formatCode>
                <c:ptCount val="1"/>
                <c:pt idx="0">
                  <c:v>0</c:v>
                </c:pt>
              </c:numLit>
            </c:plus>
            <c:minus>
              <c:numRef>
                <c:f>'Figure 7 Data'!$BE$12:$BE$236</c:f>
                <c:numCache>
                  <c:formatCode>General</c:formatCode>
                  <c:ptCount val="225"/>
                  <c:pt idx="1">
                    <c:v>4.464285714285714E-3</c:v>
                  </c:pt>
                  <c:pt idx="2">
                    <c:v>4.464285714285714E-3</c:v>
                  </c:pt>
                  <c:pt idx="3">
                    <c:v>4.464285714285714E-3</c:v>
                  </c:pt>
                  <c:pt idx="4">
                    <c:v>4.464285714285714E-3</c:v>
                  </c:pt>
                  <c:pt idx="5">
                    <c:v>4.4642857142857158E-3</c:v>
                  </c:pt>
                  <c:pt idx="6">
                    <c:v>4.4642857142857123E-3</c:v>
                  </c:pt>
                  <c:pt idx="7">
                    <c:v>4.4642857142857158E-3</c:v>
                  </c:pt>
                  <c:pt idx="8">
                    <c:v>4.4642857142857123E-3</c:v>
                  </c:pt>
                  <c:pt idx="9">
                    <c:v>4.4642857142857192E-3</c:v>
                  </c:pt>
                  <c:pt idx="10">
                    <c:v>4.4642857142857123E-3</c:v>
                  </c:pt>
                  <c:pt idx="11">
                    <c:v>4.4642857142857123E-3</c:v>
                  </c:pt>
                  <c:pt idx="12">
                    <c:v>4.4642857142857123E-3</c:v>
                  </c:pt>
                  <c:pt idx="13">
                    <c:v>4.4642857142857192E-3</c:v>
                  </c:pt>
                  <c:pt idx="14">
                    <c:v>4.4642857142857123E-3</c:v>
                  </c:pt>
                  <c:pt idx="15">
                    <c:v>4.4642857142857123E-3</c:v>
                  </c:pt>
                  <c:pt idx="16">
                    <c:v>4.4642857142857123E-3</c:v>
                  </c:pt>
                  <c:pt idx="17">
                    <c:v>4.4642857142857123E-3</c:v>
                  </c:pt>
                  <c:pt idx="18">
                    <c:v>4.4642857142857262E-3</c:v>
                  </c:pt>
                  <c:pt idx="19">
                    <c:v>4.4642857142857123E-3</c:v>
                  </c:pt>
                  <c:pt idx="20">
                    <c:v>4.4642857142857123E-3</c:v>
                  </c:pt>
                  <c:pt idx="21">
                    <c:v>4.4642857142857123E-3</c:v>
                  </c:pt>
                  <c:pt idx="22">
                    <c:v>4.4642857142857123E-3</c:v>
                  </c:pt>
                  <c:pt idx="23">
                    <c:v>4.4642857142857123E-3</c:v>
                  </c:pt>
                  <c:pt idx="24">
                    <c:v>4.4642857142857123E-3</c:v>
                  </c:pt>
                  <c:pt idx="25">
                    <c:v>4.4642857142857262E-3</c:v>
                  </c:pt>
                  <c:pt idx="26">
                    <c:v>4.4642857142857123E-3</c:v>
                  </c:pt>
                  <c:pt idx="27">
                    <c:v>4.4642857142857123E-3</c:v>
                  </c:pt>
                  <c:pt idx="28">
                    <c:v>4.4642857142857123E-3</c:v>
                  </c:pt>
                  <c:pt idx="29">
                    <c:v>4.4642857142857262E-3</c:v>
                  </c:pt>
                  <c:pt idx="30">
                    <c:v>4.4642857142856984E-3</c:v>
                  </c:pt>
                  <c:pt idx="31">
                    <c:v>4.4642857142857262E-3</c:v>
                  </c:pt>
                  <c:pt idx="32">
                    <c:v>4.4642857142856984E-3</c:v>
                  </c:pt>
                  <c:pt idx="33">
                    <c:v>4.4642857142857262E-3</c:v>
                  </c:pt>
                  <c:pt idx="34">
                    <c:v>4.4642857142856984E-3</c:v>
                  </c:pt>
                  <c:pt idx="35">
                    <c:v>4.4642857142857262E-3</c:v>
                  </c:pt>
                  <c:pt idx="36">
                    <c:v>4.4642857142857262E-3</c:v>
                  </c:pt>
                  <c:pt idx="37">
                    <c:v>4.4642857142856984E-3</c:v>
                  </c:pt>
                  <c:pt idx="38">
                    <c:v>4.4642857142857262E-3</c:v>
                  </c:pt>
                  <c:pt idx="39">
                    <c:v>4.4642857142856984E-3</c:v>
                  </c:pt>
                  <c:pt idx="40">
                    <c:v>4.4642857142857262E-3</c:v>
                  </c:pt>
                  <c:pt idx="41">
                    <c:v>4.4642857142856984E-3</c:v>
                  </c:pt>
                  <c:pt idx="42">
                    <c:v>4.4642857142857262E-3</c:v>
                  </c:pt>
                  <c:pt idx="43">
                    <c:v>4.4642857142857262E-3</c:v>
                  </c:pt>
                  <c:pt idx="44">
                    <c:v>4.4642857142856984E-3</c:v>
                  </c:pt>
                  <c:pt idx="45">
                    <c:v>4.4642857142857262E-3</c:v>
                  </c:pt>
                  <c:pt idx="46">
                    <c:v>4.4642857142856984E-3</c:v>
                  </c:pt>
                  <c:pt idx="47">
                    <c:v>4.4642857142857262E-3</c:v>
                  </c:pt>
                  <c:pt idx="48">
                    <c:v>4.4642857142856984E-3</c:v>
                  </c:pt>
                  <c:pt idx="49">
                    <c:v>4.4642857142857262E-3</c:v>
                  </c:pt>
                  <c:pt idx="50">
                    <c:v>4.4642857142857262E-3</c:v>
                  </c:pt>
                  <c:pt idx="51">
                    <c:v>4.4642857142856984E-3</c:v>
                  </c:pt>
                  <c:pt idx="52">
                    <c:v>4.4642857142857262E-3</c:v>
                  </c:pt>
                  <c:pt idx="53">
                    <c:v>4.4642857142856984E-3</c:v>
                  </c:pt>
                  <c:pt idx="54">
                    <c:v>4.4642857142857262E-3</c:v>
                  </c:pt>
                  <c:pt idx="55">
                    <c:v>4.4642857142856984E-3</c:v>
                  </c:pt>
                  <c:pt idx="56">
                    <c:v>4.4642857142857262E-3</c:v>
                  </c:pt>
                  <c:pt idx="57">
                    <c:v>4.4642857142856984E-3</c:v>
                  </c:pt>
                  <c:pt idx="58">
                    <c:v>4.4642857142857539E-3</c:v>
                  </c:pt>
                  <c:pt idx="59">
                    <c:v>4.4642857142856984E-3</c:v>
                  </c:pt>
                  <c:pt idx="60">
                    <c:v>4.4642857142856984E-3</c:v>
                  </c:pt>
                  <c:pt idx="61">
                    <c:v>4.4642857142856984E-3</c:v>
                  </c:pt>
                  <c:pt idx="62">
                    <c:v>4.4642857142857539E-3</c:v>
                  </c:pt>
                  <c:pt idx="63">
                    <c:v>4.4642857142856984E-3</c:v>
                  </c:pt>
                  <c:pt idx="64">
                    <c:v>4.4642857142856984E-3</c:v>
                  </c:pt>
                  <c:pt idx="65">
                    <c:v>4.4642857142857539E-3</c:v>
                  </c:pt>
                  <c:pt idx="66">
                    <c:v>4.4642857142856984E-3</c:v>
                  </c:pt>
                  <c:pt idx="67">
                    <c:v>4.4642857142856984E-3</c:v>
                  </c:pt>
                  <c:pt idx="68">
                    <c:v>4.4642857142856984E-3</c:v>
                  </c:pt>
                  <c:pt idx="69">
                    <c:v>4.4642857142857539E-3</c:v>
                  </c:pt>
                  <c:pt idx="70">
                    <c:v>4.4642857142856984E-3</c:v>
                  </c:pt>
                  <c:pt idx="71">
                    <c:v>4.4642857142856984E-3</c:v>
                  </c:pt>
                  <c:pt idx="72">
                    <c:v>4.4642857142857539E-3</c:v>
                  </c:pt>
                  <c:pt idx="73">
                    <c:v>4.4642857142856984E-3</c:v>
                  </c:pt>
                  <c:pt idx="74">
                    <c:v>4.4642857142856984E-3</c:v>
                  </c:pt>
                  <c:pt idx="75">
                    <c:v>4.4642857142856984E-3</c:v>
                  </c:pt>
                  <c:pt idx="76">
                    <c:v>4.4642857142857539E-3</c:v>
                  </c:pt>
                  <c:pt idx="77">
                    <c:v>4.4642857142856984E-3</c:v>
                  </c:pt>
                  <c:pt idx="78">
                    <c:v>4.4642857142856984E-3</c:v>
                  </c:pt>
                  <c:pt idx="79">
                    <c:v>4.4642857142857539E-3</c:v>
                  </c:pt>
                  <c:pt idx="80">
                    <c:v>4.4642857142856984E-3</c:v>
                  </c:pt>
                  <c:pt idx="81">
                    <c:v>4.4642857142856984E-3</c:v>
                  </c:pt>
                  <c:pt idx="82">
                    <c:v>4.4642857142856984E-3</c:v>
                  </c:pt>
                  <c:pt idx="83">
                    <c:v>4.4642857142857539E-3</c:v>
                  </c:pt>
                  <c:pt idx="84">
                    <c:v>4.4642857142856984E-3</c:v>
                  </c:pt>
                  <c:pt idx="85">
                    <c:v>4.4642857142856984E-3</c:v>
                  </c:pt>
                  <c:pt idx="86">
                    <c:v>4.4642857142857539E-3</c:v>
                  </c:pt>
                  <c:pt idx="87">
                    <c:v>4.4642857142856984E-3</c:v>
                  </c:pt>
                  <c:pt idx="88">
                    <c:v>4.4642857142856984E-3</c:v>
                  </c:pt>
                  <c:pt idx="89">
                    <c:v>4.4642857142856984E-3</c:v>
                  </c:pt>
                  <c:pt idx="90">
                    <c:v>4.4642857142857539E-3</c:v>
                  </c:pt>
                  <c:pt idx="91">
                    <c:v>4.4642857142856984E-3</c:v>
                  </c:pt>
                  <c:pt idx="92">
                    <c:v>4.4642857142856984E-3</c:v>
                  </c:pt>
                  <c:pt idx="93">
                    <c:v>4.4642857142857539E-3</c:v>
                  </c:pt>
                  <c:pt idx="94">
                    <c:v>4.4642857142856984E-3</c:v>
                  </c:pt>
                  <c:pt idx="95">
                    <c:v>4.4642857142856984E-3</c:v>
                  </c:pt>
                  <c:pt idx="96">
                    <c:v>4.4642857142856984E-3</c:v>
                  </c:pt>
                  <c:pt idx="97">
                    <c:v>4.4642857142857539E-3</c:v>
                  </c:pt>
                  <c:pt idx="98">
                    <c:v>4.4642857142856984E-3</c:v>
                  </c:pt>
                  <c:pt idx="99">
                    <c:v>4.4642857142856984E-3</c:v>
                  </c:pt>
                  <c:pt idx="100">
                    <c:v>4.4642857142857539E-3</c:v>
                  </c:pt>
                  <c:pt idx="101">
                    <c:v>4.4642857142856984E-3</c:v>
                  </c:pt>
                  <c:pt idx="102">
                    <c:v>4.4642857142856984E-3</c:v>
                  </c:pt>
                  <c:pt idx="103">
                    <c:v>4.4642857142856984E-3</c:v>
                  </c:pt>
                  <c:pt idx="104">
                    <c:v>4.4642857142857539E-3</c:v>
                  </c:pt>
                  <c:pt idx="105">
                    <c:v>4.4642857142856984E-3</c:v>
                  </c:pt>
                  <c:pt idx="106">
                    <c:v>4.4642857142856984E-3</c:v>
                  </c:pt>
                  <c:pt idx="107">
                    <c:v>4.4642857142857539E-3</c:v>
                  </c:pt>
                  <c:pt idx="108">
                    <c:v>4.4642857142856984E-3</c:v>
                  </c:pt>
                  <c:pt idx="109">
                    <c:v>4.4642857142856984E-3</c:v>
                  </c:pt>
                  <c:pt idx="110">
                    <c:v>4.4642857142856984E-3</c:v>
                  </c:pt>
                  <c:pt idx="111">
                    <c:v>4.4642857142857539E-3</c:v>
                  </c:pt>
                  <c:pt idx="112">
                    <c:v>4.4642857142856984E-3</c:v>
                  </c:pt>
                  <c:pt idx="113">
                    <c:v>4.4642857142856984E-3</c:v>
                  </c:pt>
                  <c:pt idx="114">
                    <c:v>4.4642857142856984E-3</c:v>
                  </c:pt>
                  <c:pt idx="115">
                    <c:v>4.4642857142856984E-3</c:v>
                  </c:pt>
                  <c:pt idx="116">
                    <c:v>4.4642857142858094E-3</c:v>
                  </c:pt>
                  <c:pt idx="117">
                    <c:v>4.4642857142856984E-3</c:v>
                  </c:pt>
                  <c:pt idx="118">
                    <c:v>4.4642857142856984E-3</c:v>
                  </c:pt>
                  <c:pt idx="119">
                    <c:v>4.4642857142856984E-3</c:v>
                  </c:pt>
                  <c:pt idx="120">
                    <c:v>4.4642857142856984E-3</c:v>
                  </c:pt>
                  <c:pt idx="121">
                    <c:v>4.4642857142856984E-3</c:v>
                  </c:pt>
                  <c:pt idx="122">
                    <c:v>4.4642857142856984E-3</c:v>
                  </c:pt>
                  <c:pt idx="123">
                    <c:v>4.4642857142858094E-3</c:v>
                  </c:pt>
                  <c:pt idx="124">
                    <c:v>4.4642857142856984E-3</c:v>
                  </c:pt>
                  <c:pt idx="125">
                    <c:v>4.4642857142856984E-3</c:v>
                  </c:pt>
                  <c:pt idx="126">
                    <c:v>4.4642857142856984E-3</c:v>
                  </c:pt>
                  <c:pt idx="127">
                    <c:v>4.4642857142856984E-3</c:v>
                  </c:pt>
                  <c:pt idx="128">
                    <c:v>4.4642857142856984E-3</c:v>
                  </c:pt>
                  <c:pt idx="129">
                    <c:v>4.4642857142856984E-3</c:v>
                  </c:pt>
                  <c:pt idx="130">
                    <c:v>4.4642857142858094E-3</c:v>
                  </c:pt>
                  <c:pt idx="131">
                    <c:v>4.4642857142856984E-3</c:v>
                  </c:pt>
                  <c:pt idx="132">
                    <c:v>4.4642857142856984E-3</c:v>
                  </c:pt>
                  <c:pt idx="133">
                    <c:v>4.4642857142856984E-3</c:v>
                  </c:pt>
                  <c:pt idx="134">
                    <c:v>4.4642857142856984E-3</c:v>
                  </c:pt>
                  <c:pt idx="135">
                    <c:v>4.4642857142856984E-3</c:v>
                  </c:pt>
                  <c:pt idx="136">
                    <c:v>4.4642857142856984E-3</c:v>
                  </c:pt>
                  <c:pt idx="137">
                    <c:v>4.4642857142858094E-3</c:v>
                  </c:pt>
                  <c:pt idx="138">
                    <c:v>4.4642857142856984E-3</c:v>
                  </c:pt>
                  <c:pt idx="139">
                    <c:v>4.4642857142856984E-3</c:v>
                  </c:pt>
                  <c:pt idx="140">
                    <c:v>4.4642857142856984E-3</c:v>
                  </c:pt>
                  <c:pt idx="141">
                    <c:v>4.4642857142856984E-3</c:v>
                  </c:pt>
                  <c:pt idx="142">
                    <c:v>4.4642857142856984E-3</c:v>
                  </c:pt>
                  <c:pt idx="143">
                    <c:v>4.4642857142856984E-3</c:v>
                  </c:pt>
                  <c:pt idx="144">
                    <c:v>4.4642857142858094E-3</c:v>
                  </c:pt>
                  <c:pt idx="145">
                    <c:v>4.4642857142856984E-3</c:v>
                  </c:pt>
                  <c:pt idx="146">
                    <c:v>4.4642857142856984E-3</c:v>
                  </c:pt>
                  <c:pt idx="147">
                    <c:v>4.4642857142856984E-3</c:v>
                  </c:pt>
                  <c:pt idx="148">
                    <c:v>4.4642857142856984E-3</c:v>
                  </c:pt>
                  <c:pt idx="149">
                    <c:v>4.4642857142856984E-3</c:v>
                  </c:pt>
                  <c:pt idx="150">
                    <c:v>4.4642857142856984E-3</c:v>
                  </c:pt>
                  <c:pt idx="151">
                    <c:v>4.4642857142858094E-3</c:v>
                  </c:pt>
                  <c:pt idx="152">
                    <c:v>4.4642857142856984E-3</c:v>
                  </c:pt>
                  <c:pt idx="153">
                    <c:v>4.4642857142856984E-3</c:v>
                  </c:pt>
                  <c:pt idx="154">
                    <c:v>4.4642857142856984E-3</c:v>
                  </c:pt>
                  <c:pt idx="155">
                    <c:v>4.4642857142856984E-3</c:v>
                  </c:pt>
                  <c:pt idx="156">
                    <c:v>4.4642857142856984E-3</c:v>
                  </c:pt>
                  <c:pt idx="157">
                    <c:v>4.4642857142856984E-3</c:v>
                  </c:pt>
                  <c:pt idx="158">
                    <c:v>4.4642857142858094E-3</c:v>
                  </c:pt>
                  <c:pt idx="159">
                    <c:v>4.4642857142856984E-3</c:v>
                  </c:pt>
                  <c:pt idx="160">
                    <c:v>4.4642857142856984E-3</c:v>
                  </c:pt>
                  <c:pt idx="161">
                    <c:v>4.4642857142856984E-3</c:v>
                  </c:pt>
                  <c:pt idx="162">
                    <c:v>4.4642857142856984E-3</c:v>
                  </c:pt>
                  <c:pt idx="163">
                    <c:v>4.4642857142856984E-3</c:v>
                  </c:pt>
                  <c:pt idx="164">
                    <c:v>4.4642857142856984E-3</c:v>
                  </c:pt>
                  <c:pt idx="165">
                    <c:v>4.4642857142858094E-3</c:v>
                  </c:pt>
                  <c:pt idx="166">
                    <c:v>4.4642857142856984E-3</c:v>
                  </c:pt>
                  <c:pt idx="167">
                    <c:v>4.4642857142856984E-3</c:v>
                  </c:pt>
                  <c:pt idx="168">
                    <c:v>4.4642857142856984E-3</c:v>
                  </c:pt>
                  <c:pt idx="169">
                    <c:v>4.4642857142856984E-3</c:v>
                  </c:pt>
                  <c:pt idx="170">
                    <c:v>4.4642857142856984E-3</c:v>
                  </c:pt>
                  <c:pt idx="171">
                    <c:v>4.4642857142856984E-3</c:v>
                  </c:pt>
                  <c:pt idx="172">
                    <c:v>4.4642857142858094E-3</c:v>
                  </c:pt>
                  <c:pt idx="173">
                    <c:v>4.4642857142856984E-3</c:v>
                  </c:pt>
                  <c:pt idx="174">
                    <c:v>4.4642857142856984E-3</c:v>
                  </c:pt>
                  <c:pt idx="175">
                    <c:v>4.4642857142856984E-3</c:v>
                  </c:pt>
                  <c:pt idx="176">
                    <c:v>4.4642857142856984E-3</c:v>
                  </c:pt>
                  <c:pt idx="177">
                    <c:v>4.4642857142856984E-3</c:v>
                  </c:pt>
                  <c:pt idx="178">
                    <c:v>4.4642857142856984E-3</c:v>
                  </c:pt>
                  <c:pt idx="179">
                    <c:v>4.4642857142858094E-3</c:v>
                  </c:pt>
                  <c:pt idx="180">
                    <c:v>4.4642857142856984E-3</c:v>
                  </c:pt>
                  <c:pt idx="181">
                    <c:v>4.4642857142856984E-3</c:v>
                  </c:pt>
                  <c:pt idx="182">
                    <c:v>4.4642857142856984E-3</c:v>
                  </c:pt>
                  <c:pt idx="183">
                    <c:v>4.4642857142856984E-3</c:v>
                  </c:pt>
                  <c:pt idx="184">
                    <c:v>4.4642857142856984E-3</c:v>
                  </c:pt>
                  <c:pt idx="185">
                    <c:v>4.4642857142856984E-3</c:v>
                  </c:pt>
                  <c:pt idx="186">
                    <c:v>4.4642857142858094E-3</c:v>
                  </c:pt>
                  <c:pt idx="187">
                    <c:v>4.4642857142856984E-3</c:v>
                  </c:pt>
                  <c:pt idx="188">
                    <c:v>4.4642857142856984E-3</c:v>
                  </c:pt>
                  <c:pt idx="189">
                    <c:v>4.4642857142856984E-3</c:v>
                  </c:pt>
                  <c:pt idx="190">
                    <c:v>4.4642857142856984E-3</c:v>
                  </c:pt>
                  <c:pt idx="191">
                    <c:v>4.4642857142856984E-3</c:v>
                  </c:pt>
                  <c:pt idx="192">
                    <c:v>4.4642857142856984E-3</c:v>
                  </c:pt>
                  <c:pt idx="193">
                    <c:v>4.4642857142858094E-3</c:v>
                  </c:pt>
                  <c:pt idx="194">
                    <c:v>4.4642857142856984E-3</c:v>
                  </c:pt>
                  <c:pt idx="195">
                    <c:v>4.4642857142856984E-3</c:v>
                  </c:pt>
                  <c:pt idx="196">
                    <c:v>4.4642857142856984E-3</c:v>
                  </c:pt>
                  <c:pt idx="197">
                    <c:v>4.4642857142856984E-3</c:v>
                  </c:pt>
                  <c:pt idx="198">
                    <c:v>4.4642857142856984E-3</c:v>
                  </c:pt>
                  <c:pt idx="199">
                    <c:v>4.4642857142856984E-3</c:v>
                  </c:pt>
                  <c:pt idx="200">
                    <c:v>4.4642857142858094E-3</c:v>
                  </c:pt>
                  <c:pt idx="201">
                    <c:v>4.4642857142856984E-3</c:v>
                  </c:pt>
                  <c:pt idx="202">
                    <c:v>4.4642857142856984E-3</c:v>
                  </c:pt>
                  <c:pt idx="203">
                    <c:v>4.4642857142856984E-3</c:v>
                  </c:pt>
                  <c:pt idx="204">
                    <c:v>4.4642857142856984E-3</c:v>
                  </c:pt>
                  <c:pt idx="205">
                    <c:v>4.4642857142856984E-3</c:v>
                  </c:pt>
                  <c:pt idx="206">
                    <c:v>4.4642857142856984E-3</c:v>
                  </c:pt>
                  <c:pt idx="207">
                    <c:v>4.4642857142858094E-3</c:v>
                  </c:pt>
                  <c:pt idx="208">
                    <c:v>4.4642857142856984E-3</c:v>
                  </c:pt>
                  <c:pt idx="209">
                    <c:v>4.4642857142856984E-3</c:v>
                  </c:pt>
                  <c:pt idx="210">
                    <c:v>4.4642857142856984E-3</c:v>
                  </c:pt>
                  <c:pt idx="211">
                    <c:v>4.4642857142856984E-3</c:v>
                  </c:pt>
                  <c:pt idx="212">
                    <c:v>4.4642857142856984E-3</c:v>
                  </c:pt>
                  <c:pt idx="213">
                    <c:v>4.4642857142856984E-3</c:v>
                  </c:pt>
                  <c:pt idx="214">
                    <c:v>4.4642857142858094E-3</c:v>
                  </c:pt>
                  <c:pt idx="215">
                    <c:v>4.4642857142856984E-3</c:v>
                  </c:pt>
                  <c:pt idx="216">
                    <c:v>4.4642857142856984E-3</c:v>
                  </c:pt>
                  <c:pt idx="217">
                    <c:v>4.4642857142856984E-3</c:v>
                  </c:pt>
                  <c:pt idx="218">
                    <c:v>4.4642857142856984E-3</c:v>
                  </c:pt>
                  <c:pt idx="219">
                    <c:v>4.4642857142856984E-3</c:v>
                  </c:pt>
                  <c:pt idx="220">
                    <c:v>4.4642857142856984E-3</c:v>
                  </c:pt>
                  <c:pt idx="221">
                    <c:v>4.4642857142858094E-3</c:v>
                  </c:pt>
                  <c:pt idx="222">
                    <c:v>4.4642857142856984E-3</c:v>
                  </c:pt>
                  <c:pt idx="223">
                    <c:v>4.4642857142856984E-3</c:v>
                  </c:pt>
                  <c:pt idx="224">
                    <c:v>4.4642857142856984E-3</c:v>
                  </c:pt>
                </c:numCache>
              </c:numRef>
            </c:minus>
            <c:spPr>
              <a:noFill/>
              <a:ln w="9525" cap="flat" cmpd="sng" algn="ctr">
                <a:solidFill>
                  <a:schemeClr val="tx1">
                    <a:lumMod val="50000"/>
                    <a:lumOff val="50000"/>
                  </a:schemeClr>
                </a:solidFill>
                <a:prstDash val="sysDash"/>
                <a:round/>
              </a:ln>
              <a:effectLst/>
            </c:spPr>
          </c:errBars>
          <c:xVal>
            <c:numRef>
              <c:f>'Figure 7 Data'!$BC$12:$BC$236</c:f>
              <c:numCache>
                <c:formatCode>General</c:formatCode>
                <c:ptCount val="225"/>
                <c:pt idx="0">
                  <c:v>62.902132950405765</c:v>
                </c:pt>
                <c:pt idx="1">
                  <c:v>62.902132950405765</c:v>
                </c:pt>
                <c:pt idx="2">
                  <c:v>119.78947323524532</c:v>
                </c:pt>
                <c:pt idx="3">
                  <c:v>124.36549958143743</c:v>
                </c:pt>
                <c:pt idx="4">
                  <c:v>128.97701250047828</c:v>
                </c:pt>
                <c:pt idx="5">
                  <c:v>129.72165381320326</c:v>
                </c:pt>
                <c:pt idx="6">
                  <c:v>130.5984340738253</c:v>
                </c:pt>
                <c:pt idx="7">
                  <c:v>138.89361907109256</c:v>
                </c:pt>
                <c:pt idx="8">
                  <c:v>154.62838417249907</c:v>
                </c:pt>
                <c:pt idx="9">
                  <c:v>160.81648430922721</c:v>
                </c:pt>
                <c:pt idx="10">
                  <c:v>161.05455071329982</c:v>
                </c:pt>
                <c:pt idx="11">
                  <c:v>165.43980812013896</c:v>
                </c:pt>
                <c:pt idx="12">
                  <c:v>165.91006942187357</c:v>
                </c:pt>
                <c:pt idx="13">
                  <c:v>168.16307856499645</c:v>
                </c:pt>
                <c:pt idx="14">
                  <c:v>168.69985290791487</c:v>
                </c:pt>
                <c:pt idx="15">
                  <c:v>180.07169425935703</c:v>
                </c:pt>
                <c:pt idx="16">
                  <c:v>187.4416757089592</c:v>
                </c:pt>
                <c:pt idx="17">
                  <c:v>189.23938527892</c:v>
                </c:pt>
                <c:pt idx="18">
                  <c:v>199.15914071760511</c:v>
                </c:pt>
                <c:pt idx="19">
                  <c:v>208.7002395522679</c:v>
                </c:pt>
                <c:pt idx="20">
                  <c:v>234.32315804983358</c:v>
                </c:pt>
                <c:pt idx="21">
                  <c:v>239.45063315674162</c:v>
                </c:pt>
                <c:pt idx="22">
                  <c:v>240.29758172613316</c:v>
                </c:pt>
                <c:pt idx="23">
                  <c:v>240.45280050664519</c:v>
                </c:pt>
                <c:pt idx="24">
                  <c:v>246.71140601799669</c:v>
                </c:pt>
                <c:pt idx="25">
                  <c:v>259.83698680398408</c:v>
                </c:pt>
                <c:pt idx="26">
                  <c:v>262.30410976037939</c:v>
                </c:pt>
                <c:pt idx="27">
                  <c:v>264.85128605700061</c:v>
                </c:pt>
                <c:pt idx="28">
                  <c:v>264.97904433465402</c:v>
                </c:pt>
                <c:pt idx="29">
                  <c:v>266.78136867771599</c:v>
                </c:pt>
                <c:pt idx="30">
                  <c:v>268.84511177747152</c:v>
                </c:pt>
                <c:pt idx="31">
                  <c:v>271.0830772023395</c:v>
                </c:pt>
                <c:pt idx="32">
                  <c:v>271.34641529184341</c:v>
                </c:pt>
                <c:pt idx="33">
                  <c:v>273.27297791848252</c:v>
                </c:pt>
                <c:pt idx="34">
                  <c:v>279.03884406826057</c:v>
                </c:pt>
                <c:pt idx="35">
                  <c:v>279.6990684033558</c:v>
                </c:pt>
                <c:pt idx="36">
                  <c:v>284.31302138462092</c:v>
                </c:pt>
                <c:pt idx="37">
                  <c:v>284.48984071866965</c:v>
                </c:pt>
                <c:pt idx="38">
                  <c:v>284.87724202265491</c:v>
                </c:pt>
                <c:pt idx="39">
                  <c:v>293.86032551608122</c:v>
                </c:pt>
                <c:pt idx="40">
                  <c:v>294.25446952511305</c:v>
                </c:pt>
                <c:pt idx="41">
                  <c:v>294.37848401910122</c:v>
                </c:pt>
                <c:pt idx="42">
                  <c:v>294.42505632270291</c:v>
                </c:pt>
                <c:pt idx="43">
                  <c:v>295.12875697122792</c:v>
                </c:pt>
                <c:pt idx="44">
                  <c:v>295.26211487264044</c:v>
                </c:pt>
                <c:pt idx="45">
                  <c:v>295.50821670985277</c:v>
                </c:pt>
                <c:pt idx="46">
                  <c:v>295.88481130427022</c:v>
                </c:pt>
                <c:pt idx="47">
                  <c:v>296.6965420202381</c:v>
                </c:pt>
                <c:pt idx="48">
                  <c:v>296.72339493325524</c:v>
                </c:pt>
                <c:pt idx="49">
                  <c:v>297.47198223157756</c:v>
                </c:pt>
                <c:pt idx="50">
                  <c:v>297.57263375009796</c:v>
                </c:pt>
                <c:pt idx="51">
                  <c:v>297.68220698570479</c:v>
                </c:pt>
                <c:pt idx="52">
                  <c:v>297.74312078383167</c:v>
                </c:pt>
                <c:pt idx="53">
                  <c:v>297.821343019822</c:v>
                </c:pt>
                <c:pt idx="54">
                  <c:v>298.91581081911642</c:v>
                </c:pt>
                <c:pt idx="55">
                  <c:v>299.99999999952615</c:v>
                </c:pt>
                <c:pt idx="56">
                  <c:v>300.00000000012551</c:v>
                </c:pt>
                <c:pt idx="57">
                  <c:v>302.61950946387481</c:v>
                </c:pt>
                <c:pt idx="58">
                  <c:v>310.70467575999498</c:v>
                </c:pt>
                <c:pt idx="59">
                  <c:v>314.34666967728731</c:v>
                </c:pt>
                <c:pt idx="60">
                  <c:v>315.56660649477186</c:v>
                </c:pt>
                <c:pt idx="61">
                  <c:v>318.43315663155533</c:v>
                </c:pt>
                <c:pt idx="62">
                  <c:v>318.50494675167351</c:v>
                </c:pt>
                <c:pt idx="63">
                  <c:v>318.55483110803368</c:v>
                </c:pt>
                <c:pt idx="64">
                  <c:v>318.58592315269107</c:v>
                </c:pt>
                <c:pt idx="65">
                  <c:v>318.61215656604776</c:v>
                </c:pt>
                <c:pt idx="66">
                  <c:v>319.12284827586433</c:v>
                </c:pt>
                <c:pt idx="67">
                  <c:v>341.61291626909468</c:v>
                </c:pt>
                <c:pt idx="68">
                  <c:v>344.84339895514211</c:v>
                </c:pt>
                <c:pt idx="69">
                  <c:v>346.15896704327872</c:v>
                </c:pt>
                <c:pt idx="70">
                  <c:v>346.66132649241138</c:v>
                </c:pt>
                <c:pt idx="71">
                  <c:v>347.1519109990831</c:v>
                </c:pt>
                <c:pt idx="72">
                  <c:v>347.26023923771572</c:v>
                </c:pt>
                <c:pt idx="73">
                  <c:v>348.35608438648188</c:v>
                </c:pt>
                <c:pt idx="74">
                  <c:v>348.82120419012608</c:v>
                </c:pt>
                <c:pt idx="75">
                  <c:v>351.03249394616046</c:v>
                </c:pt>
                <c:pt idx="76">
                  <c:v>353.51908353579267</c:v>
                </c:pt>
                <c:pt idx="77">
                  <c:v>358.69118478452077</c:v>
                </c:pt>
                <c:pt idx="78">
                  <c:v>359.68841182835445</c:v>
                </c:pt>
                <c:pt idx="79">
                  <c:v>360.67503358930713</c:v>
                </c:pt>
                <c:pt idx="80">
                  <c:v>360.9674443612401</c:v>
                </c:pt>
                <c:pt idx="81">
                  <c:v>361.4303787302423</c:v>
                </c:pt>
                <c:pt idx="82">
                  <c:v>361.89519000030856</c:v>
                </c:pt>
                <c:pt idx="83">
                  <c:v>375.79522530250796</c:v>
                </c:pt>
                <c:pt idx="84">
                  <c:v>376.07707688032974</c:v>
                </c:pt>
                <c:pt idx="85">
                  <c:v>384.65802555897795</c:v>
                </c:pt>
                <c:pt idx="86">
                  <c:v>388.40575136470937</c:v>
                </c:pt>
                <c:pt idx="87">
                  <c:v>391.65581865829142</c:v>
                </c:pt>
                <c:pt idx="88">
                  <c:v>392.00235119424963</c:v>
                </c:pt>
                <c:pt idx="89">
                  <c:v>397.22182132922256</c:v>
                </c:pt>
                <c:pt idx="90">
                  <c:v>398.6081511607776</c:v>
                </c:pt>
                <c:pt idx="91">
                  <c:v>403.21318032937404</c:v>
                </c:pt>
                <c:pt idx="92">
                  <c:v>404.56890553158138</c:v>
                </c:pt>
                <c:pt idx="93">
                  <c:v>408.31734789946063</c:v>
                </c:pt>
                <c:pt idx="94">
                  <c:v>430.84537784890694</c:v>
                </c:pt>
                <c:pt idx="95">
                  <c:v>431.75362634651668</c:v>
                </c:pt>
                <c:pt idx="96">
                  <c:v>435.95327121323254</c:v>
                </c:pt>
                <c:pt idx="97">
                  <c:v>456.9174254544663</c:v>
                </c:pt>
                <c:pt idx="98">
                  <c:v>457.41084289158908</c:v>
                </c:pt>
                <c:pt idx="99">
                  <c:v>457.66479053935171</c:v>
                </c:pt>
                <c:pt idx="100">
                  <c:v>459.77160580864376</c:v>
                </c:pt>
                <c:pt idx="101">
                  <c:v>459.92133100292295</c:v>
                </c:pt>
                <c:pt idx="102">
                  <c:v>459.99890711483738</c:v>
                </c:pt>
                <c:pt idx="103">
                  <c:v>460.08027116773525</c:v>
                </c:pt>
                <c:pt idx="104">
                  <c:v>460.14345576333113</c:v>
                </c:pt>
                <c:pt idx="105">
                  <c:v>460.28697967066671</c:v>
                </c:pt>
                <c:pt idx="106">
                  <c:v>460.37471505368177</c:v>
                </c:pt>
                <c:pt idx="107">
                  <c:v>460.48599412549942</c:v>
                </c:pt>
                <c:pt idx="108">
                  <c:v>460.51135009111562</c:v>
                </c:pt>
                <c:pt idx="109">
                  <c:v>460.6018342855632</c:v>
                </c:pt>
                <c:pt idx="110">
                  <c:v>460.64694545836085</c:v>
                </c:pt>
                <c:pt idx="111">
                  <c:v>461.78388990031812</c:v>
                </c:pt>
                <c:pt idx="112">
                  <c:v>466.87153361965903</c:v>
                </c:pt>
                <c:pt idx="113">
                  <c:v>469.65782880853567</c:v>
                </c:pt>
                <c:pt idx="114">
                  <c:v>474.02250027661802</c:v>
                </c:pt>
                <c:pt idx="115">
                  <c:v>474.02257481256328</c:v>
                </c:pt>
                <c:pt idx="116">
                  <c:v>474.39387987301694</c:v>
                </c:pt>
                <c:pt idx="117">
                  <c:v>474.56464814893451</c:v>
                </c:pt>
                <c:pt idx="118">
                  <c:v>474.83123498110314</c:v>
                </c:pt>
                <c:pt idx="119">
                  <c:v>474.99968596729337</c:v>
                </c:pt>
                <c:pt idx="120">
                  <c:v>475.18027354961026</c:v>
                </c:pt>
                <c:pt idx="121">
                  <c:v>476.34641874792766</c:v>
                </c:pt>
                <c:pt idx="122">
                  <c:v>478.91142265754326</c:v>
                </c:pt>
                <c:pt idx="123">
                  <c:v>478.93414547850875</c:v>
                </c:pt>
                <c:pt idx="124">
                  <c:v>478.94309382983943</c:v>
                </c:pt>
                <c:pt idx="125">
                  <c:v>479.48104770516193</c:v>
                </c:pt>
                <c:pt idx="126">
                  <c:v>486.29465068801892</c:v>
                </c:pt>
                <c:pt idx="127">
                  <c:v>486.30052519270907</c:v>
                </c:pt>
                <c:pt idx="128">
                  <c:v>486.30457978369509</c:v>
                </c:pt>
                <c:pt idx="129">
                  <c:v>486.32274186185322</c:v>
                </c:pt>
                <c:pt idx="130">
                  <c:v>491.76057594334702</c:v>
                </c:pt>
                <c:pt idx="131">
                  <c:v>495.33141386749685</c:v>
                </c:pt>
                <c:pt idx="132">
                  <c:v>510.16967480877315</c:v>
                </c:pt>
                <c:pt idx="133">
                  <c:v>517.07389684062014</c:v>
                </c:pt>
                <c:pt idx="134">
                  <c:v>520.86102140350215</c:v>
                </c:pt>
                <c:pt idx="135">
                  <c:v>521.91807160126405</c:v>
                </c:pt>
                <c:pt idx="136">
                  <c:v>531.63149362448132</c:v>
                </c:pt>
                <c:pt idx="137">
                  <c:v>536.1880922226544</c:v>
                </c:pt>
                <c:pt idx="138">
                  <c:v>537.11169154085587</c:v>
                </c:pt>
                <c:pt idx="139">
                  <c:v>537.34618930760769</c:v>
                </c:pt>
                <c:pt idx="140">
                  <c:v>570.46721066731607</c:v>
                </c:pt>
                <c:pt idx="141">
                  <c:v>577.09951695218047</c:v>
                </c:pt>
                <c:pt idx="142">
                  <c:v>593.25709591227678</c:v>
                </c:pt>
                <c:pt idx="143">
                  <c:v>596.75745363397039</c:v>
                </c:pt>
                <c:pt idx="144">
                  <c:v>608.91546463675456</c:v>
                </c:pt>
                <c:pt idx="145">
                  <c:v>613.10209085690087</c:v>
                </c:pt>
                <c:pt idx="146">
                  <c:v>626.12238753569136</c:v>
                </c:pt>
                <c:pt idx="147">
                  <c:v>634.13015648023338</c:v>
                </c:pt>
                <c:pt idx="148">
                  <c:v>634.97720753077692</c:v>
                </c:pt>
                <c:pt idx="149">
                  <c:v>635.40204007744194</c:v>
                </c:pt>
                <c:pt idx="150">
                  <c:v>635.49576140626891</c:v>
                </c:pt>
                <c:pt idx="151">
                  <c:v>635.58230714127058</c:v>
                </c:pt>
                <c:pt idx="152">
                  <c:v>636.14894420039047</c:v>
                </c:pt>
                <c:pt idx="153">
                  <c:v>637.789099071804</c:v>
                </c:pt>
                <c:pt idx="154">
                  <c:v>638.04582785172965</c:v>
                </c:pt>
                <c:pt idx="155">
                  <c:v>640.09965781175276</c:v>
                </c:pt>
                <c:pt idx="156">
                  <c:v>640.59650095565155</c:v>
                </c:pt>
                <c:pt idx="157">
                  <c:v>641.10434221229309</c:v>
                </c:pt>
                <c:pt idx="158">
                  <c:v>641.30317471108935</c:v>
                </c:pt>
                <c:pt idx="159">
                  <c:v>641.76603662845685</c:v>
                </c:pt>
                <c:pt idx="160">
                  <c:v>647.22573663051799</c:v>
                </c:pt>
                <c:pt idx="161">
                  <c:v>649.54459153509049</c:v>
                </c:pt>
                <c:pt idx="162">
                  <c:v>649.86312278482001</c:v>
                </c:pt>
                <c:pt idx="163">
                  <c:v>650.31768947262719</c:v>
                </c:pt>
                <c:pt idx="164">
                  <c:v>650.67211004782325</c:v>
                </c:pt>
                <c:pt idx="165">
                  <c:v>652.16143531837076</c:v>
                </c:pt>
                <c:pt idx="166">
                  <c:v>652.45694120405597</c:v>
                </c:pt>
                <c:pt idx="167">
                  <c:v>659.21841819591327</c:v>
                </c:pt>
                <c:pt idx="168">
                  <c:v>660.43221924867532</c:v>
                </c:pt>
                <c:pt idx="169">
                  <c:v>660.50717124158029</c:v>
                </c:pt>
                <c:pt idx="170">
                  <c:v>662.21511598432892</c:v>
                </c:pt>
                <c:pt idx="171">
                  <c:v>662.3837459814971</c:v>
                </c:pt>
                <c:pt idx="172">
                  <c:v>666.15188525529322</c:v>
                </c:pt>
                <c:pt idx="173">
                  <c:v>667.11948207557168</c:v>
                </c:pt>
                <c:pt idx="174">
                  <c:v>669.67809580589301</c:v>
                </c:pt>
                <c:pt idx="175">
                  <c:v>669.94135678195391</c:v>
                </c:pt>
                <c:pt idx="176">
                  <c:v>684.47060008804203</c:v>
                </c:pt>
                <c:pt idx="177">
                  <c:v>684.52913396842712</c:v>
                </c:pt>
                <c:pt idx="178">
                  <c:v>684.64713084012931</c:v>
                </c:pt>
                <c:pt idx="179">
                  <c:v>684.71340939109382</c:v>
                </c:pt>
                <c:pt idx="180">
                  <c:v>684.97601845730753</c:v>
                </c:pt>
                <c:pt idx="181">
                  <c:v>685.32001054600016</c:v>
                </c:pt>
                <c:pt idx="182">
                  <c:v>685.38483985533981</c:v>
                </c:pt>
                <c:pt idx="183">
                  <c:v>685.53746494167888</c:v>
                </c:pt>
                <c:pt idx="184">
                  <c:v>685.61294161292233</c:v>
                </c:pt>
                <c:pt idx="185">
                  <c:v>686.25851429610918</c:v>
                </c:pt>
                <c:pt idx="186">
                  <c:v>686.64055288312909</c:v>
                </c:pt>
                <c:pt idx="187">
                  <c:v>697.62660114418372</c:v>
                </c:pt>
                <c:pt idx="188">
                  <c:v>703.30395784752807</c:v>
                </c:pt>
                <c:pt idx="189">
                  <c:v>703.4788359432996</c:v>
                </c:pt>
                <c:pt idx="190">
                  <c:v>727.27528073330404</c:v>
                </c:pt>
                <c:pt idx="191">
                  <c:v>742.05963374034275</c:v>
                </c:pt>
                <c:pt idx="192">
                  <c:v>757.26685309650964</c:v>
                </c:pt>
                <c:pt idx="193">
                  <c:v>763.30130597125822</c:v>
                </c:pt>
                <c:pt idx="194">
                  <c:v>763.67938396218199</c:v>
                </c:pt>
                <c:pt idx="195">
                  <c:v>772.93282427844701</c:v>
                </c:pt>
                <c:pt idx="196">
                  <c:v>781.65300296092391</c:v>
                </c:pt>
                <c:pt idx="197">
                  <c:v>784.59457813736083</c:v>
                </c:pt>
                <c:pt idx="198">
                  <c:v>795.59891310817591</c:v>
                </c:pt>
                <c:pt idx="199">
                  <c:v>795.59979648103604</c:v>
                </c:pt>
                <c:pt idx="200">
                  <c:v>806.9378831440315</c:v>
                </c:pt>
                <c:pt idx="201">
                  <c:v>835.03217073574388</c:v>
                </c:pt>
                <c:pt idx="202">
                  <c:v>858.35315991696984</c:v>
                </c:pt>
                <c:pt idx="203">
                  <c:v>881.81253619858967</c:v>
                </c:pt>
                <c:pt idx="204">
                  <c:v>900.39963208638028</c:v>
                </c:pt>
                <c:pt idx="205">
                  <c:v>911.23239224643555</c:v>
                </c:pt>
                <c:pt idx="206">
                  <c:v>916.02889812834121</c:v>
                </c:pt>
                <c:pt idx="207">
                  <c:v>916.54792287790008</c:v>
                </c:pt>
                <c:pt idx="208">
                  <c:v>931.37969403857119</c:v>
                </c:pt>
                <c:pt idx="209">
                  <c:v>932.25364153523901</c:v>
                </c:pt>
                <c:pt idx="210">
                  <c:v>940.38819873678813</c:v>
                </c:pt>
                <c:pt idx="211">
                  <c:v>1027.2376433789861</c:v>
                </c:pt>
                <c:pt idx="212">
                  <c:v>1052.0818925558431</c:v>
                </c:pt>
                <c:pt idx="213">
                  <c:v>1071.6564689069614</c:v>
                </c:pt>
                <c:pt idx="214">
                  <c:v>1170.6862715519089</c:v>
                </c:pt>
                <c:pt idx="215">
                  <c:v>1300.6028482312327</c:v>
                </c:pt>
                <c:pt idx="216">
                  <c:v>1305.5210598222693</c:v>
                </c:pt>
                <c:pt idx="217">
                  <c:v>1309.282581974893</c:v>
                </c:pt>
                <c:pt idx="218">
                  <c:v>1314.2413928935844</c:v>
                </c:pt>
                <c:pt idx="219">
                  <c:v>1321.2409180416112</c:v>
                </c:pt>
                <c:pt idx="220">
                  <c:v>1323.0285999278569</c:v>
                </c:pt>
                <c:pt idx="221">
                  <c:v>1398.3741467208981</c:v>
                </c:pt>
                <c:pt idx="222">
                  <c:v>1412.2040944513835</c:v>
                </c:pt>
                <c:pt idx="223">
                  <c:v>1413.6200402727236</c:v>
                </c:pt>
                <c:pt idx="224">
                  <c:v>1434.7508173528602</c:v>
                </c:pt>
              </c:numCache>
            </c:numRef>
          </c:xVal>
          <c:yVal>
            <c:numRef>
              <c:f>'Figure 7 Data'!$BB$12:$BB$236</c:f>
              <c:numCache>
                <c:formatCode>General</c:formatCode>
                <c:ptCount val="225"/>
                <c:pt idx="0">
                  <c:v>0</c:v>
                </c:pt>
                <c:pt idx="1">
                  <c:v>4.464285714285714E-3</c:v>
                </c:pt>
                <c:pt idx="2">
                  <c:v>8.9285714285714281E-3</c:v>
                </c:pt>
                <c:pt idx="3">
                  <c:v>1.3392857142857142E-2</c:v>
                </c:pt>
                <c:pt idx="4">
                  <c:v>1.7857142857142856E-2</c:v>
                </c:pt>
                <c:pt idx="5">
                  <c:v>2.2321428571428572E-2</c:v>
                </c:pt>
                <c:pt idx="6">
                  <c:v>2.6785714285714284E-2</c:v>
                </c:pt>
                <c:pt idx="7">
                  <c:v>3.125E-2</c:v>
                </c:pt>
                <c:pt idx="8">
                  <c:v>3.5714285714285712E-2</c:v>
                </c:pt>
                <c:pt idx="9">
                  <c:v>4.0178571428571432E-2</c:v>
                </c:pt>
                <c:pt idx="10">
                  <c:v>4.4642857142857144E-2</c:v>
                </c:pt>
                <c:pt idx="11">
                  <c:v>4.9107142857142856E-2</c:v>
                </c:pt>
                <c:pt idx="12">
                  <c:v>5.3571428571428568E-2</c:v>
                </c:pt>
                <c:pt idx="13">
                  <c:v>5.8035714285714288E-2</c:v>
                </c:pt>
                <c:pt idx="14">
                  <c:v>6.25E-2</c:v>
                </c:pt>
                <c:pt idx="15">
                  <c:v>6.6964285714285712E-2</c:v>
                </c:pt>
                <c:pt idx="16">
                  <c:v>7.1428571428571425E-2</c:v>
                </c:pt>
                <c:pt idx="17">
                  <c:v>7.5892857142857137E-2</c:v>
                </c:pt>
                <c:pt idx="18">
                  <c:v>8.0357142857142863E-2</c:v>
                </c:pt>
                <c:pt idx="19">
                  <c:v>8.4821428571428575E-2</c:v>
                </c:pt>
                <c:pt idx="20">
                  <c:v>8.9285714285714288E-2</c:v>
                </c:pt>
                <c:pt idx="21">
                  <c:v>9.375E-2</c:v>
                </c:pt>
                <c:pt idx="22">
                  <c:v>9.8214285714285712E-2</c:v>
                </c:pt>
                <c:pt idx="23">
                  <c:v>0.10267857142857142</c:v>
                </c:pt>
                <c:pt idx="24">
                  <c:v>0.10714285714285714</c:v>
                </c:pt>
                <c:pt idx="25">
                  <c:v>0.11160714285714286</c:v>
                </c:pt>
                <c:pt idx="26">
                  <c:v>0.11607142857142858</c:v>
                </c:pt>
                <c:pt idx="27">
                  <c:v>0.12053571428571429</c:v>
                </c:pt>
                <c:pt idx="28">
                  <c:v>0.125</c:v>
                </c:pt>
                <c:pt idx="29">
                  <c:v>0.12946428571428573</c:v>
                </c:pt>
                <c:pt idx="30">
                  <c:v>0.13392857142857142</c:v>
                </c:pt>
                <c:pt idx="31">
                  <c:v>0.13839285714285715</c:v>
                </c:pt>
                <c:pt idx="32">
                  <c:v>0.14285714285714285</c:v>
                </c:pt>
                <c:pt idx="33">
                  <c:v>0.14732142857142858</c:v>
                </c:pt>
                <c:pt idx="34">
                  <c:v>0.15178571428571427</c:v>
                </c:pt>
                <c:pt idx="35">
                  <c:v>0.15625</c:v>
                </c:pt>
                <c:pt idx="36">
                  <c:v>0.16071428571428573</c:v>
                </c:pt>
                <c:pt idx="37">
                  <c:v>0.16517857142857142</c:v>
                </c:pt>
                <c:pt idx="38">
                  <c:v>0.16964285714285715</c:v>
                </c:pt>
                <c:pt idx="39">
                  <c:v>0.17410714285714285</c:v>
                </c:pt>
                <c:pt idx="40">
                  <c:v>0.17857142857142858</c:v>
                </c:pt>
                <c:pt idx="41">
                  <c:v>0.18303571428571427</c:v>
                </c:pt>
                <c:pt idx="42">
                  <c:v>0.1875</c:v>
                </c:pt>
                <c:pt idx="43">
                  <c:v>0.19196428571428573</c:v>
                </c:pt>
                <c:pt idx="44">
                  <c:v>0.19642857142857142</c:v>
                </c:pt>
                <c:pt idx="45">
                  <c:v>0.20089285714285715</c:v>
                </c:pt>
                <c:pt idx="46">
                  <c:v>0.20535714285714285</c:v>
                </c:pt>
                <c:pt idx="47">
                  <c:v>0.20982142857142858</c:v>
                </c:pt>
                <c:pt idx="48">
                  <c:v>0.21428571428571427</c:v>
                </c:pt>
                <c:pt idx="49">
                  <c:v>0.21875</c:v>
                </c:pt>
                <c:pt idx="50">
                  <c:v>0.22321428571428573</c:v>
                </c:pt>
                <c:pt idx="51">
                  <c:v>0.22767857142857142</c:v>
                </c:pt>
                <c:pt idx="52">
                  <c:v>0.23214285714285715</c:v>
                </c:pt>
                <c:pt idx="53">
                  <c:v>0.23660714285714285</c:v>
                </c:pt>
                <c:pt idx="54">
                  <c:v>0.24107142857142858</c:v>
                </c:pt>
                <c:pt idx="55">
                  <c:v>0.24553571428571427</c:v>
                </c:pt>
                <c:pt idx="56">
                  <c:v>0.25</c:v>
                </c:pt>
                <c:pt idx="57">
                  <c:v>0.2544642857142857</c:v>
                </c:pt>
                <c:pt idx="58">
                  <c:v>0.25892857142857145</c:v>
                </c:pt>
                <c:pt idx="59">
                  <c:v>0.26339285714285715</c:v>
                </c:pt>
                <c:pt idx="60">
                  <c:v>0.26785714285714285</c:v>
                </c:pt>
                <c:pt idx="61">
                  <c:v>0.27232142857142855</c:v>
                </c:pt>
                <c:pt idx="62">
                  <c:v>0.2767857142857143</c:v>
                </c:pt>
                <c:pt idx="63">
                  <c:v>0.28125</c:v>
                </c:pt>
                <c:pt idx="64">
                  <c:v>0.2857142857142857</c:v>
                </c:pt>
                <c:pt idx="65">
                  <c:v>0.29017857142857145</c:v>
                </c:pt>
                <c:pt idx="66">
                  <c:v>0.29464285714285715</c:v>
                </c:pt>
                <c:pt idx="67">
                  <c:v>0.29910714285714285</c:v>
                </c:pt>
                <c:pt idx="68">
                  <c:v>0.30357142857142855</c:v>
                </c:pt>
                <c:pt idx="69">
                  <c:v>0.3080357142857143</c:v>
                </c:pt>
                <c:pt idx="70">
                  <c:v>0.3125</c:v>
                </c:pt>
                <c:pt idx="71">
                  <c:v>0.3169642857142857</c:v>
                </c:pt>
                <c:pt idx="72">
                  <c:v>0.32142857142857145</c:v>
                </c:pt>
                <c:pt idx="73">
                  <c:v>0.32589285714285715</c:v>
                </c:pt>
                <c:pt idx="74">
                  <c:v>0.33035714285714285</c:v>
                </c:pt>
                <c:pt idx="75">
                  <c:v>0.33482142857142855</c:v>
                </c:pt>
                <c:pt idx="76">
                  <c:v>0.3392857142857143</c:v>
                </c:pt>
                <c:pt idx="77">
                  <c:v>0.34375</c:v>
                </c:pt>
                <c:pt idx="78">
                  <c:v>0.3482142857142857</c:v>
                </c:pt>
                <c:pt idx="79">
                  <c:v>0.35267857142857145</c:v>
                </c:pt>
                <c:pt idx="80">
                  <c:v>0.35714285714285715</c:v>
                </c:pt>
                <c:pt idx="81">
                  <c:v>0.36160714285714285</c:v>
                </c:pt>
                <c:pt idx="82">
                  <c:v>0.36607142857142855</c:v>
                </c:pt>
                <c:pt idx="83">
                  <c:v>0.3705357142857143</c:v>
                </c:pt>
                <c:pt idx="84">
                  <c:v>0.375</c:v>
                </c:pt>
                <c:pt idx="85">
                  <c:v>0.3794642857142857</c:v>
                </c:pt>
                <c:pt idx="86">
                  <c:v>0.38392857142857145</c:v>
                </c:pt>
                <c:pt idx="87">
                  <c:v>0.38839285714285715</c:v>
                </c:pt>
                <c:pt idx="88">
                  <c:v>0.39285714285714285</c:v>
                </c:pt>
                <c:pt idx="89">
                  <c:v>0.39732142857142855</c:v>
                </c:pt>
                <c:pt idx="90">
                  <c:v>0.4017857142857143</c:v>
                </c:pt>
                <c:pt idx="91">
                  <c:v>0.40625</c:v>
                </c:pt>
                <c:pt idx="92">
                  <c:v>0.4107142857142857</c:v>
                </c:pt>
                <c:pt idx="93">
                  <c:v>0.41517857142857145</c:v>
                </c:pt>
                <c:pt idx="94">
                  <c:v>0.41964285714285715</c:v>
                </c:pt>
                <c:pt idx="95">
                  <c:v>0.42410714285714285</c:v>
                </c:pt>
                <c:pt idx="96">
                  <c:v>0.42857142857142855</c:v>
                </c:pt>
                <c:pt idx="97">
                  <c:v>0.4330357142857143</c:v>
                </c:pt>
                <c:pt idx="98">
                  <c:v>0.4375</c:v>
                </c:pt>
                <c:pt idx="99">
                  <c:v>0.4419642857142857</c:v>
                </c:pt>
                <c:pt idx="100">
                  <c:v>0.44642857142857145</c:v>
                </c:pt>
                <c:pt idx="101">
                  <c:v>0.45089285714285715</c:v>
                </c:pt>
                <c:pt idx="102">
                  <c:v>0.45535714285714285</c:v>
                </c:pt>
                <c:pt idx="103">
                  <c:v>0.45982142857142855</c:v>
                </c:pt>
                <c:pt idx="104">
                  <c:v>0.4642857142857143</c:v>
                </c:pt>
                <c:pt idx="105">
                  <c:v>0.46875</c:v>
                </c:pt>
                <c:pt idx="106">
                  <c:v>0.4732142857142857</c:v>
                </c:pt>
                <c:pt idx="107">
                  <c:v>0.47767857142857145</c:v>
                </c:pt>
                <c:pt idx="108">
                  <c:v>0.48214285714285715</c:v>
                </c:pt>
                <c:pt idx="109">
                  <c:v>0.48660714285714285</c:v>
                </c:pt>
                <c:pt idx="110">
                  <c:v>0.49107142857142855</c:v>
                </c:pt>
                <c:pt idx="111">
                  <c:v>0.4955357142857143</c:v>
                </c:pt>
                <c:pt idx="112">
                  <c:v>0.5</c:v>
                </c:pt>
                <c:pt idx="113">
                  <c:v>0.5044642857142857</c:v>
                </c:pt>
                <c:pt idx="114">
                  <c:v>0.5089285714285714</c:v>
                </c:pt>
                <c:pt idx="115">
                  <c:v>0.5133928571428571</c:v>
                </c:pt>
                <c:pt idx="116">
                  <c:v>0.5178571428571429</c:v>
                </c:pt>
                <c:pt idx="117">
                  <c:v>0.5223214285714286</c:v>
                </c:pt>
                <c:pt idx="118">
                  <c:v>0.5267857142857143</c:v>
                </c:pt>
                <c:pt idx="119">
                  <c:v>0.53125</c:v>
                </c:pt>
                <c:pt idx="120">
                  <c:v>0.5357142857142857</c:v>
                </c:pt>
                <c:pt idx="121">
                  <c:v>0.5401785714285714</c:v>
                </c:pt>
                <c:pt idx="122">
                  <c:v>0.5446428571428571</c:v>
                </c:pt>
                <c:pt idx="123">
                  <c:v>0.5491071428571429</c:v>
                </c:pt>
                <c:pt idx="124">
                  <c:v>0.5535714285714286</c:v>
                </c:pt>
                <c:pt idx="125">
                  <c:v>0.5580357142857143</c:v>
                </c:pt>
                <c:pt idx="126">
                  <c:v>0.5625</c:v>
                </c:pt>
                <c:pt idx="127">
                  <c:v>0.5669642857142857</c:v>
                </c:pt>
                <c:pt idx="128">
                  <c:v>0.5714285714285714</c:v>
                </c:pt>
                <c:pt idx="129">
                  <c:v>0.5758928571428571</c:v>
                </c:pt>
                <c:pt idx="130">
                  <c:v>0.5803571428571429</c:v>
                </c:pt>
                <c:pt idx="131">
                  <c:v>0.5848214285714286</c:v>
                </c:pt>
                <c:pt idx="132">
                  <c:v>0.5892857142857143</c:v>
                </c:pt>
                <c:pt idx="133">
                  <c:v>0.59375</c:v>
                </c:pt>
                <c:pt idx="134">
                  <c:v>0.5982142857142857</c:v>
                </c:pt>
                <c:pt idx="135">
                  <c:v>0.6026785714285714</c:v>
                </c:pt>
                <c:pt idx="136">
                  <c:v>0.6071428571428571</c:v>
                </c:pt>
                <c:pt idx="137">
                  <c:v>0.6116071428571429</c:v>
                </c:pt>
                <c:pt idx="138">
                  <c:v>0.6160714285714286</c:v>
                </c:pt>
                <c:pt idx="139">
                  <c:v>0.6205357142857143</c:v>
                </c:pt>
                <c:pt idx="140">
                  <c:v>0.625</c:v>
                </c:pt>
                <c:pt idx="141">
                  <c:v>0.6294642857142857</c:v>
                </c:pt>
                <c:pt idx="142">
                  <c:v>0.6339285714285714</c:v>
                </c:pt>
                <c:pt idx="143">
                  <c:v>0.6383928571428571</c:v>
                </c:pt>
                <c:pt idx="144">
                  <c:v>0.6428571428571429</c:v>
                </c:pt>
                <c:pt idx="145">
                  <c:v>0.6473214285714286</c:v>
                </c:pt>
                <c:pt idx="146">
                  <c:v>0.6517857142857143</c:v>
                </c:pt>
                <c:pt idx="147">
                  <c:v>0.65625</c:v>
                </c:pt>
                <c:pt idx="148">
                  <c:v>0.6607142857142857</c:v>
                </c:pt>
                <c:pt idx="149">
                  <c:v>0.6651785714285714</c:v>
                </c:pt>
                <c:pt idx="150">
                  <c:v>0.6696428571428571</c:v>
                </c:pt>
                <c:pt idx="151">
                  <c:v>0.6741071428571429</c:v>
                </c:pt>
                <c:pt idx="152">
                  <c:v>0.6785714285714286</c:v>
                </c:pt>
                <c:pt idx="153">
                  <c:v>0.6830357142857143</c:v>
                </c:pt>
                <c:pt idx="154">
                  <c:v>0.6875</c:v>
                </c:pt>
                <c:pt idx="155">
                  <c:v>0.6919642857142857</c:v>
                </c:pt>
                <c:pt idx="156">
                  <c:v>0.6964285714285714</c:v>
                </c:pt>
                <c:pt idx="157">
                  <c:v>0.7008928571428571</c:v>
                </c:pt>
                <c:pt idx="158">
                  <c:v>0.7053571428571429</c:v>
                </c:pt>
                <c:pt idx="159">
                  <c:v>0.7098214285714286</c:v>
                </c:pt>
                <c:pt idx="160">
                  <c:v>0.7142857142857143</c:v>
                </c:pt>
                <c:pt idx="161">
                  <c:v>0.71875</c:v>
                </c:pt>
                <c:pt idx="162">
                  <c:v>0.7232142857142857</c:v>
                </c:pt>
                <c:pt idx="163">
                  <c:v>0.7276785714285714</c:v>
                </c:pt>
                <c:pt idx="164">
                  <c:v>0.7321428571428571</c:v>
                </c:pt>
                <c:pt idx="165">
                  <c:v>0.7366071428571429</c:v>
                </c:pt>
                <c:pt idx="166">
                  <c:v>0.7410714285714286</c:v>
                </c:pt>
                <c:pt idx="167">
                  <c:v>0.7455357142857143</c:v>
                </c:pt>
                <c:pt idx="168">
                  <c:v>0.75</c:v>
                </c:pt>
                <c:pt idx="169">
                  <c:v>0.7544642857142857</c:v>
                </c:pt>
                <c:pt idx="170">
                  <c:v>0.7589285714285714</c:v>
                </c:pt>
                <c:pt idx="171">
                  <c:v>0.7633928571428571</c:v>
                </c:pt>
                <c:pt idx="172">
                  <c:v>0.7678571428571429</c:v>
                </c:pt>
                <c:pt idx="173">
                  <c:v>0.7723214285714286</c:v>
                </c:pt>
                <c:pt idx="174">
                  <c:v>0.7767857142857143</c:v>
                </c:pt>
                <c:pt idx="175">
                  <c:v>0.78125</c:v>
                </c:pt>
                <c:pt idx="176">
                  <c:v>0.7857142857142857</c:v>
                </c:pt>
                <c:pt idx="177">
                  <c:v>0.7901785714285714</c:v>
                </c:pt>
                <c:pt idx="178">
                  <c:v>0.7946428571428571</c:v>
                </c:pt>
                <c:pt idx="179">
                  <c:v>0.7991071428571429</c:v>
                </c:pt>
                <c:pt idx="180">
                  <c:v>0.8035714285714286</c:v>
                </c:pt>
                <c:pt idx="181">
                  <c:v>0.8080357142857143</c:v>
                </c:pt>
                <c:pt idx="182">
                  <c:v>0.8125</c:v>
                </c:pt>
                <c:pt idx="183">
                  <c:v>0.8169642857142857</c:v>
                </c:pt>
                <c:pt idx="184">
                  <c:v>0.8214285714285714</c:v>
                </c:pt>
                <c:pt idx="185">
                  <c:v>0.8258928571428571</c:v>
                </c:pt>
                <c:pt idx="186">
                  <c:v>0.8303571428571429</c:v>
                </c:pt>
                <c:pt idx="187">
                  <c:v>0.8348214285714286</c:v>
                </c:pt>
                <c:pt idx="188">
                  <c:v>0.8392857142857143</c:v>
                </c:pt>
                <c:pt idx="189">
                  <c:v>0.84375</c:v>
                </c:pt>
                <c:pt idx="190">
                  <c:v>0.8482142857142857</c:v>
                </c:pt>
                <c:pt idx="191">
                  <c:v>0.8526785714285714</c:v>
                </c:pt>
                <c:pt idx="192">
                  <c:v>0.8571428571428571</c:v>
                </c:pt>
                <c:pt idx="193">
                  <c:v>0.8616071428571429</c:v>
                </c:pt>
                <c:pt idx="194">
                  <c:v>0.8660714285714286</c:v>
                </c:pt>
                <c:pt idx="195">
                  <c:v>0.8705357142857143</c:v>
                </c:pt>
                <c:pt idx="196">
                  <c:v>0.875</c:v>
                </c:pt>
                <c:pt idx="197">
                  <c:v>0.8794642857142857</c:v>
                </c:pt>
                <c:pt idx="198">
                  <c:v>0.8839285714285714</c:v>
                </c:pt>
                <c:pt idx="199">
                  <c:v>0.8883928571428571</c:v>
                </c:pt>
                <c:pt idx="200">
                  <c:v>0.8928571428571429</c:v>
                </c:pt>
                <c:pt idx="201">
                  <c:v>0.8973214285714286</c:v>
                </c:pt>
                <c:pt idx="202">
                  <c:v>0.9017857142857143</c:v>
                </c:pt>
                <c:pt idx="203">
                  <c:v>0.90625</c:v>
                </c:pt>
                <c:pt idx="204">
                  <c:v>0.9107142857142857</c:v>
                </c:pt>
                <c:pt idx="205">
                  <c:v>0.9151785714285714</c:v>
                </c:pt>
                <c:pt idx="206">
                  <c:v>0.9196428571428571</c:v>
                </c:pt>
                <c:pt idx="207">
                  <c:v>0.9241071428571429</c:v>
                </c:pt>
                <c:pt idx="208">
                  <c:v>0.9285714285714286</c:v>
                </c:pt>
                <c:pt idx="209">
                  <c:v>0.9330357142857143</c:v>
                </c:pt>
                <c:pt idx="210">
                  <c:v>0.9375</c:v>
                </c:pt>
                <c:pt idx="211">
                  <c:v>0.9419642857142857</c:v>
                </c:pt>
                <c:pt idx="212">
                  <c:v>0.9464285714285714</c:v>
                </c:pt>
                <c:pt idx="213">
                  <c:v>0.9508928571428571</c:v>
                </c:pt>
                <c:pt idx="214">
                  <c:v>0.9553571428571429</c:v>
                </c:pt>
                <c:pt idx="215">
                  <c:v>0.9598214285714286</c:v>
                </c:pt>
                <c:pt idx="216">
                  <c:v>0.9642857142857143</c:v>
                </c:pt>
                <c:pt idx="217">
                  <c:v>0.96875</c:v>
                </c:pt>
                <c:pt idx="218">
                  <c:v>0.9732142857142857</c:v>
                </c:pt>
                <c:pt idx="219">
                  <c:v>0.9776785714285714</c:v>
                </c:pt>
                <c:pt idx="220">
                  <c:v>0.9821428571428571</c:v>
                </c:pt>
                <c:pt idx="221">
                  <c:v>0.9866071428571429</c:v>
                </c:pt>
                <c:pt idx="222">
                  <c:v>0.9910714285714286</c:v>
                </c:pt>
                <c:pt idx="223">
                  <c:v>0.9955357142857143</c:v>
                </c:pt>
                <c:pt idx="224">
                  <c:v>1</c:v>
                </c:pt>
              </c:numCache>
            </c:numRef>
          </c:yVal>
          <c:smooth val="0"/>
          <c:extLst>
            <c:ext xmlns:c16="http://schemas.microsoft.com/office/drawing/2014/chart" uri="{C3380CC4-5D6E-409C-BE32-E72D297353CC}">
              <c16:uniqueId val="{00000002-D8D1-4EB1-BF61-ED9BD4A3FA3F}"/>
            </c:ext>
          </c:extLst>
        </c:ser>
        <c:dLbls>
          <c:showLegendKey val="0"/>
          <c:showVal val="0"/>
          <c:showCatName val="0"/>
          <c:showSerName val="0"/>
          <c:showPercent val="0"/>
          <c:showBubbleSize val="0"/>
        </c:dLbls>
        <c:axId val="1247390303"/>
        <c:axId val="1247404031"/>
      </c:scatterChart>
      <c:valAx>
        <c:axId val="1247390303"/>
        <c:scaling>
          <c:orientation val="minMax"/>
          <c:max val="15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r/t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247404031"/>
        <c:crosses val="autoZero"/>
        <c:crossBetween val="midCat"/>
        <c:majorUnit val="250"/>
      </c:valAx>
      <c:valAx>
        <c:axId val="1247404031"/>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247390303"/>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Observed</c:v>
          </c:tx>
          <c:spPr>
            <a:ln w="19050" cap="rnd">
              <a:noFill/>
              <a:round/>
            </a:ln>
            <a:effectLst/>
          </c:spPr>
          <c:marker>
            <c:symbol val="none"/>
          </c:marker>
          <c:errBars>
            <c:errDir val="x"/>
            <c:errBarType val="both"/>
            <c:errValType val="cust"/>
            <c:noEndCap val="1"/>
            <c:plus>
              <c:numRef>
                <c:f>'Figure 7 Data'!$AG$12:$AG$28</c:f>
                <c:numCache>
                  <c:formatCode>General</c:formatCode>
                  <c:ptCount val="17"/>
                  <c:pt idx="0">
                    <c:v>0</c:v>
                  </c:pt>
                  <c:pt idx="1">
                    <c:v>6.3499999999997669E-2</c:v>
                  </c:pt>
                  <c:pt idx="2">
                    <c:v>23.685500000000001</c:v>
                  </c:pt>
                  <c:pt idx="3">
                    <c:v>12.700000000000003</c:v>
                  </c:pt>
                  <c:pt idx="4">
                    <c:v>11.683999999999997</c:v>
                  </c:pt>
                  <c:pt idx="5">
                    <c:v>0.25400000000000489</c:v>
                  </c:pt>
                  <c:pt idx="6">
                    <c:v>2.7369999999999948</c:v>
                  </c:pt>
                  <c:pt idx="7">
                    <c:v>0.89520000000000266</c:v>
                  </c:pt>
                  <c:pt idx="8">
                    <c:v>0.30480000000000018</c:v>
                  </c:pt>
                  <c:pt idx="9">
                    <c:v>23.799999999999997</c:v>
                  </c:pt>
                  <c:pt idx="10">
                    <c:v>14.299999999999997</c:v>
                  </c:pt>
                  <c:pt idx="11">
                    <c:v>22.86</c:v>
                  </c:pt>
                  <c:pt idx="12">
                    <c:v>53.34</c:v>
                  </c:pt>
                  <c:pt idx="13">
                    <c:v>12.699999999999989</c:v>
                  </c:pt>
                  <c:pt idx="14">
                    <c:v>146.80000000000001</c:v>
                  </c:pt>
                  <c:pt idx="15">
                    <c:v>31</c:v>
                  </c:pt>
                </c:numCache>
              </c:numRef>
            </c:plus>
            <c:minus>
              <c:numLit>
                <c:formatCode>General</c:formatCode>
                <c:ptCount val="1"/>
                <c:pt idx="0">
                  <c:v>0</c:v>
                </c:pt>
              </c:numLit>
            </c:minus>
            <c:spPr>
              <a:noFill/>
              <a:ln w="9525" cap="flat" cmpd="sng" algn="ctr">
                <a:solidFill>
                  <a:schemeClr val="tx1"/>
                </a:solidFill>
                <a:round/>
              </a:ln>
              <a:effectLst/>
            </c:spPr>
          </c:errBars>
          <c:errBars>
            <c:errDir val="y"/>
            <c:errBarType val="both"/>
            <c:errValType val="cust"/>
            <c:noEndCap val="1"/>
            <c:plus>
              <c:numLit>
                <c:formatCode>General</c:formatCode>
                <c:ptCount val="1"/>
                <c:pt idx="0">
                  <c:v>0</c:v>
                </c:pt>
              </c:numLit>
            </c:plus>
            <c:minus>
              <c:numRef>
                <c:f>'Figure 7 Data'!$AH$12:$AH$28</c:f>
                <c:numCache>
                  <c:formatCode>General</c:formatCode>
                  <c:ptCount val="17"/>
                  <c:pt idx="1">
                    <c:v>7.9754601226993863E-2</c:v>
                  </c:pt>
                  <c:pt idx="2">
                    <c:v>7.3619631901840496E-2</c:v>
                  </c:pt>
                  <c:pt idx="3">
                    <c:v>9.8159509202453976E-2</c:v>
                  </c:pt>
                  <c:pt idx="4">
                    <c:v>6.1349693251533777E-2</c:v>
                  </c:pt>
                  <c:pt idx="5">
                    <c:v>7.3619631901840454E-2</c:v>
                  </c:pt>
                  <c:pt idx="6">
                    <c:v>1.8404907975460127E-2</c:v>
                  </c:pt>
                  <c:pt idx="7">
                    <c:v>6.1349693251533943E-3</c:v>
                  </c:pt>
                  <c:pt idx="8">
                    <c:v>1.2269938650306733E-2</c:v>
                  </c:pt>
                  <c:pt idx="9">
                    <c:v>2.4539877300613522E-2</c:v>
                  </c:pt>
                  <c:pt idx="10">
                    <c:v>6.1349693251533388E-3</c:v>
                  </c:pt>
                  <c:pt idx="11">
                    <c:v>7.9754601226993904E-2</c:v>
                  </c:pt>
                  <c:pt idx="12">
                    <c:v>4.9079754601226933E-2</c:v>
                  </c:pt>
                  <c:pt idx="13">
                    <c:v>0.2024539877300614</c:v>
                  </c:pt>
                  <c:pt idx="14">
                    <c:v>4.9079754601226933E-2</c:v>
                  </c:pt>
                  <c:pt idx="15">
                    <c:v>7.361963190184051E-2</c:v>
                  </c:pt>
                  <c:pt idx="16">
                    <c:v>9.2024539877300637E-2</c:v>
                  </c:pt>
                </c:numCache>
              </c:numRef>
            </c:minus>
            <c:spPr>
              <a:noFill/>
              <a:ln w="9525" cap="flat" cmpd="sng" algn="ctr">
                <a:solidFill>
                  <a:schemeClr val="tx1">
                    <a:lumMod val="95000"/>
                    <a:lumOff val="5000"/>
                  </a:schemeClr>
                </a:solidFill>
                <a:round/>
              </a:ln>
              <a:effectLst/>
            </c:spPr>
          </c:errBars>
          <c:xVal>
            <c:numRef>
              <c:f>'Figure 7 Data'!$AF$12:$AF$28</c:f>
              <c:numCache>
                <c:formatCode>General</c:formatCode>
                <c:ptCount val="17"/>
                <c:pt idx="0">
                  <c:v>23.876000000000001</c:v>
                </c:pt>
                <c:pt idx="1">
                  <c:v>23.876000000000001</c:v>
                </c:pt>
                <c:pt idx="2">
                  <c:v>23.939499999999999</c:v>
                </c:pt>
                <c:pt idx="3">
                  <c:v>47.625</c:v>
                </c:pt>
                <c:pt idx="4">
                  <c:v>60.325000000000003</c:v>
                </c:pt>
                <c:pt idx="5">
                  <c:v>72.009</c:v>
                </c:pt>
                <c:pt idx="6">
                  <c:v>72.263000000000005</c:v>
                </c:pt>
                <c:pt idx="7">
                  <c:v>75</c:v>
                </c:pt>
                <c:pt idx="8">
                  <c:v>75.895200000000003</c:v>
                </c:pt>
                <c:pt idx="9">
                  <c:v>76.2</c:v>
                </c:pt>
                <c:pt idx="10">
                  <c:v>100</c:v>
                </c:pt>
                <c:pt idx="11">
                  <c:v>114.3</c:v>
                </c:pt>
                <c:pt idx="12">
                  <c:v>137.16</c:v>
                </c:pt>
                <c:pt idx="13">
                  <c:v>190.5</c:v>
                </c:pt>
                <c:pt idx="14">
                  <c:v>203.2</c:v>
                </c:pt>
                <c:pt idx="15">
                  <c:v>350</c:v>
                </c:pt>
                <c:pt idx="16">
                  <c:v>381</c:v>
                </c:pt>
              </c:numCache>
            </c:numRef>
          </c:xVal>
          <c:yVal>
            <c:numRef>
              <c:f>'Figure 7 Data'!$AE$12:$AE$28</c:f>
              <c:numCache>
                <c:formatCode>General</c:formatCode>
                <c:ptCount val="17"/>
                <c:pt idx="0">
                  <c:v>0</c:v>
                </c:pt>
                <c:pt idx="1">
                  <c:v>7.9754601226993863E-2</c:v>
                </c:pt>
                <c:pt idx="2">
                  <c:v>0.15337423312883436</c:v>
                </c:pt>
                <c:pt idx="3">
                  <c:v>0.25153374233128833</c:v>
                </c:pt>
                <c:pt idx="4">
                  <c:v>0.31288343558282211</c:v>
                </c:pt>
                <c:pt idx="5">
                  <c:v>0.38650306748466257</c:v>
                </c:pt>
                <c:pt idx="6">
                  <c:v>0.40490797546012269</c:v>
                </c:pt>
                <c:pt idx="7">
                  <c:v>0.41104294478527609</c:v>
                </c:pt>
                <c:pt idx="8">
                  <c:v>0.42331288343558282</c:v>
                </c:pt>
                <c:pt idx="9">
                  <c:v>0.44785276073619634</c:v>
                </c:pt>
                <c:pt idx="10">
                  <c:v>0.45398773006134968</c:v>
                </c:pt>
                <c:pt idx="11">
                  <c:v>0.53374233128834359</c:v>
                </c:pt>
                <c:pt idx="12">
                  <c:v>0.58282208588957052</c:v>
                </c:pt>
                <c:pt idx="13">
                  <c:v>0.78527607361963192</c:v>
                </c:pt>
                <c:pt idx="14">
                  <c:v>0.83435582822085885</c:v>
                </c:pt>
                <c:pt idx="15">
                  <c:v>0.90797546012269936</c:v>
                </c:pt>
                <c:pt idx="16">
                  <c:v>1</c:v>
                </c:pt>
              </c:numCache>
            </c:numRef>
          </c:yVal>
          <c:smooth val="0"/>
          <c:extLst>
            <c:ext xmlns:c16="http://schemas.microsoft.com/office/drawing/2014/chart" uri="{C3380CC4-5D6E-409C-BE32-E72D297353CC}">
              <c16:uniqueId val="{00000000-9CD8-4D28-9543-123582CC606E}"/>
            </c:ext>
          </c:extLst>
        </c:ser>
        <c:ser>
          <c:idx val="1"/>
          <c:order val="1"/>
          <c:tx>
            <c:v>Piece</c:v>
          </c:tx>
          <c:spPr>
            <a:ln w="12700" cap="rnd">
              <a:solidFill>
                <a:schemeClr val="tx1">
                  <a:lumMod val="65000"/>
                  <a:lumOff val="35000"/>
                </a:schemeClr>
              </a:solidFill>
              <a:prstDash val="dash"/>
              <a:round/>
            </a:ln>
            <a:effectLst/>
          </c:spPr>
          <c:marker>
            <c:symbol val="none"/>
          </c:marker>
          <c:xVal>
            <c:numRef>
              <c:f>'Figure 7 Data'!$AF$12:$AF$28</c:f>
              <c:numCache>
                <c:formatCode>General</c:formatCode>
                <c:ptCount val="17"/>
                <c:pt idx="0">
                  <c:v>23.876000000000001</c:v>
                </c:pt>
                <c:pt idx="1">
                  <c:v>23.876000000000001</c:v>
                </c:pt>
                <c:pt idx="2">
                  <c:v>23.939499999999999</c:v>
                </c:pt>
                <c:pt idx="3">
                  <c:v>47.625</c:v>
                </c:pt>
                <c:pt idx="4">
                  <c:v>60.325000000000003</c:v>
                </c:pt>
                <c:pt idx="5">
                  <c:v>72.009</c:v>
                </c:pt>
                <c:pt idx="6">
                  <c:v>72.263000000000005</c:v>
                </c:pt>
                <c:pt idx="7">
                  <c:v>75</c:v>
                </c:pt>
                <c:pt idx="8">
                  <c:v>75.895200000000003</c:v>
                </c:pt>
                <c:pt idx="9">
                  <c:v>76.2</c:v>
                </c:pt>
                <c:pt idx="10">
                  <c:v>100</c:v>
                </c:pt>
                <c:pt idx="11">
                  <c:v>114.3</c:v>
                </c:pt>
                <c:pt idx="12">
                  <c:v>137.16</c:v>
                </c:pt>
                <c:pt idx="13">
                  <c:v>190.5</c:v>
                </c:pt>
                <c:pt idx="14">
                  <c:v>203.2</c:v>
                </c:pt>
                <c:pt idx="15">
                  <c:v>350</c:v>
                </c:pt>
                <c:pt idx="16">
                  <c:v>381</c:v>
                </c:pt>
              </c:numCache>
            </c:numRef>
          </c:xVal>
          <c:yVal>
            <c:numRef>
              <c:f>'Figure 7 Data'!$AE$12:$AE$28</c:f>
              <c:numCache>
                <c:formatCode>General</c:formatCode>
                <c:ptCount val="17"/>
                <c:pt idx="0">
                  <c:v>0</c:v>
                </c:pt>
                <c:pt idx="1">
                  <c:v>7.9754601226993863E-2</c:v>
                </c:pt>
                <c:pt idx="2">
                  <c:v>0.15337423312883436</c:v>
                </c:pt>
                <c:pt idx="3">
                  <c:v>0.25153374233128833</c:v>
                </c:pt>
                <c:pt idx="4">
                  <c:v>0.31288343558282211</c:v>
                </c:pt>
                <c:pt idx="5">
                  <c:v>0.38650306748466257</c:v>
                </c:pt>
                <c:pt idx="6">
                  <c:v>0.40490797546012269</c:v>
                </c:pt>
                <c:pt idx="7">
                  <c:v>0.41104294478527609</c:v>
                </c:pt>
                <c:pt idx="8">
                  <c:v>0.42331288343558282</c:v>
                </c:pt>
                <c:pt idx="9">
                  <c:v>0.44785276073619634</c:v>
                </c:pt>
                <c:pt idx="10">
                  <c:v>0.45398773006134968</c:v>
                </c:pt>
                <c:pt idx="11">
                  <c:v>0.53374233128834359</c:v>
                </c:pt>
                <c:pt idx="12">
                  <c:v>0.58282208588957052</c:v>
                </c:pt>
                <c:pt idx="13">
                  <c:v>0.78527607361963192</c:v>
                </c:pt>
                <c:pt idx="14">
                  <c:v>0.83435582822085885</c:v>
                </c:pt>
                <c:pt idx="15">
                  <c:v>0.90797546012269936</c:v>
                </c:pt>
                <c:pt idx="16">
                  <c:v>1</c:v>
                </c:pt>
              </c:numCache>
            </c:numRef>
          </c:yVal>
          <c:smooth val="0"/>
          <c:extLst>
            <c:ext xmlns:c16="http://schemas.microsoft.com/office/drawing/2014/chart" uri="{C3380CC4-5D6E-409C-BE32-E72D297353CC}">
              <c16:uniqueId val="{00000001-9CD8-4D28-9543-123582CC606E}"/>
            </c:ext>
          </c:extLst>
        </c:ser>
        <c:ser>
          <c:idx val="2"/>
          <c:order val="2"/>
          <c:tx>
            <c:v>Repro</c:v>
          </c:tx>
          <c:spPr>
            <a:ln w="25400" cap="rnd">
              <a:noFill/>
              <a:round/>
            </a:ln>
            <a:effectLst/>
          </c:spPr>
          <c:marker>
            <c:symbol val="none"/>
          </c:marker>
          <c:errBars>
            <c:errDir val="x"/>
            <c:errBarType val="both"/>
            <c:errValType val="cust"/>
            <c:noEndCap val="1"/>
            <c:plus>
              <c:numRef>
                <c:f>'Figure 7 Data'!$AL$12:$AL$236</c:f>
                <c:numCache>
                  <c:formatCode>General</c:formatCode>
                  <c:ptCount val="225"/>
                  <c:pt idx="0">
                    <c:v>0</c:v>
                  </c:pt>
                  <c:pt idx="1">
                    <c:v>0</c:v>
                  </c:pt>
                  <c:pt idx="2">
                    <c:v>0</c:v>
                  </c:pt>
                  <c:pt idx="3">
                    <c:v>0</c:v>
                  </c:pt>
                  <c:pt idx="4">
                    <c:v>0</c:v>
                  </c:pt>
                  <c:pt idx="5">
                    <c:v>0</c:v>
                  </c:pt>
                  <c:pt idx="6">
                    <c:v>0</c:v>
                  </c:pt>
                  <c:pt idx="7">
                    <c:v>7.6946258999974759E-3</c:v>
                  </c:pt>
                  <c:pt idx="8">
                    <c:v>2.6308897000006937E-3</c:v>
                  </c:pt>
                  <c:pt idx="9">
                    <c:v>5.159775199999217E-3</c:v>
                  </c:pt>
                  <c:pt idx="10">
                    <c:v>2.0707242000028714E-3</c:v>
                  </c:pt>
                  <c:pt idx="11">
                    <c:v>6.6570751999996958E-3</c:v>
                  </c:pt>
                  <c:pt idx="12">
                    <c:v>9.8400749999782988E-4</c:v>
                  </c:pt>
                  <c:pt idx="13">
                    <c:v>5.0214976999995997E-3</c:v>
                  </c:pt>
                  <c:pt idx="14">
                    <c:v>2.0211728000028018E-3</c:v>
                  </c:pt>
                  <c:pt idx="15">
                    <c:v>4.4736360000001696E-3</c:v>
                  </c:pt>
                  <c:pt idx="16">
                    <c:v>4.0460963999997546E-3</c:v>
                  </c:pt>
                  <c:pt idx="17">
                    <c:v>1.7013515999977358E-3</c:v>
                  </c:pt>
                  <c:pt idx="18">
                    <c:v>2.4818570000206819E-4</c:v>
                  </c:pt>
                  <c:pt idx="19">
                    <c:v>4.5518345999973064E-3</c:v>
                  </c:pt>
                  <c:pt idx="20">
                    <c:v>4.4498636000014358E-3</c:v>
                  </c:pt>
                  <c:pt idx="21">
                    <c:v>2.878727670000103E-2</c:v>
                  </c:pt>
                  <c:pt idx="22">
                    <c:v>1.0393199474999975</c:v>
                  </c:pt>
                  <c:pt idx="23">
                    <c:v>0.8917922735000019</c:v>
                  </c:pt>
                  <c:pt idx="24">
                    <c:v>0.10852002169999864</c:v>
                  </c:pt>
                  <c:pt idx="25">
                    <c:v>2.6865252478000023</c:v>
                  </c:pt>
                  <c:pt idx="26">
                    <c:v>1.7751055210999986</c:v>
                  </c:pt>
                  <c:pt idx="27">
                    <c:v>3.1984409821000028</c:v>
                  </c:pt>
                  <c:pt idx="28">
                    <c:v>0.64236606899999771</c:v>
                  </c:pt>
                  <c:pt idx="29">
                    <c:v>1.043538427999998</c:v>
                  </c:pt>
                  <c:pt idx="30">
                    <c:v>1.367869065299999</c:v>
                  </c:pt>
                  <c:pt idx="31">
                    <c:v>0.43166839130000056</c:v>
                  </c:pt>
                  <c:pt idx="32">
                    <c:v>0.21264734150000209</c:v>
                  </c:pt>
                  <c:pt idx="33">
                    <c:v>0.31799868299999901</c:v>
                  </c:pt>
                  <c:pt idx="34">
                    <c:v>0.6221125810999979</c:v>
                  </c:pt>
                  <c:pt idx="35">
                    <c:v>5.1728311600001575E-2</c:v>
                  </c:pt>
                  <c:pt idx="36">
                    <c:v>1.9219391338000023</c:v>
                  </c:pt>
                  <c:pt idx="37">
                    <c:v>1.2007424589000024</c:v>
                  </c:pt>
                  <c:pt idx="38">
                    <c:v>0.42499544319999671</c:v>
                  </c:pt>
                  <c:pt idx="39">
                    <c:v>4.4890636899</c:v>
                  </c:pt>
                  <c:pt idx="40">
                    <c:v>0.43837965550000035</c:v>
                  </c:pt>
                  <c:pt idx="41">
                    <c:v>1.0850060325999991</c:v>
                  </c:pt>
                  <c:pt idx="42">
                    <c:v>1.1031132968999984</c:v>
                  </c:pt>
                  <c:pt idx="43">
                    <c:v>0.42177322510000437</c:v>
                  </c:pt>
                  <c:pt idx="44">
                    <c:v>0.38059970599999815</c:v>
                  </c:pt>
                  <c:pt idx="45">
                    <c:v>0.74045880909999795</c:v>
                  </c:pt>
                  <c:pt idx="46">
                    <c:v>0.63155426990000052</c:v>
                  </c:pt>
                  <c:pt idx="47">
                    <c:v>0.44739004619999889</c:v>
                  </c:pt>
                  <c:pt idx="48">
                    <c:v>0.22349588520000196</c:v>
                  </c:pt>
                  <c:pt idx="49">
                    <c:v>0.66711486820000232</c:v>
                  </c:pt>
                  <c:pt idx="50">
                    <c:v>0.11411332069999958</c:v>
                  </c:pt>
                  <c:pt idx="51">
                    <c:v>0.92181650819999561</c:v>
                  </c:pt>
                  <c:pt idx="52">
                    <c:v>0.52082077920000103</c:v>
                  </c:pt>
                  <c:pt idx="53">
                    <c:v>0.29290169740000493</c:v>
                  </c:pt>
                  <c:pt idx="54">
                    <c:v>0.62813852779999735</c:v>
                  </c:pt>
                  <c:pt idx="55">
                    <c:v>3.4377064200000973E-2</c:v>
                  </c:pt>
                  <c:pt idx="56">
                    <c:v>9.7751489899998489E-2</c:v>
                  </c:pt>
                  <c:pt idx="57">
                    <c:v>3.2326442771000004</c:v>
                  </c:pt>
                  <c:pt idx="58">
                    <c:v>0.66851281129999762</c:v>
                  </c:pt>
                  <c:pt idx="59">
                    <c:v>0.53808946280000214</c:v>
                  </c:pt>
                  <c:pt idx="60">
                    <c:v>2.613721351099997</c:v>
                  </c:pt>
                  <c:pt idx="61">
                    <c:v>0.57699563440000645</c:v>
                  </c:pt>
                  <c:pt idx="62">
                    <c:v>0.3826594640999943</c:v>
                  </c:pt>
                  <c:pt idx="63">
                    <c:v>0.16535203050000291</c:v>
                  </c:pt>
                  <c:pt idx="64">
                    <c:v>1.4779702900000302E-2</c:v>
                  </c:pt>
                  <c:pt idx="65">
                    <c:v>0.17040214379999696</c:v>
                  </c:pt>
                  <c:pt idx="66">
                    <c:v>1.0990543400005492E-2</c:v>
                  </c:pt>
                  <c:pt idx="67">
                    <c:v>0.5822495418000031</c:v>
                  </c:pt>
                  <c:pt idx="68">
                    <c:v>1.4021708499996066E-2</c:v>
                  </c:pt>
                  <c:pt idx="69">
                    <c:v>0.48412653999999122</c:v>
                  </c:pt>
                  <c:pt idx="70">
                    <c:v>0.91591335809999919</c:v>
                  </c:pt>
                  <c:pt idx="71">
                    <c:v>0.33367657730001099</c:v>
                  </c:pt>
                  <c:pt idx="72">
                    <c:v>0.17139134199999262</c:v>
                  </c:pt>
                  <c:pt idx="73">
                    <c:v>0.50319780430000094</c:v>
                  </c:pt>
                  <c:pt idx="74">
                    <c:v>0.78028491039999892</c:v>
                  </c:pt>
                  <c:pt idx="75">
                    <c:v>0.97246030210000356</c:v>
                  </c:pt>
                  <c:pt idx="76">
                    <c:v>0.12512594320000403</c:v>
                  </c:pt>
                  <c:pt idx="77">
                    <c:v>0.35855113959999585</c:v>
                  </c:pt>
                  <c:pt idx="78">
                    <c:v>1.5153527157000042</c:v>
                  </c:pt>
                  <c:pt idx="79">
                    <c:v>1.1433079341999957</c:v>
                  </c:pt>
                  <c:pt idx="80">
                    <c:v>0.1766747270000053</c:v>
                  </c:pt>
                  <c:pt idx="81">
                    <c:v>0.47476978569999062</c:v>
                  </c:pt>
                  <c:pt idx="82">
                    <c:v>2.798045760000889E-2</c:v>
                  </c:pt>
                  <c:pt idx="83">
                    <c:v>0.13957478089999142</c:v>
                  </c:pt>
                  <c:pt idx="84">
                    <c:v>1.4835246399997004E-2</c:v>
                  </c:pt>
                  <c:pt idx="85">
                    <c:v>1.2994196500002886E-2</c:v>
                  </c:pt>
                  <c:pt idx="86">
                    <c:v>0.39645272410000132</c:v>
                  </c:pt>
                  <c:pt idx="87">
                    <c:v>0.76973469960000784</c:v>
                  </c:pt>
                  <c:pt idx="88">
                    <c:v>0.65818953809998959</c:v>
                  </c:pt>
                  <c:pt idx="89">
                    <c:v>0.93689432310000598</c:v>
                  </c:pt>
                  <c:pt idx="90">
                    <c:v>0.41803247510000574</c:v>
                  </c:pt>
                  <c:pt idx="91">
                    <c:v>0.49395238829998789</c:v>
                  </c:pt>
                  <c:pt idx="92">
                    <c:v>0.12468235149999884</c:v>
                  </c:pt>
                  <c:pt idx="93">
                    <c:v>9.668938080000089E-2</c:v>
                  </c:pt>
                  <c:pt idx="94">
                    <c:v>1.916996800005677E-3</c:v>
                  </c:pt>
                  <c:pt idx="95">
                    <c:v>1.7330674330000022</c:v>
                  </c:pt>
                  <c:pt idx="96">
                    <c:v>4.6693945453999959</c:v>
                  </c:pt>
                  <c:pt idx="97">
                    <c:v>14.112133401000008</c:v>
                  </c:pt>
                  <c:pt idx="98">
                    <c:v>3.2008970310999985</c:v>
                  </c:pt>
                  <c:pt idx="99">
                    <c:v>0.30619472319999375</c:v>
                  </c:pt>
                  <c:pt idx="100">
                    <c:v>0.95337270900000703</c:v>
                  </c:pt>
                  <c:pt idx="101">
                    <c:v>0.76801422799999841</c:v>
                  </c:pt>
                  <c:pt idx="102">
                    <c:v>0.64953421100000241</c:v>
                  </c:pt>
                  <c:pt idx="103">
                    <c:v>1.4245933439999874</c:v>
                  </c:pt>
                  <c:pt idx="104">
                    <c:v>0.2117903890000008</c:v>
                  </c:pt>
                  <c:pt idx="105">
                    <c:v>0.16516456100001164</c:v>
                  </c:pt>
                  <c:pt idx="106">
                    <c:v>0.14515764899999795</c:v>
                  </c:pt>
                  <c:pt idx="107">
                    <c:v>0.55670645299998966</c:v>
                  </c:pt>
                  <c:pt idx="108">
                    <c:v>0.42716885800000171</c:v>
                  </c:pt>
                  <c:pt idx="109">
                    <c:v>1.5402059000010127E-2</c:v>
                  </c:pt>
                  <c:pt idx="110">
                    <c:v>0.63485932199999695</c:v>
                  </c:pt>
                  <c:pt idx="111">
                    <c:v>1.1284501929999919</c:v>
                  </c:pt>
                  <c:pt idx="112">
                    <c:v>1.5068711930000092</c:v>
                  </c:pt>
                  <c:pt idx="113">
                    <c:v>3.630207771000002</c:v>
                  </c:pt>
                  <c:pt idx="114">
                    <c:v>0.36484395899999811</c:v>
                  </c:pt>
                  <c:pt idx="115">
                    <c:v>0.4586379069999964</c:v>
                  </c:pt>
                  <c:pt idx="116">
                    <c:v>0.1104311990000042</c:v>
                  </c:pt>
                  <c:pt idx="117">
                    <c:v>0.69719996699998887</c:v>
                  </c:pt>
                  <c:pt idx="118">
                    <c:v>1.687957400000073E-2</c:v>
                  </c:pt>
                  <c:pt idx="119">
                    <c:v>3.1972461000009389E-2</c:v>
                  </c:pt>
                  <c:pt idx="120">
                    <c:v>2.3105899880000038</c:v>
                  </c:pt>
                  <c:pt idx="121">
                    <c:v>3.0892896049999905</c:v>
                  </c:pt>
                  <c:pt idx="122">
                    <c:v>1.8323233710000011</c:v>
                  </c:pt>
                  <c:pt idx="123">
                    <c:v>0.5672238789999966</c:v>
                  </c:pt>
                  <c:pt idx="124">
                    <c:v>1.7409234010000034</c:v>
                  </c:pt>
                  <c:pt idx="125">
                    <c:v>1.4058717860000058</c:v>
                  </c:pt>
                  <c:pt idx="126">
                    <c:v>1.1328247049999902</c:v>
                  </c:pt>
                  <c:pt idx="127">
                    <c:v>1.8863940809999917</c:v>
                  </c:pt>
                  <c:pt idx="128">
                    <c:v>1.0143389870000021</c:v>
                  </c:pt>
                  <c:pt idx="129">
                    <c:v>1.6993660820000116</c:v>
                  </c:pt>
                  <c:pt idx="130">
                    <c:v>3.6909123499999907</c:v>
                  </c:pt>
                  <c:pt idx="131">
                    <c:v>2.8621024900000123</c:v>
                  </c:pt>
                  <c:pt idx="132">
                    <c:v>0.96177758700000027</c:v>
                  </c:pt>
                  <c:pt idx="133">
                    <c:v>2.2013195999988966E-2</c:v>
                  </c:pt>
                  <c:pt idx="134">
                    <c:v>0.60316083000000731</c:v>
                  </c:pt>
                  <c:pt idx="135">
                    <c:v>1.4497351869999875</c:v>
                  </c:pt>
                  <c:pt idx="136">
                    <c:v>0.36031681200000776</c:v>
                  </c:pt>
                  <c:pt idx="137">
                    <c:v>0.47499561800000834</c:v>
                  </c:pt>
                  <c:pt idx="138">
                    <c:v>2.5105237960000011</c:v>
                  </c:pt>
                  <c:pt idx="139">
                    <c:v>1.5978356059999896</c:v>
                  </c:pt>
                  <c:pt idx="140">
                    <c:v>0.76044130500000051</c:v>
                  </c:pt>
                  <c:pt idx="141">
                    <c:v>1.1733633979999922</c:v>
                  </c:pt>
                  <c:pt idx="142">
                    <c:v>1.4478278630000148</c:v>
                  </c:pt>
                  <c:pt idx="143">
                    <c:v>0.29841472800001156</c:v>
                  </c:pt>
                  <c:pt idx="144">
                    <c:v>0.19397304899999313</c:v>
                  </c:pt>
                  <c:pt idx="145">
                    <c:v>0.78207508500000245</c:v>
                  </c:pt>
                  <c:pt idx="146">
                    <c:v>0.50321996499999955</c:v>
                  </c:pt>
                  <c:pt idx="147">
                    <c:v>0.25987732599998026</c:v>
                  </c:pt>
                  <c:pt idx="148">
                    <c:v>0.40877760600000101</c:v>
                  </c:pt>
                  <c:pt idx="149">
                    <c:v>2.2793936240000221</c:v>
                  </c:pt>
                  <c:pt idx="150">
                    <c:v>1.0568783109999913</c:v>
                  </c:pt>
                  <c:pt idx="151">
                    <c:v>0.26550416500001006</c:v>
                  </c:pt>
                  <c:pt idx="152">
                    <c:v>1.3079497699999934</c:v>
                  </c:pt>
                  <c:pt idx="153">
                    <c:v>2.1915512660000047</c:v>
                  </c:pt>
                  <c:pt idx="154">
                    <c:v>0.26158175300000153</c:v>
                  </c:pt>
                  <c:pt idx="155">
                    <c:v>1.1285083749999956</c:v>
                  </c:pt>
                  <c:pt idx="156">
                    <c:v>0.87029620100000216</c:v>
                  </c:pt>
                  <c:pt idx="157">
                    <c:v>2.217592183999983</c:v>
                  </c:pt>
                  <c:pt idx="158">
                    <c:v>0.33483116600001495</c:v>
                  </c:pt>
                  <c:pt idx="159">
                    <c:v>2.5066887870000016</c:v>
                  </c:pt>
                  <c:pt idx="160">
                    <c:v>0.26700726900000404</c:v>
                  </c:pt>
                  <c:pt idx="161">
                    <c:v>0.95903761999997528</c:v>
                  </c:pt>
                  <c:pt idx="162">
                    <c:v>1.048363452000018</c:v>
                  </c:pt>
                  <c:pt idx="163">
                    <c:v>0.79855442999999582</c:v>
                  </c:pt>
                  <c:pt idx="164">
                    <c:v>0.29175183399999582</c:v>
                  </c:pt>
                  <c:pt idx="165">
                    <c:v>1.6050061679999885</c:v>
                  </c:pt>
                  <c:pt idx="166">
                    <c:v>0.38880334500001368</c:v>
                  </c:pt>
                  <c:pt idx="167">
                    <c:v>1.2283551499999987</c:v>
                  </c:pt>
                  <c:pt idx="168">
                    <c:v>1.0441908459999922</c:v>
                  </c:pt>
                  <c:pt idx="169">
                    <c:v>1.9922499010000081</c:v>
                  </c:pt>
                  <c:pt idx="170">
                    <c:v>0.47663623899998697</c:v>
                  </c:pt>
                  <c:pt idx="171">
                    <c:v>7.8197481000017888E-2</c:v>
                  </c:pt>
                  <c:pt idx="172">
                    <c:v>0.31418504699999517</c:v>
                  </c:pt>
                  <c:pt idx="173">
                    <c:v>0.56298851200000399</c:v>
                  </c:pt>
                  <c:pt idx="174">
                    <c:v>0.59403096899998786</c:v>
                  </c:pt>
                  <c:pt idx="175">
                    <c:v>0.24795830400000796</c:v>
                  </c:pt>
                  <c:pt idx="176">
                    <c:v>0.61634745399999247</c:v>
                  </c:pt>
                  <c:pt idx="177">
                    <c:v>0.21928139199999919</c:v>
                  </c:pt>
                  <c:pt idx="178">
                    <c:v>1.1114527980000162</c:v>
                  </c:pt>
                  <c:pt idx="179">
                    <c:v>1.3447630979999872</c:v>
                  </c:pt>
                  <c:pt idx="180">
                    <c:v>1.9550212780000038</c:v>
                  </c:pt>
                  <c:pt idx="181">
                    <c:v>1.1221893109999996</c:v>
                  </c:pt>
                  <c:pt idx="182">
                    <c:v>1.0634525590000123</c:v>
                  </c:pt>
                  <c:pt idx="183">
                    <c:v>0.4471105049999835</c:v>
                  </c:pt>
                  <c:pt idx="184">
                    <c:v>7.7145293000000947E-2</c:v>
                  </c:pt>
                  <c:pt idx="185">
                    <c:v>2.2838493510000148</c:v>
                  </c:pt>
                  <c:pt idx="186">
                    <c:v>0.37634830899997951</c:v>
                  </c:pt>
                  <c:pt idx="187">
                    <c:v>1.2416946130000213</c:v>
                  </c:pt>
                  <c:pt idx="188">
                    <c:v>1.638741035999999</c:v>
                  </c:pt>
                  <c:pt idx="189">
                    <c:v>0.5592796079999971</c:v>
                  </c:pt>
                  <c:pt idx="190">
                    <c:v>0.27927467199998546</c:v>
                  </c:pt>
                  <c:pt idx="191">
                    <c:v>0.36150507300001777</c:v>
                  </c:pt>
                  <c:pt idx="192">
                    <c:v>4.2633862269999838</c:v>
                  </c:pt>
                  <c:pt idx="193">
                    <c:v>0.41962653000001637</c:v>
                  </c:pt>
                  <c:pt idx="194">
                    <c:v>0.26059596700000043</c:v>
                  </c:pt>
                  <c:pt idx="195">
                    <c:v>1.3298492259999932</c:v>
                  </c:pt>
                  <c:pt idx="196">
                    <c:v>2.6619656990000067</c:v>
                  </c:pt>
                  <c:pt idx="197">
                    <c:v>0.38414910199998076</c:v>
                  </c:pt>
                  <c:pt idx="198">
                    <c:v>0.67860438799999656</c:v>
                  </c:pt>
                  <c:pt idx="199">
                    <c:v>18.238269295999999</c:v>
                  </c:pt>
                  <c:pt idx="200">
                    <c:v>8.335499370000008</c:v>
                  </c:pt>
                  <c:pt idx="201">
                    <c:v>4.9900468120000028</c:v>
                  </c:pt>
                  <c:pt idx="202">
                    <c:v>28.275331907999998</c:v>
                  </c:pt>
                  <c:pt idx="203">
                    <c:v>0.68664694000000281</c:v>
                  </c:pt>
                  <c:pt idx="204">
                    <c:v>11.598871013000007</c:v>
                  </c:pt>
                  <c:pt idx="205">
                    <c:v>4.07809759700001</c:v>
                  </c:pt>
                  <c:pt idx="206">
                    <c:v>12.764684686999999</c:v>
                  </c:pt>
                  <c:pt idx="207">
                    <c:v>2.6817918350000127</c:v>
                  </c:pt>
                  <c:pt idx="208">
                    <c:v>4.6375302069999975</c:v>
                  </c:pt>
                  <c:pt idx="209">
                    <c:v>39.856838238999956</c:v>
                  </c:pt>
                  <c:pt idx="210">
                    <c:v>13.079323059000046</c:v>
                  </c:pt>
                  <c:pt idx="211">
                    <c:v>1.053208088999952</c:v>
                  </c:pt>
                  <c:pt idx="212">
                    <c:v>3.6654757400000335</c:v>
                  </c:pt>
                  <c:pt idx="213">
                    <c:v>0.65716711099997838</c:v>
                  </c:pt>
                  <c:pt idx="214">
                    <c:v>0.16379511000002367</c:v>
                  </c:pt>
                  <c:pt idx="215">
                    <c:v>2.049547409000013</c:v>
                  </c:pt>
                  <c:pt idx="216">
                    <c:v>6.4066177179999499</c:v>
                  </c:pt>
                  <c:pt idx="217">
                    <c:v>1.8333327550000149</c:v>
                  </c:pt>
                  <c:pt idx="218">
                    <c:v>1.085007714000028</c:v>
                  </c:pt>
                  <c:pt idx="219">
                    <c:v>2.1020867479999765</c:v>
                  </c:pt>
                  <c:pt idx="220">
                    <c:v>2.9221811169999796</c:v>
                  </c:pt>
                  <c:pt idx="221">
                    <c:v>0.4059505150000291</c:v>
                  </c:pt>
                  <c:pt idx="222">
                    <c:v>2.8615878999971756E-2</c:v>
                  </c:pt>
                  <c:pt idx="223">
                    <c:v>1.0458403490000023</c:v>
                  </c:pt>
                </c:numCache>
              </c:numRef>
            </c:plus>
            <c:minus>
              <c:numLit>
                <c:formatCode>General</c:formatCode>
                <c:ptCount val="1"/>
                <c:pt idx="0">
                  <c:v>0</c:v>
                </c:pt>
              </c:numLit>
            </c:minus>
            <c:spPr>
              <a:noFill/>
              <a:ln w="9525" cap="flat" cmpd="sng" algn="ctr">
                <a:solidFill>
                  <a:schemeClr val="tx1">
                    <a:lumMod val="50000"/>
                    <a:lumOff val="50000"/>
                  </a:schemeClr>
                </a:solidFill>
                <a:prstDash val="sysDash"/>
                <a:round/>
              </a:ln>
              <a:effectLst/>
            </c:spPr>
          </c:errBars>
          <c:errBars>
            <c:errDir val="y"/>
            <c:errBarType val="both"/>
            <c:errValType val="cust"/>
            <c:noEndCap val="1"/>
            <c:plus>
              <c:numLit>
                <c:formatCode>General</c:formatCode>
                <c:ptCount val="1"/>
                <c:pt idx="0">
                  <c:v>0</c:v>
                </c:pt>
              </c:numLit>
            </c:plus>
            <c:minus>
              <c:numRef>
                <c:f>'Figure 7 Data'!$AM$12:$AM$236</c:f>
                <c:numCache>
                  <c:formatCode>General</c:formatCode>
                  <c:ptCount val="225"/>
                  <c:pt idx="1">
                    <c:v>4.464285714285714E-3</c:v>
                  </c:pt>
                  <c:pt idx="2">
                    <c:v>4.464285714285714E-3</c:v>
                  </c:pt>
                  <c:pt idx="3">
                    <c:v>4.464285714285714E-3</c:v>
                  </c:pt>
                  <c:pt idx="4">
                    <c:v>4.464285714285714E-3</c:v>
                  </c:pt>
                  <c:pt idx="5">
                    <c:v>4.4642857142857158E-3</c:v>
                  </c:pt>
                  <c:pt idx="6">
                    <c:v>4.4642857142857123E-3</c:v>
                  </c:pt>
                  <c:pt idx="7">
                    <c:v>4.4642857142857158E-3</c:v>
                  </c:pt>
                  <c:pt idx="8">
                    <c:v>4.4642857142857123E-3</c:v>
                  </c:pt>
                  <c:pt idx="9">
                    <c:v>4.4642857142857192E-3</c:v>
                  </c:pt>
                  <c:pt idx="10">
                    <c:v>4.4642857142857123E-3</c:v>
                  </c:pt>
                  <c:pt idx="11">
                    <c:v>4.4642857142857123E-3</c:v>
                  </c:pt>
                  <c:pt idx="12">
                    <c:v>4.4642857142857123E-3</c:v>
                  </c:pt>
                  <c:pt idx="13">
                    <c:v>4.4642857142857192E-3</c:v>
                  </c:pt>
                  <c:pt idx="14">
                    <c:v>4.4642857142857123E-3</c:v>
                  </c:pt>
                  <c:pt idx="15">
                    <c:v>4.4642857142857123E-3</c:v>
                  </c:pt>
                  <c:pt idx="16">
                    <c:v>4.4642857142857123E-3</c:v>
                  </c:pt>
                  <c:pt idx="17">
                    <c:v>4.4642857142857123E-3</c:v>
                  </c:pt>
                  <c:pt idx="18">
                    <c:v>4.4642857142857262E-3</c:v>
                  </c:pt>
                  <c:pt idx="19">
                    <c:v>4.4642857142857123E-3</c:v>
                  </c:pt>
                  <c:pt idx="20">
                    <c:v>4.4642857142857123E-3</c:v>
                  </c:pt>
                  <c:pt idx="21">
                    <c:v>4.4642857142857123E-3</c:v>
                  </c:pt>
                  <c:pt idx="22">
                    <c:v>4.4642857142857123E-3</c:v>
                  </c:pt>
                  <c:pt idx="23">
                    <c:v>4.4642857142857123E-3</c:v>
                  </c:pt>
                  <c:pt idx="24">
                    <c:v>4.4642857142857123E-3</c:v>
                  </c:pt>
                  <c:pt idx="25">
                    <c:v>4.4642857142857262E-3</c:v>
                  </c:pt>
                  <c:pt idx="26">
                    <c:v>4.4642857142857123E-3</c:v>
                  </c:pt>
                  <c:pt idx="27">
                    <c:v>4.4642857142857123E-3</c:v>
                  </c:pt>
                  <c:pt idx="28">
                    <c:v>4.4642857142857123E-3</c:v>
                  </c:pt>
                  <c:pt idx="29">
                    <c:v>4.4642857142857262E-3</c:v>
                  </c:pt>
                  <c:pt idx="30">
                    <c:v>4.4642857142856984E-3</c:v>
                  </c:pt>
                  <c:pt idx="31">
                    <c:v>4.4642857142857262E-3</c:v>
                  </c:pt>
                  <c:pt idx="32">
                    <c:v>4.4642857142856984E-3</c:v>
                  </c:pt>
                  <c:pt idx="33">
                    <c:v>4.4642857142857262E-3</c:v>
                  </c:pt>
                  <c:pt idx="34">
                    <c:v>4.4642857142856984E-3</c:v>
                  </c:pt>
                  <c:pt idx="35">
                    <c:v>4.4642857142857262E-3</c:v>
                  </c:pt>
                  <c:pt idx="36">
                    <c:v>4.4642857142857262E-3</c:v>
                  </c:pt>
                  <c:pt idx="37">
                    <c:v>4.4642857142856984E-3</c:v>
                  </c:pt>
                  <c:pt idx="38">
                    <c:v>4.4642857142857262E-3</c:v>
                  </c:pt>
                  <c:pt idx="39">
                    <c:v>4.4642857142856984E-3</c:v>
                  </c:pt>
                  <c:pt idx="40">
                    <c:v>4.4642857142857262E-3</c:v>
                  </c:pt>
                  <c:pt idx="41">
                    <c:v>4.4642857142856984E-3</c:v>
                  </c:pt>
                  <c:pt idx="42">
                    <c:v>4.4642857142857262E-3</c:v>
                  </c:pt>
                  <c:pt idx="43">
                    <c:v>4.4642857142857262E-3</c:v>
                  </c:pt>
                  <c:pt idx="44">
                    <c:v>4.4642857142856984E-3</c:v>
                  </c:pt>
                  <c:pt idx="45">
                    <c:v>4.4642857142857262E-3</c:v>
                  </c:pt>
                  <c:pt idx="46">
                    <c:v>4.4642857142856984E-3</c:v>
                  </c:pt>
                  <c:pt idx="47">
                    <c:v>4.4642857142857262E-3</c:v>
                  </c:pt>
                  <c:pt idx="48">
                    <c:v>4.4642857142856984E-3</c:v>
                  </c:pt>
                  <c:pt idx="49">
                    <c:v>4.4642857142857262E-3</c:v>
                  </c:pt>
                  <c:pt idx="50">
                    <c:v>4.4642857142857262E-3</c:v>
                  </c:pt>
                  <c:pt idx="51">
                    <c:v>4.4642857142856984E-3</c:v>
                  </c:pt>
                  <c:pt idx="52">
                    <c:v>4.4642857142857262E-3</c:v>
                  </c:pt>
                  <c:pt idx="53">
                    <c:v>4.4642857142856984E-3</c:v>
                  </c:pt>
                  <c:pt idx="54">
                    <c:v>4.4642857142857262E-3</c:v>
                  </c:pt>
                  <c:pt idx="55">
                    <c:v>4.4642857142856984E-3</c:v>
                  </c:pt>
                  <c:pt idx="56">
                    <c:v>4.4642857142857262E-3</c:v>
                  </c:pt>
                  <c:pt idx="57">
                    <c:v>4.4642857142856984E-3</c:v>
                  </c:pt>
                  <c:pt idx="58">
                    <c:v>4.4642857142857539E-3</c:v>
                  </c:pt>
                  <c:pt idx="59">
                    <c:v>4.4642857142856984E-3</c:v>
                  </c:pt>
                  <c:pt idx="60">
                    <c:v>4.4642857142856984E-3</c:v>
                  </c:pt>
                  <c:pt idx="61">
                    <c:v>4.4642857142856984E-3</c:v>
                  </c:pt>
                  <c:pt idx="62">
                    <c:v>4.4642857142857539E-3</c:v>
                  </c:pt>
                  <c:pt idx="63">
                    <c:v>4.4642857142856984E-3</c:v>
                  </c:pt>
                  <c:pt idx="64">
                    <c:v>4.4642857142856984E-3</c:v>
                  </c:pt>
                  <c:pt idx="65">
                    <c:v>4.4642857142857539E-3</c:v>
                  </c:pt>
                  <c:pt idx="66">
                    <c:v>4.4642857142856984E-3</c:v>
                  </c:pt>
                  <c:pt idx="67">
                    <c:v>4.4642857142856984E-3</c:v>
                  </c:pt>
                  <c:pt idx="68">
                    <c:v>4.4642857142856984E-3</c:v>
                  </c:pt>
                  <c:pt idx="69">
                    <c:v>4.4642857142857539E-3</c:v>
                  </c:pt>
                  <c:pt idx="70">
                    <c:v>4.4642857142856984E-3</c:v>
                  </c:pt>
                  <c:pt idx="71">
                    <c:v>4.4642857142856984E-3</c:v>
                  </c:pt>
                  <c:pt idx="72">
                    <c:v>4.4642857142857539E-3</c:v>
                  </c:pt>
                  <c:pt idx="73">
                    <c:v>4.4642857142856984E-3</c:v>
                  </c:pt>
                  <c:pt idx="74">
                    <c:v>4.4642857142856984E-3</c:v>
                  </c:pt>
                  <c:pt idx="75">
                    <c:v>4.4642857142856984E-3</c:v>
                  </c:pt>
                  <c:pt idx="76">
                    <c:v>4.4642857142857539E-3</c:v>
                  </c:pt>
                  <c:pt idx="77">
                    <c:v>4.4642857142856984E-3</c:v>
                  </c:pt>
                  <c:pt idx="78">
                    <c:v>4.4642857142856984E-3</c:v>
                  </c:pt>
                  <c:pt idx="79">
                    <c:v>4.4642857142857539E-3</c:v>
                  </c:pt>
                  <c:pt idx="80">
                    <c:v>4.4642857142856984E-3</c:v>
                  </c:pt>
                  <c:pt idx="81">
                    <c:v>4.4642857142856984E-3</c:v>
                  </c:pt>
                  <c:pt idx="82">
                    <c:v>4.4642857142856984E-3</c:v>
                  </c:pt>
                  <c:pt idx="83">
                    <c:v>4.4642857142857539E-3</c:v>
                  </c:pt>
                  <c:pt idx="84">
                    <c:v>4.4642857142856984E-3</c:v>
                  </c:pt>
                  <c:pt idx="85">
                    <c:v>4.4642857142856984E-3</c:v>
                  </c:pt>
                  <c:pt idx="86">
                    <c:v>4.4642857142857539E-3</c:v>
                  </c:pt>
                  <c:pt idx="87">
                    <c:v>4.4642857142856984E-3</c:v>
                  </c:pt>
                  <c:pt idx="88">
                    <c:v>4.4642857142856984E-3</c:v>
                  </c:pt>
                  <c:pt idx="89">
                    <c:v>4.4642857142856984E-3</c:v>
                  </c:pt>
                  <c:pt idx="90">
                    <c:v>4.4642857142857539E-3</c:v>
                  </c:pt>
                  <c:pt idx="91">
                    <c:v>4.4642857142856984E-3</c:v>
                  </c:pt>
                  <c:pt idx="92">
                    <c:v>4.4642857142856984E-3</c:v>
                  </c:pt>
                  <c:pt idx="93">
                    <c:v>4.4642857142857539E-3</c:v>
                  </c:pt>
                  <c:pt idx="94">
                    <c:v>4.4642857142856984E-3</c:v>
                  </c:pt>
                  <c:pt idx="95">
                    <c:v>4.4642857142856984E-3</c:v>
                  </c:pt>
                  <c:pt idx="96">
                    <c:v>4.4642857142856984E-3</c:v>
                  </c:pt>
                  <c:pt idx="97">
                    <c:v>4.4642857142857539E-3</c:v>
                  </c:pt>
                  <c:pt idx="98">
                    <c:v>4.4642857142856984E-3</c:v>
                  </c:pt>
                  <c:pt idx="99">
                    <c:v>4.4642857142856984E-3</c:v>
                  </c:pt>
                  <c:pt idx="100">
                    <c:v>4.4642857142857539E-3</c:v>
                  </c:pt>
                  <c:pt idx="101">
                    <c:v>4.4642857142856984E-3</c:v>
                  </c:pt>
                  <c:pt idx="102">
                    <c:v>4.4642857142856984E-3</c:v>
                  </c:pt>
                  <c:pt idx="103">
                    <c:v>4.4642857142856984E-3</c:v>
                  </c:pt>
                  <c:pt idx="104">
                    <c:v>4.4642857142857539E-3</c:v>
                  </c:pt>
                  <c:pt idx="105">
                    <c:v>4.4642857142856984E-3</c:v>
                  </c:pt>
                  <c:pt idx="106">
                    <c:v>4.4642857142856984E-3</c:v>
                  </c:pt>
                  <c:pt idx="107">
                    <c:v>4.4642857142857539E-3</c:v>
                  </c:pt>
                  <c:pt idx="108">
                    <c:v>4.4642857142856984E-3</c:v>
                  </c:pt>
                  <c:pt idx="109">
                    <c:v>4.4642857142856984E-3</c:v>
                  </c:pt>
                  <c:pt idx="110">
                    <c:v>4.4642857142856984E-3</c:v>
                  </c:pt>
                  <c:pt idx="111">
                    <c:v>4.4642857142857539E-3</c:v>
                  </c:pt>
                  <c:pt idx="112">
                    <c:v>4.4642857142856984E-3</c:v>
                  </c:pt>
                  <c:pt idx="113">
                    <c:v>4.4642857142856984E-3</c:v>
                  </c:pt>
                  <c:pt idx="114">
                    <c:v>4.4642857142856984E-3</c:v>
                  </c:pt>
                  <c:pt idx="115">
                    <c:v>4.4642857142856984E-3</c:v>
                  </c:pt>
                  <c:pt idx="116">
                    <c:v>4.4642857142858094E-3</c:v>
                  </c:pt>
                  <c:pt idx="117">
                    <c:v>4.4642857142856984E-3</c:v>
                  </c:pt>
                  <c:pt idx="118">
                    <c:v>4.4642857142856984E-3</c:v>
                  </c:pt>
                  <c:pt idx="119">
                    <c:v>4.4642857142856984E-3</c:v>
                  </c:pt>
                  <c:pt idx="120">
                    <c:v>4.4642857142856984E-3</c:v>
                  </c:pt>
                  <c:pt idx="121">
                    <c:v>4.4642857142856984E-3</c:v>
                  </c:pt>
                  <c:pt idx="122">
                    <c:v>4.4642857142856984E-3</c:v>
                  </c:pt>
                  <c:pt idx="123">
                    <c:v>4.4642857142858094E-3</c:v>
                  </c:pt>
                  <c:pt idx="124">
                    <c:v>4.4642857142856984E-3</c:v>
                  </c:pt>
                  <c:pt idx="125">
                    <c:v>4.4642857142856984E-3</c:v>
                  </c:pt>
                  <c:pt idx="126">
                    <c:v>4.4642857142856984E-3</c:v>
                  </c:pt>
                  <c:pt idx="127">
                    <c:v>4.4642857142856984E-3</c:v>
                  </c:pt>
                  <c:pt idx="128">
                    <c:v>4.4642857142856984E-3</c:v>
                  </c:pt>
                  <c:pt idx="129">
                    <c:v>4.4642857142856984E-3</c:v>
                  </c:pt>
                  <c:pt idx="130">
                    <c:v>4.4642857142858094E-3</c:v>
                  </c:pt>
                  <c:pt idx="131">
                    <c:v>4.4642857142856984E-3</c:v>
                  </c:pt>
                  <c:pt idx="132">
                    <c:v>4.4642857142856984E-3</c:v>
                  </c:pt>
                  <c:pt idx="133">
                    <c:v>4.4642857142856984E-3</c:v>
                  </c:pt>
                  <c:pt idx="134">
                    <c:v>4.4642857142856984E-3</c:v>
                  </c:pt>
                  <c:pt idx="135">
                    <c:v>4.4642857142856984E-3</c:v>
                  </c:pt>
                  <c:pt idx="136">
                    <c:v>4.4642857142856984E-3</c:v>
                  </c:pt>
                  <c:pt idx="137">
                    <c:v>4.4642857142858094E-3</c:v>
                  </c:pt>
                  <c:pt idx="138">
                    <c:v>4.4642857142856984E-3</c:v>
                  </c:pt>
                  <c:pt idx="139">
                    <c:v>4.4642857142856984E-3</c:v>
                  </c:pt>
                  <c:pt idx="140">
                    <c:v>4.4642857142856984E-3</c:v>
                  </c:pt>
                  <c:pt idx="141">
                    <c:v>4.4642857142856984E-3</c:v>
                  </c:pt>
                  <c:pt idx="142">
                    <c:v>4.4642857142856984E-3</c:v>
                  </c:pt>
                  <c:pt idx="143">
                    <c:v>4.4642857142856984E-3</c:v>
                  </c:pt>
                  <c:pt idx="144">
                    <c:v>4.4642857142858094E-3</c:v>
                  </c:pt>
                  <c:pt idx="145">
                    <c:v>4.4642857142856984E-3</c:v>
                  </c:pt>
                  <c:pt idx="146">
                    <c:v>4.4642857142856984E-3</c:v>
                  </c:pt>
                  <c:pt idx="147">
                    <c:v>4.4642857142856984E-3</c:v>
                  </c:pt>
                  <c:pt idx="148">
                    <c:v>4.4642857142856984E-3</c:v>
                  </c:pt>
                  <c:pt idx="149">
                    <c:v>4.4642857142856984E-3</c:v>
                  </c:pt>
                  <c:pt idx="150">
                    <c:v>4.4642857142856984E-3</c:v>
                  </c:pt>
                  <c:pt idx="151">
                    <c:v>4.4642857142858094E-3</c:v>
                  </c:pt>
                  <c:pt idx="152">
                    <c:v>4.4642857142856984E-3</c:v>
                  </c:pt>
                  <c:pt idx="153">
                    <c:v>4.4642857142856984E-3</c:v>
                  </c:pt>
                  <c:pt idx="154">
                    <c:v>4.4642857142856984E-3</c:v>
                  </c:pt>
                  <c:pt idx="155">
                    <c:v>4.4642857142856984E-3</c:v>
                  </c:pt>
                  <c:pt idx="156">
                    <c:v>4.4642857142856984E-3</c:v>
                  </c:pt>
                  <c:pt idx="157">
                    <c:v>4.4642857142856984E-3</c:v>
                  </c:pt>
                  <c:pt idx="158">
                    <c:v>4.4642857142858094E-3</c:v>
                  </c:pt>
                  <c:pt idx="159">
                    <c:v>4.4642857142856984E-3</c:v>
                  </c:pt>
                  <c:pt idx="160">
                    <c:v>4.4642857142856984E-3</c:v>
                  </c:pt>
                  <c:pt idx="161">
                    <c:v>4.4642857142856984E-3</c:v>
                  </c:pt>
                  <c:pt idx="162">
                    <c:v>4.4642857142856984E-3</c:v>
                  </c:pt>
                  <c:pt idx="163">
                    <c:v>4.4642857142856984E-3</c:v>
                  </c:pt>
                  <c:pt idx="164">
                    <c:v>4.4642857142856984E-3</c:v>
                  </c:pt>
                  <c:pt idx="165">
                    <c:v>4.4642857142858094E-3</c:v>
                  </c:pt>
                  <c:pt idx="166">
                    <c:v>4.4642857142856984E-3</c:v>
                  </c:pt>
                  <c:pt idx="167">
                    <c:v>4.4642857142856984E-3</c:v>
                  </c:pt>
                  <c:pt idx="168">
                    <c:v>4.4642857142856984E-3</c:v>
                  </c:pt>
                  <c:pt idx="169">
                    <c:v>4.4642857142856984E-3</c:v>
                  </c:pt>
                  <c:pt idx="170">
                    <c:v>4.4642857142856984E-3</c:v>
                  </c:pt>
                  <c:pt idx="171">
                    <c:v>4.4642857142856984E-3</c:v>
                  </c:pt>
                  <c:pt idx="172">
                    <c:v>4.4642857142858094E-3</c:v>
                  </c:pt>
                  <c:pt idx="173">
                    <c:v>4.4642857142856984E-3</c:v>
                  </c:pt>
                  <c:pt idx="174">
                    <c:v>4.4642857142856984E-3</c:v>
                  </c:pt>
                  <c:pt idx="175">
                    <c:v>4.4642857142856984E-3</c:v>
                  </c:pt>
                  <c:pt idx="176">
                    <c:v>4.4642857142856984E-3</c:v>
                  </c:pt>
                  <c:pt idx="177">
                    <c:v>4.4642857142856984E-3</c:v>
                  </c:pt>
                  <c:pt idx="178">
                    <c:v>4.4642857142856984E-3</c:v>
                  </c:pt>
                  <c:pt idx="179">
                    <c:v>4.4642857142858094E-3</c:v>
                  </c:pt>
                  <c:pt idx="180">
                    <c:v>4.4642857142856984E-3</c:v>
                  </c:pt>
                  <c:pt idx="181">
                    <c:v>4.4642857142856984E-3</c:v>
                  </c:pt>
                  <c:pt idx="182">
                    <c:v>4.4642857142856984E-3</c:v>
                  </c:pt>
                  <c:pt idx="183">
                    <c:v>4.4642857142856984E-3</c:v>
                  </c:pt>
                  <c:pt idx="184">
                    <c:v>4.4642857142856984E-3</c:v>
                  </c:pt>
                  <c:pt idx="185">
                    <c:v>4.4642857142856984E-3</c:v>
                  </c:pt>
                  <c:pt idx="186">
                    <c:v>4.4642857142858094E-3</c:v>
                  </c:pt>
                  <c:pt idx="187">
                    <c:v>4.4642857142856984E-3</c:v>
                  </c:pt>
                  <c:pt idx="188">
                    <c:v>4.4642857142856984E-3</c:v>
                  </c:pt>
                  <c:pt idx="189">
                    <c:v>4.4642857142856984E-3</c:v>
                  </c:pt>
                  <c:pt idx="190">
                    <c:v>4.4642857142856984E-3</c:v>
                  </c:pt>
                  <c:pt idx="191">
                    <c:v>4.4642857142856984E-3</c:v>
                  </c:pt>
                  <c:pt idx="192">
                    <c:v>4.4642857142856984E-3</c:v>
                  </c:pt>
                  <c:pt idx="193">
                    <c:v>4.4642857142858094E-3</c:v>
                  </c:pt>
                  <c:pt idx="194">
                    <c:v>4.4642857142856984E-3</c:v>
                  </c:pt>
                  <c:pt idx="195">
                    <c:v>4.4642857142856984E-3</c:v>
                  </c:pt>
                  <c:pt idx="196">
                    <c:v>4.4642857142856984E-3</c:v>
                  </c:pt>
                  <c:pt idx="197">
                    <c:v>4.4642857142856984E-3</c:v>
                  </c:pt>
                  <c:pt idx="198">
                    <c:v>4.4642857142856984E-3</c:v>
                  </c:pt>
                  <c:pt idx="199">
                    <c:v>4.4642857142856984E-3</c:v>
                  </c:pt>
                  <c:pt idx="200">
                    <c:v>4.4642857142858094E-3</c:v>
                  </c:pt>
                  <c:pt idx="201">
                    <c:v>4.4642857142856984E-3</c:v>
                  </c:pt>
                  <c:pt idx="202">
                    <c:v>4.4642857142856984E-3</c:v>
                  </c:pt>
                  <c:pt idx="203">
                    <c:v>4.4642857142856984E-3</c:v>
                  </c:pt>
                  <c:pt idx="204">
                    <c:v>4.4642857142856984E-3</c:v>
                  </c:pt>
                  <c:pt idx="205">
                    <c:v>4.4642857142856984E-3</c:v>
                  </c:pt>
                  <c:pt idx="206">
                    <c:v>4.4642857142856984E-3</c:v>
                  </c:pt>
                  <c:pt idx="207">
                    <c:v>4.4642857142858094E-3</c:v>
                  </c:pt>
                  <c:pt idx="208">
                    <c:v>4.4642857142856984E-3</c:v>
                  </c:pt>
                  <c:pt idx="209">
                    <c:v>4.4642857142856984E-3</c:v>
                  </c:pt>
                  <c:pt idx="210">
                    <c:v>4.4642857142856984E-3</c:v>
                  </c:pt>
                  <c:pt idx="211">
                    <c:v>4.4642857142856984E-3</c:v>
                  </c:pt>
                  <c:pt idx="212">
                    <c:v>4.4642857142856984E-3</c:v>
                  </c:pt>
                  <c:pt idx="213">
                    <c:v>4.4642857142856984E-3</c:v>
                  </c:pt>
                  <c:pt idx="214">
                    <c:v>4.4642857142858094E-3</c:v>
                  </c:pt>
                  <c:pt idx="215">
                    <c:v>4.4642857142856984E-3</c:v>
                  </c:pt>
                  <c:pt idx="216">
                    <c:v>4.4642857142856984E-3</c:v>
                  </c:pt>
                  <c:pt idx="217">
                    <c:v>4.4642857142856984E-3</c:v>
                  </c:pt>
                  <c:pt idx="218">
                    <c:v>4.4642857142856984E-3</c:v>
                  </c:pt>
                  <c:pt idx="219">
                    <c:v>4.4642857142856984E-3</c:v>
                  </c:pt>
                  <c:pt idx="220">
                    <c:v>4.4642857142856984E-3</c:v>
                  </c:pt>
                  <c:pt idx="221">
                    <c:v>4.4642857142858094E-3</c:v>
                  </c:pt>
                  <c:pt idx="222">
                    <c:v>4.4642857142856984E-3</c:v>
                  </c:pt>
                  <c:pt idx="223">
                    <c:v>4.4642857142856984E-3</c:v>
                  </c:pt>
                  <c:pt idx="224">
                    <c:v>4.4642857142856984E-3</c:v>
                  </c:pt>
                </c:numCache>
              </c:numRef>
            </c:minus>
            <c:spPr>
              <a:noFill/>
              <a:ln w="9525" cap="flat" cmpd="sng" algn="ctr">
                <a:solidFill>
                  <a:schemeClr val="tx1">
                    <a:lumMod val="50000"/>
                    <a:lumOff val="50000"/>
                  </a:schemeClr>
                </a:solidFill>
                <a:prstDash val="sysDash"/>
                <a:round/>
              </a:ln>
              <a:effectLst/>
            </c:spPr>
          </c:errBars>
          <c:xVal>
            <c:numRef>
              <c:f>'Figure 7 Data'!$AK$12:$AK$236</c:f>
              <c:numCache>
                <c:formatCode>General</c:formatCode>
                <c:ptCount val="225"/>
                <c:pt idx="0">
                  <c:v>23.876000000000001</c:v>
                </c:pt>
                <c:pt idx="1">
                  <c:v>23.876000000000001</c:v>
                </c:pt>
                <c:pt idx="2">
                  <c:v>23.876000000000001</c:v>
                </c:pt>
                <c:pt idx="3">
                  <c:v>23.876000000000001</c:v>
                </c:pt>
                <c:pt idx="4">
                  <c:v>23.876000000000001</c:v>
                </c:pt>
                <c:pt idx="5">
                  <c:v>23.876000000000001</c:v>
                </c:pt>
                <c:pt idx="6">
                  <c:v>23.876000000000001</c:v>
                </c:pt>
                <c:pt idx="7">
                  <c:v>23.876000000000001</c:v>
                </c:pt>
                <c:pt idx="8">
                  <c:v>23.883694625899999</c:v>
                </c:pt>
                <c:pt idx="9">
                  <c:v>23.886325515599999</c:v>
                </c:pt>
                <c:pt idx="10">
                  <c:v>23.891485290799999</c:v>
                </c:pt>
                <c:pt idx="11">
                  <c:v>23.893556015000001</c:v>
                </c:pt>
                <c:pt idx="12">
                  <c:v>23.900213090200001</c:v>
                </c:pt>
                <c:pt idx="13">
                  <c:v>23.901197097699999</c:v>
                </c:pt>
                <c:pt idx="14">
                  <c:v>23.906218595399999</c:v>
                </c:pt>
                <c:pt idx="15">
                  <c:v>23.908239768200001</c:v>
                </c:pt>
                <c:pt idx="16">
                  <c:v>23.912713404200002</c:v>
                </c:pt>
                <c:pt idx="17">
                  <c:v>23.916759500600001</c:v>
                </c:pt>
                <c:pt idx="18">
                  <c:v>23.918460852199999</c:v>
                </c:pt>
                <c:pt idx="19">
                  <c:v>23.918709037900001</c:v>
                </c:pt>
                <c:pt idx="20">
                  <c:v>23.923260872499998</c:v>
                </c:pt>
                <c:pt idx="21">
                  <c:v>23.9277107361</c:v>
                </c:pt>
                <c:pt idx="22">
                  <c:v>23.956498012800001</c:v>
                </c:pt>
                <c:pt idx="23">
                  <c:v>24.995817960299998</c:v>
                </c:pt>
                <c:pt idx="24">
                  <c:v>25.8876102338</c:v>
                </c:pt>
                <c:pt idx="25">
                  <c:v>25.996130255499999</c:v>
                </c:pt>
                <c:pt idx="26">
                  <c:v>28.682655503300001</c:v>
                </c:pt>
                <c:pt idx="27">
                  <c:v>30.4577610244</c:v>
                </c:pt>
                <c:pt idx="28">
                  <c:v>33.656202006500003</c:v>
                </c:pt>
                <c:pt idx="29">
                  <c:v>34.2985680755</c:v>
                </c:pt>
                <c:pt idx="30">
                  <c:v>35.342106503499998</c:v>
                </c:pt>
                <c:pt idx="31">
                  <c:v>36.709975568799997</c:v>
                </c:pt>
                <c:pt idx="32">
                  <c:v>37.141643960099998</c:v>
                </c:pt>
                <c:pt idx="33">
                  <c:v>37.3542913016</c:v>
                </c:pt>
                <c:pt idx="34">
                  <c:v>37.672289984599999</c:v>
                </c:pt>
                <c:pt idx="35">
                  <c:v>38.294402565699997</c:v>
                </c:pt>
                <c:pt idx="36">
                  <c:v>38.346130877299998</c:v>
                </c:pt>
                <c:pt idx="37">
                  <c:v>40.268070011100001</c:v>
                </c:pt>
                <c:pt idx="38">
                  <c:v>41.468812470000003</c:v>
                </c:pt>
                <c:pt idx="39">
                  <c:v>41.8938079132</c:v>
                </c:pt>
                <c:pt idx="40">
                  <c:v>46.3828716031</c:v>
                </c:pt>
                <c:pt idx="41">
                  <c:v>46.8212512586</c:v>
                </c:pt>
                <c:pt idx="42">
                  <c:v>47.906257291199999</c:v>
                </c:pt>
                <c:pt idx="43">
                  <c:v>49.009370588099998</c:v>
                </c:pt>
                <c:pt idx="44">
                  <c:v>49.431143813200002</c:v>
                </c:pt>
                <c:pt idx="45">
                  <c:v>49.8117435192</c:v>
                </c:pt>
                <c:pt idx="46">
                  <c:v>50.552202328299998</c:v>
                </c:pt>
                <c:pt idx="47">
                  <c:v>51.183756598199999</c:v>
                </c:pt>
                <c:pt idx="48">
                  <c:v>51.631146644399998</c:v>
                </c:pt>
                <c:pt idx="49">
                  <c:v>51.8546425296</c:v>
                </c:pt>
                <c:pt idx="50">
                  <c:v>52.521757397800002</c:v>
                </c:pt>
                <c:pt idx="51">
                  <c:v>52.635870718500001</c:v>
                </c:pt>
                <c:pt idx="52">
                  <c:v>53.557687226699997</c:v>
                </c:pt>
                <c:pt idx="53">
                  <c:v>54.078508005899998</c:v>
                </c:pt>
                <c:pt idx="54">
                  <c:v>54.371409703300003</c:v>
                </c:pt>
                <c:pt idx="55">
                  <c:v>54.9995482311</c:v>
                </c:pt>
                <c:pt idx="56">
                  <c:v>55.033925295300001</c:v>
                </c:pt>
                <c:pt idx="57">
                  <c:v>55.1316767852</c:v>
                </c:pt>
                <c:pt idx="58">
                  <c:v>58.3643210623</c:v>
                </c:pt>
                <c:pt idx="59">
                  <c:v>59.032833873599998</c:v>
                </c:pt>
                <c:pt idx="60">
                  <c:v>59.5709233364</c:v>
                </c:pt>
                <c:pt idx="61">
                  <c:v>62.184644687499997</c:v>
                </c:pt>
                <c:pt idx="62">
                  <c:v>62.761640321900003</c:v>
                </c:pt>
                <c:pt idx="63">
                  <c:v>63.144299785999998</c:v>
                </c:pt>
                <c:pt idx="64">
                  <c:v>63.309651816500001</c:v>
                </c:pt>
                <c:pt idx="65">
                  <c:v>63.324431519400001</c:v>
                </c:pt>
                <c:pt idx="66">
                  <c:v>63.494833663199998</c:v>
                </c:pt>
                <c:pt idx="67">
                  <c:v>63.505824206600003</c:v>
                </c:pt>
                <c:pt idx="68">
                  <c:v>64.088073748400006</c:v>
                </c:pt>
                <c:pt idx="69">
                  <c:v>64.102095456900003</c:v>
                </c:pt>
                <c:pt idx="70">
                  <c:v>64.586221996899994</c:v>
                </c:pt>
                <c:pt idx="71">
                  <c:v>65.502135354999993</c:v>
                </c:pt>
                <c:pt idx="72">
                  <c:v>65.835811932300004</c:v>
                </c:pt>
                <c:pt idx="73">
                  <c:v>66.007203274299997</c:v>
                </c:pt>
                <c:pt idx="74">
                  <c:v>66.510401078599998</c:v>
                </c:pt>
                <c:pt idx="75">
                  <c:v>67.290685988999996</c:v>
                </c:pt>
                <c:pt idx="76">
                  <c:v>68.2631462911</c:v>
                </c:pt>
                <c:pt idx="77">
                  <c:v>68.388272234300004</c:v>
                </c:pt>
                <c:pt idx="78">
                  <c:v>68.7468233739</c:v>
                </c:pt>
                <c:pt idx="79">
                  <c:v>70.262176089600004</c:v>
                </c:pt>
                <c:pt idx="80">
                  <c:v>71.4054840238</c:v>
                </c:pt>
                <c:pt idx="81">
                  <c:v>71.582158750800005</c:v>
                </c:pt>
                <c:pt idx="82">
                  <c:v>72.056928536499996</c:v>
                </c:pt>
                <c:pt idx="83">
                  <c:v>72.084908994100005</c:v>
                </c:pt>
                <c:pt idx="84">
                  <c:v>72.224483774999996</c:v>
                </c:pt>
                <c:pt idx="85">
                  <c:v>72.239319021399993</c:v>
                </c:pt>
                <c:pt idx="86">
                  <c:v>72.252313217899996</c:v>
                </c:pt>
                <c:pt idx="87">
                  <c:v>72.648765941999997</c:v>
                </c:pt>
                <c:pt idx="88">
                  <c:v>73.418500641600005</c:v>
                </c:pt>
                <c:pt idx="89">
                  <c:v>74.076690179699995</c:v>
                </c:pt>
                <c:pt idx="90">
                  <c:v>75.013584502800001</c:v>
                </c:pt>
                <c:pt idx="91">
                  <c:v>75.431616977900006</c:v>
                </c:pt>
                <c:pt idx="92">
                  <c:v>75.925569366199994</c:v>
                </c:pt>
                <c:pt idx="93">
                  <c:v>76.050251717699993</c:v>
                </c:pt>
                <c:pt idx="94">
                  <c:v>76.146941098499994</c:v>
                </c:pt>
                <c:pt idx="95">
                  <c:v>76.1488580953</c:v>
                </c:pt>
                <c:pt idx="96">
                  <c:v>77.881925528300002</c:v>
                </c:pt>
                <c:pt idx="97">
                  <c:v>82.551320073699998</c:v>
                </c:pt>
                <c:pt idx="98">
                  <c:v>96.663453474700006</c:v>
                </c:pt>
                <c:pt idx="99">
                  <c:v>99.864350505800004</c:v>
                </c:pt>
                <c:pt idx="100">
                  <c:v>100.170545229</c:v>
                </c:pt>
                <c:pt idx="101">
                  <c:v>101.12391793800001</c:v>
                </c:pt>
                <c:pt idx="102">
                  <c:v>101.891932166</c:v>
                </c:pt>
                <c:pt idx="103">
                  <c:v>102.54146637700001</c:v>
                </c:pt>
                <c:pt idx="104">
                  <c:v>103.96605972099999</c:v>
                </c:pt>
                <c:pt idx="105">
                  <c:v>104.17785010999999</c:v>
                </c:pt>
                <c:pt idx="106">
                  <c:v>104.34301467100001</c:v>
                </c:pt>
                <c:pt idx="107">
                  <c:v>104.48817232</c:v>
                </c:pt>
                <c:pt idx="108">
                  <c:v>105.04487877299999</c:v>
                </c:pt>
                <c:pt idx="109">
                  <c:v>105.472047631</c:v>
                </c:pt>
                <c:pt idx="110">
                  <c:v>105.48744969000001</c:v>
                </c:pt>
                <c:pt idx="111">
                  <c:v>106.122309012</c:v>
                </c:pt>
                <c:pt idx="112">
                  <c:v>107.25075920499999</c:v>
                </c:pt>
                <c:pt idx="113">
                  <c:v>108.757630398</c:v>
                </c:pt>
                <c:pt idx="114">
                  <c:v>112.38783816900001</c:v>
                </c:pt>
                <c:pt idx="115">
                  <c:v>112.752682128</c:v>
                </c:pt>
                <c:pt idx="116">
                  <c:v>113.211320035</c:v>
                </c:pt>
                <c:pt idx="117">
                  <c:v>113.321751234</c:v>
                </c:pt>
                <c:pt idx="118">
                  <c:v>114.01895120099999</c:v>
                </c:pt>
                <c:pt idx="119">
                  <c:v>114.03583077499999</c:v>
                </c:pt>
                <c:pt idx="120">
                  <c:v>114.067803236</c:v>
                </c:pt>
                <c:pt idx="121">
                  <c:v>116.37839322400001</c:v>
                </c:pt>
                <c:pt idx="122">
                  <c:v>119.467682829</c:v>
                </c:pt>
                <c:pt idx="123">
                  <c:v>121.3000062</c:v>
                </c:pt>
                <c:pt idx="124">
                  <c:v>121.867230079</c:v>
                </c:pt>
                <c:pt idx="125">
                  <c:v>123.60815348</c:v>
                </c:pt>
                <c:pt idx="126">
                  <c:v>125.014025266</c:v>
                </c:pt>
                <c:pt idx="127">
                  <c:v>126.14684997099999</c:v>
                </c:pt>
                <c:pt idx="128">
                  <c:v>128.03324405199999</c:v>
                </c:pt>
                <c:pt idx="129">
                  <c:v>129.04758303899999</c:v>
                </c:pt>
                <c:pt idx="130">
                  <c:v>130.746949121</c:v>
                </c:pt>
                <c:pt idx="131">
                  <c:v>134.43786147099999</c:v>
                </c:pt>
                <c:pt idx="132">
                  <c:v>137.299963961</c:v>
                </c:pt>
                <c:pt idx="133">
                  <c:v>138.261741548</c:v>
                </c:pt>
                <c:pt idx="134">
                  <c:v>138.28375474399999</c:v>
                </c:pt>
                <c:pt idx="135">
                  <c:v>138.886915574</c:v>
                </c:pt>
                <c:pt idx="136">
                  <c:v>140.33665076099999</c:v>
                </c:pt>
                <c:pt idx="137">
                  <c:v>140.69696757299999</c:v>
                </c:pt>
                <c:pt idx="138">
                  <c:v>141.171963191</c:v>
                </c:pt>
                <c:pt idx="139">
                  <c:v>143.682486987</c:v>
                </c:pt>
                <c:pt idx="140">
                  <c:v>145.28032259299999</c:v>
                </c:pt>
                <c:pt idx="141">
                  <c:v>146.04076389799999</c:v>
                </c:pt>
                <c:pt idx="142">
                  <c:v>147.21412729599999</c:v>
                </c:pt>
                <c:pt idx="143">
                  <c:v>148.661955159</c:v>
                </c:pt>
                <c:pt idx="144">
                  <c:v>148.96036988700001</c:v>
                </c:pt>
                <c:pt idx="145">
                  <c:v>149.15434293600001</c:v>
                </c:pt>
                <c:pt idx="146">
                  <c:v>149.93641802100001</c:v>
                </c:pt>
                <c:pt idx="147">
                  <c:v>150.43963798600001</c:v>
                </c:pt>
                <c:pt idx="148">
                  <c:v>150.69951531199999</c:v>
                </c:pt>
                <c:pt idx="149">
                  <c:v>151.10829291799999</c:v>
                </c:pt>
                <c:pt idx="150">
                  <c:v>153.38768654200001</c:v>
                </c:pt>
                <c:pt idx="151">
                  <c:v>154.444564853</c:v>
                </c:pt>
                <c:pt idx="152">
                  <c:v>154.71006901800001</c:v>
                </c:pt>
                <c:pt idx="153">
                  <c:v>156.01801878800001</c:v>
                </c:pt>
                <c:pt idx="154">
                  <c:v>158.20957005400001</c:v>
                </c:pt>
                <c:pt idx="155">
                  <c:v>158.47115180700001</c:v>
                </c:pt>
                <c:pt idx="156">
                  <c:v>159.59966018200001</c:v>
                </c:pt>
                <c:pt idx="157">
                  <c:v>160.46995638300001</c:v>
                </c:pt>
                <c:pt idx="158">
                  <c:v>162.68754856699999</c:v>
                </c:pt>
                <c:pt idx="159">
                  <c:v>163.02237973300001</c:v>
                </c:pt>
                <c:pt idx="160">
                  <c:v>165.52906852000001</c:v>
                </c:pt>
                <c:pt idx="161">
                  <c:v>165.79607578900001</c:v>
                </c:pt>
                <c:pt idx="162">
                  <c:v>166.75511340899999</c:v>
                </c:pt>
                <c:pt idx="163">
                  <c:v>167.80347686100001</c:v>
                </c:pt>
                <c:pt idx="164">
                  <c:v>168.602031291</c:v>
                </c:pt>
                <c:pt idx="165">
                  <c:v>168.893783125</c:v>
                </c:pt>
                <c:pt idx="166">
                  <c:v>170.49878929299999</c:v>
                </c:pt>
                <c:pt idx="167">
                  <c:v>170.887592638</c:v>
                </c:pt>
                <c:pt idx="168">
                  <c:v>172.115947788</c:v>
                </c:pt>
                <c:pt idx="169">
                  <c:v>173.16013863399999</c:v>
                </c:pt>
                <c:pt idx="170">
                  <c:v>175.152388535</c:v>
                </c:pt>
                <c:pt idx="171">
                  <c:v>175.62902477399999</c:v>
                </c:pt>
                <c:pt idx="172">
                  <c:v>175.707222255</c:v>
                </c:pt>
                <c:pt idx="173">
                  <c:v>176.021407302</c:v>
                </c:pt>
                <c:pt idx="174">
                  <c:v>176.584395814</c:v>
                </c:pt>
                <c:pt idx="175">
                  <c:v>177.17842678299999</c:v>
                </c:pt>
                <c:pt idx="176">
                  <c:v>177.426385087</c:v>
                </c:pt>
                <c:pt idx="177">
                  <c:v>178.04273254099999</c:v>
                </c:pt>
                <c:pt idx="178">
                  <c:v>178.26201393299999</c:v>
                </c:pt>
                <c:pt idx="179">
                  <c:v>179.37346673100001</c:v>
                </c:pt>
                <c:pt idx="180">
                  <c:v>180.71822982899999</c:v>
                </c:pt>
                <c:pt idx="181">
                  <c:v>182.673251107</c:v>
                </c:pt>
                <c:pt idx="182">
                  <c:v>183.795440418</c:v>
                </c:pt>
                <c:pt idx="183">
                  <c:v>184.85889297700001</c:v>
                </c:pt>
                <c:pt idx="184">
                  <c:v>185.30600348199999</c:v>
                </c:pt>
                <c:pt idx="185">
                  <c:v>185.383148775</c:v>
                </c:pt>
                <c:pt idx="186">
                  <c:v>187.66699812600001</c:v>
                </c:pt>
                <c:pt idx="187">
                  <c:v>188.04334643499999</c:v>
                </c:pt>
                <c:pt idx="188">
                  <c:v>189.28504104800001</c:v>
                </c:pt>
                <c:pt idx="189">
                  <c:v>190.92378208400001</c:v>
                </c:pt>
                <c:pt idx="190">
                  <c:v>191.48306169200001</c:v>
                </c:pt>
                <c:pt idx="191">
                  <c:v>191.76233636399999</c:v>
                </c:pt>
                <c:pt idx="192">
                  <c:v>192.12384143700001</c:v>
                </c:pt>
                <c:pt idx="193">
                  <c:v>196.38722766399999</c:v>
                </c:pt>
                <c:pt idx="194">
                  <c:v>196.80685419400001</c:v>
                </c:pt>
                <c:pt idx="195">
                  <c:v>197.06745016100001</c:v>
                </c:pt>
                <c:pt idx="196">
                  <c:v>198.397299387</c:v>
                </c:pt>
                <c:pt idx="197">
                  <c:v>201.05926508600001</c:v>
                </c:pt>
                <c:pt idx="198">
                  <c:v>201.44341418799999</c:v>
                </c:pt>
                <c:pt idx="199">
                  <c:v>202.12201857599999</c:v>
                </c:pt>
                <c:pt idx="200">
                  <c:v>220.36028787199999</c:v>
                </c:pt>
                <c:pt idx="201">
                  <c:v>228.69578724199999</c:v>
                </c:pt>
                <c:pt idx="202">
                  <c:v>233.685834054</c:v>
                </c:pt>
                <c:pt idx="203">
                  <c:v>261.961165962</c:v>
                </c:pt>
                <c:pt idx="204">
                  <c:v>262.647812902</c:v>
                </c:pt>
                <c:pt idx="205">
                  <c:v>274.24668391500001</c:v>
                </c:pt>
                <c:pt idx="206">
                  <c:v>278.32478151200002</c:v>
                </c:pt>
                <c:pt idx="207">
                  <c:v>291.08946619900001</c:v>
                </c:pt>
                <c:pt idx="208">
                  <c:v>293.77125803400003</c:v>
                </c:pt>
                <c:pt idx="209">
                  <c:v>298.40878824100002</c:v>
                </c:pt>
                <c:pt idx="210">
                  <c:v>338.26562647999998</c:v>
                </c:pt>
                <c:pt idx="211">
                  <c:v>351.34494953900003</c:v>
                </c:pt>
                <c:pt idx="212">
                  <c:v>352.39815762799998</c:v>
                </c:pt>
                <c:pt idx="213">
                  <c:v>356.06363336800001</c:v>
                </c:pt>
                <c:pt idx="214">
                  <c:v>356.72080047899999</c:v>
                </c:pt>
                <c:pt idx="215">
                  <c:v>356.88459558900001</c:v>
                </c:pt>
                <c:pt idx="216">
                  <c:v>358.93414299800003</c:v>
                </c:pt>
                <c:pt idx="217">
                  <c:v>365.34076071599998</c:v>
                </c:pt>
                <c:pt idx="218">
                  <c:v>367.17409347099999</c:v>
                </c:pt>
                <c:pt idx="219">
                  <c:v>368.25910118500002</c:v>
                </c:pt>
                <c:pt idx="220">
                  <c:v>370.361187933</c:v>
                </c:pt>
                <c:pt idx="221">
                  <c:v>373.28336904999998</c:v>
                </c:pt>
                <c:pt idx="222">
                  <c:v>373.68931956500001</c:v>
                </c:pt>
                <c:pt idx="223">
                  <c:v>373.71793544399998</c:v>
                </c:pt>
                <c:pt idx="224">
                  <c:v>374.76377579299998</c:v>
                </c:pt>
              </c:numCache>
            </c:numRef>
          </c:xVal>
          <c:yVal>
            <c:numRef>
              <c:f>'Figure 7 Data'!$AJ$12:$AJ$236</c:f>
              <c:numCache>
                <c:formatCode>General</c:formatCode>
                <c:ptCount val="225"/>
                <c:pt idx="0">
                  <c:v>0</c:v>
                </c:pt>
                <c:pt idx="1">
                  <c:v>4.464285714285714E-3</c:v>
                </c:pt>
                <c:pt idx="2">
                  <c:v>8.9285714285714281E-3</c:v>
                </c:pt>
                <c:pt idx="3">
                  <c:v>1.3392857142857142E-2</c:v>
                </c:pt>
                <c:pt idx="4">
                  <c:v>1.7857142857142856E-2</c:v>
                </c:pt>
                <c:pt idx="5">
                  <c:v>2.2321428571428572E-2</c:v>
                </c:pt>
                <c:pt idx="6">
                  <c:v>2.6785714285714284E-2</c:v>
                </c:pt>
                <c:pt idx="7">
                  <c:v>3.125E-2</c:v>
                </c:pt>
                <c:pt idx="8">
                  <c:v>3.5714285714285712E-2</c:v>
                </c:pt>
                <c:pt idx="9">
                  <c:v>4.0178571428571432E-2</c:v>
                </c:pt>
                <c:pt idx="10">
                  <c:v>4.4642857142857144E-2</c:v>
                </c:pt>
                <c:pt idx="11">
                  <c:v>4.9107142857142856E-2</c:v>
                </c:pt>
                <c:pt idx="12">
                  <c:v>5.3571428571428568E-2</c:v>
                </c:pt>
                <c:pt idx="13">
                  <c:v>5.8035714285714288E-2</c:v>
                </c:pt>
                <c:pt idx="14">
                  <c:v>6.25E-2</c:v>
                </c:pt>
                <c:pt idx="15">
                  <c:v>6.6964285714285712E-2</c:v>
                </c:pt>
                <c:pt idx="16">
                  <c:v>7.1428571428571425E-2</c:v>
                </c:pt>
                <c:pt idx="17">
                  <c:v>7.5892857142857137E-2</c:v>
                </c:pt>
                <c:pt idx="18">
                  <c:v>8.0357142857142863E-2</c:v>
                </c:pt>
                <c:pt idx="19">
                  <c:v>8.4821428571428575E-2</c:v>
                </c:pt>
                <c:pt idx="20">
                  <c:v>8.9285714285714288E-2</c:v>
                </c:pt>
                <c:pt idx="21">
                  <c:v>9.375E-2</c:v>
                </c:pt>
                <c:pt idx="22">
                  <c:v>9.8214285714285712E-2</c:v>
                </c:pt>
                <c:pt idx="23">
                  <c:v>0.10267857142857142</c:v>
                </c:pt>
                <c:pt idx="24">
                  <c:v>0.10714285714285714</c:v>
                </c:pt>
                <c:pt idx="25">
                  <c:v>0.11160714285714286</c:v>
                </c:pt>
                <c:pt idx="26">
                  <c:v>0.11607142857142858</c:v>
                </c:pt>
                <c:pt idx="27">
                  <c:v>0.12053571428571429</c:v>
                </c:pt>
                <c:pt idx="28">
                  <c:v>0.125</c:v>
                </c:pt>
                <c:pt idx="29">
                  <c:v>0.12946428571428573</c:v>
                </c:pt>
                <c:pt idx="30">
                  <c:v>0.13392857142857142</c:v>
                </c:pt>
                <c:pt idx="31">
                  <c:v>0.13839285714285715</c:v>
                </c:pt>
                <c:pt idx="32">
                  <c:v>0.14285714285714285</c:v>
                </c:pt>
                <c:pt idx="33">
                  <c:v>0.14732142857142858</c:v>
                </c:pt>
                <c:pt idx="34">
                  <c:v>0.15178571428571427</c:v>
                </c:pt>
                <c:pt idx="35">
                  <c:v>0.15625</c:v>
                </c:pt>
                <c:pt idx="36">
                  <c:v>0.16071428571428573</c:v>
                </c:pt>
                <c:pt idx="37">
                  <c:v>0.16517857142857142</c:v>
                </c:pt>
                <c:pt idx="38">
                  <c:v>0.16964285714285715</c:v>
                </c:pt>
                <c:pt idx="39">
                  <c:v>0.17410714285714285</c:v>
                </c:pt>
                <c:pt idx="40">
                  <c:v>0.17857142857142858</c:v>
                </c:pt>
                <c:pt idx="41">
                  <c:v>0.18303571428571427</c:v>
                </c:pt>
                <c:pt idx="42">
                  <c:v>0.1875</c:v>
                </c:pt>
                <c:pt idx="43">
                  <c:v>0.19196428571428573</c:v>
                </c:pt>
                <c:pt idx="44">
                  <c:v>0.19642857142857142</c:v>
                </c:pt>
                <c:pt idx="45">
                  <c:v>0.20089285714285715</c:v>
                </c:pt>
                <c:pt idx="46">
                  <c:v>0.20535714285714285</c:v>
                </c:pt>
                <c:pt idx="47">
                  <c:v>0.20982142857142858</c:v>
                </c:pt>
                <c:pt idx="48">
                  <c:v>0.21428571428571427</c:v>
                </c:pt>
                <c:pt idx="49">
                  <c:v>0.21875</c:v>
                </c:pt>
                <c:pt idx="50">
                  <c:v>0.22321428571428573</c:v>
                </c:pt>
                <c:pt idx="51">
                  <c:v>0.22767857142857142</c:v>
                </c:pt>
                <c:pt idx="52">
                  <c:v>0.23214285714285715</c:v>
                </c:pt>
                <c:pt idx="53">
                  <c:v>0.23660714285714285</c:v>
                </c:pt>
                <c:pt idx="54">
                  <c:v>0.24107142857142858</c:v>
                </c:pt>
                <c:pt idx="55">
                  <c:v>0.24553571428571427</c:v>
                </c:pt>
                <c:pt idx="56">
                  <c:v>0.25</c:v>
                </c:pt>
                <c:pt idx="57">
                  <c:v>0.2544642857142857</c:v>
                </c:pt>
                <c:pt idx="58">
                  <c:v>0.25892857142857145</c:v>
                </c:pt>
                <c:pt idx="59">
                  <c:v>0.26339285714285715</c:v>
                </c:pt>
                <c:pt idx="60">
                  <c:v>0.26785714285714285</c:v>
                </c:pt>
                <c:pt idx="61">
                  <c:v>0.27232142857142855</c:v>
                </c:pt>
                <c:pt idx="62">
                  <c:v>0.2767857142857143</c:v>
                </c:pt>
                <c:pt idx="63">
                  <c:v>0.28125</c:v>
                </c:pt>
                <c:pt idx="64">
                  <c:v>0.2857142857142857</c:v>
                </c:pt>
                <c:pt idx="65">
                  <c:v>0.29017857142857145</c:v>
                </c:pt>
                <c:pt idx="66">
                  <c:v>0.29464285714285715</c:v>
                </c:pt>
                <c:pt idx="67">
                  <c:v>0.29910714285714285</c:v>
                </c:pt>
                <c:pt idx="68">
                  <c:v>0.30357142857142855</c:v>
                </c:pt>
                <c:pt idx="69">
                  <c:v>0.3080357142857143</c:v>
                </c:pt>
                <c:pt idx="70">
                  <c:v>0.3125</c:v>
                </c:pt>
                <c:pt idx="71">
                  <c:v>0.3169642857142857</c:v>
                </c:pt>
                <c:pt idx="72">
                  <c:v>0.32142857142857145</c:v>
                </c:pt>
                <c:pt idx="73">
                  <c:v>0.32589285714285715</c:v>
                </c:pt>
                <c:pt idx="74">
                  <c:v>0.33035714285714285</c:v>
                </c:pt>
                <c:pt idx="75">
                  <c:v>0.33482142857142855</c:v>
                </c:pt>
                <c:pt idx="76">
                  <c:v>0.3392857142857143</c:v>
                </c:pt>
                <c:pt idx="77">
                  <c:v>0.34375</c:v>
                </c:pt>
                <c:pt idx="78">
                  <c:v>0.3482142857142857</c:v>
                </c:pt>
                <c:pt idx="79">
                  <c:v>0.35267857142857145</c:v>
                </c:pt>
                <c:pt idx="80">
                  <c:v>0.35714285714285715</c:v>
                </c:pt>
                <c:pt idx="81">
                  <c:v>0.36160714285714285</c:v>
                </c:pt>
                <c:pt idx="82">
                  <c:v>0.36607142857142855</c:v>
                </c:pt>
                <c:pt idx="83">
                  <c:v>0.3705357142857143</c:v>
                </c:pt>
                <c:pt idx="84">
                  <c:v>0.375</c:v>
                </c:pt>
                <c:pt idx="85">
                  <c:v>0.3794642857142857</c:v>
                </c:pt>
                <c:pt idx="86">
                  <c:v>0.38392857142857145</c:v>
                </c:pt>
                <c:pt idx="87">
                  <c:v>0.38839285714285715</c:v>
                </c:pt>
                <c:pt idx="88">
                  <c:v>0.39285714285714285</c:v>
                </c:pt>
                <c:pt idx="89">
                  <c:v>0.39732142857142855</c:v>
                </c:pt>
                <c:pt idx="90">
                  <c:v>0.4017857142857143</c:v>
                </c:pt>
                <c:pt idx="91">
                  <c:v>0.40625</c:v>
                </c:pt>
                <c:pt idx="92">
                  <c:v>0.4107142857142857</c:v>
                </c:pt>
                <c:pt idx="93">
                  <c:v>0.41517857142857145</c:v>
                </c:pt>
                <c:pt idx="94">
                  <c:v>0.41964285714285715</c:v>
                </c:pt>
                <c:pt idx="95">
                  <c:v>0.42410714285714285</c:v>
                </c:pt>
                <c:pt idx="96">
                  <c:v>0.42857142857142855</c:v>
                </c:pt>
                <c:pt idx="97">
                  <c:v>0.4330357142857143</c:v>
                </c:pt>
                <c:pt idx="98">
                  <c:v>0.4375</c:v>
                </c:pt>
                <c:pt idx="99">
                  <c:v>0.4419642857142857</c:v>
                </c:pt>
                <c:pt idx="100">
                  <c:v>0.44642857142857145</c:v>
                </c:pt>
                <c:pt idx="101">
                  <c:v>0.45089285714285715</c:v>
                </c:pt>
                <c:pt idx="102">
                  <c:v>0.45535714285714285</c:v>
                </c:pt>
                <c:pt idx="103">
                  <c:v>0.45982142857142855</c:v>
                </c:pt>
                <c:pt idx="104">
                  <c:v>0.4642857142857143</c:v>
                </c:pt>
                <c:pt idx="105">
                  <c:v>0.46875</c:v>
                </c:pt>
                <c:pt idx="106">
                  <c:v>0.4732142857142857</c:v>
                </c:pt>
                <c:pt idx="107">
                  <c:v>0.47767857142857145</c:v>
                </c:pt>
                <c:pt idx="108">
                  <c:v>0.48214285714285715</c:v>
                </c:pt>
                <c:pt idx="109">
                  <c:v>0.48660714285714285</c:v>
                </c:pt>
                <c:pt idx="110">
                  <c:v>0.49107142857142855</c:v>
                </c:pt>
                <c:pt idx="111">
                  <c:v>0.4955357142857143</c:v>
                </c:pt>
                <c:pt idx="112">
                  <c:v>0.5</c:v>
                </c:pt>
                <c:pt idx="113">
                  <c:v>0.5044642857142857</c:v>
                </c:pt>
                <c:pt idx="114">
                  <c:v>0.5089285714285714</c:v>
                </c:pt>
                <c:pt idx="115">
                  <c:v>0.5133928571428571</c:v>
                </c:pt>
                <c:pt idx="116">
                  <c:v>0.5178571428571429</c:v>
                </c:pt>
                <c:pt idx="117">
                  <c:v>0.5223214285714286</c:v>
                </c:pt>
                <c:pt idx="118">
                  <c:v>0.5267857142857143</c:v>
                </c:pt>
                <c:pt idx="119">
                  <c:v>0.53125</c:v>
                </c:pt>
                <c:pt idx="120">
                  <c:v>0.5357142857142857</c:v>
                </c:pt>
                <c:pt idx="121">
                  <c:v>0.5401785714285714</c:v>
                </c:pt>
                <c:pt idx="122">
                  <c:v>0.5446428571428571</c:v>
                </c:pt>
                <c:pt idx="123">
                  <c:v>0.5491071428571429</c:v>
                </c:pt>
                <c:pt idx="124">
                  <c:v>0.5535714285714286</c:v>
                </c:pt>
                <c:pt idx="125">
                  <c:v>0.5580357142857143</c:v>
                </c:pt>
                <c:pt idx="126">
                  <c:v>0.5625</c:v>
                </c:pt>
                <c:pt idx="127">
                  <c:v>0.5669642857142857</c:v>
                </c:pt>
                <c:pt idx="128">
                  <c:v>0.5714285714285714</c:v>
                </c:pt>
                <c:pt idx="129">
                  <c:v>0.5758928571428571</c:v>
                </c:pt>
                <c:pt idx="130">
                  <c:v>0.5803571428571429</c:v>
                </c:pt>
                <c:pt idx="131">
                  <c:v>0.5848214285714286</c:v>
                </c:pt>
                <c:pt idx="132">
                  <c:v>0.5892857142857143</c:v>
                </c:pt>
                <c:pt idx="133">
                  <c:v>0.59375</c:v>
                </c:pt>
                <c:pt idx="134">
                  <c:v>0.5982142857142857</c:v>
                </c:pt>
                <c:pt idx="135">
                  <c:v>0.6026785714285714</c:v>
                </c:pt>
                <c:pt idx="136">
                  <c:v>0.6071428571428571</c:v>
                </c:pt>
                <c:pt idx="137">
                  <c:v>0.6116071428571429</c:v>
                </c:pt>
                <c:pt idx="138">
                  <c:v>0.6160714285714286</c:v>
                </c:pt>
                <c:pt idx="139">
                  <c:v>0.6205357142857143</c:v>
                </c:pt>
                <c:pt idx="140">
                  <c:v>0.625</c:v>
                </c:pt>
                <c:pt idx="141">
                  <c:v>0.6294642857142857</c:v>
                </c:pt>
                <c:pt idx="142">
                  <c:v>0.6339285714285714</c:v>
                </c:pt>
                <c:pt idx="143">
                  <c:v>0.6383928571428571</c:v>
                </c:pt>
                <c:pt idx="144">
                  <c:v>0.6428571428571429</c:v>
                </c:pt>
                <c:pt idx="145">
                  <c:v>0.6473214285714286</c:v>
                </c:pt>
                <c:pt idx="146">
                  <c:v>0.6517857142857143</c:v>
                </c:pt>
                <c:pt idx="147">
                  <c:v>0.65625</c:v>
                </c:pt>
                <c:pt idx="148">
                  <c:v>0.6607142857142857</c:v>
                </c:pt>
                <c:pt idx="149">
                  <c:v>0.6651785714285714</c:v>
                </c:pt>
                <c:pt idx="150">
                  <c:v>0.6696428571428571</c:v>
                </c:pt>
                <c:pt idx="151">
                  <c:v>0.6741071428571429</c:v>
                </c:pt>
                <c:pt idx="152">
                  <c:v>0.6785714285714286</c:v>
                </c:pt>
                <c:pt idx="153">
                  <c:v>0.6830357142857143</c:v>
                </c:pt>
                <c:pt idx="154">
                  <c:v>0.6875</c:v>
                </c:pt>
                <c:pt idx="155">
                  <c:v>0.6919642857142857</c:v>
                </c:pt>
                <c:pt idx="156">
                  <c:v>0.6964285714285714</c:v>
                </c:pt>
                <c:pt idx="157">
                  <c:v>0.7008928571428571</c:v>
                </c:pt>
                <c:pt idx="158">
                  <c:v>0.7053571428571429</c:v>
                </c:pt>
                <c:pt idx="159">
                  <c:v>0.7098214285714286</c:v>
                </c:pt>
                <c:pt idx="160">
                  <c:v>0.7142857142857143</c:v>
                </c:pt>
                <c:pt idx="161">
                  <c:v>0.71875</c:v>
                </c:pt>
                <c:pt idx="162">
                  <c:v>0.7232142857142857</c:v>
                </c:pt>
                <c:pt idx="163">
                  <c:v>0.7276785714285714</c:v>
                </c:pt>
                <c:pt idx="164">
                  <c:v>0.7321428571428571</c:v>
                </c:pt>
                <c:pt idx="165">
                  <c:v>0.7366071428571429</c:v>
                </c:pt>
                <c:pt idx="166">
                  <c:v>0.7410714285714286</c:v>
                </c:pt>
                <c:pt idx="167">
                  <c:v>0.7455357142857143</c:v>
                </c:pt>
                <c:pt idx="168">
                  <c:v>0.75</c:v>
                </c:pt>
                <c:pt idx="169">
                  <c:v>0.7544642857142857</c:v>
                </c:pt>
                <c:pt idx="170">
                  <c:v>0.7589285714285714</c:v>
                </c:pt>
                <c:pt idx="171">
                  <c:v>0.7633928571428571</c:v>
                </c:pt>
                <c:pt idx="172">
                  <c:v>0.7678571428571429</c:v>
                </c:pt>
                <c:pt idx="173">
                  <c:v>0.7723214285714286</c:v>
                </c:pt>
                <c:pt idx="174">
                  <c:v>0.7767857142857143</c:v>
                </c:pt>
                <c:pt idx="175">
                  <c:v>0.78125</c:v>
                </c:pt>
                <c:pt idx="176">
                  <c:v>0.7857142857142857</c:v>
                </c:pt>
                <c:pt idx="177">
                  <c:v>0.7901785714285714</c:v>
                </c:pt>
                <c:pt idx="178">
                  <c:v>0.7946428571428571</c:v>
                </c:pt>
                <c:pt idx="179">
                  <c:v>0.7991071428571429</c:v>
                </c:pt>
                <c:pt idx="180">
                  <c:v>0.8035714285714286</c:v>
                </c:pt>
                <c:pt idx="181">
                  <c:v>0.8080357142857143</c:v>
                </c:pt>
                <c:pt idx="182">
                  <c:v>0.8125</c:v>
                </c:pt>
                <c:pt idx="183">
                  <c:v>0.8169642857142857</c:v>
                </c:pt>
                <c:pt idx="184">
                  <c:v>0.8214285714285714</c:v>
                </c:pt>
                <c:pt idx="185">
                  <c:v>0.8258928571428571</c:v>
                </c:pt>
                <c:pt idx="186">
                  <c:v>0.8303571428571429</c:v>
                </c:pt>
                <c:pt idx="187">
                  <c:v>0.8348214285714286</c:v>
                </c:pt>
                <c:pt idx="188">
                  <c:v>0.8392857142857143</c:v>
                </c:pt>
                <c:pt idx="189">
                  <c:v>0.84375</c:v>
                </c:pt>
                <c:pt idx="190">
                  <c:v>0.8482142857142857</c:v>
                </c:pt>
                <c:pt idx="191">
                  <c:v>0.8526785714285714</c:v>
                </c:pt>
                <c:pt idx="192">
                  <c:v>0.8571428571428571</c:v>
                </c:pt>
                <c:pt idx="193">
                  <c:v>0.8616071428571429</c:v>
                </c:pt>
                <c:pt idx="194">
                  <c:v>0.8660714285714286</c:v>
                </c:pt>
                <c:pt idx="195">
                  <c:v>0.8705357142857143</c:v>
                </c:pt>
                <c:pt idx="196">
                  <c:v>0.875</c:v>
                </c:pt>
                <c:pt idx="197">
                  <c:v>0.8794642857142857</c:v>
                </c:pt>
                <c:pt idx="198">
                  <c:v>0.8839285714285714</c:v>
                </c:pt>
                <c:pt idx="199">
                  <c:v>0.8883928571428571</c:v>
                </c:pt>
                <c:pt idx="200">
                  <c:v>0.8928571428571429</c:v>
                </c:pt>
                <c:pt idx="201">
                  <c:v>0.8973214285714286</c:v>
                </c:pt>
                <c:pt idx="202">
                  <c:v>0.9017857142857143</c:v>
                </c:pt>
                <c:pt idx="203">
                  <c:v>0.90625</c:v>
                </c:pt>
                <c:pt idx="204">
                  <c:v>0.9107142857142857</c:v>
                </c:pt>
                <c:pt idx="205">
                  <c:v>0.9151785714285714</c:v>
                </c:pt>
                <c:pt idx="206">
                  <c:v>0.9196428571428571</c:v>
                </c:pt>
                <c:pt idx="207">
                  <c:v>0.9241071428571429</c:v>
                </c:pt>
                <c:pt idx="208">
                  <c:v>0.9285714285714286</c:v>
                </c:pt>
                <c:pt idx="209">
                  <c:v>0.9330357142857143</c:v>
                </c:pt>
                <c:pt idx="210">
                  <c:v>0.9375</c:v>
                </c:pt>
                <c:pt idx="211">
                  <c:v>0.9419642857142857</c:v>
                </c:pt>
                <c:pt idx="212">
                  <c:v>0.9464285714285714</c:v>
                </c:pt>
                <c:pt idx="213">
                  <c:v>0.9508928571428571</c:v>
                </c:pt>
                <c:pt idx="214">
                  <c:v>0.9553571428571429</c:v>
                </c:pt>
                <c:pt idx="215">
                  <c:v>0.9598214285714286</c:v>
                </c:pt>
                <c:pt idx="216">
                  <c:v>0.9642857142857143</c:v>
                </c:pt>
                <c:pt idx="217">
                  <c:v>0.96875</c:v>
                </c:pt>
                <c:pt idx="218">
                  <c:v>0.9732142857142857</c:v>
                </c:pt>
                <c:pt idx="219">
                  <c:v>0.9776785714285714</c:v>
                </c:pt>
                <c:pt idx="220">
                  <c:v>0.9821428571428571</c:v>
                </c:pt>
                <c:pt idx="221">
                  <c:v>0.9866071428571429</c:v>
                </c:pt>
                <c:pt idx="222">
                  <c:v>0.9910714285714286</c:v>
                </c:pt>
                <c:pt idx="223">
                  <c:v>0.9955357142857143</c:v>
                </c:pt>
                <c:pt idx="224">
                  <c:v>1</c:v>
                </c:pt>
              </c:numCache>
            </c:numRef>
          </c:yVal>
          <c:smooth val="0"/>
          <c:extLst>
            <c:ext xmlns:c16="http://schemas.microsoft.com/office/drawing/2014/chart" uri="{C3380CC4-5D6E-409C-BE32-E72D297353CC}">
              <c16:uniqueId val="{00000002-9CD8-4D28-9543-123582CC606E}"/>
            </c:ext>
          </c:extLst>
        </c:ser>
        <c:dLbls>
          <c:showLegendKey val="0"/>
          <c:showVal val="0"/>
          <c:showCatName val="0"/>
          <c:showSerName val="0"/>
          <c:showPercent val="0"/>
          <c:showBubbleSize val="0"/>
        </c:dLbls>
        <c:axId val="1179752239"/>
        <c:axId val="885011999"/>
      </c:scatterChart>
      <c:valAx>
        <c:axId val="1179752239"/>
        <c:scaling>
          <c:orientation val="minMax"/>
          <c:max val="4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r [mm]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885011999"/>
        <c:crosses val="autoZero"/>
        <c:crossBetween val="midCat"/>
        <c:majorUnit val="100"/>
      </c:valAx>
      <c:valAx>
        <c:axId val="885011999"/>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179752239"/>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GB"/>
              <a:t>Proportions of Material in each bin</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barChart>
        <c:barDir val="col"/>
        <c:grouping val="stacked"/>
        <c:varyColors val="0"/>
        <c:ser>
          <c:idx val="0"/>
          <c:order val="0"/>
          <c:tx>
            <c:v>Steel</c:v>
          </c:tx>
          <c:spPr>
            <a:solidFill>
              <a:schemeClr val="accent1"/>
            </a:solidFill>
            <a:ln>
              <a:noFill/>
            </a:ln>
            <a:effectLst/>
          </c:spPr>
          <c:invertIfNegative val="0"/>
          <c:cat>
            <c:numRef>
              <c:f>'ECDFs of Young''s Modulus'!$C$59:$I$59</c:f>
              <c:numCache>
                <c:formatCode>General</c:formatCode>
                <c:ptCount val="7"/>
                <c:pt idx="0">
                  <c:v>140</c:v>
                </c:pt>
                <c:pt idx="1">
                  <c:v>344</c:v>
                </c:pt>
                <c:pt idx="2">
                  <c:v>549</c:v>
                </c:pt>
                <c:pt idx="3">
                  <c:v>753</c:v>
                </c:pt>
                <c:pt idx="4">
                  <c:v>958</c:v>
                </c:pt>
                <c:pt idx="5">
                  <c:v>1162</c:v>
                </c:pt>
                <c:pt idx="6">
                  <c:v>1367</c:v>
                </c:pt>
              </c:numCache>
            </c:numRef>
          </c:cat>
          <c:val>
            <c:numRef>
              <c:f>'ECDFs of Young''s Modulus'!$C$60:$I$60</c:f>
              <c:numCache>
                <c:formatCode>General</c:formatCode>
                <c:ptCount val="7"/>
                <c:pt idx="0">
                  <c:v>37.5</c:v>
                </c:pt>
                <c:pt idx="1">
                  <c:v>67.924528301886795</c:v>
                </c:pt>
                <c:pt idx="2">
                  <c:v>45.945945945945951</c:v>
                </c:pt>
                <c:pt idx="3">
                  <c:v>22.222222222222221</c:v>
                </c:pt>
                <c:pt idx="4">
                  <c:v>50</c:v>
                </c:pt>
                <c:pt idx="5">
                  <c:v>66.666666666666657</c:v>
                </c:pt>
                <c:pt idx="6">
                  <c:v>25</c:v>
                </c:pt>
              </c:numCache>
            </c:numRef>
          </c:val>
          <c:extLst>
            <c:ext xmlns:c16="http://schemas.microsoft.com/office/drawing/2014/chart" uri="{C3380CC4-5D6E-409C-BE32-E72D297353CC}">
              <c16:uniqueId val="{00000000-2256-4E68-AD0A-965E7A7B7E33}"/>
            </c:ext>
          </c:extLst>
        </c:ser>
        <c:ser>
          <c:idx val="1"/>
          <c:order val="1"/>
          <c:tx>
            <c:v>Aluminium</c:v>
          </c:tx>
          <c:spPr>
            <a:solidFill>
              <a:schemeClr val="accent2"/>
            </a:solidFill>
            <a:ln>
              <a:noFill/>
            </a:ln>
            <a:effectLst/>
          </c:spPr>
          <c:invertIfNegative val="0"/>
          <c:cat>
            <c:numRef>
              <c:f>'ECDFs of Young''s Modulus'!$C$59:$I$59</c:f>
              <c:numCache>
                <c:formatCode>General</c:formatCode>
                <c:ptCount val="7"/>
                <c:pt idx="0">
                  <c:v>140</c:v>
                </c:pt>
                <c:pt idx="1">
                  <c:v>344</c:v>
                </c:pt>
                <c:pt idx="2">
                  <c:v>549</c:v>
                </c:pt>
                <c:pt idx="3">
                  <c:v>753</c:v>
                </c:pt>
                <c:pt idx="4">
                  <c:v>958</c:v>
                </c:pt>
                <c:pt idx="5">
                  <c:v>1162</c:v>
                </c:pt>
                <c:pt idx="6">
                  <c:v>1367</c:v>
                </c:pt>
              </c:numCache>
            </c:numRef>
          </c:cat>
          <c:val>
            <c:numRef>
              <c:f>'ECDFs of Young''s Modulus'!$C$61:$I$61</c:f>
              <c:numCache>
                <c:formatCode>General</c:formatCode>
                <c:ptCount val="7"/>
                <c:pt idx="0">
                  <c:v>31.25</c:v>
                </c:pt>
                <c:pt idx="1">
                  <c:v>15.09433962264151</c:v>
                </c:pt>
                <c:pt idx="2">
                  <c:v>29.72972972972973</c:v>
                </c:pt>
                <c:pt idx="3">
                  <c:v>77.777777777777786</c:v>
                </c:pt>
                <c:pt idx="4">
                  <c:v>16.666666666666664</c:v>
                </c:pt>
                <c:pt idx="5">
                  <c:v>33.333333333333329</c:v>
                </c:pt>
                <c:pt idx="6">
                  <c:v>50</c:v>
                </c:pt>
              </c:numCache>
            </c:numRef>
          </c:val>
          <c:extLst>
            <c:ext xmlns:c16="http://schemas.microsoft.com/office/drawing/2014/chart" uri="{C3380CC4-5D6E-409C-BE32-E72D297353CC}">
              <c16:uniqueId val="{00000001-2256-4E68-AD0A-965E7A7B7E33}"/>
            </c:ext>
          </c:extLst>
        </c:ser>
        <c:ser>
          <c:idx val="2"/>
          <c:order val="2"/>
          <c:tx>
            <c:v>Brass</c:v>
          </c:tx>
          <c:spPr>
            <a:solidFill>
              <a:schemeClr val="accent3"/>
            </a:solidFill>
            <a:ln>
              <a:noFill/>
            </a:ln>
            <a:effectLst/>
          </c:spPr>
          <c:invertIfNegative val="0"/>
          <c:cat>
            <c:numRef>
              <c:f>'ECDFs of Young''s Modulus'!$C$59:$I$59</c:f>
              <c:numCache>
                <c:formatCode>General</c:formatCode>
                <c:ptCount val="7"/>
                <c:pt idx="0">
                  <c:v>140</c:v>
                </c:pt>
                <c:pt idx="1">
                  <c:v>344</c:v>
                </c:pt>
                <c:pt idx="2">
                  <c:v>549</c:v>
                </c:pt>
                <c:pt idx="3">
                  <c:v>753</c:v>
                </c:pt>
                <c:pt idx="4">
                  <c:v>958</c:v>
                </c:pt>
                <c:pt idx="5">
                  <c:v>1162</c:v>
                </c:pt>
                <c:pt idx="6">
                  <c:v>1367</c:v>
                </c:pt>
              </c:numCache>
            </c:numRef>
          </c:cat>
          <c:val>
            <c:numRef>
              <c:f>'ECDFs of Young''s Modulus'!$C$62:$I$62</c:f>
              <c:numCache>
                <c:formatCode>General</c:formatCode>
                <c:ptCount val="7"/>
                <c:pt idx="0">
                  <c:v>31.25</c:v>
                </c:pt>
                <c:pt idx="1">
                  <c:v>16.981132075471699</c:v>
                </c:pt>
                <c:pt idx="2">
                  <c:v>24.324324324324326</c:v>
                </c:pt>
                <c:pt idx="3">
                  <c:v>0</c:v>
                </c:pt>
                <c:pt idx="4">
                  <c:v>33.333333333333329</c:v>
                </c:pt>
                <c:pt idx="5">
                  <c:v>0</c:v>
                </c:pt>
                <c:pt idx="6">
                  <c:v>25</c:v>
                </c:pt>
              </c:numCache>
            </c:numRef>
          </c:val>
          <c:extLst>
            <c:ext xmlns:c16="http://schemas.microsoft.com/office/drawing/2014/chart" uri="{C3380CC4-5D6E-409C-BE32-E72D297353CC}">
              <c16:uniqueId val="{00000002-2256-4E68-AD0A-965E7A7B7E33}"/>
            </c:ext>
          </c:extLst>
        </c:ser>
        <c:dLbls>
          <c:showLegendKey val="0"/>
          <c:showVal val="0"/>
          <c:showCatName val="0"/>
          <c:showSerName val="0"/>
          <c:showPercent val="0"/>
          <c:showBubbleSize val="0"/>
        </c:dLbls>
        <c:gapWidth val="12"/>
        <c:overlap val="100"/>
        <c:axId val="191835759"/>
        <c:axId val="191830351"/>
      </c:barChart>
      <c:catAx>
        <c:axId val="191835759"/>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r/t [-]</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91830351"/>
        <c:crosses val="autoZero"/>
        <c:auto val="1"/>
        <c:lblAlgn val="ctr"/>
        <c:lblOffset val="100"/>
        <c:noMultiLvlLbl val="0"/>
      </c:catAx>
      <c:valAx>
        <c:axId val="191830351"/>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Proportions [%]</a:t>
                </a:r>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91835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latin typeface="Times New Roman" panose="02020603050405020304" pitchFamily="18"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a:t>Long. overlap-joined - </a:t>
            </a:r>
            <a:r>
              <a:rPr lang="en-US" b="1" i="0"/>
              <a:t>Steel</a:t>
            </a:r>
            <a:r>
              <a:rPr lang="en-US" i="0"/>
              <a:t> </a:t>
            </a:r>
            <a:r>
              <a:rPr lang="en-US"/>
              <a:t>- Young's Modulus ECDF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scatterChart>
        <c:scatterStyle val="lineMarker"/>
        <c:varyColors val="0"/>
        <c:ser>
          <c:idx val="0"/>
          <c:order val="0"/>
          <c:tx>
            <c:v>Steel</c:v>
          </c:tx>
          <c:spPr>
            <a:ln w="25400" cap="rnd">
              <a:noFill/>
              <a:round/>
            </a:ln>
            <a:effectLst/>
          </c:spPr>
          <c:marker>
            <c:symbol val="none"/>
          </c:marker>
          <c:errBars>
            <c:errDir val="x"/>
            <c:errBarType val="both"/>
            <c:errValType val="cust"/>
            <c:noEndCap val="1"/>
            <c:plus>
              <c:numRef>
                <c:f>'ECDFs of Young''s Modulus'!$CI$10:$CI$22</c:f>
                <c:numCache>
                  <c:formatCode>General</c:formatCode>
                  <c:ptCount val="13"/>
                  <c:pt idx="0">
                    <c:v>0</c:v>
                  </c:pt>
                  <c:pt idx="1">
                    <c:v>1427.8676468641497</c:v>
                  </c:pt>
                  <c:pt idx="2">
                    <c:v>16084.81587778352</c:v>
                  </c:pt>
                  <c:pt idx="3">
                    <c:v>915.18412221648032</c:v>
                  </c:pt>
                  <c:pt idx="4">
                    <c:v>1842.7184000000125</c:v>
                  </c:pt>
                  <c:pt idx="5">
                    <c:v>2068.5095999999903</c:v>
                  </c:pt>
                  <c:pt idx="6">
                    <c:v>2068.3451709518849</c:v>
                  </c:pt>
                  <c:pt idx="7">
                    <c:v>4826.3300990481221</c:v>
                  </c:pt>
                  <c:pt idx="8">
                    <c:v>689.47573548654327</c:v>
                  </c:pt>
                  <c:pt idx="9">
                    <c:v>6894.8449945134344</c:v>
                  </c:pt>
                  <c:pt idx="10">
                    <c:v>1378.9520000000193</c:v>
                  </c:pt>
                  <c:pt idx="11">
                    <c:v>12410.567999999999</c:v>
                  </c:pt>
                </c:numCache>
              </c:numRef>
            </c:plus>
            <c:minus>
              <c:numLit>
                <c:formatCode>General</c:formatCode>
                <c:ptCount val="1"/>
                <c:pt idx="0">
                  <c:v>0</c:v>
                </c:pt>
              </c:numLit>
            </c:minus>
            <c:spPr>
              <a:noFill/>
              <a:ln w="9525" cap="flat" cmpd="sng" algn="ctr">
                <a:solidFill>
                  <a:schemeClr val="tx1"/>
                </a:solidFill>
                <a:round/>
              </a:ln>
              <a:effectLst/>
            </c:spPr>
          </c:errBars>
          <c:errBars>
            <c:errDir val="y"/>
            <c:errBarType val="both"/>
            <c:errValType val="cust"/>
            <c:noEndCap val="1"/>
            <c:plus>
              <c:numLit>
                <c:formatCode>General</c:formatCode>
                <c:ptCount val="1"/>
                <c:pt idx="0">
                  <c:v>0</c:v>
                </c:pt>
              </c:numLit>
            </c:plus>
            <c:minus>
              <c:numRef>
                <c:f>'ECDFs of Young''s Modulus'!$CJ$10:$CJ$22</c:f>
                <c:numCache>
                  <c:formatCode>General</c:formatCode>
                  <c:ptCount val="13"/>
                  <c:pt idx="1">
                    <c:v>3.8461538461538464E-2</c:v>
                  </c:pt>
                  <c:pt idx="2">
                    <c:v>2.5641025641025633E-2</c:v>
                  </c:pt>
                  <c:pt idx="3">
                    <c:v>5.1282051282051294E-2</c:v>
                  </c:pt>
                  <c:pt idx="4">
                    <c:v>0.15384615384615383</c:v>
                  </c:pt>
                  <c:pt idx="5">
                    <c:v>0.20512820512820512</c:v>
                  </c:pt>
                  <c:pt idx="6">
                    <c:v>0.12820512820512819</c:v>
                  </c:pt>
                  <c:pt idx="7">
                    <c:v>5.1282051282051322E-2</c:v>
                  </c:pt>
                  <c:pt idx="8">
                    <c:v>0.24358974358974361</c:v>
                  </c:pt>
                  <c:pt idx="9">
                    <c:v>5.1282051282051211E-2</c:v>
                  </c:pt>
                  <c:pt idx="10">
                    <c:v>1.2820512820512886E-2</c:v>
                  </c:pt>
                  <c:pt idx="11">
                    <c:v>2.5641025641025661E-2</c:v>
                  </c:pt>
                  <c:pt idx="12">
                    <c:v>1.2820512820512775E-2</c:v>
                  </c:pt>
                </c:numCache>
              </c:numRef>
            </c:minus>
            <c:spPr>
              <a:noFill/>
              <a:ln w="9525" cap="flat" cmpd="sng" algn="ctr">
                <a:solidFill>
                  <a:schemeClr val="tx1"/>
                </a:solidFill>
                <a:round/>
              </a:ln>
              <a:effectLst/>
            </c:spPr>
          </c:errBars>
          <c:xVal>
            <c:numRef>
              <c:f>'ECDFs of Young''s Modulus'!$CH$10:$CH$22</c:f>
              <c:numCache>
                <c:formatCode>General</c:formatCode>
                <c:ptCount val="13"/>
                <c:pt idx="0">
                  <c:v>186572.13235313585</c:v>
                </c:pt>
                <c:pt idx="1">
                  <c:v>186572.13235313585</c:v>
                </c:pt>
                <c:pt idx="2">
                  <c:v>188000</c:v>
                </c:pt>
                <c:pt idx="3">
                  <c:v>204084.81587778352</c:v>
                </c:pt>
                <c:pt idx="4">
                  <c:v>205000</c:v>
                </c:pt>
                <c:pt idx="5">
                  <c:v>206842.71840000001</c:v>
                </c:pt>
                <c:pt idx="6">
                  <c:v>208911.228</c:v>
                </c:pt>
                <c:pt idx="7">
                  <c:v>210979.57317095189</c:v>
                </c:pt>
                <c:pt idx="8">
                  <c:v>215805.90327000001</c:v>
                </c:pt>
                <c:pt idx="9">
                  <c:v>216495.37900548655</c:v>
                </c:pt>
                <c:pt idx="10">
                  <c:v>223390.22399999999</c:v>
                </c:pt>
                <c:pt idx="11">
                  <c:v>224769.17600000001</c:v>
                </c:pt>
                <c:pt idx="12">
                  <c:v>237179.74400000001</c:v>
                </c:pt>
              </c:numCache>
            </c:numRef>
          </c:xVal>
          <c:yVal>
            <c:numRef>
              <c:f>'ECDFs of Young''s Modulus'!$CG$10:$CG$22</c:f>
              <c:numCache>
                <c:formatCode>General</c:formatCode>
                <c:ptCount val="13"/>
                <c:pt idx="0">
                  <c:v>0</c:v>
                </c:pt>
                <c:pt idx="1">
                  <c:v>3.8461538461538464E-2</c:v>
                </c:pt>
                <c:pt idx="2">
                  <c:v>6.4102564102564097E-2</c:v>
                </c:pt>
                <c:pt idx="3">
                  <c:v>0.11538461538461539</c:v>
                </c:pt>
                <c:pt idx="4">
                  <c:v>0.26923076923076922</c:v>
                </c:pt>
                <c:pt idx="5">
                  <c:v>0.47435897435897434</c:v>
                </c:pt>
                <c:pt idx="6">
                  <c:v>0.60256410256410253</c:v>
                </c:pt>
                <c:pt idx="7">
                  <c:v>0.65384615384615385</c:v>
                </c:pt>
                <c:pt idx="8">
                  <c:v>0.89743589743589747</c:v>
                </c:pt>
                <c:pt idx="9">
                  <c:v>0.94871794871794868</c:v>
                </c:pt>
                <c:pt idx="10">
                  <c:v>0.96153846153846156</c:v>
                </c:pt>
                <c:pt idx="11">
                  <c:v>0.98717948717948723</c:v>
                </c:pt>
                <c:pt idx="12">
                  <c:v>1</c:v>
                </c:pt>
              </c:numCache>
            </c:numRef>
          </c:yVal>
          <c:smooth val="0"/>
          <c:extLst>
            <c:ext xmlns:c16="http://schemas.microsoft.com/office/drawing/2014/chart" uri="{C3380CC4-5D6E-409C-BE32-E72D297353CC}">
              <c16:uniqueId val="{00000000-DCF0-4C7A-B7E0-6ABF61878118}"/>
            </c:ext>
          </c:extLst>
        </c:ser>
        <c:dLbls>
          <c:showLegendKey val="0"/>
          <c:showVal val="0"/>
          <c:showCatName val="0"/>
          <c:showSerName val="0"/>
          <c:showPercent val="0"/>
          <c:showBubbleSize val="0"/>
        </c:dLbls>
        <c:axId val="244741424"/>
        <c:axId val="244743088"/>
      </c:scatterChart>
      <c:valAx>
        <c:axId val="244741424"/>
        <c:scaling>
          <c:orientation val="minMax"/>
          <c:min val="1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 [N/mm</a:t>
                </a:r>
                <a:r>
                  <a:rPr lang="en-GB" baseline="30000"/>
                  <a:t>2</a:t>
                </a:r>
                <a:r>
                  <a:rPr lang="en-GB"/>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244743088"/>
        <c:crosses val="autoZero"/>
        <c:crossBetween val="midCat"/>
      </c:valAx>
      <c:valAx>
        <c:axId val="244743088"/>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244741424"/>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a:t>Long. overlap-joined - </a:t>
            </a:r>
            <a:r>
              <a:rPr lang="en-US" b="1"/>
              <a:t>Aluminium</a:t>
            </a:r>
            <a:r>
              <a:rPr lang="en-US"/>
              <a:t> - Young's Modulus ECDF</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scatterChart>
        <c:scatterStyle val="lineMarker"/>
        <c:varyColors val="0"/>
        <c:ser>
          <c:idx val="0"/>
          <c:order val="0"/>
          <c:tx>
            <c:v>Aluminium</c:v>
          </c:tx>
          <c:spPr>
            <a:ln w="25400" cap="rnd">
              <a:noFill/>
              <a:round/>
            </a:ln>
            <a:effectLst/>
          </c:spPr>
          <c:marker>
            <c:symbol val="none"/>
          </c:marker>
          <c:errBars>
            <c:errDir val="x"/>
            <c:errBarType val="both"/>
            <c:errValType val="cust"/>
            <c:noEndCap val="1"/>
            <c:plus>
              <c:numRef>
                <c:f>'ECDFs of Young''s Modulus'!$CV$10:$CV$16</c:f>
                <c:numCache>
                  <c:formatCode>General</c:formatCode>
                  <c:ptCount val="7"/>
                  <c:pt idx="0">
                    <c:v>0</c:v>
                  </c:pt>
                  <c:pt idx="1">
                    <c:v>1103.1640985905542</c:v>
                  </c:pt>
                  <c:pt idx="2">
                    <c:v>275.78590140944289</c:v>
                  </c:pt>
                  <c:pt idx="3">
                    <c:v>344.73999999999069</c:v>
                  </c:pt>
                  <c:pt idx="4">
                    <c:v>741.18866399131366</c:v>
                  </c:pt>
                  <c:pt idx="5">
                    <c:v>1292.7669924690708</c:v>
                  </c:pt>
                </c:numCache>
              </c:numRef>
            </c:plus>
            <c:minus>
              <c:numLit>
                <c:formatCode>General</c:formatCode>
                <c:ptCount val="1"/>
                <c:pt idx="0">
                  <c:v>0</c:v>
                </c:pt>
              </c:numLit>
            </c:minus>
            <c:spPr>
              <a:noFill/>
              <a:ln w="9525" cap="flat" cmpd="sng" algn="ctr">
                <a:solidFill>
                  <a:schemeClr val="tx1"/>
                </a:solidFill>
                <a:round/>
              </a:ln>
              <a:effectLst/>
            </c:spPr>
          </c:errBars>
          <c:errBars>
            <c:errDir val="y"/>
            <c:errBarType val="both"/>
            <c:errValType val="cust"/>
            <c:noEndCap val="1"/>
            <c:plus>
              <c:numLit>
                <c:formatCode>General</c:formatCode>
                <c:ptCount val="1"/>
                <c:pt idx="0">
                  <c:v>0</c:v>
                </c:pt>
              </c:numLit>
            </c:plus>
            <c:minus>
              <c:numRef>
                <c:f>'ECDFs of Young''s Modulus'!$CW$10:$CW$16</c:f>
                <c:numCache>
                  <c:formatCode>General</c:formatCode>
                  <c:ptCount val="7"/>
                  <c:pt idx="1">
                    <c:v>3.6363636363636362E-2</c:v>
                  </c:pt>
                  <c:pt idx="2">
                    <c:v>0.21818181818181814</c:v>
                  </c:pt>
                  <c:pt idx="3">
                    <c:v>5.4545454545454564E-2</c:v>
                  </c:pt>
                  <c:pt idx="4">
                    <c:v>9.0909090909090939E-2</c:v>
                  </c:pt>
                  <c:pt idx="5">
                    <c:v>0.10909090909090902</c:v>
                  </c:pt>
                  <c:pt idx="6">
                    <c:v>0.49090909090909096</c:v>
                  </c:pt>
                </c:numCache>
              </c:numRef>
            </c:minus>
            <c:spPr>
              <a:noFill/>
              <a:ln w="9525" cap="flat" cmpd="sng" algn="ctr">
                <a:solidFill>
                  <a:schemeClr val="tx1"/>
                </a:solidFill>
                <a:round/>
              </a:ln>
              <a:effectLst/>
            </c:spPr>
          </c:errBars>
          <c:xVal>
            <c:numRef>
              <c:f>'ECDFs of Young''s Modulus'!$CU$10:$CU$16</c:f>
              <c:numCache>
                <c:formatCode>General</c:formatCode>
                <c:ptCount val="7"/>
                <c:pt idx="0">
                  <c:v>68947.570000000007</c:v>
                </c:pt>
                <c:pt idx="1">
                  <c:v>68947.570000000007</c:v>
                </c:pt>
                <c:pt idx="2">
                  <c:v>70050.734098590561</c:v>
                </c:pt>
                <c:pt idx="3">
                  <c:v>70326.52</c:v>
                </c:pt>
                <c:pt idx="4">
                  <c:v>70671.259999999995</c:v>
                </c:pt>
                <c:pt idx="5">
                  <c:v>71412.448663991308</c:v>
                </c:pt>
                <c:pt idx="6">
                  <c:v>72705.215656460379</c:v>
                </c:pt>
              </c:numCache>
            </c:numRef>
          </c:xVal>
          <c:yVal>
            <c:numRef>
              <c:f>'ECDFs of Young''s Modulus'!$CT$10:$CT$16</c:f>
              <c:numCache>
                <c:formatCode>General</c:formatCode>
                <c:ptCount val="7"/>
                <c:pt idx="0">
                  <c:v>0</c:v>
                </c:pt>
                <c:pt idx="1">
                  <c:v>3.6363636363636362E-2</c:v>
                </c:pt>
                <c:pt idx="2">
                  <c:v>0.25454545454545452</c:v>
                </c:pt>
                <c:pt idx="3">
                  <c:v>0.30909090909090908</c:v>
                </c:pt>
                <c:pt idx="4">
                  <c:v>0.4</c:v>
                </c:pt>
                <c:pt idx="5">
                  <c:v>0.50909090909090904</c:v>
                </c:pt>
                <c:pt idx="6">
                  <c:v>1</c:v>
                </c:pt>
              </c:numCache>
            </c:numRef>
          </c:yVal>
          <c:smooth val="0"/>
          <c:extLst>
            <c:ext xmlns:c16="http://schemas.microsoft.com/office/drawing/2014/chart" uri="{C3380CC4-5D6E-409C-BE32-E72D297353CC}">
              <c16:uniqueId val="{00000004-D856-48DF-B552-654B2E675C01}"/>
            </c:ext>
          </c:extLst>
        </c:ser>
        <c:dLbls>
          <c:showLegendKey val="0"/>
          <c:showVal val="0"/>
          <c:showCatName val="0"/>
          <c:showSerName val="0"/>
          <c:showPercent val="0"/>
          <c:showBubbleSize val="0"/>
        </c:dLbls>
        <c:axId val="110106896"/>
        <c:axId val="110102320"/>
      </c:scatterChart>
      <c:valAx>
        <c:axId val="110106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 [N/mm</a:t>
                </a:r>
                <a:r>
                  <a:rPr lang="en-GB" baseline="30000"/>
                  <a:t>2</a:t>
                </a:r>
                <a:r>
                  <a:rPr lang="en-GB"/>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10102320"/>
        <c:crosses val="autoZero"/>
        <c:crossBetween val="midCat"/>
      </c:valAx>
      <c:valAx>
        <c:axId val="110102320"/>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10106896"/>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r>
              <a:rPr lang="en-US"/>
              <a:t>Long. overlap-joined - </a:t>
            </a:r>
            <a:r>
              <a:rPr lang="en-US" b="1"/>
              <a:t>Brass</a:t>
            </a:r>
            <a:r>
              <a:rPr lang="en-US"/>
              <a:t> - Young's Modulus ECDF</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mn-cs"/>
            </a:defRPr>
          </a:pPr>
          <a:endParaRPr lang="en-US"/>
        </a:p>
      </c:txPr>
    </c:title>
    <c:autoTitleDeleted val="0"/>
    <c:plotArea>
      <c:layout/>
      <c:scatterChart>
        <c:scatterStyle val="lineMarker"/>
        <c:varyColors val="0"/>
        <c:ser>
          <c:idx val="0"/>
          <c:order val="0"/>
          <c:tx>
            <c:v>Brass</c:v>
          </c:tx>
          <c:spPr>
            <a:ln w="25400" cap="rnd">
              <a:noFill/>
              <a:round/>
            </a:ln>
            <a:effectLst/>
          </c:spPr>
          <c:marker>
            <c:symbol val="none"/>
          </c:marker>
          <c:errBars>
            <c:errDir val="x"/>
            <c:errBarType val="both"/>
            <c:errValType val="cust"/>
            <c:noEndCap val="1"/>
            <c:plus>
              <c:numRef>
                <c:f>'ECDFs of Young''s Modulus'!$DI$10:$DI$14</c:f>
                <c:numCache>
                  <c:formatCode>General</c:formatCode>
                  <c:ptCount val="5"/>
                  <c:pt idx="0">
                    <c:v>0</c:v>
                  </c:pt>
                  <c:pt idx="1">
                    <c:v>2757.8894999999902</c:v>
                  </c:pt>
                  <c:pt idx="2">
                    <c:v>4136.8543800000043</c:v>
                  </c:pt>
                  <c:pt idx="3">
                    <c:v>1378.9514572779735</c:v>
                  </c:pt>
                </c:numCache>
              </c:numRef>
            </c:plus>
            <c:minus>
              <c:numLit>
                <c:formatCode>General</c:formatCode>
                <c:ptCount val="1"/>
                <c:pt idx="0">
                  <c:v>0</c:v>
                </c:pt>
              </c:numLit>
            </c:minus>
            <c:spPr>
              <a:noFill/>
              <a:ln w="9525" cap="flat" cmpd="sng" algn="ctr">
                <a:solidFill>
                  <a:schemeClr val="tx1"/>
                </a:solidFill>
                <a:round/>
              </a:ln>
              <a:effectLst/>
            </c:spPr>
          </c:errBars>
          <c:errBars>
            <c:errDir val="y"/>
            <c:errBarType val="both"/>
            <c:errValType val="cust"/>
            <c:noEndCap val="1"/>
            <c:plus>
              <c:numLit>
                <c:formatCode>General</c:formatCode>
                <c:ptCount val="1"/>
                <c:pt idx="0">
                  <c:v>0</c:v>
                </c:pt>
              </c:numLit>
            </c:plus>
            <c:minus>
              <c:numRef>
                <c:f>'ECDFs of Young''s Modulus'!$DJ$10:$DJ$14</c:f>
                <c:numCache>
                  <c:formatCode>General</c:formatCode>
                  <c:ptCount val="5"/>
                  <c:pt idx="1">
                    <c:v>0.26666666666666666</c:v>
                  </c:pt>
                  <c:pt idx="2">
                    <c:v>0.3</c:v>
                  </c:pt>
                  <c:pt idx="3">
                    <c:v>0.4</c:v>
                  </c:pt>
                  <c:pt idx="4">
                    <c:v>3.3333333333333326E-2</c:v>
                  </c:pt>
                </c:numCache>
              </c:numRef>
            </c:minus>
            <c:spPr>
              <a:noFill/>
              <a:ln w="9525" cap="flat" cmpd="sng" algn="ctr">
                <a:solidFill>
                  <a:schemeClr val="tx1"/>
                </a:solidFill>
                <a:round/>
              </a:ln>
              <a:effectLst/>
            </c:spPr>
          </c:errBars>
          <c:xVal>
            <c:numRef>
              <c:f>'ECDFs of Young''s Modulus'!$DH$10:$DH$14</c:f>
              <c:numCache>
                <c:formatCode>General</c:formatCode>
                <c:ptCount val="5"/>
                <c:pt idx="0">
                  <c:v>105489.8</c:v>
                </c:pt>
                <c:pt idx="1">
                  <c:v>105489.8</c:v>
                </c:pt>
                <c:pt idx="2">
                  <c:v>108247.68949999999</c:v>
                </c:pt>
                <c:pt idx="3">
                  <c:v>112384.54388</c:v>
                </c:pt>
                <c:pt idx="4">
                  <c:v>113763.49533727797</c:v>
                </c:pt>
              </c:numCache>
            </c:numRef>
          </c:xVal>
          <c:yVal>
            <c:numRef>
              <c:f>'ECDFs of Young''s Modulus'!$DG$10:$DG$14</c:f>
              <c:numCache>
                <c:formatCode>General</c:formatCode>
                <c:ptCount val="5"/>
                <c:pt idx="0">
                  <c:v>0</c:v>
                </c:pt>
                <c:pt idx="1">
                  <c:v>0.26666666666666666</c:v>
                </c:pt>
                <c:pt idx="2">
                  <c:v>0.56666666666666665</c:v>
                </c:pt>
                <c:pt idx="3">
                  <c:v>0.96666666666666667</c:v>
                </c:pt>
                <c:pt idx="4">
                  <c:v>1</c:v>
                </c:pt>
              </c:numCache>
            </c:numRef>
          </c:yVal>
          <c:smooth val="0"/>
          <c:extLst>
            <c:ext xmlns:c16="http://schemas.microsoft.com/office/drawing/2014/chart" uri="{C3380CC4-5D6E-409C-BE32-E72D297353CC}">
              <c16:uniqueId val="{00000000-8F69-4AD1-A3AD-1C9C81E18502}"/>
            </c:ext>
          </c:extLst>
        </c:ser>
        <c:dLbls>
          <c:showLegendKey val="0"/>
          <c:showVal val="0"/>
          <c:showCatName val="0"/>
          <c:showSerName val="0"/>
          <c:showPercent val="0"/>
          <c:showBubbleSize val="0"/>
        </c:dLbls>
        <c:axId val="420311840"/>
        <c:axId val="420310176"/>
      </c:scatterChart>
      <c:valAx>
        <c:axId val="4203118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 [N/mm</a:t>
                </a:r>
                <a:r>
                  <a:rPr lang="en-GB" baseline="30000"/>
                  <a:t>2</a:t>
                </a:r>
                <a:r>
                  <a:rPr lang="en-GB"/>
                  <a: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420310176"/>
        <c:crosses val="autoZero"/>
        <c:crossBetween val="midCat"/>
      </c:valAx>
      <c:valAx>
        <c:axId val="42031017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420311840"/>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Age</c:v>
          </c:tx>
          <c:spPr>
            <a:ln w="25400" cap="rnd">
              <a:noFill/>
              <a:round/>
            </a:ln>
            <a:effectLst/>
          </c:spPr>
          <c:marker>
            <c:symbol val="none"/>
          </c:marker>
          <c:errBars>
            <c:errDir val="x"/>
            <c:errBarType val="both"/>
            <c:errValType val="cust"/>
            <c:noEndCap val="1"/>
            <c:plus>
              <c:numRef>
                <c:f>'ECDF of Year of testing'!$Y$2:$Y$35</c:f>
                <c:numCache>
                  <c:formatCode>General</c:formatCode>
                  <c:ptCount val="34"/>
                  <c:pt idx="0">
                    <c:v>0</c:v>
                  </c:pt>
                  <c:pt idx="1">
                    <c:v>19</c:v>
                  </c:pt>
                  <c:pt idx="2">
                    <c:v>5</c:v>
                  </c:pt>
                  <c:pt idx="3">
                    <c:v>1</c:v>
                  </c:pt>
                  <c:pt idx="4">
                    <c:v>3</c:v>
                  </c:pt>
                  <c:pt idx="5">
                    <c:v>1</c:v>
                  </c:pt>
                  <c:pt idx="6">
                    <c:v>1</c:v>
                  </c:pt>
                  <c:pt idx="7">
                    <c:v>11</c:v>
                  </c:pt>
                  <c:pt idx="8">
                    <c:v>1</c:v>
                  </c:pt>
                  <c:pt idx="9">
                    <c:v>1</c:v>
                  </c:pt>
                  <c:pt idx="10">
                    <c:v>5</c:v>
                  </c:pt>
                  <c:pt idx="11">
                    <c:v>2</c:v>
                  </c:pt>
                  <c:pt idx="12">
                    <c:v>1</c:v>
                  </c:pt>
                  <c:pt idx="13">
                    <c:v>2</c:v>
                  </c:pt>
                  <c:pt idx="14">
                    <c:v>2</c:v>
                  </c:pt>
                  <c:pt idx="15">
                    <c:v>1</c:v>
                  </c:pt>
                  <c:pt idx="16">
                    <c:v>2</c:v>
                  </c:pt>
                  <c:pt idx="17">
                    <c:v>1</c:v>
                  </c:pt>
                  <c:pt idx="18">
                    <c:v>3</c:v>
                  </c:pt>
                  <c:pt idx="19">
                    <c:v>1</c:v>
                  </c:pt>
                  <c:pt idx="20">
                    <c:v>5</c:v>
                  </c:pt>
                  <c:pt idx="21">
                    <c:v>1</c:v>
                  </c:pt>
                  <c:pt idx="22">
                    <c:v>2</c:v>
                  </c:pt>
                  <c:pt idx="23">
                    <c:v>2</c:v>
                  </c:pt>
                  <c:pt idx="24">
                    <c:v>3</c:v>
                  </c:pt>
                  <c:pt idx="25">
                    <c:v>2</c:v>
                  </c:pt>
                  <c:pt idx="26">
                    <c:v>17</c:v>
                  </c:pt>
                  <c:pt idx="27">
                    <c:v>11</c:v>
                  </c:pt>
                  <c:pt idx="28">
                    <c:v>1</c:v>
                  </c:pt>
                  <c:pt idx="29">
                    <c:v>1</c:v>
                  </c:pt>
                  <c:pt idx="30">
                    <c:v>2</c:v>
                  </c:pt>
                  <c:pt idx="31">
                    <c:v>1</c:v>
                  </c:pt>
                </c:numCache>
              </c:numRef>
            </c:plus>
            <c:minus>
              <c:numLit>
                <c:formatCode>General</c:formatCode>
                <c:ptCount val="1"/>
                <c:pt idx="0">
                  <c:v>0</c:v>
                </c:pt>
              </c:numLit>
            </c:minus>
            <c:spPr>
              <a:noFill/>
              <a:ln w="9525" cap="flat" cmpd="sng" algn="ctr">
                <a:solidFill>
                  <a:schemeClr val="tx1"/>
                </a:solidFill>
                <a:round/>
              </a:ln>
              <a:effectLst/>
            </c:spPr>
          </c:errBars>
          <c:errBars>
            <c:errDir val="y"/>
            <c:errBarType val="both"/>
            <c:errValType val="cust"/>
            <c:noEndCap val="1"/>
            <c:plus>
              <c:numLit>
                <c:formatCode>General</c:formatCode>
                <c:ptCount val="1"/>
                <c:pt idx="0">
                  <c:v>0</c:v>
                </c:pt>
              </c:numLit>
            </c:plus>
            <c:minus>
              <c:numRef>
                <c:f>'ECDF of Year of testing'!$Z$2:$Z$35</c:f>
                <c:numCache>
                  <c:formatCode>General</c:formatCode>
                  <c:ptCount val="34"/>
                  <c:pt idx="1">
                    <c:v>2.1604938271604937E-2</c:v>
                  </c:pt>
                  <c:pt idx="2">
                    <c:v>1.3888888888888888E-2</c:v>
                  </c:pt>
                  <c:pt idx="3">
                    <c:v>0.15277777777777779</c:v>
                  </c:pt>
                  <c:pt idx="4">
                    <c:v>9.8765432098765427E-2</c:v>
                  </c:pt>
                  <c:pt idx="5">
                    <c:v>2.4691358024691357E-2</c:v>
                  </c:pt>
                  <c:pt idx="6">
                    <c:v>7.7160493827160503E-2</c:v>
                  </c:pt>
                  <c:pt idx="7">
                    <c:v>0.12962962962962959</c:v>
                  </c:pt>
                  <c:pt idx="8">
                    <c:v>3.8580246913580307E-2</c:v>
                  </c:pt>
                  <c:pt idx="9">
                    <c:v>1.5432098765432167E-3</c:v>
                  </c:pt>
                  <c:pt idx="10">
                    <c:v>9.2592592592591894E-3</c:v>
                  </c:pt>
                  <c:pt idx="11">
                    <c:v>2.1604938271604923E-2</c:v>
                  </c:pt>
                  <c:pt idx="12">
                    <c:v>4.6296296296296502E-3</c:v>
                  </c:pt>
                  <c:pt idx="13">
                    <c:v>2.1604938271604923E-2</c:v>
                  </c:pt>
                  <c:pt idx="14">
                    <c:v>2.1604938271605034E-2</c:v>
                  </c:pt>
                  <c:pt idx="15">
                    <c:v>3.8580246913580196E-2</c:v>
                  </c:pt>
                  <c:pt idx="16">
                    <c:v>4.7839506172839497E-2</c:v>
                  </c:pt>
                  <c:pt idx="17">
                    <c:v>4.7839506172839497E-2</c:v>
                  </c:pt>
                  <c:pt idx="18">
                    <c:v>1.2345679012345734E-2</c:v>
                  </c:pt>
                  <c:pt idx="19">
                    <c:v>2.314814814814814E-2</c:v>
                  </c:pt>
                  <c:pt idx="20">
                    <c:v>2.314814814814814E-2</c:v>
                  </c:pt>
                  <c:pt idx="21">
                    <c:v>3.8580246913580196E-2</c:v>
                  </c:pt>
                  <c:pt idx="22">
                    <c:v>4.6296296296296502E-3</c:v>
                  </c:pt>
                  <c:pt idx="23">
                    <c:v>1.5432098765432056E-2</c:v>
                  </c:pt>
                  <c:pt idx="24">
                    <c:v>7.7160493827160836E-3</c:v>
                  </c:pt>
                  <c:pt idx="25">
                    <c:v>1.6975308641975273E-2</c:v>
                  </c:pt>
                  <c:pt idx="26">
                    <c:v>6.1728395061728669E-3</c:v>
                  </c:pt>
                  <c:pt idx="27">
                    <c:v>1.851851851851849E-2</c:v>
                  </c:pt>
                  <c:pt idx="28">
                    <c:v>1.5432098765432167E-3</c:v>
                  </c:pt>
                  <c:pt idx="29">
                    <c:v>2.0061728395061817E-2</c:v>
                  </c:pt>
                  <c:pt idx="30">
                    <c:v>1.851851851851849E-2</c:v>
                  </c:pt>
                  <c:pt idx="31">
                    <c:v>1.2345679012345623E-2</c:v>
                  </c:pt>
                  <c:pt idx="32">
                    <c:v>9.2592592592593004E-3</c:v>
                  </c:pt>
                </c:numCache>
              </c:numRef>
            </c:minus>
            <c:spPr>
              <a:noFill/>
              <a:ln w="9525" cap="flat" cmpd="sng" algn="ctr">
                <a:solidFill>
                  <a:schemeClr val="tx1"/>
                </a:solidFill>
                <a:round/>
              </a:ln>
              <a:effectLst/>
            </c:spPr>
          </c:errBars>
          <c:xVal>
            <c:numRef>
              <c:f>'ECDF of Year of testing'!$X$2:$X$35</c:f>
              <c:numCache>
                <c:formatCode>General</c:formatCode>
                <c:ptCount val="34"/>
                <c:pt idx="0">
                  <c:v>1909</c:v>
                </c:pt>
                <c:pt idx="1">
                  <c:v>1909</c:v>
                </c:pt>
                <c:pt idx="2">
                  <c:v>1928</c:v>
                </c:pt>
                <c:pt idx="3">
                  <c:v>1933</c:v>
                </c:pt>
                <c:pt idx="4">
                  <c:v>1934</c:v>
                </c:pt>
                <c:pt idx="5">
                  <c:v>1937</c:v>
                </c:pt>
                <c:pt idx="6">
                  <c:v>1938</c:v>
                </c:pt>
                <c:pt idx="7">
                  <c:v>1939</c:v>
                </c:pt>
                <c:pt idx="8">
                  <c:v>1950</c:v>
                </c:pt>
                <c:pt idx="9">
                  <c:v>1951</c:v>
                </c:pt>
                <c:pt idx="10">
                  <c:v>1952</c:v>
                </c:pt>
                <c:pt idx="11">
                  <c:v>1957</c:v>
                </c:pt>
                <c:pt idx="12">
                  <c:v>1959</c:v>
                </c:pt>
                <c:pt idx="13">
                  <c:v>1960</c:v>
                </c:pt>
                <c:pt idx="14">
                  <c:v>1962</c:v>
                </c:pt>
                <c:pt idx="15">
                  <c:v>1964</c:v>
                </c:pt>
                <c:pt idx="16">
                  <c:v>1965</c:v>
                </c:pt>
                <c:pt idx="17">
                  <c:v>1967</c:v>
                </c:pt>
                <c:pt idx="18">
                  <c:v>1968</c:v>
                </c:pt>
                <c:pt idx="19">
                  <c:v>1971</c:v>
                </c:pt>
                <c:pt idx="20">
                  <c:v>1972</c:v>
                </c:pt>
                <c:pt idx="21">
                  <c:v>1977</c:v>
                </c:pt>
                <c:pt idx="22">
                  <c:v>1978</c:v>
                </c:pt>
                <c:pt idx="23">
                  <c:v>1980</c:v>
                </c:pt>
                <c:pt idx="24">
                  <c:v>1982</c:v>
                </c:pt>
                <c:pt idx="25">
                  <c:v>1985</c:v>
                </c:pt>
                <c:pt idx="26">
                  <c:v>1987</c:v>
                </c:pt>
                <c:pt idx="27">
                  <c:v>2004</c:v>
                </c:pt>
                <c:pt idx="28">
                  <c:v>2015</c:v>
                </c:pt>
                <c:pt idx="29">
                  <c:v>2016</c:v>
                </c:pt>
                <c:pt idx="30">
                  <c:v>2017</c:v>
                </c:pt>
                <c:pt idx="31">
                  <c:v>2019</c:v>
                </c:pt>
                <c:pt idx="32">
                  <c:v>2020</c:v>
                </c:pt>
                <c:pt idx="33">
                  <c:v>1909</c:v>
                </c:pt>
              </c:numCache>
            </c:numRef>
          </c:xVal>
          <c:yVal>
            <c:numRef>
              <c:f>'ECDF of Year of testing'!$W$2:$W$35</c:f>
              <c:numCache>
                <c:formatCode>General</c:formatCode>
                <c:ptCount val="34"/>
                <c:pt idx="0">
                  <c:v>0</c:v>
                </c:pt>
                <c:pt idx="1">
                  <c:v>2.1604938271604937E-2</c:v>
                </c:pt>
                <c:pt idx="2">
                  <c:v>3.5493827160493825E-2</c:v>
                </c:pt>
                <c:pt idx="3">
                  <c:v>0.18827160493827161</c:v>
                </c:pt>
                <c:pt idx="4">
                  <c:v>0.28703703703703703</c:v>
                </c:pt>
                <c:pt idx="5">
                  <c:v>0.31172839506172839</c:v>
                </c:pt>
                <c:pt idx="6">
                  <c:v>0.3888888888888889</c:v>
                </c:pt>
                <c:pt idx="7">
                  <c:v>0.51851851851851849</c:v>
                </c:pt>
                <c:pt idx="8">
                  <c:v>0.5570987654320988</c:v>
                </c:pt>
                <c:pt idx="9">
                  <c:v>0.55864197530864201</c:v>
                </c:pt>
                <c:pt idx="10">
                  <c:v>0.5679012345679012</c:v>
                </c:pt>
                <c:pt idx="11">
                  <c:v>0.58950617283950613</c:v>
                </c:pt>
                <c:pt idx="12">
                  <c:v>0.59413580246913578</c:v>
                </c:pt>
                <c:pt idx="13">
                  <c:v>0.6157407407407407</c:v>
                </c:pt>
                <c:pt idx="14">
                  <c:v>0.63734567901234573</c:v>
                </c:pt>
                <c:pt idx="15">
                  <c:v>0.67592592592592593</c:v>
                </c:pt>
                <c:pt idx="16">
                  <c:v>0.72376543209876543</c:v>
                </c:pt>
                <c:pt idx="17">
                  <c:v>0.77160493827160492</c:v>
                </c:pt>
                <c:pt idx="18">
                  <c:v>0.78395061728395066</c:v>
                </c:pt>
                <c:pt idx="19">
                  <c:v>0.8070987654320988</c:v>
                </c:pt>
                <c:pt idx="20">
                  <c:v>0.83024691358024694</c:v>
                </c:pt>
                <c:pt idx="21">
                  <c:v>0.86882716049382713</c:v>
                </c:pt>
                <c:pt idx="22">
                  <c:v>0.87345679012345678</c:v>
                </c:pt>
                <c:pt idx="23">
                  <c:v>0.88888888888888884</c:v>
                </c:pt>
                <c:pt idx="24">
                  <c:v>0.89660493827160492</c:v>
                </c:pt>
                <c:pt idx="25">
                  <c:v>0.9135802469135802</c:v>
                </c:pt>
                <c:pt idx="26">
                  <c:v>0.91975308641975306</c:v>
                </c:pt>
                <c:pt idx="27">
                  <c:v>0.93827160493827155</c:v>
                </c:pt>
                <c:pt idx="28">
                  <c:v>0.93981481481481477</c:v>
                </c:pt>
                <c:pt idx="29">
                  <c:v>0.95987654320987659</c:v>
                </c:pt>
                <c:pt idx="30">
                  <c:v>0.97839506172839508</c:v>
                </c:pt>
                <c:pt idx="31">
                  <c:v>0.9907407407407407</c:v>
                </c:pt>
                <c:pt idx="32">
                  <c:v>1</c:v>
                </c:pt>
                <c:pt idx="33">
                  <c:v>#N/A</c:v>
                </c:pt>
              </c:numCache>
            </c:numRef>
          </c:yVal>
          <c:smooth val="0"/>
          <c:extLst>
            <c:ext xmlns:c16="http://schemas.microsoft.com/office/drawing/2014/chart" uri="{C3380CC4-5D6E-409C-BE32-E72D297353CC}">
              <c16:uniqueId val="{00000000-E972-4AD0-ACBE-63190B8E4BFA}"/>
            </c:ext>
          </c:extLst>
        </c:ser>
        <c:dLbls>
          <c:showLegendKey val="0"/>
          <c:showVal val="0"/>
          <c:showCatName val="0"/>
          <c:showSerName val="0"/>
          <c:showPercent val="0"/>
          <c:showBubbleSize val="0"/>
        </c:dLbls>
        <c:axId val="1210406112"/>
        <c:axId val="1210409856"/>
      </c:scatterChart>
      <c:valAx>
        <c:axId val="1210406112"/>
        <c:scaling>
          <c:orientation val="minMax"/>
          <c:max val="202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210409856"/>
        <c:crosses val="autoZero"/>
        <c:crossBetween val="midCat"/>
      </c:valAx>
      <c:valAx>
        <c:axId val="1210409856"/>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r>
                  <a:rPr lang="en-GB"/>
                  <a:t>ECDF</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mn-cs"/>
              </a:defRPr>
            </a:pPr>
            <a:endParaRPr lang="en-US"/>
          </a:p>
        </c:txPr>
        <c:crossAx val="1210406112"/>
        <c:crosses val="autoZero"/>
        <c:crossBetween val="midCat"/>
        <c:majorUnit val="0.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aseline="0">
          <a:latin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D1683D3-D857-4379-A4E3-DA23ED4146D7}">
  <sheetPr>
    <tabColor rgb="FFFF0000"/>
  </sheetPr>
  <sheetViews>
    <sheetView workbookViewId="0"/>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EB06FB3-1344-476F-B92A-9E3486E96681}">
  <sheetPr>
    <tabColor rgb="FFFF0000"/>
  </sheetPr>
  <sheetViews>
    <sheetView zoomScale="110"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DD149B2-0B3C-444C-8214-F896288B0D27}">
  <sheetPr>
    <tabColor rgb="FFFF0000"/>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5.png"/><Relationship Id="rId39" Type="http://schemas.openxmlformats.org/officeDocument/2006/relationships/image" Target="../media/image38.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3.png"/><Relationship Id="rId42" Type="http://schemas.openxmlformats.org/officeDocument/2006/relationships/image" Target="../media/image41.png"/><Relationship Id="rId47" Type="http://schemas.openxmlformats.org/officeDocument/2006/relationships/image" Target="../media/image46.png"/><Relationship Id="rId50" Type="http://schemas.openxmlformats.org/officeDocument/2006/relationships/image" Target="../media/image49.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4.png"/><Relationship Id="rId33" Type="http://schemas.openxmlformats.org/officeDocument/2006/relationships/image" Target="../media/image32.png"/><Relationship Id="rId38" Type="http://schemas.openxmlformats.org/officeDocument/2006/relationships/image" Target="../media/image37.png"/><Relationship Id="rId46" Type="http://schemas.openxmlformats.org/officeDocument/2006/relationships/image" Target="../media/image4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8.png"/><Relationship Id="rId41" Type="http://schemas.openxmlformats.org/officeDocument/2006/relationships/image" Target="../media/image40.png"/><Relationship Id="rId54" Type="http://schemas.openxmlformats.org/officeDocument/2006/relationships/image" Target="../media/image5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chart" Target="../charts/chart1.xml"/><Relationship Id="rId32" Type="http://schemas.openxmlformats.org/officeDocument/2006/relationships/image" Target="../media/image31.png"/><Relationship Id="rId37" Type="http://schemas.openxmlformats.org/officeDocument/2006/relationships/image" Target="../media/image36.png"/><Relationship Id="rId40" Type="http://schemas.openxmlformats.org/officeDocument/2006/relationships/image" Target="../media/image39.png"/><Relationship Id="rId45" Type="http://schemas.openxmlformats.org/officeDocument/2006/relationships/image" Target="../media/image44.png"/><Relationship Id="rId53" Type="http://schemas.openxmlformats.org/officeDocument/2006/relationships/image" Target="../media/image5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7.png"/><Relationship Id="rId36" Type="http://schemas.openxmlformats.org/officeDocument/2006/relationships/image" Target="../media/image35.png"/><Relationship Id="rId49" Type="http://schemas.openxmlformats.org/officeDocument/2006/relationships/image" Target="../media/image4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0.png"/><Relationship Id="rId44" Type="http://schemas.openxmlformats.org/officeDocument/2006/relationships/image" Target="../media/image43.png"/><Relationship Id="rId52" Type="http://schemas.openxmlformats.org/officeDocument/2006/relationships/image" Target="../media/image5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6.png"/><Relationship Id="rId30" Type="http://schemas.openxmlformats.org/officeDocument/2006/relationships/image" Target="../media/image29.png"/><Relationship Id="rId35" Type="http://schemas.openxmlformats.org/officeDocument/2006/relationships/image" Target="../media/image34.png"/><Relationship Id="rId43" Type="http://schemas.openxmlformats.org/officeDocument/2006/relationships/image" Target="../media/image42.png"/><Relationship Id="rId48" Type="http://schemas.openxmlformats.org/officeDocument/2006/relationships/image" Target="../media/image47.png"/><Relationship Id="rId8" Type="http://schemas.openxmlformats.org/officeDocument/2006/relationships/image" Target="../media/image8.png"/><Relationship Id="rId51" Type="http://schemas.openxmlformats.org/officeDocument/2006/relationships/image" Target="../media/image50.png"/></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4" Type="http://schemas.openxmlformats.org/officeDocument/2006/relationships/chart" Target="../charts/chart1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editAs="oneCell">
    <xdr:from>
      <xdr:col>47</xdr:col>
      <xdr:colOff>155896</xdr:colOff>
      <xdr:row>37</xdr:row>
      <xdr:rowOff>63835</xdr:rowOff>
    </xdr:from>
    <xdr:to>
      <xdr:col>48</xdr:col>
      <xdr:colOff>80389</xdr:colOff>
      <xdr:row>45</xdr:row>
      <xdr:rowOff>122604</xdr:rowOff>
    </xdr:to>
    <xdr:pic>
      <xdr:nvPicPr>
        <xdr:cNvPr id="2" name="Picture 1">
          <a:extLst>
            <a:ext uri="{FF2B5EF4-FFF2-40B4-BE49-F238E27FC236}">
              <a16:creationId xmlns:a16="http://schemas.microsoft.com/office/drawing/2014/main" id="{CB972EC6-A200-0346-AB7F-D33F2E353136}"/>
            </a:ext>
          </a:extLst>
        </xdr:cNvPr>
        <xdr:cNvPicPr>
          <a:picLocks noChangeAspect="1"/>
        </xdr:cNvPicPr>
      </xdr:nvPicPr>
      <xdr:blipFill>
        <a:blip xmlns:r="http://schemas.openxmlformats.org/officeDocument/2006/relationships" r:embed="rId1"/>
        <a:stretch>
          <a:fillRect/>
        </a:stretch>
      </xdr:blipFill>
      <xdr:spPr>
        <a:xfrm>
          <a:off x="66490717" y="9439156"/>
          <a:ext cx="3938600" cy="1691627"/>
        </a:xfrm>
        <a:prstGeom prst="rect">
          <a:avLst/>
        </a:prstGeom>
      </xdr:spPr>
    </xdr:pic>
    <xdr:clientData/>
  </xdr:twoCellAnchor>
  <xdr:twoCellAnchor editAs="oneCell">
    <xdr:from>
      <xdr:col>53</xdr:col>
      <xdr:colOff>104775</xdr:colOff>
      <xdr:row>9</xdr:row>
      <xdr:rowOff>47625</xdr:rowOff>
    </xdr:from>
    <xdr:to>
      <xdr:col>60</xdr:col>
      <xdr:colOff>276222</xdr:colOff>
      <xdr:row>28</xdr:row>
      <xdr:rowOff>63155</xdr:rowOff>
    </xdr:to>
    <xdr:pic>
      <xdr:nvPicPr>
        <xdr:cNvPr id="4" name="Picture 3">
          <a:extLst>
            <a:ext uri="{FF2B5EF4-FFF2-40B4-BE49-F238E27FC236}">
              <a16:creationId xmlns:a16="http://schemas.microsoft.com/office/drawing/2014/main" id="{597DC75C-D2D4-48D6-97DF-47D055EC5684}"/>
            </a:ext>
            <a:ext uri="{147F2762-F138-4A5C-976F-8EAC2B608ADB}">
              <a16:predDERef xmlns:a16="http://schemas.microsoft.com/office/drawing/2014/main" pred="{CB972EC6-A200-0346-AB7F-D33F2E353136}"/>
            </a:ext>
          </a:extLst>
        </xdr:cNvPr>
        <xdr:cNvPicPr>
          <a:picLocks noChangeAspect="1"/>
        </xdr:cNvPicPr>
      </xdr:nvPicPr>
      <xdr:blipFill>
        <a:blip xmlns:r="http://schemas.openxmlformats.org/officeDocument/2006/relationships" r:embed="rId2"/>
        <a:stretch>
          <a:fillRect/>
        </a:stretch>
      </xdr:blipFill>
      <xdr:spPr>
        <a:xfrm>
          <a:off x="62760225" y="3124200"/>
          <a:ext cx="6038850" cy="3762375"/>
        </a:xfrm>
        <a:prstGeom prst="rect">
          <a:avLst/>
        </a:prstGeom>
      </xdr:spPr>
    </xdr:pic>
    <xdr:clientData/>
  </xdr:twoCellAnchor>
  <xdr:twoCellAnchor editAs="oneCell">
    <xdr:from>
      <xdr:col>32</xdr:col>
      <xdr:colOff>84667</xdr:colOff>
      <xdr:row>49</xdr:row>
      <xdr:rowOff>42332</xdr:rowOff>
    </xdr:from>
    <xdr:to>
      <xdr:col>32</xdr:col>
      <xdr:colOff>3781778</xdr:colOff>
      <xdr:row>49</xdr:row>
      <xdr:rowOff>1962799</xdr:rowOff>
    </xdr:to>
    <xdr:pic>
      <xdr:nvPicPr>
        <xdr:cNvPr id="3" name="Picture 2">
          <a:extLst>
            <a:ext uri="{FF2B5EF4-FFF2-40B4-BE49-F238E27FC236}">
              <a16:creationId xmlns:a16="http://schemas.microsoft.com/office/drawing/2014/main" id="{9869D5BA-BE06-2B4A-91EE-AA0EC834DC54}"/>
            </a:ext>
          </a:extLst>
        </xdr:cNvPr>
        <xdr:cNvPicPr>
          <a:picLocks noChangeAspect="1"/>
        </xdr:cNvPicPr>
      </xdr:nvPicPr>
      <xdr:blipFill>
        <a:blip xmlns:r="http://schemas.openxmlformats.org/officeDocument/2006/relationships" r:embed="rId3"/>
        <a:stretch>
          <a:fillRect/>
        </a:stretch>
      </xdr:blipFill>
      <xdr:spPr>
        <a:xfrm>
          <a:off x="35574111" y="13899443"/>
          <a:ext cx="3697111" cy="1920467"/>
        </a:xfrm>
        <a:prstGeom prst="rect">
          <a:avLst/>
        </a:prstGeom>
      </xdr:spPr>
    </xdr:pic>
    <xdr:clientData/>
  </xdr:twoCellAnchor>
  <xdr:twoCellAnchor editAs="oneCell">
    <xdr:from>
      <xdr:col>29</xdr:col>
      <xdr:colOff>219762</xdr:colOff>
      <xdr:row>49</xdr:row>
      <xdr:rowOff>167944</xdr:rowOff>
    </xdr:from>
    <xdr:to>
      <xdr:col>29</xdr:col>
      <xdr:colOff>2265874</xdr:colOff>
      <xdr:row>50</xdr:row>
      <xdr:rowOff>39015</xdr:rowOff>
    </xdr:to>
    <xdr:pic>
      <xdr:nvPicPr>
        <xdr:cNvPr id="6" name="Picture 5">
          <a:extLst>
            <a:ext uri="{FF2B5EF4-FFF2-40B4-BE49-F238E27FC236}">
              <a16:creationId xmlns:a16="http://schemas.microsoft.com/office/drawing/2014/main" id="{C06AD225-E7A2-7F43-B4E8-56CDC57AAD4F}"/>
            </a:ext>
          </a:extLst>
        </xdr:cNvPr>
        <xdr:cNvPicPr>
          <a:picLocks noChangeAspect="1"/>
        </xdr:cNvPicPr>
      </xdr:nvPicPr>
      <xdr:blipFill>
        <a:blip xmlns:r="http://schemas.openxmlformats.org/officeDocument/2006/relationships" r:embed="rId4"/>
        <a:stretch>
          <a:fillRect/>
        </a:stretch>
      </xdr:blipFill>
      <xdr:spPr>
        <a:xfrm>
          <a:off x="35717303" y="12097616"/>
          <a:ext cx="2046112" cy="1911399"/>
        </a:xfrm>
        <a:prstGeom prst="rect">
          <a:avLst/>
        </a:prstGeom>
      </xdr:spPr>
    </xdr:pic>
    <xdr:clientData/>
  </xdr:twoCellAnchor>
  <xdr:twoCellAnchor editAs="oneCell">
    <xdr:from>
      <xdr:col>53</xdr:col>
      <xdr:colOff>26661</xdr:colOff>
      <xdr:row>47</xdr:row>
      <xdr:rowOff>169215</xdr:rowOff>
    </xdr:from>
    <xdr:to>
      <xdr:col>56</xdr:col>
      <xdr:colOff>340177</xdr:colOff>
      <xdr:row>50</xdr:row>
      <xdr:rowOff>4249</xdr:rowOff>
    </xdr:to>
    <xdr:pic>
      <xdr:nvPicPr>
        <xdr:cNvPr id="7" name="Picture 6">
          <a:extLst>
            <a:ext uri="{FF2B5EF4-FFF2-40B4-BE49-F238E27FC236}">
              <a16:creationId xmlns:a16="http://schemas.microsoft.com/office/drawing/2014/main" id="{63EC8040-7D77-0842-8AF8-3DB2ACDBAAEE}"/>
            </a:ext>
          </a:extLst>
        </xdr:cNvPr>
        <xdr:cNvPicPr>
          <a:picLocks noChangeAspect="1"/>
        </xdr:cNvPicPr>
      </xdr:nvPicPr>
      <xdr:blipFill>
        <a:blip xmlns:r="http://schemas.openxmlformats.org/officeDocument/2006/relationships" r:embed="rId5"/>
        <a:stretch>
          <a:fillRect/>
        </a:stretch>
      </xdr:blipFill>
      <xdr:spPr>
        <a:xfrm>
          <a:off x="99304375" y="11395108"/>
          <a:ext cx="2844445" cy="2243498"/>
        </a:xfrm>
        <a:prstGeom prst="rect">
          <a:avLst/>
        </a:prstGeom>
      </xdr:spPr>
    </xdr:pic>
    <xdr:clientData/>
  </xdr:twoCellAnchor>
  <xdr:twoCellAnchor editAs="oneCell">
    <xdr:from>
      <xdr:col>64</xdr:col>
      <xdr:colOff>789213</xdr:colOff>
      <xdr:row>49</xdr:row>
      <xdr:rowOff>1976472</xdr:rowOff>
    </xdr:from>
    <xdr:to>
      <xdr:col>69</xdr:col>
      <xdr:colOff>327615</xdr:colOff>
      <xdr:row>62</xdr:row>
      <xdr:rowOff>13243</xdr:rowOff>
    </xdr:to>
    <xdr:pic>
      <xdr:nvPicPr>
        <xdr:cNvPr id="8" name="Picture 7">
          <a:extLst>
            <a:ext uri="{FF2B5EF4-FFF2-40B4-BE49-F238E27FC236}">
              <a16:creationId xmlns:a16="http://schemas.microsoft.com/office/drawing/2014/main" id="{37CD460A-8DE2-A44E-A1EA-51B488587369}"/>
            </a:ext>
          </a:extLst>
        </xdr:cNvPr>
        <xdr:cNvPicPr>
          <a:picLocks noChangeAspect="1"/>
        </xdr:cNvPicPr>
      </xdr:nvPicPr>
      <xdr:blipFill>
        <a:blip xmlns:r="http://schemas.openxmlformats.org/officeDocument/2006/relationships" r:embed="rId6"/>
        <a:stretch>
          <a:fillRect/>
        </a:stretch>
      </xdr:blipFill>
      <xdr:spPr>
        <a:xfrm>
          <a:off x="109346999" y="13610579"/>
          <a:ext cx="3756616" cy="2513521"/>
        </a:xfrm>
        <a:prstGeom prst="rect">
          <a:avLst/>
        </a:prstGeom>
      </xdr:spPr>
    </xdr:pic>
    <xdr:clientData/>
  </xdr:twoCellAnchor>
  <xdr:twoCellAnchor editAs="oneCell">
    <xdr:from>
      <xdr:col>30</xdr:col>
      <xdr:colOff>1549400</xdr:colOff>
      <xdr:row>50</xdr:row>
      <xdr:rowOff>12700</xdr:rowOff>
    </xdr:from>
    <xdr:to>
      <xdr:col>32</xdr:col>
      <xdr:colOff>201340</xdr:colOff>
      <xdr:row>57</xdr:row>
      <xdr:rowOff>161919</xdr:rowOff>
    </xdr:to>
    <xdr:pic>
      <xdr:nvPicPr>
        <xdr:cNvPr id="11" name="Picture 10">
          <a:extLst>
            <a:ext uri="{FF2B5EF4-FFF2-40B4-BE49-F238E27FC236}">
              <a16:creationId xmlns:a16="http://schemas.microsoft.com/office/drawing/2014/main" id="{E9F38222-E15C-DF4D-A98D-FD109C2B7D63}"/>
            </a:ext>
          </a:extLst>
        </xdr:cNvPr>
        <xdr:cNvPicPr>
          <a:picLocks noChangeAspect="1"/>
        </xdr:cNvPicPr>
      </xdr:nvPicPr>
      <xdr:blipFill>
        <a:blip xmlns:r="http://schemas.openxmlformats.org/officeDocument/2006/relationships" r:embed="rId7"/>
        <a:stretch>
          <a:fillRect/>
        </a:stretch>
      </xdr:blipFill>
      <xdr:spPr>
        <a:xfrm>
          <a:off x="33649745" y="18077355"/>
          <a:ext cx="3005083" cy="1478887"/>
        </a:xfrm>
        <a:prstGeom prst="rect">
          <a:avLst/>
        </a:prstGeom>
      </xdr:spPr>
    </xdr:pic>
    <xdr:clientData/>
  </xdr:twoCellAnchor>
  <xdr:twoCellAnchor editAs="oneCell">
    <xdr:from>
      <xdr:col>32</xdr:col>
      <xdr:colOff>1177158</xdr:colOff>
      <xdr:row>50</xdr:row>
      <xdr:rowOff>47296</xdr:rowOff>
    </xdr:from>
    <xdr:to>
      <xdr:col>32</xdr:col>
      <xdr:colOff>4958426</xdr:colOff>
      <xdr:row>57</xdr:row>
      <xdr:rowOff>159297</xdr:rowOff>
    </xdr:to>
    <xdr:pic>
      <xdr:nvPicPr>
        <xdr:cNvPr id="12" name="Picture 11">
          <a:extLst>
            <a:ext uri="{FF2B5EF4-FFF2-40B4-BE49-F238E27FC236}">
              <a16:creationId xmlns:a16="http://schemas.microsoft.com/office/drawing/2014/main" id="{E7404333-3EB6-5C4D-87DB-7043AB4F3AEF}"/>
            </a:ext>
          </a:extLst>
        </xdr:cNvPr>
        <xdr:cNvPicPr>
          <a:picLocks noChangeAspect="1"/>
        </xdr:cNvPicPr>
      </xdr:nvPicPr>
      <xdr:blipFill>
        <a:blip xmlns:r="http://schemas.openxmlformats.org/officeDocument/2006/relationships" r:embed="rId8"/>
        <a:stretch>
          <a:fillRect/>
        </a:stretch>
      </xdr:blipFill>
      <xdr:spPr>
        <a:xfrm>
          <a:off x="36649572" y="18111951"/>
          <a:ext cx="3781268" cy="1441669"/>
        </a:xfrm>
        <a:prstGeom prst="rect">
          <a:avLst/>
        </a:prstGeom>
      </xdr:spPr>
    </xdr:pic>
    <xdr:clientData/>
  </xdr:twoCellAnchor>
  <xdr:twoCellAnchor editAs="oneCell">
    <xdr:from>
      <xdr:col>53</xdr:col>
      <xdr:colOff>0</xdr:colOff>
      <xdr:row>50</xdr:row>
      <xdr:rowOff>0</xdr:rowOff>
    </xdr:from>
    <xdr:to>
      <xdr:col>58</xdr:col>
      <xdr:colOff>609017</xdr:colOff>
      <xdr:row>62</xdr:row>
      <xdr:rowOff>4990</xdr:rowOff>
    </xdr:to>
    <xdr:pic>
      <xdr:nvPicPr>
        <xdr:cNvPr id="13" name="Picture 12">
          <a:extLst>
            <a:ext uri="{FF2B5EF4-FFF2-40B4-BE49-F238E27FC236}">
              <a16:creationId xmlns:a16="http://schemas.microsoft.com/office/drawing/2014/main" id="{6D15FB2F-639E-5A47-ACE3-AFFD179E047F}"/>
            </a:ext>
          </a:extLst>
        </xdr:cNvPr>
        <xdr:cNvPicPr>
          <a:picLocks noChangeAspect="1"/>
        </xdr:cNvPicPr>
      </xdr:nvPicPr>
      <xdr:blipFill>
        <a:blip xmlns:r="http://schemas.openxmlformats.org/officeDocument/2006/relationships" r:embed="rId9"/>
        <a:stretch>
          <a:fillRect/>
        </a:stretch>
      </xdr:blipFill>
      <xdr:spPr>
        <a:xfrm>
          <a:off x="68821300" y="18288000"/>
          <a:ext cx="4800018" cy="2273300"/>
        </a:xfrm>
        <a:prstGeom prst="rect">
          <a:avLst/>
        </a:prstGeom>
      </xdr:spPr>
    </xdr:pic>
    <xdr:clientData/>
  </xdr:twoCellAnchor>
  <xdr:twoCellAnchor editAs="oneCell">
    <xdr:from>
      <xdr:col>59</xdr:col>
      <xdr:colOff>0</xdr:colOff>
      <xdr:row>50</xdr:row>
      <xdr:rowOff>0</xdr:rowOff>
    </xdr:from>
    <xdr:to>
      <xdr:col>64</xdr:col>
      <xdr:colOff>711199</xdr:colOff>
      <xdr:row>61</xdr:row>
      <xdr:rowOff>751</xdr:rowOff>
    </xdr:to>
    <xdr:pic>
      <xdr:nvPicPr>
        <xdr:cNvPr id="15" name="Picture 14">
          <a:extLst>
            <a:ext uri="{FF2B5EF4-FFF2-40B4-BE49-F238E27FC236}">
              <a16:creationId xmlns:a16="http://schemas.microsoft.com/office/drawing/2014/main" id="{A45F3431-2A48-154C-BFCB-EFB73E060337}"/>
            </a:ext>
          </a:extLst>
        </xdr:cNvPr>
        <xdr:cNvPicPr>
          <a:picLocks noChangeAspect="1"/>
        </xdr:cNvPicPr>
      </xdr:nvPicPr>
      <xdr:blipFill>
        <a:blip xmlns:r="http://schemas.openxmlformats.org/officeDocument/2006/relationships" r:embed="rId10"/>
        <a:stretch>
          <a:fillRect/>
        </a:stretch>
      </xdr:blipFill>
      <xdr:spPr>
        <a:xfrm>
          <a:off x="73835172" y="18108448"/>
          <a:ext cx="4871544" cy="2103673"/>
        </a:xfrm>
        <a:prstGeom prst="rect">
          <a:avLst/>
        </a:prstGeom>
      </xdr:spPr>
    </xdr:pic>
    <xdr:clientData/>
  </xdr:twoCellAnchor>
  <xdr:twoCellAnchor editAs="oneCell">
    <xdr:from>
      <xdr:col>53</xdr:col>
      <xdr:colOff>220133</xdr:colOff>
      <xdr:row>65</xdr:row>
      <xdr:rowOff>84667</xdr:rowOff>
    </xdr:from>
    <xdr:to>
      <xdr:col>62</xdr:col>
      <xdr:colOff>448731</xdr:colOff>
      <xdr:row>75</xdr:row>
      <xdr:rowOff>134069</xdr:rowOff>
    </xdr:to>
    <xdr:pic>
      <xdr:nvPicPr>
        <xdr:cNvPr id="39" name="Picture 8">
          <a:extLst>
            <a:ext uri="{FF2B5EF4-FFF2-40B4-BE49-F238E27FC236}">
              <a16:creationId xmlns:a16="http://schemas.microsoft.com/office/drawing/2014/main" id="{97E58762-1AEE-C24C-B558-B67208B90C44}"/>
            </a:ext>
          </a:extLst>
        </xdr:cNvPr>
        <xdr:cNvPicPr>
          <a:picLocks noChangeAspect="1"/>
        </xdr:cNvPicPr>
      </xdr:nvPicPr>
      <xdr:blipFill>
        <a:blip xmlns:r="http://schemas.openxmlformats.org/officeDocument/2006/relationships" r:embed="rId11"/>
        <a:stretch>
          <a:fillRect/>
        </a:stretch>
      </xdr:blipFill>
      <xdr:spPr>
        <a:xfrm>
          <a:off x="99870683" y="17820217"/>
          <a:ext cx="7772398" cy="2144902"/>
        </a:xfrm>
        <a:prstGeom prst="rect">
          <a:avLst/>
        </a:prstGeom>
      </xdr:spPr>
    </xdr:pic>
    <xdr:clientData/>
  </xdr:twoCellAnchor>
  <xdr:twoCellAnchor editAs="oneCell">
    <xdr:from>
      <xdr:col>62</xdr:col>
      <xdr:colOff>582083</xdr:colOff>
      <xdr:row>62</xdr:row>
      <xdr:rowOff>674158</xdr:rowOff>
    </xdr:from>
    <xdr:to>
      <xdr:col>71</xdr:col>
      <xdr:colOff>810681</xdr:colOff>
      <xdr:row>83</xdr:row>
      <xdr:rowOff>41025</xdr:rowOff>
    </xdr:to>
    <xdr:pic>
      <xdr:nvPicPr>
        <xdr:cNvPr id="41" name="Picture 9">
          <a:extLst>
            <a:ext uri="{FF2B5EF4-FFF2-40B4-BE49-F238E27FC236}">
              <a16:creationId xmlns:a16="http://schemas.microsoft.com/office/drawing/2014/main" id="{EDA8B974-DDAB-D34D-9AE7-3D146C1591A7}"/>
            </a:ext>
          </a:extLst>
        </xdr:cNvPr>
        <xdr:cNvPicPr>
          <a:picLocks noChangeAspect="1"/>
        </xdr:cNvPicPr>
      </xdr:nvPicPr>
      <xdr:blipFill>
        <a:blip xmlns:r="http://schemas.openxmlformats.org/officeDocument/2006/relationships" r:embed="rId12"/>
        <a:stretch>
          <a:fillRect/>
        </a:stretch>
      </xdr:blipFill>
      <xdr:spPr>
        <a:xfrm>
          <a:off x="107776433" y="17152408"/>
          <a:ext cx="7772398" cy="4415117"/>
        </a:xfrm>
        <a:prstGeom prst="rect">
          <a:avLst/>
        </a:prstGeom>
      </xdr:spPr>
    </xdr:pic>
    <xdr:clientData/>
  </xdr:twoCellAnchor>
  <xdr:twoCellAnchor editAs="oneCell">
    <xdr:from>
      <xdr:col>71</xdr:col>
      <xdr:colOff>791943</xdr:colOff>
      <xdr:row>62</xdr:row>
      <xdr:rowOff>629757</xdr:rowOff>
    </xdr:from>
    <xdr:to>
      <xdr:col>78</xdr:col>
      <xdr:colOff>587116</xdr:colOff>
      <xdr:row>81</xdr:row>
      <xdr:rowOff>120719</xdr:rowOff>
    </xdr:to>
    <xdr:pic>
      <xdr:nvPicPr>
        <xdr:cNvPr id="20" name="Picture 40">
          <a:extLst>
            <a:ext uri="{FF2B5EF4-FFF2-40B4-BE49-F238E27FC236}">
              <a16:creationId xmlns:a16="http://schemas.microsoft.com/office/drawing/2014/main" id="{A835B7C3-1BE6-A641-A73E-2F589D684677}"/>
            </a:ext>
          </a:extLst>
        </xdr:cNvPr>
        <xdr:cNvPicPr>
          <a:picLocks noChangeAspect="1"/>
        </xdr:cNvPicPr>
      </xdr:nvPicPr>
      <xdr:blipFill>
        <a:blip xmlns:r="http://schemas.openxmlformats.org/officeDocument/2006/relationships" r:embed="rId13"/>
        <a:stretch>
          <a:fillRect/>
        </a:stretch>
      </xdr:blipFill>
      <xdr:spPr>
        <a:xfrm>
          <a:off x="115530093" y="17108007"/>
          <a:ext cx="5662573" cy="4120112"/>
        </a:xfrm>
        <a:prstGeom prst="rect">
          <a:avLst/>
        </a:prstGeom>
      </xdr:spPr>
    </xdr:pic>
    <xdr:clientData/>
  </xdr:twoCellAnchor>
  <xdr:twoCellAnchor editAs="oneCell">
    <xdr:from>
      <xdr:col>32</xdr:col>
      <xdr:colOff>3580810</xdr:colOff>
      <xdr:row>278</xdr:row>
      <xdr:rowOff>515679</xdr:rowOff>
    </xdr:from>
    <xdr:to>
      <xdr:col>32</xdr:col>
      <xdr:colOff>5312899</xdr:colOff>
      <xdr:row>281</xdr:row>
      <xdr:rowOff>99784</xdr:rowOff>
    </xdr:to>
    <xdr:pic>
      <xdr:nvPicPr>
        <xdr:cNvPr id="10" name="Picture 9">
          <a:extLst>
            <a:ext uri="{FF2B5EF4-FFF2-40B4-BE49-F238E27FC236}">
              <a16:creationId xmlns:a16="http://schemas.microsoft.com/office/drawing/2014/main" id="{C023F330-3416-EE45-A024-D8AEF5165270}"/>
            </a:ext>
          </a:extLst>
        </xdr:cNvPr>
        <xdr:cNvPicPr>
          <a:picLocks noChangeAspect="1"/>
        </xdr:cNvPicPr>
      </xdr:nvPicPr>
      <xdr:blipFill>
        <a:blip xmlns:r="http://schemas.openxmlformats.org/officeDocument/2006/relationships" r:embed="rId14"/>
        <a:stretch>
          <a:fillRect/>
        </a:stretch>
      </xdr:blipFill>
      <xdr:spPr>
        <a:xfrm>
          <a:off x="47624410" y="72042079"/>
          <a:ext cx="1732089" cy="1743107"/>
        </a:xfrm>
        <a:prstGeom prst="rect">
          <a:avLst/>
        </a:prstGeom>
      </xdr:spPr>
    </xdr:pic>
    <xdr:clientData/>
  </xdr:twoCellAnchor>
  <xdr:twoCellAnchor editAs="oneCell">
    <xdr:from>
      <xdr:col>32</xdr:col>
      <xdr:colOff>34556</xdr:colOff>
      <xdr:row>278</xdr:row>
      <xdr:rowOff>435934</xdr:rowOff>
    </xdr:from>
    <xdr:to>
      <xdr:col>32</xdr:col>
      <xdr:colOff>3314700</xdr:colOff>
      <xdr:row>281</xdr:row>
      <xdr:rowOff>180216</xdr:rowOff>
    </xdr:to>
    <xdr:pic>
      <xdr:nvPicPr>
        <xdr:cNvPr id="18" name="Picture 17">
          <a:extLst>
            <a:ext uri="{FF2B5EF4-FFF2-40B4-BE49-F238E27FC236}">
              <a16:creationId xmlns:a16="http://schemas.microsoft.com/office/drawing/2014/main" id="{34A1739D-DAEC-5B41-A775-5EF597E6D22C}"/>
            </a:ext>
          </a:extLst>
        </xdr:cNvPr>
        <xdr:cNvPicPr>
          <a:picLocks noChangeAspect="1"/>
        </xdr:cNvPicPr>
      </xdr:nvPicPr>
      <xdr:blipFill>
        <a:blip xmlns:r="http://schemas.openxmlformats.org/officeDocument/2006/relationships" r:embed="rId15"/>
        <a:stretch>
          <a:fillRect/>
        </a:stretch>
      </xdr:blipFill>
      <xdr:spPr>
        <a:xfrm>
          <a:off x="44078156" y="71962334"/>
          <a:ext cx="3280144" cy="1903284"/>
        </a:xfrm>
        <a:prstGeom prst="rect">
          <a:avLst/>
        </a:prstGeom>
      </xdr:spPr>
    </xdr:pic>
    <xdr:clientData/>
  </xdr:twoCellAnchor>
  <xdr:twoCellAnchor editAs="oneCell">
    <xdr:from>
      <xdr:col>32</xdr:col>
      <xdr:colOff>1416844</xdr:colOff>
      <xdr:row>283</xdr:row>
      <xdr:rowOff>124936</xdr:rowOff>
    </xdr:from>
    <xdr:to>
      <xdr:col>32</xdr:col>
      <xdr:colOff>4460081</xdr:colOff>
      <xdr:row>288</xdr:row>
      <xdr:rowOff>130666</xdr:rowOff>
    </xdr:to>
    <xdr:pic>
      <xdr:nvPicPr>
        <xdr:cNvPr id="9" name="Picture 8">
          <a:extLst>
            <a:ext uri="{FF2B5EF4-FFF2-40B4-BE49-F238E27FC236}">
              <a16:creationId xmlns:a16="http://schemas.microsoft.com/office/drawing/2014/main" id="{141D74C3-EDFD-4705-9EC3-8C4E58193B56}"/>
            </a:ext>
            <a:ext uri="{147F2762-F138-4A5C-976F-8EAC2B608ADB}">
              <a16:predDERef xmlns:a16="http://schemas.microsoft.com/office/drawing/2014/main" pred="{34A1739D-DAEC-5B41-A775-5EF597E6D22C}"/>
            </a:ext>
          </a:extLst>
        </xdr:cNvPr>
        <xdr:cNvPicPr>
          <a:picLocks noChangeAspect="1"/>
        </xdr:cNvPicPr>
      </xdr:nvPicPr>
      <xdr:blipFill>
        <a:blip xmlns:r="http://schemas.openxmlformats.org/officeDocument/2006/relationships" r:embed="rId16"/>
        <a:stretch>
          <a:fillRect/>
        </a:stretch>
      </xdr:blipFill>
      <xdr:spPr>
        <a:xfrm>
          <a:off x="49101375" y="65049717"/>
          <a:ext cx="3043237" cy="2077419"/>
        </a:xfrm>
        <a:prstGeom prst="rect">
          <a:avLst/>
        </a:prstGeom>
      </xdr:spPr>
    </xdr:pic>
    <xdr:clientData/>
  </xdr:twoCellAnchor>
  <xdr:twoCellAnchor editAs="oneCell">
    <xdr:from>
      <xdr:col>48</xdr:col>
      <xdr:colOff>53976</xdr:colOff>
      <xdr:row>294</xdr:row>
      <xdr:rowOff>111125</xdr:rowOff>
    </xdr:from>
    <xdr:to>
      <xdr:col>48</xdr:col>
      <xdr:colOff>3673476</xdr:colOff>
      <xdr:row>303</xdr:row>
      <xdr:rowOff>67132</xdr:rowOff>
    </xdr:to>
    <xdr:pic>
      <xdr:nvPicPr>
        <xdr:cNvPr id="19" name="Picture 18">
          <a:extLst>
            <a:ext uri="{FF2B5EF4-FFF2-40B4-BE49-F238E27FC236}">
              <a16:creationId xmlns:a16="http://schemas.microsoft.com/office/drawing/2014/main" id="{4098CD00-1480-3D48-9185-BAAA9DB9354E}"/>
            </a:ext>
          </a:extLst>
        </xdr:cNvPr>
        <xdr:cNvPicPr>
          <a:picLocks noChangeAspect="1"/>
        </xdr:cNvPicPr>
      </xdr:nvPicPr>
      <xdr:blipFill>
        <a:blip xmlns:r="http://schemas.openxmlformats.org/officeDocument/2006/relationships" r:embed="rId17"/>
        <a:stretch>
          <a:fillRect/>
        </a:stretch>
      </xdr:blipFill>
      <xdr:spPr>
        <a:xfrm>
          <a:off x="81980882" y="68345844"/>
          <a:ext cx="3619500" cy="1813381"/>
        </a:xfrm>
        <a:prstGeom prst="rect">
          <a:avLst/>
        </a:prstGeom>
      </xdr:spPr>
    </xdr:pic>
    <xdr:clientData/>
  </xdr:twoCellAnchor>
  <xdr:twoCellAnchor editAs="oneCell">
    <xdr:from>
      <xdr:col>47</xdr:col>
      <xdr:colOff>109248</xdr:colOff>
      <xdr:row>289</xdr:row>
      <xdr:rowOff>52712</xdr:rowOff>
    </xdr:from>
    <xdr:to>
      <xdr:col>47</xdr:col>
      <xdr:colOff>3919248</xdr:colOff>
      <xdr:row>303</xdr:row>
      <xdr:rowOff>142071</xdr:rowOff>
    </xdr:to>
    <xdr:pic>
      <xdr:nvPicPr>
        <xdr:cNvPr id="24" name="Picture 23">
          <a:extLst>
            <a:ext uri="{FF2B5EF4-FFF2-40B4-BE49-F238E27FC236}">
              <a16:creationId xmlns:a16="http://schemas.microsoft.com/office/drawing/2014/main" id="{498EA470-3364-F345-B165-FCFF9E9014D2}"/>
            </a:ext>
          </a:extLst>
        </xdr:cNvPr>
        <xdr:cNvPicPr>
          <a:picLocks noChangeAspect="1"/>
        </xdr:cNvPicPr>
      </xdr:nvPicPr>
      <xdr:blipFill>
        <a:blip xmlns:r="http://schemas.openxmlformats.org/officeDocument/2006/relationships" r:embed="rId18"/>
        <a:stretch>
          <a:fillRect/>
        </a:stretch>
      </xdr:blipFill>
      <xdr:spPr>
        <a:xfrm>
          <a:off x="54173011" y="65409916"/>
          <a:ext cx="3810000" cy="2929793"/>
        </a:xfrm>
        <a:prstGeom prst="rect">
          <a:avLst/>
        </a:prstGeom>
      </xdr:spPr>
    </xdr:pic>
    <xdr:clientData/>
  </xdr:twoCellAnchor>
  <xdr:twoCellAnchor editAs="oneCell">
    <xdr:from>
      <xdr:col>32</xdr:col>
      <xdr:colOff>118801</xdr:colOff>
      <xdr:row>309</xdr:row>
      <xdr:rowOff>35534</xdr:rowOff>
    </xdr:from>
    <xdr:to>
      <xdr:col>32</xdr:col>
      <xdr:colOff>2302727</xdr:colOff>
      <xdr:row>317</xdr:row>
      <xdr:rowOff>12367</xdr:rowOff>
    </xdr:to>
    <xdr:pic>
      <xdr:nvPicPr>
        <xdr:cNvPr id="27" name="Picture 26">
          <a:extLst>
            <a:ext uri="{FF2B5EF4-FFF2-40B4-BE49-F238E27FC236}">
              <a16:creationId xmlns:a16="http://schemas.microsoft.com/office/drawing/2014/main" id="{0014D4CA-9689-DF43-8D9B-5132267CCF59}"/>
            </a:ext>
          </a:extLst>
        </xdr:cNvPr>
        <xdr:cNvPicPr>
          <a:picLocks noChangeAspect="1"/>
        </xdr:cNvPicPr>
      </xdr:nvPicPr>
      <xdr:blipFill>
        <a:blip xmlns:r="http://schemas.openxmlformats.org/officeDocument/2006/relationships" r:embed="rId19"/>
        <a:stretch>
          <a:fillRect/>
        </a:stretch>
      </xdr:blipFill>
      <xdr:spPr>
        <a:xfrm>
          <a:off x="47803332" y="73389940"/>
          <a:ext cx="2183926" cy="1596083"/>
        </a:xfrm>
        <a:prstGeom prst="rect">
          <a:avLst/>
        </a:prstGeom>
      </xdr:spPr>
    </xdr:pic>
    <xdr:clientData/>
  </xdr:twoCellAnchor>
  <xdr:twoCellAnchor editAs="oneCell">
    <xdr:from>
      <xdr:col>32</xdr:col>
      <xdr:colOff>2492041</xdr:colOff>
      <xdr:row>309</xdr:row>
      <xdr:rowOff>47514</xdr:rowOff>
    </xdr:from>
    <xdr:to>
      <xdr:col>32</xdr:col>
      <xdr:colOff>5238704</xdr:colOff>
      <xdr:row>316</xdr:row>
      <xdr:rowOff>13345</xdr:rowOff>
    </xdr:to>
    <xdr:pic>
      <xdr:nvPicPr>
        <xdr:cNvPr id="28" name="Picture 27">
          <a:extLst>
            <a:ext uri="{FF2B5EF4-FFF2-40B4-BE49-F238E27FC236}">
              <a16:creationId xmlns:a16="http://schemas.microsoft.com/office/drawing/2014/main" id="{C195BA9A-AF6B-AA41-BB69-32C0B8A742E0}"/>
            </a:ext>
          </a:extLst>
        </xdr:cNvPr>
        <xdr:cNvPicPr>
          <a:picLocks noChangeAspect="1"/>
        </xdr:cNvPicPr>
      </xdr:nvPicPr>
      <xdr:blipFill>
        <a:blip xmlns:r="http://schemas.openxmlformats.org/officeDocument/2006/relationships" r:embed="rId20"/>
        <a:stretch>
          <a:fillRect/>
        </a:stretch>
      </xdr:blipFill>
      <xdr:spPr>
        <a:xfrm>
          <a:off x="50176572" y="73401920"/>
          <a:ext cx="2746663" cy="1394582"/>
        </a:xfrm>
        <a:prstGeom prst="rect">
          <a:avLst/>
        </a:prstGeom>
      </xdr:spPr>
    </xdr:pic>
    <xdr:clientData/>
  </xdr:twoCellAnchor>
  <xdr:twoCellAnchor editAs="oneCell">
    <xdr:from>
      <xdr:col>32</xdr:col>
      <xdr:colOff>304800</xdr:colOff>
      <xdr:row>317</xdr:row>
      <xdr:rowOff>1047750</xdr:rowOff>
    </xdr:from>
    <xdr:to>
      <xdr:col>32</xdr:col>
      <xdr:colOff>4581525</xdr:colOff>
      <xdr:row>331</xdr:row>
      <xdr:rowOff>615232</xdr:rowOff>
    </xdr:to>
    <xdr:pic>
      <xdr:nvPicPr>
        <xdr:cNvPr id="30" name="Picture 28">
          <a:extLst>
            <a:ext uri="{FF2B5EF4-FFF2-40B4-BE49-F238E27FC236}">
              <a16:creationId xmlns:a16="http://schemas.microsoft.com/office/drawing/2014/main" id="{17825832-6FEB-4868-8217-82CEFECC2288}"/>
            </a:ext>
            <a:ext uri="{147F2762-F138-4A5C-976F-8EAC2B608ADB}">
              <a16:predDERef xmlns:a16="http://schemas.microsoft.com/office/drawing/2014/main" pred="{C195BA9A-AF6B-AA41-BB69-32C0B8A742E0}"/>
            </a:ext>
          </a:extLst>
        </xdr:cNvPr>
        <xdr:cNvPicPr>
          <a:picLocks noChangeAspect="1"/>
        </xdr:cNvPicPr>
      </xdr:nvPicPr>
      <xdr:blipFill>
        <a:blip xmlns:r="http://schemas.openxmlformats.org/officeDocument/2006/relationships" r:embed="rId21"/>
        <a:stretch>
          <a:fillRect/>
        </a:stretch>
      </xdr:blipFill>
      <xdr:spPr>
        <a:xfrm>
          <a:off x="39033450" y="70161150"/>
          <a:ext cx="4276725" cy="3429000"/>
        </a:xfrm>
        <a:prstGeom prst="rect">
          <a:avLst/>
        </a:prstGeom>
      </xdr:spPr>
    </xdr:pic>
    <xdr:clientData/>
  </xdr:twoCellAnchor>
  <xdr:twoCellAnchor editAs="oneCell">
    <xdr:from>
      <xdr:col>53</xdr:col>
      <xdr:colOff>61912</xdr:colOff>
      <xdr:row>317</xdr:row>
      <xdr:rowOff>111919</xdr:rowOff>
    </xdr:from>
    <xdr:to>
      <xdr:col>56</xdr:col>
      <xdr:colOff>423859</xdr:colOff>
      <xdr:row>331</xdr:row>
      <xdr:rowOff>703932</xdr:rowOff>
    </xdr:to>
    <xdr:pic>
      <xdr:nvPicPr>
        <xdr:cNvPr id="32" name="Picture 29">
          <a:extLst>
            <a:ext uri="{FF2B5EF4-FFF2-40B4-BE49-F238E27FC236}">
              <a16:creationId xmlns:a16="http://schemas.microsoft.com/office/drawing/2014/main" id="{C6BF2933-E5F6-445F-BE79-31FA26115788}"/>
            </a:ext>
            <a:ext uri="{147F2762-F138-4A5C-976F-8EAC2B608ADB}">
              <a16:predDERef xmlns:a16="http://schemas.microsoft.com/office/drawing/2014/main" pred="{17825832-6FEB-4868-8217-82CEFECC2288}"/>
            </a:ext>
          </a:extLst>
        </xdr:cNvPr>
        <xdr:cNvPicPr>
          <a:picLocks noChangeAspect="1"/>
        </xdr:cNvPicPr>
      </xdr:nvPicPr>
      <xdr:blipFill>
        <a:blip xmlns:r="http://schemas.openxmlformats.org/officeDocument/2006/relationships" r:embed="rId22"/>
        <a:stretch>
          <a:fillRect/>
        </a:stretch>
      </xdr:blipFill>
      <xdr:spPr>
        <a:xfrm>
          <a:off x="99312412" y="75109388"/>
          <a:ext cx="2862260" cy="4723483"/>
        </a:xfrm>
        <a:prstGeom prst="rect">
          <a:avLst/>
        </a:prstGeom>
      </xdr:spPr>
    </xdr:pic>
    <xdr:clientData/>
  </xdr:twoCellAnchor>
  <xdr:twoCellAnchor editAs="oneCell">
    <xdr:from>
      <xdr:col>47</xdr:col>
      <xdr:colOff>337889</xdr:colOff>
      <xdr:row>269</xdr:row>
      <xdr:rowOff>69908</xdr:rowOff>
    </xdr:from>
    <xdr:to>
      <xdr:col>47</xdr:col>
      <xdr:colOff>3390551</xdr:colOff>
      <xdr:row>278</xdr:row>
      <xdr:rowOff>11419</xdr:rowOff>
    </xdr:to>
    <xdr:pic>
      <xdr:nvPicPr>
        <xdr:cNvPr id="29" name="Picture 28">
          <a:extLst>
            <a:ext uri="{FF2B5EF4-FFF2-40B4-BE49-F238E27FC236}">
              <a16:creationId xmlns:a16="http://schemas.microsoft.com/office/drawing/2014/main" id="{19DC3110-9D00-C94F-907E-8BE7920DBBCC}"/>
            </a:ext>
          </a:extLst>
        </xdr:cNvPr>
        <xdr:cNvPicPr>
          <a:picLocks noChangeAspect="1"/>
        </xdr:cNvPicPr>
      </xdr:nvPicPr>
      <xdr:blipFill>
        <a:blip xmlns:r="http://schemas.openxmlformats.org/officeDocument/2006/relationships" r:embed="rId23"/>
        <a:stretch>
          <a:fillRect/>
        </a:stretch>
      </xdr:blipFill>
      <xdr:spPr>
        <a:xfrm>
          <a:off x="58082109" y="58047156"/>
          <a:ext cx="3052662" cy="1720250"/>
        </a:xfrm>
        <a:prstGeom prst="rect">
          <a:avLst/>
        </a:prstGeom>
      </xdr:spPr>
    </xdr:pic>
    <xdr:clientData/>
  </xdr:twoCellAnchor>
  <xdr:twoCellAnchor>
    <xdr:from>
      <xdr:col>48</xdr:col>
      <xdr:colOff>133350</xdr:colOff>
      <xdr:row>212</xdr:row>
      <xdr:rowOff>146050</xdr:rowOff>
    </xdr:from>
    <xdr:to>
      <xdr:col>49</xdr:col>
      <xdr:colOff>690511</xdr:colOff>
      <xdr:row>241</xdr:row>
      <xdr:rowOff>125225</xdr:rowOff>
    </xdr:to>
    <xdr:graphicFrame macro="">
      <xdr:nvGraphicFramePr>
        <xdr:cNvPr id="74" name="Chart 73">
          <a:extLst>
            <a:ext uri="{FF2B5EF4-FFF2-40B4-BE49-F238E27FC236}">
              <a16:creationId xmlns:a16="http://schemas.microsoft.com/office/drawing/2014/main" id="{1688A23F-4F53-9F4E-91C4-12BF2E81B827}"/>
            </a:ext>
            <a:ext uri="{147F2762-F138-4A5C-976F-8EAC2B608ADB}">
              <a16:predDERef xmlns:a16="http://schemas.microsoft.com/office/drawing/2014/main" pred="{19DC3110-9D00-C94F-907E-8BE7920DB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53</xdr:col>
      <xdr:colOff>321469</xdr:colOff>
      <xdr:row>264</xdr:row>
      <xdr:rowOff>95249</xdr:rowOff>
    </xdr:from>
    <xdr:to>
      <xdr:col>57</xdr:col>
      <xdr:colOff>778667</xdr:colOff>
      <xdr:row>270</xdr:row>
      <xdr:rowOff>47227</xdr:rowOff>
    </xdr:to>
    <xdr:pic>
      <xdr:nvPicPr>
        <xdr:cNvPr id="90" name="Picture 50">
          <a:extLst>
            <a:ext uri="{FF2B5EF4-FFF2-40B4-BE49-F238E27FC236}">
              <a16:creationId xmlns:a16="http://schemas.microsoft.com/office/drawing/2014/main" id="{79B3DF5C-E1A1-4FD6-BFF3-FF924DC1E38C}"/>
            </a:ext>
            <a:ext uri="{147F2762-F138-4A5C-976F-8EAC2B608ADB}">
              <a16:predDERef xmlns:a16="http://schemas.microsoft.com/office/drawing/2014/main" pred="{BA69DEE7-35A8-4159-8F8A-1CED46206AD5}"/>
            </a:ext>
          </a:extLst>
        </xdr:cNvPr>
        <xdr:cNvPicPr>
          <a:picLocks noChangeAspect="1"/>
        </xdr:cNvPicPr>
      </xdr:nvPicPr>
      <xdr:blipFill>
        <a:blip xmlns:r="http://schemas.openxmlformats.org/officeDocument/2006/relationships" r:embed="rId25"/>
        <a:stretch>
          <a:fillRect/>
        </a:stretch>
      </xdr:blipFill>
      <xdr:spPr>
        <a:xfrm>
          <a:off x="99571969" y="58423968"/>
          <a:ext cx="3790948" cy="2499915"/>
        </a:xfrm>
        <a:prstGeom prst="rect">
          <a:avLst/>
        </a:prstGeom>
      </xdr:spPr>
    </xdr:pic>
    <xdr:clientData/>
  </xdr:twoCellAnchor>
  <xdr:twoCellAnchor editAs="oneCell">
    <xdr:from>
      <xdr:col>37</xdr:col>
      <xdr:colOff>774922</xdr:colOff>
      <xdr:row>137</xdr:row>
      <xdr:rowOff>167104</xdr:rowOff>
    </xdr:from>
    <xdr:to>
      <xdr:col>37</xdr:col>
      <xdr:colOff>4210049</xdr:colOff>
      <xdr:row>164</xdr:row>
      <xdr:rowOff>148932</xdr:rowOff>
    </xdr:to>
    <xdr:pic>
      <xdr:nvPicPr>
        <xdr:cNvPr id="78" name="Picture 20">
          <a:extLst>
            <a:ext uri="{FF2B5EF4-FFF2-40B4-BE49-F238E27FC236}">
              <a16:creationId xmlns:a16="http://schemas.microsoft.com/office/drawing/2014/main" id="{790D9958-9B6D-3548-AC04-920CCEDEE534}"/>
            </a:ext>
          </a:extLst>
        </xdr:cNvPr>
        <xdr:cNvPicPr>
          <a:picLocks noChangeAspect="1"/>
        </xdr:cNvPicPr>
      </xdr:nvPicPr>
      <xdr:blipFill>
        <a:blip xmlns:r="http://schemas.openxmlformats.org/officeDocument/2006/relationships" r:embed="rId26"/>
        <a:stretch>
          <a:fillRect/>
        </a:stretch>
      </xdr:blipFill>
      <xdr:spPr>
        <a:xfrm>
          <a:off x="58686922" y="33009304"/>
          <a:ext cx="3435127" cy="5639678"/>
        </a:xfrm>
        <a:prstGeom prst="rect">
          <a:avLst/>
        </a:prstGeom>
      </xdr:spPr>
    </xdr:pic>
    <xdr:clientData/>
  </xdr:twoCellAnchor>
  <xdr:twoCellAnchor editAs="oneCell">
    <xdr:from>
      <xdr:col>50</xdr:col>
      <xdr:colOff>228781</xdr:colOff>
      <xdr:row>378</xdr:row>
      <xdr:rowOff>113447</xdr:rowOff>
    </xdr:from>
    <xdr:to>
      <xdr:col>50</xdr:col>
      <xdr:colOff>2450700</xdr:colOff>
      <xdr:row>387</xdr:row>
      <xdr:rowOff>27025</xdr:rowOff>
    </xdr:to>
    <xdr:pic>
      <xdr:nvPicPr>
        <xdr:cNvPr id="14" name="Picture 13">
          <a:extLst>
            <a:ext uri="{FF2B5EF4-FFF2-40B4-BE49-F238E27FC236}">
              <a16:creationId xmlns:a16="http://schemas.microsoft.com/office/drawing/2014/main" id="{621D54FE-9934-3844-86F0-E9136DAE9900}"/>
            </a:ext>
          </a:extLst>
        </xdr:cNvPr>
        <xdr:cNvPicPr>
          <a:picLocks noChangeAspect="1"/>
        </xdr:cNvPicPr>
      </xdr:nvPicPr>
      <xdr:blipFill>
        <a:blip xmlns:r="http://schemas.openxmlformats.org/officeDocument/2006/relationships" r:embed="rId27"/>
        <a:stretch>
          <a:fillRect/>
        </a:stretch>
      </xdr:blipFill>
      <xdr:spPr>
        <a:xfrm>
          <a:off x="91930719" y="89350791"/>
          <a:ext cx="2221919" cy="1735234"/>
        </a:xfrm>
        <a:prstGeom prst="rect">
          <a:avLst/>
        </a:prstGeom>
      </xdr:spPr>
    </xdr:pic>
    <xdr:clientData/>
  </xdr:twoCellAnchor>
  <xdr:twoCellAnchor editAs="oneCell">
    <xdr:from>
      <xdr:col>50</xdr:col>
      <xdr:colOff>2742406</xdr:colOff>
      <xdr:row>378</xdr:row>
      <xdr:rowOff>77787</xdr:rowOff>
    </xdr:from>
    <xdr:to>
      <xdr:col>50</xdr:col>
      <xdr:colOff>4901406</xdr:colOff>
      <xdr:row>387</xdr:row>
      <xdr:rowOff>43992</xdr:rowOff>
    </xdr:to>
    <xdr:pic>
      <xdr:nvPicPr>
        <xdr:cNvPr id="72" name="Picture 71">
          <a:extLst>
            <a:ext uri="{FF2B5EF4-FFF2-40B4-BE49-F238E27FC236}">
              <a16:creationId xmlns:a16="http://schemas.microsoft.com/office/drawing/2014/main" id="{A45E51F9-DD4E-5D45-80B5-4E2A6249728A}"/>
            </a:ext>
          </a:extLst>
        </xdr:cNvPr>
        <xdr:cNvPicPr>
          <a:picLocks noChangeAspect="1"/>
        </xdr:cNvPicPr>
      </xdr:nvPicPr>
      <xdr:blipFill>
        <a:blip xmlns:r="http://schemas.openxmlformats.org/officeDocument/2006/relationships" r:embed="rId28"/>
        <a:stretch>
          <a:fillRect/>
        </a:stretch>
      </xdr:blipFill>
      <xdr:spPr>
        <a:xfrm>
          <a:off x="94444344" y="89315131"/>
          <a:ext cx="2159000" cy="1787861"/>
        </a:xfrm>
        <a:prstGeom prst="rect">
          <a:avLst/>
        </a:prstGeom>
      </xdr:spPr>
    </xdr:pic>
    <xdr:clientData/>
  </xdr:twoCellAnchor>
  <xdr:twoCellAnchor editAs="oneCell">
    <xdr:from>
      <xdr:col>31</xdr:col>
      <xdr:colOff>76200</xdr:colOff>
      <xdr:row>378</xdr:row>
      <xdr:rowOff>114300</xdr:rowOff>
    </xdr:from>
    <xdr:to>
      <xdr:col>31</xdr:col>
      <xdr:colOff>2222500</xdr:colOff>
      <xdr:row>387</xdr:row>
      <xdr:rowOff>112203</xdr:rowOff>
    </xdr:to>
    <xdr:pic>
      <xdr:nvPicPr>
        <xdr:cNvPr id="23" name="Picture 22">
          <a:extLst>
            <a:ext uri="{FF2B5EF4-FFF2-40B4-BE49-F238E27FC236}">
              <a16:creationId xmlns:a16="http://schemas.microsoft.com/office/drawing/2014/main" id="{B0082892-6B83-F64E-9153-996F11F4B457}"/>
            </a:ext>
          </a:extLst>
        </xdr:cNvPr>
        <xdr:cNvPicPr>
          <a:picLocks noChangeAspect="1"/>
        </xdr:cNvPicPr>
      </xdr:nvPicPr>
      <xdr:blipFill>
        <a:blip xmlns:r="http://schemas.openxmlformats.org/officeDocument/2006/relationships" r:embed="rId29"/>
        <a:stretch>
          <a:fillRect/>
        </a:stretch>
      </xdr:blipFill>
      <xdr:spPr>
        <a:xfrm>
          <a:off x="36779200" y="102616000"/>
          <a:ext cx="2146300" cy="1790418"/>
        </a:xfrm>
        <a:prstGeom prst="rect">
          <a:avLst/>
        </a:prstGeom>
      </xdr:spPr>
    </xdr:pic>
    <xdr:clientData/>
  </xdr:twoCellAnchor>
  <xdr:twoCellAnchor editAs="oneCell">
    <xdr:from>
      <xdr:col>48</xdr:col>
      <xdr:colOff>38100</xdr:colOff>
      <xdr:row>378</xdr:row>
      <xdr:rowOff>177801</xdr:rowOff>
    </xdr:from>
    <xdr:to>
      <xdr:col>48</xdr:col>
      <xdr:colOff>3477662</xdr:colOff>
      <xdr:row>387</xdr:row>
      <xdr:rowOff>175986</xdr:rowOff>
    </xdr:to>
    <xdr:pic>
      <xdr:nvPicPr>
        <xdr:cNvPr id="26" name="Picture 25">
          <a:extLst>
            <a:ext uri="{FF2B5EF4-FFF2-40B4-BE49-F238E27FC236}">
              <a16:creationId xmlns:a16="http://schemas.microsoft.com/office/drawing/2014/main" id="{D6362D07-7291-9141-983A-BB7F4948829B}"/>
            </a:ext>
          </a:extLst>
        </xdr:cNvPr>
        <xdr:cNvPicPr>
          <a:picLocks noChangeAspect="1"/>
        </xdr:cNvPicPr>
      </xdr:nvPicPr>
      <xdr:blipFill>
        <a:blip xmlns:r="http://schemas.openxmlformats.org/officeDocument/2006/relationships" r:embed="rId30"/>
        <a:stretch>
          <a:fillRect/>
        </a:stretch>
      </xdr:blipFill>
      <xdr:spPr>
        <a:xfrm>
          <a:off x="64058800" y="102679501"/>
          <a:ext cx="3439562" cy="1790700"/>
        </a:xfrm>
        <a:prstGeom prst="rect">
          <a:avLst/>
        </a:prstGeom>
      </xdr:spPr>
    </xdr:pic>
    <xdr:clientData/>
  </xdr:twoCellAnchor>
  <xdr:twoCellAnchor editAs="oneCell">
    <xdr:from>
      <xdr:col>56</xdr:col>
      <xdr:colOff>447675</xdr:colOff>
      <xdr:row>387</xdr:row>
      <xdr:rowOff>204788</xdr:rowOff>
    </xdr:from>
    <xdr:to>
      <xdr:col>60</xdr:col>
      <xdr:colOff>90486</xdr:colOff>
      <xdr:row>395</xdr:row>
      <xdr:rowOff>167597</xdr:rowOff>
    </xdr:to>
    <xdr:pic>
      <xdr:nvPicPr>
        <xdr:cNvPr id="44" name="Picture 16">
          <a:extLst>
            <a:ext uri="{FF2B5EF4-FFF2-40B4-BE49-F238E27FC236}">
              <a16:creationId xmlns:a16="http://schemas.microsoft.com/office/drawing/2014/main" id="{C36DAAED-C061-4226-875A-07F2B8569F48}"/>
            </a:ext>
            <a:ext uri="{147F2762-F138-4A5C-976F-8EAC2B608ADB}">
              <a16:predDERef xmlns:a16="http://schemas.microsoft.com/office/drawing/2014/main" pred="{D6362D07-7291-9141-983A-BB7F4948829B}"/>
            </a:ext>
          </a:extLst>
        </xdr:cNvPr>
        <xdr:cNvPicPr>
          <a:picLocks noChangeAspect="1"/>
        </xdr:cNvPicPr>
      </xdr:nvPicPr>
      <xdr:blipFill>
        <a:blip xmlns:r="http://schemas.openxmlformats.org/officeDocument/2006/relationships" r:embed="rId31"/>
        <a:stretch>
          <a:fillRect/>
        </a:stretch>
      </xdr:blipFill>
      <xdr:spPr>
        <a:xfrm>
          <a:off x="102198488" y="91263788"/>
          <a:ext cx="2976561" cy="2058309"/>
        </a:xfrm>
        <a:prstGeom prst="rect">
          <a:avLst/>
        </a:prstGeom>
      </xdr:spPr>
    </xdr:pic>
    <xdr:clientData/>
  </xdr:twoCellAnchor>
  <xdr:twoCellAnchor editAs="oneCell">
    <xdr:from>
      <xdr:col>53</xdr:col>
      <xdr:colOff>40410</xdr:colOff>
      <xdr:row>387</xdr:row>
      <xdr:rowOff>173833</xdr:rowOff>
    </xdr:from>
    <xdr:to>
      <xdr:col>56</xdr:col>
      <xdr:colOff>326158</xdr:colOff>
      <xdr:row>395</xdr:row>
      <xdr:rowOff>189710</xdr:rowOff>
    </xdr:to>
    <xdr:pic>
      <xdr:nvPicPr>
        <xdr:cNvPr id="40" name="Picture 30">
          <a:extLst>
            <a:ext uri="{FF2B5EF4-FFF2-40B4-BE49-F238E27FC236}">
              <a16:creationId xmlns:a16="http://schemas.microsoft.com/office/drawing/2014/main" id="{B3D090DD-DAB9-491E-9E45-DFD21F2A47EC}"/>
            </a:ext>
            <a:ext uri="{147F2762-F138-4A5C-976F-8EAC2B608ADB}">
              <a16:predDERef xmlns:a16="http://schemas.microsoft.com/office/drawing/2014/main" pred="{C36DAAED-C061-4226-875A-07F2B8569F48}"/>
            </a:ext>
          </a:extLst>
        </xdr:cNvPr>
        <xdr:cNvPicPr>
          <a:picLocks noChangeAspect="1"/>
        </xdr:cNvPicPr>
      </xdr:nvPicPr>
      <xdr:blipFill>
        <a:blip xmlns:r="http://schemas.openxmlformats.org/officeDocument/2006/relationships" r:embed="rId32"/>
        <a:stretch>
          <a:fillRect/>
        </a:stretch>
      </xdr:blipFill>
      <xdr:spPr>
        <a:xfrm>
          <a:off x="99290910" y="91232833"/>
          <a:ext cx="2786061" cy="2111377"/>
        </a:xfrm>
        <a:prstGeom prst="rect">
          <a:avLst/>
        </a:prstGeom>
      </xdr:spPr>
    </xdr:pic>
    <xdr:clientData/>
  </xdr:twoCellAnchor>
  <xdr:twoCellAnchor editAs="oneCell">
    <xdr:from>
      <xdr:col>53</xdr:col>
      <xdr:colOff>57150</xdr:colOff>
      <xdr:row>396</xdr:row>
      <xdr:rowOff>52387</xdr:rowOff>
    </xdr:from>
    <xdr:to>
      <xdr:col>56</xdr:col>
      <xdr:colOff>335903</xdr:colOff>
      <xdr:row>401</xdr:row>
      <xdr:rowOff>137657</xdr:rowOff>
    </xdr:to>
    <xdr:pic>
      <xdr:nvPicPr>
        <xdr:cNvPr id="17" name="Picture 16">
          <a:extLst>
            <a:ext uri="{FF2B5EF4-FFF2-40B4-BE49-F238E27FC236}">
              <a16:creationId xmlns:a16="http://schemas.microsoft.com/office/drawing/2014/main" id="{C8636D40-CD10-0741-B715-1FEBAEDAC125}"/>
            </a:ext>
          </a:extLst>
        </xdr:cNvPr>
        <xdr:cNvPicPr>
          <a:picLocks noChangeAspect="1"/>
        </xdr:cNvPicPr>
      </xdr:nvPicPr>
      <xdr:blipFill>
        <a:blip xmlns:r="http://schemas.openxmlformats.org/officeDocument/2006/relationships" r:embed="rId33"/>
        <a:stretch>
          <a:fillRect/>
        </a:stretch>
      </xdr:blipFill>
      <xdr:spPr>
        <a:xfrm>
          <a:off x="99307650" y="93421200"/>
          <a:ext cx="2779066" cy="1752145"/>
        </a:xfrm>
        <a:prstGeom prst="rect">
          <a:avLst/>
        </a:prstGeom>
      </xdr:spPr>
    </xdr:pic>
    <xdr:clientData/>
  </xdr:twoCellAnchor>
  <xdr:twoCellAnchor editAs="oneCell">
    <xdr:from>
      <xdr:col>56</xdr:col>
      <xdr:colOff>641350</xdr:colOff>
      <xdr:row>396</xdr:row>
      <xdr:rowOff>103187</xdr:rowOff>
    </xdr:from>
    <xdr:to>
      <xdr:col>57</xdr:col>
      <xdr:colOff>742187</xdr:colOff>
      <xdr:row>402</xdr:row>
      <xdr:rowOff>1814</xdr:rowOff>
    </xdr:to>
    <xdr:pic>
      <xdr:nvPicPr>
        <xdr:cNvPr id="31" name="Picture 30">
          <a:extLst>
            <a:ext uri="{FF2B5EF4-FFF2-40B4-BE49-F238E27FC236}">
              <a16:creationId xmlns:a16="http://schemas.microsoft.com/office/drawing/2014/main" id="{E3C450A4-8891-BB46-858E-C3E40871014A}"/>
            </a:ext>
          </a:extLst>
        </xdr:cNvPr>
        <xdr:cNvPicPr>
          <a:picLocks noChangeAspect="1"/>
        </xdr:cNvPicPr>
      </xdr:nvPicPr>
      <xdr:blipFill>
        <a:blip xmlns:r="http://schemas.openxmlformats.org/officeDocument/2006/relationships" r:embed="rId34"/>
        <a:stretch>
          <a:fillRect/>
        </a:stretch>
      </xdr:blipFill>
      <xdr:spPr>
        <a:xfrm>
          <a:off x="102392163" y="93472000"/>
          <a:ext cx="934274" cy="1756001"/>
        </a:xfrm>
        <a:prstGeom prst="rect">
          <a:avLst/>
        </a:prstGeom>
      </xdr:spPr>
    </xdr:pic>
    <xdr:clientData/>
  </xdr:twoCellAnchor>
  <xdr:twoCellAnchor editAs="oneCell">
    <xdr:from>
      <xdr:col>32</xdr:col>
      <xdr:colOff>60960</xdr:colOff>
      <xdr:row>396</xdr:row>
      <xdr:rowOff>10161</xdr:rowOff>
    </xdr:from>
    <xdr:to>
      <xdr:col>32</xdr:col>
      <xdr:colOff>2235200</xdr:colOff>
      <xdr:row>402</xdr:row>
      <xdr:rowOff>95465</xdr:rowOff>
    </xdr:to>
    <xdr:pic>
      <xdr:nvPicPr>
        <xdr:cNvPr id="49" name="Picture 48">
          <a:extLst>
            <a:ext uri="{FF2B5EF4-FFF2-40B4-BE49-F238E27FC236}">
              <a16:creationId xmlns:a16="http://schemas.microsoft.com/office/drawing/2014/main" id="{0FC73E77-F9B7-9444-BEF6-161C1C534335}"/>
            </a:ext>
          </a:extLst>
        </xdr:cNvPr>
        <xdr:cNvPicPr>
          <a:picLocks noChangeAspect="1"/>
        </xdr:cNvPicPr>
      </xdr:nvPicPr>
      <xdr:blipFill>
        <a:blip xmlns:r="http://schemas.openxmlformats.org/officeDocument/2006/relationships" r:embed="rId35"/>
        <a:stretch>
          <a:fillRect/>
        </a:stretch>
      </xdr:blipFill>
      <xdr:spPr>
        <a:xfrm>
          <a:off x="39989760" y="106415841"/>
          <a:ext cx="2174240" cy="1963452"/>
        </a:xfrm>
        <a:prstGeom prst="rect">
          <a:avLst/>
        </a:prstGeom>
      </xdr:spPr>
    </xdr:pic>
    <xdr:clientData/>
  </xdr:twoCellAnchor>
  <xdr:twoCellAnchor editAs="oneCell">
    <xdr:from>
      <xdr:col>53</xdr:col>
      <xdr:colOff>210912</xdr:colOff>
      <xdr:row>443</xdr:row>
      <xdr:rowOff>58963</xdr:rowOff>
    </xdr:from>
    <xdr:to>
      <xdr:col>60</xdr:col>
      <xdr:colOff>619124</xdr:colOff>
      <xdr:row>446</xdr:row>
      <xdr:rowOff>129020</xdr:rowOff>
    </xdr:to>
    <xdr:pic>
      <xdr:nvPicPr>
        <xdr:cNvPr id="33" name="Picture 32">
          <a:extLst>
            <a:ext uri="{FF2B5EF4-FFF2-40B4-BE49-F238E27FC236}">
              <a16:creationId xmlns:a16="http://schemas.microsoft.com/office/drawing/2014/main" id="{7F884CF0-9A41-4009-A7B2-DC1D3469F9DC}"/>
            </a:ext>
          </a:extLst>
        </xdr:cNvPr>
        <xdr:cNvPicPr>
          <a:picLocks noChangeAspect="1"/>
        </xdr:cNvPicPr>
      </xdr:nvPicPr>
      <xdr:blipFill>
        <a:blip xmlns:r="http://schemas.openxmlformats.org/officeDocument/2006/relationships" r:embed="rId36"/>
        <a:stretch>
          <a:fillRect/>
        </a:stretch>
      </xdr:blipFill>
      <xdr:spPr>
        <a:xfrm>
          <a:off x="99397912" y="105310213"/>
          <a:ext cx="6297837" cy="1705181"/>
        </a:xfrm>
        <a:prstGeom prst="rect">
          <a:avLst/>
        </a:prstGeom>
      </xdr:spPr>
    </xdr:pic>
    <xdr:clientData/>
  </xdr:twoCellAnchor>
  <xdr:twoCellAnchor editAs="oneCell">
    <xdr:from>
      <xdr:col>53</xdr:col>
      <xdr:colOff>496660</xdr:colOff>
      <xdr:row>447</xdr:row>
      <xdr:rowOff>99785</xdr:rowOff>
    </xdr:from>
    <xdr:to>
      <xdr:col>61</xdr:col>
      <xdr:colOff>153890</xdr:colOff>
      <xdr:row>460</xdr:row>
      <xdr:rowOff>28923</xdr:rowOff>
    </xdr:to>
    <xdr:pic>
      <xdr:nvPicPr>
        <xdr:cNvPr id="88" name="Picture 87">
          <a:extLst>
            <a:ext uri="{FF2B5EF4-FFF2-40B4-BE49-F238E27FC236}">
              <a16:creationId xmlns:a16="http://schemas.microsoft.com/office/drawing/2014/main" id="{2E3B5CE6-C552-4906-A721-9279A537AB54}"/>
            </a:ext>
          </a:extLst>
        </xdr:cNvPr>
        <xdr:cNvPicPr>
          <a:picLocks noChangeAspect="1"/>
        </xdr:cNvPicPr>
      </xdr:nvPicPr>
      <xdr:blipFill>
        <a:blip xmlns:r="http://schemas.openxmlformats.org/officeDocument/2006/relationships" r:embed="rId37"/>
        <a:stretch>
          <a:fillRect/>
        </a:stretch>
      </xdr:blipFill>
      <xdr:spPr>
        <a:xfrm>
          <a:off x="99683660" y="107192535"/>
          <a:ext cx="6388230" cy="5167888"/>
        </a:xfrm>
        <a:prstGeom prst="rect">
          <a:avLst/>
        </a:prstGeom>
      </xdr:spPr>
    </xdr:pic>
    <xdr:clientData/>
  </xdr:twoCellAnchor>
  <xdr:twoCellAnchor editAs="oneCell">
    <xdr:from>
      <xdr:col>61</xdr:col>
      <xdr:colOff>308429</xdr:colOff>
      <xdr:row>443</xdr:row>
      <xdr:rowOff>124732</xdr:rowOff>
    </xdr:from>
    <xdr:to>
      <xdr:col>64</xdr:col>
      <xdr:colOff>255554</xdr:colOff>
      <xdr:row>450</xdr:row>
      <xdr:rowOff>376043</xdr:rowOff>
    </xdr:to>
    <xdr:pic>
      <xdr:nvPicPr>
        <xdr:cNvPr id="89" name="Picture 88">
          <a:extLst>
            <a:ext uri="{FF2B5EF4-FFF2-40B4-BE49-F238E27FC236}">
              <a16:creationId xmlns:a16="http://schemas.microsoft.com/office/drawing/2014/main" id="{64ED8F8E-325E-499C-9B90-A1927048B423}"/>
            </a:ext>
          </a:extLst>
        </xdr:cNvPr>
        <xdr:cNvPicPr>
          <a:picLocks noChangeAspect="1"/>
        </xdr:cNvPicPr>
      </xdr:nvPicPr>
      <xdr:blipFill>
        <a:blip xmlns:r="http://schemas.openxmlformats.org/officeDocument/2006/relationships" r:embed="rId38"/>
        <a:stretch>
          <a:fillRect/>
        </a:stretch>
      </xdr:blipFill>
      <xdr:spPr>
        <a:xfrm rot="5400000">
          <a:off x="106106086" y="105496325"/>
          <a:ext cx="2711935" cy="2471250"/>
        </a:xfrm>
        <a:prstGeom prst="rect">
          <a:avLst/>
        </a:prstGeom>
      </xdr:spPr>
    </xdr:pic>
    <xdr:clientData/>
  </xdr:twoCellAnchor>
  <xdr:twoCellAnchor editAs="oneCell">
    <xdr:from>
      <xdr:col>53</xdr:col>
      <xdr:colOff>235857</xdr:colOff>
      <xdr:row>466</xdr:row>
      <xdr:rowOff>399143</xdr:rowOff>
    </xdr:from>
    <xdr:to>
      <xdr:col>59</xdr:col>
      <xdr:colOff>435140</xdr:colOff>
      <xdr:row>471</xdr:row>
      <xdr:rowOff>182274</xdr:rowOff>
    </xdr:to>
    <xdr:pic>
      <xdr:nvPicPr>
        <xdr:cNvPr id="35" name="Picture 90">
          <a:extLst>
            <a:ext uri="{FF2B5EF4-FFF2-40B4-BE49-F238E27FC236}">
              <a16:creationId xmlns:a16="http://schemas.microsoft.com/office/drawing/2014/main" id="{368E18FA-26E8-4A18-967B-E77BCDA8828A}"/>
            </a:ext>
          </a:extLst>
        </xdr:cNvPr>
        <xdr:cNvPicPr>
          <a:picLocks noChangeAspect="1"/>
        </xdr:cNvPicPr>
      </xdr:nvPicPr>
      <xdr:blipFill>
        <a:blip xmlns:r="http://schemas.openxmlformats.org/officeDocument/2006/relationships" r:embed="rId39"/>
        <a:stretch>
          <a:fillRect/>
        </a:stretch>
      </xdr:blipFill>
      <xdr:spPr>
        <a:xfrm>
          <a:off x="99422857" y="117493143"/>
          <a:ext cx="5247534" cy="2434256"/>
        </a:xfrm>
        <a:prstGeom prst="rect">
          <a:avLst/>
        </a:prstGeom>
      </xdr:spPr>
    </xdr:pic>
    <xdr:clientData/>
  </xdr:twoCellAnchor>
  <xdr:twoCellAnchor editAs="oneCell">
    <xdr:from>
      <xdr:col>59</xdr:col>
      <xdr:colOff>527677</xdr:colOff>
      <xdr:row>466</xdr:row>
      <xdr:rowOff>409726</xdr:rowOff>
    </xdr:from>
    <xdr:to>
      <xdr:col>63</xdr:col>
      <xdr:colOff>268163</xdr:colOff>
      <xdr:row>472</xdr:row>
      <xdr:rowOff>174320</xdr:rowOff>
    </xdr:to>
    <xdr:pic>
      <xdr:nvPicPr>
        <xdr:cNvPr id="36" name="Picture 91">
          <a:extLst>
            <a:ext uri="{FF2B5EF4-FFF2-40B4-BE49-F238E27FC236}">
              <a16:creationId xmlns:a16="http://schemas.microsoft.com/office/drawing/2014/main" id="{231DD5A2-51D4-47CD-B457-051A1DAEDF6E}"/>
            </a:ext>
          </a:extLst>
        </xdr:cNvPr>
        <xdr:cNvPicPr>
          <a:picLocks noChangeAspect="1"/>
        </xdr:cNvPicPr>
      </xdr:nvPicPr>
      <xdr:blipFill>
        <a:blip xmlns:r="http://schemas.openxmlformats.org/officeDocument/2006/relationships" r:embed="rId40"/>
        <a:stretch>
          <a:fillRect/>
        </a:stretch>
      </xdr:blipFill>
      <xdr:spPr>
        <a:xfrm>
          <a:off x="104762927" y="117503726"/>
          <a:ext cx="3105985" cy="2622094"/>
        </a:xfrm>
        <a:prstGeom prst="rect">
          <a:avLst/>
        </a:prstGeom>
      </xdr:spPr>
    </xdr:pic>
    <xdr:clientData/>
  </xdr:twoCellAnchor>
  <xdr:twoCellAnchor editAs="oneCell">
    <xdr:from>
      <xdr:col>53</xdr:col>
      <xdr:colOff>278947</xdr:colOff>
      <xdr:row>475</xdr:row>
      <xdr:rowOff>260804</xdr:rowOff>
    </xdr:from>
    <xdr:to>
      <xdr:col>57</xdr:col>
      <xdr:colOff>386894</xdr:colOff>
      <xdr:row>477</xdr:row>
      <xdr:rowOff>170076</xdr:rowOff>
    </xdr:to>
    <xdr:pic>
      <xdr:nvPicPr>
        <xdr:cNvPr id="93" name="Picture 92">
          <a:extLst>
            <a:ext uri="{FF2B5EF4-FFF2-40B4-BE49-F238E27FC236}">
              <a16:creationId xmlns:a16="http://schemas.microsoft.com/office/drawing/2014/main" id="{1E353A0D-082B-4B1F-96BE-336D1C37532B}"/>
            </a:ext>
          </a:extLst>
        </xdr:cNvPr>
        <xdr:cNvPicPr>
          <a:picLocks noChangeAspect="1"/>
        </xdr:cNvPicPr>
      </xdr:nvPicPr>
      <xdr:blipFill>
        <a:blip xmlns:r="http://schemas.openxmlformats.org/officeDocument/2006/relationships" r:embed="rId41"/>
        <a:stretch>
          <a:fillRect/>
        </a:stretch>
      </xdr:blipFill>
      <xdr:spPr>
        <a:xfrm>
          <a:off x="99465947" y="120831429"/>
          <a:ext cx="3473447" cy="3163647"/>
        </a:xfrm>
        <a:prstGeom prst="rect">
          <a:avLst/>
        </a:prstGeom>
      </xdr:spPr>
    </xdr:pic>
    <xdr:clientData/>
  </xdr:twoCellAnchor>
  <xdr:twoCellAnchor editAs="oneCell">
    <xdr:from>
      <xdr:col>57</xdr:col>
      <xdr:colOff>741590</xdr:colOff>
      <xdr:row>475</xdr:row>
      <xdr:rowOff>505732</xdr:rowOff>
    </xdr:from>
    <xdr:to>
      <xdr:col>65</xdr:col>
      <xdr:colOff>64562</xdr:colOff>
      <xdr:row>479</xdr:row>
      <xdr:rowOff>182208</xdr:rowOff>
    </xdr:to>
    <xdr:pic>
      <xdr:nvPicPr>
        <xdr:cNvPr id="37" name="Picture 34">
          <a:extLst>
            <a:ext uri="{FF2B5EF4-FFF2-40B4-BE49-F238E27FC236}">
              <a16:creationId xmlns:a16="http://schemas.microsoft.com/office/drawing/2014/main" id="{AE5ED4D7-404E-44F5-9ED7-C9B71B7A0550}"/>
            </a:ext>
          </a:extLst>
        </xdr:cNvPr>
        <xdr:cNvPicPr>
          <a:picLocks noChangeAspect="1"/>
        </xdr:cNvPicPr>
      </xdr:nvPicPr>
      <xdr:blipFill>
        <a:blip xmlns:r="http://schemas.openxmlformats.org/officeDocument/2006/relationships" r:embed="rId42"/>
        <a:stretch>
          <a:fillRect/>
        </a:stretch>
      </xdr:blipFill>
      <xdr:spPr>
        <a:xfrm>
          <a:off x="103294090" y="121076357"/>
          <a:ext cx="6053972" cy="3343601"/>
        </a:xfrm>
        <a:prstGeom prst="rect">
          <a:avLst/>
        </a:prstGeom>
      </xdr:spPr>
    </xdr:pic>
    <xdr:clientData/>
  </xdr:twoCellAnchor>
  <xdr:twoCellAnchor editAs="oneCell">
    <xdr:from>
      <xdr:col>53</xdr:col>
      <xdr:colOff>256062</xdr:colOff>
      <xdr:row>480</xdr:row>
      <xdr:rowOff>561122</xdr:rowOff>
    </xdr:from>
    <xdr:to>
      <xdr:col>63</xdr:col>
      <xdr:colOff>128908</xdr:colOff>
      <xdr:row>489</xdr:row>
      <xdr:rowOff>170728</xdr:rowOff>
    </xdr:to>
    <xdr:pic>
      <xdr:nvPicPr>
        <xdr:cNvPr id="91" name="Picture 90">
          <a:extLst>
            <a:ext uri="{FF2B5EF4-FFF2-40B4-BE49-F238E27FC236}">
              <a16:creationId xmlns:a16="http://schemas.microsoft.com/office/drawing/2014/main" id="{10BF700F-7232-4B0C-848F-6AE8F5EBFA1D}"/>
            </a:ext>
          </a:extLst>
        </xdr:cNvPr>
        <xdr:cNvPicPr>
          <a:picLocks noChangeAspect="1"/>
        </xdr:cNvPicPr>
      </xdr:nvPicPr>
      <xdr:blipFill>
        <a:blip xmlns:r="http://schemas.openxmlformats.org/officeDocument/2006/relationships" r:embed="rId43"/>
        <a:stretch>
          <a:fillRect/>
        </a:stretch>
      </xdr:blipFill>
      <xdr:spPr>
        <a:xfrm>
          <a:off x="99443062" y="125005247"/>
          <a:ext cx="8286596" cy="4959480"/>
        </a:xfrm>
        <a:prstGeom prst="rect">
          <a:avLst/>
        </a:prstGeom>
      </xdr:spPr>
    </xdr:pic>
    <xdr:clientData/>
  </xdr:twoCellAnchor>
  <xdr:twoCellAnchor editAs="oneCell">
    <xdr:from>
      <xdr:col>63</xdr:col>
      <xdr:colOff>7770</xdr:colOff>
      <xdr:row>480</xdr:row>
      <xdr:rowOff>614589</xdr:rowOff>
    </xdr:from>
    <xdr:to>
      <xdr:col>72</xdr:col>
      <xdr:colOff>807358</xdr:colOff>
      <xdr:row>490</xdr:row>
      <xdr:rowOff>89364</xdr:rowOff>
    </xdr:to>
    <xdr:pic>
      <xdr:nvPicPr>
        <xdr:cNvPr id="92" name="Picture 91">
          <a:extLst>
            <a:ext uri="{FF2B5EF4-FFF2-40B4-BE49-F238E27FC236}">
              <a16:creationId xmlns:a16="http://schemas.microsoft.com/office/drawing/2014/main" id="{B5B6F004-8DF3-4A23-B52B-903D26A44FCE}"/>
            </a:ext>
          </a:extLst>
        </xdr:cNvPr>
        <xdr:cNvPicPr>
          <a:picLocks noChangeAspect="1"/>
        </xdr:cNvPicPr>
      </xdr:nvPicPr>
      <xdr:blipFill>
        <a:blip xmlns:r="http://schemas.openxmlformats.org/officeDocument/2006/relationships" r:embed="rId44"/>
        <a:stretch>
          <a:fillRect/>
        </a:stretch>
      </xdr:blipFill>
      <xdr:spPr>
        <a:xfrm>
          <a:off x="107608520" y="125058714"/>
          <a:ext cx="8371963" cy="5031024"/>
        </a:xfrm>
        <a:prstGeom prst="rect">
          <a:avLst/>
        </a:prstGeom>
      </xdr:spPr>
    </xdr:pic>
    <xdr:clientData/>
  </xdr:twoCellAnchor>
  <xdr:twoCellAnchor editAs="oneCell">
    <xdr:from>
      <xdr:col>53</xdr:col>
      <xdr:colOff>429971</xdr:colOff>
      <xdr:row>569</xdr:row>
      <xdr:rowOff>128636</xdr:rowOff>
    </xdr:from>
    <xdr:to>
      <xdr:col>66</xdr:col>
      <xdr:colOff>665345</xdr:colOff>
      <xdr:row>575</xdr:row>
      <xdr:rowOff>856915</xdr:rowOff>
    </xdr:to>
    <xdr:pic>
      <xdr:nvPicPr>
        <xdr:cNvPr id="38" name="Picture 93">
          <a:extLst>
            <a:ext uri="{FF2B5EF4-FFF2-40B4-BE49-F238E27FC236}">
              <a16:creationId xmlns:a16="http://schemas.microsoft.com/office/drawing/2014/main" id="{334E1522-CE39-465F-8710-01CAB71549F3}"/>
            </a:ext>
          </a:extLst>
        </xdr:cNvPr>
        <xdr:cNvPicPr>
          <a:picLocks noChangeAspect="1"/>
        </xdr:cNvPicPr>
      </xdr:nvPicPr>
      <xdr:blipFill>
        <a:blip xmlns:r="http://schemas.openxmlformats.org/officeDocument/2006/relationships" r:embed="rId45"/>
        <a:stretch>
          <a:fillRect/>
        </a:stretch>
      </xdr:blipFill>
      <xdr:spPr>
        <a:xfrm>
          <a:off x="100080521" y="150375986"/>
          <a:ext cx="11131975" cy="4443031"/>
        </a:xfrm>
        <a:prstGeom prst="rect">
          <a:avLst/>
        </a:prstGeom>
      </xdr:spPr>
    </xdr:pic>
    <xdr:clientData/>
  </xdr:twoCellAnchor>
  <xdr:twoCellAnchor editAs="oneCell">
    <xdr:from>
      <xdr:col>53</xdr:col>
      <xdr:colOff>169717</xdr:colOff>
      <xdr:row>575</xdr:row>
      <xdr:rowOff>958206</xdr:rowOff>
    </xdr:from>
    <xdr:to>
      <xdr:col>59</xdr:col>
      <xdr:colOff>480580</xdr:colOff>
      <xdr:row>577</xdr:row>
      <xdr:rowOff>50803</xdr:rowOff>
    </xdr:to>
    <xdr:pic>
      <xdr:nvPicPr>
        <xdr:cNvPr id="51" name="Picture 94">
          <a:extLst>
            <a:ext uri="{FF2B5EF4-FFF2-40B4-BE49-F238E27FC236}">
              <a16:creationId xmlns:a16="http://schemas.microsoft.com/office/drawing/2014/main" id="{5316B5B3-F674-4F8F-9A0D-1141CDB1F28B}"/>
            </a:ext>
          </a:extLst>
        </xdr:cNvPr>
        <xdr:cNvPicPr>
          <a:picLocks noChangeAspect="1"/>
        </xdr:cNvPicPr>
      </xdr:nvPicPr>
      <xdr:blipFill>
        <a:blip xmlns:r="http://schemas.openxmlformats.org/officeDocument/2006/relationships" r:embed="rId46"/>
        <a:stretch>
          <a:fillRect/>
        </a:stretch>
      </xdr:blipFill>
      <xdr:spPr>
        <a:xfrm>
          <a:off x="99820267" y="154920306"/>
          <a:ext cx="5340064" cy="3702696"/>
        </a:xfrm>
        <a:prstGeom prst="rect">
          <a:avLst/>
        </a:prstGeom>
      </xdr:spPr>
    </xdr:pic>
    <xdr:clientData/>
  </xdr:twoCellAnchor>
  <xdr:twoCellAnchor editAs="oneCell">
    <xdr:from>
      <xdr:col>59</xdr:col>
      <xdr:colOff>765709</xdr:colOff>
      <xdr:row>575</xdr:row>
      <xdr:rowOff>878319</xdr:rowOff>
    </xdr:from>
    <xdr:to>
      <xdr:col>63</xdr:col>
      <xdr:colOff>323852</xdr:colOff>
      <xdr:row>576</xdr:row>
      <xdr:rowOff>562339</xdr:rowOff>
    </xdr:to>
    <xdr:pic>
      <xdr:nvPicPr>
        <xdr:cNvPr id="67" name="Picture 95">
          <a:extLst>
            <a:ext uri="{FF2B5EF4-FFF2-40B4-BE49-F238E27FC236}">
              <a16:creationId xmlns:a16="http://schemas.microsoft.com/office/drawing/2014/main" id="{8345FF80-CB1B-4C42-A3B3-9E08873DC318}"/>
            </a:ext>
          </a:extLst>
        </xdr:cNvPr>
        <xdr:cNvPicPr>
          <a:picLocks noChangeAspect="1"/>
        </xdr:cNvPicPr>
      </xdr:nvPicPr>
      <xdr:blipFill>
        <a:blip xmlns:r="http://schemas.openxmlformats.org/officeDocument/2006/relationships" r:embed="rId47"/>
        <a:stretch>
          <a:fillRect/>
        </a:stretch>
      </xdr:blipFill>
      <xdr:spPr>
        <a:xfrm>
          <a:off x="105445459" y="154840419"/>
          <a:ext cx="2910942" cy="3684520"/>
        </a:xfrm>
        <a:prstGeom prst="rect">
          <a:avLst/>
        </a:prstGeom>
      </xdr:spPr>
    </xdr:pic>
    <xdr:clientData/>
  </xdr:twoCellAnchor>
  <xdr:twoCellAnchor editAs="oneCell">
    <xdr:from>
      <xdr:col>53</xdr:col>
      <xdr:colOff>281104</xdr:colOff>
      <xdr:row>577</xdr:row>
      <xdr:rowOff>109653</xdr:rowOff>
    </xdr:from>
    <xdr:to>
      <xdr:col>56</xdr:col>
      <xdr:colOff>667677</xdr:colOff>
      <xdr:row>583</xdr:row>
      <xdr:rowOff>126603</xdr:rowOff>
    </xdr:to>
    <xdr:pic>
      <xdr:nvPicPr>
        <xdr:cNvPr id="45" name="Picture 44">
          <a:extLst>
            <a:ext uri="{FF2B5EF4-FFF2-40B4-BE49-F238E27FC236}">
              <a16:creationId xmlns:a16="http://schemas.microsoft.com/office/drawing/2014/main" id="{50EE9DA3-2298-9E41-86BA-582A865B794D}"/>
            </a:ext>
          </a:extLst>
        </xdr:cNvPr>
        <xdr:cNvPicPr>
          <a:picLocks noChangeAspect="1"/>
        </xdr:cNvPicPr>
      </xdr:nvPicPr>
      <xdr:blipFill>
        <a:blip xmlns:r="http://schemas.openxmlformats.org/officeDocument/2006/relationships" r:embed="rId48"/>
        <a:stretch>
          <a:fillRect/>
        </a:stretch>
      </xdr:blipFill>
      <xdr:spPr>
        <a:xfrm>
          <a:off x="99931654" y="158681853"/>
          <a:ext cx="2901173" cy="2817299"/>
        </a:xfrm>
        <a:prstGeom prst="rect">
          <a:avLst/>
        </a:prstGeom>
      </xdr:spPr>
    </xdr:pic>
    <xdr:clientData/>
  </xdr:twoCellAnchor>
  <xdr:twoCellAnchor editAs="oneCell">
    <xdr:from>
      <xdr:col>53</xdr:col>
      <xdr:colOff>91281</xdr:colOff>
      <xdr:row>607</xdr:row>
      <xdr:rowOff>96952</xdr:rowOff>
    </xdr:from>
    <xdr:to>
      <xdr:col>55</xdr:col>
      <xdr:colOff>42986</xdr:colOff>
      <xdr:row>615</xdr:row>
      <xdr:rowOff>89391</xdr:rowOff>
    </xdr:to>
    <xdr:pic>
      <xdr:nvPicPr>
        <xdr:cNvPr id="65" name="Picture 64">
          <a:extLst>
            <a:ext uri="{FF2B5EF4-FFF2-40B4-BE49-F238E27FC236}">
              <a16:creationId xmlns:a16="http://schemas.microsoft.com/office/drawing/2014/main" id="{1EFBCB70-03D0-FB4C-BEDE-DC601C1EB4EF}"/>
            </a:ext>
          </a:extLst>
        </xdr:cNvPr>
        <xdr:cNvPicPr>
          <a:picLocks noChangeAspect="1"/>
        </xdr:cNvPicPr>
      </xdr:nvPicPr>
      <xdr:blipFill>
        <a:blip xmlns:r="http://schemas.openxmlformats.org/officeDocument/2006/relationships" r:embed="rId49"/>
        <a:stretch>
          <a:fillRect/>
        </a:stretch>
      </xdr:blipFill>
      <xdr:spPr>
        <a:xfrm>
          <a:off x="99341781" y="165260452"/>
          <a:ext cx="1618580" cy="2282408"/>
        </a:xfrm>
        <a:prstGeom prst="rect">
          <a:avLst/>
        </a:prstGeom>
      </xdr:spPr>
    </xdr:pic>
    <xdr:clientData/>
  </xdr:twoCellAnchor>
  <xdr:twoCellAnchor editAs="oneCell">
    <xdr:from>
      <xdr:col>47</xdr:col>
      <xdr:colOff>89808</xdr:colOff>
      <xdr:row>656</xdr:row>
      <xdr:rowOff>108859</xdr:rowOff>
    </xdr:from>
    <xdr:to>
      <xdr:col>48</xdr:col>
      <xdr:colOff>3133750</xdr:colOff>
      <xdr:row>689</xdr:row>
      <xdr:rowOff>83436</xdr:rowOff>
    </xdr:to>
    <xdr:pic>
      <xdr:nvPicPr>
        <xdr:cNvPr id="101" name="Picture 78">
          <a:extLst>
            <a:ext uri="{FF2B5EF4-FFF2-40B4-BE49-F238E27FC236}">
              <a16:creationId xmlns:a16="http://schemas.microsoft.com/office/drawing/2014/main" id="{2ECFF0A5-433F-4CE1-B381-2BDE84B79024}"/>
            </a:ext>
          </a:extLst>
        </xdr:cNvPr>
        <xdr:cNvPicPr>
          <a:picLocks noChangeAspect="1"/>
        </xdr:cNvPicPr>
      </xdr:nvPicPr>
      <xdr:blipFill>
        <a:blip xmlns:r="http://schemas.openxmlformats.org/officeDocument/2006/relationships" r:embed="rId50"/>
        <a:stretch>
          <a:fillRect/>
        </a:stretch>
      </xdr:blipFill>
      <xdr:spPr>
        <a:xfrm>
          <a:off x="76766058" y="180975002"/>
          <a:ext cx="7058049" cy="7213577"/>
        </a:xfrm>
        <a:prstGeom prst="rect">
          <a:avLst/>
        </a:prstGeom>
      </xdr:spPr>
    </xdr:pic>
    <xdr:clientData/>
  </xdr:twoCellAnchor>
  <xdr:twoCellAnchor editAs="oneCell">
    <xdr:from>
      <xdr:col>53</xdr:col>
      <xdr:colOff>119217</xdr:colOff>
      <xdr:row>662</xdr:row>
      <xdr:rowOff>6215</xdr:rowOff>
    </xdr:from>
    <xdr:to>
      <xdr:col>56</xdr:col>
      <xdr:colOff>72179</xdr:colOff>
      <xdr:row>673</xdr:row>
      <xdr:rowOff>9016</xdr:rowOff>
    </xdr:to>
    <xdr:pic>
      <xdr:nvPicPr>
        <xdr:cNvPr id="16" name="Picture 15">
          <a:extLst>
            <a:ext uri="{FF2B5EF4-FFF2-40B4-BE49-F238E27FC236}">
              <a16:creationId xmlns:a16="http://schemas.microsoft.com/office/drawing/2014/main" id="{710DC259-AA7F-C24E-AF58-7D88177DBF14}"/>
            </a:ext>
          </a:extLst>
        </xdr:cNvPr>
        <xdr:cNvPicPr>
          <a:picLocks noChangeAspect="1"/>
        </xdr:cNvPicPr>
      </xdr:nvPicPr>
      <xdr:blipFill>
        <a:blip xmlns:r="http://schemas.openxmlformats.org/officeDocument/2006/relationships" r:embed="rId51"/>
        <a:stretch>
          <a:fillRect/>
        </a:stretch>
      </xdr:blipFill>
      <xdr:spPr>
        <a:xfrm>
          <a:off x="99464967" y="178076090"/>
          <a:ext cx="2453275" cy="2360238"/>
        </a:xfrm>
        <a:prstGeom prst="rect">
          <a:avLst/>
        </a:prstGeom>
      </xdr:spPr>
    </xdr:pic>
    <xdr:clientData/>
  </xdr:twoCellAnchor>
  <xdr:twoCellAnchor editAs="oneCell">
    <xdr:from>
      <xdr:col>56</xdr:col>
      <xdr:colOff>197611</xdr:colOff>
      <xdr:row>661</xdr:row>
      <xdr:rowOff>194644</xdr:rowOff>
    </xdr:from>
    <xdr:to>
      <xdr:col>60</xdr:col>
      <xdr:colOff>417118</xdr:colOff>
      <xdr:row>673</xdr:row>
      <xdr:rowOff>22212</xdr:rowOff>
    </xdr:to>
    <xdr:pic>
      <xdr:nvPicPr>
        <xdr:cNvPr id="79" name="Picture 78">
          <a:extLst>
            <a:ext uri="{FF2B5EF4-FFF2-40B4-BE49-F238E27FC236}">
              <a16:creationId xmlns:a16="http://schemas.microsoft.com/office/drawing/2014/main" id="{87506F70-EA94-A74B-B355-4DAB279CC0D1}"/>
            </a:ext>
          </a:extLst>
        </xdr:cNvPr>
        <xdr:cNvPicPr>
          <a:picLocks noChangeAspect="1"/>
        </xdr:cNvPicPr>
      </xdr:nvPicPr>
      <xdr:blipFill>
        <a:blip xmlns:r="http://schemas.openxmlformats.org/officeDocument/2006/relationships" r:embed="rId52"/>
        <a:stretch>
          <a:fillRect/>
        </a:stretch>
      </xdr:blipFill>
      <xdr:spPr>
        <a:xfrm>
          <a:off x="102043674" y="178050207"/>
          <a:ext cx="3553257" cy="2399319"/>
        </a:xfrm>
        <a:prstGeom prst="rect">
          <a:avLst/>
        </a:prstGeom>
      </xdr:spPr>
    </xdr:pic>
    <xdr:clientData/>
  </xdr:twoCellAnchor>
  <xdr:twoCellAnchor editAs="oneCell">
    <xdr:from>
      <xdr:col>53</xdr:col>
      <xdr:colOff>122465</xdr:colOff>
      <xdr:row>94</xdr:row>
      <xdr:rowOff>183697</xdr:rowOff>
    </xdr:from>
    <xdr:to>
      <xdr:col>59</xdr:col>
      <xdr:colOff>494392</xdr:colOff>
      <xdr:row>109</xdr:row>
      <xdr:rowOff>12701</xdr:rowOff>
    </xdr:to>
    <xdr:pic>
      <xdr:nvPicPr>
        <xdr:cNvPr id="103" name="Picture 8">
          <a:extLst>
            <a:ext uri="{FF2B5EF4-FFF2-40B4-BE49-F238E27FC236}">
              <a16:creationId xmlns:a16="http://schemas.microsoft.com/office/drawing/2014/main" id="{93711110-176A-4A41-8509-828D6F46D3A1}"/>
            </a:ext>
            <a:ext uri="{147F2762-F138-4A5C-976F-8EAC2B608ADB}">
              <a16:predDERef xmlns:a16="http://schemas.microsoft.com/office/drawing/2014/main" pred="{EF200160-7411-7A48-AECF-2568958F64CF}"/>
            </a:ext>
          </a:extLst>
        </xdr:cNvPr>
        <xdr:cNvPicPr>
          <a:picLocks noChangeAspect="1"/>
        </xdr:cNvPicPr>
      </xdr:nvPicPr>
      <xdr:blipFill>
        <a:blip xmlns:r="http://schemas.openxmlformats.org/officeDocument/2006/relationships" r:embed="rId53"/>
        <a:stretch>
          <a:fillRect/>
        </a:stretch>
      </xdr:blipFill>
      <xdr:spPr>
        <a:xfrm>
          <a:off x="99400179" y="23479126"/>
          <a:ext cx="5433785" cy="2890611"/>
        </a:xfrm>
        <a:prstGeom prst="rect">
          <a:avLst/>
        </a:prstGeom>
      </xdr:spPr>
    </xdr:pic>
    <xdr:clientData/>
  </xdr:twoCellAnchor>
  <xdr:twoCellAnchor editAs="oneCell">
    <xdr:from>
      <xdr:col>59</xdr:col>
      <xdr:colOff>478973</xdr:colOff>
      <xdr:row>93</xdr:row>
      <xdr:rowOff>68036</xdr:rowOff>
    </xdr:from>
    <xdr:to>
      <xdr:col>64</xdr:col>
      <xdr:colOff>431349</xdr:colOff>
      <xdr:row>115</xdr:row>
      <xdr:rowOff>79013</xdr:rowOff>
    </xdr:to>
    <xdr:pic>
      <xdr:nvPicPr>
        <xdr:cNvPr id="104" name="Picture 87">
          <a:extLst>
            <a:ext uri="{FF2B5EF4-FFF2-40B4-BE49-F238E27FC236}">
              <a16:creationId xmlns:a16="http://schemas.microsoft.com/office/drawing/2014/main" id="{BCC227B0-0326-8D45-A464-EF2FBD8F7540}"/>
            </a:ext>
            <a:ext uri="{147F2762-F138-4A5C-976F-8EAC2B608ADB}">
              <a16:predDERef xmlns:a16="http://schemas.microsoft.com/office/drawing/2014/main" pred="{1688A23F-4F53-9F4E-91C4-12BF2E81B827}"/>
            </a:ext>
          </a:extLst>
        </xdr:cNvPr>
        <xdr:cNvPicPr>
          <a:picLocks noChangeAspect="1"/>
        </xdr:cNvPicPr>
      </xdr:nvPicPr>
      <xdr:blipFill>
        <a:blip xmlns:r="http://schemas.openxmlformats.org/officeDocument/2006/relationships" r:embed="rId54"/>
        <a:stretch>
          <a:fillRect/>
        </a:stretch>
      </xdr:blipFill>
      <xdr:spPr>
        <a:xfrm>
          <a:off x="104818544" y="23159357"/>
          <a:ext cx="4170590" cy="45013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70A85717-5DF4-4981-97ED-7FBA2F3DB7B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1.07443E-7</cdr:x>
      <cdr:y>3.29063E-7</cdr:y>
    </cdr:from>
    <cdr:to>
      <cdr:x>0.49415</cdr:x>
      <cdr:y>0.50149</cdr:y>
    </cdr:to>
    <cdr:graphicFrame macro="">
      <cdr:nvGraphicFramePr>
        <cdr:cNvPr id="2" name="Chart 2">
          <a:extLst xmlns:a="http://schemas.openxmlformats.org/drawingml/2006/main">
            <a:ext uri="{FF2B5EF4-FFF2-40B4-BE49-F238E27FC236}">
              <a16:creationId xmlns:a16="http://schemas.microsoft.com/office/drawing/2014/main" id="{3126C8B5-B533-47C9-8362-DA110DB9FB36}"/>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cdr:graphicFrame>
  </cdr:relSizeAnchor>
  <cdr:relSizeAnchor xmlns:cdr="http://schemas.openxmlformats.org/drawingml/2006/chartDrawing">
    <cdr:from>
      <cdr:x>0.49737</cdr:x>
      <cdr:y>0</cdr:y>
    </cdr:from>
    <cdr:to>
      <cdr:x>1</cdr:x>
      <cdr:y>0.50306</cdr:y>
    </cdr:to>
    <cdr:graphicFrame macro="">
      <cdr:nvGraphicFramePr>
        <cdr:cNvPr id="3" name="Chart 5">
          <a:extLst xmlns:a="http://schemas.openxmlformats.org/drawingml/2006/main">
            <a:ext uri="{FF2B5EF4-FFF2-40B4-BE49-F238E27FC236}">
              <a16:creationId xmlns:a16="http://schemas.microsoft.com/office/drawing/2014/main" id="{356CE0BA-D514-4EE4-97A2-B493864D5E6E}"/>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cdr:graphicFrame>
  </cdr:relSizeAnchor>
  <cdr:relSizeAnchor xmlns:cdr="http://schemas.openxmlformats.org/drawingml/2006/chartDrawing">
    <cdr:from>
      <cdr:x>0</cdr:x>
      <cdr:y>0.50619</cdr:y>
    </cdr:from>
    <cdr:to>
      <cdr:x>0.4943</cdr:x>
      <cdr:y>1</cdr:y>
    </cdr:to>
    <cdr:graphicFrame macro="">
      <cdr:nvGraphicFramePr>
        <cdr:cNvPr id="4" name="Chart 6">
          <a:extLst xmlns:a="http://schemas.openxmlformats.org/drawingml/2006/main">
            <a:ext uri="{FF2B5EF4-FFF2-40B4-BE49-F238E27FC236}">
              <a16:creationId xmlns:a16="http://schemas.microsoft.com/office/drawing/2014/main" id="{54594091-FB37-4826-B030-31EC4272229E}"/>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cdr:graphicFrame>
  </cdr:relSizeAnchor>
  <cdr:relSizeAnchor xmlns:cdr="http://schemas.openxmlformats.org/drawingml/2006/chartDrawing">
    <cdr:from>
      <cdr:x>0.49635</cdr:x>
      <cdr:y>0.50619</cdr:y>
    </cdr:from>
    <cdr:to>
      <cdr:x>1</cdr:x>
      <cdr:y>1</cdr:y>
    </cdr:to>
    <cdr:graphicFrame macro="">
      <cdr:nvGraphicFramePr>
        <cdr:cNvPr id="5" name="Chart 7">
          <a:extLst xmlns:a="http://schemas.openxmlformats.org/drawingml/2006/main">
            <a:ext uri="{FF2B5EF4-FFF2-40B4-BE49-F238E27FC236}">
              <a16:creationId xmlns:a16="http://schemas.microsoft.com/office/drawing/2014/main" id="{C9327A55-0CAA-4804-B5EA-7D0618C3FE02}"/>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cdr:graphicFrame>
  </cdr:relSizeAnchor>
</c:userShapes>
</file>

<file path=xl/drawings/drawing4.xml><?xml version="1.0" encoding="utf-8"?>
<c:userShapes xmlns:c="http://schemas.openxmlformats.org/drawingml/2006/chart">
  <cdr:relSizeAnchor xmlns:cdr="http://schemas.openxmlformats.org/drawingml/2006/chartDrawing">
    <cdr:from>
      <cdr:x>0.12904</cdr:x>
      <cdr:y>0.76712</cdr:y>
    </cdr:from>
    <cdr:to>
      <cdr:x>0.28057</cdr:x>
      <cdr:y>0.82683</cdr:y>
    </cdr:to>
    <cdr:sp macro="" textlink="">
      <cdr:nvSpPr>
        <cdr:cNvPr id="3" name="TextBox 2">
          <a:extLst xmlns:a="http://schemas.openxmlformats.org/drawingml/2006/main">
            <a:ext uri="{FF2B5EF4-FFF2-40B4-BE49-F238E27FC236}">
              <a16:creationId xmlns:a16="http://schemas.microsoft.com/office/drawing/2014/main" id="{FC7B20B3-1E62-44BF-98EB-AC17DA1D451B}"/>
            </a:ext>
          </a:extLst>
        </cdr:cNvPr>
        <cdr:cNvSpPr txBox="1"/>
      </cdr:nvSpPr>
      <cdr:spPr>
        <a:xfrm xmlns:a="http://schemas.openxmlformats.org/drawingml/2006/main">
          <a:off x="593393" y="2337820"/>
          <a:ext cx="696811" cy="181973"/>
        </a:xfrm>
        <a:prstGeom xmlns:a="http://schemas.openxmlformats.org/drawingml/2006/main" prst="rect">
          <a:avLst/>
        </a:prstGeom>
        <a:solidFill xmlns:a="http://schemas.openxmlformats.org/drawingml/2006/main">
          <a:schemeClr val="bg1"/>
        </a:solidFill>
        <a:ln xmlns:a="http://schemas.openxmlformats.org/drawingml/2006/main">
          <a:solidFill>
            <a:schemeClr val="bg1">
              <a:lumMod val="50000"/>
            </a:schemeClr>
          </a:solidFill>
        </a:ln>
      </cdr:spPr>
      <cdr:txBody>
        <a:bodyPr xmlns:a="http://schemas.openxmlformats.org/drawingml/2006/main" vertOverflow="clip" wrap="square" rtlCol="0" anchor="ctr"/>
        <a:lstStyle xmlns:a="http://schemas.openxmlformats.org/drawingml/2006/main"/>
        <a:p xmlns:a="http://schemas.openxmlformats.org/drawingml/2006/main">
          <a:pPr marL="0" indent="0" algn="ctr"/>
          <a:r>
            <a:rPr lang="en-GB" sz="1100" b="0" i="1" baseline="0">
              <a:latin typeface="Times New Roman" panose="02020603050405020304" pitchFamily="18" charset="0"/>
              <a:ea typeface="+mn-ea"/>
              <a:cs typeface="Times New Roman" panose="02020603050405020304" pitchFamily="18" charset="0"/>
            </a:rPr>
            <a:t>n</a:t>
          </a:r>
          <a:r>
            <a:rPr lang="en-GB" sz="1100" b="0" i="0" baseline="0">
              <a:latin typeface="Times New Roman" panose="02020603050405020304" pitchFamily="18" charset="0"/>
              <a:ea typeface="+mn-ea"/>
              <a:cs typeface="Times New Roman" panose="02020603050405020304" pitchFamily="18" charset="0"/>
            </a:rPr>
            <a:t> = 484</a:t>
          </a:r>
        </a:p>
      </cdr:txBody>
    </cdr:sp>
  </cdr:relSizeAnchor>
  <cdr:relSizeAnchor xmlns:cdr="http://schemas.openxmlformats.org/drawingml/2006/chartDrawing">
    <cdr:from>
      <cdr:x>0.00524</cdr:x>
      <cdr:y>0.02589</cdr:y>
    </cdr:from>
    <cdr:to>
      <cdr:x>0.07532</cdr:x>
      <cdr:y>0.14775</cdr:y>
    </cdr:to>
    <cdr:sp macro="" textlink="">
      <cdr:nvSpPr>
        <cdr:cNvPr id="4" name="TextBox 3">
          <a:extLst xmlns:a="http://schemas.openxmlformats.org/drawingml/2006/main">
            <a:ext uri="{FF2B5EF4-FFF2-40B4-BE49-F238E27FC236}">
              <a16:creationId xmlns:a16="http://schemas.microsoft.com/office/drawing/2014/main" id="{AAC3C94E-86F3-4D65-A5B5-F00EFF49EADC}"/>
            </a:ext>
          </a:extLst>
        </cdr:cNvPr>
        <cdr:cNvSpPr txBox="1"/>
      </cdr:nvSpPr>
      <cdr:spPr>
        <a:xfrm xmlns:a="http://schemas.openxmlformats.org/drawingml/2006/main">
          <a:off x="24096" y="78899"/>
          <a:ext cx="322267" cy="3713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b="1">
              <a:latin typeface="Times New Roman" panose="02020603050405020304" pitchFamily="18" charset="0"/>
              <a:cs typeface="Times New Roman" panose="02020603050405020304" pitchFamily="18" charset="0"/>
            </a:rPr>
            <a:t>a)</a:t>
          </a:r>
        </a:p>
      </cdr:txBody>
    </cdr:sp>
  </cdr:relSizeAnchor>
</c:userShapes>
</file>

<file path=xl/drawings/drawing5.xml><?xml version="1.0" encoding="utf-8"?>
<c:userShapes xmlns:c="http://schemas.openxmlformats.org/drawingml/2006/chart">
  <cdr:relSizeAnchor xmlns:cdr="http://schemas.openxmlformats.org/drawingml/2006/chartDrawing">
    <cdr:from>
      <cdr:x>0.14274</cdr:x>
      <cdr:y>0.05412</cdr:y>
    </cdr:from>
    <cdr:to>
      <cdr:x>0.28756</cdr:x>
      <cdr:y>0.11287</cdr:y>
    </cdr:to>
    <cdr:sp macro="" textlink="">
      <cdr:nvSpPr>
        <cdr:cNvPr id="3" name="TextBox 2">
          <a:extLst xmlns:a="http://schemas.openxmlformats.org/drawingml/2006/main">
            <a:ext uri="{FF2B5EF4-FFF2-40B4-BE49-F238E27FC236}">
              <a16:creationId xmlns:a16="http://schemas.microsoft.com/office/drawing/2014/main" id="{FC7B20B3-1E62-44BF-98EB-AC17DA1D451B}"/>
            </a:ext>
          </a:extLst>
        </cdr:cNvPr>
        <cdr:cNvSpPr txBox="1"/>
      </cdr:nvSpPr>
      <cdr:spPr>
        <a:xfrm xmlns:a="http://schemas.openxmlformats.org/drawingml/2006/main">
          <a:off x="814426" y="228381"/>
          <a:ext cx="826253" cy="247869"/>
        </a:xfrm>
        <a:prstGeom xmlns:a="http://schemas.openxmlformats.org/drawingml/2006/main" prst="rect">
          <a:avLst/>
        </a:prstGeom>
        <a:solidFill xmlns:a="http://schemas.openxmlformats.org/drawingml/2006/main">
          <a:schemeClr val="bg1"/>
        </a:solidFill>
        <a:ln xmlns:a="http://schemas.openxmlformats.org/drawingml/2006/main">
          <a:solidFill>
            <a:schemeClr val="bg1">
              <a:lumMod val="50000"/>
            </a:schemeClr>
          </a:solidFill>
        </a:ln>
      </cdr:spPr>
      <cdr:txBody>
        <a:bodyPr xmlns:a="http://schemas.openxmlformats.org/drawingml/2006/main" vertOverflow="clip" wrap="square" rtlCol="0" anchor="ctr"/>
        <a:lstStyle xmlns:a="http://schemas.openxmlformats.org/drawingml/2006/main"/>
        <a:p xmlns:a="http://schemas.openxmlformats.org/drawingml/2006/main">
          <a:pPr algn="ctr"/>
          <a:r>
            <a:rPr lang="en-GB" sz="1100" b="0" i="1" baseline="0">
              <a:latin typeface="Times New Roman" panose="02020603050405020304" pitchFamily="18" charset="0"/>
              <a:cs typeface="Times New Roman" panose="02020603050405020304" pitchFamily="18" charset="0"/>
            </a:rPr>
            <a:t>n</a:t>
          </a:r>
          <a:r>
            <a:rPr lang="en-GB" sz="1100" b="0" i="0" baseline="0">
              <a:latin typeface="Times New Roman" panose="02020603050405020304" pitchFamily="18" charset="0"/>
              <a:cs typeface="Times New Roman" panose="02020603050405020304" pitchFamily="18" charset="0"/>
            </a:rPr>
            <a:t> = 484</a:t>
          </a:r>
        </a:p>
      </cdr:txBody>
    </cdr:sp>
  </cdr:relSizeAnchor>
  <cdr:relSizeAnchor xmlns:cdr="http://schemas.openxmlformats.org/drawingml/2006/chartDrawing">
    <cdr:from>
      <cdr:x>0.00524</cdr:x>
      <cdr:y>0.02589</cdr:y>
    </cdr:from>
    <cdr:to>
      <cdr:x>0.07899</cdr:x>
      <cdr:y>0.11218</cdr:y>
    </cdr:to>
    <cdr:sp macro="" textlink="">
      <cdr:nvSpPr>
        <cdr:cNvPr id="4" name="TextBox 3">
          <a:extLst xmlns:a="http://schemas.openxmlformats.org/drawingml/2006/main">
            <a:ext uri="{FF2B5EF4-FFF2-40B4-BE49-F238E27FC236}">
              <a16:creationId xmlns:a16="http://schemas.microsoft.com/office/drawing/2014/main" id="{AAC3C94E-86F3-4D65-A5B5-F00EFF49EADC}"/>
            </a:ext>
          </a:extLst>
        </cdr:cNvPr>
        <cdr:cNvSpPr txBox="1"/>
      </cdr:nvSpPr>
      <cdr:spPr>
        <a:xfrm xmlns:a="http://schemas.openxmlformats.org/drawingml/2006/main">
          <a:off x="29696" y="108012"/>
          <a:ext cx="417977" cy="3599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b="1">
              <a:latin typeface="Times New Roman" panose="02020603050405020304" pitchFamily="18" charset="0"/>
              <a:cs typeface="Times New Roman" panose="02020603050405020304" pitchFamily="18" charset="0"/>
            </a:rPr>
            <a:t>b)</a:t>
          </a:r>
        </a:p>
      </cdr:txBody>
    </cdr:sp>
  </cdr:relSizeAnchor>
</c:userShapes>
</file>

<file path=xl/drawings/drawing6.xml><?xml version="1.0" encoding="utf-8"?>
<c:userShapes xmlns:c="http://schemas.openxmlformats.org/drawingml/2006/chart">
  <cdr:relSizeAnchor xmlns:cdr="http://schemas.openxmlformats.org/drawingml/2006/chartDrawing">
    <cdr:from>
      <cdr:x>0.80489</cdr:x>
      <cdr:y>0.04338</cdr:y>
    </cdr:from>
    <cdr:to>
      <cdr:x>0.94666</cdr:x>
      <cdr:y>0.11287</cdr:y>
    </cdr:to>
    <cdr:sp macro="" textlink="">
      <cdr:nvSpPr>
        <cdr:cNvPr id="3" name="TextBox 2">
          <a:extLst xmlns:a="http://schemas.openxmlformats.org/drawingml/2006/main">
            <a:ext uri="{FF2B5EF4-FFF2-40B4-BE49-F238E27FC236}">
              <a16:creationId xmlns:a16="http://schemas.microsoft.com/office/drawing/2014/main" id="{FC7B20B3-1E62-44BF-98EB-AC17DA1D451B}"/>
            </a:ext>
          </a:extLst>
        </cdr:cNvPr>
        <cdr:cNvSpPr txBox="1"/>
      </cdr:nvSpPr>
      <cdr:spPr>
        <a:xfrm xmlns:a="http://schemas.openxmlformats.org/drawingml/2006/main">
          <a:off x="4633913" y="183028"/>
          <a:ext cx="816198" cy="293222"/>
        </a:xfrm>
        <a:prstGeom xmlns:a="http://schemas.openxmlformats.org/drawingml/2006/main" prst="rect">
          <a:avLst/>
        </a:prstGeom>
        <a:solidFill xmlns:a="http://schemas.openxmlformats.org/drawingml/2006/main">
          <a:schemeClr val="bg1"/>
        </a:solidFill>
        <a:ln xmlns:a="http://schemas.openxmlformats.org/drawingml/2006/main">
          <a:solidFill>
            <a:schemeClr val="bg1">
              <a:lumMod val="50000"/>
            </a:schemeClr>
          </a:solidFill>
        </a:ln>
      </cdr:spPr>
      <cdr:txBody>
        <a:bodyPr xmlns:a="http://schemas.openxmlformats.org/drawingml/2006/main" vertOverflow="clip" wrap="square" rtlCol="0" anchor="ctr"/>
        <a:lstStyle xmlns:a="http://schemas.openxmlformats.org/drawingml/2006/main"/>
        <a:p xmlns:a="http://schemas.openxmlformats.org/drawingml/2006/main">
          <a:pPr marL="0" indent="0" algn="ctr"/>
          <a:r>
            <a:rPr lang="en-GB" sz="1100" b="0" i="1" baseline="0">
              <a:latin typeface="Times New Roman" panose="02020603050405020304" pitchFamily="18" charset="0"/>
              <a:ea typeface="+mn-ea"/>
              <a:cs typeface="Times New Roman" panose="02020603050405020304" pitchFamily="18" charset="0"/>
            </a:rPr>
            <a:t>n = </a:t>
          </a:r>
          <a:r>
            <a:rPr lang="en-GB" sz="1100" b="0" i="0" baseline="0">
              <a:latin typeface="Times New Roman" panose="02020603050405020304" pitchFamily="18" charset="0"/>
              <a:ea typeface="+mn-ea"/>
              <a:cs typeface="Times New Roman" panose="02020603050405020304" pitchFamily="18" charset="0"/>
            </a:rPr>
            <a:t>484</a:t>
          </a:r>
        </a:p>
      </cdr:txBody>
    </cdr:sp>
  </cdr:relSizeAnchor>
  <cdr:relSizeAnchor xmlns:cdr="http://schemas.openxmlformats.org/drawingml/2006/chartDrawing">
    <cdr:from>
      <cdr:x>0.00524</cdr:x>
      <cdr:y>0.02589</cdr:y>
    </cdr:from>
    <cdr:to>
      <cdr:x>0.06989</cdr:x>
      <cdr:y>0.11218</cdr:y>
    </cdr:to>
    <cdr:sp macro="" textlink="">
      <cdr:nvSpPr>
        <cdr:cNvPr id="4" name="TextBox 3">
          <a:extLst xmlns:a="http://schemas.openxmlformats.org/drawingml/2006/main">
            <a:ext uri="{FF2B5EF4-FFF2-40B4-BE49-F238E27FC236}">
              <a16:creationId xmlns:a16="http://schemas.microsoft.com/office/drawing/2014/main" id="{AAC3C94E-86F3-4D65-A5B5-F00EFF49EADC}"/>
            </a:ext>
          </a:extLst>
        </cdr:cNvPr>
        <cdr:cNvSpPr txBox="1"/>
      </cdr:nvSpPr>
      <cdr:spPr>
        <a:xfrm xmlns:a="http://schemas.openxmlformats.org/drawingml/2006/main">
          <a:off x="29950" y="108000"/>
          <a:ext cx="369422" cy="35999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b="1">
              <a:latin typeface="Times New Roman" panose="02020603050405020304" pitchFamily="18" charset="0"/>
              <a:cs typeface="Times New Roman" panose="02020603050405020304" pitchFamily="18" charset="0"/>
            </a:rPr>
            <a:t>c)</a:t>
          </a:r>
        </a:p>
      </cdr:txBody>
    </cdr:sp>
  </cdr:relSizeAnchor>
</c:userShapes>
</file>

<file path=xl/drawings/drawing7.xml><?xml version="1.0" encoding="utf-8"?>
<c:userShapes xmlns:c="http://schemas.openxmlformats.org/drawingml/2006/chart">
  <cdr:relSizeAnchor xmlns:cdr="http://schemas.openxmlformats.org/drawingml/2006/chartDrawing">
    <cdr:from>
      <cdr:x>0.29406</cdr:x>
      <cdr:y>0.73402</cdr:y>
    </cdr:from>
    <cdr:to>
      <cdr:x>0.42947</cdr:x>
      <cdr:y>0.80103</cdr:y>
    </cdr:to>
    <cdr:sp macro="" textlink="">
      <cdr:nvSpPr>
        <cdr:cNvPr id="3" name="TextBox 2">
          <a:extLst xmlns:a="http://schemas.openxmlformats.org/drawingml/2006/main">
            <a:ext uri="{FF2B5EF4-FFF2-40B4-BE49-F238E27FC236}">
              <a16:creationId xmlns:a16="http://schemas.microsoft.com/office/drawing/2014/main" id="{FC7B20B3-1E62-44BF-98EB-AC17DA1D451B}"/>
            </a:ext>
          </a:extLst>
        </cdr:cNvPr>
        <cdr:cNvSpPr txBox="1"/>
      </cdr:nvSpPr>
      <cdr:spPr>
        <a:xfrm xmlns:a="http://schemas.openxmlformats.org/drawingml/2006/main">
          <a:off x="1378238" y="2202697"/>
          <a:ext cx="634657" cy="201087"/>
        </a:xfrm>
        <a:prstGeom xmlns:a="http://schemas.openxmlformats.org/drawingml/2006/main" prst="rect">
          <a:avLst/>
        </a:prstGeom>
        <a:solidFill xmlns:a="http://schemas.openxmlformats.org/drawingml/2006/main">
          <a:schemeClr val="bg1"/>
        </a:solidFill>
        <a:ln xmlns:a="http://schemas.openxmlformats.org/drawingml/2006/main">
          <a:solidFill>
            <a:schemeClr val="bg1">
              <a:lumMod val="50000"/>
            </a:schemeClr>
          </a:solidFill>
        </a:ln>
      </cdr:spPr>
      <cdr:txBody>
        <a:bodyPr xmlns:a="http://schemas.openxmlformats.org/drawingml/2006/main" vertOverflow="clip" wrap="square" rtlCol="0" anchor="ctr"/>
        <a:lstStyle xmlns:a="http://schemas.openxmlformats.org/drawingml/2006/main"/>
        <a:p xmlns:a="http://schemas.openxmlformats.org/drawingml/2006/main">
          <a:pPr marL="0" indent="0" algn="ctr"/>
          <a:r>
            <a:rPr lang="en-GB" sz="1100" b="0" i="1" baseline="0">
              <a:latin typeface="Times New Roman" panose="02020603050405020304" pitchFamily="18" charset="0"/>
              <a:ea typeface="+mn-ea"/>
              <a:cs typeface="Times New Roman" panose="02020603050405020304" pitchFamily="18" charset="0"/>
            </a:rPr>
            <a:t>n = </a:t>
          </a:r>
          <a:r>
            <a:rPr lang="en-GB" sz="1100" b="0" i="0" baseline="0">
              <a:latin typeface="Times New Roman" panose="02020603050405020304" pitchFamily="18" charset="0"/>
              <a:ea typeface="+mn-ea"/>
              <a:cs typeface="Times New Roman" panose="02020603050405020304" pitchFamily="18" charset="0"/>
            </a:rPr>
            <a:t>648</a:t>
          </a:r>
        </a:p>
      </cdr:txBody>
    </cdr:sp>
  </cdr:relSizeAnchor>
  <cdr:relSizeAnchor xmlns:cdr="http://schemas.openxmlformats.org/drawingml/2006/chartDrawing">
    <cdr:from>
      <cdr:x>0.00524</cdr:x>
      <cdr:y>0.02589</cdr:y>
    </cdr:from>
    <cdr:to>
      <cdr:x>0.07899</cdr:x>
      <cdr:y>0.11218</cdr:y>
    </cdr:to>
    <cdr:sp macro="" textlink="">
      <cdr:nvSpPr>
        <cdr:cNvPr id="4" name="TextBox 3">
          <a:extLst xmlns:a="http://schemas.openxmlformats.org/drawingml/2006/main">
            <a:ext uri="{FF2B5EF4-FFF2-40B4-BE49-F238E27FC236}">
              <a16:creationId xmlns:a16="http://schemas.microsoft.com/office/drawing/2014/main" id="{AAC3C94E-86F3-4D65-A5B5-F00EFF49EADC}"/>
            </a:ext>
          </a:extLst>
        </cdr:cNvPr>
        <cdr:cNvSpPr txBox="1"/>
      </cdr:nvSpPr>
      <cdr:spPr>
        <a:xfrm xmlns:a="http://schemas.openxmlformats.org/drawingml/2006/main">
          <a:off x="29696" y="108012"/>
          <a:ext cx="417977" cy="3599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b="1">
              <a:latin typeface="Times New Roman" panose="02020603050405020304" pitchFamily="18" charset="0"/>
              <a:cs typeface="Times New Roman" panose="02020603050405020304" pitchFamily="18" charset="0"/>
            </a:rPr>
            <a:t>d)</a:t>
          </a:r>
        </a:p>
      </cdr:txBody>
    </cdr:sp>
  </cdr:relSizeAnchor>
</c:userShapes>
</file>

<file path=xl/drawings/drawing8.xml><?xml version="1.0" encoding="utf-8"?>
<xdr:wsDr xmlns:xdr="http://schemas.openxmlformats.org/drawingml/2006/spreadsheetDrawing" xmlns:a="http://schemas.openxmlformats.org/drawingml/2006/main">
  <xdr:absoluteAnchor>
    <xdr:pos x="0" y="0"/>
    <xdr:ext cx="9291205" cy="6070023"/>
    <xdr:graphicFrame macro="">
      <xdr:nvGraphicFramePr>
        <xdr:cNvPr id="2" name="Chart 1">
          <a:extLst>
            <a:ext uri="{FF2B5EF4-FFF2-40B4-BE49-F238E27FC236}">
              <a16:creationId xmlns:a16="http://schemas.microsoft.com/office/drawing/2014/main" id="{CC7E0CFB-E91E-4867-B9AB-13F1EADDE1B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0.50761</cdr:x>
      <cdr:y>0.11917</cdr:y>
    </cdr:from>
    <cdr:to>
      <cdr:x>0.99323</cdr:x>
      <cdr:y>0.85363</cdr:y>
    </cdr:to>
    <cdr:graphicFrame macro="">
      <cdr:nvGraphicFramePr>
        <cdr:cNvPr id="3" name="Chart 2">
          <a:extLst xmlns:a="http://schemas.openxmlformats.org/drawingml/2006/main">
            <a:ext uri="{FF2B5EF4-FFF2-40B4-BE49-F238E27FC236}">
              <a16:creationId xmlns:a16="http://schemas.microsoft.com/office/drawing/2014/main" id="{63D1D9AF-122F-4654-9DD1-25288F369E3A}"/>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cdr:graphicFrame>
  </cdr:relSizeAnchor>
  <cdr:relSizeAnchor xmlns:cdr="http://schemas.openxmlformats.org/drawingml/2006/chartDrawing">
    <cdr:from>
      <cdr:x>0.00424</cdr:x>
      <cdr:y>0.12064</cdr:y>
    </cdr:from>
    <cdr:to>
      <cdr:x>0.50154</cdr:x>
      <cdr:y>0.82518</cdr:y>
    </cdr:to>
    <cdr:graphicFrame macro="">
      <cdr:nvGraphicFramePr>
        <cdr:cNvPr id="4" name="Chart 1">
          <a:extLst xmlns:a="http://schemas.openxmlformats.org/drawingml/2006/main">
            <a:ext uri="{FF2B5EF4-FFF2-40B4-BE49-F238E27FC236}">
              <a16:creationId xmlns:a16="http://schemas.microsoft.com/office/drawing/2014/main" id="{6FFC192A-9053-440F-9C68-E738491FC5A2}"/>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cdr:graphicFrame>
  </cdr:relSizeAnchor>
</c:userShapes>
</file>

<file path=xl/drawings/drawing10.xml><?xml version="1.0" encoding="utf-8"?>
<c:userShapes xmlns:c="http://schemas.openxmlformats.org/drawingml/2006/chart">
  <cdr:relSizeAnchor xmlns:cdr="http://schemas.openxmlformats.org/drawingml/2006/chartDrawing">
    <cdr:from>
      <cdr:x>0.00932</cdr:x>
      <cdr:y>0.00089</cdr:y>
    </cdr:from>
    <cdr:to>
      <cdr:x>0.08726</cdr:x>
      <cdr:y>0.06756</cdr:y>
    </cdr:to>
    <cdr:sp macro="" textlink="">
      <cdr:nvSpPr>
        <cdr:cNvPr id="3" name="TextBox 2">
          <a:extLst xmlns:a="http://schemas.openxmlformats.org/drawingml/2006/main">
            <a:ext uri="{FF2B5EF4-FFF2-40B4-BE49-F238E27FC236}">
              <a16:creationId xmlns:a16="http://schemas.microsoft.com/office/drawing/2014/main" id="{F8D3C16E-AA4E-4069-A428-C41C6AB771D4}"/>
            </a:ext>
          </a:extLst>
        </cdr:cNvPr>
        <cdr:cNvSpPr txBox="1"/>
      </cdr:nvSpPr>
      <cdr:spPr>
        <a:xfrm xmlns:a="http://schemas.openxmlformats.org/drawingml/2006/main">
          <a:off x="42112" y="3972"/>
          <a:ext cx="352172" cy="29758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400" b="1">
              <a:latin typeface="Times New Roman" panose="02020603050405020304" pitchFamily="18" charset="0"/>
              <a:cs typeface="Times New Roman" panose="02020603050405020304" pitchFamily="18" charset="0"/>
            </a:rPr>
            <a:t>b)</a:t>
          </a:r>
        </a:p>
      </cdr:txBody>
    </cdr:sp>
  </cdr:relSizeAnchor>
  <cdr:relSizeAnchor xmlns:cdr="http://schemas.openxmlformats.org/drawingml/2006/chartDrawing">
    <cdr:from>
      <cdr:x>0.12969</cdr:x>
      <cdr:y>0.81022</cdr:y>
    </cdr:from>
    <cdr:to>
      <cdr:x>0.27465</cdr:x>
      <cdr:y>0.86419</cdr:y>
    </cdr:to>
    <cdr:sp macro="" textlink="">
      <cdr:nvSpPr>
        <cdr:cNvPr id="4" name="TextBox 1">
          <a:extLst xmlns:a="http://schemas.openxmlformats.org/drawingml/2006/main">
            <a:ext uri="{FF2B5EF4-FFF2-40B4-BE49-F238E27FC236}">
              <a16:creationId xmlns:a16="http://schemas.microsoft.com/office/drawing/2014/main" id="{AB5BC300-3A5B-4456-8D28-69E8FCBCDB5B}"/>
            </a:ext>
          </a:extLst>
        </cdr:cNvPr>
        <cdr:cNvSpPr txBox="1"/>
      </cdr:nvSpPr>
      <cdr:spPr>
        <a:xfrm xmlns:a="http://schemas.openxmlformats.org/drawingml/2006/main">
          <a:off x="586003" y="3616329"/>
          <a:ext cx="655011" cy="240890"/>
        </a:xfrm>
        <a:prstGeom xmlns:a="http://schemas.openxmlformats.org/drawingml/2006/main" prst="rect">
          <a:avLst/>
        </a:prstGeom>
        <a:ln xmlns:a="http://schemas.openxmlformats.org/drawingml/2006/main">
          <a:solidFill>
            <a:schemeClr val="bg1">
              <a:lumMod val="50000"/>
            </a:schemeClr>
          </a:solid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200" b="0" i="1">
              <a:latin typeface="Times New Roman" panose="02020603050405020304" pitchFamily="18" charset="0"/>
              <a:cs typeface="Times New Roman" panose="02020603050405020304" pitchFamily="18" charset="0"/>
            </a:rPr>
            <a:t>n </a:t>
          </a:r>
          <a:r>
            <a:rPr lang="en-GB" sz="1200" b="0" i="0">
              <a:latin typeface="Times New Roman" panose="02020603050405020304" pitchFamily="18" charset="0"/>
              <a:cs typeface="Times New Roman" panose="02020603050405020304" pitchFamily="18" charset="0"/>
            </a:rPr>
            <a:t>= 366</a:t>
          </a:r>
        </a:p>
      </cdr:txBody>
    </cdr:sp>
  </cdr:relSizeAnchor>
  <cdr:relSizeAnchor xmlns:cdr="http://schemas.openxmlformats.org/drawingml/2006/chartDrawing">
    <cdr:from>
      <cdr:x>0.52294</cdr:x>
      <cdr:y>0.32032</cdr:y>
    </cdr:from>
    <cdr:to>
      <cdr:x>0.76274</cdr:x>
      <cdr:y>0.45641</cdr:y>
    </cdr:to>
    <cdr:sp macro="" textlink="">
      <cdr:nvSpPr>
        <cdr:cNvPr id="5" name="TextBox 1">
          <a:extLst xmlns:a="http://schemas.openxmlformats.org/drawingml/2006/main">
            <a:ext uri="{FF2B5EF4-FFF2-40B4-BE49-F238E27FC236}">
              <a16:creationId xmlns:a16="http://schemas.microsoft.com/office/drawing/2014/main" id="{ADF28DC8-D7AE-4C20-B2AA-B8EE0D44670F}"/>
            </a:ext>
          </a:extLst>
        </cdr:cNvPr>
        <cdr:cNvSpPr txBox="1"/>
      </cdr:nvSpPr>
      <cdr:spPr>
        <a:xfrm xmlns:a="http://schemas.openxmlformats.org/drawingml/2006/main">
          <a:off x="2362901" y="1429714"/>
          <a:ext cx="1083517" cy="607423"/>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GB" sz="1200" b="0" i="0">
              <a:latin typeface="Times New Roman" panose="02020603050405020304" pitchFamily="18" charset="0"/>
              <a:cs typeface="Times New Roman" panose="02020603050405020304" pitchFamily="18" charset="0"/>
            </a:rPr>
            <a:t>CLASSIC LINEAR SOLUTION</a:t>
          </a:r>
        </a:p>
      </cdr:txBody>
    </cdr:sp>
  </cdr:relSizeAnchor>
</c:userShapes>
</file>

<file path=xl/drawings/drawing11.xml><?xml version="1.0" encoding="utf-8"?>
<c:userShapes xmlns:c="http://schemas.openxmlformats.org/drawingml/2006/chart">
  <cdr:relSizeAnchor xmlns:cdr="http://schemas.openxmlformats.org/drawingml/2006/chartDrawing">
    <cdr:from>
      <cdr:x>0.00991</cdr:x>
      <cdr:y>0.01031</cdr:y>
    </cdr:from>
    <cdr:to>
      <cdr:x>0.08788</cdr:x>
      <cdr:y>0.07862</cdr:y>
    </cdr:to>
    <cdr:sp macro="" textlink="">
      <cdr:nvSpPr>
        <cdr:cNvPr id="2" name="TextBox 1">
          <a:extLst xmlns:a="http://schemas.openxmlformats.org/drawingml/2006/main">
            <a:ext uri="{FF2B5EF4-FFF2-40B4-BE49-F238E27FC236}">
              <a16:creationId xmlns:a16="http://schemas.microsoft.com/office/drawing/2014/main" id="{D5A35F45-493E-4025-8042-B2AC0A4D3BEF}"/>
            </a:ext>
          </a:extLst>
        </cdr:cNvPr>
        <cdr:cNvSpPr txBox="1"/>
      </cdr:nvSpPr>
      <cdr:spPr>
        <a:xfrm xmlns:a="http://schemas.openxmlformats.org/drawingml/2006/main">
          <a:off x="45856" y="44143"/>
          <a:ext cx="360784" cy="29247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400" b="1">
              <a:latin typeface="Times New Roman" panose="02020603050405020304" pitchFamily="18" charset="0"/>
              <a:cs typeface="Times New Roman" panose="02020603050405020304" pitchFamily="18" charset="0"/>
            </a:rPr>
            <a:t>a)</a:t>
          </a:r>
        </a:p>
      </cdr:txBody>
    </cdr:sp>
  </cdr:relSizeAnchor>
  <cdr:relSizeAnchor xmlns:cdr="http://schemas.openxmlformats.org/drawingml/2006/chartDrawing">
    <cdr:from>
      <cdr:x>0.13025</cdr:x>
      <cdr:y>0.81207</cdr:y>
    </cdr:from>
    <cdr:to>
      <cdr:x>0.2739</cdr:x>
      <cdr:y>0.86604</cdr:y>
    </cdr:to>
    <cdr:sp macro="" textlink="">
      <cdr:nvSpPr>
        <cdr:cNvPr id="3" name="TextBox 2">
          <a:extLst xmlns:a="http://schemas.openxmlformats.org/drawingml/2006/main">
            <a:ext uri="{FF2B5EF4-FFF2-40B4-BE49-F238E27FC236}">
              <a16:creationId xmlns:a16="http://schemas.microsoft.com/office/drawing/2014/main" id="{31E36799-AB0F-4C22-894A-7E18EE8D79B5}"/>
            </a:ext>
          </a:extLst>
        </cdr:cNvPr>
        <cdr:cNvSpPr txBox="1"/>
      </cdr:nvSpPr>
      <cdr:spPr>
        <a:xfrm xmlns:a="http://schemas.openxmlformats.org/drawingml/2006/main">
          <a:off x="666298" y="3992336"/>
          <a:ext cx="734786" cy="265339"/>
        </a:xfrm>
        <a:prstGeom xmlns:a="http://schemas.openxmlformats.org/drawingml/2006/main" prst="rect">
          <a:avLst/>
        </a:prstGeom>
        <a:ln xmlns:a="http://schemas.openxmlformats.org/drawingml/2006/main">
          <a:solidFill>
            <a:schemeClr val="bg1">
              <a:lumMod val="50000"/>
            </a:schemeClr>
          </a:solidFill>
        </a:ln>
      </cdr:spPr>
      <cdr:txBody>
        <a:bodyPr xmlns:a="http://schemas.openxmlformats.org/drawingml/2006/main" vertOverflow="clip" wrap="square" rtlCol="0" anchor="ctr"/>
        <a:lstStyle xmlns:a="http://schemas.openxmlformats.org/drawingml/2006/main"/>
        <a:p xmlns:a="http://schemas.openxmlformats.org/drawingml/2006/main">
          <a:pPr algn="ctr"/>
          <a:r>
            <a:rPr lang="en-GB" sz="1200" b="0" i="1">
              <a:latin typeface="Times New Roman" panose="02020603050405020304" pitchFamily="18" charset="0"/>
              <a:cs typeface="Times New Roman" panose="02020603050405020304" pitchFamily="18" charset="0"/>
            </a:rPr>
            <a:t>n </a:t>
          </a:r>
          <a:r>
            <a:rPr lang="en-GB" sz="1200" b="0" i="0" u="none">
              <a:latin typeface="Times New Roman" panose="02020603050405020304" pitchFamily="18" charset="0"/>
              <a:cs typeface="Times New Roman" panose="02020603050405020304" pitchFamily="18" charset="0"/>
            </a:rPr>
            <a:t>= 484</a:t>
          </a:r>
        </a:p>
      </cdr:txBody>
    </cdr:sp>
  </cdr:relSizeAnchor>
  <cdr:relSizeAnchor xmlns:cdr="http://schemas.openxmlformats.org/drawingml/2006/chartDrawing">
    <cdr:from>
      <cdr:x>0.47411</cdr:x>
      <cdr:y>0.32309</cdr:y>
    </cdr:from>
    <cdr:to>
      <cdr:x>0.72133</cdr:x>
      <cdr:y>0.45918</cdr:y>
    </cdr:to>
    <cdr:sp macro="" textlink="">
      <cdr:nvSpPr>
        <cdr:cNvPr id="4" name="TextBox 1">
          <a:extLst xmlns:a="http://schemas.openxmlformats.org/drawingml/2006/main">
            <a:ext uri="{FF2B5EF4-FFF2-40B4-BE49-F238E27FC236}">
              <a16:creationId xmlns:a16="http://schemas.microsoft.com/office/drawing/2014/main" id="{48EB7402-7A1A-4416-946C-7A89AB6BEFB5}"/>
            </a:ext>
          </a:extLst>
        </cdr:cNvPr>
        <cdr:cNvSpPr txBox="1"/>
      </cdr:nvSpPr>
      <cdr:spPr>
        <a:xfrm xmlns:a="http://schemas.openxmlformats.org/drawingml/2006/main">
          <a:off x="2198599" y="1388234"/>
          <a:ext cx="1146455" cy="584744"/>
        </a:xfrm>
        <a:prstGeom xmlns:a="http://schemas.openxmlformats.org/drawingml/2006/main" prst="rect">
          <a:avLst/>
        </a:prstGeom>
        <a:ln xmlns:a="http://schemas.openxmlformats.org/drawingml/2006/main">
          <a:noFill/>
        </a:ln>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en-GB" sz="1200" b="0" i="0">
              <a:latin typeface="Times New Roman" panose="02020603050405020304" pitchFamily="18" charset="0"/>
              <a:cs typeface="Times New Roman" panose="02020603050405020304" pitchFamily="18" charset="0"/>
            </a:rPr>
            <a:t>CLASSIC LINEAR SOLUTION</a:t>
          </a:r>
        </a:p>
      </cdr:txBody>
    </cdr:sp>
  </cdr:relSizeAnchor>
</c:userShapes>
</file>

<file path=xl/drawings/drawing12.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017414A7-C755-4F8C-AF8A-D22CCBEBB79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c:userShapes xmlns:c="http://schemas.openxmlformats.org/drawingml/2006/chart">
  <cdr:relSizeAnchor xmlns:cdr="http://schemas.openxmlformats.org/drawingml/2006/chartDrawing">
    <cdr:from>
      <cdr:x>0.50568</cdr:x>
      <cdr:y>0.51304</cdr:y>
    </cdr:from>
    <cdr:to>
      <cdr:x>1</cdr:x>
      <cdr:y>1</cdr:y>
    </cdr:to>
    <cdr:graphicFrame macro="">
      <cdr:nvGraphicFramePr>
        <cdr:cNvPr id="6" name="Chart 2">
          <a:extLst xmlns:a="http://schemas.openxmlformats.org/drawingml/2006/main">
            <a:ext uri="{FF2B5EF4-FFF2-40B4-BE49-F238E27FC236}">
              <a16:creationId xmlns:a16="http://schemas.microsoft.com/office/drawing/2014/main" id="{56447D87-691B-4DB0-8AA4-D78DB906ED95}"/>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cdr:graphicFrame>
  </cdr:relSizeAnchor>
  <cdr:relSizeAnchor xmlns:cdr="http://schemas.openxmlformats.org/drawingml/2006/chartDrawing">
    <cdr:from>
      <cdr:x>0</cdr:x>
      <cdr:y>0.51304</cdr:y>
    </cdr:from>
    <cdr:to>
      <cdr:x>0.50568</cdr:x>
      <cdr:y>1</cdr:y>
    </cdr:to>
    <cdr:graphicFrame macro="">
      <cdr:nvGraphicFramePr>
        <cdr:cNvPr id="7" name="Chart 4">
          <a:extLst xmlns:a="http://schemas.openxmlformats.org/drawingml/2006/main">
            <a:ext uri="{FF2B5EF4-FFF2-40B4-BE49-F238E27FC236}">
              <a16:creationId xmlns:a16="http://schemas.microsoft.com/office/drawing/2014/main" id="{6125BF96-83BC-45A2-B57A-B925EE5D6FC8}"/>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cdr:graphicFrame>
  </cdr:relSizeAnchor>
  <cdr:relSizeAnchor xmlns:cdr="http://schemas.openxmlformats.org/drawingml/2006/chartDrawing">
    <cdr:from>
      <cdr:x>0.50568</cdr:x>
      <cdr:y>0</cdr:y>
    </cdr:from>
    <cdr:to>
      <cdr:x>1</cdr:x>
      <cdr:y>0.51304</cdr:y>
    </cdr:to>
    <cdr:graphicFrame macro="">
      <cdr:nvGraphicFramePr>
        <cdr:cNvPr id="8" name="Chart 7">
          <a:extLst xmlns:a="http://schemas.openxmlformats.org/drawingml/2006/main">
            <a:ext uri="{FF2B5EF4-FFF2-40B4-BE49-F238E27FC236}">
              <a16:creationId xmlns:a16="http://schemas.microsoft.com/office/drawing/2014/main" id="{281ED322-9206-4278-B55B-80259DF8858E}"/>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cdr:graphicFrame>
  </cdr:relSizeAnchor>
  <cdr:relSizeAnchor xmlns:cdr="http://schemas.openxmlformats.org/drawingml/2006/chartDrawing">
    <cdr:from>
      <cdr:x>0</cdr:x>
      <cdr:y>0.00145</cdr:y>
    </cdr:from>
    <cdr:to>
      <cdr:x>0.50568</cdr:x>
      <cdr:y>0.51304</cdr:y>
    </cdr:to>
    <cdr:graphicFrame macro="">
      <cdr:nvGraphicFramePr>
        <cdr:cNvPr id="9" name="Chart 9">
          <a:extLst xmlns:a="http://schemas.openxmlformats.org/drawingml/2006/main">
            <a:ext uri="{FF2B5EF4-FFF2-40B4-BE49-F238E27FC236}">
              <a16:creationId xmlns:a16="http://schemas.microsoft.com/office/drawing/2014/main" id="{F0E0623C-A026-4BF4-930E-8F4453A0DFE7}"/>
            </a:ext>
          </a:extLst>
        </cdr:cNvPr>
        <cdr:cNvGraphicFramePr/>
      </cdr:nvGraphicFramePr>
      <cdr:xfrm>
        <a:off xmlns:a="http://schemas.openxmlformats.org/drawingml/2006/main" x="0" y="0"/>
        <a:ext xmlns:a="http://schemas.openxmlformats.org/drawingml/2006/main" cx="0" cy="0"/>
      </cdr: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cdr:graphicFrame>
  </cdr:relSizeAnchor>
</c:userShapes>
</file>

<file path=xl/drawings/drawing14.xml><?xml version="1.0" encoding="utf-8"?>
<xdr:wsDr xmlns:xdr="http://schemas.openxmlformats.org/drawingml/2006/spreadsheetDrawing" xmlns:a="http://schemas.openxmlformats.org/drawingml/2006/main">
  <xdr:twoCellAnchor>
    <xdr:from>
      <xdr:col>2</xdr:col>
      <xdr:colOff>601738</xdr:colOff>
      <xdr:row>20</xdr:row>
      <xdr:rowOff>157238</xdr:rowOff>
    </xdr:from>
    <xdr:to>
      <xdr:col>8</xdr:col>
      <xdr:colOff>393096</xdr:colOff>
      <xdr:row>34</xdr:row>
      <xdr:rowOff>169333</xdr:rowOff>
    </xdr:to>
    <xdr:sp macro="" textlink="">
      <xdr:nvSpPr>
        <xdr:cNvPr id="2" name="TextBox 1">
          <a:extLst>
            <a:ext uri="{FF2B5EF4-FFF2-40B4-BE49-F238E27FC236}">
              <a16:creationId xmlns:a16="http://schemas.microsoft.com/office/drawing/2014/main" id="{94268737-FE63-4181-8D25-7D0BB49599EA}"/>
            </a:ext>
          </a:extLst>
        </xdr:cNvPr>
        <xdr:cNvSpPr txBox="1"/>
      </xdr:nvSpPr>
      <xdr:spPr>
        <a:xfrm>
          <a:off x="1977571" y="4189488"/>
          <a:ext cx="3918858" cy="28272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Biased skewness calculated in Matlab.</a:t>
          </a:r>
          <a:r>
            <a:rPr lang="en-GB" sz="1100" baseline="0"/>
            <a:t> Excel calculates the unbiased skewness so a correction formula has been applied to match Matlab's result.</a:t>
          </a:r>
          <a:endParaRPr lang="en-GB" sz="1100"/>
        </a:p>
        <a:p>
          <a:endParaRPr lang="en-GB" sz="1100"/>
        </a:p>
        <a:p>
          <a:r>
            <a:rPr lang="en-GB" sz="1100"/>
            <a:t>Biased kurtosis</a:t>
          </a:r>
          <a:r>
            <a:rPr lang="en-GB" sz="1100" baseline="0"/>
            <a:t> calcuated in Matlab. Excel calculates the unbiased excess kurtosis so a correction formula has been applied to mat.ch Matlab's result.</a:t>
          </a:r>
        </a:p>
        <a:p>
          <a:endParaRPr lang="en-GB" sz="1100" baseline="0"/>
        </a:p>
        <a:p>
          <a:r>
            <a:rPr lang="en-GB" sz="1100" baseline="0"/>
            <a:t>Excel requires at least 4 values to calculate a kurtosis. The value in the manuscript was calculated with Matlab.</a:t>
          </a:r>
        </a:p>
        <a:p>
          <a:endParaRPr lang="en-GB" sz="1100" baseline="0"/>
        </a:p>
        <a:p>
          <a:r>
            <a:rPr lang="en-GB" sz="1100" baseline="0"/>
            <a:t>Table 1 in the manuscript may differ slightly due to rounding to two significant figures.</a:t>
          </a:r>
        </a:p>
        <a:p>
          <a:endParaRPr lang="en-GB" sz="1100"/>
        </a:p>
        <a:p>
          <a:r>
            <a:rPr lang="en-GB" sz="1100"/>
            <a:t>This table only relates</a:t>
          </a:r>
          <a:r>
            <a:rPr lang="en-GB" sz="1100" baseline="0"/>
            <a:t> to specimens where a test was carried out and have both a lambda and chi value associated with them.</a:t>
          </a:r>
          <a:endParaRPr lang="en-GB"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10</xdr:col>
      <xdr:colOff>171450</xdr:colOff>
      <xdr:row>6</xdr:row>
      <xdr:rowOff>19050</xdr:rowOff>
    </xdr:from>
    <xdr:to>
      <xdr:col>13</xdr:col>
      <xdr:colOff>552450</xdr:colOff>
      <xdr:row>11</xdr:row>
      <xdr:rowOff>66675</xdr:rowOff>
    </xdr:to>
    <xdr:sp macro="" textlink="">
      <xdr:nvSpPr>
        <xdr:cNvPr id="2" name="TextBox 1">
          <a:extLst>
            <a:ext uri="{FF2B5EF4-FFF2-40B4-BE49-F238E27FC236}">
              <a16:creationId xmlns:a16="http://schemas.microsoft.com/office/drawing/2014/main" id="{0E92EA60-C7C5-4E6F-B0C2-F0F98013B872}"/>
            </a:ext>
          </a:extLst>
        </xdr:cNvPr>
        <xdr:cNvSpPr txBox="1"/>
      </xdr:nvSpPr>
      <xdr:spPr>
        <a:xfrm>
          <a:off x="7248525" y="1228725"/>
          <a:ext cx="243840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has</a:t>
          </a:r>
          <a:r>
            <a:rPr lang="en-GB" sz="1100" baseline="0">
              <a:solidFill>
                <a:schemeClr val="dk1"/>
              </a:solidFill>
              <a:effectLst/>
              <a:latin typeface="+mn-lt"/>
              <a:ea typeface="+mn-ea"/>
              <a:cs typeface="+mn-cs"/>
            </a:rPr>
            <a:t> been limited to just the specimens where a lab test was conducted (either an alpha or a chi value exists).</a:t>
          </a:r>
          <a:endParaRPr lang="en-GB"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85723</xdr:rowOff>
    </xdr:from>
    <xdr:to>
      <xdr:col>28</xdr:col>
      <xdr:colOff>323850</xdr:colOff>
      <xdr:row>31</xdr:row>
      <xdr:rowOff>38100</xdr:rowOff>
    </xdr:to>
    <xdr:graphicFrame macro="">
      <xdr:nvGraphicFramePr>
        <xdr:cNvPr id="7" name="Chart 6">
          <a:extLst>
            <a:ext uri="{FF2B5EF4-FFF2-40B4-BE49-F238E27FC236}">
              <a16:creationId xmlns:a16="http://schemas.microsoft.com/office/drawing/2014/main" id="{51E455EC-072C-4955-9377-5BD3568A8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31</xdr:row>
      <xdr:rowOff>43543</xdr:rowOff>
    </xdr:from>
    <xdr:to>
      <xdr:col>9</xdr:col>
      <xdr:colOff>319768</xdr:colOff>
      <xdr:row>50</xdr:row>
      <xdr:rowOff>1</xdr:rowOff>
    </xdr:to>
    <xdr:graphicFrame macro="">
      <xdr:nvGraphicFramePr>
        <xdr:cNvPr id="2" name="Chart 1">
          <a:extLst>
            <a:ext uri="{FF2B5EF4-FFF2-40B4-BE49-F238E27FC236}">
              <a16:creationId xmlns:a16="http://schemas.microsoft.com/office/drawing/2014/main" id="{01E9924E-CFA5-462F-B8B2-5A252DC0D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333376</xdr:colOff>
      <xdr:row>31</xdr:row>
      <xdr:rowOff>43543</xdr:rowOff>
    </xdr:from>
    <xdr:to>
      <xdr:col>18</xdr:col>
      <xdr:colOff>653143</xdr:colOff>
      <xdr:row>49</xdr:row>
      <xdr:rowOff>188893</xdr:rowOff>
    </xdr:to>
    <xdr:graphicFrame macro="">
      <xdr:nvGraphicFramePr>
        <xdr:cNvPr id="3" name="Chart 2">
          <a:extLst>
            <a:ext uri="{FF2B5EF4-FFF2-40B4-BE49-F238E27FC236}">
              <a16:creationId xmlns:a16="http://schemas.microsoft.com/office/drawing/2014/main" id="{1035CA46-97E2-44E1-A076-E694CF66F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6803</xdr:colOff>
      <xdr:row>31</xdr:row>
      <xdr:rowOff>84363</xdr:rowOff>
    </xdr:from>
    <xdr:to>
      <xdr:col>28</xdr:col>
      <xdr:colOff>326571</xdr:colOff>
      <xdr:row>50</xdr:row>
      <xdr:rowOff>40821</xdr:rowOff>
    </xdr:to>
    <xdr:graphicFrame macro="">
      <xdr:nvGraphicFramePr>
        <xdr:cNvPr id="4" name="Chart 3">
          <a:extLst>
            <a:ext uri="{FF2B5EF4-FFF2-40B4-BE49-F238E27FC236}">
              <a16:creationId xmlns:a16="http://schemas.microsoft.com/office/drawing/2014/main" id="{35D22160-1ADC-450D-AB92-89C20B347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190499</xdr:colOff>
      <xdr:row>3</xdr:row>
      <xdr:rowOff>95250</xdr:rowOff>
    </xdr:from>
    <xdr:to>
      <xdr:col>44</xdr:col>
      <xdr:colOff>460374</xdr:colOff>
      <xdr:row>7</xdr:row>
      <xdr:rowOff>15875</xdr:rowOff>
    </xdr:to>
    <xdr:sp macro="" textlink="">
      <xdr:nvSpPr>
        <xdr:cNvPr id="6" name="TextBox 5">
          <a:extLst>
            <a:ext uri="{FF2B5EF4-FFF2-40B4-BE49-F238E27FC236}">
              <a16:creationId xmlns:a16="http://schemas.microsoft.com/office/drawing/2014/main" id="{635B58E8-EB95-44AF-AD5C-611CE7C19AE4}"/>
            </a:ext>
          </a:extLst>
        </xdr:cNvPr>
        <xdr:cNvSpPr txBox="1"/>
      </xdr:nvSpPr>
      <xdr:spPr>
        <a:xfrm>
          <a:off x="21351874" y="714375"/>
          <a:ext cx="9382125" cy="746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a:solidFill>
                <a:schemeClr val="dk1"/>
              </a:solidFill>
              <a:effectLst/>
              <a:latin typeface="+mn-lt"/>
              <a:ea typeface="+mn-ea"/>
              <a:cs typeface="+mn-cs"/>
            </a:rPr>
            <a:t>The ECDFs have</a:t>
          </a:r>
          <a:r>
            <a:rPr lang="en-GB" sz="1200" baseline="0">
              <a:solidFill>
                <a:schemeClr val="dk1"/>
              </a:solidFill>
              <a:effectLst/>
              <a:latin typeface="+mn-lt"/>
              <a:ea typeface="+mn-ea"/>
              <a:cs typeface="+mn-cs"/>
            </a:rPr>
            <a:t> been limited to just the specimens where a lab test was conducted (either an alpha or a chi value exists), a Young's modulus and yield stress pair exists and the manufacturing method is Long. overlap-joined.</a:t>
          </a:r>
          <a:endParaRPr lang="en-GB" sz="1200">
            <a:solidFill>
              <a:schemeClr val="dk1"/>
            </a:solidFill>
            <a:effectLst/>
            <a:latin typeface="+mn-lt"/>
            <a:ea typeface="+mn-ea"/>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142875</xdr:colOff>
      <xdr:row>1</xdr:row>
      <xdr:rowOff>85725</xdr:rowOff>
    </xdr:from>
    <xdr:to>
      <xdr:col>6</xdr:col>
      <xdr:colOff>600075</xdr:colOff>
      <xdr:row>15</xdr:row>
      <xdr:rowOff>28575</xdr:rowOff>
    </xdr:to>
    <xdr:graphicFrame macro="">
      <xdr:nvGraphicFramePr>
        <xdr:cNvPr id="2" name="Chart 1">
          <a:extLst>
            <a:ext uri="{FF2B5EF4-FFF2-40B4-BE49-F238E27FC236}">
              <a16:creationId xmlns:a16="http://schemas.microsoft.com/office/drawing/2014/main" id="{7BB027AC-EB0F-49F4-BEB0-C3211938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238125</xdr:colOff>
      <xdr:row>16</xdr:row>
      <xdr:rowOff>0</xdr:rowOff>
    </xdr:from>
    <xdr:to>
      <xdr:col>6</xdr:col>
      <xdr:colOff>609600</xdr:colOff>
      <xdr:row>19</xdr:row>
      <xdr:rowOff>57150</xdr:rowOff>
    </xdr:to>
    <xdr:sp macro="" textlink="">
      <xdr:nvSpPr>
        <xdr:cNvPr id="3" name="TextBox 2">
          <a:extLst>
            <a:ext uri="{FF2B5EF4-FFF2-40B4-BE49-F238E27FC236}">
              <a16:creationId xmlns:a16="http://schemas.microsoft.com/office/drawing/2014/main" id="{A9413EBC-5251-46F5-AE91-A2444F15F814}"/>
            </a:ext>
          </a:extLst>
        </xdr:cNvPr>
        <xdr:cNvSpPr txBox="1"/>
      </xdr:nvSpPr>
      <xdr:spPr>
        <a:xfrm>
          <a:off x="238125" y="3200400"/>
          <a:ext cx="4486275" cy="65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Empirical cumulative distribution function showing the distribution of the years in which laboratory tests were carried out. Only specimens</a:t>
          </a:r>
          <a:r>
            <a:rPr lang="en-GB" sz="1100" baseline="0">
              <a:solidFill>
                <a:schemeClr val="dk1"/>
              </a:solidFill>
              <a:effectLst/>
              <a:latin typeface="+mn-lt"/>
              <a:ea typeface="+mn-ea"/>
              <a:cs typeface="+mn-cs"/>
            </a:rPr>
            <a:t> with a normalised failure load Chi or alpha have been included in this plot.</a:t>
          </a:r>
          <a:endParaRPr lang="en-GB" sz="1100">
            <a:solidFill>
              <a:schemeClr val="dk1"/>
            </a:solidFill>
            <a:effectLst/>
            <a:latin typeface="+mn-lt"/>
            <a:ea typeface="+mn-ea"/>
            <a:cs typeface="+mn-cs"/>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xdr:col>
      <xdr:colOff>38100</xdr:colOff>
      <xdr:row>8</xdr:row>
      <xdr:rowOff>133351</xdr:rowOff>
    </xdr:from>
    <xdr:to>
      <xdr:col>11</xdr:col>
      <xdr:colOff>561976</xdr:colOff>
      <xdr:row>11</xdr:row>
      <xdr:rowOff>66676</xdr:rowOff>
    </xdr:to>
    <xdr:sp macro="" textlink="">
      <xdr:nvSpPr>
        <xdr:cNvPr id="2" name="TextBox 1">
          <a:extLst>
            <a:ext uri="{FF2B5EF4-FFF2-40B4-BE49-F238E27FC236}">
              <a16:creationId xmlns:a16="http://schemas.microsoft.com/office/drawing/2014/main" id="{704FA603-B4D5-4F84-8512-AE4C86543EB9}"/>
            </a:ext>
          </a:extLst>
        </xdr:cNvPr>
        <xdr:cNvSpPr txBox="1"/>
      </xdr:nvSpPr>
      <xdr:spPr>
        <a:xfrm>
          <a:off x="1638300" y="1533526"/>
          <a:ext cx="6696076" cy="53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Only specimens</a:t>
          </a:r>
          <a:r>
            <a:rPr lang="en-GB" sz="1100" baseline="0"/>
            <a:t> in the Lab test sheet where a normalised failure load exists (CHI or ALPHA) have been plotted on the figure. </a:t>
          </a:r>
          <a:endParaRPr lang="en-GB"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8</xdr:col>
      <xdr:colOff>9525</xdr:colOff>
      <xdr:row>36</xdr:row>
      <xdr:rowOff>0</xdr:rowOff>
    </xdr:from>
    <xdr:to>
      <xdr:col>14</xdr:col>
      <xdr:colOff>28575</xdr:colOff>
      <xdr:row>39</xdr:row>
      <xdr:rowOff>76200</xdr:rowOff>
    </xdr:to>
    <xdr:sp macro="" textlink="">
      <xdr:nvSpPr>
        <xdr:cNvPr id="2" name="TextBox 1">
          <a:extLst>
            <a:ext uri="{FF2B5EF4-FFF2-40B4-BE49-F238E27FC236}">
              <a16:creationId xmlns:a16="http://schemas.microsoft.com/office/drawing/2014/main" id="{BCF849CE-558E-49FE-9918-20E4190D4CCD}"/>
            </a:ext>
          </a:extLst>
        </xdr:cNvPr>
        <xdr:cNvSpPr txBox="1"/>
      </xdr:nvSpPr>
      <xdr:spPr>
        <a:xfrm>
          <a:off x="5495925" y="5600700"/>
          <a:ext cx="4133850" cy="676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Whiskers and outliers have been adjusted to match the plot produced by MATLAB.</a:t>
          </a:r>
        </a:p>
        <a:p>
          <a:endParaRPr lang="en-GB" sz="1100"/>
        </a:p>
      </xdr:txBody>
    </xdr:sp>
    <xdr:clientData/>
  </xdr:twoCellAnchor>
  <xdr:twoCellAnchor>
    <xdr:from>
      <xdr:col>1</xdr:col>
      <xdr:colOff>142875</xdr:colOff>
      <xdr:row>1</xdr:row>
      <xdr:rowOff>174625</xdr:rowOff>
    </xdr:from>
    <xdr:to>
      <xdr:col>11</xdr:col>
      <xdr:colOff>3175</xdr:colOff>
      <xdr:row>4</xdr:row>
      <xdr:rowOff>63500</xdr:rowOff>
    </xdr:to>
    <xdr:sp macro="" textlink="">
      <xdr:nvSpPr>
        <xdr:cNvPr id="3" name="TextBox 2">
          <a:extLst>
            <a:ext uri="{FF2B5EF4-FFF2-40B4-BE49-F238E27FC236}">
              <a16:creationId xmlns:a16="http://schemas.microsoft.com/office/drawing/2014/main" id="{A0F3D09B-C462-47CE-B5BA-458C1B9D2BFA}"/>
            </a:ext>
          </a:extLst>
        </xdr:cNvPr>
        <xdr:cNvSpPr txBox="1"/>
      </xdr:nvSpPr>
      <xdr:spPr>
        <a:xfrm>
          <a:off x="825500" y="381000"/>
          <a:ext cx="6686550" cy="50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The Box plots have</a:t>
          </a:r>
          <a:r>
            <a:rPr lang="en-GB" sz="1100" baseline="0">
              <a:solidFill>
                <a:schemeClr val="dk1"/>
              </a:solidFill>
              <a:effectLst/>
              <a:latin typeface="+mn-lt"/>
              <a:ea typeface="+mn-ea"/>
              <a:cs typeface="+mn-cs"/>
            </a:rPr>
            <a:t> been limited to just the specimens where both a normalised failure load chi and a slenderness lambda exist</a:t>
          </a:r>
          <a:endParaRPr lang="en-GB" sz="1100">
            <a:solidFill>
              <a:schemeClr val="dk1"/>
            </a:solidFill>
            <a:effectLst/>
            <a:latin typeface="+mn-lt"/>
            <a:ea typeface="+mn-ea"/>
            <a:cs typeface="+mn-cs"/>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xdr:col>
      <xdr:colOff>79375</xdr:colOff>
      <xdr:row>0</xdr:row>
      <xdr:rowOff>174625</xdr:rowOff>
    </xdr:from>
    <xdr:to>
      <xdr:col>11</xdr:col>
      <xdr:colOff>650875</xdr:colOff>
      <xdr:row>6</xdr:row>
      <xdr:rowOff>174625</xdr:rowOff>
    </xdr:to>
    <xdr:sp macro="" textlink="">
      <xdr:nvSpPr>
        <xdr:cNvPr id="2" name="TextBox 1">
          <a:extLst>
            <a:ext uri="{FF2B5EF4-FFF2-40B4-BE49-F238E27FC236}">
              <a16:creationId xmlns:a16="http://schemas.microsoft.com/office/drawing/2014/main" id="{CF053762-4B99-4F2A-B0B3-4A5DCB4C7813}"/>
            </a:ext>
          </a:extLst>
        </xdr:cNvPr>
        <xdr:cNvSpPr txBox="1"/>
      </xdr:nvSpPr>
      <xdr:spPr>
        <a:xfrm>
          <a:off x="1444625" y="174625"/>
          <a:ext cx="6715125" cy="1238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a:solidFill>
                <a:schemeClr val="dk1"/>
              </a:solidFill>
              <a:effectLst/>
              <a:latin typeface="+mn-lt"/>
              <a:ea typeface="+mn-ea"/>
              <a:cs typeface="+mn-cs"/>
            </a:rPr>
            <a:t>The ECDFs have</a:t>
          </a:r>
          <a:r>
            <a:rPr lang="en-GB" sz="1800" baseline="0">
              <a:solidFill>
                <a:schemeClr val="dk1"/>
              </a:solidFill>
              <a:effectLst/>
              <a:latin typeface="+mn-lt"/>
              <a:ea typeface="+mn-ea"/>
              <a:cs typeface="+mn-cs"/>
            </a:rPr>
            <a:t> been limited to just the specimens where a lab test was conducted (either an alpha or a chi value exists), a Young's modulus and yield stress pair exists and the manufacturing method is Long. overlap-joined</a:t>
          </a:r>
          <a:r>
            <a:rPr lang="en-GB" sz="1100" baseline="0">
              <a:solidFill>
                <a:schemeClr val="dk1"/>
              </a:solidFill>
              <a:effectLst/>
              <a:latin typeface="+mn-lt"/>
              <a:ea typeface="+mn-ea"/>
              <a:cs typeface="+mn-cs"/>
            </a:rPr>
            <a:t>.</a:t>
          </a:r>
          <a:endParaRPr lang="en-GB" sz="1800">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C8C8C8"/>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doi.org/10.1016/j.jcsr.2018.11.029" TargetMode="External"/><Relationship Id="rId13" Type="http://schemas.openxmlformats.org/officeDocument/2006/relationships/hyperlink" Target="https://ascelibrary.org/doi/pdf/10.1061/JSDEAG.0004586" TargetMode="External"/><Relationship Id="rId18" Type="http://schemas.openxmlformats.org/officeDocument/2006/relationships/hyperlink" Target="https://doi.org/10.1002/cepa.123" TargetMode="External"/><Relationship Id="rId26" Type="http://schemas.openxmlformats.org/officeDocument/2006/relationships/hyperlink" Target="http://dx.doi.org/10.1155/2015/729684" TargetMode="External"/><Relationship Id="rId39" Type="http://schemas.openxmlformats.org/officeDocument/2006/relationships/hyperlink" Target="https://era.library.ualberta.ca/items/87284774-c4ec-494c-b735-168aa1cd3c17/view/3f73195f-182a-4f58-882c-7831f6557af6/SER103.pdf" TargetMode="External"/><Relationship Id="rId3" Type="http://schemas.openxmlformats.org/officeDocument/2006/relationships/hyperlink" Target="https://doi.org/10.2514/3.2893" TargetMode="External"/><Relationship Id="rId21" Type="http://schemas.openxmlformats.org/officeDocument/2006/relationships/hyperlink" Target="https://doi.org/10.1016/0020-7683(65)90015-6" TargetMode="External"/><Relationship Id="rId34" Type="http://schemas.openxmlformats.org/officeDocument/2006/relationships/hyperlink" Target="https://core.ac.uk/reader/11813686" TargetMode="External"/><Relationship Id="rId42" Type="http://schemas.openxmlformats.org/officeDocument/2006/relationships/hyperlink" Target="https://core.ac.uk/download/pdf/42769611.pdf" TargetMode="External"/><Relationship Id="rId47" Type="http://schemas.openxmlformats.org/officeDocument/2006/relationships/printerSettings" Target="../printerSettings/printerSettings1.bin"/><Relationship Id="rId7" Type="http://schemas.openxmlformats.org/officeDocument/2006/relationships/hyperlink" Target="https://doi.org/10.1007/s13296-015-0159-0" TargetMode="External"/><Relationship Id="rId12" Type="http://schemas.openxmlformats.org/officeDocument/2006/relationships/hyperlink" Target="https://ascelibrary.org/doi/pdf/10.1061/JSDEAG.0004591" TargetMode="External"/><Relationship Id="rId17" Type="http://schemas.openxmlformats.org/officeDocument/2006/relationships/hyperlink" Target="https://authors.library.caltech.edu/50462/" TargetMode="External"/><Relationship Id="rId25" Type="http://schemas.openxmlformats.org/officeDocument/2006/relationships/hyperlink" Target="http://cybra.p.lodz.pl/Content/6356/AER_56_12.pdf" TargetMode="External"/><Relationship Id="rId33" Type="http://schemas.openxmlformats.org/officeDocument/2006/relationships/hyperlink" Target="https://link.springer.com/article/10.1007/BF02323088" TargetMode="External"/><Relationship Id="rId38" Type="http://schemas.openxmlformats.org/officeDocument/2006/relationships/hyperlink" Target="https://ntrs.nasa.gov/citations/19930091707" TargetMode="External"/><Relationship Id="rId46" Type="http://schemas.openxmlformats.org/officeDocument/2006/relationships/hyperlink" Target="https://thesis.library.caltech.edu/727/1/Babcock_cd_1962.pdf" TargetMode="External"/><Relationship Id="rId2" Type="http://schemas.openxmlformats.org/officeDocument/2006/relationships/hyperlink" Target="https://doi.org/10.1007/BF02707003" TargetMode="External"/><Relationship Id="rId16" Type="http://schemas.openxmlformats.org/officeDocument/2006/relationships/hyperlink" Target="https://preserve.lib.lehigh.edu/islandora/object/preserve%3Abp-7979703" TargetMode="External"/><Relationship Id="rId20" Type="http://schemas.openxmlformats.org/officeDocument/2006/relationships/hyperlink" Target="https://doi.org/10.1243/PIME_PROC_1909_077_021_02" TargetMode="External"/><Relationship Id="rId29" Type="http://schemas.openxmlformats.org/officeDocument/2006/relationships/hyperlink" Target="https://core.ac.uk/reader/4814280" TargetMode="External"/><Relationship Id="rId41" Type="http://schemas.openxmlformats.org/officeDocument/2006/relationships/hyperlink" Target="https://ascelibrary.org/doi/pdf/10.1061/JSDEAG.0001150" TargetMode="External"/><Relationship Id="rId1" Type="http://schemas.openxmlformats.org/officeDocument/2006/relationships/hyperlink" Target="https://doi.org/10.1002/cepa.123" TargetMode="External"/><Relationship Id="rId6" Type="http://schemas.openxmlformats.org/officeDocument/2006/relationships/hyperlink" Target="https://doi.org/10.1016/j.tws.2020.106822" TargetMode="External"/><Relationship Id="rId11" Type="http://schemas.openxmlformats.org/officeDocument/2006/relationships/hyperlink" Target="https://apps.dtic.mil/sti/citations/AD0490800" TargetMode="External"/><Relationship Id="rId24" Type="http://schemas.openxmlformats.org/officeDocument/2006/relationships/hyperlink" Target="https://doi.org/10.1115/1.4010141" TargetMode="External"/><Relationship Id="rId32" Type="http://schemas.openxmlformats.org/officeDocument/2006/relationships/hyperlink" Target="https://ascelibrary.org/doi/abs/10.1061/JSDEAG.0001772" TargetMode="External"/><Relationship Id="rId37" Type="http://schemas.openxmlformats.org/officeDocument/2006/relationships/hyperlink" Target="https://journals.sagepub.com/doi/abs/10.1243/PIME_PROC_1985_199_123_02" TargetMode="External"/><Relationship Id="rId40" Type="http://schemas.openxmlformats.org/officeDocument/2006/relationships/hyperlink" Target="https://www.sciencedirect.com/science/article/pii/002076836790056X" TargetMode="External"/><Relationship Id="rId45" Type="http://schemas.openxmlformats.org/officeDocument/2006/relationships/hyperlink" Target="https://ntrs.nasa.gov/citations/19930091553" TargetMode="External"/><Relationship Id="rId5" Type="http://schemas.openxmlformats.org/officeDocument/2006/relationships/hyperlink" Target="https://www.jstor.org/stable/95119?seq=1" TargetMode="External"/><Relationship Id="rId15" Type="http://schemas.openxmlformats.org/officeDocument/2006/relationships/hyperlink" Target="https://scholarsmine.mst.edu/isccss/4iccfss/4iccfss-session2/7" TargetMode="External"/><Relationship Id="rId23" Type="http://schemas.openxmlformats.org/officeDocument/2006/relationships/hyperlink" Target="http://dx.doi.org/10.1016/j.jcsr.2016.08.023" TargetMode="External"/><Relationship Id="rId28" Type="http://schemas.openxmlformats.org/officeDocument/2006/relationships/hyperlink" Target="https://doi.org/10.1016/j.tws.2015.12.003" TargetMode="External"/><Relationship Id="rId36" Type="http://schemas.openxmlformats.org/officeDocument/2006/relationships/hyperlink" Target="https://journals.sagepub.com/doi/abs/10.1243/PIME_PROC_1985_199_123_02" TargetMode="External"/><Relationship Id="rId10" Type="http://schemas.openxmlformats.org/officeDocument/2006/relationships/hyperlink" Target="http://hdl.handle.net/2060/19930091547" TargetMode="External"/><Relationship Id="rId19" Type="http://schemas.openxmlformats.org/officeDocument/2006/relationships/hyperlink" Target="https://doi.org/10.2514/3.2848" TargetMode="External"/><Relationship Id="rId31" Type="http://schemas.openxmlformats.org/officeDocument/2006/relationships/hyperlink" Target="https://ascelibrary.org/doi/abs/10.1061/JSDEAG.0001772" TargetMode="External"/><Relationship Id="rId44" Type="http://schemas.openxmlformats.org/officeDocument/2006/relationships/hyperlink" Target="https://core.ac.uk/download/pdf/42798908.pdf" TargetMode="External"/><Relationship Id="rId4" Type="http://schemas.openxmlformats.org/officeDocument/2006/relationships/hyperlink" Target="https://doi.org/10.1115/1.3264842" TargetMode="External"/><Relationship Id="rId9" Type="http://schemas.openxmlformats.org/officeDocument/2006/relationships/hyperlink" Target="https://doi.org/10.1016/j.tws.2020.106822" TargetMode="External"/><Relationship Id="rId14" Type="http://schemas.openxmlformats.org/officeDocument/2006/relationships/hyperlink" Target="https://digital.lib.lehigh.edu/fritz/pdf/450_7.pdf" TargetMode="External"/><Relationship Id="rId22" Type="http://schemas.openxmlformats.org/officeDocument/2006/relationships/hyperlink" Target="https://link.springer.com/article/10.1007/BF02318521" TargetMode="External"/><Relationship Id="rId27" Type="http://schemas.openxmlformats.org/officeDocument/2006/relationships/hyperlink" Target="https://www.ideals.illinois.edu/handle/2142/4186" TargetMode="External"/><Relationship Id="rId30" Type="http://schemas.openxmlformats.org/officeDocument/2006/relationships/hyperlink" Target="https://www.e-periodica.ch/cntmng?pid=sbz-002:1971:89::11" TargetMode="External"/><Relationship Id="rId35" Type="http://schemas.openxmlformats.org/officeDocument/2006/relationships/hyperlink" Target="https://doi-org.iclibezp1.cc.ic.ac.uk/10.1007/BF02321695" TargetMode="External"/><Relationship Id="rId43" Type="http://schemas.openxmlformats.org/officeDocument/2006/relationships/hyperlink" Target="https://search.proquest.com/docview/302378610?pq-origsite=primo" TargetMode="External"/><Relationship Id="rId48"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3E2C2-7659-A64B-BEAA-81CC04026E1A}">
  <sheetPr>
    <tabColor theme="0" tint="0.79998168889431442"/>
  </sheetPr>
  <dimension ref="B1:C24"/>
  <sheetViews>
    <sheetView tabSelected="1" workbookViewId="0"/>
  </sheetViews>
  <sheetFormatPr defaultColWidth="11" defaultRowHeight="15.75"/>
  <cols>
    <col min="2" max="2" width="22.375" bestFit="1" customWidth="1"/>
    <col min="3" max="3" width="131" style="1" customWidth="1"/>
  </cols>
  <sheetData>
    <row r="1" spans="2:3">
      <c r="B1" t="s">
        <v>1102</v>
      </c>
    </row>
    <row r="2" spans="2:3">
      <c r="B2" t="s">
        <v>1103</v>
      </c>
    </row>
    <row r="4" spans="2:3">
      <c r="B4" t="s">
        <v>1104</v>
      </c>
    </row>
    <row r="6" spans="2:3">
      <c r="B6" t="s">
        <v>1106</v>
      </c>
    </row>
    <row r="7" spans="2:3">
      <c r="B7" s="802" t="s">
        <v>1129</v>
      </c>
    </row>
    <row r="11" spans="2:3">
      <c r="B11" t="s">
        <v>1105</v>
      </c>
    </row>
    <row r="12" spans="2:3" ht="16.5" thickBot="1"/>
    <row r="13" spans="2:3" ht="16.5" thickBot="1">
      <c r="B13" s="332" t="s">
        <v>858</v>
      </c>
      <c r="C13" s="333" t="s">
        <v>862</v>
      </c>
    </row>
    <row r="14" spans="2:3" ht="30.75" customHeight="1">
      <c r="B14" s="753" t="s">
        <v>859</v>
      </c>
      <c r="C14" s="754" t="s">
        <v>861</v>
      </c>
    </row>
    <row r="15" spans="2:3" ht="31.5">
      <c r="B15" s="755" t="s">
        <v>1072</v>
      </c>
      <c r="C15" s="756" t="s">
        <v>1082</v>
      </c>
    </row>
    <row r="16" spans="2:3" ht="31.5">
      <c r="B16" s="755" t="s">
        <v>1073</v>
      </c>
      <c r="C16" s="756" t="s">
        <v>1083</v>
      </c>
    </row>
    <row r="17" spans="2:3" ht="31.5">
      <c r="B17" s="755" t="s">
        <v>1076</v>
      </c>
      <c r="C17" s="756" t="s">
        <v>1084</v>
      </c>
    </row>
    <row r="18" spans="2:3" ht="27.75" customHeight="1">
      <c r="B18" s="755" t="s">
        <v>1074</v>
      </c>
      <c r="C18" s="756" t="s">
        <v>1085</v>
      </c>
    </row>
    <row r="19" spans="2:3" ht="28.5" customHeight="1">
      <c r="B19" s="755" t="s">
        <v>1075</v>
      </c>
      <c r="C19" s="756" t="s">
        <v>1086</v>
      </c>
    </row>
    <row r="20" spans="2:3" ht="30" customHeight="1">
      <c r="B20" s="755" t="s">
        <v>1077</v>
      </c>
      <c r="C20" s="756" t="s">
        <v>1078</v>
      </c>
    </row>
    <row r="21" spans="2:3" ht="30" customHeight="1">
      <c r="B21" s="755" t="s">
        <v>1099</v>
      </c>
      <c r="C21" s="756" t="s">
        <v>1100</v>
      </c>
    </row>
    <row r="22" spans="2:3" ht="33" customHeight="1">
      <c r="B22" s="755" t="s">
        <v>1079</v>
      </c>
      <c r="C22" s="756" t="s">
        <v>1091</v>
      </c>
    </row>
    <row r="23" spans="2:3" ht="32.25" customHeight="1">
      <c r="B23" s="755" t="s">
        <v>1080</v>
      </c>
      <c r="C23" s="756" t="s">
        <v>1092</v>
      </c>
    </row>
    <row r="24" spans="2:3" ht="30.75" customHeight="1" thickBot="1">
      <c r="B24" s="757" t="s">
        <v>1081</v>
      </c>
      <c r="C24" s="758" t="s">
        <v>1093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17196-A8F9-944D-9CA6-07A57D952E57}">
  <sheetPr codeName="Sheet2">
    <tabColor rgb="FF0070C0"/>
  </sheetPr>
  <dimension ref="A1:BC1392"/>
  <sheetViews>
    <sheetView zoomScale="70" zoomScaleNormal="70" workbookViewId="0">
      <pane xSplit="4" ySplit="3" topLeftCell="E4" activePane="bottomRight" state="frozen"/>
      <selection pane="topRight" activeCell="E1" sqref="E1"/>
      <selection pane="bottomLeft" activeCell="A4" sqref="A4"/>
      <selection pane="bottomRight"/>
    </sheetView>
  </sheetViews>
  <sheetFormatPr defaultColWidth="11" defaultRowHeight="15.75"/>
  <cols>
    <col min="1" max="1" width="4.375" customWidth="1"/>
    <col min="2" max="2" width="3.875" style="218" bestFit="1" customWidth="1"/>
    <col min="3" max="3" width="48.875" bestFit="1" customWidth="1"/>
    <col min="4" max="4" width="18.5" customWidth="1"/>
    <col min="5" max="5" width="14.875" style="159" customWidth="1"/>
    <col min="6" max="8" width="14.875" style="4" customWidth="1"/>
    <col min="9" max="9" width="43" style="4" customWidth="1"/>
    <col min="10" max="10" width="1.875" style="90" customWidth="1"/>
    <col min="11" max="11" width="11.625" style="90" customWidth="1"/>
    <col min="12" max="12" width="11.5" style="451" customWidth="1"/>
    <col min="13" max="16" width="10.875" style="6" customWidth="1"/>
    <col min="17" max="17" width="13" style="6" bestFit="1" customWidth="1"/>
    <col min="18" max="18" width="9.75" style="90" customWidth="1"/>
    <col min="19" max="19" width="10.875" style="172" customWidth="1"/>
    <col min="20" max="20" width="10.875" style="465" customWidth="1"/>
    <col min="21" max="21" width="12" style="172" customWidth="1"/>
    <col min="22" max="25" width="10.875" style="172" customWidth="1"/>
    <col min="26" max="26" width="55.125" style="30" customWidth="1"/>
    <col min="27" max="27" width="11" style="90"/>
    <col min="28" max="29" width="39.5" style="5" customWidth="1"/>
    <col min="30" max="30" width="38.875" style="30" customWidth="1"/>
    <col min="31" max="31" width="34.5" style="90" customWidth="1"/>
    <col min="32" max="32" width="44.125" style="5" customWidth="1"/>
    <col min="33" max="33" width="72" style="5" customWidth="1"/>
    <col min="34" max="35" width="16.125" style="5" customWidth="1"/>
    <col min="36" max="36" width="16.125" style="30" customWidth="1"/>
    <col min="37" max="37" width="11" style="90"/>
    <col min="38" max="38" width="64.375" style="5" customWidth="1"/>
    <col min="39" max="39" width="19.875" style="5" customWidth="1"/>
    <col min="40" max="40" width="19.875" style="554" customWidth="1"/>
    <col min="41" max="44" width="23.625" style="554" customWidth="1"/>
    <col min="45" max="45" width="19.875" style="576" customWidth="1"/>
    <col min="46" max="46" width="23.625" style="90" customWidth="1"/>
    <col min="47" max="47" width="23.625" style="276" customWidth="1"/>
    <col min="48" max="48" width="52.625" style="90" customWidth="1"/>
    <col min="49" max="49" width="52.625" style="5" customWidth="1"/>
    <col min="50" max="50" width="75.625" style="30" customWidth="1"/>
    <col min="51" max="51" width="68.625" style="218" customWidth="1"/>
    <col min="52" max="52" width="15.125" style="543" customWidth="1"/>
    <col min="53" max="53" width="1.875" style="218" customWidth="1"/>
  </cols>
  <sheetData>
    <row r="1" spans="1:53" s="5" customFormat="1" ht="16.5" thickBot="1">
      <c r="E1" s="160"/>
      <c r="F1" s="185"/>
      <c r="G1" s="185"/>
      <c r="H1" s="185"/>
      <c r="I1" s="185"/>
      <c r="L1" s="451"/>
      <c r="M1" s="65"/>
      <c r="N1" s="6"/>
      <c r="O1" s="6"/>
      <c r="P1" s="6"/>
      <c r="Q1" s="6"/>
      <c r="S1" s="172"/>
      <c r="T1" s="465"/>
      <c r="U1" s="172"/>
      <c r="V1" s="172"/>
      <c r="W1" s="172"/>
      <c r="X1" s="172"/>
      <c r="Y1" s="172"/>
      <c r="AN1" s="554"/>
      <c r="AO1" s="554"/>
      <c r="AP1" s="554"/>
      <c r="AQ1" s="554"/>
      <c r="AR1" s="554"/>
      <c r="AS1" s="554"/>
      <c r="AZ1" s="764"/>
    </row>
    <row r="2" spans="1:53" ht="21.95" customHeight="1" thickBot="1">
      <c r="B2" s="154"/>
      <c r="C2" s="1007" t="s">
        <v>0</v>
      </c>
      <c r="D2" s="915"/>
      <c r="E2" s="915"/>
      <c r="F2" s="915"/>
      <c r="G2" s="915"/>
      <c r="H2" s="915"/>
      <c r="I2" s="915"/>
      <c r="J2" s="304"/>
      <c r="K2" s="914" t="s">
        <v>1</v>
      </c>
      <c r="L2" s="915"/>
      <c r="M2" s="915"/>
      <c r="N2" s="915"/>
      <c r="O2" s="915"/>
      <c r="P2" s="915"/>
      <c r="Q2" s="916"/>
      <c r="R2" s="914" t="s">
        <v>2</v>
      </c>
      <c r="S2" s="915"/>
      <c r="T2" s="915"/>
      <c r="U2" s="915"/>
      <c r="V2" s="915"/>
      <c r="W2" s="915"/>
      <c r="X2" s="915"/>
      <c r="Y2" s="915"/>
      <c r="Z2" s="916"/>
      <c r="AA2" s="1008" t="s">
        <v>3</v>
      </c>
      <c r="AB2" s="1009"/>
      <c r="AC2" s="1009"/>
      <c r="AD2" s="1010"/>
      <c r="AE2" s="914" t="s">
        <v>4</v>
      </c>
      <c r="AF2" s="915"/>
      <c r="AG2" s="915"/>
      <c r="AH2" s="305"/>
      <c r="AI2" s="305"/>
      <c r="AJ2" s="306"/>
      <c r="AK2" s="914" t="s">
        <v>5</v>
      </c>
      <c r="AL2" s="915"/>
      <c r="AM2" s="915"/>
      <c r="AN2" s="915"/>
      <c r="AO2" s="915"/>
      <c r="AP2" s="915"/>
      <c r="AQ2" s="915"/>
      <c r="AR2" s="915"/>
      <c r="AS2" s="916"/>
      <c r="AT2" s="307"/>
      <c r="AU2" s="308"/>
      <c r="AV2" s="307"/>
      <c r="AW2" s="309"/>
      <c r="AX2" s="310"/>
      <c r="AY2" s="291"/>
      <c r="AZ2" s="776"/>
      <c r="BA2" s="292"/>
    </row>
    <row r="3" spans="1:53" s="2" customFormat="1" ht="95.25" thickBot="1">
      <c r="A3" s="202"/>
      <c r="B3" s="299"/>
      <c r="C3" s="178" t="s">
        <v>7</v>
      </c>
      <c r="D3" s="178" t="s">
        <v>8</v>
      </c>
      <c r="E3" s="183" t="s">
        <v>9</v>
      </c>
      <c r="F3" s="166" t="s">
        <v>10</v>
      </c>
      <c r="G3" s="166" t="s">
        <v>11</v>
      </c>
      <c r="H3" s="166" t="s">
        <v>12</v>
      </c>
      <c r="I3" s="166" t="s">
        <v>13</v>
      </c>
      <c r="J3" s="223"/>
      <c r="K3" s="300" t="s">
        <v>14</v>
      </c>
      <c r="L3" s="466" t="s">
        <v>15</v>
      </c>
      <c r="M3" s="166" t="s">
        <v>16</v>
      </c>
      <c r="N3" s="166" t="s">
        <v>17</v>
      </c>
      <c r="O3" s="166" t="s">
        <v>18</v>
      </c>
      <c r="P3" s="166" t="s">
        <v>19</v>
      </c>
      <c r="Q3" s="126" t="s">
        <v>20</v>
      </c>
      <c r="R3" s="300" t="s">
        <v>14</v>
      </c>
      <c r="S3" s="166" t="s">
        <v>21</v>
      </c>
      <c r="T3" s="466" t="s">
        <v>867</v>
      </c>
      <c r="U3" s="166" t="s">
        <v>22</v>
      </c>
      <c r="V3" s="166" t="s">
        <v>23</v>
      </c>
      <c r="W3" s="166" t="s">
        <v>24</v>
      </c>
      <c r="X3" s="166" t="s">
        <v>25</v>
      </c>
      <c r="Y3" s="166" t="s">
        <v>26</v>
      </c>
      <c r="Z3" s="199" t="s">
        <v>27</v>
      </c>
      <c r="AA3" s="301" t="s">
        <v>14</v>
      </c>
      <c r="AB3" s="166" t="s">
        <v>28</v>
      </c>
      <c r="AC3" s="381"/>
      <c r="AD3" s="176" t="s">
        <v>29</v>
      </c>
      <c r="AE3" s="170" t="s">
        <v>30</v>
      </c>
      <c r="AF3" s="166" t="s">
        <v>31</v>
      </c>
      <c r="AG3" s="302" t="s">
        <v>32</v>
      </c>
      <c r="AH3" s="302" t="s">
        <v>772</v>
      </c>
      <c r="AI3" s="302" t="s">
        <v>773</v>
      </c>
      <c r="AJ3" s="303" t="s">
        <v>771</v>
      </c>
      <c r="AK3" s="300" t="s">
        <v>33</v>
      </c>
      <c r="AL3" s="166" t="s">
        <v>34</v>
      </c>
      <c r="AM3" s="302" t="s">
        <v>775</v>
      </c>
      <c r="AN3" s="502" t="s">
        <v>776</v>
      </c>
      <c r="AO3" s="502" t="s">
        <v>777</v>
      </c>
      <c r="AP3" s="502" t="s">
        <v>778</v>
      </c>
      <c r="AQ3" s="502" t="s">
        <v>779</v>
      </c>
      <c r="AR3" s="418" t="s">
        <v>780</v>
      </c>
      <c r="AS3" s="419" t="s">
        <v>781</v>
      </c>
      <c r="AT3" s="420" t="s">
        <v>556</v>
      </c>
      <c r="AU3" s="421" t="s">
        <v>782</v>
      </c>
      <c r="AV3" s="170" t="s">
        <v>35</v>
      </c>
      <c r="AW3" s="126" t="s">
        <v>36</v>
      </c>
      <c r="AX3" s="148" t="s">
        <v>37</v>
      </c>
      <c r="AY3" s="775" t="s">
        <v>6</v>
      </c>
      <c r="AZ3" s="761" t="s">
        <v>894</v>
      </c>
      <c r="BA3" s="217"/>
    </row>
    <row r="4" spans="1:53" ht="15.75" customHeight="1">
      <c r="A4" s="145"/>
      <c r="B4" s="994">
        <v>1</v>
      </c>
      <c r="C4" s="953" t="s">
        <v>38</v>
      </c>
      <c r="D4" s="953" t="s">
        <v>39</v>
      </c>
      <c r="E4" s="999">
        <v>1965</v>
      </c>
      <c r="F4" s="920" t="s">
        <v>40</v>
      </c>
      <c r="G4" s="953" t="s">
        <v>41</v>
      </c>
      <c r="H4" s="953" t="s">
        <v>42</v>
      </c>
      <c r="I4" s="995" t="s">
        <v>43</v>
      </c>
      <c r="J4" s="221"/>
      <c r="K4" s="35" t="s">
        <v>44</v>
      </c>
      <c r="L4" s="10">
        <v>1</v>
      </c>
      <c r="M4" s="8">
        <v>1.2852399999999999</v>
      </c>
      <c r="N4" s="8">
        <v>33.647579999999998</v>
      </c>
      <c r="O4" s="163">
        <v>152.4</v>
      </c>
      <c r="P4" s="65">
        <f>O4/N4*SQRT(M4/N4)</f>
        <v>0.88521004234513578</v>
      </c>
      <c r="Q4" s="163">
        <v>26.18</v>
      </c>
      <c r="R4" s="978" t="s">
        <v>44</v>
      </c>
      <c r="S4" s="871" t="s">
        <v>45</v>
      </c>
      <c r="T4" s="465" t="s">
        <v>522</v>
      </c>
      <c r="U4" s="172">
        <f t="shared" ref="U4:U17" si="0">2*PI()*N4*M4*$X$4/1000</f>
        <v>105.84763159814305</v>
      </c>
      <c r="V4" s="329">
        <v>74463.38</v>
      </c>
      <c r="W4" s="179"/>
      <c r="X4" s="329">
        <v>389.55</v>
      </c>
      <c r="Y4" s="953">
        <v>415.06</v>
      </c>
      <c r="Z4" s="882" t="s">
        <v>46</v>
      </c>
      <c r="AA4" s="885" t="s">
        <v>47</v>
      </c>
      <c r="AB4" s="871" t="s">
        <v>48</v>
      </c>
      <c r="AC4" s="380" t="s">
        <v>524</v>
      </c>
      <c r="AE4" s="35"/>
      <c r="AF4" s="871" t="s">
        <v>49</v>
      </c>
      <c r="AK4" s="35"/>
      <c r="AL4" s="5" t="s">
        <v>50</v>
      </c>
      <c r="AM4" s="5" t="s">
        <v>51</v>
      </c>
      <c r="AN4" s="563">
        <v>404.03278</v>
      </c>
      <c r="AO4" s="792">
        <f t="shared" ref="AO4:AO12" si="1">AN4/$X$4</f>
        <v>1.0371782312925171</v>
      </c>
      <c r="AP4" s="792"/>
      <c r="AQ4" s="564">
        <f t="shared" ref="AQ4:AQ33" si="2">SQRT($X$4/AR4)</f>
        <v>0.47570278474289773</v>
      </c>
      <c r="AR4" s="564">
        <f t="shared" ref="AR4:AR12" si="3">1/SQRT(3*(1-0.3^2))*$V$4*M4/N4</f>
        <v>1721.4397264183629</v>
      </c>
      <c r="AS4" s="565">
        <f t="shared" ref="AS4:AS12" si="4">2*PI()*N4*M4*AR4/1000</f>
        <v>467.74565005862928</v>
      </c>
      <c r="AT4" s="668">
        <f t="shared" ref="AT4:AT12" si="5">AN4/AR4</f>
        <v>0.23470631808912235</v>
      </c>
      <c r="AU4" s="256">
        <f>MAX(AO4:AP4)</f>
        <v>1.0371782312925171</v>
      </c>
      <c r="AX4" s="30" t="s">
        <v>52</v>
      </c>
      <c r="AY4" s="912" t="s">
        <v>934</v>
      </c>
      <c r="AZ4" s="760">
        <v>1965</v>
      </c>
      <c r="BA4" s="293"/>
    </row>
    <row r="5" spans="1:53">
      <c r="A5" s="145"/>
      <c r="B5" s="994"/>
      <c r="C5" s="953"/>
      <c r="D5" s="953"/>
      <c r="E5" s="999"/>
      <c r="F5" s="920"/>
      <c r="G5" s="953"/>
      <c r="H5" s="953"/>
      <c r="I5" s="996"/>
      <c r="J5" s="221"/>
      <c r="K5" s="35"/>
      <c r="L5" s="10">
        <v>2</v>
      </c>
      <c r="M5" s="8">
        <v>1.27254</v>
      </c>
      <c r="N5" s="8">
        <v>33.645960000000002</v>
      </c>
      <c r="O5" s="163">
        <v>228.6</v>
      </c>
      <c r="P5" s="65">
        <f t="shared" ref="P5:P35" si="6">O5/N5*SQRT(M5/N5)</f>
        <v>1.3213338499168563</v>
      </c>
      <c r="Q5" s="163">
        <v>26.44</v>
      </c>
      <c r="R5" s="978"/>
      <c r="S5" s="871"/>
      <c r="T5" s="465" t="s">
        <v>522</v>
      </c>
      <c r="U5" s="172">
        <f t="shared" si="0"/>
        <v>104.7966605905127</v>
      </c>
      <c r="V5" s="329">
        <v>74463.38</v>
      </c>
      <c r="W5" s="179"/>
      <c r="X5" s="329">
        <v>389.55</v>
      </c>
      <c r="Y5" s="953"/>
      <c r="Z5" s="882"/>
      <c r="AA5" s="885"/>
      <c r="AB5" s="871"/>
      <c r="AC5" s="380" t="s">
        <v>524</v>
      </c>
      <c r="AE5" s="35"/>
      <c r="AF5" s="871"/>
      <c r="AK5" s="35"/>
      <c r="AL5" s="11" t="s">
        <v>50</v>
      </c>
      <c r="AM5" s="5" t="s">
        <v>51</v>
      </c>
      <c r="AN5" s="563">
        <v>393.69063999999997</v>
      </c>
      <c r="AO5" s="792">
        <f t="shared" si="1"/>
        <v>1.0106292902066485</v>
      </c>
      <c r="AP5" s="792"/>
      <c r="AQ5" s="566">
        <f t="shared" si="2"/>
        <v>0.47805914917453252</v>
      </c>
      <c r="AR5" s="564">
        <f t="shared" si="3"/>
        <v>1704.5115180364869</v>
      </c>
      <c r="AS5" s="565">
        <f t="shared" si="4"/>
        <v>458.54733674313769</v>
      </c>
      <c r="AT5" s="669">
        <f t="shared" si="5"/>
        <v>0.23096977394057869</v>
      </c>
      <c r="AU5" s="256">
        <f t="shared" ref="AU5:AU62" si="7">MAX(AO5:AP5)</f>
        <v>1.0106292902066485</v>
      </c>
      <c r="AX5" s="30" t="s">
        <v>52</v>
      </c>
      <c r="AY5" s="912"/>
      <c r="AZ5" s="760">
        <v>1965</v>
      </c>
      <c r="BA5" s="293"/>
    </row>
    <row r="6" spans="1:53">
      <c r="A6" s="145"/>
      <c r="B6" s="994"/>
      <c r="C6" s="953"/>
      <c r="D6" s="953"/>
      <c r="E6" s="999"/>
      <c r="F6" s="920"/>
      <c r="G6" s="953"/>
      <c r="H6" s="953"/>
      <c r="I6" s="996"/>
      <c r="J6" s="221"/>
      <c r="K6" s="35"/>
      <c r="L6" s="10" t="s">
        <v>53</v>
      </c>
      <c r="M6" s="8">
        <v>1.2852399999999999</v>
      </c>
      <c r="N6" s="8">
        <v>33.647579999999998</v>
      </c>
      <c r="O6" s="163">
        <v>87.63</v>
      </c>
      <c r="P6" s="65">
        <f t="shared" si="6"/>
        <v>0.508995774348453</v>
      </c>
      <c r="Q6" s="163">
        <v>26.18</v>
      </c>
      <c r="R6" s="978"/>
      <c r="S6" s="871"/>
      <c r="T6" s="465" t="s">
        <v>522</v>
      </c>
      <c r="U6" s="172">
        <f t="shared" si="0"/>
        <v>105.84763159814305</v>
      </c>
      <c r="V6" s="329">
        <v>74463.38</v>
      </c>
      <c r="W6" s="179"/>
      <c r="X6" s="329">
        <v>389.55</v>
      </c>
      <c r="Y6" s="953"/>
      <c r="Z6" s="882"/>
      <c r="AA6" s="885"/>
      <c r="AB6" s="871"/>
      <c r="AC6" s="380" t="s">
        <v>524</v>
      </c>
      <c r="AE6" s="35"/>
      <c r="AF6" s="871"/>
      <c r="AK6" s="35"/>
      <c r="AL6" s="5" t="s">
        <v>54</v>
      </c>
      <c r="AM6" s="5" t="s">
        <v>51</v>
      </c>
      <c r="AN6" s="563">
        <v>400.93013999999999</v>
      </c>
      <c r="AO6" s="792">
        <f t="shared" si="1"/>
        <v>1.0292135541008856</v>
      </c>
      <c r="AP6" s="792"/>
      <c r="AQ6" s="566">
        <f t="shared" si="2"/>
        <v>0.47570278474289773</v>
      </c>
      <c r="AR6" s="564">
        <f t="shared" si="3"/>
        <v>1721.4397264183629</v>
      </c>
      <c r="AS6" s="565">
        <f t="shared" si="4"/>
        <v>467.74565005862928</v>
      </c>
      <c r="AT6" s="669">
        <f t="shared" si="5"/>
        <v>0.23290396628302373</v>
      </c>
      <c r="AU6" s="256">
        <f t="shared" si="7"/>
        <v>1.0292135541008856</v>
      </c>
      <c r="AX6" s="30" t="s">
        <v>55</v>
      </c>
      <c r="AY6" s="912"/>
      <c r="AZ6" s="760">
        <v>1965</v>
      </c>
      <c r="BA6" s="293"/>
    </row>
    <row r="7" spans="1:53">
      <c r="A7" s="145"/>
      <c r="B7" s="994"/>
      <c r="C7" s="953"/>
      <c r="D7" s="953"/>
      <c r="E7" s="999"/>
      <c r="F7" s="920"/>
      <c r="G7" s="953"/>
      <c r="H7" s="953"/>
      <c r="I7" s="996"/>
      <c r="J7" s="221"/>
      <c r="K7" s="35"/>
      <c r="L7" s="10" t="s">
        <v>56</v>
      </c>
      <c r="M7" s="8">
        <v>1.27254</v>
      </c>
      <c r="N7" s="8">
        <v>33.645960000000002</v>
      </c>
      <c r="O7" s="163">
        <v>50.8</v>
      </c>
      <c r="P7" s="65">
        <f t="shared" si="6"/>
        <v>0.29362974442596801</v>
      </c>
      <c r="Q7" s="163">
        <v>26.44</v>
      </c>
      <c r="R7" s="978"/>
      <c r="S7" s="871"/>
      <c r="T7" s="465" t="s">
        <v>522</v>
      </c>
      <c r="U7" s="172">
        <f t="shared" si="0"/>
        <v>104.7966605905127</v>
      </c>
      <c r="V7" s="329">
        <v>74463.38</v>
      </c>
      <c r="W7" s="179"/>
      <c r="X7" s="329">
        <v>389.55</v>
      </c>
      <c r="Y7" s="953"/>
      <c r="Z7" s="882"/>
      <c r="AA7" s="885"/>
      <c r="AB7" s="871"/>
      <c r="AC7" s="380" t="s">
        <v>524</v>
      </c>
      <c r="AE7" s="35"/>
      <c r="AF7" s="871"/>
      <c r="AK7" s="35"/>
      <c r="AL7" s="5" t="s">
        <v>57</v>
      </c>
      <c r="AM7" s="5" t="s">
        <v>51</v>
      </c>
      <c r="AN7" s="563">
        <v>410.92752999999999</v>
      </c>
      <c r="AO7" s="792">
        <f t="shared" si="1"/>
        <v>1.0548774996791168</v>
      </c>
      <c r="AP7" s="792"/>
      <c r="AQ7" s="566">
        <f t="shared" si="2"/>
        <v>0.47805914917453252</v>
      </c>
      <c r="AR7" s="564">
        <f t="shared" si="3"/>
        <v>1704.5115180364869</v>
      </c>
      <c r="AS7" s="565">
        <f t="shared" si="4"/>
        <v>458.54733674313769</v>
      </c>
      <c r="AT7" s="669">
        <f t="shared" si="5"/>
        <v>0.241082284074776</v>
      </c>
      <c r="AU7" s="256">
        <f t="shared" si="7"/>
        <v>1.0548774996791168</v>
      </c>
      <c r="AX7" s="30" t="s">
        <v>55</v>
      </c>
      <c r="AY7" s="912"/>
      <c r="AZ7" s="760">
        <v>1965</v>
      </c>
      <c r="BA7" s="293"/>
    </row>
    <row r="8" spans="1:53">
      <c r="A8" s="145"/>
      <c r="B8" s="994"/>
      <c r="C8" s="953"/>
      <c r="D8" s="953"/>
      <c r="E8" s="999"/>
      <c r="F8" s="920"/>
      <c r="G8" s="953"/>
      <c r="H8" s="953"/>
      <c r="I8" s="996"/>
      <c r="J8" s="221"/>
      <c r="K8" s="35"/>
      <c r="L8" s="10" t="s">
        <v>58</v>
      </c>
      <c r="M8" s="8">
        <v>1.27254</v>
      </c>
      <c r="N8" s="8">
        <v>33.645960000000002</v>
      </c>
      <c r="O8" s="163">
        <v>99.313999999999993</v>
      </c>
      <c r="P8" s="65">
        <f t="shared" si="6"/>
        <v>0.57404615035276751</v>
      </c>
      <c r="Q8" s="163">
        <v>26.44</v>
      </c>
      <c r="R8" s="978"/>
      <c r="S8" s="871"/>
      <c r="T8" s="465" t="s">
        <v>522</v>
      </c>
      <c r="U8" s="172">
        <f t="shared" si="0"/>
        <v>104.7966605905127</v>
      </c>
      <c r="V8" s="329">
        <v>74463.38</v>
      </c>
      <c r="W8" s="179"/>
      <c r="X8" s="329">
        <v>389.55</v>
      </c>
      <c r="Y8" s="953"/>
      <c r="Z8" s="882"/>
      <c r="AA8" s="885"/>
      <c r="AB8" s="871"/>
      <c r="AC8" s="380" t="s">
        <v>524</v>
      </c>
      <c r="AE8" s="35"/>
      <c r="AF8" s="871"/>
      <c r="AK8" s="35"/>
      <c r="AL8" s="5" t="s">
        <v>59</v>
      </c>
      <c r="AM8" s="5" t="s">
        <v>51</v>
      </c>
      <c r="AN8" s="563">
        <v>400.58539999999999</v>
      </c>
      <c r="AO8" s="792">
        <f t="shared" si="1"/>
        <v>1.0283285842638943</v>
      </c>
      <c r="AP8" s="792"/>
      <c r="AQ8" s="566">
        <f t="shared" si="2"/>
        <v>0.47805914917453252</v>
      </c>
      <c r="AR8" s="564">
        <f t="shared" si="3"/>
        <v>1704.5115180364869</v>
      </c>
      <c r="AS8" s="565">
        <f t="shared" si="4"/>
        <v>458.54733674313769</v>
      </c>
      <c r="AT8" s="669">
        <f t="shared" si="5"/>
        <v>0.23501478034097101</v>
      </c>
      <c r="AU8" s="256">
        <f t="shared" si="7"/>
        <v>1.0283285842638943</v>
      </c>
      <c r="AX8" s="30" t="s">
        <v>55</v>
      </c>
      <c r="AY8" s="912"/>
      <c r="AZ8" s="760">
        <v>1965</v>
      </c>
      <c r="BA8" s="293"/>
    </row>
    <row r="9" spans="1:53">
      <c r="A9" s="145"/>
      <c r="B9" s="994"/>
      <c r="C9" s="953"/>
      <c r="D9" s="953"/>
      <c r="E9" s="999"/>
      <c r="F9" s="920"/>
      <c r="G9" s="953"/>
      <c r="H9" s="953"/>
      <c r="I9" s="996"/>
      <c r="J9" s="221"/>
      <c r="K9" s="35"/>
      <c r="L9" s="10">
        <v>3</v>
      </c>
      <c r="M9" s="8">
        <v>1.26746</v>
      </c>
      <c r="N9" s="8">
        <v>33.663739999999997</v>
      </c>
      <c r="O9" s="163">
        <v>25.4</v>
      </c>
      <c r="P9" s="65">
        <f t="shared" si="6"/>
        <v>0.14640546958087963</v>
      </c>
      <c r="Q9" s="163">
        <v>26.56</v>
      </c>
      <c r="R9" s="978"/>
      <c r="S9" s="871"/>
      <c r="T9" s="465" t="s">
        <v>522</v>
      </c>
      <c r="U9" s="172">
        <f t="shared" si="0"/>
        <v>104.43346872238752</v>
      </c>
      <c r="V9" s="329">
        <v>74463.38</v>
      </c>
      <c r="W9" s="179"/>
      <c r="X9" s="329">
        <v>389.55</v>
      </c>
      <c r="Y9" s="953"/>
      <c r="Z9" s="882"/>
      <c r="AA9" s="885"/>
      <c r="AB9" s="871"/>
      <c r="AC9" s="380" t="s">
        <v>524</v>
      </c>
      <c r="AE9" s="35"/>
      <c r="AF9" s="871"/>
      <c r="AK9" s="35"/>
      <c r="AL9" s="5" t="s">
        <v>60</v>
      </c>
      <c r="AM9" s="5" t="s">
        <v>51</v>
      </c>
      <c r="AN9" s="563">
        <v>401.27487000000002</v>
      </c>
      <c r="AO9" s="792">
        <f t="shared" si="1"/>
        <v>1.0300984982672314</v>
      </c>
      <c r="AP9" s="792"/>
      <c r="AQ9" s="566">
        <f t="shared" si="2"/>
        <v>0.47914277537453276</v>
      </c>
      <c r="AR9" s="564">
        <f t="shared" si="3"/>
        <v>1696.8104118442247</v>
      </c>
      <c r="AS9" s="565">
        <f t="shared" si="4"/>
        <v>454.89358766051942</v>
      </c>
      <c r="AT9" s="669">
        <f t="shared" si="5"/>
        <v>0.23648774618483362</v>
      </c>
      <c r="AU9" s="256">
        <f t="shared" si="7"/>
        <v>1.0300984982672314</v>
      </c>
      <c r="AX9" s="30" t="s">
        <v>55</v>
      </c>
      <c r="AY9" s="912"/>
      <c r="AZ9" s="760">
        <v>1965</v>
      </c>
      <c r="BA9" s="293"/>
    </row>
    <row r="10" spans="1:53">
      <c r="A10" s="145"/>
      <c r="B10" s="994"/>
      <c r="C10" s="953"/>
      <c r="D10" s="953"/>
      <c r="E10" s="999"/>
      <c r="F10" s="920"/>
      <c r="G10" s="953"/>
      <c r="H10" s="953"/>
      <c r="I10" s="996"/>
      <c r="J10" s="221"/>
      <c r="K10" s="35"/>
      <c r="L10" s="10">
        <v>4</v>
      </c>
      <c r="M10" s="8">
        <v>1.26492</v>
      </c>
      <c r="N10" s="8">
        <v>33.659520000000001</v>
      </c>
      <c r="O10" s="163">
        <v>101.6</v>
      </c>
      <c r="P10" s="65">
        <f t="shared" si="6"/>
        <v>0.58514481350212277</v>
      </c>
      <c r="Q10" s="163">
        <v>26.61</v>
      </c>
      <c r="R10" s="978"/>
      <c r="S10" s="871"/>
      <c r="T10" s="465" t="s">
        <v>522</v>
      </c>
      <c r="U10" s="172">
        <f t="shared" si="0"/>
        <v>104.2111179379594</v>
      </c>
      <c r="V10" s="329">
        <v>74463.38</v>
      </c>
      <c r="W10" s="179"/>
      <c r="X10" s="329">
        <v>389.55</v>
      </c>
      <c r="Y10" s="953"/>
      <c r="Z10" s="882"/>
      <c r="AA10" s="885"/>
      <c r="AB10" s="871"/>
      <c r="AC10" s="380" t="s">
        <v>524</v>
      </c>
      <c r="AE10" s="35"/>
      <c r="AF10" s="871"/>
      <c r="AK10" s="35"/>
      <c r="AL10" s="5" t="s">
        <v>61</v>
      </c>
      <c r="AM10" s="5" t="s">
        <v>51</v>
      </c>
      <c r="AN10" s="563">
        <v>401.27487000000002</v>
      </c>
      <c r="AO10" s="792">
        <f t="shared" si="1"/>
        <v>1.0300984982672314</v>
      </c>
      <c r="AP10" s="792"/>
      <c r="AQ10" s="566">
        <f t="shared" si="2"/>
        <v>0.47959353802703941</v>
      </c>
      <c r="AR10" s="564">
        <f t="shared" si="3"/>
        <v>1693.6222983194023</v>
      </c>
      <c r="AS10" s="565">
        <f t="shared" si="4"/>
        <v>453.07219374283426</v>
      </c>
      <c r="AT10" s="669">
        <f t="shared" si="5"/>
        <v>0.23693291615148723</v>
      </c>
      <c r="AU10" s="256">
        <f t="shared" si="7"/>
        <v>1.0300984982672314</v>
      </c>
      <c r="AX10" s="30" t="s">
        <v>55</v>
      </c>
      <c r="AY10" s="912"/>
      <c r="AZ10" s="760">
        <v>1965</v>
      </c>
      <c r="BA10" s="293"/>
    </row>
    <row r="11" spans="1:53">
      <c r="A11" s="145"/>
      <c r="B11" s="994"/>
      <c r="C11" s="953"/>
      <c r="D11" s="953"/>
      <c r="E11" s="999"/>
      <c r="F11" s="920"/>
      <c r="G11" s="953"/>
      <c r="H11" s="953"/>
      <c r="I11" s="996"/>
      <c r="J11" s="221"/>
      <c r="K11" s="35"/>
      <c r="L11" s="10">
        <v>5</v>
      </c>
      <c r="M11" s="8">
        <v>1.2979400000000001</v>
      </c>
      <c r="N11" s="8">
        <v>33.668559999999999</v>
      </c>
      <c r="O11" s="163">
        <v>25.4</v>
      </c>
      <c r="P11" s="65">
        <f t="shared" si="6"/>
        <v>0.14812358406801054</v>
      </c>
      <c r="Q11" s="163">
        <v>25.94</v>
      </c>
      <c r="R11" s="978"/>
      <c r="S11" s="871"/>
      <c r="T11" s="465" t="s">
        <v>522</v>
      </c>
      <c r="U11" s="172">
        <f t="shared" si="0"/>
        <v>106.96020727563564</v>
      </c>
      <c r="V11" s="329">
        <v>74463.38</v>
      </c>
      <c r="W11" s="179"/>
      <c r="X11" s="329">
        <v>389.55</v>
      </c>
      <c r="Y11" s="953"/>
      <c r="Z11" s="882"/>
      <c r="AA11" s="885"/>
      <c r="AB11" s="871"/>
      <c r="AC11" s="380" t="s">
        <v>524</v>
      </c>
      <c r="AE11" s="35"/>
      <c r="AF11" s="871"/>
      <c r="AK11" s="35"/>
      <c r="AL11" s="5" t="s">
        <v>62</v>
      </c>
      <c r="AM11" s="5" t="s">
        <v>51</v>
      </c>
      <c r="AN11" s="563">
        <v>410.72068999999999</v>
      </c>
      <c r="AO11" s="792">
        <f t="shared" si="1"/>
        <v>1.0543465280451803</v>
      </c>
      <c r="AP11" s="792"/>
      <c r="AQ11" s="566">
        <f t="shared" si="2"/>
        <v>0.47351730583085017</v>
      </c>
      <c r="AR11" s="564">
        <f t="shared" si="3"/>
        <v>1737.3667143556197</v>
      </c>
      <c r="AS11" s="565">
        <f t="shared" si="4"/>
        <v>477.03530710118639</v>
      </c>
      <c r="AT11" s="669">
        <f t="shared" si="5"/>
        <v>0.23640414346969585</v>
      </c>
      <c r="AU11" s="256">
        <f t="shared" si="7"/>
        <v>1.0543465280451803</v>
      </c>
      <c r="AX11" s="30" t="s">
        <v>55</v>
      </c>
      <c r="AY11" s="912"/>
      <c r="AZ11" s="760">
        <v>1965</v>
      </c>
      <c r="BA11" s="293"/>
    </row>
    <row r="12" spans="1:53">
      <c r="A12" s="145"/>
      <c r="B12" s="994"/>
      <c r="C12" s="953"/>
      <c r="D12" s="953"/>
      <c r="E12" s="999"/>
      <c r="F12" s="920"/>
      <c r="G12" s="953"/>
      <c r="H12" s="953"/>
      <c r="I12" s="996"/>
      <c r="J12" s="221"/>
      <c r="K12" s="35"/>
      <c r="L12" s="10">
        <v>6</v>
      </c>
      <c r="M12" s="8">
        <v>1.3004800000000001</v>
      </c>
      <c r="N12" s="8">
        <v>33.656419999999997</v>
      </c>
      <c r="O12" s="163">
        <v>12.7</v>
      </c>
      <c r="P12" s="65">
        <f t="shared" si="6"/>
        <v>7.4174338487763627E-2</v>
      </c>
      <c r="Q12" s="163">
        <v>25.88</v>
      </c>
      <c r="R12" s="978"/>
      <c r="S12" s="871"/>
      <c r="T12" s="465" t="s">
        <v>522</v>
      </c>
      <c r="U12" s="172">
        <f t="shared" si="0"/>
        <v>107.13088022966684</v>
      </c>
      <c r="V12" s="329">
        <v>74463.38</v>
      </c>
      <c r="W12" s="179"/>
      <c r="X12" s="329">
        <v>389.55</v>
      </c>
      <c r="Y12" s="953"/>
      <c r="Z12" s="882"/>
      <c r="AA12" s="885"/>
      <c r="AB12" s="871"/>
      <c r="AC12" s="380" t="s">
        <v>524</v>
      </c>
      <c r="AE12" s="35"/>
      <c r="AF12" s="871"/>
      <c r="AK12" s="35"/>
      <c r="AL12" s="5" t="s">
        <v>62</v>
      </c>
      <c r="AM12" s="5" t="s">
        <v>51</v>
      </c>
      <c r="AN12" s="563">
        <v>405.13594000000001</v>
      </c>
      <c r="AO12" s="792">
        <f t="shared" si="1"/>
        <v>1.040010114234373</v>
      </c>
      <c r="AP12" s="792"/>
      <c r="AQ12" s="566">
        <f t="shared" si="2"/>
        <v>0.47296936733220801</v>
      </c>
      <c r="AR12" s="564">
        <f t="shared" si="3"/>
        <v>1741.3945504356689</v>
      </c>
      <c r="AS12" s="565">
        <f t="shared" si="4"/>
        <v>478.90419975694562</v>
      </c>
      <c r="AT12" s="669">
        <f t="shared" si="5"/>
        <v>0.23265028588647044</v>
      </c>
      <c r="AU12" s="256">
        <f t="shared" si="7"/>
        <v>1.040010114234373</v>
      </c>
      <c r="AX12" s="30" t="s">
        <v>55</v>
      </c>
      <c r="AY12" s="912"/>
      <c r="AZ12" s="760">
        <v>1965</v>
      </c>
      <c r="BA12" s="293"/>
    </row>
    <row r="13" spans="1:53">
      <c r="A13" s="145"/>
      <c r="B13" s="994"/>
      <c r="C13" s="953"/>
      <c r="D13" s="953"/>
      <c r="E13" s="999"/>
      <c r="F13" s="920"/>
      <c r="G13" s="953"/>
      <c r="H13" s="953"/>
      <c r="I13" s="996"/>
      <c r="J13" s="221"/>
      <c r="K13" s="35"/>
      <c r="L13" s="10">
        <v>7</v>
      </c>
      <c r="M13" s="8">
        <v>1.2928599999999999</v>
      </c>
      <c r="N13" s="8">
        <v>33.666069999999998</v>
      </c>
      <c r="O13" s="163">
        <v>6.35</v>
      </c>
      <c r="P13" s="65">
        <f t="shared" si="6"/>
        <v>3.6962457794091255E-2</v>
      </c>
      <c r="Q13" s="163">
        <v>26.04</v>
      </c>
      <c r="R13" s="978"/>
      <c r="S13" s="871"/>
      <c r="T13" s="465" t="s">
        <v>522</v>
      </c>
      <c r="U13" s="172">
        <f t="shared" si="0"/>
        <v>106.53369691333405</v>
      </c>
      <c r="V13" s="329">
        <v>74463.38</v>
      </c>
      <c r="W13" s="179"/>
      <c r="X13" s="329">
        <v>389.55</v>
      </c>
      <c r="Y13" s="953"/>
      <c r="Z13" s="882"/>
      <c r="AA13" s="885"/>
      <c r="AB13" s="871"/>
      <c r="AC13" s="380" t="s">
        <v>524</v>
      </c>
      <c r="AE13" s="35"/>
      <c r="AF13" s="871"/>
      <c r="AK13" s="35"/>
      <c r="AM13" s="5" t="s">
        <v>51</v>
      </c>
      <c r="AN13" s="563" t="s">
        <v>51</v>
      </c>
      <c r="AO13" s="792"/>
      <c r="AP13" s="792"/>
      <c r="AQ13" s="566"/>
      <c r="AR13" s="564"/>
      <c r="AS13" s="565"/>
      <c r="AT13" s="806"/>
      <c r="AU13" s="807"/>
      <c r="AX13" s="30" t="s">
        <v>63</v>
      </c>
      <c r="AY13" s="912"/>
      <c r="AZ13" s="760">
        <v>1965</v>
      </c>
      <c r="BA13" s="293"/>
    </row>
    <row r="14" spans="1:53">
      <c r="A14" s="145"/>
      <c r="B14" s="994"/>
      <c r="C14" s="953"/>
      <c r="D14" s="953"/>
      <c r="E14" s="999"/>
      <c r="F14" s="920"/>
      <c r="G14" s="953"/>
      <c r="H14" s="953"/>
      <c r="I14" s="996"/>
      <c r="J14" s="221"/>
      <c r="K14" s="35"/>
      <c r="L14" s="10">
        <v>8</v>
      </c>
      <c r="M14" s="8">
        <v>0.28955999999999998</v>
      </c>
      <c r="N14" s="8">
        <v>33.171990000000001</v>
      </c>
      <c r="O14" s="163">
        <v>50.8</v>
      </c>
      <c r="P14" s="65">
        <f t="shared" si="6"/>
        <v>0.14307893787851919</v>
      </c>
      <c r="Q14" s="163">
        <v>114.56</v>
      </c>
      <c r="R14" s="978"/>
      <c r="S14" s="871"/>
      <c r="T14" s="465" t="s">
        <v>522</v>
      </c>
      <c r="U14" s="172">
        <f t="shared" si="0"/>
        <v>23.510029322272182</v>
      </c>
      <c r="V14" s="329">
        <v>74463.38</v>
      </c>
      <c r="W14" s="179"/>
      <c r="X14" s="329">
        <v>389.55</v>
      </c>
      <c r="Y14" s="953"/>
      <c r="Z14" s="882"/>
      <c r="AA14" s="885"/>
      <c r="AB14" s="871"/>
      <c r="AC14" s="380" t="s">
        <v>524</v>
      </c>
      <c r="AE14" s="35"/>
      <c r="AF14" s="871"/>
      <c r="AK14" s="35"/>
      <c r="AL14" s="12" t="s">
        <v>64</v>
      </c>
      <c r="AM14" s="5" t="s">
        <v>51</v>
      </c>
      <c r="AN14" s="563">
        <v>227.73383000000001</v>
      </c>
      <c r="AO14" s="792">
        <f t="shared" ref="AO14:AO26" si="8">AN14/$X$4</f>
        <v>0.5846074444872289</v>
      </c>
      <c r="AP14" s="792"/>
      <c r="AQ14" s="566">
        <f t="shared" si="2"/>
        <v>0.99510148015665967</v>
      </c>
      <c r="AR14" s="564">
        <f t="shared" ref="AR14:AR26" si="9">1/SQRT(3*(1-0.3^2))*$V$4*M14/N14</f>
        <v>393.39466342981967</v>
      </c>
      <c r="AS14" s="565">
        <f t="shared" ref="AS14:AS26" si="10">2*PI()*N14*M14*AR14/1000</f>
        <v>23.742061538853694</v>
      </c>
      <c r="AT14" s="669">
        <f t="shared" ref="AT14:AT26" si="11">AN14/AR14</f>
        <v>0.57889405009843753</v>
      </c>
      <c r="AU14" s="256">
        <f t="shared" si="7"/>
        <v>0.5846074444872289</v>
      </c>
      <c r="AX14" s="30" t="s">
        <v>65</v>
      </c>
      <c r="AY14" s="912"/>
      <c r="AZ14" s="760">
        <v>1965</v>
      </c>
      <c r="BA14" s="293"/>
    </row>
    <row r="15" spans="1:53">
      <c r="A15" s="145"/>
      <c r="B15" s="994"/>
      <c r="C15" s="953"/>
      <c r="D15" s="953"/>
      <c r="E15" s="999"/>
      <c r="F15" s="920"/>
      <c r="G15" s="953"/>
      <c r="H15" s="953"/>
      <c r="I15" s="996"/>
      <c r="J15" s="221"/>
      <c r="K15" s="35"/>
      <c r="L15" s="10">
        <v>9</v>
      </c>
      <c r="M15" s="8">
        <v>0.28448000000000001</v>
      </c>
      <c r="N15" s="8">
        <v>33.173209999999997</v>
      </c>
      <c r="O15" s="163">
        <v>25.4</v>
      </c>
      <c r="P15" s="65">
        <f t="shared" si="6"/>
        <v>7.090524129436114E-2</v>
      </c>
      <c r="Q15" s="163">
        <v>116.61</v>
      </c>
      <c r="R15" s="978"/>
      <c r="S15" s="871"/>
      <c r="T15" s="465" t="s">
        <v>522</v>
      </c>
      <c r="U15" s="172">
        <f t="shared" si="0"/>
        <v>23.098422150407249</v>
      </c>
      <c r="V15" s="329">
        <v>74463.38</v>
      </c>
      <c r="W15" s="179"/>
      <c r="X15" s="329">
        <v>389.55</v>
      </c>
      <c r="Y15" s="953"/>
      <c r="Z15" s="882"/>
      <c r="AA15" s="885"/>
      <c r="AB15" s="871"/>
      <c r="AC15" s="380" t="s">
        <v>524</v>
      </c>
      <c r="AE15" s="35"/>
      <c r="AF15" s="871"/>
      <c r="AK15" s="35"/>
      <c r="AL15" s="12" t="s">
        <v>64</v>
      </c>
      <c r="AM15" s="5" t="s">
        <v>51</v>
      </c>
      <c r="AN15" s="563">
        <v>219.04643999999999</v>
      </c>
      <c r="AO15" s="792">
        <f t="shared" si="8"/>
        <v>0.56230635348479008</v>
      </c>
      <c r="AP15" s="792"/>
      <c r="AQ15" s="566">
        <f t="shared" si="2"/>
        <v>1.0039654620235532</v>
      </c>
      <c r="AR15" s="564">
        <f t="shared" si="9"/>
        <v>386.478788744572</v>
      </c>
      <c r="AS15" s="565">
        <f t="shared" si="10"/>
        <v>22.916314246181965</v>
      </c>
      <c r="AT15" s="669">
        <f t="shared" si="11"/>
        <v>0.56677480467050978</v>
      </c>
      <c r="AU15" s="256">
        <f t="shared" si="7"/>
        <v>0.56230635348479008</v>
      </c>
      <c r="AX15" s="30" t="s">
        <v>65</v>
      </c>
      <c r="AY15" s="912"/>
      <c r="AZ15" s="760">
        <v>1965</v>
      </c>
      <c r="BA15" s="293"/>
    </row>
    <row r="16" spans="1:53">
      <c r="A16" s="145"/>
      <c r="B16" s="994"/>
      <c r="C16" s="953"/>
      <c r="D16" s="953"/>
      <c r="E16" s="999"/>
      <c r="F16" s="920"/>
      <c r="G16" s="953"/>
      <c r="H16" s="953"/>
      <c r="I16" s="996"/>
      <c r="J16" s="221"/>
      <c r="K16" s="35"/>
      <c r="L16" s="10">
        <v>10</v>
      </c>
      <c r="M16" s="8">
        <v>0.29210000000000003</v>
      </c>
      <c r="N16" s="8">
        <v>33.182560000000002</v>
      </c>
      <c r="O16" s="163">
        <v>12.7</v>
      </c>
      <c r="P16" s="65">
        <f t="shared" si="6"/>
        <v>3.5909112113479857E-2</v>
      </c>
      <c r="Q16" s="163">
        <v>113.6</v>
      </c>
      <c r="R16" s="978"/>
      <c r="S16" s="871"/>
      <c r="T16" s="465" t="s">
        <v>522</v>
      </c>
      <c r="U16" s="172">
        <f t="shared" si="0"/>
        <v>23.723814653125118</v>
      </c>
      <c r="V16" s="329">
        <v>74463.38</v>
      </c>
      <c r="W16" s="179"/>
      <c r="X16" s="329">
        <v>389.55</v>
      </c>
      <c r="Y16" s="953"/>
      <c r="Z16" s="882"/>
      <c r="AA16" s="885"/>
      <c r="AB16" s="871"/>
      <c r="AC16" s="380" t="s">
        <v>524</v>
      </c>
      <c r="AE16" s="35"/>
      <c r="AF16" s="871"/>
      <c r="AK16" s="35"/>
      <c r="AL16" s="12" t="s">
        <v>64</v>
      </c>
      <c r="AM16" s="5" t="s">
        <v>51</v>
      </c>
      <c r="AN16" s="563">
        <v>245.45336</v>
      </c>
      <c r="AO16" s="792">
        <f t="shared" si="8"/>
        <v>0.63009462199974331</v>
      </c>
      <c r="AP16" s="792"/>
      <c r="AQ16" s="566">
        <f t="shared" si="2"/>
        <v>0.99092334270835547</v>
      </c>
      <c r="AR16" s="564">
        <f t="shared" si="9"/>
        <v>396.71908232024168</v>
      </c>
      <c r="AS16" s="565">
        <f t="shared" si="10"/>
        <v>24.1604158088135</v>
      </c>
      <c r="AT16" s="669">
        <f t="shared" si="11"/>
        <v>0.61870822690062544</v>
      </c>
      <c r="AU16" s="256">
        <f t="shared" si="7"/>
        <v>0.63009462199974331</v>
      </c>
      <c r="AX16" s="30" t="s">
        <v>65</v>
      </c>
      <c r="AY16" s="912"/>
      <c r="AZ16" s="760">
        <v>1965</v>
      </c>
      <c r="BA16" s="293"/>
    </row>
    <row r="17" spans="1:53">
      <c r="A17" s="145"/>
      <c r="B17" s="994"/>
      <c r="C17" s="953"/>
      <c r="D17" s="953"/>
      <c r="E17" s="999"/>
      <c r="F17" s="920"/>
      <c r="G17" s="953"/>
      <c r="H17" s="953"/>
      <c r="I17" s="996"/>
      <c r="J17" s="221"/>
      <c r="K17" s="35"/>
      <c r="L17" s="10">
        <v>11</v>
      </c>
      <c r="M17" s="8">
        <v>0.27432000000000001</v>
      </c>
      <c r="N17" s="8">
        <v>33.261299999999999</v>
      </c>
      <c r="O17" s="163">
        <v>6.35</v>
      </c>
      <c r="P17" s="65">
        <f t="shared" si="6"/>
        <v>1.7337785765043901E-2</v>
      </c>
      <c r="Q17" s="163">
        <v>121.25</v>
      </c>
      <c r="R17" s="998"/>
      <c r="S17" s="892"/>
      <c r="T17" s="497" t="s">
        <v>522</v>
      </c>
      <c r="U17" s="39">
        <f t="shared" si="0"/>
        <v>22.332624744620947</v>
      </c>
      <c r="V17" s="334">
        <v>74463.38</v>
      </c>
      <c r="W17" s="181"/>
      <c r="X17" s="334">
        <v>389.55</v>
      </c>
      <c r="Y17" s="989"/>
      <c r="Z17" s="893"/>
      <c r="AA17" s="885"/>
      <c r="AB17" s="892"/>
      <c r="AC17" s="497" t="s">
        <v>524</v>
      </c>
      <c r="AD17" s="97"/>
      <c r="AE17" s="231"/>
      <c r="AF17" s="892"/>
      <c r="AG17" s="40"/>
      <c r="AH17" s="40"/>
      <c r="AI17" s="40"/>
      <c r="AJ17" s="97"/>
      <c r="AK17" s="231"/>
      <c r="AL17" s="40"/>
      <c r="AM17" s="40" t="s">
        <v>51</v>
      </c>
      <c r="AN17" s="567">
        <v>228.97488999999999</v>
      </c>
      <c r="AO17" s="793">
        <f t="shared" si="8"/>
        <v>0.5877933256321396</v>
      </c>
      <c r="AP17" s="793"/>
      <c r="AQ17" s="568">
        <f t="shared" si="2"/>
        <v>1.023744937019164</v>
      </c>
      <c r="AR17" s="569">
        <f t="shared" si="9"/>
        <v>371.68897114704708</v>
      </c>
      <c r="AS17" s="570">
        <f t="shared" si="10"/>
        <v>21.308664649829915</v>
      </c>
      <c r="AT17" s="670">
        <f t="shared" si="11"/>
        <v>0.6160389674554354</v>
      </c>
      <c r="AU17" s="257">
        <f t="shared" si="7"/>
        <v>0.5877933256321396</v>
      </c>
      <c r="AV17" s="129"/>
      <c r="AW17" s="40"/>
      <c r="AX17" s="97" t="s">
        <v>66</v>
      </c>
      <c r="AY17" s="912"/>
      <c r="AZ17" s="760">
        <v>1965</v>
      </c>
      <c r="BA17" s="293"/>
    </row>
    <row r="18" spans="1:53" ht="14.25" customHeight="1">
      <c r="A18" s="145"/>
      <c r="B18" s="994"/>
      <c r="C18" s="953"/>
      <c r="D18" s="953"/>
      <c r="E18" s="999"/>
      <c r="F18" s="920"/>
      <c r="G18" s="953"/>
      <c r="H18" s="953"/>
      <c r="I18" s="996"/>
      <c r="J18" s="221"/>
      <c r="K18" s="35"/>
      <c r="L18" s="10">
        <v>12</v>
      </c>
      <c r="M18" s="163">
        <v>3.5864799999999999</v>
      </c>
      <c r="N18" s="163">
        <v>34.78886</v>
      </c>
      <c r="O18" s="163">
        <v>101.6</v>
      </c>
      <c r="P18" s="65">
        <f t="shared" si="6"/>
        <v>0.93770799380131964</v>
      </c>
      <c r="Q18" s="163">
        <v>9.6999999999999993</v>
      </c>
      <c r="R18" s="978" t="s">
        <v>44</v>
      </c>
      <c r="S18" s="871" t="s">
        <v>45</v>
      </c>
      <c r="T18" s="465" t="s">
        <v>522</v>
      </c>
      <c r="U18" s="172">
        <f t="shared" ref="U18:U33" si="12">2*PI()*N18*M18*$X$18/1000</f>
        <v>305.38780321232326</v>
      </c>
      <c r="V18" s="329">
        <v>74463.38</v>
      </c>
      <c r="W18" s="179"/>
      <c r="X18" s="329">
        <v>389.55</v>
      </c>
      <c r="Y18" s="953">
        <v>415.06</v>
      </c>
      <c r="Z18" s="882" t="s">
        <v>46</v>
      </c>
      <c r="AA18" s="885"/>
      <c r="AB18" s="871" t="s">
        <v>48</v>
      </c>
      <c r="AC18" s="380" t="s">
        <v>524</v>
      </c>
      <c r="AD18" s="882" t="s">
        <v>67</v>
      </c>
      <c r="AE18" s="885" t="s">
        <v>68</v>
      </c>
      <c r="AF18" s="871" t="s">
        <v>49</v>
      </c>
      <c r="AK18" s="35"/>
      <c r="AL18" s="9" t="s">
        <v>69</v>
      </c>
      <c r="AM18" s="5" t="s">
        <v>51</v>
      </c>
      <c r="AN18" s="563">
        <v>480.08195000000001</v>
      </c>
      <c r="AO18" s="792">
        <f t="shared" si="8"/>
        <v>1.2324013605442177</v>
      </c>
      <c r="AP18" s="792"/>
      <c r="AQ18" s="566">
        <f t="shared" si="2"/>
        <v>0.28955881151529872</v>
      </c>
      <c r="AR18" s="564">
        <f t="shared" si="9"/>
        <v>4646.1116051312019</v>
      </c>
      <c r="AS18" s="565">
        <f t="shared" si="10"/>
        <v>3642.3201554878674</v>
      </c>
      <c r="AT18" s="669">
        <f t="shared" si="11"/>
        <v>0.10332983595783488</v>
      </c>
      <c r="AU18" s="256">
        <f t="shared" si="7"/>
        <v>1.2324013605442177</v>
      </c>
      <c r="AW18" s="9" t="s">
        <v>70</v>
      </c>
      <c r="AX18" s="30" t="s">
        <v>55</v>
      </c>
      <c r="AY18" s="912"/>
      <c r="AZ18" s="760">
        <v>1965</v>
      </c>
      <c r="BA18" s="294"/>
    </row>
    <row r="19" spans="1:53">
      <c r="A19" s="145"/>
      <c r="B19" s="994"/>
      <c r="C19" s="953"/>
      <c r="D19" s="953"/>
      <c r="E19" s="999"/>
      <c r="F19" s="920"/>
      <c r="G19" s="953"/>
      <c r="H19" s="953"/>
      <c r="I19" s="996"/>
      <c r="J19" s="221"/>
      <c r="K19" s="35"/>
      <c r="L19" s="10">
        <v>13</v>
      </c>
      <c r="M19" s="163">
        <v>2.5374599999999998</v>
      </c>
      <c r="N19" s="163">
        <v>35.575189999999999</v>
      </c>
      <c r="O19" s="163">
        <v>50.8</v>
      </c>
      <c r="P19" s="65">
        <f t="shared" si="6"/>
        <v>0.38136643963529959</v>
      </c>
      <c r="Q19" s="163">
        <v>14.02</v>
      </c>
      <c r="R19" s="978"/>
      <c r="S19" s="871"/>
      <c r="T19" s="465" t="s">
        <v>522</v>
      </c>
      <c r="U19" s="172">
        <f t="shared" si="12"/>
        <v>220.94771276286468</v>
      </c>
      <c r="V19" s="329">
        <v>74463.38</v>
      </c>
      <c r="W19" s="179"/>
      <c r="X19" s="329">
        <v>389.55</v>
      </c>
      <c r="Y19" s="953"/>
      <c r="Z19" s="882"/>
      <c r="AA19" s="885"/>
      <c r="AB19" s="871"/>
      <c r="AC19" s="380" t="s">
        <v>524</v>
      </c>
      <c r="AD19" s="882"/>
      <c r="AE19" s="885"/>
      <c r="AF19" s="871"/>
      <c r="AK19" s="35"/>
      <c r="AL19" s="9"/>
      <c r="AM19" s="5" t="s">
        <v>51</v>
      </c>
      <c r="AN19" s="563">
        <v>442.02289000000002</v>
      </c>
      <c r="AO19" s="792">
        <f t="shared" si="8"/>
        <v>1.1347012963676038</v>
      </c>
      <c r="AP19" s="792"/>
      <c r="AQ19" s="566">
        <f t="shared" si="2"/>
        <v>0.34811673772961743</v>
      </c>
      <c r="AR19" s="564">
        <f t="shared" si="9"/>
        <v>3214.4997673413072</v>
      </c>
      <c r="AS19" s="565">
        <f t="shared" si="10"/>
        <v>1823.2226191010718</v>
      </c>
      <c r="AT19" s="669">
        <f t="shared" si="11"/>
        <v>0.13750907512604812</v>
      </c>
      <c r="AU19" s="256">
        <f t="shared" si="7"/>
        <v>1.1347012963676038</v>
      </c>
      <c r="AW19" s="9"/>
      <c r="AX19" s="30" t="s">
        <v>55</v>
      </c>
      <c r="AY19" s="912"/>
      <c r="AZ19" s="760">
        <v>1965</v>
      </c>
      <c r="BA19" s="293"/>
    </row>
    <row r="20" spans="1:53">
      <c r="A20" s="145"/>
      <c r="B20" s="994"/>
      <c r="C20" s="953"/>
      <c r="D20" s="953"/>
      <c r="E20" s="999"/>
      <c r="F20" s="920"/>
      <c r="G20" s="953"/>
      <c r="H20" s="953"/>
      <c r="I20" s="996"/>
      <c r="J20" s="221"/>
      <c r="K20" s="35"/>
      <c r="L20" s="10">
        <v>14</v>
      </c>
      <c r="M20" s="163">
        <v>1.78562</v>
      </c>
      <c r="N20" s="163">
        <v>35.194569999999999</v>
      </c>
      <c r="O20" s="163">
        <v>25.4</v>
      </c>
      <c r="P20" s="65">
        <f t="shared" si="6"/>
        <v>0.16256039364514716</v>
      </c>
      <c r="Q20" s="163">
        <v>19.71</v>
      </c>
      <c r="R20" s="978"/>
      <c r="S20" s="871"/>
      <c r="T20" s="465" t="s">
        <v>522</v>
      </c>
      <c r="U20" s="172">
        <f t="shared" si="12"/>
        <v>153.81822027829381</v>
      </c>
      <c r="V20" s="329">
        <v>74463.38</v>
      </c>
      <c r="W20" s="179"/>
      <c r="X20" s="329">
        <v>389.55</v>
      </c>
      <c r="Y20" s="953"/>
      <c r="Z20" s="882"/>
      <c r="AA20" s="885"/>
      <c r="AB20" s="871"/>
      <c r="AC20" s="380" t="s">
        <v>524</v>
      </c>
      <c r="AD20" s="882"/>
      <c r="AE20" s="885"/>
      <c r="AF20" s="871"/>
      <c r="AK20" s="35"/>
      <c r="AL20" s="9"/>
      <c r="AM20" s="5" t="s">
        <v>51</v>
      </c>
      <c r="AN20" s="563">
        <v>424.57915000000003</v>
      </c>
      <c r="AO20" s="792">
        <f t="shared" si="8"/>
        <v>1.0899220895905533</v>
      </c>
      <c r="AP20" s="792"/>
      <c r="AQ20" s="566">
        <f t="shared" si="2"/>
        <v>0.41275676901614267</v>
      </c>
      <c r="AR20" s="564">
        <f t="shared" si="9"/>
        <v>2286.5189247936628</v>
      </c>
      <c r="AS20" s="565">
        <f t="shared" si="10"/>
        <v>902.85784018585309</v>
      </c>
      <c r="AT20" s="669">
        <f t="shared" si="11"/>
        <v>0.1856880104494715</v>
      </c>
      <c r="AU20" s="256">
        <f t="shared" si="7"/>
        <v>1.0899220895905533</v>
      </c>
      <c r="AW20" s="9"/>
      <c r="AX20" s="30" t="s">
        <v>55</v>
      </c>
      <c r="AY20" s="912"/>
      <c r="AZ20" s="760">
        <v>1965</v>
      </c>
      <c r="BA20" s="293"/>
    </row>
    <row r="21" spans="1:53">
      <c r="A21" s="145"/>
      <c r="B21" s="994"/>
      <c r="C21" s="953"/>
      <c r="D21" s="953"/>
      <c r="E21" s="999"/>
      <c r="F21" s="920"/>
      <c r="G21" s="953"/>
      <c r="H21" s="953"/>
      <c r="I21" s="996"/>
      <c r="J21" s="221"/>
      <c r="K21" s="35"/>
      <c r="L21" s="10">
        <v>15</v>
      </c>
      <c r="M21" s="163">
        <v>0.77724000000000004</v>
      </c>
      <c r="N21" s="163">
        <v>34.734859999999998</v>
      </c>
      <c r="O21" s="163">
        <v>50.8</v>
      </c>
      <c r="P21" s="65">
        <f t="shared" si="6"/>
        <v>0.21877261333421341</v>
      </c>
      <c r="Q21" s="163">
        <v>44.69</v>
      </c>
      <c r="R21" s="978"/>
      <c r="S21" s="871"/>
      <c r="T21" s="465" t="s">
        <v>522</v>
      </c>
      <c r="U21" s="172">
        <f t="shared" si="12"/>
        <v>66.079047305868244</v>
      </c>
      <c r="V21" s="329">
        <v>74463.38</v>
      </c>
      <c r="W21" s="179"/>
      <c r="X21" s="329">
        <v>389.55</v>
      </c>
      <c r="Y21" s="953"/>
      <c r="Z21" s="882"/>
      <c r="AA21" s="885"/>
      <c r="AB21" s="871"/>
      <c r="AC21" s="380" t="s">
        <v>524</v>
      </c>
      <c r="AD21" s="882"/>
      <c r="AE21" s="885"/>
      <c r="AF21" s="871"/>
      <c r="AK21" s="35"/>
      <c r="AL21" s="9"/>
      <c r="AM21" s="5" t="s">
        <v>51</v>
      </c>
      <c r="AN21" s="563">
        <v>382.59008</v>
      </c>
      <c r="AO21" s="792">
        <f t="shared" si="8"/>
        <v>0.98213343601591574</v>
      </c>
      <c r="AP21" s="792"/>
      <c r="AQ21" s="566">
        <f t="shared" si="2"/>
        <v>0.6215214163767635</v>
      </c>
      <c r="AR21" s="564">
        <f t="shared" si="9"/>
        <v>1008.442202791018</v>
      </c>
      <c r="AS21" s="565">
        <f t="shared" si="10"/>
        <v>171.06122455002347</v>
      </c>
      <c r="AT21" s="669">
        <f t="shared" si="11"/>
        <v>0.37938721618464943</v>
      </c>
      <c r="AU21" s="256">
        <f t="shared" si="7"/>
        <v>0.98213343601591574</v>
      </c>
      <c r="AW21" s="9"/>
      <c r="AX21" s="30" t="s">
        <v>71</v>
      </c>
      <c r="AY21" s="912"/>
      <c r="AZ21" s="760">
        <v>1965</v>
      </c>
      <c r="BA21" s="293"/>
    </row>
    <row r="22" spans="1:53">
      <c r="A22" s="145"/>
      <c r="B22" s="994"/>
      <c r="C22" s="953"/>
      <c r="D22" s="953"/>
      <c r="E22" s="999"/>
      <c r="F22" s="920"/>
      <c r="G22" s="953"/>
      <c r="H22" s="953"/>
      <c r="I22" s="996"/>
      <c r="J22" s="221"/>
      <c r="K22" s="35"/>
      <c r="L22" s="10">
        <v>16</v>
      </c>
      <c r="M22" s="163">
        <v>0.61214000000000002</v>
      </c>
      <c r="N22" s="163">
        <v>34.598149999999997</v>
      </c>
      <c r="O22" s="163">
        <v>25.4</v>
      </c>
      <c r="P22" s="65">
        <f t="shared" si="6"/>
        <v>9.7651693735800807E-2</v>
      </c>
      <c r="Q22" s="163">
        <v>56.52</v>
      </c>
      <c r="R22" s="978"/>
      <c r="S22" s="871"/>
      <c r="T22" s="465" t="s">
        <v>522</v>
      </c>
      <c r="U22" s="172">
        <f t="shared" si="12"/>
        <v>51.837818106804868</v>
      </c>
      <c r="V22" s="329">
        <v>74463.38</v>
      </c>
      <c r="W22" s="179"/>
      <c r="X22" s="329">
        <v>389.55</v>
      </c>
      <c r="Y22" s="953"/>
      <c r="Z22" s="882"/>
      <c r="AA22" s="885"/>
      <c r="AB22" s="871"/>
      <c r="AC22" s="380" t="s">
        <v>524</v>
      </c>
      <c r="AD22" s="882"/>
      <c r="AE22" s="885"/>
      <c r="AF22" s="871"/>
      <c r="AK22" s="35"/>
      <c r="AL22" s="9"/>
      <c r="AM22" s="5" t="s">
        <v>51</v>
      </c>
      <c r="AN22" s="563">
        <v>354.25263000000001</v>
      </c>
      <c r="AO22" s="792">
        <f t="shared" si="8"/>
        <v>0.90938937235271466</v>
      </c>
      <c r="AP22" s="792"/>
      <c r="AQ22" s="566">
        <f t="shared" si="2"/>
        <v>0.69895940390994538</v>
      </c>
      <c r="AR22" s="564">
        <f t="shared" si="9"/>
        <v>797.36892071546742</v>
      </c>
      <c r="AS22" s="565">
        <f t="shared" si="10"/>
        <v>106.10670023377669</v>
      </c>
      <c r="AT22" s="669">
        <f t="shared" si="11"/>
        <v>0.44427694734093015</v>
      </c>
      <c r="AU22" s="256">
        <f t="shared" si="7"/>
        <v>0.90938937235271466</v>
      </c>
      <c r="AW22" s="9"/>
      <c r="AX22" s="30" t="s">
        <v>72</v>
      </c>
      <c r="AY22" s="912"/>
      <c r="AZ22" s="760">
        <v>1965</v>
      </c>
      <c r="BA22" s="293"/>
    </row>
    <row r="23" spans="1:53">
      <c r="A23" s="145"/>
      <c r="B23" s="994"/>
      <c r="C23" s="953"/>
      <c r="D23" s="953"/>
      <c r="E23" s="999"/>
      <c r="F23" s="920"/>
      <c r="G23" s="953"/>
      <c r="H23" s="953"/>
      <c r="I23" s="996"/>
      <c r="J23" s="221"/>
      <c r="K23" s="35"/>
      <c r="L23" s="10">
        <v>17</v>
      </c>
      <c r="M23" s="163">
        <v>0.38607999999999998</v>
      </c>
      <c r="N23" s="163">
        <v>34.488529999999997</v>
      </c>
      <c r="O23" s="163">
        <v>50.8</v>
      </c>
      <c r="P23" s="65">
        <f t="shared" si="6"/>
        <v>0.1558440904848622</v>
      </c>
      <c r="Q23" s="163">
        <v>89.33</v>
      </c>
      <c r="R23" s="978"/>
      <c r="S23" s="871"/>
      <c r="T23" s="465" t="s">
        <v>522</v>
      </c>
      <c r="U23" s="172">
        <f t="shared" si="12"/>
        <v>32.590803328634138</v>
      </c>
      <c r="V23" s="329">
        <v>74463.38</v>
      </c>
      <c r="W23" s="179"/>
      <c r="X23" s="329">
        <v>389.55</v>
      </c>
      <c r="Y23" s="953"/>
      <c r="Z23" s="882"/>
      <c r="AA23" s="885"/>
      <c r="AB23" s="871"/>
      <c r="AC23" s="380" t="s">
        <v>524</v>
      </c>
      <c r="AD23" s="882"/>
      <c r="AE23" s="885"/>
      <c r="AF23" s="871"/>
      <c r="AK23" s="35"/>
      <c r="AL23" s="9"/>
      <c r="AM23" s="5" t="s">
        <v>51</v>
      </c>
      <c r="AN23" s="563">
        <v>303.02458000000001</v>
      </c>
      <c r="AO23" s="792">
        <f t="shared" si="8"/>
        <v>0.777883660634065</v>
      </c>
      <c r="AP23" s="792"/>
      <c r="AQ23" s="566">
        <f t="shared" si="2"/>
        <v>0.87871812185243192</v>
      </c>
      <c r="AR23" s="564">
        <f t="shared" si="9"/>
        <v>504.50333647533819</v>
      </c>
      <c r="AS23" s="565">
        <f t="shared" si="10"/>
        <v>42.208109402406578</v>
      </c>
      <c r="AT23" s="669">
        <f t="shared" si="11"/>
        <v>0.60063939738644889</v>
      </c>
      <c r="AU23" s="256">
        <f t="shared" si="7"/>
        <v>0.777883660634065</v>
      </c>
      <c r="AW23" s="9"/>
      <c r="AX23" s="30" t="s">
        <v>935</v>
      </c>
      <c r="AY23" s="912"/>
      <c r="AZ23" s="760">
        <v>1965</v>
      </c>
      <c r="BA23" s="293"/>
    </row>
    <row r="24" spans="1:53">
      <c r="A24" s="145"/>
      <c r="B24" s="994"/>
      <c r="C24" s="953"/>
      <c r="D24" s="953"/>
      <c r="E24" s="999"/>
      <c r="F24" s="920"/>
      <c r="G24" s="953"/>
      <c r="H24" s="953"/>
      <c r="I24" s="996"/>
      <c r="J24" s="221"/>
      <c r="K24" s="35"/>
      <c r="L24" s="10">
        <v>18</v>
      </c>
      <c r="M24" s="163">
        <v>3.56616</v>
      </c>
      <c r="N24" s="163">
        <v>34.805720000000001</v>
      </c>
      <c r="O24" s="163">
        <v>101.6</v>
      </c>
      <c r="P24" s="65">
        <f t="shared" si="6"/>
        <v>0.93436849605324479</v>
      </c>
      <c r="Q24" s="163">
        <v>9.76</v>
      </c>
      <c r="R24" s="978"/>
      <c r="S24" s="871"/>
      <c r="T24" s="465" t="s">
        <v>522</v>
      </c>
      <c r="U24" s="172">
        <f t="shared" si="12"/>
        <v>303.80472466327308</v>
      </c>
      <c r="V24" s="329">
        <v>74463.38</v>
      </c>
      <c r="W24" s="179"/>
      <c r="X24" s="329">
        <v>389.55</v>
      </c>
      <c r="Y24" s="953"/>
      <c r="Z24" s="882"/>
      <c r="AA24" s="885"/>
      <c r="AB24" s="871"/>
      <c r="AC24" s="380" t="s">
        <v>524</v>
      </c>
      <c r="AD24" s="882"/>
      <c r="AE24" s="885"/>
      <c r="AF24" s="871"/>
      <c r="AK24" s="35"/>
      <c r="AL24" s="9"/>
      <c r="AM24" s="5" t="s">
        <v>51</v>
      </c>
      <c r="AN24" s="563">
        <v>482.63301000000001</v>
      </c>
      <c r="AO24" s="792">
        <f t="shared" si="8"/>
        <v>1.2389500962649211</v>
      </c>
      <c r="AP24" s="792"/>
      <c r="AQ24" s="566">
        <f t="shared" si="2"/>
        <v>0.2904529502640128</v>
      </c>
      <c r="AR24" s="564">
        <f t="shared" si="9"/>
        <v>4617.5501868133333</v>
      </c>
      <c r="AS24" s="565">
        <f t="shared" si="10"/>
        <v>3601.1643258212548</v>
      </c>
      <c r="AT24" s="669">
        <f t="shared" si="11"/>
        <v>0.10452144329222224</v>
      </c>
      <c r="AU24" s="256">
        <f t="shared" si="7"/>
        <v>1.2389500962649211</v>
      </c>
      <c r="AW24" s="9"/>
      <c r="AX24" s="30" t="s">
        <v>55</v>
      </c>
      <c r="AY24" s="912"/>
      <c r="AZ24" s="760">
        <v>1965</v>
      </c>
      <c r="BA24" s="293"/>
    </row>
    <row r="25" spans="1:53">
      <c r="A25" s="145"/>
      <c r="B25" s="994"/>
      <c r="C25" s="953"/>
      <c r="D25" s="953"/>
      <c r="E25" s="999"/>
      <c r="F25" s="920"/>
      <c r="G25" s="953"/>
      <c r="H25" s="953"/>
      <c r="I25" s="996"/>
      <c r="J25" s="221"/>
      <c r="K25" s="35"/>
      <c r="L25" s="10">
        <v>19</v>
      </c>
      <c r="M25" s="163">
        <v>3.5636199999999998</v>
      </c>
      <c r="N25" s="163">
        <v>34.780929999999998</v>
      </c>
      <c r="O25" s="163">
        <v>38.1</v>
      </c>
      <c r="P25" s="65">
        <f t="shared" si="6"/>
        <v>0.35063792210245931</v>
      </c>
      <c r="Q25" s="163">
        <v>9.76</v>
      </c>
      <c r="R25" s="978"/>
      <c r="S25" s="871"/>
      <c r="T25" s="465" t="s">
        <v>522</v>
      </c>
      <c r="U25" s="172">
        <f t="shared" si="12"/>
        <v>303.37211199969164</v>
      </c>
      <c r="V25" s="329">
        <v>74463.38</v>
      </c>
      <c r="W25" s="179"/>
      <c r="X25" s="329">
        <v>389.55</v>
      </c>
      <c r="Y25" s="953"/>
      <c r="Z25" s="882"/>
      <c r="AA25" s="885"/>
      <c r="AB25" s="871"/>
      <c r="AC25" s="380" t="s">
        <v>524</v>
      </c>
      <c r="AD25" s="882"/>
      <c r="AE25" s="885"/>
      <c r="AF25" s="871"/>
      <c r="AK25" s="35"/>
      <c r="AL25" s="9"/>
      <c r="AM25" s="5" t="s">
        <v>51</v>
      </c>
      <c r="AN25" s="563">
        <v>477.94457999999997</v>
      </c>
      <c r="AO25" s="792">
        <f t="shared" si="8"/>
        <v>1.2269145937620329</v>
      </c>
      <c r="AP25" s="792"/>
      <c r="AQ25" s="566">
        <f t="shared" si="2"/>
        <v>0.29045295192943954</v>
      </c>
      <c r="AR25" s="564">
        <f t="shared" si="9"/>
        <v>4617.550133860238</v>
      </c>
      <c r="AS25" s="565">
        <f t="shared" si="10"/>
        <v>3596.0362889838002</v>
      </c>
      <c r="AT25" s="669">
        <f t="shared" si="11"/>
        <v>0.10350609438872335</v>
      </c>
      <c r="AU25" s="256">
        <f t="shared" si="7"/>
        <v>1.2269145937620329</v>
      </c>
      <c r="AW25" s="9"/>
      <c r="AX25" s="30" t="s">
        <v>55</v>
      </c>
      <c r="AY25" s="912"/>
      <c r="AZ25" s="760">
        <v>1965</v>
      </c>
      <c r="BA25" s="293"/>
    </row>
    <row r="26" spans="1:53">
      <c r="A26" s="145"/>
      <c r="B26" s="994"/>
      <c r="C26" s="953"/>
      <c r="D26" s="953"/>
      <c r="E26" s="999"/>
      <c r="F26" s="920"/>
      <c r="G26" s="953"/>
      <c r="H26" s="953"/>
      <c r="I26" s="996"/>
      <c r="J26" s="221"/>
      <c r="K26" s="35"/>
      <c r="L26" s="10">
        <v>20</v>
      </c>
      <c r="M26" s="163">
        <v>3.56616</v>
      </c>
      <c r="N26" s="163">
        <v>34.805720000000001</v>
      </c>
      <c r="O26" s="163">
        <v>25.4</v>
      </c>
      <c r="P26" s="65">
        <f t="shared" si="6"/>
        <v>0.2335921240133112</v>
      </c>
      <c r="Q26" s="163">
        <v>9.76</v>
      </c>
      <c r="R26" s="978"/>
      <c r="S26" s="871"/>
      <c r="T26" s="465" t="s">
        <v>522</v>
      </c>
      <c r="U26" s="172">
        <f t="shared" si="12"/>
        <v>303.80472466327308</v>
      </c>
      <c r="V26" s="329">
        <v>74463.38</v>
      </c>
      <c r="W26" s="179"/>
      <c r="X26" s="329">
        <v>389.55</v>
      </c>
      <c r="Y26" s="953"/>
      <c r="Z26" s="882"/>
      <c r="AA26" s="885"/>
      <c r="AB26" s="871"/>
      <c r="AC26" s="380" t="s">
        <v>524</v>
      </c>
      <c r="AD26" s="882"/>
      <c r="AE26" s="885"/>
      <c r="AF26" s="871"/>
      <c r="AK26" s="35"/>
      <c r="AL26" s="9"/>
      <c r="AM26" s="5" t="s">
        <v>51</v>
      </c>
      <c r="AN26" s="563">
        <v>481.52985000000001</v>
      </c>
      <c r="AO26" s="792">
        <f t="shared" si="8"/>
        <v>1.236118213323065</v>
      </c>
      <c r="AP26" s="792"/>
      <c r="AQ26" s="566">
        <f t="shared" si="2"/>
        <v>0.2904529502640128</v>
      </c>
      <c r="AR26" s="564">
        <f t="shared" si="9"/>
        <v>4617.5501868133333</v>
      </c>
      <c r="AS26" s="565">
        <f t="shared" si="10"/>
        <v>3601.1643258212548</v>
      </c>
      <c r="AT26" s="669">
        <f t="shared" si="11"/>
        <v>0.10428253738857871</v>
      </c>
      <c r="AU26" s="256">
        <f t="shared" si="7"/>
        <v>1.236118213323065</v>
      </c>
      <c r="AW26" s="9"/>
      <c r="AX26" s="30" t="s">
        <v>55</v>
      </c>
      <c r="AY26" s="912"/>
      <c r="AZ26" s="760">
        <v>1965</v>
      </c>
      <c r="BA26" s="293"/>
    </row>
    <row r="27" spans="1:53">
      <c r="A27" s="145"/>
      <c r="B27" s="994"/>
      <c r="C27" s="953"/>
      <c r="D27" s="953"/>
      <c r="E27" s="999"/>
      <c r="F27" s="920"/>
      <c r="G27" s="953"/>
      <c r="H27" s="953"/>
      <c r="I27" s="996"/>
      <c r="J27" s="221"/>
      <c r="K27" s="35"/>
      <c r="L27" s="10">
        <v>21</v>
      </c>
      <c r="M27" s="163">
        <v>3.56616</v>
      </c>
      <c r="N27" s="163">
        <v>34.805720000000001</v>
      </c>
      <c r="O27" s="163">
        <v>12.7</v>
      </c>
      <c r="P27" s="65">
        <f t="shared" si="6"/>
        <v>0.1167960620066556</v>
      </c>
      <c r="Q27" s="163">
        <v>9.76</v>
      </c>
      <c r="R27" s="978"/>
      <c r="S27" s="871"/>
      <c r="T27" s="465" t="s">
        <v>522</v>
      </c>
      <c r="U27" s="172">
        <f t="shared" si="12"/>
        <v>303.80472466327308</v>
      </c>
      <c r="V27" s="329">
        <v>74463.38</v>
      </c>
      <c r="W27" s="179"/>
      <c r="X27" s="329">
        <v>389.55</v>
      </c>
      <c r="Y27" s="953"/>
      <c r="Z27" s="882"/>
      <c r="AA27" s="885"/>
      <c r="AB27" s="871"/>
      <c r="AC27" s="380" t="s">
        <v>524</v>
      </c>
      <c r="AD27" s="882"/>
      <c r="AE27" s="885"/>
      <c r="AF27" s="871"/>
      <c r="AK27" s="35"/>
      <c r="AL27" s="9"/>
      <c r="AM27" s="5" t="s">
        <v>51</v>
      </c>
      <c r="AN27" s="563" t="s">
        <v>51</v>
      </c>
      <c r="AO27" s="792"/>
      <c r="AP27" s="792"/>
      <c r="AQ27" s="566"/>
      <c r="AR27" s="564"/>
      <c r="AS27" s="565"/>
      <c r="AT27" s="806"/>
      <c r="AU27" s="807"/>
      <c r="AW27" s="9"/>
      <c r="AX27" s="30" t="s">
        <v>73</v>
      </c>
      <c r="AY27" s="912"/>
      <c r="AZ27" s="760">
        <v>1965</v>
      </c>
      <c r="BA27" s="293"/>
    </row>
    <row r="28" spans="1:53">
      <c r="A28" s="145"/>
      <c r="B28" s="994"/>
      <c r="C28" s="953"/>
      <c r="D28" s="953"/>
      <c r="E28" s="999"/>
      <c r="F28" s="920"/>
      <c r="G28" s="953"/>
      <c r="H28" s="953"/>
      <c r="I28" s="996"/>
      <c r="J28" s="221"/>
      <c r="K28" s="35"/>
      <c r="L28" s="10">
        <v>22</v>
      </c>
      <c r="M28" s="163">
        <v>2.5527000000000002</v>
      </c>
      <c r="N28" s="163">
        <v>35.559109999999997</v>
      </c>
      <c r="O28" s="163">
        <v>25.4</v>
      </c>
      <c r="P28" s="65">
        <f t="shared" si="6"/>
        <v>0.19138472917492183</v>
      </c>
      <c r="Q28" s="163">
        <v>13.93</v>
      </c>
      <c r="R28" s="978"/>
      <c r="S28" s="871"/>
      <c r="T28" s="465" t="s">
        <v>522</v>
      </c>
      <c r="U28" s="172">
        <f t="shared" si="12"/>
        <v>222.17425778833379</v>
      </c>
      <c r="V28" s="329">
        <v>74463.38</v>
      </c>
      <c r="W28" s="179"/>
      <c r="X28" s="329">
        <v>389.55</v>
      </c>
      <c r="Y28" s="953"/>
      <c r="Z28" s="882"/>
      <c r="AA28" s="885"/>
      <c r="AB28" s="871"/>
      <c r="AC28" s="380" t="s">
        <v>524</v>
      </c>
      <c r="AD28" s="882"/>
      <c r="AE28" s="885"/>
      <c r="AF28" s="871"/>
      <c r="AK28" s="35"/>
      <c r="AL28" s="9"/>
      <c r="AM28" s="5" t="s">
        <v>51</v>
      </c>
      <c r="AN28" s="563">
        <v>439.81657000000001</v>
      </c>
      <c r="AO28" s="792">
        <f t="shared" ref="AO28:AO33" si="13">AN28/$X$4</f>
        <v>1.1290375304838918</v>
      </c>
      <c r="AP28" s="792"/>
      <c r="AQ28" s="566">
        <f t="shared" si="2"/>
        <v>0.34699757954794924</v>
      </c>
      <c r="AR28" s="564">
        <f t="shared" ref="AR28:AR33" si="14">1/SQRT(3*(1-0.3^2))*$V$4*M28/N28</f>
        <v>3235.2684148578774</v>
      </c>
      <c r="AS28" s="565">
        <f t="shared" ref="AS28:AS37" si="15">2*PI()*N28*M28*AR28/1000</f>
        <v>1845.1889585857734</v>
      </c>
      <c r="AT28" s="669">
        <f t="shared" ref="AT28:AT33" si="16">AN28/AR28</f>
        <v>0.13594438346449247</v>
      </c>
      <c r="AU28" s="256">
        <f t="shared" si="7"/>
        <v>1.1290375304838918</v>
      </c>
      <c r="AW28" s="9"/>
      <c r="AX28" s="30" t="s">
        <v>55</v>
      </c>
      <c r="AY28" s="912"/>
      <c r="AZ28" s="760">
        <v>1965</v>
      </c>
      <c r="BA28" s="293"/>
    </row>
    <row r="29" spans="1:53">
      <c r="A29" s="145"/>
      <c r="B29" s="994"/>
      <c r="C29" s="953"/>
      <c r="D29" s="953"/>
      <c r="E29" s="999"/>
      <c r="F29" s="920"/>
      <c r="G29" s="953"/>
      <c r="H29" s="953"/>
      <c r="I29" s="996"/>
      <c r="J29" s="221"/>
      <c r="K29" s="35"/>
      <c r="L29" s="10">
        <v>23</v>
      </c>
      <c r="M29" s="163">
        <v>1.7907</v>
      </c>
      <c r="N29" s="163">
        <v>35.205159999999999</v>
      </c>
      <c r="O29" s="163">
        <v>50.8</v>
      </c>
      <c r="P29" s="65">
        <f t="shared" si="6"/>
        <v>0.32543603908802227</v>
      </c>
      <c r="Q29" s="163">
        <v>19.66</v>
      </c>
      <c r="R29" s="978"/>
      <c r="S29" s="871"/>
      <c r="T29" s="465" t="s">
        <v>522</v>
      </c>
      <c r="U29" s="172">
        <f t="shared" si="12"/>
        <v>154.30224083266418</v>
      </c>
      <c r="V29" s="329">
        <v>74463.38</v>
      </c>
      <c r="W29" s="179"/>
      <c r="X29" s="329">
        <v>389.55</v>
      </c>
      <c r="Y29" s="953"/>
      <c r="Z29" s="882"/>
      <c r="AA29" s="885"/>
      <c r="AB29" s="871"/>
      <c r="AC29" s="380" t="s">
        <v>524</v>
      </c>
      <c r="AD29" s="882"/>
      <c r="AE29" s="885"/>
      <c r="AF29" s="871"/>
      <c r="AK29" s="35"/>
      <c r="AL29" s="9"/>
      <c r="AM29" s="5" t="s">
        <v>51</v>
      </c>
      <c r="AN29" s="563">
        <v>423.88968</v>
      </c>
      <c r="AO29" s="792">
        <f t="shared" si="13"/>
        <v>1.0881521755872159</v>
      </c>
      <c r="AP29" s="792"/>
      <c r="AQ29" s="566">
        <f t="shared" si="2"/>
        <v>0.41223288877962527</v>
      </c>
      <c r="AR29" s="564">
        <f t="shared" si="14"/>
        <v>2292.3341969402591</v>
      </c>
      <c r="AS29" s="565">
        <f t="shared" si="15"/>
        <v>908.00231889417967</v>
      </c>
      <c r="AT29" s="669">
        <f t="shared" si="16"/>
        <v>0.18491617869933433</v>
      </c>
      <c r="AU29" s="256">
        <f t="shared" si="7"/>
        <v>1.0881521755872159</v>
      </c>
      <c r="AW29" s="9"/>
      <c r="AX29" s="30" t="s">
        <v>55</v>
      </c>
      <c r="AY29" s="912"/>
      <c r="AZ29" s="760">
        <v>1965</v>
      </c>
      <c r="BA29" s="293"/>
    </row>
    <row r="30" spans="1:53">
      <c r="A30" s="145"/>
      <c r="B30" s="994"/>
      <c r="C30" s="953"/>
      <c r="D30" s="953"/>
      <c r="E30" s="999"/>
      <c r="F30" s="920"/>
      <c r="G30" s="953"/>
      <c r="H30" s="953"/>
      <c r="I30" s="996"/>
      <c r="J30" s="221"/>
      <c r="K30" s="35"/>
      <c r="L30" s="10">
        <v>24</v>
      </c>
      <c r="M30" s="163">
        <v>0.78486</v>
      </c>
      <c r="N30" s="163">
        <v>34.682960000000001</v>
      </c>
      <c r="O30" s="163">
        <v>25.4</v>
      </c>
      <c r="P30" s="65">
        <f t="shared" si="6"/>
        <v>0.11016802963167525</v>
      </c>
      <c r="Q30" s="163">
        <v>44.19</v>
      </c>
      <c r="R30" s="978"/>
      <c r="S30" s="871"/>
      <c r="T30" s="465" t="s">
        <v>522</v>
      </c>
      <c r="U30" s="172">
        <f t="shared" si="12"/>
        <v>66.627179387496327</v>
      </c>
      <c r="V30" s="329">
        <v>74463.38</v>
      </c>
      <c r="W30" s="179"/>
      <c r="X30" s="329">
        <v>389.55</v>
      </c>
      <c r="Y30" s="953"/>
      <c r="Z30" s="882"/>
      <c r="AA30" s="885"/>
      <c r="AB30" s="871"/>
      <c r="AC30" s="380" t="s">
        <v>524</v>
      </c>
      <c r="AD30" s="882"/>
      <c r="AE30" s="885"/>
      <c r="AF30" s="871"/>
      <c r="AK30" s="35"/>
      <c r="AL30" s="9"/>
      <c r="AM30" s="5" t="s">
        <v>51</v>
      </c>
      <c r="AN30" s="563">
        <v>368.04214000000002</v>
      </c>
      <c r="AO30" s="792">
        <f t="shared" si="13"/>
        <v>0.9447879347965602</v>
      </c>
      <c r="AP30" s="792"/>
      <c r="AQ30" s="566">
        <f t="shared" si="2"/>
        <v>0.61803471886786676</v>
      </c>
      <c r="AR30" s="564">
        <f t="shared" si="14"/>
        <v>1019.8527306984366</v>
      </c>
      <c r="AS30" s="565">
        <f t="shared" si="15"/>
        <v>174.43180807873887</v>
      </c>
      <c r="AT30" s="669">
        <f t="shared" si="16"/>
        <v>0.3608777315798819</v>
      </c>
      <c r="AU30" s="256">
        <f t="shared" si="7"/>
        <v>0.9447879347965602</v>
      </c>
      <c r="AW30" s="9"/>
      <c r="AX30" s="30" t="s">
        <v>74</v>
      </c>
      <c r="AY30" s="912"/>
      <c r="AZ30" s="760">
        <v>1965</v>
      </c>
      <c r="BA30" s="293"/>
    </row>
    <row r="31" spans="1:53">
      <c r="A31" s="145"/>
      <c r="B31" s="994"/>
      <c r="C31" s="953"/>
      <c r="D31" s="953"/>
      <c r="E31" s="999"/>
      <c r="F31" s="920"/>
      <c r="G31" s="953"/>
      <c r="H31" s="953"/>
      <c r="I31" s="996"/>
      <c r="J31" s="221"/>
      <c r="K31" s="35"/>
      <c r="L31" s="10">
        <v>25</v>
      </c>
      <c r="M31" s="163">
        <v>0.62992000000000004</v>
      </c>
      <c r="N31" s="163">
        <v>34.601509999999998</v>
      </c>
      <c r="O31" s="163">
        <v>50.8</v>
      </c>
      <c r="P31" s="65">
        <f t="shared" si="6"/>
        <v>0.19809058450577152</v>
      </c>
      <c r="Q31" s="163">
        <v>54.93</v>
      </c>
      <c r="R31" s="978"/>
      <c r="S31" s="871"/>
      <c r="T31" s="465" t="s">
        <v>522</v>
      </c>
      <c r="U31" s="172">
        <f t="shared" si="12"/>
        <v>53.348661326559409</v>
      </c>
      <c r="V31" s="329">
        <v>74463.38</v>
      </c>
      <c r="W31" s="179"/>
      <c r="X31" s="329">
        <v>389.55</v>
      </c>
      <c r="Y31" s="953"/>
      <c r="Z31" s="882"/>
      <c r="AA31" s="885"/>
      <c r="AB31" s="871"/>
      <c r="AC31" s="380" t="s">
        <v>524</v>
      </c>
      <c r="AD31" s="882"/>
      <c r="AE31" s="885"/>
      <c r="AF31" s="871"/>
      <c r="AK31" s="35"/>
      <c r="AL31" s="9"/>
      <c r="AM31" s="5" t="s">
        <v>51</v>
      </c>
      <c r="AN31" s="563">
        <v>349.15051</v>
      </c>
      <c r="AO31" s="792">
        <f t="shared" si="13"/>
        <v>0.89629190091130784</v>
      </c>
      <c r="AP31" s="792"/>
      <c r="AQ31" s="566">
        <f t="shared" si="2"/>
        <v>0.68905790665899724</v>
      </c>
      <c r="AR31" s="564">
        <f t="shared" si="14"/>
        <v>820.44933589531013</v>
      </c>
      <c r="AS31" s="565">
        <f t="shared" si="15"/>
        <v>112.36009178867791</v>
      </c>
      <c r="AT31" s="669">
        <f t="shared" si="16"/>
        <v>0.42556011044727304</v>
      </c>
      <c r="AU31" s="256">
        <f t="shared" si="7"/>
        <v>0.89629190091130784</v>
      </c>
      <c r="AW31" s="9"/>
      <c r="AX31" s="30" t="s">
        <v>71</v>
      </c>
      <c r="AY31" s="912"/>
      <c r="AZ31" s="760">
        <v>1965</v>
      </c>
      <c r="BA31" s="293"/>
    </row>
    <row r="32" spans="1:53">
      <c r="A32" s="145"/>
      <c r="B32" s="994"/>
      <c r="C32" s="953"/>
      <c r="D32" s="953"/>
      <c r="E32" s="999"/>
      <c r="F32" s="920"/>
      <c r="G32" s="953"/>
      <c r="H32" s="953"/>
      <c r="I32" s="996"/>
      <c r="J32" s="221"/>
      <c r="K32" s="35"/>
      <c r="L32" s="10">
        <v>26</v>
      </c>
      <c r="M32" s="163">
        <v>0.40132000000000001</v>
      </c>
      <c r="N32" s="163">
        <v>34.493450000000003</v>
      </c>
      <c r="O32" s="163">
        <v>25.4</v>
      </c>
      <c r="P32" s="65">
        <f t="shared" si="6"/>
        <v>7.9428098745692621E-2</v>
      </c>
      <c r="Q32" s="163">
        <v>85.95</v>
      </c>
      <c r="R32" s="978"/>
      <c r="S32" s="871"/>
      <c r="T32" s="465" t="s">
        <v>522</v>
      </c>
      <c r="U32" s="172">
        <f t="shared" si="12"/>
        <v>33.882115209183873</v>
      </c>
      <c r="V32" s="329">
        <v>74463.38</v>
      </c>
      <c r="W32" s="179"/>
      <c r="X32" s="329">
        <v>389.55</v>
      </c>
      <c r="Y32" s="953"/>
      <c r="Z32" s="882"/>
      <c r="AA32" s="885"/>
      <c r="AB32" s="871"/>
      <c r="AC32" s="380" t="s">
        <v>524</v>
      </c>
      <c r="AD32" s="882"/>
      <c r="AE32" s="885"/>
      <c r="AF32" s="871"/>
      <c r="AK32" s="35"/>
      <c r="AL32" s="9"/>
      <c r="AM32" s="5" t="s">
        <v>51</v>
      </c>
      <c r="AN32" s="563">
        <v>301.23194999999998</v>
      </c>
      <c r="AO32" s="792">
        <f t="shared" si="13"/>
        <v>0.77328186368887175</v>
      </c>
      <c r="AP32" s="792"/>
      <c r="AQ32" s="566">
        <f t="shared" si="2"/>
        <v>0.86193359579353368</v>
      </c>
      <c r="AR32" s="564">
        <f t="shared" si="14"/>
        <v>524.34314110255332</v>
      </c>
      <c r="AS32" s="565">
        <f t="shared" si="15"/>
        <v>45.6060960492416</v>
      </c>
      <c r="AT32" s="669">
        <f t="shared" si="16"/>
        <v>0.57449392656608378</v>
      </c>
      <c r="AU32" s="256">
        <f t="shared" si="7"/>
        <v>0.77328186368887175</v>
      </c>
      <c r="AW32" s="9"/>
      <c r="AX32" s="30" t="s">
        <v>935</v>
      </c>
      <c r="AY32" s="912"/>
      <c r="AZ32" s="760">
        <v>1965</v>
      </c>
      <c r="BA32" s="293"/>
    </row>
    <row r="33" spans="1:53" ht="16.5" thickBot="1">
      <c r="A33" s="145"/>
      <c r="B33" s="994"/>
      <c r="C33" s="980"/>
      <c r="D33" s="980"/>
      <c r="E33" s="1000"/>
      <c r="F33" s="921"/>
      <c r="G33" s="980"/>
      <c r="H33" s="980"/>
      <c r="I33" s="997"/>
      <c r="J33" s="223"/>
      <c r="K33" s="36"/>
      <c r="L33" s="204">
        <v>27</v>
      </c>
      <c r="M33" s="23">
        <v>3.5890200000000001</v>
      </c>
      <c r="N33" s="23">
        <v>34.813490000000002</v>
      </c>
      <c r="O33" s="23">
        <v>101.6</v>
      </c>
      <c r="P33" s="89">
        <f t="shared" si="6"/>
        <v>0.93704468775581917</v>
      </c>
      <c r="Q33" s="23">
        <v>9.6999999999999993</v>
      </c>
      <c r="R33" s="979"/>
      <c r="S33" s="872"/>
      <c r="T33" s="466" t="s">
        <v>522</v>
      </c>
      <c r="U33" s="173">
        <f t="shared" si="12"/>
        <v>305.8204467119354</v>
      </c>
      <c r="V33" s="330">
        <v>74463.38</v>
      </c>
      <c r="W33" s="180"/>
      <c r="X33" s="330">
        <v>389.55</v>
      </c>
      <c r="Y33" s="980"/>
      <c r="Z33" s="883"/>
      <c r="AA33" s="885"/>
      <c r="AB33" s="871"/>
      <c r="AC33" s="380" t="s">
        <v>524</v>
      </c>
      <c r="AD33" s="882"/>
      <c r="AE33" s="886"/>
      <c r="AF33" s="872"/>
      <c r="AG33" s="18"/>
      <c r="AH33" s="18"/>
      <c r="AI33" s="18"/>
      <c r="AJ33" s="31"/>
      <c r="AK33" s="36"/>
      <c r="AL33" s="126"/>
      <c r="AM33" s="18" t="s">
        <v>51</v>
      </c>
      <c r="AN33" s="571">
        <v>477.32405</v>
      </c>
      <c r="AO33" s="794">
        <f t="shared" si="13"/>
        <v>1.2253216531895776</v>
      </c>
      <c r="AP33" s="794"/>
      <c r="AQ33" s="572">
        <f t="shared" si="2"/>
        <v>0.28955877823379816</v>
      </c>
      <c r="AR33" s="573">
        <f t="shared" si="14"/>
        <v>4646.1126731670311</v>
      </c>
      <c r="AS33" s="574">
        <f t="shared" si="15"/>
        <v>3647.4810760670666</v>
      </c>
      <c r="AT33" s="671">
        <f t="shared" si="16"/>
        <v>0.1027362191960427</v>
      </c>
      <c r="AU33" s="258">
        <f t="shared" si="7"/>
        <v>1.2253216531895776</v>
      </c>
      <c r="AV33" s="91"/>
      <c r="AW33" s="126"/>
      <c r="AX33" s="31" t="s">
        <v>55</v>
      </c>
      <c r="AY33" s="913"/>
      <c r="AZ33" s="760">
        <v>1965</v>
      </c>
      <c r="BA33" s="295"/>
    </row>
    <row r="34" spans="1:53" ht="62.25" customHeight="1">
      <c r="A34" s="145"/>
      <c r="B34" s="1001">
        <v>2</v>
      </c>
      <c r="C34" s="981" t="s">
        <v>75</v>
      </c>
      <c r="D34" s="981" t="s">
        <v>76</v>
      </c>
      <c r="E34" s="1003">
        <v>1980</v>
      </c>
      <c r="F34" s="919" t="s">
        <v>40</v>
      </c>
      <c r="G34" s="981" t="s">
        <v>77</v>
      </c>
      <c r="H34" s="1004" t="s">
        <v>78</v>
      </c>
      <c r="I34" s="981" t="s">
        <v>79</v>
      </c>
      <c r="J34" s="222"/>
      <c r="K34" s="34"/>
      <c r="L34" s="21" t="s">
        <v>80</v>
      </c>
      <c r="M34" s="22">
        <v>2.3113999999999999</v>
      </c>
      <c r="N34" s="22">
        <v>43.3324</v>
      </c>
      <c r="O34" s="22">
        <v>127.0254</v>
      </c>
      <c r="P34" s="72">
        <f t="shared" si="6"/>
        <v>0.67703171052205713</v>
      </c>
      <c r="Q34" s="22">
        <v>18.7</v>
      </c>
      <c r="R34" s="884" t="s">
        <v>44</v>
      </c>
      <c r="S34" s="981" t="s">
        <v>864</v>
      </c>
      <c r="T34" s="499" t="s">
        <v>163</v>
      </c>
      <c r="U34" s="171">
        <f>2*PI()*N34*M34*$W$34/1000</f>
        <v>158.3723995871797</v>
      </c>
      <c r="V34" s="328">
        <v>217184.9</v>
      </c>
      <c r="W34" s="328">
        <v>251.65860000000001</v>
      </c>
      <c r="X34" s="171"/>
      <c r="Y34" s="171"/>
      <c r="Z34" s="881" t="s">
        <v>81</v>
      </c>
      <c r="AA34" s="987" t="s">
        <v>47</v>
      </c>
      <c r="AB34" s="981" t="s">
        <v>82</v>
      </c>
      <c r="AC34" s="393" t="s">
        <v>749</v>
      </c>
      <c r="AD34" s="881" t="s">
        <v>83</v>
      </c>
      <c r="AE34" s="884" t="s">
        <v>49</v>
      </c>
      <c r="AF34" s="870" t="s">
        <v>49</v>
      </c>
      <c r="AG34" s="15"/>
      <c r="AH34" s="15"/>
      <c r="AI34" s="15"/>
      <c r="AJ34" s="29"/>
      <c r="AK34" s="259" t="s">
        <v>84</v>
      </c>
      <c r="AL34" s="870" t="s">
        <v>85</v>
      </c>
      <c r="AM34" s="22">
        <v>202.8288</v>
      </c>
      <c r="AN34" s="575"/>
      <c r="AO34" s="578"/>
      <c r="AP34" s="578">
        <f t="shared" ref="AP34:AP62" si="17">AM34/U34</f>
        <v>1.2807080054902387</v>
      </c>
      <c r="AQ34" s="20">
        <f>SQRT($W$34/AR34)</f>
        <v>0.19022461668224497</v>
      </c>
      <c r="AR34" s="20">
        <f>1/SQRT(3*(1-0.274^2))*$V$34*M34/N34</f>
        <v>6954.6990408763977</v>
      </c>
      <c r="AS34" s="547">
        <f t="shared" si="15"/>
        <v>4376.6927715176516</v>
      </c>
      <c r="AT34" s="668">
        <f>AM34/AS34</f>
        <v>4.634293759890018E-2</v>
      </c>
      <c r="AU34" s="644">
        <f t="shared" si="7"/>
        <v>1.2807080054902387</v>
      </c>
      <c r="AV34" s="128"/>
      <c r="AW34" s="15"/>
      <c r="AX34" s="881" t="s">
        <v>936</v>
      </c>
      <c r="AY34" s="985" t="s">
        <v>86</v>
      </c>
      <c r="AZ34" s="762">
        <v>1980</v>
      </c>
      <c r="BA34" s="292"/>
    </row>
    <row r="35" spans="1:53">
      <c r="A35" s="145"/>
      <c r="B35" s="994"/>
      <c r="C35" s="953"/>
      <c r="D35" s="953"/>
      <c r="E35" s="999"/>
      <c r="F35" s="920"/>
      <c r="G35" s="953"/>
      <c r="H35" s="1005"/>
      <c r="I35" s="953"/>
      <c r="J35" s="221"/>
      <c r="K35" s="35"/>
      <c r="L35" s="10" t="s">
        <v>87</v>
      </c>
      <c r="M35" s="163">
        <v>2.3622000000000001</v>
      </c>
      <c r="N35" s="163">
        <v>43.3324</v>
      </c>
      <c r="O35" s="163">
        <v>127.127</v>
      </c>
      <c r="P35" s="65">
        <f t="shared" si="6"/>
        <v>0.68497861940704874</v>
      </c>
      <c r="Q35" s="163">
        <v>18.3</v>
      </c>
      <c r="R35" s="885"/>
      <c r="S35" s="953"/>
      <c r="T35" s="495" t="s">
        <v>163</v>
      </c>
      <c r="U35" s="172">
        <f>2*PI()*N35*M35*$W$34/1000</f>
        <v>161.85311166601883</v>
      </c>
      <c r="V35" s="329">
        <v>217184.9</v>
      </c>
      <c r="W35" s="329">
        <v>251.65860000000001</v>
      </c>
      <c r="Z35" s="882"/>
      <c r="AA35" s="988"/>
      <c r="AB35" s="953"/>
      <c r="AC35" s="394" t="s">
        <v>749</v>
      </c>
      <c r="AD35" s="882"/>
      <c r="AE35" s="885"/>
      <c r="AF35" s="871"/>
      <c r="AK35" s="260"/>
      <c r="AL35" s="871"/>
      <c r="AM35" s="163">
        <v>212.1696</v>
      </c>
      <c r="AN35" s="563"/>
      <c r="AO35" s="580"/>
      <c r="AP35" s="580">
        <f t="shared" si="17"/>
        <v>1.310877485246057</v>
      </c>
      <c r="AQ35" s="554">
        <f>SQRT($W$34/AR35)</f>
        <v>0.18816807392247489</v>
      </c>
      <c r="AR35" s="554">
        <f>1/SQRT(3*(1-0.274^2))*$V$34*M35/N35</f>
        <v>7107.5495692473078</v>
      </c>
      <c r="AS35" s="576">
        <f t="shared" si="15"/>
        <v>4571.18896037389</v>
      </c>
      <c r="AT35" s="669">
        <f>AM35/AS35</f>
        <v>4.641453281394127E-2</v>
      </c>
      <c r="AU35" s="256">
        <f t="shared" si="7"/>
        <v>1.310877485246057</v>
      </c>
      <c r="AX35" s="882"/>
      <c r="AY35" s="986"/>
      <c r="AZ35" s="763">
        <v>1980</v>
      </c>
      <c r="BA35" s="293"/>
    </row>
    <row r="36" spans="1:53">
      <c r="A36" s="145"/>
      <c r="B36" s="994"/>
      <c r="C36" s="953"/>
      <c r="D36" s="953"/>
      <c r="E36" s="999"/>
      <c r="F36" s="920"/>
      <c r="G36" s="953"/>
      <c r="H36" s="1005"/>
      <c r="I36" s="953"/>
      <c r="J36" s="221"/>
      <c r="K36" s="35"/>
      <c r="L36" s="10" t="s">
        <v>88</v>
      </c>
      <c r="M36" s="163">
        <v>2.3622000000000001</v>
      </c>
      <c r="N36" s="163">
        <v>43.3324</v>
      </c>
      <c r="O36" s="163">
        <v>254.35560000000001</v>
      </c>
      <c r="P36" s="65">
        <f t="shared" ref="P36:P65" si="18">O36/N36*SQRT(M36/N36)</f>
        <v>1.3705046742741633</v>
      </c>
      <c r="Q36" s="163">
        <v>18.3</v>
      </c>
      <c r="R36" s="885"/>
      <c r="S36" s="953"/>
      <c r="T36" s="495" t="s">
        <v>163</v>
      </c>
      <c r="U36" s="172">
        <f>2*PI()*N36*M36*$W$34/1000</f>
        <v>161.85311166601883</v>
      </c>
      <c r="V36" s="329">
        <v>217184.9</v>
      </c>
      <c r="W36" s="329">
        <v>251.65860000000001</v>
      </c>
      <c r="Z36" s="882"/>
      <c r="AA36" s="988"/>
      <c r="AB36" s="953"/>
      <c r="AC36" s="394" t="s">
        <v>749</v>
      </c>
      <c r="AD36" s="882"/>
      <c r="AE36" s="885"/>
      <c r="AF36" s="871"/>
      <c r="AK36" s="260"/>
      <c r="AL36" s="871"/>
      <c r="AM36" s="163">
        <v>216.61760000000001</v>
      </c>
      <c r="AN36" s="563"/>
      <c r="AO36" s="580"/>
      <c r="AP36" s="580">
        <f t="shared" si="17"/>
        <v>1.3383591935321377</v>
      </c>
      <c r="AQ36" s="554">
        <f>SQRT($W$34/AR36)</f>
        <v>0.18816807392247489</v>
      </c>
      <c r="AR36" s="554">
        <f>1/SQRT(3*(1-0.274^2))*$V$34*M36/N36</f>
        <v>7107.5495692473078</v>
      </c>
      <c r="AS36" s="576">
        <f t="shared" si="15"/>
        <v>4571.18896037389</v>
      </c>
      <c r="AT36" s="669">
        <f>AM36/AS36</f>
        <v>4.738758381632998E-2</v>
      </c>
      <c r="AU36" s="256">
        <f t="shared" si="7"/>
        <v>1.3383591935321377</v>
      </c>
      <c r="AX36" s="882"/>
      <c r="AY36" s="986"/>
      <c r="AZ36" s="763">
        <v>1980</v>
      </c>
      <c r="BA36" s="293"/>
    </row>
    <row r="37" spans="1:53" ht="16.5" thickBot="1">
      <c r="A37" s="145"/>
      <c r="B37" s="1002"/>
      <c r="C37" s="980"/>
      <c r="D37" s="980"/>
      <c r="E37" s="1000"/>
      <c r="F37" s="921"/>
      <c r="G37" s="980"/>
      <c r="H37" s="1006"/>
      <c r="I37" s="980"/>
      <c r="J37" s="223"/>
      <c r="K37" s="36"/>
      <c r="L37" s="204" t="s">
        <v>89</v>
      </c>
      <c r="M37" s="23">
        <v>2.3368000000000002</v>
      </c>
      <c r="N37" s="23">
        <v>43.205399999999997</v>
      </c>
      <c r="O37" s="23">
        <v>126.6952</v>
      </c>
      <c r="P37" s="89">
        <f t="shared" si="18"/>
        <v>0.68196782936566747</v>
      </c>
      <c r="Q37" s="23">
        <v>18.5</v>
      </c>
      <c r="R37" s="886"/>
      <c r="S37" s="980"/>
      <c r="T37" s="498" t="s">
        <v>163</v>
      </c>
      <c r="U37" s="173">
        <f>2*PI()*N37*M37*$W$34/1000</f>
        <v>159.64349198173818</v>
      </c>
      <c r="V37" s="330">
        <v>217184.9</v>
      </c>
      <c r="W37" s="330">
        <v>251.65860000000001</v>
      </c>
      <c r="X37" s="173"/>
      <c r="Y37" s="173"/>
      <c r="Z37" s="883"/>
      <c r="AA37" s="993"/>
      <c r="AB37" s="980"/>
      <c r="AC37" s="395" t="s">
        <v>749</v>
      </c>
      <c r="AD37" s="883"/>
      <c r="AE37" s="886"/>
      <c r="AF37" s="872"/>
      <c r="AG37" s="18"/>
      <c r="AH37" s="18"/>
      <c r="AI37" s="18"/>
      <c r="AJ37" s="31"/>
      <c r="AK37" s="261"/>
      <c r="AL37" s="872"/>
      <c r="AM37" s="23">
        <v>183.70240000000001</v>
      </c>
      <c r="AN37" s="571"/>
      <c r="AO37" s="587"/>
      <c r="AP37" s="587">
        <f t="shared" si="17"/>
        <v>1.1507039699495796</v>
      </c>
      <c r="AQ37" s="556">
        <f>SQRT($W$34/AR37)</f>
        <v>0.18891052001747102</v>
      </c>
      <c r="AR37" s="556">
        <f>1/SQRT(3*(1-0.274^2))*$V$34*M37/N37</f>
        <v>7051.7919250061859</v>
      </c>
      <c r="AS37" s="577">
        <f t="shared" si="15"/>
        <v>4473.4123436934442</v>
      </c>
      <c r="AT37" s="671">
        <f>AM37/AS37</f>
        <v>4.1065384964786705E-2</v>
      </c>
      <c r="AU37" s="258">
        <f t="shared" si="7"/>
        <v>1.1507039699495796</v>
      </c>
      <c r="AV37" s="91"/>
      <c r="AW37" s="18"/>
      <c r="AX37" s="883"/>
      <c r="AY37" s="986"/>
      <c r="AZ37" s="763">
        <v>1980</v>
      </c>
      <c r="BA37" s="295"/>
    </row>
    <row r="38" spans="1:53" ht="15.95" customHeight="1">
      <c r="A38" s="145"/>
      <c r="B38" s="990">
        <v>3</v>
      </c>
      <c r="C38" s="944" t="s">
        <v>90</v>
      </c>
      <c r="D38" s="870" t="s">
        <v>91</v>
      </c>
      <c r="E38" s="898">
        <v>2017</v>
      </c>
      <c r="F38" s="919" t="s">
        <v>40</v>
      </c>
      <c r="G38" s="870" t="s">
        <v>92</v>
      </c>
      <c r="H38" s="870" t="s">
        <v>93</v>
      </c>
      <c r="I38" s="910" t="s">
        <v>94</v>
      </c>
      <c r="J38" s="222"/>
      <c r="K38" s="1011" t="s">
        <v>95</v>
      </c>
      <c r="L38" s="449" t="s">
        <v>96</v>
      </c>
      <c r="M38" s="14">
        <v>0.5</v>
      </c>
      <c r="N38" s="14">
        <v>200</v>
      </c>
      <c r="O38" s="14">
        <v>350</v>
      </c>
      <c r="P38" s="72">
        <f t="shared" si="18"/>
        <v>8.7500000000000008E-2</v>
      </c>
      <c r="Q38" s="14">
        <f t="shared" ref="Q38:Q65" si="19">N38/M38</f>
        <v>400</v>
      </c>
      <c r="R38" s="1011" t="s">
        <v>95</v>
      </c>
      <c r="S38" s="870" t="s">
        <v>865</v>
      </c>
      <c r="T38" s="464" t="s">
        <v>163</v>
      </c>
      <c r="U38" s="464">
        <f>W38*2*PI()*N38*M38/10^3</f>
        <v>253.8406864100553</v>
      </c>
      <c r="V38" s="480">
        <v>216055</v>
      </c>
      <c r="W38" s="480">
        <v>404</v>
      </c>
      <c r="X38" s="480"/>
      <c r="Y38" s="480"/>
      <c r="Z38" s="881" t="s">
        <v>97</v>
      </c>
      <c r="AA38" s="1012" t="s">
        <v>47</v>
      </c>
      <c r="AB38" s="871" t="s">
        <v>98</v>
      </c>
      <c r="AC38" s="377" t="s">
        <v>751</v>
      </c>
      <c r="AD38" s="882" t="s">
        <v>99</v>
      </c>
      <c r="AE38" s="987" t="s">
        <v>84</v>
      </c>
      <c r="AF38" s="870" t="s">
        <v>100</v>
      </c>
      <c r="AG38" s="870" t="s">
        <v>938</v>
      </c>
      <c r="AH38" s="167"/>
      <c r="AI38" s="167"/>
      <c r="AJ38" s="244"/>
      <c r="AK38" s="262" t="s">
        <v>84</v>
      </c>
      <c r="AL38" s="870" t="s">
        <v>939</v>
      </c>
      <c r="AM38" s="127">
        <v>108.7</v>
      </c>
      <c r="AN38" s="578"/>
      <c r="AO38" s="20"/>
      <c r="AP38" s="20">
        <f>AM38/U38</f>
        <v>0.42822134440814413</v>
      </c>
      <c r="AQ38" s="76">
        <f>SQRT(W38/AR38)</f>
        <v>1.1116784305997409</v>
      </c>
      <c r="AR38" s="579">
        <f t="shared" ref="AR38:AR50" si="20">1/SQRT(3*(1-0.3^2))*V38*1/Q38</f>
        <v>326.90608642689529</v>
      </c>
      <c r="AS38" s="547"/>
      <c r="AT38" s="668">
        <f>AP38*W38/AR38</f>
        <v>0.52920832717373667</v>
      </c>
      <c r="AU38" s="644">
        <f t="shared" si="7"/>
        <v>0.42822134440814413</v>
      </c>
      <c r="AV38" s="213"/>
      <c r="AW38" s="162" t="s">
        <v>101</v>
      </c>
      <c r="AX38" s="29"/>
      <c r="AY38" s="128"/>
      <c r="AZ38" s="765">
        <v>2017</v>
      </c>
      <c r="BA38" s="292"/>
    </row>
    <row r="39" spans="1:53" ht="17.100000000000001" customHeight="1">
      <c r="A39" s="145"/>
      <c r="B39" s="991"/>
      <c r="C39" s="945"/>
      <c r="D39" s="871"/>
      <c r="E39" s="899"/>
      <c r="F39" s="920"/>
      <c r="G39" s="871"/>
      <c r="H39" s="871"/>
      <c r="I39" s="917"/>
      <c r="J39" s="221"/>
      <c r="K39" s="1012"/>
      <c r="L39" s="451" t="s">
        <v>102</v>
      </c>
      <c r="M39" s="6">
        <v>0.5</v>
      </c>
      <c r="N39" s="6">
        <v>200</v>
      </c>
      <c r="O39" s="6">
        <v>350</v>
      </c>
      <c r="P39" s="65">
        <f t="shared" si="18"/>
        <v>8.7500000000000008E-2</v>
      </c>
      <c r="Q39" s="6">
        <f t="shared" si="19"/>
        <v>400</v>
      </c>
      <c r="R39" s="1012"/>
      <c r="S39" s="871"/>
      <c r="T39" s="465" t="s">
        <v>163</v>
      </c>
      <c r="U39" s="465">
        <f t="shared" ref="U39:U50" si="21">W39*2*PI()*N39*M39/10^3</f>
        <v>253.8406864100553</v>
      </c>
      <c r="V39" s="481">
        <v>216055</v>
      </c>
      <c r="W39" s="481">
        <v>404</v>
      </c>
      <c r="X39" s="481"/>
      <c r="Y39" s="481"/>
      <c r="Z39" s="882"/>
      <c r="AA39" s="1012"/>
      <c r="AB39" s="871"/>
      <c r="AC39" s="377" t="s">
        <v>751</v>
      </c>
      <c r="AD39" s="882"/>
      <c r="AE39" s="988"/>
      <c r="AF39" s="871"/>
      <c r="AG39" s="871"/>
      <c r="AH39" s="168"/>
      <c r="AI39" s="168"/>
      <c r="AJ39" s="245"/>
      <c r="AK39" s="263"/>
      <c r="AL39" s="871"/>
      <c r="AM39" s="7">
        <v>73.400000000000006</v>
      </c>
      <c r="AN39" s="580"/>
      <c r="AP39" s="554">
        <f t="shared" si="17"/>
        <v>0.28915774314220588</v>
      </c>
      <c r="AQ39" s="558">
        <f t="shared" ref="AQ39:AQ50" si="22">SQRT(W39/AR39)</f>
        <v>1.1116784305997409</v>
      </c>
      <c r="AR39" s="581">
        <f t="shared" si="20"/>
        <v>326.90608642689529</v>
      </c>
      <c r="AT39" s="669">
        <f t="shared" ref="AT39:AT50" si="23">AP39*W39/AR39</f>
        <v>0.35734950519367314</v>
      </c>
      <c r="AU39" s="256">
        <f t="shared" si="7"/>
        <v>0.28915774314220588</v>
      </c>
      <c r="AV39" s="214"/>
      <c r="AW39" s="80"/>
      <c r="AY39" s="90"/>
      <c r="AZ39" s="543">
        <v>2017</v>
      </c>
      <c r="BA39" s="293"/>
    </row>
    <row r="40" spans="1:53" ht="17.100000000000001" customHeight="1">
      <c r="A40" s="145"/>
      <c r="B40" s="991"/>
      <c r="C40" s="945"/>
      <c r="D40" s="871"/>
      <c r="E40" s="899"/>
      <c r="F40" s="920"/>
      <c r="G40" s="871"/>
      <c r="H40" s="871"/>
      <c r="I40" s="917"/>
      <c r="J40" s="221"/>
      <c r="K40" s="1012"/>
      <c r="L40" s="451" t="s">
        <v>103</v>
      </c>
      <c r="M40" s="6">
        <v>1</v>
      </c>
      <c r="N40" s="6">
        <v>150</v>
      </c>
      <c r="O40" s="6">
        <v>350</v>
      </c>
      <c r="P40" s="65">
        <f t="shared" si="18"/>
        <v>0.1905158688831361</v>
      </c>
      <c r="Q40" s="6">
        <f t="shared" si="19"/>
        <v>150</v>
      </c>
      <c r="R40" s="1012"/>
      <c r="S40" s="871"/>
      <c r="T40" s="465" t="s">
        <v>163</v>
      </c>
      <c r="U40" s="465">
        <f t="shared" si="21"/>
        <v>380.76102961508298</v>
      </c>
      <c r="V40" s="481">
        <v>216055</v>
      </c>
      <c r="W40" s="481">
        <v>404</v>
      </c>
      <c r="X40" s="481"/>
      <c r="Y40" s="481"/>
      <c r="Z40" s="882"/>
      <c r="AA40" s="1012"/>
      <c r="AB40" s="871"/>
      <c r="AC40" s="377" t="s">
        <v>751</v>
      </c>
      <c r="AD40" s="882"/>
      <c r="AE40" s="988"/>
      <c r="AF40" s="871"/>
      <c r="AG40" s="871"/>
      <c r="AH40" s="168"/>
      <c r="AI40" s="168"/>
      <c r="AJ40" s="245"/>
      <c r="AK40" s="263"/>
      <c r="AL40" s="871"/>
      <c r="AM40" s="5">
        <v>250</v>
      </c>
      <c r="AP40" s="554">
        <f t="shared" si="17"/>
        <v>0.65657979823389157</v>
      </c>
      <c r="AQ40" s="558">
        <f t="shared" si="22"/>
        <v>0.6807612282568416</v>
      </c>
      <c r="AR40" s="581">
        <f t="shared" si="20"/>
        <v>871.74956380505421</v>
      </c>
      <c r="AT40" s="669">
        <f t="shared" si="23"/>
        <v>0.30428261682022567</v>
      </c>
      <c r="AU40" s="256">
        <f t="shared" si="7"/>
        <v>0.65657979823389157</v>
      </c>
      <c r="AV40" s="214"/>
      <c r="AW40" s="80"/>
      <c r="AY40" s="90"/>
      <c r="AZ40" s="543">
        <v>2017</v>
      </c>
      <c r="BA40" s="293"/>
    </row>
    <row r="41" spans="1:53" ht="15.95" customHeight="1">
      <c r="A41" s="145"/>
      <c r="B41" s="991"/>
      <c r="C41" s="945"/>
      <c r="D41" s="871"/>
      <c r="E41" s="899"/>
      <c r="F41" s="920"/>
      <c r="G41" s="871"/>
      <c r="H41" s="871"/>
      <c r="I41" s="917"/>
      <c r="J41" s="221"/>
      <c r="K41" s="1012"/>
      <c r="L41" s="451" t="s">
        <v>104</v>
      </c>
      <c r="M41" s="6">
        <v>1</v>
      </c>
      <c r="N41" s="6">
        <v>150</v>
      </c>
      <c r="O41" s="6">
        <v>350</v>
      </c>
      <c r="P41" s="65">
        <f t="shared" si="18"/>
        <v>0.1905158688831361</v>
      </c>
      <c r="Q41" s="6">
        <f t="shared" si="19"/>
        <v>150</v>
      </c>
      <c r="R41" s="1012"/>
      <c r="S41" s="871"/>
      <c r="T41" s="465" t="s">
        <v>163</v>
      </c>
      <c r="U41" s="465">
        <f t="shared" si="21"/>
        <v>380.76102961508298</v>
      </c>
      <c r="V41" s="481">
        <v>216055</v>
      </c>
      <c r="W41" s="481">
        <v>404</v>
      </c>
      <c r="X41" s="481"/>
      <c r="Y41" s="481"/>
      <c r="Z41" s="882"/>
      <c r="AA41" s="1012"/>
      <c r="AB41" s="871"/>
      <c r="AC41" s="377" t="s">
        <v>751</v>
      </c>
      <c r="AD41" s="882"/>
      <c r="AE41" s="988"/>
      <c r="AF41" s="871"/>
      <c r="AG41" s="871"/>
      <c r="AH41" s="168"/>
      <c r="AI41" s="168"/>
      <c r="AJ41" s="245"/>
      <c r="AK41" s="263"/>
      <c r="AL41" s="871"/>
      <c r="AM41" s="7">
        <v>283</v>
      </c>
      <c r="AN41" s="580"/>
      <c r="AP41" s="554">
        <f t="shared" si="17"/>
        <v>0.74324833160076531</v>
      </c>
      <c r="AQ41" s="558">
        <f t="shared" si="22"/>
        <v>0.6807612282568416</v>
      </c>
      <c r="AR41" s="581">
        <f t="shared" si="20"/>
        <v>871.74956380505421</v>
      </c>
      <c r="AS41" s="582"/>
      <c r="AT41" s="669">
        <f t="shared" si="23"/>
        <v>0.34444792224049547</v>
      </c>
      <c r="AU41" s="256">
        <f t="shared" si="7"/>
        <v>0.74324833160076531</v>
      </c>
      <c r="AV41" s="214"/>
      <c r="AW41" s="80"/>
      <c r="AY41" s="90"/>
      <c r="AZ41" s="543">
        <v>2017</v>
      </c>
      <c r="BA41" s="293"/>
    </row>
    <row r="42" spans="1:53" ht="17.100000000000001" customHeight="1">
      <c r="A42" s="145"/>
      <c r="B42" s="991"/>
      <c r="C42" s="945"/>
      <c r="D42" s="871"/>
      <c r="E42" s="899"/>
      <c r="F42" s="920"/>
      <c r="G42" s="871"/>
      <c r="H42" s="871"/>
      <c r="I42" s="917"/>
      <c r="J42" s="221"/>
      <c r="K42" s="1012"/>
      <c r="L42" s="451" t="s">
        <v>105</v>
      </c>
      <c r="M42" s="6">
        <v>3</v>
      </c>
      <c r="N42" s="6">
        <v>150</v>
      </c>
      <c r="O42" s="6">
        <v>350</v>
      </c>
      <c r="P42" s="65">
        <f t="shared" si="18"/>
        <v>0.32998316455372217</v>
      </c>
      <c r="Q42" s="6">
        <f t="shared" si="19"/>
        <v>50</v>
      </c>
      <c r="R42" s="1012"/>
      <c r="S42" s="871"/>
      <c r="T42" s="465" t="s">
        <v>163</v>
      </c>
      <c r="U42" s="465">
        <f t="shared" si="21"/>
        <v>1142.2830888452488</v>
      </c>
      <c r="V42" s="481">
        <v>216055</v>
      </c>
      <c r="W42" s="481">
        <v>404</v>
      </c>
      <c r="X42" s="481"/>
      <c r="Y42" s="481"/>
      <c r="Z42" s="882"/>
      <c r="AA42" s="1012"/>
      <c r="AB42" s="871"/>
      <c r="AC42" s="377" t="s">
        <v>751</v>
      </c>
      <c r="AD42" s="882"/>
      <c r="AE42" s="988"/>
      <c r="AF42" s="871"/>
      <c r="AG42" s="871"/>
      <c r="AH42" s="168"/>
      <c r="AI42" s="168"/>
      <c r="AJ42" s="245"/>
      <c r="AK42" s="263"/>
      <c r="AL42" s="871"/>
      <c r="AM42" s="5">
        <v>1018.5</v>
      </c>
      <c r="AP42" s="554">
        <f t="shared" si="17"/>
        <v>0.89163536600162485</v>
      </c>
      <c r="AQ42" s="558">
        <f t="shared" si="22"/>
        <v>0.39303767838794779</v>
      </c>
      <c r="AR42" s="581">
        <f t="shared" si="20"/>
        <v>2615.2486914151623</v>
      </c>
      <c r="AS42" s="582"/>
      <c r="AT42" s="669">
        <f t="shared" si="23"/>
        <v>0.1377385978806222</v>
      </c>
      <c r="AU42" s="256">
        <f t="shared" si="7"/>
        <v>0.89163536600162485</v>
      </c>
      <c r="AV42" s="214"/>
      <c r="AW42" s="80"/>
      <c r="AY42" s="90"/>
      <c r="AZ42" s="543">
        <v>2017</v>
      </c>
      <c r="BA42" s="293"/>
    </row>
    <row r="43" spans="1:53" ht="17.100000000000001" customHeight="1">
      <c r="A43" s="145"/>
      <c r="B43" s="991"/>
      <c r="C43" s="945"/>
      <c r="D43" s="871"/>
      <c r="E43" s="899"/>
      <c r="F43" s="920"/>
      <c r="G43" s="871"/>
      <c r="H43" s="871"/>
      <c r="I43" s="917"/>
      <c r="J43" s="221"/>
      <c r="K43" s="1013"/>
      <c r="L43" s="524" t="s">
        <v>106</v>
      </c>
      <c r="M43" s="69">
        <v>3</v>
      </c>
      <c r="N43" s="69">
        <v>150</v>
      </c>
      <c r="O43" s="69">
        <v>350</v>
      </c>
      <c r="P43" s="70">
        <f t="shared" si="18"/>
        <v>0.32998316455372217</v>
      </c>
      <c r="Q43" s="69">
        <f t="shared" si="19"/>
        <v>50</v>
      </c>
      <c r="R43" s="1013"/>
      <c r="S43" s="892"/>
      <c r="T43" s="497" t="s">
        <v>163</v>
      </c>
      <c r="U43" s="497">
        <f t="shared" si="21"/>
        <v>1142.2830888452488</v>
      </c>
      <c r="V43" s="39">
        <v>216055</v>
      </c>
      <c r="W43" s="39">
        <v>404</v>
      </c>
      <c r="X43" s="39"/>
      <c r="Y43" s="39"/>
      <c r="Z43" s="882"/>
      <c r="AA43" s="1012"/>
      <c r="AB43" s="871"/>
      <c r="AC43" s="537" t="s">
        <v>751</v>
      </c>
      <c r="AD43" s="882"/>
      <c r="AE43" s="988"/>
      <c r="AF43" s="871"/>
      <c r="AG43" s="892"/>
      <c r="AH43" s="486"/>
      <c r="AI43" s="486"/>
      <c r="AJ43" s="507"/>
      <c r="AK43" s="538"/>
      <c r="AL43" s="871"/>
      <c r="AM43" s="40">
        <v>1030.2</v>
      </c>
      <c r="AN43" s="583"/>
      <c r="AO43" s="583"/>
      <c r="AP43" s="583">
        <f t="shared" si="17"/>
        <v>0.9018780108540736</v>
      </c>
      <c r="AQ43" s="584">
        <f t="shared" si="22"/>
        <v>0.39303767838794779</v>
      </c>
      <c r="AR43" s="585">
        <f t="shared" si="20"/>
        <v>2615.2486914151623</v>
      </c>
      <c r="AS43" s="586"/>
      <c r="AT43" s="670">
        <f t="shared" si="23"/>
        <v>0.13932086748808736</v>
      </c>
      <c r="AU43" s="257">
        <f t="shared" si="7"/>
        <v>0.9018780108540736</v>
      </c>
      <c r="AV43" s="214"/>
      <c r="AW43" s="80"/>
      <c r="AY43" s="90"/>
      <c r="AZ43" s="543">
        <v>2017</v>
      </c>
      <c r="BA43" s="293"/>
    </row>
    <row r="44" spans="1:53" ht="15.95" customHeight="1">
      <c r="A44" s="145"/>
      <c r="B44" s="991"/>
      <c r="C44" s="945"/>
      <c r="D44" s="871"/>
      <c r="E44" s="899"/>
      <c r="F44" s="920"/>
      <c r="G44" s="871"/>
      <c r="H44" s="871"/>
      <c r="I44" s="917"/>
      <c r="J44" s="221"/>
      <c r="K44" s="1012" t="s">
        <v>95</v>
      </c>
      <c r="L44" s="451" t="s">
        <v>107</v>
      </c>
      <c r="M44" s="6">
        <v>0.6</v>
      </c>
      <c r="N44" s="6">
        <v>200</v>
      </c>
      <c r="O44" s="6">
        <v>350</v>
      </c>
      <c r="P44" s="65">
        <f t="shared" si="18"/>
        <v>9.585144756340408E-2</v>
      </c>
      <c r="Q44" s="55">
        <f t="shared" si="19"/>
        <v>333.33333333333337</v>
      </c>
      <c r="R44" s="1012" t="s">
        <v>95</v>
      </c>
      <c r="S44" s="871" t="s">
        <v>866</v>
      </c>
      <c r="T44" s="465" t="s">
        <v>163</v>
      </c>
      <c r="U44" s="165">
        <f t="shared" si="21"/>
        <v>579.05835790967069</v>
      </c>
      <c r="V44" s="172">
        <v>216213</v>
      </c>
      <c r="W44" s="172">
        <v>768</v>
      </c>
      <c r="Z44" s="882"/>
      <c r="AA44" s="1012"/>
      <c r="AB44" s="871"/>
      <c r="AC44" s="377" t="s">
        <v>751</v>
      </c>
      <c r="AD44" s="882"/>
      <c r="AE44" s="35"/>
      <c r="AF44" s="871"/>
      <c r="AG44" s="871" t="s">
        <v>937</v>
      </c>
      <c r="AH44" s="168"/>
      <c r="AI44" s="168"/>
      <c r="AJ44" s="245"/>
      <c r="AK44" s="263"/>
      <c r="AL44" s="871"/>
      <c r="AM44" s="7">
        <v>88.8</v>
      </c>
      <c r="AN44" s="580"/>
      <c r="AP44" s="554">
        <f t="shared" si="17"/>
        <v>0.1533524191250033</v>
      </c>
      <c r="AQ44" s="558">
        <f t="shared" si="22"/>
        <v>1.3986844385452473</v>
      </c>
      <c r="AR44" s="581">
        <f t="shared" si="20"/>
        <v>392.57418156275929</v>
      </c>
      <c r="AS44" s="582"/>
      <c r="AT44" s="669">
        <f t="shared" si="23"/>
        <v>0.30000612220387285</v>
      </c>
      <c r="AU44" s="256">
        <f t="shared" si="7"/>
        <v>0.1533524191250033</v>
      </c>
      <c r="AV44" s="214"/>
      <c r="AW44" s="80"/>
      <c r="AY44" s="90"/>
      <c r="AZ44" s="543">
        <v>2017</v>
      </c>
      <c r="BA44" s="293"/>
    </row>
    <row r="45" spans="1:53" ht="15.95" customHeight="1">
      <c r="A45" s="145"/>
      <c r="B45" s="991"/>
      <c r="C45" s="945"/>
      <c r="D45" s="871"/>
      <c r="E45" s="899"/>
      <c r="F45" s="920"/>
      <c r="G45" s="871"/>
      <c r="H45" s="871"/>
      <c r="I45" s="917"/>
      <c r="J45" s="221"/>
      <c r="K45" s="1012"/>
      <c r="L45" s="451" t="s">
        <v>108</v>
      </c>
      <c r="M45" s="6">
        <v>0.6</v>
      </c>
      <c r="N45" s="6">
        <v>200</v>
      </c>
      <c r="O45" s="6">
        <v>350</v>
      </c>
      <c r="P45" s="65">
        <f t="shared" si="18"/>
        <v>9.585144756340408E-2</v>
      </c>
      <c r="Q45" s="55">
        <f t="shared" si="19"/>
        <v>333.33333333333337</v>
      </c>
      <c r="R45" s="1012"/>
      <c r="S45" s="871"/>
      <c r="T45" s="465" t="s">
        <v>163</v>
      </c>
      <c r="U45" s="165">
        <f t="shared" si="21"/>
        <v>579.05835790967069</v>
      </c>
      <c r="V45" s="172">
        <v>216213</v>
      </c>
      <c r="W45" s="172">
        <v>768</v>
      </c>
      <c r="Z45" s="882"/>
      <c r="AA45" s="1012"/>
      <c r="AB45" s="871"/>
      <c r="AC45" s="377" t="s">
        <v>751</v>
      </c>
      <c r="AD45" s="882"/>
      <c r="AE45" s="35"/>
      <c r="AF45" s="871"/>
      <c r="AG45" s="871"/>
      <c r="AH45" s="168"/>
      <c r="AI45" s="168"/>
      <c r="AJ45" s="245"/>
      <c r="AK45" s="263"/>
      <c r="AL45" s="871"/>
      <c r="AM45" s="7">
        <v>110.5</v>
      </c>
      <c r="AN45" s="580"/>
      <c r="AP45" s="580">
        <f t="shared" si="17"/>
        <v>0.19082705307784759</v>
      </c>
      <c r="AQ45" s="558">
        <f t="shared" si="22"/>
        <v>1.3986844385452473</v>
      </c>
      <c r="AR45" s="581">
        <f t="shared" si="20"/>
        <v>392.57418156275929</v>
      </c>
      <c r="AS45" s="582"/>
      <c r="AT45" s="669">
        <f t="shared" si="23"/>
        <v>0.37331842909378327</v>
      </c>
      <c r="AU45" s="256">
        <f t="shared" si="7"/>
        <v>0.19082705307784759</v>
      </c>
      <c r="AV45" s="214"/>
      <c r="AW45" s="80"/>
      <c r="AY45" s="90"/>
      <c r="AZ45" s="543">
        <v>2017</v>
      </c>
      <c r="BA45" s="293"/>
    </row>
    <row r="46" spans="1:53" ht="17.100000000000001" customHeight="1">
      <c r="A46" s="145"/>
      <c r="B46" s="991"/>
      <c r="C46" s="945"/>
      <c r="D46" s="871"/>
      <c r="E46" s="899"/>
      <c r="F46" s="920"/>
      <c r="G46" s="871"/>
      <c r="H46" s="871"/>
      <c r="I46" s="917"/>
      <c r="J46" s="221"/>
      <c r="K46" s="1012"/>
      <c r="L46" s="451" t="s">
        <v>109</v>
      </c>
      <c r="M46" s="6">
        <v>1</v>
      </c>
      <c r="N46" s="6">
        <v>150</v>
      </c>
      <c r="O46" s="6">
        <v>350</v>
      </c>
      <c r="P46" s="65">
        <f t="shared" si="18"/>
        <v>0.1905158688831361</v>
      </c>
      <c r="Q46" s="6">
        <f t="shared" si="19"/>
        <v>150</v>
      </c>
      <c r="R46" s="1012"/>
      <c r="S46" s="871"/>
      <c r="T46" s="465" t="s">
        <v>163</v>
      </c>
      <c r="U46" s="165">
        <f t="shared" si="21"/>
        <v>723.82294738708833</v>
      </c>
      <c r="V46" s="172">
        <v>216213</v>
      </c>
      <c r="W46" s="172">
        <v>768</v>
      </c>
      <c r="Z46" s="882"/>
      <c r="AA46" s="1012"/>
      <c r="AB46" s="871"/>
      <c r="AC46" s="377" t="s">
        <v>751</v>
      </c>
      <c r="AD46" s="882"/>
      <c r="AE46" s="35"/>
      <c r="AF46" s="871"/>
      <c r="AG46" s="871"/>
      <c r="AH46" s="168"/>
      <c r="AI46" s="168"/>
      <c r="AJ46" s="245"/>
      <c r="AK46" s="263"/>
      <c r="AL46" s="871"/>
      <c r="AM46" s="7">
        <v>371.8</v>
      </c>
      <c r="AN46" s="580"/>
      <c r="AP46" s="580">
        <f t="shared" si="17"/>
        <v>0.51366152640248863</v>
      </c>
      <c r="AQ46" s="558">
        <f t="shared" si="22"/>
        <v>0.9382660450974899</v>
      </c>
      <c r="AR46" s="581">
        <f t="shared" si="20"/>
        <v>872.38707013946521</v>
      </c>
      <c r="AS46" s="582"/>
      <c r="AT46" s="669">
        <f t="shared" si="23"/>
        <v>0.45219841717054027</v>
      </c>
      <c r="AU46" s="256">
        <f t="shared" si="7"/>
        <v>0.51366152640248863</v>
      </c>
      <c r="AV46" s="214"/>
      <c r="AW46" s="80"/>
      <c r="AY46" s="90"/>
      <c r="AZ46" s="543">
        <v>2017</v>
      </c>
      <c r="BA46" s="293"/>
    </row>
    <row r="47" spans="1:53" ht="17.100000000000001" customHeight="1">
      <c r="A47" s="145"/>
      <c r="B47" s="991"/>
      <c r="C47" s="945"/>
      <c r="D47" s="871"/>
      <c r="E47" s="899"/>
      <c r="F47" s="920"/>
      <c r="G47" s="871"/>
      <c r="H47" s="871"/>
      <c r="I47" s="917"/>
      <c r="J47" s="221"/>
      <c r="K47" s="1012"/>
      <c r="L47" s="451" t="s">
        <v>110</v>
      </c>
      <c r="M47" s="6">
        <v>1</v>
      </c>
      <c r="N47" s="6">
        <v>150</v>
      </c>
      <c r="O47" s="6">
        <v>350</v>
      </c>
      <c r="P47" s="65">
        <f t="shared" si="18"/>
        <v>0.1905158688831361</v>
      </c>
      <c r="Q47" s="6">
        <f t="shared" si="19"/>
        <v>150</v>
      </c>
      <c r="R47" s="1012"/>
      <c r="S47" s="871"/>
      <c r="T47" s="465" t="s">
        <v>163</v>
      </c>
      <c r="U47" s="165">
        <f>W47*2*PI()*N47*M47/10^3</f>
        <v>723.82294738708833</v>
      </c>
      <c r="V47" s="172">
        <v>216213</v>
      </c>
      <c r="W47" s="172">
        <v>768</v>
      </c>
      <c r="Z47" s="882"/>
      <c r="AA47" s="1012"/>
      <c r="AB47" s="871"/>
      <c r="AC47" s="377" t="s">
        <v>751</v>
      </c>
      <c r="AD47" s="882"/>
      <c r="AE47" s="35"/>
      <c r="AF47" s="871"/>
      <c r="AG47" s="871"/>
      <c r="AH47" s="168"/>
      <c r="AI47" s="168"/>
      <c r="AJ47" s="245"/>
      <c r="AK47" s="263"/>
      <c r="AL47" s="871"/>
      <c r="AM47" s="7">
        <v>387.6</v>
      </c>
      <c r="AN47" s="580"/>
      <c r="AP47" s="580">
        <f t="shared" si="17"/>
        <v>0.53549006894460627</v>
      </c>
      <c r="AQ47" s="558">
        <f t="shared" si="22"/>
        <v>0.9382660450974899</v>
      </c>
      <c r="AR47" s="581">
        <f t="shared" si="20"/>
        <v>872.38707013946521</v>
      </c>
      <c r="AS47" s="582"/>
      <c r="AT47" s="669">
        <f t="shared" si="23"/>
        <v>0.47141502553873432</v>
      </c>
      <c r="AU47" s="256">
        <f t="shared" si="7"/>
        <v>0.53549006894460627</v>
      </c>
      <c r="AV47" s="214"/>
      <c r="AW47" s="80"/>
      <c r="AY47" s="90"/>
      <c r="AZ47" s="543">
        <v>2017</v>
      </c>
      <c r="BA47" s="293"/>
    </row>
    <row r="48" spans="1:53" ht="17.100000000000001" customHeight="1">
      <c r="A48" s="145"/>
      <c r="B48" s="991"/>
      <c r="C48" s="945"/>
      <c r="D48" s="871"/>
      <c r="E48" s="899"/>
      <c r="F48" s="920"/>
      <c r="G48" s="871"/>
      <c r="H48" s="871"/>
      <c r="I48" s="917"/>
      <c r="J48" s="221"/>
      <c r="K48" s="1012"/>
      <c r="L48" s="451" t="s">
        <v>111</v>
      </c>
      <c r="M48" s="6">
        <v>3</v>
      </c>
      <c r="N48" s="6">
        <v>150</v>
      </c>
      <c r="O48" s="6">
        <v>350</v>
      </c>
      <c r="P48" s="65">
        <f t="shared" si="18"/>
        <v>0.32998316455372217</v>
      </c>
      <c r="Q48" s="6">
        <f t="shared" si="19"/>
        <v>50</v>
      </c>
      <c r="R48" s="1012"/>
      <c r="S48" s="871"/>
      <c r="T48" s="465" t="s">
        <v>163</v>
      </c>
      <c r="U48" s="165">
        <f t="shared" si="21"/>
        <v>2171.468842161265</v>
      </c>
      <c r="V48" s="172">
        <v>216213</v>
      </c>
      <c r="W48" s="172">
        <v>768</v>
      </c>
      <c r="Z48" s="882"/>
      <c r="AA48" s="1012"/>
      <c r="AB48" s="871"/>
      <c r="AC48" s="377" t="s">
        <v>751</v>
      </c>
      <c r="AD48" s="882"/>
      <c r="AE48" s="35"/>
      <c r="AF48" s="871"/>
      <c r="AG48" s="871"/>
      <c r="AH48" s="168"/>
      <c r="AI48" s="168"/>
      <c r="AJ48" s="245"/>
      <c r="AK48" s="263"/>
      <c r="AL48" s="871"/>
      <c r="AM48" s="7">
        <v>1805.3</v>
      </c>
      <c r="AN48" s="580"/>
      <c r="AP48" s="580">
        <f t="shared" si="17"/>
        <v>0.83137273947858403</v>
      </c>
      <c r="AQ48" s="558">
        <f t="shared" si="22"/>
        <v>0.54170815370852132</v>
      </c>
      <c r="AR48" s="581">
        <f t="shared" si="20"/>
        <v>2617.1612104183955</v>
      </c>
      <c r="AS48" s="582"/>
      <c r="AT48" s="669">
        <f t="shared" si="23"/>
        <v>0.24396443802461787</v>
      </c>
      <c r="AU48" s="256">
        <f t="shared" si="7"/>
        <v>0.83137273947858403</v>
      </c>
      <c r="AV48" s="214"/>
      <c r="AW48" s="80"/>
      <c r="AY48" s="90"/>
      <c r="AZ48" s="543">
        <v>2017</v>
      </c>
      <c r="BA48" s="293"/>
    </row>
    <row r="49" spans="1:53" ht="17.100000000000001" customHeight="1" thickBot="1">
      <c r="A49" s="145"/>
      <c r="B49" s="992"/>
      <c r="C49" s="946"/>
      <c r="D49" s="872"/>
      <c r="E49" s="900"/>
      <c r="F49" s="921"/>
      <c r="G49" s="872"/>
      <c r="H49" s="872"/>
      <c r="I49" s="918"/>
      <c r="J49" s="223"/>
      <c r="K49" s="1014"/>
      <c r="L49" s="453" t="s">
        <v>112</v>
      </c>
      <c r="M49" s="16">
        <v>3</v>
      </c>
      <c r="N49" s="16">
        <v>150</v>
      </c>
      <c r="O49" s="16">
        <v>350</v>
      </c>
      <c r="P49" s="89">
        <f t="shared" si="18"/>
        <v>0.32998316455372217</v>
      </c>
      <c r="Q49" s="16">
        <f t="shared" si="19"/>
        <v>50</v>
      </c>
      <c r="R49" s="1014"/>
      <c r="S49" s="872"/>
      <c r="T49" s="466" t="s">
        <v>163</v>
      </c>
      <c r="U49" s="166">
        <f t="shared" si="21"/>
        <v>2171.468842161265</v>
      </c>
      <c r="V49" s="173">
        <v>216213</v>
      </c>
      <c r="W49" s="173">
        <v>768</v>
      </c>
      <c r="X49" s="173"/>
      <c r="Y49" s="173"/>
      <c r="Z49" s="883"/>
      <c r="AA49" s="1012"/>
      <c r="AB49" s="871"/>
      <c r="AC49" s="377" t="s">
        <v>751</v>
      </c>
      <c r="AD49" s="882"/>
      <c r="AE49" s="36"/>
      <c r="AF49" s="872"/>
      <c r="AG49" s="872"/>
      <c r="AH49" s="169"/>
      <c r="AI49" s="169"/>
      <c r="AJ49" s="246"/>
      <c r="AK49" s="264"/>
      <c r="AL49" s="872"/>
      <c r="AM49" s="17">
        <v>1829.5</v>
      </c>
      <c r="AN49" s="587"/>
      <c r="AO49" s="556"/>
      <c r="AP49" s="587">
        <f t="shared" si="17"/>
        <v>0.84251726963721796</v>
      </c>
      <c r="AQ49" s="560">
        <f t="shared" si="22"/>
        <v>0.54170815370852132</v>
      </c>
      <c r="AR49" s="588">
        <f t="shared" si="20"/>
        <v>2617.1612104183955</v>
      </c>
      <c r="AS49" s="589"/>
      <c r="AT49" s="671">
        <f t="shared" si="23"/>
        <v>0.24723477503242589</v>
      </c>
      <c r="AU49" s="258">
        <f t="shared" si="7"/>
        <v>0.84251726963721796</v>
      </c>
      <c r="AV49" s="215"/>
      <c r="AW49" s="186"/>
      <c r="AX49" s="31"/>
      <c r="AY49" s="91"/>
      <c r="AZ49" s="766">
        <v>2017</v>
      </c>
      <c r="BA49" s="295"/>
    </row>
    <row r="50" spans="1:53" s="13" customFormat="1" ht="161.1" customHeight="1" thickBot="1">
      <c r="A50" s="145"/>
      <c r="B50" s="347">
        <v>4</v>
      </c>
      <c r="C50" s="493" t="s">
        <v>113</v>
      </c>
      <c r="D50" s="464" t="s">
        <v>114</v>
      </c>
      <c r="E50" s="510">
        <v>2015</v>
      </c>
      <c r="F50" s="511" t="s">
        <v>115</v>
      </c>
      <c r="G50" s="464" t="s">
        <v>116</v>
      </c>
      <c r="H50" s="464" t="s">
        <v>117</v>
      </c>
      <c r="I50" s="473" t="s">
        <v>942</v>
      </c>
      <c r="J50" s="222"/>
      <c r="K50" s="131"/>
      <c r="L50" s="19" t="s">
        <v>118</v>
      </c>
      <c r="M50" s="19">
        <v>0.5</v>
      </c>
      <c r="N50" s="19">
        <v>250</v>
      </c>
      <c r="O50" s="19">
        <v>500</v>
      </c>
      <c r="P50" s="72">
        <f>O50/N50*SQRT(M50/N50)</f>
        <v>8.9442719099991588E-2</v>
      </c>
      <c r="Q50" s="56">
        <f t="shared" si="19"/>
        <v>500</v>
      </c>
      <c r="R50" s="131" t="s">
        <v>44</v>
      </c>
      <c r="S50" s="177" t="s">
        <v>119</v>
      </c>
      <c r="T50" s="464" t="s">
        <v>163</v>
      </c>
      <c r="U50" s="56">
        <f t="shared" si="21"/>
        <v>168.86060513045138</v>
      </c>
      <c r="V50" s="19">
        <f>193000</f>
        <v>193000</v>
      </c>
      <c r="W50" s="19">
        <v>215</v>
      </c>
      <c r="X50" s="19"/>
      <c r="Y50" s="19"/>
      <c r="Z50" s="144"/>
      <c r="AA50" s="398"/>
      <c r="AB50" s="399" t="s">
        <v>940</v>
      </c>
      <c r="AC50" s="399" t="s">
        <v>751</v>
      </c>
      <c r="AD50" s="544" t="s">
        <v>941</v>
      </c>
      <c r="AE50" s="496" t="s">
        <v>120</v>
      </c>
      <c r="AF50" s="464" t="s">
        <v>121</v>
      </c>
      <c r="AG50" s="182"/>
      <c r="AH50" s="182">
        <f>-0.842/M50</f>
        <v>-1.6839999999999999</v>
      </c>
      <c r="AI50" s="182">
        <f>1.024/M50</f>
        <v>2.048</v>
      </c>
      <c r="AJ50" s="247">
        <f>0.09*PI()</f>
        <v>0.28274333882308139</v>
      </c>
      <c r="AK50" s="131"/>
      <c r="AL50" s="464" t="s">
        <v>122</v>
      </c>
      <c r="AM50" s="20">
        <v>70.2</v>
      </c>
      <c r="AN50" s="20"/>
      <c r="AO50" s="20"/>
      <c r="AP50" s="76">
        <f>AM50/U50</f>
        <v>0.41572751646701595</v>
      </c>
      <c r="AQ50" s="76">
        <f t="shared" si="22"/>
        <v>0.95932605377995417</v>
      </c>
      <c r="AR50" s="76">
        <f t="shared" si="20"/>
        <v>233.61782761015775</v>
      </c>
      <c r="AS50" s="547"/>
      <c r="AT50" s="668">
        <f t="shared" si="23"/>
        <v>0.38259672626337743</v>
      </c>
      <c r="AU50" s="644">
        <f t="shared" si="7"/>
        <v>0.41572751646701595</v>
      </c>
      <c r="AV50" s="143"/>
      <c r="AW50" s="193"/>
      <c r="AX50" s="144"/>
      <c r="AY50" s="474" t="s">
        <v>123</v>
      </c>
      <c r="AZ50" s="760">
        <v>2015</v>
      </c>
      <c r="BA50" s="296"/>
    </row>
    <row r="51" spans="1:53" ht="17.100000000000001" customHeight="1">
      <c r="A51" s="145"/>
      <c r="B51" s="990">
        <v>5</v>
      </c>
      <c r="C51" s="944" t="s">
        <v>943</v>
      </c>
      <c r="D51" s="870" t="s">
        <v>124</v>
      </c>
      <c r="E51" s="898">
        <v>2004</v>
      </c>
      <c r="F51" s="919" t="s">
        <v>40</v>
      </c>
      <c r="G51" s="870" t="s">
        <v>125</v>
      </c>
      <c r="H51" s="870" t="s">
        <v>126</v>
      </c>
      <c r="I51" s="910" t="s">
        <v>127</v>
      </c>
      <c r="J51" s="222"/>
      <c r="K51" s="34"/>
      <c r="L51" s="449" t="s">
        <v>128</v>
      </c>
      <c r="M51" s="14">
        <v>0.8</v>
      </c>
      <c r="N51" s="14">
        <v>350</v>
      </c>
      <c r="O51" s="14">
        <v>450</v>
      </c>
      <c r="P51" s="72">
        <f t="shared" si="18"/>
        <v>6.146889990862596E-2</v>
      </c>
      <c r="Q51" s="14">
        <f t="shared" si="19"/>
        <v>437.5</v>
      </c>
      <c r="R51" s="34"/>
      <c r="S51" s="15" t="s">
        <v>129</v>
      </c>
      <c r="T51" s="490" t="s">
        <v>163</v>
      </c>
      <c r="U51" s="62">
        <f t="shared" ref="U51:U62" si="24">$W$51*2*PI()*N51*M51/10^3</f>
        <v>545.3804846631881</v>
      </c>
      <c r="V51" s="62">
        <v>205000</v>
      </c>
      <c r="W51" s="62">
        <v>310</v>
      </c>
      <c r="X51" s="929"/>
      <c r="Y51" s="929"/>
      <c r="Z51" s="881" t="s">
        <v>944</v>
      </c>
      <c r="AA51" s="35"/>
      <c r="AB51" s="871" t="s">
        <v>945</v>
      </c>
      <c r="AC51" s="380" t="s">
        <v>750</v>
      </c>
      <c r="AD51" s="882" t="s">
        <v>130</v>
      </c>
      <c r="AE51" s="884" t="s">
        <v>530</v>
      </c>
      <c r="AF51" s="14"/>
      <c r="AG51" s="15">
        <v>3.016</v>
      </c>
      <c r="AH51" s="99">
        <f>-0.568/M51</f>
        <v>-0.70999999999999985</v>
      </c>
      <c r="AI51" s="99">
        <f>3.016/M51</f>
        <v>3.77</v>
      </c>
      <c r="AJ51" s="29"/>
      <c r="AK51" s="34"/>
      <c r="AL51" s="870" t="s">
        <v>946</v>
      </c>
      <c r="AM51" s="15">
        <v>163</v>
      </c>
      <c r="AN51" s="20"/>
      <c r="AO51" s="20"/>
      <c r="AP51" s="76">
        <f t="shared" si="17"/>
        <v>0.29887391387072509</v>
      </c>
      <c r="AQ51" s="76">
        <f t="shared" ref="AQ51:AQ62" si="25">SQRT($W$51/AR51)</f>
        <v>1.0455230378367246</v>
      </c>
      <c r="AR51" s="579">
        <f t="shared" ref="AR51:AR62" si="26">1/SQRT(3*(1-0.3^2))*$V$51*1/Q51</f>
        <v>283.59232959338175</v>
      </c>
      <c r="AS51" s="547"/>
      <c r="AT51" s="668">
        <f>AP51*$W$51/AR51</f>
        <v>0.32670458130080182</v>
      </c>
      <c r="AU51" s="644">
        <f t="shared" si="7"/>
        <v>0.29887391387072509</v>
      </c>
      <c r="AV51" s="128"/>
      <c r="AW51" s="15"/>
      <c r="AX51" s="29"/>
      <c r="AY51" s="128"/>
      <c r="AZ51" s="765">
        <v>2004</v>
      </c>
      <c r="BA51" s="292"/>
    </row>
    <row r="52" spans="1:53">
      <c r="A52" s="145"/>
      <c r="B52" s="991"/>
      <c r="C52" s="945"/>
      <c r="D52" s="871"/>
      <c r="E52" s="899"/>
      <c r="F52" s="920"/>
      <c r="G52" s="871"/>
      <c r="H52" s="871"/>
      <c r="I52" s="917"/>
      <c r="J52" s="221"/>
      <c r="K52" s="35"/>
      <c r="L52" s="451" t="s">
        <v>131</v>
      </c>
      <c r="M52" s="6">
        <v>0.8</v>
      </c>
      <c r="N52" s="6">
        <v>350</v>
      </c>
      <c r="O52" s="6">
        <v>450</v>
      </c>
      <c r="P52" s="65">
        <f t="shared" si="18"/>
        <v>6.146889990862596E-2</v>
      </c>
      <c r="Q52" s="6">
        <f t="shared" si="19"/>
        <v>437.5</v>
      </c>
      <c r="R52" s="35"/>
      <c r="S52" s="5" t="s">
        <v>129</v>
      </c>
      <c r="T52" s="491" t="s">
        <v>163</v>
      </c>
      <c r="U52" s="9">
        <f t="shared" si="24"/>
        <v>545.3804846631881</v>
      </c>
      <c r="V52" s="9">
        <v>205000</v>
      </c>
      <c r="W52" s="9">
        <v>310</v>
      </c>
      <c r="X52" s="930"/>
      <c r="Y52" s="930"/>
      <c r="Z52" s="882"/>
      <c r="AA52" s="35"/>
      <c r="AB52" s="871"/>
      <c r="AC52" s="380" t="s">
        <v>750</v>
      </c>
      <c r="AD52" s="882"/>
      <c r="AE52" s="885"/>
      <c r="AG52" s="5">
        <v>1.034</v>
      </c>
      <c r="AH52" s="100">
        <f>-1.034/M52</f>
        <v>-1.2925</v>
      </c>
      <c r="AI52" s="100">
        <f>-0.012/M52</f>
        <v>-1.4999999999999999E-2</v>
      </c>
      <c r="AK52" s="35"/>
      <c r="AL52" s="871"/>
      <c r="AM52" s="7">
        <v>135.9</v>
      </c>
      <c r="AN52" s="580"/>
      <c r="AP52" s="558">
        <f t="shared" si="17"/>
        <v>0.24918383371184996</v>
      </c>
      <c r="AQ52" s="558">
        <f t="shared" si="25"/>
        <v>1.0455230378367246</v>
      </c>
      <c r="AR52" s="581">
        <f t="shared" si="26"/>
        <v>283.59232959338175</v>
      </c>
      <c r="AT52" s="669">
        <f t="shared" ref="AT52:AT61" si="27">AP52*$W$51/AR52</f>
        <v>0.2723874392563127</v>
      </c>
      <c r="AU52" s="256">
        <f t="shared" si="7"/>
        <v>0.24918383371184996</v>
      </c>
      <c r="AY52" s="90"/>
      <c r="AZ52" s="543">
        <v>2004</v>
      </c>
      <c r="BA52" s="293"/>
    </row>
    <row r="53" spans="1:53">
      <c r="A53" s="145"/>
      <c r="B53" s="991"/>
      <c r="C53" s="945"/>
      <c r="D53" s="871"/>
      <c r="E53" s="899"/>
      <c r="F53" s="920"/>
      <c r="G53" s="871"/>
      <c r="H53" s="871"/>
      <c r="I53" s="917"/>
      <c r="J53" s="221"/>
      <c r="K53" s="35"/>
      <c r="L53" s="451" t="s">
        <v>132</v>
      </c>
      <c r="M53" s="6">
        <v>0.8</v>
      </c>
      <c r="N53" s="6">
        <v>350</v>
      </c>
      <c r="O53" s="6">
        <v>450</v>
      </c>
      <c r="P53" s="65">
        <f t="shared" si="18"/>
        <v>6.146889990862596E-2</v>
      </c>
      <c r="Q53" s="6">
        <f t="shared" si="19"/>
        <v>437.5</v>
      </c>
      <c r="R53" s="35"/>
      <c r="S53" s="5" t="s">
        <v>129</v>
      </c>
      <c r="T53" s="491" t="s">
        <v>163</v>
      </c>
      <c r="U53" s="9">
        <f t="shared" si="24"/>
        <v>545.3804846631881</v>
      </c>
      <c r="V53" s="9">
        <v>205000</v>
      </c>
      <c r="W53" s="9">
        <v>310</v>
      </c>
      <c r="X53" s="930"/>
      <c r="Y53" s="930"/>
      <c r="Z53" s="882"/>
      <c r="AA53" s="35"/>
      <c r="AB53" s="871"/>
      <c r="AC53" s="380" t="s">
        <v>750</v>
      </c>
      <c r="AD53" s="882"/>
      <c r="AE53" s="885"/>
      <c r="AG53" s="5">
        <v>2.2080000000000002</v>
      </c>
      <c r="AH53" s="100">
        <f>-0.39/M53</f>
        <v>-0.48749999999999999</v>
      </c>
      <c r="AI53" s="100">
        <f>2.208/M53</f>
        <v>2.7600000000000002</v>
      </c>
      <c r="AK53" s="35"/>
      <c r="AL53" s="871"/>
      <c r="AM53" s="7">
        <v>140.6</v>
      </c>
      <c r="AN53" s="580"/>
      <c r="AP53" s="558">
        <f t="shared" si="17"/>
        <v>0.25780167049217145</v>
      </c>
      <c r="AQ53" s="558">
        <f t="shared" si="25"/>
        <v>1.0455230378367246</v>
      </c>
      <c r="AR53" s="581">
        <f t="shared" si="26"/>
        <v>283.59232959338175</v>
      </c>
      <c r="AT53" s="669">
        <f t="shared" si="27"/>
        <v>0.2818077554042499</v>
      </c>
      <c r="AU53" s="256">
        <f t="shared" si="7"/>
        <v>0.25780167049217145</v>
      </c>
      <c r="AY53" s="90"/>
      <c r="AZ53" s="543">
        <v>2004</v>
      </c>
      <c r="BA53" s="293"/>
    </row>
    <row r="54" spans="1:53">
      <c r="A54" s="145"/>
      <c r="B54" s="991"/>
      <c r="C54" s="945"/>
      <c r="D54" s="871"/>
      <c r="E54" s="899"/>
      <c r="F54" s="920"/>
      <c r="G54" s="871"/>
      <c r="H54" s="871"/>
      <c r="I54" s="917"/>
      <c r="J54" s="221"/>
      <c r="K54" s="35"/>
      <c r="L54" s="451" t="s">
        <v>133</v>
      </c>
      <c r="M54" s="6">
        <v>0.8</v>
      </c>
      <c r="N54" s="6">
        <v>350</v>
      </c>
      <c r="O54" s="6">
        <v>450</v>
      </c>
      <c r="P54" s="65">
        <f t="shared" si="18"/>
        <v>6.146889990862596E-2</v>
      </c>
      <c r="Q54" s="6">
        <f t="shared" si="19"/>
        <v>437.5</v>
      </c>
      <c r="R54" s="35"/>
      <c r="S54" s="5" t="s">
        <v>129</v>
      </c>
      <c r="T54" s="403" t="s">
        <v>163</v>
      </c>
      <c r="U54" s="9">
        <f t="shared" si="24"/>
        <v>545.3804846631881</v>
      </c>
      <c r="V54" s="9">
        <v>205000</v>
      </c>
      <c r="W54" s="9">
        <v>310</v>
      </c>
      <c r="X54" s="930"/>
      <c r="Y54" s="930"/>
      <c r="Z54" s="882"/>
      <c r="AA54" s="35"/>
      <c r="AB54" s="871"/>
      <c r="AC54" s="380" t="s">
        <v>750</v>
      </c>
      <c r="AD54" s="882"/>
      <c r="AE54" s="885"/>
      <c r="AG54" s="5">
        <v>4.6059999999999999</v>
      </c>
      <c r="AH54" s="100">
        <f>-0.679/M54</f>
        <v>-0.84875</v>
      </c>
      <c r="AI54" s="100">
        <f>4.606/M54</f>
        <v>5.7574999999999994</v>
      </c>
      <c r="AK54" s="35"/>
      <c r="AL54" s="871"/>
      <c r="AM54" s="7">
        <v>140</v>
      </c>
      <c r="AN54" s="580"/>
      <c r="AP54" s="558">
        <f t="shared" si="17"/>
        <v>0.25670152111596023</v>
      </c>
      <c r="AQ54" s="558">
        <f t="shared" si="25"/>
        <v>1.0455230378367246</v>
      </c>
      <c r="AR54" s="581">
        <f t="shared" si="26"/>
        <v>283.59232959338175</v>
      </c>
      <c r="AT54" s="669">
        <f t="shared" si="27"/>
        <v>0.28060516185344947</v>
      </c>
      <c r="AU54" s="256">
        <f t="shared" si="7"/>
        <v>0.25670152111596023</v>
      </c>
      <c r="AY54" s="90"/>
      <c r="AZ54" s="543">
        <v>2004</v>
      </c>
      <c r="BA54" s="293"/>
    </row>
    <row r="55" spans="1:53">
      <c r="A55" s="145"/>
      <c r="B55" s="991"/>
      <c r="C55" s="945"/>
      <c r="D55" s="871"/>
      <c r="E55" s="899"/>
      <c r="F55" s="920"/>
      <c r="G55" s="871"/>
      <c r="H55" s="871"/>
      <c r="I55" s="917"/>
      <c r="J55" s="221"/>
      <c r="K55" s="35"/>
      <c r="L55" s="451" t="s">
        <v>134</v>
      </c>
      <c r="M55" s="6">
        <v>1</v>
      </c>
      <c r="N55" s="6">
        <v>350</v>
      </c>
      <c r="O55" s="6">
        <v>450</v>
      </c>
      <c r="P55" s="65">
        <f t="shared" si="18"/>
        <v>6.872431934890913E-2</v>
      </c>
      <c r="Q55" s="6">
        <f t="shared" si="19"/>
        <v>350</v>
      </c>
      <c r="R55" s="35"/>
      <c r="S55" s="5" t="s">
        <v>129</v>
      </c>
      <c r="T55" s="491" t="s">
        <v>163</v>
      </c>
      <c r="U55" s="9">
        <f t="shared" si="24"/>
        <v>681.72560582898507</v>
      </c>
      <c r="V55" s="9">
        <v>205000</v>
      </c>
      <c r="W55" s="9">
        <v>310</v>
      </c>
      <c r="X55" s="930"/>
      <c r="Y55" s="930"/>
      <c r="Z55" s="882"/>
      <c r="AA55" s="35"/>
      <c r="AB55" s="871"/>
      <c r="AC55" s="380" t="s">
        <v>750</v>
      </c>
      <c r="AD55" s="882"/>
      <c r="AE55" s="885"/>
      <c r="AG55" s="5">
        <v>3.3119999999999998</v>
      </c>
      <c r="AH55" s="100">
        <f>-0.462/M55</f>
        <v>-0.46200000000000002</v>
      </c>
      <c r="AI55" s="100">
        <f>3.312/M55</f>
        <v>3.3119999999999998</v>
      </c>
      <c r="AK55" s="35"/>
      <c r="AL55" s="871"/>
      <c r="AM55" s="7">
        <v>242.2</v>
      </c>
      <c r="AN55" s="580"/>
      <c r="AP55" s="558">
        <f t="shared" si="17"/>
        <v>0.35527490522448896</v>
      </c>
      <c r="AQ55" s="558">
        <f t="shared" si="25"/>
        <v>0.93514423385800027</v>
      </c>
      <c r="AR55" s="581">
        <f t="shared" si="26"/>
        <v>354.49041199172717</v>
      </c>
      <c r="AT55" s="669">
        <f t="shared" si="27"/>
        <v>0.31068603520413929</v>
      </c>
      <c r="AU55" s="256">
        <f t="shared" si="7"/>
        <v>0.35527490522448896</v>
      </c>
      <c r="AY55" s="90"/>
      <c r="AZ55" s="543">
        <v>2004</v>
      </c>
      <c r="BA55" s="293"/>
    </row>
    <row r="56" spans="1:53">
      <c r="A56" s="145"/>
      <c r="B56" s="991"/>
      <c r="C56" s="945"/>
      <c r="D56" s="871"/>
      <c r="E56" s="899"/>
      <c r="F56" s="920"/>
      <c r="G56" s="871"/>
      <c r="H56" s="871"/>
      <c r="I56" s="917"/>
      <c r="J56" s="221"/>
      <c r="K56" s="35"/>
      <c r="L56" s="451" t="s">
        <v>135</v>
      </c>
      <c r="M56" s="6">
        <v>1</v>
      </c>
      <c r="N56" s="6">
        <v>350</v>
      </c>
      <c r="O56" s="6">
        <v>450</v>
      </c>
      <c r="P56" s="65">
        <f t="shared" si="18"/>
        <v>6.872431934890913E-2</v>
      </c>
      <c r="Q56" s="6">
        <f t="shared" si="19"/>
        <v>350</v>
      </c>
      <c r="R56" s="35"/>
      <c r="S56" s="5" t="s">
        <v>129</v>
      </c>
      <c r="T56" s="491" t="s">
        <v>163</v>
      </c>
      <c r="U56" s="9">
        <f t="shared" si="24"/>
        <v>681.72560582898507</v>
      </c>
      <c r="V56" s="9">
        <v>205000</v>
      </c>
      <c r="W56" s="9">
        <v>310</v>
      </c>
      <c r="X56" s="930"/>
      <c r="Y56" s="930"/>
      <c r="Z56" s="882"/>
      <c r="AA56" s="35"/>
      <c r="AB56" s="871"/>
      <c r="AC56" s="380" t="s">
        <v>750</v>
      </c>
      <c r="AD56" s="882"/>
      <c r="AE56" s="885"/>
      <c r="AG56" s="5">
        <v>2.0139999999999998</v>
      </c>
      <c r="AH56" s="100">
        <f>-1.198/M56</f>
        <v>-1.198</v>
      </c>
      <c r="AI56" s="100">
        <f>2.014/M56</f>
        <v>2.0139999999999998</v>
      </c>
      <c r="AK56" s="35"/>
      <c r="AL56" s="871"/>
      <c r="AM56" s="7">
        <v>232.5</v>
      </c>
      <c r="AN56" s="580"/>
      <c r="AP56" s="558">
        <f t="shared" si="17"/>
        <v>0.34104630662549001</v>
      </c>
      <c r="AQ56" s="558">
        <f t="shared" si="25"/>
        <v>0.93514423385800027</v>
      </c>
      <c r="AR56" s="581">
        <f t="shared" si="26"/>
        <v>354.49041199172717</v>
      </c>
      <c r="AT56" s="669">
        <f>AP56*$W$51/AR56</f>
        <v>0.29824320059852344</v>
      </c>
      <c r="AU56" s="256">
        <f t="shared" si="7"/>
        <v>0.34104630662549001</v>
      </c>
      <c r="AY56" s="90"/>
      <c r="AZ56" s="543">
        <v>2004</v>
      </c>
      <c r="BA56" s="293"/>
    </row>
    <row r="57" spans="1:53">
      <c r="A57" s="145"/>
      <c r="B57" s="991"/>
      <c r="C57" s="945"/>
      <c r="D57" s="871"/>
      <c r="E57" s="899"/>
      <c r="F57" s="920"/>
      <c r="G57" s="871"/>
      <c r="H57" s="871"/>
      <c r="I57" s="917"/>
      <c r="J57" s="221"/>
      <c r="K57" s="35"/>
      <c r="L57" s="451" t="s">
        <v>136</v>
      </c>
      <c r="M57" s="6">
        <v>1</v>
      </c>
      <c r="N57" s="6">
        <v>350</v>
      </c>
      <c r="O57" s="6">
        <v>450</v>
      </c>
      <c r="P57" s="65">
        <f t="shared" si="18"/>
        <v>6.872431934890913E-2</v>
      </c>
      <c r="Q57" s="6">
        <f t="shared" si="19"/>
        <v>350</v>
      </c>
      <c r="R57" s="35"/>
      <c r="S57" s="5" t="s">
        <v>129</v>
      </c>
      <c r="T57" s="403" t="s">
        <v>163</v>
      </c>
      <c r="U57" s="9">
        <f t="shared" si="24"/>
        <v>681.72560582898507</v>
      </c>
      <c r="V57" s="9">
        <v>205000</v>
      </c>
      <c r="W57" s="9">
        <v>310</v>
      </c>
      <c r="X57" s="930"/>
      <c r="Y57" s="930"/>
      <c r="Z57" s="882"/>
      <c r="AA57" s="35"/>
      <c r="AB57" s="871"/>
      <c r="AC57" s="380" t="s">
        <v>750</v>
      </c>
      <c r="AD57" s="882"/>
      <c r="AE57" s="885"/>
      <c r="AG57" s="5">
        <v>2.8820000000000001</v>
      </c>
      <c r="AH57" s="100">
        <f>-0.479/M57</f>
        <v>-0.47899999999999998</v>
      </c>
      <c r="AI57" s="100">
        <f>2.882/M57</f>
        <v>2.8820000000000001</v>
      </c>
      <c r="AK57" s="35"/>
      <c r="AL57" s="871"/>
      <c r="AM57" s="7">
        <v>219.5</v>
      </c>
      <c r="AN57" s="580"/>
      <c r="AP57" s="558">
        <f t="shared" si="17"/>
        <v>0.32197705077116157</v>
      </c>
      <c r="AQ57" s="558">
        <f t="shared" si="25"/>
        <v>0.93514423385800027</v>
      </c>
      <c r="AR57" s="581">
        <f t="shared" si="26"/>
        <v>354.49041199172717</v>
      </c>
      <c r="AT57" s="669">
        <f t="shared" si="27"/>
        <v>0.2815672366940899</v>
      </c>
      <c r="AU57" s="256">
        <f t="shared" si="7"/>
        <v>0.32197705077116157</v>
      </c>
      <c r="AY57" s="90"/>
      <c r="AZ57" s="543">
        <v>2004</v>
      </c>
      <c r="BA57" s="293"/>
    </row>
    <row r="58" spans="1:53">
      <c r="A58" s="145"/>
      <c r="B58" s="991"/>
      <c r="C58" s="945"/>
      <c r="D58" s="871"/>
      <c r="E58" s="899"/>
      <c r="F58" s="920"/>
      <c r="G58" s="871"/>
      <c r="H58" s="871"/>
      <c r="I58" s="917"/>
      <c r="J58" s="221"/>
      <c r="K58" s="35"/>
      <c r="L58" s="451" t="s">
        <v>137</v>
      </c>
      <c r="M58" s="6">
        <v>1</v>
      </c>
      <c r="N58" s="6">
        <v>350</v>
      </c>
      <c r="O58" s="6">
        <v>450</v>
      </c>
      <c r="P58" s="65">
        <f t="shared" si="18"/>
        <v>6.872431934890913E-2</v>
      </c>
      <c r="Q58" s="6">
        <f t="shared" si="19"/>
        <v>350</v>
      </c>
      <c r="R58" s="35"/>
      <c r="S58" s="5" t="s">
        <v>129</v>
      </c>
      <c r="T58" s="491" t="s">
        <v>163</v>
      </c>
      <c r="U58" s="9">
        <f t="shared" si="24"/>
        <v>681.72560582898507</v>
      </c>
      <c r="V58" s="9">
        <v>205000</v>
      </c>
      <c r="W58" s="9">
        <v>310</v>
      </c>
      <c r="X58" s="930"/>
      <c r="Y58" s="930"/>
      <c r="Z58" s="882"/>
      <c r="AA58" s="35"/>
      <c r="AB58" s="871"/>
      <c r="AC58" s="380" t="s">
        <v>750</v>
      </c>
      <c r="AD58" s="882"/>
      <c r="AE58" s="885"/>
      <c r="AG58" s="5">
        <v>1.867</v>
      </c>
      <c r="AH58" s="100">
        <f>-1.867/M58</f>
        <v>-1.867</v>
      </c>
      <c r="AI58" s="100">
        <f>1.299/M58</f>
        <v>1.2989999999999999</v>
      </c>
      <c r="AK58" s="35"/>
      <c r="AL58" s="871"/>
      <c r="AM58" s="7">
        <v>247.1</v>
      </c>
      <c r="AN58" s="580"/>
      <c r="AP58" s="558">
        <f t="shared" si="17"/>
        <v>0.36246254781573584</v>
      </c>
      <c r="AQ58" s="558">
        <f t="shared" si="25"/>
        <v>0.93514423385800027</v>
      </c>
      <c r="AR58" s="581">
        <f t="shared" si="26"/>
        <v>354.49041199172717</v>
      </c>
      <c r="AT58" s="669">
        <f t="shared" si="27"/>
        <v>0.31697159082965648</v>
      </c>
      <c r="AU58" s="256">
        <f t="shared" si="7"/>
        <v>0.36246254781573584</v>
      </c>
      <c r="AY58" s="90"/>
      <c r="AZ58" s="543">
        <v>2004</v>
      </c>
      <c r="BA58" s="293"/>
    </row>
    <row r="59" spans="1:53">
      <c r="A59" s="145"/>
      <c r="B59" s="991"/>
      <c r="C59" s="945"/>
      <c r="D59" s="871"/>
      <c r="E59" s="899"/>
      <c r="F59" s="920"/>
      <c r="G59" s="871"/>
      <c r="H59" s="871"/>
      <c r="I59" s="917"/>
      <c r="J59" s="221"/>
      <c r="K59" s="35"/>
      <c r="L59" s="451" t="s">
        <v>138</v>
      </c>
      <c r="M59" s="6">
        <v>1.25</v>
      </c>
      <c r="N59" s="6">
        <v>350</v>
      </c>
      <c r="O59" s="6">
        <v>450</v>
      </c>
      <c r="P59" s="65">
        <f t="shared" si="18"/>
        <v>7.6836124885782453E-2</v>
      </c>
      <c r="Q59" s="6">
        <f t="shared" si="19"/>
        <v>280</v>
      </c>
      <c r="R59" s="35"/>
      <c r="S59" s="5" t="s">
        <v>139</v>
      </c>
      <c r="T59" s="491" t="s">
        <v>163</v>
      </c>
      <c r="U59" s="9">
        <f t="shared" si="24"/>
        <v>852.15700728623142</v>
      </c>
      <c r="V59" s="9">
        <v>205000</v>
      </c>
      <c r="W59" s="9">
        <v>310</v>
      </c>
      <c r="X59" s="930"/>
      <c r="Y59" s="930"/>
      <c r="Z59" s="882"/>
      <c r="AA59" s="35"/>
      <c r="AB59" s="871"/>
      <c r="AC59" s="380" t="s">
        <v>750</v>
      </c>
      <c r="AD59" s="882"/>
      <c r="AE59" s="885"/>
      <c r="AG59" s="5">
        <v>3.3039000000000001</v>
      </c>
      <c r="AH59" s="100">
        <f>-1.018/M59</f>
        <v>-0.81440000000000001</v>
      </c>
      <c r="AI59" s="100">
        <f>3.039/M59</f>
        <v>2.4312</v>
      </c>
      <c r="AK59" s="35"/>
      <c r="AL59" s="871"/>
      <c r="AM59" s="7">
        <v>320.10000000000002</v>
      </c>
      <c r="AN59" s="580"/>
      <c r="AP59" s="558">
        <f t="shared" si="17"/>
        <v>0.375635003013572</v>
      </c>
      <c r="AQ59" s="558">
        <f t="shared" si="25"/>
        <v>0.83641843026937968</v>
      </c>
      <c r="AR59" s="581">
        <f t="shared" si="26"/>
        <v>443.11301498965895</v>
      </c>
      <c r="AT59" s="669">
        <f t="shared" si="27"/>
        <v>0.2627926668706061</v>
      </c>
      <c r="AU59" s="256">
        <f t="shared" si="7"/>
        <v>0.375635003013572</v>
      </c>
      <c r="AY59" s="90"/>
      <c r="AZ59" s="543">
        <v>2004</v>
      </c>
      <c r="BA59" s="293"/>
    </row>
    <row r="60" spans="1:53">
      <c r="A60" s="145"/>
      <c r="B60" s="991"/>
      <c r="C60" s="945"/>
      <c r="D60" s="871"/>
      <c r="E60" s="899"/>
      <c r="F60" s="920"/>
      <c r="G60" s="871"/>
      <c r="H60" s="871"/>
      <c r="I60" s="917"/>
      <c r="J60" s="221"/>
      <c r="K60" s="35"/>
      <c r="L60" s="451" t="s">
        <v>140</v>
      </c>
      <c r="M60" s="6">
        <v>1.25</v>
      </c>
      <c r="N60" s="6">
        <v>350</v>
      </c>
      <c r="O60" s="6">
        <v>450</v>
      </c>
      <c r="P60" s="65">
        <f t="shared" si="18"/>
        <v>7.6836124885782453E-2</v>
      </c>
      <c r="Q60" s="6">
        <f t="shared" si="19"/>
        <v>280</v>
      </c>
      <c r="R60" s="35"/>
      <c r="S60" s="5" t="s">
        <v>139</v>
      </c>
      <c r="T60" s="403" t="s">
        <v>163</v>
      </c>
      <c r="U60" s="9">
        <f t="shared" si="24"/>
        <v>852.15700728623142</v>
      </c>
      <c r="V60" s="9">
        <v>205000</v>
      </c>
      <c r="W60" s="9">
        <v>310</v>
      </c>
      <c r="X60" s="930"/>
      <c r="Y60" s="930"/>
      <c r="Z60" s="882"/>
      <c r="AA60" s="35"/>
      <c r="AB60" s="871"/>
      <c r="AC60" s="380" t="s">
        <v>750</v>
      </c>
      <c r="AD60" s="882"/>
      <c r="AE60" s="885"/>
      <c r="AG60" s="5">
        <v>1.321</v>
      </c>
      <c r="AH60" s="100">
        <f>-1.321/M60</f>
        <v>-1.0568</v>
      </c>
      <c r="AI60" s="100">
        <f>0.733/M60</f>
        <v>0.58640000000000003</v>
      </c>
      <c r="AK60" s="35"/>
      <c r="AL60" s="871"/>
      <c r="AM60" s="7">
        <v>321</v>
      </c>
      <c r="AN60" s="580"/>
      <c r="AP60" s="558">
        <f t="shared" si="17"/>
        <v>0.37669114641473478</v>
      </c>
      <c r="AQ60" s="558">
        <f t="shared" si="25"/>
        <v>0.83641843026937968</v>
      </c>
      <c r="AR60" s="581">
        <f t="shared" si="26"/>
        <v>443.11301498965895</v>
      </c>
      <c r="AT60" s="669">
        <f>AP60*$W$51/AR60</f>
        <v>0.26353154034821785</v>
      </c>
      <c r="AU60" s="256">
        <f t="shared" si="7"/>
        <v>0.37669114641473478</v>
      </c>
      <c r="AY60" s="90"/>
      <c r="AZ60" s="543">
        <v>2004</v>
      </c>
      <c r="BA60" s="293"/>
    </row>
    <row r="61" spans="1:53">
      <c r="A61" s="145"/>
      <c r="B61" s="991"/>
      <c r="C61" s="945"/>
      <c r="D61" s="871"/>
      <c r="E61" s="899"/>
      <c r="F61" s="920"/>
      <c r="G61" s="871"/>
      <c r="H61" s="871"/>
      <c r="I61" s="917"/>
      <c r="J61" s="221"/>
      <c r="K61" s="35"/>
      <c r="L61" s="451" t="s">
        <v>141</v>
      </c>
      <c r="M61" s="6">
        <v>1.25</v>
      </c>
      <c r="N61" s="6">
        <v>350</v>
      </c>
      <c r="O61" s="6">
        <v>450</v>
      </c>
      <c r="P61" s="65">
        <f t="shared" si="18"/>
        <v>7.6836124885782453E-2</v>
      </c>
      <c r="Q61" s="6">
        <f t="shared" si="19"/>
        <v>280</v>
      </c>
      <c r="R61" s="35"/>
      <c r="S61" s="5" t="s">
        <v>139</v>
      </c>
      <c r="T61" s="491" t="s">
        <v>163</v>
      </c>
      <c r="U61" s="9">
        <f t="shared" si="24"/>
        <v>852.15700728623142</v>
      </c>
      <c r="V61" s="9">
        <v>205000</v>
      </c>
      <c r="W61" s="9">
        <v>310</v>
      </c>
      <c r="X61" s="930"/>
      <c r="Y61" s="930"/>
      <c r="Z61" s="882"/>
      <c r="AA61" s="35"/>
      <c r="AB61" s="871"/>
      <c r="AC61" s="380" t="s">
        <v>750</v>
      </c>
      <c r="AD61" s="882"/>
      <c r="AE61" s="885"/>
      <c r="AG61" s="5">
        <v>3.7349999999999999</v>
      </c>
      <c r="AH61" s="100">
        <f>-3.735/M61</f>
        <v>-2.988</v>
      </c>
      <c r="AI61" s="100">
        <f>0.043/M61</f>
        <v>3.44E-2</v>
      </c>
      <c r="AK61" s="35"/>
      <c r="AL61" s="871"/>
      <c r="AM61" s="7">
        <v>309.8</v>
      </c>
      <c r="AN61" s="580"/>
      <c r="AP61" s="558">
        <f t="shared" si="17"/>
        <v>0.36354802853359763</v>
      </c>
      <c r="AQ61" s="558">
        <f t="shared" si="25"/>
        <v>0.83641843026937968</v>
      </c>
      <c r="AR61" s="581">
        <f t="shared" si="26"/>
        <v>443.11301498965895</v>
      </c>
      <c r="AT61" s="669">
        <f t="shared" si="27"/>
        <v>0.25433667040460406</v>
      </c>
      <c r="AU61" s="256">
        <f t="shared" si="7"/>
        <v>0.36354802853359763</v>
      </c>
      <c r="AY61" s="90"/>
      <c r="AZ61" s="543">
        <v>2004</v>
      </c>
      <c r="BA61" s="293"/>
    </row>
    <row r="62" spans="1:53" ht="16.5" thickBot="1">
      <c r="A62" s="145"/>
      <c r="B62" s="992"/>
      <c r="C62" s="946"/>
      <c r="D62" s="872"/>
      <c r="E62" s="900"/>
      <c r="F62" s="921"/>
      <c r="G62" s="872"/>
      <c r="H62" s="872"/>
      <c r="I62" s="918"/>
      <c r="J62" s="223"/>
      <c r="K62" s="36"/>
      <c r="L62" s="453" t="s">
        <v>142</v>
      </c>
      <c r="M62" s="16">
        <v>1.25</v>
      </c>
      <c r="N62" s="16">
        <v>350</v>
      </c>
      <c r="O62" s="16">
        <v>450</v>
      </c>
      <c r="P62" s="89">
        <f t="shared" si="18"/>
        <v>7.6836124885782453E-2</v>
      </c>
      <c r="Q62" s="16">
        <f t="shared" si="19"/>
        <v>280</v>
      </c>
      <c r="R62" s="36"/>
      <c r="S62" s="18" t="s">
        <v>139</v>
      </c>
      <c r="T62" s="492" t="s">
        <v>163</v>
      </c>
      <c r="U62" s="126">
        <f t="shared" si="24"/>
        <v>852.15700728623142</v>
      </c>
      <c r="V62" s="126">
        <v>205000</v>
      </c>
      <c r="W62" s="126">
        <v>310</v>
      </c>
      <c r="X62" s="931"/>
      <c r="Y62" s="931"/>
      <c r="Z62" s="883"/>
      <c r="AA62" s="36"/>
      <c r="AB62" s="872"/>
      <c r="AC62" s="381" t="s">
        <v>750</v>
      </c>
      <c r="AD62" s="883"/>
      <c r="AE62" s="886"/>
      <c r="AF62" s="18"/>
      <c r="AG62" s="18">
        <v>4.7359999999999998</v>
      </c>
      <c r="AH62" s="101">
        <f>-0.513/M62</f>
        <v>-0.41039999999999999</v>
      </c>
      <c r="AI62" s="101">
        <f>4.726/M62</f>
        <v>3.7808000000000002</v>
      </c>
      <c r="AJ62" s="31"/>
      <c r="AK62" s="36"/>
      <c r="AL62" s="872"/>
      <c r="AM62" s="17">
        <v>286.7</v>
      </c>
      <c r="AN62" s="587"/>
      <c r="AO62" s="556"/>
      <c r="AP62" s="560">
        <f t="shared" si="17"/>
        <v>0.33644034790375221</v>
      </c>
      <c r="AQ62" s="560">
        <f t="shared" si="25"/>
        <v>0.83641843026937968</v>
      </c>
      <c r="AR62" s="588">
        <f t="shared" si="26"/>
        <v>443.11301498965895</v>
      </c>
      <c r="AS62" s="577"/>
      <c r="AT62" s="671">
        <f>AP62*$W$51/AR62</f>
        <v>0.23537225114590049</v>
      </c>
      <c r="AU62" s="258">
        <f t="shared" si="7"/>
        <v>0.33644034790375221</v>
      </c>
      <c r="AV62" s="91"/>
      <c r="AW62" s="18"/>
      <c r="AX62" s="31"/>
      <c r="AY62" s="91"/>
      <c r="AZ62" s="766">
        <v>2004</v>
      </c>
      <c r="BA62" s="295"/>
    </row>
    <row r="63" spans="1:53" ht="65.25" customHeight="1" thickBot="1">
      <c r="A63" s="219"/>
      <c r="B63" s="990">
        <v>6</v>
      </c>
      <c r="C63" s="944" t="s">
        <v>1087</v>
      </c>
      <c r="D63" s="870" t="s">
        <v>1088</v>
      </c>
      <c r="E63" s="898">
        <v>1962</v>
      </c>
      <c r="F63" s="919" t="s">
        <v>1089</v>
      </c>
      <c r="G63" s="870"/>
      <c r="H63" s="870"/>
      <c r="I63" s="910" t="s">
        <v>1090</v>
      </c>
      <c r="J63" s="222"/>
      <c r="K63" s="34"/>
      <c r="L63" s="449" t="s">
        <v>143</v>
      </c>
      <c r="M63" s="14">
        <f>CONVERT(4.62*10^-3,"in","mm")</f>
        <v>0.11734800000000001</v>
      </c>
      <c r="N63" s="14">
        <f>CONVERT(4,"in","mm")</f>
        <v>101.6</v>
      </c>
      <c r="O63" s="14">
        <f>CONVERT(10,"in","mm")</f>
        <v>254</v>
      </c>
      <c r="P63" s="72">
        <f t="shared" si="18"/>
        <v>8.4963227339832151E-2</v>
      </c>
      <c r="Q63" s="57">
        <f>N63/M63</f>
        <v>865.80086580086572</v>
      </c>
      <c r="R63" s="34"/>
      <c r="S63" s="870" t="s">
        <v>144</v>
      </c>
      <c r="T63" s="464" t="s">
        <v>403</v>
      </c>
      <c r="U63" s="171"/>
      <c r="V63" s="791">
        <f>CONVERT(13*10^6,"psi","Pa")/10^6</f>
        <v>89631.844811188712</v>
      </c>
      <c r="W63" s="28"/>
      <c r="X63" s="171"/>
      <c r="Y63" s="171"/>
      <c r="Z63" s="881" t="s">
        <v>947</v>
      </c>
      <c r="AA63" s="35"/>
      <c r="AB63" s="870" t="s">
        <v>145</v>
      </c>
      <c r="AC63" s="380" t="s">
        <v>523</v>
      </c>
      <c r="AD63" s="881" t="s">
        <v>146</v>
      </c>
      <c r="AE63" s="884" t="s">
        <v>147</v>
      </c>
      <c r="AF63" s="870" t="s">
        <v>148</v>
      </c>
      <c r="AG63" s="15">
        <v>0</v>
      </c>
      <c r="AH63" s="15"/>
      <c r="AI63" s="15"/>
      <c r="AJ63" s="29"/>
      <c r="AK63" s="34"/>
      <c r="AL63" s="870" t="s">
        <v>149</v>
      </c>
      <c r="AN63" s="76">
        <f>0.46*$V$63*M63/N63</f>
        <v>47.621399148184572</v>
      </c>
      <c r="AO63" s="20"/>
      <c r="AP63" s="76"/>
      <c r="AQ63" s="590"/>
      <c r="AR63" s="20">
        <f t="shared" ref="AR63:AR65" si="28">1/SQRT(3*(1-0.3^2))*$V$63*1/Q63</f>
        <v>62.656047627591214</v>
      </c>
      <c r="AS63" s="591">
        <f>2*PI()*N63*M63*AR63/1000</f>
        <v>4.6936668895802711</v>
      </c>
      <c r="AT63" s="672">
        <f>AN63/AR63</f>
        <v>0.76004473552548202</v>
      </c>
      <c r="AU63" s="645"/>
      <c r="AV63" s="128"/>
      <c r="AW63" s="15"/>
      <c r="AX63" s="29"/>
      <c r="AY63" s="216"/>
      <c r="AZ63" s="543">
        <v>1962</v>
      </c>
      <c r="BA63" s="297"/>
    </row>
    <row r="64" spans="1:53">
      <c r="A64" s="219"/>
      <c r="B64" s="991"/>
      <c r="C64" s="945"/>
      <c r="D64" s="871"/>
      <c r="E64" s="899"/>
      <c r="F64" s="920"/>
      <c r="G64" s="871"/>
      <c r="H64" s="871"/>
      <c r="I64" s="917"/>
      <c r="J64" s="221"/>
      <c r="K64" s="35"/>
      <c r="L64" s="451" t="s">
        <v>150</v>
      </c>
      <c r="M64" s="6">
        <f>CONVERT(4.45*10^-3,"in","mm")</f>
        <v>0.11302999999999999</v>
      </c>
      <c r="N64" s="6">
        <f>CONVERT(4,"in","mm")</f>
        <v>101.6</v>
      </c>
      <c r="O64" s="6">
        <f>CONVERT(10,"in","mm")</f>
        <v>254</v>
      </c>
      <c r="P64" s="65">
        <f t="shared" si="18"/>
        <v>8.338540040078958E-2</v>
      </c>
      <c r="Q64" s="55">
        <f t="shared" si="19"/>
        <v>898.87640449438209</v>
      </c>
      <c r="R64" s="35"/>
      <c r="S64" s="871"/>
      <c r="T64" s="465" t="s">
        <v>403</v>
      </c>
      <c r="V64" s="172">
        <f>CONVERT(13*10^6,"psi","Pa")/10^6</f>
        <v>89631.844811188712</v>
      </c>
      <c r="Z64" s="882"/>
      <c r="AA64" s="35"/>
      <c r="AB64" s="871"/>
      <c r="AC64" s="380" t="s">
        <v>523</v>
      </c>
      <c r="AD64" s="882"/>
      <c r="AE64" s="885"/>
      <c r="AF64" s="871"/>
      <c r="AG64" s="7">
        <v>0</v>
      </c>
      <c r="AH64" s="7"/>
      <c r="AI64" s="7"/>
      <c r="AJ64" s="248"/>
      <c r="AK64" s="35"/>
      <c r="AL64" s="871"/>
      <c r="AN64" s="558">
        <f>0.438*$V$63*M64/N64</f>
        <v>43.675357180371982</v>
      </c>
      <c r="AP64" s="558"/>
      <c r="AQ64" s="592"/>
      <c r="AR64" s="554">
        <f t="shared" si="28"/>
        <v>60.350522065536978</v>
      </c>
      <c r="AS64" s="593">
        <f t="shared" ref="AS64:AS65" si="29">2*PI()*N64*M64*AR64/1000</f>
        <v>4.354600671881772</v>
      </c>
      <c r="AT64" s="673">
        <f>AN64/AR64</f>
        <v>0.72369476991339388</v>
      </c>
      <c r="AU64" s="646"/>
      <c r="AZ64" s="543">
        <v>1962</v>
      </c>
      <c r="BA64" s="293"/>
    </row>
    <row r="65" spans="1:53" ht="16.5" thickBot="1">
      <c r="A65" s="219"/>
      <c r="B65" s="991"/>
      <c r="C65" s="945"/>
      <c r="D65" s="871"/>
      <c r="E65" s="899"/>
      <c r="F65" s="920"/>
      <c r="G65" s="871"/>
      <c r="H65" s="871"/>
      <c r="I65" s="917"/>
      <c r="J65" s="221"/>
      <c r="K65" s="35"/>
      <c r="L65" s="451" t="s">
        <v>151</v>
      </c>
      <c r="M65" s="6">
        <f>CONVERT(4.5*10^-3,"in","mm")</f>
        <v>0.11430000000000003</v>
      </c>
      <c r="N65" s="6">
        <f t="shared" ref="N65" si="30">CONVERT(4,"in","mm")</f>
        <v>101.6</v>
      </c>
      <c r="O65" s="6">
        <f t="shared" ref="O65" si="31">CONVERT(10,"in","mm")</f>
        <v>254</v>
      </c>
      <c r="P65" s="65">
        <f t="shared" si="18"/>
        <v>8.3852549156242115E-2</v>
      </c>
      <c r="Q65" s="55">
        <f t="shared" si="19"/>
        <v>888.88888888888869</v>
      </c>
      <c r="R65" s="35"/>
      <c r="S65" s="872"/>
      <c r="T65" s="465" t="s">
        <v>403</v>
      </c>
      <c r="V65" s="345">
        <f t="shared" ref="V65" si="32">CONVERT(13*10^6,"psi","Pa")/10^6</f>
        <v>89631.844811188712</v>
      </c>
      <c r="Z65" s="883"/>
      <c r="AA65" s="35"/>
      <c r="AB65" s="872"/>
      <c r="AC65" s="380" t="s">
        <v>523</v>
      </c>
      <c r="AD65" s="883"/>
      <c r="AE65" s="886"/>
      <c r="AF65" s="872"/>
      <c r="AG65" s="7">
        <v>0.5</v>
      </c>
      <c r="AH65" s="7"/>
      <c r="AI65" s="7"/>
      <c r="AJ65" s="248"/>
      <c r="AK65" s="35"/>
      <c r="AL65" s="872"/>
      <c r="AN65" s="558">
        <f>0.435*$V$63*M65/N65</f>
        <v>43.863584054475488</v>
      </c>
      <c r="AP65" s="558"/>
      <c r="AQ65" s="592"/>
      <c r="AR65" s="554">
        <f t="shared" si="28"/>
        <v>61.028617819082356</v>
      </c>
      <c r="AS65" s="593">
        <f t="shared" si="29"/>
        <v>4.4530066206593073</v>
      </c>
      <c r="AT65" s="673">
        <f>AN65/AR65</f>
        <v>0.71873795642083627</v>
      </c>
      <c r="AU65" s="646"/>
      <c r="AZ65" s="543">
        <v>1962</v>
      </c>
      <c r="BA65" s="293"/>
    </row>
    <row r="66" spans="1:53" ht="15.75" customHeight="1">
      <c r="A66" s="145"/>
      <c r="B66" s="990">
        <v>7</v>
      </c>
      <c r="C66" s="944" t="s">
        <v>157</v>
      </c>
      <c r="D66" s="870" t="s">
        <v>158</v>
      </c>
      <c r="E66" s="898">
        <v>1960</v>
      </c>
      <c r="F66" s="919" t="s">
        <v>159</v>
      </c>
      <c r="G66" s="870" t="s">
        <v>160</v>
      </c>
      <c r="H66" s="870"/>
      <c r="I66" s="910" t="s">
        <v>161</v>
      </c>
      <c r="J66" s="222"/>
      <c r="K66" s="987" t="s">
        <v>162</v>
      </c>
      <c r="L66" s="449"/>
      <c r="M66" s="47">
        <f>0.01*25.4</f>
        <v>0.254</v>
      </c>
      <c r="N66" s="73">
        <f>Q66*M66</f>
        <v>203.2</v>
      </c>
      <c r="O66" s="14">
        <f>2*N66</f>
        <v>406.4</v>
      </c>
      <c r="P66" s="72">
        <f t="shared" ref="P66:P79" si="33">O66/N66*SQRT(M66/N66)</f>
        <v>7.0710678118654752E-2</v>
      </c>
      <c r="Q66" s="14">
        <v>800</v>
      </c>
      <c r="R66" s="34"/>
      <c r="S66" s="1058" t="s">
        <v>163</v>
      </c>
      <c r="T66" s="501" t="s">
        <v>163</v>
      </c>
      <c r="U66" s="77">
        <f>2*PI()*N66*M66*W66/10^3</f>
        <v>87.20088217178025</v>
      </c>
      <c r="V66" s="171">
        <f t="shared" ref="V66:V73" si="34">30.3*10^6*0.00689476</f>
        <v>208911.228</v>
      </c>
      <c r="W66" s="171">
        <f>CONVERT(39000,"psi","Pa")/10^6</f>
        <v>268.89553443356607</v>
      </c>
      <c r="X66" s="171"/>
      <c r="Y66" s="171"/>
      <c r="Z66" s="881" t="s">
        <v>164</v>
      </c>
      <c r="AA66" s="1061"/>
      <c r="AB66" s="1058" t="s">
        <v>165</v>
      </c>
      <c r="AC66" s="400" t="s">
        <v>750</v>
      </c>
      <c r="AD66" s="881" t="s">
        <v>166</v>
      </c>
      <c r="AE66" s="34"/>
      <c r="AF66" s="15"/>
      <c r="AG66" s="15"/>
      <c r="AH66" s="15"/>
      <c r="AI66" s="15"/>
      <c r="AJ66" s="29"/>
      <c r="AK66" s="34"/>
      <c r="AL66" s="870" t="s">
        <v>948</v>
      </c>
      <c r="AM66" s="60">
        <f>0.31*2*PI()*V66*M66^2/10^3</f>
        <v>26.252506660370564</v>
      </c>
      <c r="AN66" s="20"/>
      <c r="AO66" s="20"/>
      <c r="AP66" s="557">
        <f t="shared" ref="AP66:AP79" si="35">AM66/U66</f>
        <v>0.30105781050075592</v>
      </c>
      <c r="AQ66" s="557">
        <f t="shared" ref="AQ66:AQ79" si="36">SQRT(W66/AR66)</f>
        <v>1.3043572584079364</v>
      </c>
      <c r="AR66" s="557">
        <f t="shared" ref="AR66:AR79" si="37">1/SQRT(3*(1-0.3^2))*V66*1/Q66</f>
        <v>158.04853383656206</v>
      </c>
      <c r="AS66" s="547"/>
      <c r="AT66" s="668">
        <f t="shared" ref="AT66:AT79" si="38">AP66*W66/AR66</f>
        <v>0.51220406089760762</v>
      </c>
      <c r="AU66" s="644">
        <f t="shared" ref="AU66:AU79" si="39">MAX(AO66:AP66)</f>
        <v>0.30105781050075592</v>
      </c>
      <c r="AV66" s="200"/>
      <c r="AW66" s="870" t="s">
        <v>949</v>
      </c>
      <c r="AX66" s="29"/>
      <c r="AY66" s="413"/>
      <c r="AZ66" s="767">
        <v>1960</v>
      </c>
      <c r="BA66" s="292"/>
    </row>
    <row r="67" spans="1:53">
      <c r="A67" s="145"/>
      <c r="B67" s="991"/>
      <c r="C67" s="945"/>
      <c r="D67" s="871"/>
      <c r="E67" s="899"/>
      <c r="F67" s="920"/>
      <c r="G67" s="871"/>
      <c r="H67" s="871"/>
      <c r="I67" s="917"/>
      <c r="J67" s="221"/>
      <c r="K67" s="988"/>
      <c r="M67" s="46">
        <f>0.01*25.4</f>
        <v>0.254</v>
      </c>
      <c r="N67" s="66">
        <f t="shared" ref="N67:N79" si="40">Q67*M67</f>
        <v>203.2</v>
      </c>
      <c r="O67" s="6">
        <f>2*N67</f>
        <v>406.4</v>
      </c>
      <c r="P67" s="65">
        <f t="shared" si="33"/>
        <v>7.0710678118654752E-2</v>
      </c>
      <c r="Q67" s="6">
        <v>800</v>
      </c>
      <c r="R67" s="35"/>
      <c r="S67" s="1059"/>
      <c r="T67" s="465" t="s">
        <v>163</v>
      </c>
      <c r="U67" s="68">
        <f t="shared" ref="U67:U79" si="41">2*PI()*N67*M67*W67/10^3</f>
        <v>87.20088217178025</v>
      </c>
      <c r="V67" s="172">
        <f t="shared" si="34"/>
        <v>208911.228</v>
      </c>
      <c r="W67" s="172">
        <f>CONVERT(39000,"psi","Pa")/10^6</f>
        <v>268.89553443356607</v>
      </c>
      <c r="Z67" s="882"/>
      <c r="AA67" s="1062"/>
      <c r="AB67" s="1059"/>
      <c r="AC67" s="25" t="s">
        <v>750</v>
      </c>
      <c r="AD67" s="882"/>
      <c r="AE67" s="35"/>
      <c r="AK67" s="35"/>
      <c r="AL67" s="871"/>
      <c r="AM67" s="27">
        <f>0.267*2*PI()*V67*M67^2/10^3</f>
        <v>22.6110299300611</v>
      </c>
      <c r="AP67" s="559">
        <f t="shared" si="35"/>
        <v>0.25929817872161881</v>
      </c>
      <c r="AQ67" s="559">
        <f t="shared" si="36"/>
        <v>1.3043572584079364</v>
      </c>
      <c r="AR67" s="559">
        <f t="shared" si="37"/>
        <v>158.04853383656206</v>
      </c>
      <c r="AT67" s="669">
        <f t="shared" si="38"/>
        <v>0.44115640083761687</v>
      </c>
      <c r="AU67" s="256">
        <f t="shared" si="39"/>
        <v>0.25929817872161881</v>
      </c>
      <c r="AV67" s="120"/>
      <c r="AW67" s="871"/>
      <c r="AY67" s="414"/>
      <c r="AZ67" s="768">
        <v>1960</v>
      </c>
      <c r="BA67" s="293"/>
    </row>
    <row r="68" spans="1:53">
      <c r="A68" s="145"/>
      <c r="B68" s="991"/>
      <c r="C68" s="945"/>
      <c r="D68" s="871"/>
      <c r="E68" s="899"/>
      <c r="F68" s="920"/>
      <c r="G68" s="871"/>
      <c r="H68" s="871"/>
      <c r="I68" s="917"/>
      <c r="J68" s="221"/>
      <c r="K68" s="988"/>
      <c r="M68" s="46">
        <f>0.01*25.4</f>
        <v>0.254</v>
      </c>
      <c r="N68" s="66">
        <f t="shared" si="40"/>
        <v>203.2</v>
      </c>
      <c r="O68" s="6">
        <f>1*N68</f>
        <v>203.2</v>
      </c>
      <c r="P68" s="65">
        <f t="shared" si="33"/>
        <v>3.5355339059327376E-2</v>
      </c>
      <c r="Q68" s="6">
        <v>800</v>
      </c>
      <c r="R68" s="35"/>
      <c r="S68" s="1059"/>
      <c r="T68" s="465" t="s">
        <v>163</v>
      </c>
      <c r="U68" s="68">
        <f t="shared" si="41"/>
        <v>87.20088217178025</v>
      </c>
      <c r="V68" s="172">
        <f t="shared" si="34"/>
        <v>208911.228</v>
      </c>
      <c r="W68" s="172">
        <f>CONVERT(39000,"psi","Pa")/10^6</f>
        <v>268.89553443356607</v>
      </c>
      <c r="Z68" s="882"/>
      <c r="AA68" s="1062"/>
      <c r="AB68" s="1059"/>
      <c r="AC68" s="25" t="s">
        <v>750</v>
      </c>
      <c r="AD68" s="882"/>
      <c r="AE68" s="35"/>
      <c r="AK68" s="35"/>
      <c r="AL68" s="871"/>
      <c r="AM68" s="27">
        <f>0.335*2*PI()*V68*M68^2/10^3</f>
        <v>28.369644294271417</v>
      </c>
      <c r="AP68" s="559">
        <f t="shared" si="35"/>
        <v>0.32533666618630075</v>
      </c>
      <c r="AQ68" s="559">
        <f t="shared" si="36"/>
        <v>1.3043572584079364</v>
      </c>
      <c r="AR68" s="559">
        <f t="shared" si="37"/>
        <v>158.04853383656206</v>
      </c>
      <c r="AT68" s="669">
        <f t="shared" si="38"/>
        <v>0.55351084000225337</v>
      </c>
      <c r="AU68" s="256">
        <f t="shared" si="39"/>
        <v>0.32533666618630075</v>
      </c>
      <c r="AV68" s="120"/>
      <c r="AW68" s="871"/>
      <c r="AY68" s="414"/>
      <c r="AZ68" s="768">
        <v>1960</v>
      </c>
      <c r="BA68" s="293"/>
    </row>
    <row r="69" spans="1:53">
      <c r="A69" s="145"/>
      <c r="B69" s="991"/>
      <c r="C69" s="945"/>
      <c r="D69" s="871"/>
      <c r="E69" s="899"/>
      <c r="F69" s="920"/>
      <c r="G69" s="871"/>
      <c r="H69" s="871"/>
      <c r="I69" s="917"/>
      <c r="J69" s="221"/>
      <c r="K69" s="988"/>
      <c r="M69" s="46">
        <f>0.01*25.4</f>
        <v>0.254</v>
      </c>
      <c r="N69" s="66">
        <f t="shared" si="40"/>
        <v>203.2</v>
      </c>
      <c r="O69" s="6">
        <f>1*N69</f>
        <v>203.2</v>
      </c>
      <c r="P69" s="65">
        <f t="shared" si="33"/>
        <v>3.5355339059327376E-2</v>
      </c>
      <c r="Q69" s="6">
        <v>800</v>
      </c>
      <c r="R69" s="35"/>
      <c r="S69" s="1059"/>
      <c r="T69" s="465" t="s">
        <v>163</v>
      </c>
      <c r="U69" s="68">
        <f t="shared" si="41"/>
        <v>87.20088217178025</v>
      </c>
      <c r="V69" s="172">
        <f t="shared" si="34"/>
        <v>208911.228</v>
      </c>
      <c r="W69" s="172">
        <f>CONVERT(39000,"psi","Pa")/10^6</f>
        <v>268.89553443356607</v>
      </c>
      <c r="Z69" s="882"/>
      <c r="AA69" s="1062"/>
      <c r="AB69" s="1059"/>
      <c r="AC69" s="25" t="s">
        <v>750</v>
      </c>
      <c r="AD69" s="882"/>
      <c r="AE69" s="35"/>
      <c r="AK69" s="35"/>
      <c r="AL69" s="871"/>
      <c r="AM69" s="27">
        <f>0.266*2*PI()*V69*M69^2/10^3</f>
        <v>22.526344424705066</v>
      </c>
      <c r="AP69" s="559">
        <f t="shared" si="35"/>
        <v>0.25832702449419703</v>
      </c>
      <c r="AQ69" s="559">
        <f t="shared" si="36"/>
        <v>1.3043572584079364</v>
      </c>
      <c r="AR69" s="559">
        <f t="shared" si="37"/>
        <v>158.04853383656206</v>
      </c>
      <c r="AT69" s="669">
        <f t="shared" si="38"/>
        <v>0.43950412967343105</v>
      </c>
      <c r="AU69" s="256">
        <f t="shared" si="39"/>
        <v>0.25832702449419703</v>
      </c>
      <c r="AV69" s="120"/>
      <c r="AW69" s="871"/>
      <c r="AY69" s="414"/>
      <c r="AZ69" s="768">
        <v>1960</v>
      </c>
      <c r="BA69" s="293"/>
    </row>
    <row r="70" spans="1:53">
      <c r="A70" s="145"/>
      <c r="B70" s="991"/>
      <c r="C70" s="945"/>
      <c r="D70" s="871"/>
      <c r="E70" s="899"/>
      <c r="F70" s="920"/>
      <c r="G70" s="871"/>
      <c r="H70" s="871"/>
      <c r="I70" s="917"/>
      <c r="J70" s="221"/>
      <c r="K70" s="988"/>
      <c r="M70" s="46">
        <f>0.02*25.4</f>
        <v>0.50800000000000001</v>
      </c>
      <c r="N70" s="66">
        <f t="shared" si="40"/>
        <v>203.2</v>
      </c>
      <c r="O70" s="6">
        <f>2*N70</f>
        <v>406.4</v>
      </c>
      <c r="P70" s="65">
        <f t="shared" si="33"/>
        <v>0.1</v>
      </c>
      <c r="Q70" s="6">
        <v>400</v>
      </c>
      <c r="R70" s="35"/>
      <c r="S70" s="1059"/>
      <c r="T70" s="465" t="s">
        <v>163</v>
      </c>
      <c r="U70" s="68">
        <f>2*PI()*N70*M70*W70/10^3</f>
        <v>344.33168857574765</v>
      </c>
      <c r="V70" s="172">
        <f t="shared" si="34"/>
        <v>208911.228</v>
      </c>
      <c r="W70" s="172">
        <f>CONVERT(77000,"psi","Pa")/10^6</f>
        <v>530.89631157396377</v>
      </c>
      <c r="Z70" s="882"/>
      <c r="AA70" s="1062"/>
      <c r="AB70" s="1059"/>
      <c r="AC70" s="25" t="s">
        <v>750</v>
      </c>
      <c r="AD70" s="882"/>
      <c r="AE70" s="35"/>
      <c r="AK70" s="35"/>
      <c r="AL70" s="871"/>
      <c r="AM70" s="27">
        <f>0.362*2*PI()*V70*M70^2/10^3</f>
        <v>122.62461175553733</v>
      </c>
      <c r="AP70" s="559">
        <f t="shared" si="35"/>
        <v>0.35612351643482798</v>
      </c>
      <c r="AQ70" s="559">
        <f t="shared" si="36"/>
        <v>1.2959690218293991</v>
      </c>
      <c r="AR70" s="559">
        <f t="shared" si="37"/>
        <v>316.09706767312412</v>
      </c>
      <c r="AT70" s="669">
        <f t="shared" si="38"/>
        <v>0.59812216143527075</v>
      </c>
      <c r="AU70" s="256">
        <f t="shared" si="39"/>
        <v>0.35612351643482798</v>
      </c>
      <c r="AV70" s="120"/>
      <c r="AW70" s="871"/>
      <c r="AY70" s="414"/>
      <c r="AZ70" s="768">
        <v>1960</v>
      </c>
      <c r="BA70" s="293"/>
    </row>
    <row r="71" spans="1:53">
      <c r="A71" s="145"/>
      <c r="B71" s="991"/>
      <c r="C71" s="945"/>
      <c r="D71" s="871"/>
      <c r="E71" s="899"/>
      <c r="F71" s="920"/>
      <c r="G71" s="871"/>
      <c r="H71" s="871"/>
      <c r="I71" s="917"/>
      <c r="J71" s="221"/>
      <c r="K71" s="988"/>
      <c r="M71" s="46">
        <f>0.02*25.4</f>
        <v>0.50800000000000001</v>
      </c>
      <c r="N71" s="66">
        <f t="shared" si="40"/>
        <v>203.2</v>
      </c>
      <c r="O71" s="6">
        <f>2*N71</f>
        <v>406.4</v>
      </c>
      <c r="P71" s="65">
        <f t="shared" si="33"/>
        <v>0.1</v>
      </c>
      <c r="Q71" s="6">
        <v>400</v>
      </c>
      <c r="R71" s="35"/>
      <c r="S71" s="1059"/>
      <c r="T71" s="465" t="s">
        <v>163</v>
      </c>
      <c r="U71" s="68">
        <f t="shared" si="41"/>
        <v>344.33168857574765</v>
      </c>
      <c r="V71" s="172">
        <f t="shared" si="34"/>
        <v>208911.228</v>
      </c>
      <c r="W71" s="172">
        <f>CONVERT(77000,"psi","Pa")/10^6</f>
        <v>530.89631157396377</v>
      </c>
      <c r="Z71" s="882"/>
      <c r="AA71" s="1062"/>
      <c r="AB71" s="1059"/>
      <c r="AC71" s="25" t="s">
        <v>750</v>
      </c>
      <c r="AD71" s="882"/>
      <c r="AE71" s="35"/>
      <c r="AK71" s="35"/>
      <c r="AL71" s="871"/>
      <c r="AM71" s="27">
        <f>0.298*2*PI()*V71*M71^2/10^3</f>
        <v>100.9451223843926</v>
      </c>
      <c r="AP71" s="559">
        <f t="shared" si="35"/>
        <v>0.29316245275574232</v>
      </c>
      <c r="AQ71" s="559">
        <f t="shared" si="36"/>
        <v>1.2959690218293991</v>
      </c>
      <c r="AR71" s="559">
        <f t="shared" si="37"/>
        <v>316.09706767312412</v>
      </c>
      <c r="AT71" s="669">
        <f t="shared" si="38"/>
        <v>0.49237680692737751</v>
      </c>
      <c r="AU71" s="256">
        <f t="shared" si="39"/>
        <v>0.29316245275574232</v>
      </c>
      <c r="AV71" s="120"/>
      <c r="AW71" s="871"/>
      <c r="AY71" s="414"/>
      <c r="AZ71" s="768">
        <v>1960</v>
      </c>
      <c r="BA71" s="293"/>
    </row>
    <row r="72" spans="1:53">
      <c r="A72" s="145"/>
      <c r="B72" s="991"/>
      <c r="C72" s="945"/>
      <c r="D72" s="871"/>
      <c r="E72" s="899"/>
      <c r="F72" s="920"/>
      <c r="G72" s="871"/>
      <c r="H72" s="871"/>
      <c r="I72" s="917"/>
      <c r="J72" s="221"/>
      <c r="K72" s="988"/>
      <c r="M72" s="46">
        <f>0.02*25.4</f>
        <v>0.50800000000000001</v>
      </c>
      <c r="N72" s="66">
        <f t="shared" si="40"/>
        <v>203.2</v>
      </c>
      <c r="O72" s="6">
        <f>1*N72</f>
        <v>203.2</v>
      </c>
      <c r="P72" s="65">
        <f t="shared" si="33"/>
        <v>0.05</v>
      </c>
      <c r="Q72" s="6">
        <v>400</v>
      </c>
      <c r="R72" s="35"/>
      <c r="S72" s="1059"/>
      <c r="T72" s="465" t="s">
        <v>163</v>
      </c>
      <c r="U72" s="68">
        <f t="shared" si="41"/>
        <v>344.33168857574765</v>
      </c>
      <c r="V72" s="172">
        <f t="shared" si="34"/>
        <v>208911.228</v>
      </c>
      <c r="W72" s="172">
        <f>CONVERT(77000,"psi","Pa")/10^6</f>
        <v>530.89631157396377</v>
      </c>
      <c r="Z72" s="882"/>
      <c r="AA72" s="1062"/>
      <c r="AB72" s="1059"/>
      <c r="AC72" s="25" t="s">
        <v>750</v>
      </c>
      <c r="AD72" s="882"/>
      <c r="AE72" s="35"/>
      <c r="AK72" s="35"/>
      <c r="AL72" s="871"/>
      <c r="AM72" s="27">
        <f>0.268*2*PI()*V72*M72^2/10^3</f>
        <v>90.782861741668526</v>
      </c>
      <c r="AP72" s="559">
        <f t="shared" si="35"/>
        <v>0.26364945415617097</v>
      </c>
      <c r="AQ72" s="559">
        <f t="shared" si="36"/>
        <v>1.2959690218293991</v>
      </c>
      <c r="AR72" s="559">
        <f t="shared" si="37"/>
        <v>316.09706767312412</v>
      </c>
      <c r="AT72" s="669">
        <f t="shared" si="38"/>
        <v>0.44280867200180263</v>
      </c>
      <c r="AU72" s="256">
        <f t="shared" si="39"/>
        <v>0.26364945415617097</v>
      </c>
      <c r="AV72" s="120"/>
      <c r="AW72" s="871"/>
      <c r="AY72" s="414"/>
      <c r="AZ72" s="768">
        <v>1960</v>
      </c>
      <c r="BA72" s="293"/>
    </row>
    <row r="73" spans="1:53">
      <c r="A73" s="145"/>
      <c r="B73" s="991"/>
      <c r="C73" s="945"/>
      <c r="D73" s="871"/>
      <c r="E73" s="899"/>
      <c r="F73" s="920"/>
      <c r="G73" s="871"/>
      <c r="H73" s="871"/>
      <c r="I73" s="917"/>
      <c r="J73" s="221"/>
      <c r="K73" s="988"/>
      <c r="M73" s="46">
        <f>0.02*25.4</f>
        <v>0.50800000000000001</v>
      </c>
      <c r="N73" s="66">
        <f t="shared" si="40"/>
        <v>203.2</v>
      </c>
      <c r="O73" s="6">
        <f>1*N73</f>
        <v>203.2</v>
      </c>
      <c r="P73" s="65">
        <f t="shared" si="33"/>
        <v>0.05</v>
      </c>
      <c r="Q73" s="6">
        <v>400</v>
      </c>
      <c r="R73" s="35"/>
      <c r="S73" s="1059"/>
      <c r="T73" s="465" t="s">
        <v>163</v>
      </c>
      <c r="U73" s="68">
        <f t="shared" si="41"/>
        <v>344.33168857574765</v>
      </c>
      <c r="V73" s="172">
        <f t="shared" si="34"/>
        <v>208911.228</v>
      </c>
      <c r="W73" s="172">
        <f>CONVERT(77000,"psi","Pa")/10^6</f>
        <v>530.89631157396377</v>
      </c>
      <c r="Z73" s="882"/>
      <c r="AA73" s="1062"/>
      <c r="AB73" s="1059"/>
      <c r="AC73" s="25" t="s">
        <v>750</v>
      </c>
      <c r="AD73" s="882"/>
      <c r="AE73" s="35"/>
      <c r="AK73" s="35"/>
      <c r="AL73" s="871"/>
      <c r="AM73" s="27">
        <f>0.346*2*PI()*V73*M73^2/10^3</f>
        <v>117.20473941275114</v>
      </c>
      <c r="AP73" s="559">
        <f t="shared" si="35"/>
        <v>0.34038325051505652</v>
      </c>
      <c r="AQ73" s="559">
        <f t="shared" si="36"/>
        <v>1.2959690218293991</v>
      </c>
      <c r="AR73" s="559">
        <f t="shared" si="37"/>
        <v>316.09706767312412</v>
      </c>
      <c r="AT73" s="669">
        <f t="shared" si="38"/>
        <v>0.57168582280829738</v>
      </c>
      <c r="AU73" s="256">
        <f t="shared" si="39"/>
        <v>0.34038325051505652</v>
      </c>
      <c r="AV73" s="120"/>
      <c r="AW73" s="871"/>
      <c r="AY73" s="414"/>
      <c r="AZ73" s="768">
        <v>1960</v>
      </c>
      <c r="BA73" s="293"/>
    </row>
    <row r="74" spans="1:53">
      <c r="A74" s="145"/>
      <c r="B74" s="991"/>
      <c r="C74" s="945"/>
      <c r="D74" s="871"/>
      <c r="E74" s="899"/>
      <c r="F74" s="920"/>
      <c r="G74" s="871"/>
      <c r="H74" s="871"/>
      <c r="I74" s="917"/>
      <c r="J74" s="221"/>
      <c r="K74" s="988"/>
      <c r="M74" s="46">
        <f>0.008*25.4</f>
        <v>0.20319999999999999</v>
      </c>
      <c r="N74" s="66">
        <f t="shared" si="40"/>
        <v>76.2</v>
      </c>
      <c r="O74" s="6">
        <f>2*N74</f>
        <v>152.4</v>
      </c>
      <c r="P74" s="65">
        <f t="shared" si="33"/>
        <v>0.10327955589886445</v>
      </c>
      <c r="Q74" s="102">
        <v>375</v>
      </c>
      <c r="R74" s="35"/>
      <c r="S74" s="1059"/>
      <c r="T74" s="465" t="s">
        <v>163</v>
      </c>
      <c r="U74" s="68">
        <f t="shared" si="41"/>
        <v>26.160264651534082</v>
      </c>
      <c r="V74" s="172">
        <f>32.4*10^6*0.00689476</f>
        <v>223390.22399999999</v>
      </c>
      <c r="W74" s="172">
        <f t="shared" ref="W74:W79" si="42">CONVERT(39000,"psi","Pa")/10^6</f>
        <v>268.89553443356607</v>
      </c>
      <c r="Z74" s="882"/>
      <c r="AA74" s="1062"/>
      <c r="AB74" s="1059"/>
      <c r="AC74" s="25" t="s">
        <v>750</v>
      </c>
      <c r="AD74" s="882"/>
      <c r="AE74" s="35"/>
      <c r="AK74" s="35"/>
      <c r="AL74" s="871"/>
      <c r="AM74" s="27">
        <f>0.324*2*PI()*V74*M74^2/10^3</f>
        <v>18.77744287314594</v>
      </c>
      <c r="AP74" s="559">
        <f t="shared" si="35"/>
        <v>0.71778489718164218</v>
      </c>
      <c r="AQ74" s="559">
        <f t="shared" si="36"/>
        <v>0.86360671149709767</v>
      </c>
      <c r="AR74" s="559">
        <f t="shared" si="37"/>
        <v>360.5384375836029</v>
      </c>
      <c r="AT74" s="669">
        <f t="shared" si="38"/>
        <v>0.53533585719620902</v>
      </c>
      <c r="AU74" s="256">
        <f t="shared" si="39"/>
        <v>0.71778489718164218</v>
      </c>
      <c r="AV74" s="120"/>
      <c r="AW74" s="871"/>
      <c r="AY74" s="414"/>
      <c r="AZ74" s="768">
        <v>1960</v>
      </c>
      <c r="BA74" s="293"/>
    </row>
    <row r="75" spans="1:53">
      <c r="A75" s="145"/>
      <c r="B75" s="991"/>
      <c r="C75" s="945"/>
      <c r="D75" s="871"/>
      <c r="E75" s="899"/>
      <c r="F75" s="920"/>
      <c r="G75" s="871"/>
      <c r="H75" s="871"/>
      <c r="I75" s="917"/>
      <c r="J75" s="221"/>
      <c r="K75" s="988"/>
      <c r="M75" s="46">
        <f>0.01*25.4</f>
        <v>0.254</v>
      </c>
      <c r="N75" s="66">
        <f t="shared" si="40"/>
        <v>76.2</v>
      </c>
      <c r="O75" s="6">
        <f>2*N75</f>
        <v>152.4</v>
      </c>
      <c r="P75" s="65">
        <f t="shared" si="33"/>
        <v>0.11547005383792515</v>
      </c>
      <c r="Q75" s="6">
        <v>300</v>
      </c>
      <c r="R75" s="35"/>
      <c r="S75" s="1059"/>
      <c r="T75" s="465" t="s">
        <v>163</v>
      </c>
      <c r="U75" s="68">
        <f t="shared" si="41"/>
        <v>32.700330814417597</v>
      </c>
      <c r="V75" s="172">
        <f>34.4*10^6*0.00689476</f>
        <v>237179.74400000001</v>
      </c>
      <c r="W75" s="172">
        <f t="shared" si="42"/>
        <v>268.89553443356607</v>
      </c>
      <c r="Z75" s="882"/>
      <c r="AA75" s="1062"/>
      <c r="AB75" s="1059"/>
      <c r="AC75" s="25" t="s">
        <v>750</v>
      </c>
      <c r="AD75" s="882"/>
      <c r="AE75" s="35"/>
      <c r="AK75" s="35"/>
      <c r="AL75" s="871"/>
      <c r="AM75" s="27">
        <f>0.273*2*PI()*V75*M75^2/10^3</f>
        <v>26.247475838270208</v>
      </c>
      <c r="AP75" s="559">
        <f t="shared" si="35"/>
        <v>0.80266698178777074</v>
      </c>
      <c r="AQ75" s="559">
        <f t="shared" si="36"/>
        <v>0.74964264803580472</v>
      </c>
      <c r="AR75" s="559">
        <f t="shared" si="37"/>
        <v>478.49237086712731</v>
      </c>
      <c r="AT75" s="669">
        <f t="shared" si="38"/>
        <v>0.45107002782273187</v>
      </c>
      <c r="AU75" s="256">
        <f t="shared" si="39"/>
        <v>0.80266698178777074</v>
      </c>
      <c r="AV75" s="120"/>
      <c r="AW75" s="871"/>
      <c r="AY75" s="414"/>
      <c r="AZ75" s="768">
        <v>1960</v>
      </c>
      <c r="BA75" s="293"/>
    </row>
    <row r="76" spans="1:53">
      <c r="A76" s="145"/>
      <c r="B76" s="991"/>
      <c r="C76" s="945"/>
      <c r="D76" s="871"/>
      <c r="E76" s="899"/>
      <c r="F76" s="920"/>
      <c r="G76" s="871"/>
      <c r="H76" s="871"/>
      <c r="I76" s="917"/>
      <c r="J76" s="221"/>
      <c r="K76" s="988"/>
      <c r="M76" s="46">
        <f>0.01*25.4</f>
        <v>0.254</v>
      </c>
      <c r="N76" s="66">
        <f t="shared" si="40"/>
        <v>76.2</v>
      </c>
      <c r="O76" s="6">
        <f>5*N76</f>
        <v>381</v>
      </c>
      <c r="P76" s="65">
        <f t="shared" si="33"/>
        <v>0.28867513459481287</v>
      </c>
      <c r="Q76" s="6">
        <v>300</v>
      </c>
      <c r="R76" s="35"/>
      <c r="S76" s="1059"/>
      <c r="T76" s="465" t="s">
        <v>163</v>
      </c>
      <c r="U76" s="68">
        <f t="shared" si="41"/>
        <v>32.700330814417597</v>
      </c>
      <c r="V76" s="172">
        <f>30.3*10^6*0.00689476</f>
        <v>208911.228</v>
      </c>
      <c r="W76" s="172">
        <f t="shared" si="42"/>
        <v>268.89553443356607</v>
      </c>
      <c r="Z76" s="882"/>
      <c r="AA76" s="1062"/>
      <c r="AB76" s="1059"/>
      <c r="AC76" s="25" t="s">
        <v>750</v>
      </c>
      <c r="AD76" s="882"/>
      <c r="AE76" s="35"/>
      <c r="AK76" s="35"/>
      <c r="AL76" s="871"/>
      <c r="AM76" s="27">
        <f>0.281*2*PI()*V76*M76^2/10^3</f>
        <v>23.796627005045575</v>
      </c>
      <c r="AP76" s="559">
        <f t="shared" si="35"/>
        <v>0.72771823441473038</v>
      </c>
      <c r="AQ76" s="559">
        <f t="shared" si="36"/>
        <v>0.79875243134875684</v>
      </c>
      <c r="AR76" s="559">
        <f t="shared" si="37"/>
        <v>421.46275689749882</v>
      </c>
      <c r="AT76" s="669">
        <f t="shared" si="38"/>
        <v>0.46428819713621844</v>
      </c>
      <c r="AU76" s="256">
        <f t="shared" si="39"/>
        <v>0.72771823441473038</v>
      </c>
      <c r="AV76" s="120"/>
      <c r="AW76" s="871"/>
      <c r="AY76" s="414"/>
      <c r="AZ76" s="768">
        <v>1960</v>
      </c>
      <c r="BA76" s="293"/>
    </row>
    <row r="77" spans="1:53">
      <c r="A77" s="145"/>
      <c r="B77" s="991"/>
      <c r="C77" s="945"/>
      <c r="D77" s="871"/>
      <c r="E77" s="899"/>
      <c r="F77" s="920"/>
      <c r="G77" s="871"/>
      <c r="H77" s="871"/>
      <c r="I77" s="917"/>
      <c r="J77" s="221"/>
      <c r="K77" s="988"/>
      <c r="M77" s="46">
        <f>0.01*25.4</f>
        <v>0.254</v>
      </c>
      <c r="N77" s="66">
        <f t="shared" si="40"/>
        <v>76.2</v>
      </c>
      <c r="O77" s="6">
        <f>1*N77</f>
        <v>76.2</v>
      </c>
      <c r="P77" s="65">
        <f t="shared" si="33"/>
        <v>5.7735026918962574E-2</v>
      </c>
      <c r="Q77" s="6">
        <v>300</v>
      </c>
      <c r="R77" s="35"/>
      <c r="S77" s="1059"/>
      <c r="T77" s="465" t="s">
        <v>163</v>
      </c>
      <c r="U77" s="68">
        <f t="shared" si="41"/>
        <v>32.700330814417597</v>
      </c>
      <c r="V77" s="172">
        <f>30.3*10^6*0.00689476</f>
        <v>208911.228</v>
      </c>
      <c r="W77" s="172">
        <f t="shared" si="42"/>
        <v>268.89553443356607</v>
      </c>
      <c r="Z77" s="882"/>
      <c r="AA77" s="1062"/>
      <c r="AB77" s="1059"/>
      <c r="AC77" s="25" t="s">
        <v>750</v>
      </c>
      <c r="AD77" s="882"/>
      <c r="AE77" s="35"/>
      <c r="AK77" s="35"/>
      <c r="AL77" s="871"/>
      <c r="AM77" s="27">
        <f>0.303*2*PI()*V77*M77^2/10^3</f>
        <v>25.659708122878321</v>
      </c>
      <c r="AP77" s="559">
        <f t="shared" si="35"/>
        <v>0.78469261575680871</v>
      </c>
      <c r="AQ77" s="559">
        <f t="shared" si="36"/>
        <v>0.79875243134875684</v>
      </c>
      <c r="AR77" s="559">
        <f t="shared" si="37"/>
        <v>421.46275689749882</v>
      </c>
      <c r="AT77" s="669">
        <f t="shared" si="38"/>
        <v>0.50063816274830664</v>
      </c>
      <c r="AU77" s="256">
        <f t="shared" si="39"/>
        <v>0.78469261575680871</v>
      </c>
      <c r="AV77" s="120"/>
      <c r="AW77" s="871"/>
      <c r="AY77" s="414"/>
      <c r="AZ77" s="768">
        <v>1960</v>
      </c>
      <c r="BA77" s="293"/>
    </row>
    <row r="78" spans="1:53">
      <c r="A78" s="145"/>
      <c r="B78" s="991"/>
      <c r="C78" s="945"/>
      <c r="D78" s="871"/>
      <c r="E78" s="899"/>
      <c r="F78" s="920"/>
      <c r="G78" s="871"/>
      <c r="H78" s="871"/>
      <c r="I78" s="917"/>
      <c r="J78" s="221"/>
      <c r="K78" s="988"/>
      <c r="M78" s="46">
        <f>0.012*25.4</f>
        <v>0.30480000000000002</v>
      </c>
      <c r="N78" s="66">
        <f t="shared" si="40"/>
        <v>75.895200000000003</v>
      </c>
      <c r="O78" s="65">
        <f>4*N78</f>
        <v>303.58080000000001</v>
      </c>
      <c r="P78" s="65">
        <f t="shared" si="33"/>
        <v>0.25348970020979117</v>
      </c>
      <c r="Q78" s="6">
        <v>249</v>
      </c>
      <c r="R78" s="35"/>
      <c r="S78" s="1059"/>
      <c r="T78" s="465" t="s">
        <v>163</v>
      </c>
      <c r="U78" s="68">
        <f t="shared" si="41"/>
        <v>39.083435389391916</v>
      </c>
      <c r="V78" s="172">
        <f>32.6*10^6*0.00689476</f>
        <v>224769.17600000001</v>
      </c>
      <c r="W78" s="172">
        <f t="shared" si="42"/>
        <v>268.89553443356607</v>
      </c>
      <c r="Z78" s="882"/>
      <c r="AA78" s="1062"/>
      <c r="AB78" s="1059"/>
      <c r="AC78" s="25" t="s">
        <v>750</v>
      </c>
      <c r="AD78" s="882"/>
      <c r="AE78" s="35"/>
      <c r="AK78" s="35"/>
      <c r="AL78" s="871"/>
      <c r="AM78" s="27">
        <f>0.249*2*PI()*V78*M78^2/10^3</f>
        <v>32.669756253959811</v>
      </c>
      <c r="AP78" s="559">
        <f t="shared" si="35"/>
        <v>0.83589776406469851</v>
      </c>
      <c r="AQ78" s="559">
        <f t="shared" si="36"/>
        <v>0.70155827817383309</v>
      </c>
      <c r="AR78" s="559">
        <f t="shared" si="37"/>
        <v>546.33130044369409</v>
      </c>
      <c r="AT78" s="669">
        <f t="shared" si="38"/>
        <v>0.41141551988227176</v>
      </c>
      <c r="AU78" s="256">
        <f t="shared" si="39"/>
        <v>0.83589776406469851</v>
      </c>
      <c r="AV78" s="120"/>
      <c r="AW78" s="871"/>
      <c r="AY78" s="414"/>
      <c r="AZ78" s="768">
        <v>1960</v>
      </c>
      <c r="BA78" s="293"/>
    </row>
    <row r="79" spans="1:53" ht="16.5" thickBot="1">
      <c r="A79" s="145"/>
      <c r="B79" s="992"/>
      <c r="C79" s="946"/>
      <c r="D79" s="872"/>
      <c r="E79" s="900"/>
      <c r="F79" s="921"/>
      <c r="G79" s="872"/>
      <c r="H79" s="872"/>
      <c r="I79" s="918"/>
      <c r="J79" s="223"/>
      <c r="K79" s="993"/>
      <c r="L79" s="453"/>
      <c r="M79" s="50">
        <f>0.012*25.4</f>
        <v>0.30480000000000002</v>
      </c>
      <c r="N79" s="135">
        <f t="shared" si="40"/>
        <v>75.895200000000003</v>
      </c>
      <c r="O79" s="89">
        <f>2*N79</f>
        <v>151.79040000000001</v>
      </c>
      <c r="P79" s="89">
        <f t="shared" si="33"/>
        <v>0.12674485010489558</v>
      </c>
      <c r="Q79" s="16">
        <v>249</v>
      </c>
      <c r="R79" s="36"/>
      <c r="S79" s="1060"/>
      <c r="T79" s="466" t="s">
        <v>163</v>
      </c>
      <c r="U79" s="75">
        <f t="shared" si="41"/>
        <v>39.083435389391916</v>
      </c>
      <c r="V79" s="173">
        <f>32.6*10^6*0.00689476</f>
        <v>224769.17600000001</v>
      </c>
      <c r="W79" s="173">
        <f t="shared" si="42"/>
        <v>268.89553443356607</v>
      </c>
      <c r="X79" s="173"/>
      <c r="Y79" s="173"/>
      <c r="Z79" s="883"/>
      <c r="AA79" s="1063"/>
      <c r="AB79" s="1060"/>
      <c r="AC79" s="302" t="s">
        <v>750</v>
      </c>
      <c r="AD79" s="883"/>
      <c r="AE79" s="36"/>
      <c r="AF79" s="18"/>
      <c r="AG79" s="18"/>
      <c r="AH79" s="18"/>
      <c r="AI79" s="18"/>
      <c r="AJ79" s="31"/>
      <c r="AK79" s="36"/>
      <c r="AL79" s="872"/>
      <c r="AM79" s="53">
        <f>0.257*2*PI()*V79*M79^2/10^3</f>
        <v>33.719386976978598</v>
      </c>
      <c r="AN79" s="556"/>
      <c r="AO79" s="556"/>
      <c r="AP79" s="561">
        <f t="shared" si="35"/>
        <v>0.8627539171270181</v>
      </c>
      <c r="AQ79" s="561">
        <f t="shared" si="36"/>
        <v>0.70155827817383309</v>
      </c>
      <c r="AR79" s="561">
        <f t="shared" si="37"/>
        <v>546.33130044369409</v>
      </c>
      <c r="AS79" s="577"/>
      <c r="AT79" s="671">
        <f t="shared" si="38"/>
        <v>0.42463368919575839</v>
      </c>
      <c r="AU79" s="258">
        <f t="shared" si="39"/>
        <v>0.8627539171270181</v>
      </c>
      <c r="AV79" s="201"/>
      <c r="AW79" s="872"/>
      <c r="AX79" s="31"/>
      <c r="AY79" s="415"/>
      <c r="AZ79" s="769">
        <v>1960</v>
      </c>
      <c r="BA79" s="295"/>
    </row>
    <row r="80" spans="1:53" ht="17.25" customHeight="1">
      <c r="B80" s="990">
        <v>8</v>
      </c>
      <c r="C80" s="933" t="s">
        <v>167</v>
      </c>
      <c r="D80" s="870" t="s">
        <v>168</v>
      </c>
      <c r="E80" s="922">
        <v>1934</v>
      </c>
      <c r="F80" s="922" t="s">
        <v>40</v>
      </c>
      <c r="G80" s="922" t="s">
        <v>169</v>
      </c>
      <c r="H80" s="922" t="s">
        <v>170</v>
      </c>
      <c r="I80" s="904" t="s">
        <v>171</v>
      </c>
      <c r="J80" s="222"/>
      <c r="K80" s="34"/>
      <c r="L80" s="449"/>
      <c r="M80" s="108">
        <v>7.3151999999999995E-2</v>
      </c>
      <c r="N80" s="108">
        <v>72.009</v>
      </c>
      <c r="O80" s="108">
        <v>152.39999999999998</v>
      </c>
      <c r="P80" s="72">
        <f t="shared" ref="P80:P127" si="43">O80/N80*SQRT(M80/N80)</f>
        <v>6.7455582890124502E-2</v>
      </c>
      <c r="Q80" s="109">
        <f>N80/M80</f>
        <v>984.37500000000011</v>
      </c>
      <c r="R80" s="26"/>
      <c r="S80" s="922" t="s">
        <v>172</v>
      </c>
      <c r="T80" s="465" t="s">
        <v>163</v>
      </c>
      <c r="U80" s="344">
        <f t="shared" ref="U80:U127" si="44">2*PI()*N80*M80*W80/1000</f>
        <v>13.007286025510034</v>
      </c>
      <c r="V80" s="187">
        <v>215805.90327000001</v>
      </c>
      <c r="W80" s="62">
        <v>393.00116496000004</v>
      </c>
      <c r="X80" s="344"/>
      <c r="Z80" s="934" t="s">
        <v>966</v>
      </c>
      <c r="AA80" s="114" t="s">
        <v>47</v>
      </c>
      <c r="AB80" s="873" t="s">
        <v>967</v>
      </c>
      <c r="AC80" s="390" t="s">
        <v>750</v>
      </c>
      <c r="AD80" s="977" t="s">
        <v>173</v>
      </c>
      <c r="AE80" s="933" t="s">
        <v>969</v>
      </c>
      <c r="AF80" s="922" t="s">
        <v>968</v>
      </c>
      <c r="AG80" s="15"/>
      <c r="AH80" s="15"/>
      <c r="AJ80" s="29">
        <f t="shared" ref="AJ80:AJ127" si="45">CONVERT(1/16/2,"in","mm")/N80</f>
        <v>1.1022927689594356E-2</v>
      </c>
      <c r="AK80" s="34"/>
      <c r="AL80" s="922" t="s">
        <v>970</v>
      </c>
      <c r="AM80" s="108">
        <v>1.0590375297600001</v>
      </c>
      <c r="AN80" s="594"/>
      <c r="AO80" s="578"/>
      <c r="AP80" s="578">
        <f t="shared" ref="AP80:AP127" si="46">AM80/U80</f>
        <v>8.1418793104341983E-2</v>
      </c>
      <c r="AQ80" s="20">
        <f t="shared" ref="AQ80:AQ127" si="47">SQRT(W80/AR80)</f>
        <v>1.7210211525783869</v>
      </c>
      <c r="AR80" s="20">
        <f t="shared" ref="AR80:AR127" si="48">V80*M80/N80/SQRT(3*(1-0.3^2))</f>
        <v>132.68487555196378</v>
      </c>
      <c r="AS80" s="547">
        <f t="shared" ref="AS80:AS127" si="49">AR80*2*PI()*N80*M80/1000</f>
        <v>4.3915140244921584</v>
      </c>
      <c r="AT80" s="668">
        <f>AP80*W80/AR80</f>
        <v>0.2411554474956889</v>
      </c>
      <c r="AU80" s="644">
        <f t="shared" ref="AU80:AU127" si="50">MAX(AO80:AP80)</f>
        <v>8.1418793104341983E-2</v>
      </c>
      <c r="AW80" s="922" t="s">
        <v>174</v>
      </c>
      <c r="AY80" s="970" t="s">
        <v>971</v>
      </c>
      <c r="AZ80" s="763">
        <v>1934</v>
      </c>
      <c r="BA80" s="292"/>
    </row>
    <row r="81" spans="2:53">
      <c r="B81" s="991"/>
      <c r="C81" s="954"/>
      <c r="D81" s="871"/>
      <c r="E81" s="873"/>
      <c r="F81" s="873"/>
      <c r="G81" s="873"/>
      <c r="H81" s="873"/>
      <c r="I81" s="905"/>
      <c r="J81" s="221"/>
      <c r="K81" s="35"/>
      <c r="L81" s="521"/>
      <c r="M81" s="339">
        <v>7.0611999999999994E-2</v>
      </c>
      <c r="N81" s="339">
        <v>72.009</v>
      </c>
      <c r="O81" s="339">
        <v>152.39999999999998</v>
      </c>
      <c r="P81" s="141">
        <f t="shared" si="43"/>
        <v>6.6274132772494526E-2</v>
      </c>
      <c r="Q81" s="110">
        <f>N81/M81</f>
        <v>1019.7841726618706</v>
      </c>
      <c r="R81" s="32"/>
      <c r="S81" s="873"/>
      <c r="T81" s="465" t="s">
        <v>163</v>
      </c>
      <c r="U81" s="3">
        <f t="shared" si="44"/>
        <v>12.555644149624266</v>
      </c>
      <c r="V81" s="359">
        <v>215805.90327000001</v>
      </c>
      <c r="W81" s="59">
        <v>393.00116496000004</v>
      </c>
      <c r="X81" s="3"/>
      <c r="Z81" s="977"/>
      <c r="AA81" s="35"/>
      <c r="AB81" s="873"/>
      <c r="AC81" s="390" t="s">
        <v>750</v>
      </c>
      <c r="AD81" s="977"/>
      <c r="AE81" s="954"/>
      <c r="AF81" s="873"/>
      <c r="AG81"/>
      <c r="AH81"/>
      <c r="AJ81" s="30">
        <f t="shared" si="45"/>
        <v>1.1022927689594356E-2</v>
      </c>
      <c r="AK81" s="35"/>
      <c r="AL81" s="873"/>
      <c r="AM81" s="339">
        <v>1.0901856924000002</v>
      </c>
      <c r="AN81" s="595"/>
      <c r="AO81" s="633"/>
      <c r="AP81" s="633">
        <f t="shared" si="46"/>
        <v>8.6828336277165408E-2</v>
      </c>
      <c r="AQ81" s="596">
        <f t="shared" si="47"/>
        <v>1.7517013072344625</v>
      </c>
      <c r="AR81" s="596">
        <f t="shared" si="48"/>
        <v>128.07776181752058</v>
      </c>
      <c r="AS81" s="576">
        <f t="shared" si="49"/>
        <v>4.0918423257722303</v>
      </c>
      <c r="AT81" s="669">
        <f>AP81*W81/AR81</f>
        <v>0.26642905703710262</v>
      </c>
      <c r="AU81" s="256">
        <f t="shared" si="50"/>
        <v>8.6828336277165408E-2</v>
      </c>
      <c r="AV81" s="359"/>
      <c r="AW81" s="873"/>
      <c r="AY81" s="971"/>
      <c r="AZ81" s="763">
        <v>1934</v>
      </c>
      <c r="BA81" s="293"/>
    </row>
    <row r="82" spans="2:53">
      <c r="B82" s="991"/>
      <c r="C82" s="954"/>
      <c r="D82" s="871"/>
      <c r="E82" s="873"/>
      <c r="F82" s="873"/>
      <c r="G82" s="873"/>
      <c r="H82" s="873"/>
      <c r="I82" s="905"/>
      <c r="J82" s="221"/>
      <c r="K82" s="35"/>
      <c r="L82" s="521"/>
      <c r="M82" s="339">
        <v>7.4167999999999998E-2</v>
      </c>
      <c r="N82" s="339">
        <v>47.625</v>
      </c>
      <c r="O82" s="339">
        <v>152.39999999999998</v>
      </c>
      <c r="P82" s="141">
        <f t="shared" si="43"/>
        <v>0.12628180127529592</v>
      </c>
      <c r="Q82" s="110">
        <f>N82/M82</f>
        <v>642.1232876712329</v>
      </c>
      <c r="R82" s="32"/>
      <c r="S82" s="873"/>
      <c r="T82" s="465" t="s">
        <v>163</v>
      </c>
      <c r="U82" s="3">
        <f t="shared" si="44"/>
        <v>8.7221843755716524</v>
      </c>
      <c r="V82" s="359">
        <v>215805.90327000001</v>
      </c>
      <c r="W82" s="59">
        <v>393.00116496000004</v>
      </c>
      <c r="X82" s="3"/>
      <c r="Z82" s="977"/>
      <c r="AA82" s="35"/>
      <c r="AB82" s="873"/>
      <c r="AC82" s="390" t="s">
        <v>750</v>
      </c>
      <c r="AD82" s="977"/>
      <c r="AE82" s="954"/>
      <c r="AF82" s="873"/>
      <c r="AG82"/>
      <c r="AH82"/>
      <c r="AJ82" s="30">
        <f t="shared" si="45"/>
        <v>1.6666666666666666E-2</v>
      </c>
      <c r="AK82" s="35"/>
      <c r="AL82" s="873"/>
      <c r="AM82" s="339">
        <v>1.0857359548800001</v>
      </c>
      <c r="AN82" s="595"/>
      <c r="AO82" s="633"/>
      <c r="AP82" s="633">
        <f t="shared" si="46"/>
        <v>0.12447982158240503</v>
      </c>
      <c r="AQ82" s="596">
        <f t="shared" si="47"/>
        <v>1.3900010576948674</v>
      </c>
      <c r="AR82" s="596">
        <f t="shared" si="48"/>
        <v>203.40591422116049</v>
      </c>
      <c r="AS82" s="576">
        <f t="shared" si="49"/>
        <v>4.5143476536494429</v>
      </c>
      <c r="AT82" s="669">
        <f t="shared" ref="AT82:AT98" si="51">AP82*W82/AR82</f>
        <v>0.24050782929894216</v>
      </c>
      <c r="AU82" s="256">
        <f t="shared" si="50"/>
        <v>0.12447982158240503</v>
      </c>
      <c r="AV82" s="359"/>
      <c r="AW82" s="873"/>
      <c r="AY82" s="971"/>
      <c r="AZ82" s="763">
        <v>1934</v>
      </c>
      <c r="BA82" s="293"/>
    </row>
    <row r="83" spans="2:53">
      <c r="B83" s="991"/>
      <c r="C83" s="954"/>
      <c r="D83" s="871"/>
      <c r="E83" s="873"/>
      <c r="F83" s="873"/>
      <c r="G83" s="873"/>
      <c r="H83" s="873"/>
      <c r="I83" s="905"/>
      <c r="J83" s="221"/>
      <c r="K83" s="35"/>
      <c r="L83" s="521"/>
      <c r="M83" s="339">
        <v>7.0611999999999994E-2</v>
      </c>
      <c r="N83" s="339">
        <v>47.625</v>
      </c>
      <c r="O83" s="339">
        <v>152.39999999999998</v>
      </c>
      <c r="P83" s="141">
        <f t="shared" si="43"/>
        <v>0.12321731480058581</v>
      </c>
      <c r="Q83" s="339">
        <f t="shared" ref="Q83:Q127" si="52">N83/M83</f>
        <v>674.46043165467631</v>
      </c>
      <c r="R83" s="35"/>
      <c r="S83" s="873"/>
      <c r="T83" s="465" t="s">
        <v>163</v>
      </c>
      <c r="U83" s="3">
        <f t="shared" si="44"/>
        <v>8.3039974534552012</v>
      </c>
      <c r="V83" s="359">
        <v>215805.90327000001</v>
      </c>
      <c r="W83" s="59">
        <v>393.00116496000004</v>
      </c>
      <c r="X83" s="3"/>
      <c r="Z83" s="977"/>
      <c r="AA83" s="35"/>
      <c r="AB83" s="873"/>
      <c r="AC83" s="390" t="s">
        <v>750</v>
      </c>
      <c r="AD83" s="977"/>
      <c r="AE83" s="954"/>
      <c r="AF83" s="873"/>
      <c r="AG83"/>
      <c r="AH83"/>
      <c r="AJ83" s="30">
        <f t="shared" si="45"/>
        <v>1.6666666666666666E-2</v>
      </c>
      <c r="AK83" s="35"/>
      <c r="AL83" s="873"/>
      <c r="AM83" s="339">
        <v>1.3616196811200001</v>
      </c>
      <c r="AN83" s="595"/>
      <c r="AO83" s="633"/>
      <c r="AP83" s="633">
        <f t="shared" si="46"/>
        <v>0.16397159184501497</v>
      </c>
      <c r="AQ83" s="596">
        <f t="shared" si="47"/>
        <v>1.4245711945951272</v>
      </c>
      <c r="AR83" s="596">
        <f t="shared" si="48"/>
        <v>193.65357586809114</v>
      </c>
      <c r="AS83" s="576">
        <f t="shared" si="49"/>
        <v>4.0918423257722312</v>
      </c>
      <c r="AT83" s="669">
        <f t="shared" si="51"/>
        <v>0.33276445491164647</v>
      </c>
      <c r="AU83" s="256">
        <f t="shared" si="50"/>
        <v>0.16397159184501497</v>
      </c>
      <c r="AV83" s="359"/>
      <c r="AW83" s="873"/>
      <c r="AY83" s="971"/>
      <c r="AZ83" s="763">
        <v>1934</v>
      </c>
      <c r="BA83" s="293"/>
    </row>
    <row r="84" spans="2:53">
      <c r="B84" s="991"/>
      <c r="C84" s="954"/>
      <c r="D84" s="871"/>
      <c r="E84" s="873"/>
      <c r="F84" s="873"/>
      <c r="G84" s="873"/>
      <c r="H84" s="873"/>
      <c r="I84" s="905"/>
      <c r="J84" s="221"/>
      <c r="K84" s="35"/>
      <c r="L84" s="521"/>
      <c r="M84" s="339">
        <v>7.2135999999999992E-2</v>
      </c>
      <c r="N84" s="339">
        <v>23.939499999999999</v>
      </c>
      <c r="O84" s="339">
        <v>152.39999999999998</v>
      </c>
      <c r="P84" s="141">
        <f t="shared" si="43"/>
        <v>0.34945268531428747</v>
      </c>
      <c r="Q84" s="339">
        <f t="shared" si="52"/>
        <v>331.86619718309862</v>
      </c>
      <c r="R84" s="35"/>
      <c r="S84" s="873"/>
      <c r="T84" s="465" t="s">
        <v>163</v>
      </c>
      <c r="U84" s="3">
        <f t="shared" si="44"/>
        <v>4.2642321311584732</v>
      </c>
      <c r="V84" s="359">
        <v>215805.90327000001</v>
      </c>
      <c r="W84" s="59">
        <v>393.00116496000004</v>
      </c>
      <c r="X84" s="3"/>
      <c r="Z84" s="977"/>
      <c r="AA84" s="35"/>
      <c r="AB84" s="873"/>
      <c r="AC84" s="390" t="s">
        <v>750</v>
      </c>
      <c r="AD84" s="977"/>
      <c r="AE84" s="954"/>
      <c r="AF84" s="873"/>
      <c r="AG84"/>
      <c r="AH84"/>
      <c r="AJ84" s="30">
        <f t="shared" si="45"/>
        <v>3.3156498673740049E-2</v>
      </c>
      <c r="AK84" s="35"/>
      <c r="AL84" s="873"/>
      <c r="AM84" s="339">
        <v>1.2548259806400002</v>
      </c>
      <c r="AN84" s="595"/>
      <c r="AO84" s="633"/>
      <c r="AP84" s="633">
        <f t="shared" si="46"/>
        <v>0.29426774669959133</v>
      </c>
      <c r="AQ84" s="596">
        <f t="shared" si="47"/>
        <v>0.99928053952212859</v>
      </c>
      <c r="AR84" s="596">
        <f t="shared" si="48"/>
        <v>393.56727343762196</v>
      </c>
      <c r="AS84" s="576">
        <f t="shared" si="49"/>
        <v>4.2703746522887656</v>
      </c>
      <c r="AT84" s="669">
        <f t="shared" si="51"/>
        <v>0.29384447099213151</v>
      </c>
      <c r="AU84" s="256">
        <f t="shared" si="50"/>
        <v>0.29426774669959133</v>
      </c>
      <c r="AV84" s="359"/>
      <c r="AW84" s="873"/>
      <c r="AY84" s="971"/>
      <c r="AZ84" s="763">
        <v>1934</v>
      </c>
      <c r="BA84" s="293"/>
    </row>
    <row r="85" spans="2:53">
      <c r="B85" s="991"/>
      <c r="C85" s="954"/>
      <c r="D85" s="871"/>
      <c r="E85" s="873"/>
      <c r="F85" s="873"/>
      <c r="G85" s="873"/>
      <c r="H85" s="873"/>
      <c r="I85" s="905"/>
      <c r="J85" s="221"/>
      <c r="K85" s="35"/>
      <c r="L85" s="521"/>
      <c r="M85" s="339">
        <v>6.9087999999999997E-2</v>
      </c>
      <c r="N85" s="339">
        <v>23.939499999999999</v>
      </c>
      <c r="O85" s="339">
        <v>152.39999999999998</v>
      </c>
      <c r="P85" s="141">
        <f t="shared" si="43"/>
        <v>0.34199020228509303</v>
      </c>
      <c r="Q85" s="339">
        <f t="shared" si="52"/>
        <v>346.50735294117646</v>
      </c>
      <c r="R85" s="35"/>
      <c r="S85" s="873"/>
      <c r="T85" s="465" t="s">
        <v>163</v>
      </c>
      <c r="U85" s="3">
        <f t="shared" si="44"/>
        <v>4.0840533087151574</v>
      </c>
      <c r="V85" s="359">
        <v>215805.90327000001</v>
      </c>
      <c r="W85" s="59">
        <v>393.00116496000004</v>
      </c>
      <c r="X85" s="3"/>
      <c r="Z85" s="977"/>
      <c r="AA85" s="35"/>
      <c r="AB85" s="873"/>
      <c r="AC85" s="390" t="s">
        <v>750</v>
      </c>
      <c r="AD85" s="977"/>
      <c r="AE85" s="954"/>
      <c r="AF85" s="873"/>
      <c r="AG85"/>
      <c r="AH85"/>
      <c r="AJ85" s="30">
        <f t="shared" si="45"/>
        <v>3.3156498673740049E-2</v>
      </c>
      <c r="AK85" s="35"/>
      <c r="AL85" s="873"/>
      <c r="AM85" s="339">
        <v>1.6997997326400001</v>
      </c>
      <c r="AN85" s="595"/>
      <c r="AO85" s="633"/>
      <c r="AP85" s="633">
        <f t="shared" si="46"/>
        <v>0.41620410022873988</v>
      </c>
      <c r="AQ85" s="596">
        <f t="shared" si="47"/>
        <v>1.021085591297769</v>
      </c>
      <c r="AR85" s="596">
        <f t="shared" si="48"/>
        <v>376.93767033462393</v>
      </c>
      <c r="AS85" s="576">
        <f t="shared" si="49"/>
        <v>3.9171220774019564</v>
      </c>
      <c r="AT85" s="669">
        <f t="shared" si="51"/>
        <v>0.43394096457861686</v>
      </c>
      <c r="AU85" s="256">
        <f t="shared" si="50"/>
        <v>0.41620410022873988</v>
      </c>
      <c r="AV85" s="359"/>
      <c r="AW85" s="873"/>
      <c r="AY85" s="971"/>
      <c r="AZ85" s="763">
        <v>1934</v>
      </c>
      <c r="BA85" s="293"/>
    </row>
    <row r="86" spans="2:53">
      <c r="B86" s="991"/>
      <c r="C86" s="954"/>
      <c r="D86" s="871"/>
      <c r="E86" s="873"/>
      <c r="F86" s="873"/>
      <c r="G86" s="873"/>
      <c r="H86" s="873"/>
      <c r="I86" s="905"/>
      <c r="J86" s="221"/>
      <c r="K86" s="35"/>
      <c r="L86" s="521"/>
      <c r="M86" s="339">
        <v>5.5118E-2</v>
      </c>
      <c r="N86" s="339">
        <v>72.009</v>
      </c>
      <c r="O86" s="339">
        <v>152.39999999999998</v>
      </c>
      <c r="P86" s="141">
        <f t="shared" si="43"/>
        <v>5.8553319684838241E-2</v>
      </c>
      <c r="Q86" s="339">
        <f t="shared" si="52"/>
        <v>1306.4516129032259</v>
      </c>
      <c r="R86" s="35"/>
      <c r="S86" s="873"/>
      <c r="T86" s="465" t="s">
        <v>163</v>
      </c>
      <c r="U86" s="3">
        <f t="shared" si="44"/>
        <v>9.8006287067211009</v>
      </c>
      <c r="V86" s="359">
        <v>215805.90327000001</v>
      </c>
      <c r="W86" s="59">
        <v>393.00116496000004</v>
      </c>
      <c r="X86" s="3"/>
      <c r="Z86" s="977"/>
      <c r="AA86" s="35"/>
      <c r="AB86" s="873"/>
      <c r="AC86" s="390" t="s">
        <v>750</v>
      </c>
      <c r="AD86" s="977"/>
      <c r="AE86" s="954"/>
      <c r="AF86" s="873"/>
      <c r="AG86"/>
      <c r="AH86"/>
      <c r="AJ86" s="30">
        <f t="shared" si="45"/>
        <v>1.1022927689594356E-2</v>
      </c>
      <c r="AK86" s="35"/>
      <c r="AL86" s="873"/>
      <c r="AM86" s="339">
        <v>0.33818005152000002</v>
      </c>
      <c r="AN86" s="595"/>
      <c r="AO86" s="633"/>
      <c r="AP86" s="633">
        <f t="shared" si="46"/>
        <v>3.4505954836150668E-2</v>
      </c>
      <c r="AQ86" s="596">
        <f t="shared" si="47"/>
        <v>1.9826798145395317</v>
      </c>
      <c r="AR86" s="596">
        <f t="shared" si="48"/>
        <v>99.97436803741715</v>
      </c>
      <c r="AS86" s="576">
        <f t="shared" si="49"/>
        <v>2.4931520531842115</v>
      </c>
      <c r="AT86" s="669">
        <f t="shared" si="51"/>
        <v>0.13564357259641754</v>
      </c>
      <c r="AU86" s="256">
        <f t="shared" si="50"/>
        <v>3.4505954836150668E-2</v>
      </c>
      <c r="AV86" s="359"/>
      <c r="AW86" s="873"/>
      <c r="AY86" s="971"/>
      <c r="AZ86" s="763">
        <v>1934</v>
      </c>
      <c r="BA86" s="293"/>
    </row>
    <row r="87" spans="2:53">
      <c r="B87" s="991"/>
      <c r="C87" s="954"/>
      <c r="D87" s="871"/>
      <c r="E87" s="873"/>
      <c r="F87" s="873"/>
      <c r="G87" s="873"/>
      <c r="H87" s="873"/>
      <c r="I87" s="905"/>
      <c r="J87" s="221"/>
      <c r="K87" s="35"/>
      <c r="L87" s="521"/>
      <c r="M87" s="339">
        <v>5.3593999999999996E-2</v>
      </c>
      <c r="N87" s="339">
        <v>72.009</v>
      </c>
      <c r="O87" s="339">
        <v>152.39999999999998</v>
      </c>
      <c r="P87" s="141">
        <f t="shared" si="43"/>
        <v>5.7738152491526175E-2</v>
      </c>
      <c r="Q87" s="339">
        <f t="shared" si="52"/>
        <v>1343.6018957345973</v>
      </c>
      <c r="R87" s="35"/>
      <c r="S87" s="873"/>
      <c r="T87" s="465" t="s">
        <v>163</v>
      </c>
      <c r="U87" s="3">
        <f t="shared" si="44"/>
        <v>9.5296435811896405</v>
      </c>
      <c r="V87" s="359">
        <v>215805.90327000001</v>
      </c>
      <c r="W87" s="59">
        <v>393.00116496000004</v>
      </c>
      <c r="X87" s="3"/>
      <c r="Z87" s="977"/>
      <c r="AA87" s="35"/>
      <c r="AB87" s="873"/>
      <c r="AC87" s="390" t="s">
        <v>750</v>
      </c>
      <c r="AD87" s="977"/>
      <c r="AE87" s="954"/>
      <c r="AF87" s="873"/>
      <c r="AG87"/>
      <c r="AH87"/>
      <c r="AJ87" s="30">
        <f t="shared" si="45"/>
        <v>1.1022927689594356E-2</v>
      </c>
      <c r="AK87" s="35"/>
      <c r="AL87" s="873"/>
      <c r="AM87" s="339">
        <v>0.36487847664</v>
      </c>
      <c r="AN87" s="595"/>
      <c r="AO87" s="633"/>
      <c r="AP87" s="633">
        <f t="shared" si="46"/>
        <v>3.8288785255329569E-2</v>
      </c>
      <c r="AQ87" s="596">
        <f t="shared" si="47"/>
        <v>2.0106719734485279</v>
      </c>
      <c r="AR87" s="596">
        <f t="shared" si="48"/>
        <v>97.210099796751237</v>
      </c>
      <c r="AS87" s="576">
        <f t="shared" si="49"/>
        <v>2.3571879326342509</v>
      </c>
      <c r="AT87" s="669">
        <f t="shared" si="51"/>
        <v>0.15479396936850673</v>
      </c>
      <c r="AU87" s="256">
        <f t="shared" si="50"/>
        <v>3.8288785255329569E-2</v>
      </c>
      <c r="AV87" s="359"/>
      <c r="AW87" s="873"/>
      <c r="AY87" s="971"/>
      <c r="AZ87" s="763">
        <v>1934</v>
      </c>
      <c r="BA87" s="293"/>
    </row>
    <row r="88" spans="2:53">
      <c r="B88" s="991"/>
      <c r="C88" s="954"/>
      <c r="D88" s="871"/>
      <c r="E88" s="873"/>
      <c r="F88" s="873"/>
      <c r="G88" s="873"/>
      <c r="H88" s="873"/>
      <c r="I88" s="905"/>
      <c r="J88" s="221"/>
      <c r="K88" s="35"/>
      <c r="L88" s="521"/>
      <c r="M88" s="339">
        <v>5.5371999999999998E-2</v>
      </c>
      <c r="N88" s="339">
        <v>47.625</v>
      </c>
      <c r="O88" s="339">
        <v>152.39999999999998</v>
      </c>
      <c r="P88" s="141">
        <f t="shared" si="43"/>
        <v>0.10911327447504572</v>
      </c>
      <c r="Q88" s="339">
        <f t="shared" si="52"/>
        <v>860.09174311926608</v>
      </c>
      <c r="R88" s="35"/>
      <c r="S88" s="873"/>
      <c r="T88" s="465" t="s">
        <v>163</v>
      </c>
      <c r="U88" s="3">
        <f t="shared" si="44"/>
        <v>6.5117677872418493</v>
      </c>
      <c r="V88" s="359">
        <v>215805.90327000001</v>
      </c>
      <c r="W88" s="59">
        <v>393.00116496000004</v>
      </c>
      <c r="X88" s="3"/>
      <c r="Z88" s="977"/>
      <c r="AA88" s="35"/>
      <c r="AB88" s="873"/>
      <c r="AC88" s="390" t="s">
        <v>750</v>
      </c>
      <c r="AD88" s="977"/>
      <c r="AE88" s="954"/>
      <c r="AF88" s="873"/>
      <c r="AG88"/>
      <c r="AH88"/>
      <c r="AJ88" s="30">
        <f t="shared" si="45"/>
        <v>1.6666666666666666E-2</v>
      </c>
      <c r="AK88" s="35"/>
      <c r="AL88" s="873"/>
      <c r="AM88" s="339">
        <v>0.59181509016000011</v>
      </c>
      <c r="AN88" s="595"/>
      <c r="AO88" s="633"/>
      <c r="AP88" s="633">
        <f t="shared" si="46"/>
        <v>9.0883936512525992E-2</v>
      </c>
      <c r="AQ88" s="596">
        <f t="shared" si="47"/>
        <v>1.6087120305460052</v>
      </c>
      <c r="AR88" s="596">
        <f t="shared" si="48"/>
        <v>151.85784006922253</v>
      </c>
      <c r="AS88" s="576">
        <f t="shared" si="49"/>
        <v>2.5161833586512019</v>
      </c>
      <c r="AT88" s="669">
        <f t="shared" si="51"/>
        <v>0.2352034831345686</v>
      </c>
      <c r="AU88" s="256">
        <f t="shared" si="50"/>
        <v>9.0883936512525992E-2</v>
      </c>
      <c r="AV88" s="359"/>
      <c r="AW88" s="873"/>
      <c r="AY88" s="971"/>
      <c r="AZ88" s="763">
        <v>1934</v>
      </c>
      <c r="BA88" s="293"/>
    </row>
    <row r="89" spans="2:53">
      <c r="B89" s="991"/>
      <c r="C89" s="954"/>
      <c r="D89" s="871"/>
      <c r="E89" s="873"/>
      <c r="F89" s="873"/>
      <c r="G89" s="873"/>
      <c r="H89" s="873"/>
      <c r="I89" s="905"/>
      <c r="J89" s="221"/>
      <c r="K89" s="35"/>
      <c r="L89" s="521"/>
      <c r="M89" s="339">
        <v>5.4101999999999997E-2</v>
      </c>
      <c r="N89" s="339">
        <v>47.625</v>
      </c>
      <c r="O89" s="339">
        <v>152.39999999999998</v>
      </c>
      <c r="P89" s="141">
        <f t="shared" si="43"/>
        <v>0.10785471709665738</v>
      </c>
      <c r="Q89" s="339">
        <f t="shared" si="52"/>
        <v>880.28169014084506</v>
      </c>
      <c r="R89" s="35"/>
      <c r="S89" s="873"/>
      <c r="T89" s="465" t="s">
        <v>163</v>
      </c>
      <c r="U89" s="3">
        <f t="shared" si="44"/>
        <v>6.3624153150574037</v>
      </c>
      <c r="V89" s="359">
        <v>215805.90327000001</v>
      </c>
      <c r="W89" s="59">
        <v>393.00116496000004</v>
      </c>
      <c r="X89" s="3"/>
      <c r="Z89" s="977"/>
      <c r="AA89" s="35"/>
      <c r="AB89" s="873"/>
      <c r="AC89" s="390" t="s">
        <v>750</v>
      </c>
      <c r="AD89" s="977"/>
      <c r="AE89" s="954"/>
      <c r="AF89" s="873"/>
      <c r="AG89"/>
      <c r="AH89"/>
      <c r="AJ89" s="30">
        <f t="shared" si="45"/>
        <v>1.6666666666666666E-2</v>
      </c>
      <c r="AK89" s="35"/>
      <c r="AL89" s="873"/>
      <c r="AM89" s="339">
        <v>0.70750826568000003</v>
      </c>
      <c r="AN89" s="595"/>
      <c r="AO89" s="633"/>
      <c r="AP89" s="633">
        <f t="shared" si="46"/>
        <v>0.11120120750457747</v>
      </c>
      <c r="AQ89" s="596">
        <f t="shared" si="47"/>
        <v>1.6274841014414423</v>
      </c>
      <c r="AR89" s="596">
        <f t="shared" si="48"/>
        <v>148.37486208598349</v>
      </c>
      <c r="AS89" s="576">
        <f t="shared" si="49"/>
        <v>2.4020857419124315</v>
      </c>
      <c r="AT89" s="669">
        <f t="shared" si="51"/>
        <v>0.29453913877225468</v>
      </c>
      <c r="AU89" s="256">
        <f t="shared" si="50"/>
        <v>0.11120120750457747</v>
      </c>
      <c r="AV89" s="359"/>
      <c r="AW89" s="873"/>
      <c r="AY89" s="971"/>
      <c r="AZ89" s="763">
        <v>1934</v>
      </c>
      <c r="BA89" s="293"/>
    </row>
    <row r="90" spans="2:53">
      <c r="B90" s="991"/>
      <c r="C90" s="954"/>
      <c r="D90" s="871"/>
      <c r="E90" s="873"/>
      <c r="F90" s="873"/>
      <c r="G90" s="873"/>
      <c r="H90" s="873"/>
      <c r="I90" s="905"/>
      <c r="J90" s="221"/>
      <c r="K90" s="35"/>
      <c r="L90" s="521"/>
      <c r="M90" s="339">
        <v>5.2069999999999991E-2</v>
      </c>
      <c r="N90" s="339">
        <v>23.939499999999999</v>
      </c>
      <c r="O90" s="339">
        <v>152.39999999999998</v>
      </c>
      <c r="P90" s="141">
        <f t="shared" si="43"/>
        <v>0.29689722786195405</v>
      </c>
      <c r="Q90" s="339">
        <f t="shared" si="52"/>
        <v>459.75609756097566</v>
      </c>
      <c r="R90" s="35"/>
      <c r="S90" s="873"/>
      <c r="T90" s="465" t="s">
        <v>163</v>
      </c>
      <c r="U90" s="3">
        <f t="shared" si="44"/>
        <v>3.0780548834066441</v>
      </c>
      <c r="V90" s="359">
        <v>215805.90327000001</v>
      </c>
      <c r="W90" s="59">
        <v>393.00116496000004</v>
      </c>
      <c r="X90" s="3"/>
      <c r="Z90" s="977"/>
      <c r="AA90" s="35"/>
      <c r="AB90" s="873"/>
      <c r="AC90" s="390" t="s">
        <v>750</v>
      </c>
      <c r="AD90" s="977"/>
      <c r="AE90" s="954"/>
      <c r="AF90" s="873"/>
      <c r="AG90"/>
      <c r="AH90"/>
      <c r="AJ90" s="30">
        <f t="shared" si="45"/>
        <v>3.3156498673740049E-2</v>
      </c>
      <c r="AK90" s="35"/>
      <c r="AL90" s="873"/>
      <c r="AM90" s="339">
        <v>0.59626482768</v>
      </c>
      <c r="AN90" s="595"/>
      <c r="AO90" s="633"/>
      <c r="AP90" s="633">
        <f t="shared" si="46"/>
        <v>0.19371481349938846</v>
      </c>
      <c r="AQ90" s="596">
        <f t="shared" si="47"/>
        <v>1.1761688394095855</v>
      </c>
      <c r="AR90" s="596">
        <f t="shared" si="48"/>
        <v>284.08905300955109</v>
      </c>
      <c r="AS90" s="576">
        <f t="shared" si="49"/>
        <v>2.2250358902305516</v>
      </c>
      <c r="AT90" s="669">
        <f t="shared" si="51"/>
        <v>0.26797986958233588</v>
      </c>
      <c r="AU90" s="256">
        <f t="shared" si="50"/>
        <v>0.19371481349938846</v>
      </c>
      <c r="AV90" s="359"/>
      <c r="AW90" s="873"/>
      <c r="AY90" s="971"/>
      <c r="AZ90" s="763">
        <v>1934</v>
      </c>
      <c r="BA90" s="293"/>
    </row>
    <row r="91" spans="2:53">
      <c r="B91" s="991"/>
      <c r="C91" s="954"/>
      <c r="D91" s="871"/>
      <c r="E91" s="873"/>
      <c r="F91" s="873"/>
      <c r="G91" s="873"/>
      <c r="H91" s="873"/>
      <c r="I91" s="905"/>
      <c r="J91" s="221"/>
      <c r="K91" s="35"/>
      <c r="L91" s="521"/>
      <c r="M91" s="339">
        <v>5.156199999999999E-2</v>
      </c>
      <c r="N91" s="339">
        <v>23.939499999999999</v>
      </c>
      <c r="O91" s="339">
        <v>152.39999999999998</v>
      </c>
      <c r="P91" s="141">
        <f t="shared" si="43"/>
        <v>0.29544539897650313</v>
      </c>
      <c r="Q91" s="339">
        <f t="shared" si="52"/>
        <v>464.28571428571433</v>
      </c>
      <c r="R91" s="35"/>
      <c r="S91" s="873"/>
      <c r="T91" s="465" t="s">
        <v>163</v>
      </c>
      <c r="U91" s="3">
        <f t="shared" si="44"/>
        <v>3.0480250796660915</v>
      </c>
      <c r="V91" s="359">
        <v>215805.90327000001</v>
      </c>
      <c r="W91" s="59">
        <v>393.00116496000004</v>
      </c>
      <c r="X91" s="3"/>
      <c r="Z91" s="977"/>
      <c r="AA91" s="35"/>
      <c r="AB91" s="873"/>
      <c r="AC91" s="390" t="s">
        <v>750</v>
      </c>
      <c r="AD91" s="977"/>
      <c r="AE91" s="954"/>
      <c r="AF91" s="873"/>
      <c r="AG91"/>
      <c r="AH91"/>
      <c r="AJ91" s="30">
        <f t="shared" si="45"/>
        <v>3.3156498673740049E-2</v>
      </c>
      <c r="AK91" s="35"/>
      <c r="AL91" s="873"/>
      <c r="AM91" s="339">
        <v>0.70750826568000003</v>
      </c>
      <c r="AN91" s="595"/>
      <c r="AO91" s="633"/>
      <c r="AP91" s="633">
        <f t="shared" si="46"/>
        <v>0.23212022446925107</v>
      </c>
      <c r="AQ91" s="596">
        <f t="shared" si="47"/>
        <v>1.1819485736722875</v>
      </c>
      <c r="AR91" s="596">
        <f t="shared" si="48"/>
        <v>281.31745249238469</v>
      </c>
      <c r="AS91" s="576">
        <f t="shared" si="49"/>
        <v>2.1818323379062647</v>
      </c>
      <c r="AT91" s="669">
        <f t="shared" si="51"/>
        <v>0.32427251782276756</v>
      </c>
      <c r="AU91" s="256">
        <f t="shared" si="50"/>
        <v>0.23212022446925107</v>
      </c>
      <c r="AV91" s="359"/>
      <c r="AW91" s="873"/>
      <c r="AY91" s="971"/>
      <c r="AZ91" s="763">
        <v>1934</v>
      </c>
      <c r="BA91" s="293"/>
    </row>
    <row r="92" spans="2:53">
      <c r="B92" s="991"/>
      <c r="C92" s="954"/>
      <c r="D92" s="871"/>
      <c r="E92" s="873"/>
      <c r="F92" s="873"/>
      <c r="G92" s="873"/>
      <c r="H92" s="873"/>
      <c r="I92" s="905"/>
      <c r="J92" s="221"/>
      <c r="K92" s="35"/>
      <c r="L92" s="521"/>
      <c r="M92" s="339">
        <v>6.7055999999999991E-2</v>
      </c>
      <c r="N92" s="339">
        <v>72.009</v>
      </c>
      <c r="O92" s="339">
        <v>304.79999999999995</v>
      </c>
      <c r="P92" s="141">
        <f t="shared" si="43"/>
        <v>0.12916760725701965</v>
      </c>
      <c r="Q92" s="339">
        <f t="shared" si="52"/>
        <v>1073.8636363636365</v>
      </c>
      <c r="R92" s="35"/>
      <c r="S92" s="873"/>
      <c r="T92" s="465" t="s">
        <v>163</v>
      </c>
      <c r="U92" s="3">
        <f t="shared" si="44"/>
        <v>11.923345523384194</v>
      </c>
      <c r="V92" s="359">
        <v>215805.90327000001</v>
      </c>
      <c r="W92" s="59">
        <v>393.00116496000004</v>
      </c>
      <c r="X92" s="3"/>
      <c r="Z92" s="977"/>
      <c r="AA92" s="35"/>
      <c r="AB92" s="873"/>
      <c r="AC92" s="390" t="s">
        <v>750</v>
      </c>
      <c r="AD92" s="977"/>
      <c r="AE92" s="954"/>
      <c r="AF92" s="873"/>
      <c r="AG92"/>
      <c r="AH92"/>
      <c r="AJ92" s="30">
        <f t="shared" si="45"/>
        <v>1.1022927689594356E-2</v>
      </c>
      <c r="AK92" s="35"/>
      <c r="AL92" s="873"/>
      <c r="AM92" s="339">
        <v>0.80540249112000006</v>
      </c>
      <c r="AN92" s="595"/>
      <c r="AO92" s="633"/>
      <c r="AP92" s="633">
        <f t="shared" si="46"/>
        <v>6.7548364638132477E-2</v>
      </c>
      <c r="AQ92" s="596">
        <f t="shared" si="47"/>
        <v>1.797547968546114</v>
      </c>
      <c r="AR92" s="596">
        <f t="shared" si="48"/>
        <v>121.62780258930012</v>
      </c>
      <c r="AS92" s="576">
        <f t="shared" si="49"/>
        <v>3.6900916455802153</v>
      </c>
      <c r="AT92" s="669">
        <f t="shared" si="51"/>
        <v>0.21826083698616702</v>
      </c>
      <c r="AU92" s="256">
        <f t="shared" si="50"/>
        <v>6.7548364638132477E-2</v>
      </c>
      <c r="AV92" s="359"/>
      <c r="AW92" s="873"/>
      <c r="AY92" s="971"/>
      <c r="AZ92" s="763">
        <v>1934</v>
      </c>
      <c r="BA92" s="293"/>
    </row>
    <row r="93" spans="2:53">
      <c r="B93" s="991"/>
      <c r="C93" s="954"/>
      <c r="D93" s="871"/>
      <c r="E93" s="873"/>
      <c r="F93" s="873"/>
      <c r="G93" s="873"/>
      <c r="H93" s="873"/>
      <c r="I93" s="905"/>
      <c r="J93" s="221"/>
      <c r="K93" s="35"/>
      <c r="L93" s="521"/>
      <c r="M93" s="339">
        <v>6.9596000000000005E-2</v>
      </c>
      <c r="N93" s="339">
        <v>47.625</v>
      </c>
      <c r="O93" s="339">
        <v>304.79999999999995</v>
      </c>
      <c r="P93" s="141">
        <f t="shared" si="43"/>
        <v>0.24465529492192342</v>
      </c>
      <c r="Q93" s="339">
        <f t="shared" si="52"/>
        <v>684.30656934306569</v>
      </c>
      <c r="R93" s="35"/>
      <c r="S93" s="873"/>
      <c r="T93" s="465" t="s">
        <v>163</v>
      </c>
      <c r="U93" s="3">
        <f t="shared" si="44"/>
        <v>8.1845154757076468</v>
      </c>
      <c r="V93" s="359">
        <v>215805.90327000001</v>
      </c>
      <c r="W93" s="59">
        <v>393.00116496000004</v>
      </c>
      <c r="X93" s="3"/>
      <c r="Z93" s="977"/>
      <c r="AA93" s="35"/>
      <c r="AB93" s="873"/>
      <c r="AC93" s="390" t="s">
        <v>750</v>
      </c>
      <c r="AD93" s="977"/>
      <c r="AE93" s="954"/>
      <c r="AF93" s="873"/>
      <c r="AG93"/>
      <c r="AH93"/>
      <c r="AJ93" s="30">
        <f t="shared" si="45"/>
        <v>1.6666666666666666E-2</v>
      </c>
      <c r="AK93" s="35"/>
      <c r="AL93" s="873"/>
      <c r="AM93" s="339">
        <v>1.2325772930400001</v>
      </c>
      <c r="AN93" s="595"/>
      <c r="AO93" s="633"/>
      <c r="AP93" s="633">
        <f t="shared" si="46"/>
        <v>0.15059868805898122</v>
      </c>
      <c r="AQ93" s="596">
        <f t="shared" si="47"/>
        <v>1.434931848879802</v>
      </c>
      <c r="AR93" s="596">
        <f t="shared" si="48"/>
        <v>190.86719348149992</v>
      </c>
      <c r="AS93" s="576">
        <f t="shared" si="49"/>
        <v>3.9749385959535752</v>
      </c>
      <c r="AT93" s="669">
        <f t="shared" si="51"/>
        <v>0.31008712796085569</v>
      </c>
      <c r="AU93" s="256">
        <f t="shared" si="50"/>
        <v>0.15059868805898122</v>
      </c>
      <c r="AV93" s="359"/>
      <c r="AW93" s="873"/>
      <c r="AY93" s="971"/>
      <c r="AZ93" s="763">
        <v>1934</v>
      </c>
      <c r="BA93" s="293"/>
    </row>
    <row r="94" spans="2:53">
      <c r="B94" s="991"/>
      <c r="C94" s="954"/>
      <c r="D94" s="871"/>
      <c r="E94" s="873"/>
      <c r="F94" s="873"/>
      <c r="G94" s="873"/>
      <c r="H94" s="873"/>
      <c r="I94" s="905"/>
      <c r="J94" s="221"/>
      <c r="K94" s="35"/>
      <c r="L94" s="521"/>
      <c r="M94" s="339">
        <v>6.9596000000000005E-2</v>
      </c>
      <c r="N94" s="339">
        <v>23.939499999999999</v>
      </c>
      <c r="O94" s="339">
        <v>304.79999999999995</v>
      </c>
      <c r="P94" s="141">
        <f t="shared" si="43"/>
        <v>0.68649043283858446</v>
      </c>
      <c r="Q94" s="339">
        <f t="shared" si="52"/>
        <v>343.978102189781</v>
      </c>
      <c r="R94" s="35"/>
      <c r="S94" s="873"/>
      <c r="T94" s="465" t="s">
        <v>163</v>
      </c>
      <c r="U94" s="3">
        <f t="shared" si="44"/>
        <v>4.1140831124557105</v>
      </c>
      <c r="V94" s="359">
        <v>215805.90327000001</v>
      </c>
      <c r="W94" s="59">
        <v>393.00116496000004</v>
      </c>
      <c r="X94" s="3"/>
      <c r="Z94" s="977"/>
      <c r="AA94" s="35"/>
      <c r="AB94" s="873"/>
      <c r="AC94" s="390" t="s">
        <v>750</v>
      </c>
      <c r="AD94" s="977"/>
      <c r="AE94" s="954"/>
      <c r="AF94" s="873"/>
      <c r="AG94"/>
      <c r="AH94"/>
      <c r="AJ94" s="30">
        <f t="shared" si="45"/>
        <v>3.3156498673740049E-2</v>
      </c>
      <c r="AK94" s="35"/>
      <c r="AL94" s="873"/>
      <c r="AM94" s="339">
        <v>1.03678884216</v>
      </c>
      <c r="AN94" s="595"/>
      <c r="AO94" s="633"/>
      <c r="AP94" s="633">
        <f t="shared" si="46"/>
        <v>0.25200969786464456</v>
      </c>
      <c r="AQ94" s="596">
        <f t="shared" si="47"/>
        <v>1.0173521762696611</v>
      </c>
      <c r="AR94" s="596">
        <f t="shared" si="48"/>
        <v>379.70927085179034</v>
      </c>
      <c r="AS94" s="576">
        <f t="shared" si="49"/>
        <v>3.9749385959535752</v>
      </c>
      <c r="AT94" s="669">
        <f t="shared" si="51"/>
        <v>0.26083141088404099</v>
      </c>
      <c r="AU94" s="256">
        <f t="shared" si="50"/>
        <v>0.25200969786464456</v>
      </c>
      <c r="AV94" s="359"/>
      <c r="AW94" s="873"/>
      <c r="AY94" s="971"/>
      <c r="AZ94" s="763">
        <v>1934</v>
      </c>
      <c r="BA94" s="293"/>
    </row>
    <row r="95" spans="2:53">
      <c r="B95" s="991"/>
      <c r="C95" s="954"/>
      <c r="D95" s="871"/>
      <c r="E95" s="873"/>
      <c r="F95" s="873"/>
      <c r="G95" s="873"/>
      <c r="H95" s="873"/>
      <c r="I95" s="905"/>
      <c r="J95" s="221"/>
      <c r="K95" s="35"/>
      <c r="L95" s="521"/>
      <c r="M95" s="339">
        <v>5.0546000000000001E-2</v>
      </c>
      <c r="N95" s="339">
        <v>72.009</v>
      </c>
      <c r="O95" s="339">
        <v>304.79999999999995</v>
      </c>
      <c r="P95" s="141">
        <f t="shared" si="43"/>
        <v>0.11214455434258878</v>
      </c>
      <c r="Q95" s="339">
        <f t="shared" si="52"/>
        <v>1424.6231155778894</v>
      </c>
      <c r="R95" s="35"/>
      <c r="S95" s="873"/>
      <c r="T95" s="465" t="s">
        <v>163</v>
      </c>
      <c r="U95" s="3">
        <f t="shared" si="44"/>
        <v>8.9876733301267233</v>
      </c>
      <c r="V95" s="359">
        <v>215805.90327000001</v>
      </c>
      <c r="W95" s="59">
        <v>393.00116496000004</v>
      </c>
      <c r="X95" s="3"/>
      <c r="Z95" s="977"/>
      <c r="AA95" s="35"/>
      <c r="AB95" s="873"/>
      <c r="AC95" s="390" t="s">
        <v>750</v>
      </c>
      <c r="AD95" s="977"/>
      <c r="AE95" s="954"/>
      <c r="AF95" s="873"/>
      <c r="AG95"/>
      <c r="AH95"/>
      <c r="AJ95" s="30">
        <f t="shared" si="45"/>
        <v>1.1022927689594356E-2</v>
      </c>
      <c r="AK95" s="35"/>
      <c r="AL95" s="873"/>
      <c r="AM95" s="339">
        <v>0.36042873912000006</v>
      </c>
      <c r="AN95" s="595"/>
      <c r="AO95" s="633"/>
      <c r="AP95" s="633">
        <f t="shared" si="46"/>
        <v>4.0102563353280905E-2</v>
      </c>
      <c r="AQ95" s="596">
        <f t="shared" si="47"/>
        <v>2.0704078890671718</v>
      </c>
      <c r="AR95" s="596">
        <f t="shared" si="48"/>
        <v>91.68156331541941</v>
      </c>
      <c r="AS95" s="576">
        <f t="shared" si="49"/>
        <v>2.0966959259731137</v>
      </c>
      <c r="AT95" s="669">
        <f t="shared" si="51"/>
        <v>0.17190320000870835</v>
      </c>
      <c r="AU95" s="256">
        <f t="shared" si="50"/>
        <v>4.0102563353280905E-2</v>
      </c>
      <c r="AV95" s="359"/>
      <c r="AW95" s="873"/>
      <c r="AY95" s="971"/>
      <c r="AZ95" s="763">
        <v>1934</v>
      </c>
      <c r="BA95" s="293"/>
    </row>
    <row r="96" spans="2:53">
      <c r="B96" s="991"/>
      <c r="C96" s="954"/>
      <c r="D96" s="871"/>
      <c r="E96" s="873"/>
      <c r="F96" s="873"/>
      <c r="G96" s="873"/>
      <c r="H96" s="873"/>
      <c r="I96" s="905"/>
      <c r="J96" s="221"/>
      <c r="K96" s="35"/>
      <c r="L96" s="521"/>
      <c r="M96" s="339">
        <v>5.1053999999999988E-2</v>
      </c>
      <c r="N96" s="339">
        <v>47.625</v>
      </c>
      <c r="O96" s="339">
        <v>304.79999999999995</v>
      </c>
      <c r="P96" s="141">
        <f t="shared" si="43"/>
        <v>0.20954503095993468</v>
      </c>
      <c r="Q96" s="339">
        <f t="shared" si="52"/>
        <v>932.8358208955226</v>
      </c>
      <c r="R96" s="35"/>
      <c r="S96" s="873"/>
      <c r="T96" s="465" t="s">
        <v>163</v>
      </c>
      <c r="U96" s="3">
        <f t="shared" si="44"/>
        <v>6.0039693818147315</v>
      </c>
      <c r="V96" s="359">
        <v>215805.90327000001</v>
      </c>
      <c r="W96" s="59">
        <v>393.00116496000004</v>
      </c>
      <c r="X96" s="3"/>
      <c r="Z96" s="977"/>
      <c r="AA96" s="35"/>
      <c r="AB96" s="873"/>
      <c r="AC96" s="390" t="s">
        <v>750</v>
      </c>
      <c r="AD96" s="977"/>
      <c r="AE96" s="954"/>
      <c r="AF96" s="873"/>
      <c r="AG96"/>
      <c r="AH96"/>
      <c r="AJ96" s="30">
        <f t="shared" si="45"/>
        <v>1.6666666666666666E-2</v>
      </c>
      <c r="AK96" s="35"/>
      <c r="AL96" s="873"/>
      <c r="AM96" s="339">
        <v>0.43607427696000001</v>
      </c>
      <c r="AN96" s="595"/>
      <c r="AO96" s="633"/>
      <c r="AP96" s="633">
        <f t="shared" si="46"/>
        <v>7.263099613412656E-2</v>
      </c>
      <c r="AQ96" s="596">
        <f t="shared" si="47"/>
        <v>1.6753614870861464</v>
      </c>
      <c r="AR96" s="596">
        <f t="shared" si="48"/>
        <v>140.01571492620977</v>
      </c>
      <c r="AS96" s="576">
        <f t="shared" si="49"/>
        <v>2.1390523498204526</v>
      </c>
      <c r="AT96" s="669">
        <f t="shared" si="51"/>
        <v>0.20386330282968676</v>
      </c>
      <c r="AU96" s="256">
        <f t="shared" si="50"/>
        <v>7.263099613412656E-2</v>
      </c>
      <c r="AV96" s="359"/>
      <c r="AW96" s="873"/>
      <c r="AY96" s="971"/>
      <c r="AZ96" s="763">
        <v>1934</v>
      </c>
      <c r="BA96" s="293"/>
    </row>
    <row r="97" spans="2:53">
      <c r="B97" s="991"/>
      <c r="C97" s="954"/>
      <c r="D97" s="871"/>
      <c r="E97" s="873"/>
      <c r="F97" s="873"/>
      <c r="G97" s="873"/>
      <c r="H97" s="873"/>
      <c r="I97" s="905"/>
      <c r="J97" s="221"/>
      <c r="K97" s="35"/>
      <c r="L97" s="521"/>
      <c r="M97" s="339">
        <v>7.1119999999999989E-2</v>
      </c>
      <c r="N97" s="339">
        <v>23.939499999999999</v>
      </c>
      <c r="O97" s="339">
        <v>609.59999999999991</v>
      </c>
      <c r="P97" s="141">
        <f t="shared" si="43"/>
        <v>1.3879320963327308</v>
      </c>
      <c r="Q97" s="339">
        <f t="shared" si="52"/>
        <v>336.60714285714289</v>
      </c>
      <c r="R97" s="35"/>
      <c r="S97" s="873"/>
      <c r="T97" s="465" t="s">
        <v>163</v>
      </c>
      <c r="U97" s="3">
        <f t="shared" si="44"/>
        <v>4.204172523677367</v>
      </c>
      <c r="V97" s="359">
        <v>215805.90327000001</v>
      </c>
      <c r="W97" s="59">
        <v>393.00116496000004</v>
      </c>
      <c r="X97" s="3"/>
      <c r="Z97" s="977"/>
      <c r="AA97" s="35"/>
      <c r="AB97" s="873"/>
      <c r="AC97" s="390" t="s">
        <v>750</v>
      </c>
      <c r="AD97" s="977"/>
      <c r="AE97" s="954"/>
      <c r="AF97" s="873"/>
      <c r="AG97"/>
      <c r="AH97"/>
      <c r="AJ97" s="30">
        <f t="shared" si="45"/>
        <v>3.3156498673740049E-2</v>
      </c>
      <c r="AK97" s="35"/>
      <c r="AL97" s="873"/>
      <c r="AM97" s="339">
        <v>1.0634872672800002</v>
      </c>
      <c r="AN97" s="595"/>
      <c r="AO97" s="633"/>
      <c r="AP97" s="633">
        <f t="shared" si="46"/>
        <v>0.25295994902458802</v>
      </c>
      <c r="AQ97" s="596">
        <f t="shared" si="47"/>
        <v>1.0063929462860501</v>
      </c>
      <c r="AR97" s="596">
        <f t="shared" si="48"/>
        <v>388.02407240328932</v>
      </c>
      <c r="AS97" s="576">
        <f t="shared" si="49"/>
        <v>4.1509295370392696</v>
      </c>
      <c r="AT97" s="669">
        <f t="shared" si="51"/>
        <v>0.2562046061708273</v>
      </c>
      <c r="AU97" s="256">
        <f t="shared" si="50"/>
        <v>0.25295994902458802</v>
      </c>
      <c r="AV97" s="359"/>
      <c r="AW97" s="873"/>
      <c r="AY97" s="971"/>
      <c r="AZ97" s="763">
        <v>1934</v>
      </c>
      <c r="BA97" s="293"/>
    </row>
    <row r="98" spans="2:53">
      <c r="B98" s="991"/>
      <c r="C98" s="954"/>
      <c r="D98" s="871"/>
      <c r="E98" s="873"/>
      <c r="F98" s="873"/>
      <c r="G98" s="873"/>
      <c r="H98" s="873"/>
      <c r="I98" s="905"/>
      <c r="J98" s="221"/>
      <c r="K98" s="35"/>
      <c r="L98" s="521"/>
      <c r="M98" s="339">
        <v>5.0546000000000001E-2</v>
      </c>
      <c r="N98" s="339">
        <v>23.939499999999999</v>
      </c>
      <c r="O98" s="339">
        <v>762</v>
      </c>
      <c r="P98" s="141">
        <f t="shared" si="43"/>
        <v>1.4626006247856018</v>
      </c>
      <c r="Q98" s="339">
        <f t="shared" si="52"/>
        <v>473.6180904522613</v>
      </c>
      <c r="R98" s="35"/>
      <c r="S98" s="873"/>
      <c r="T98" s="465" t="s">
        <v>163</v>
      </c>
      <c r="U98" s="3">
        <f t="shared" si="44"/>
        <v>2.9879654721849871</v>
      </c>
      <c r="V98" s="359">
        <v>215805.90327000001</v>
      </c>
      <c r="W98" s="59">
        <v>393.00116496000004</v>
      </c>
      <c r="X98" s="3"/>
      <c r="Z98" s="977"/>
      <c r="AA98" s="35"/>
      <c r="AB98" s="873"/>
      <c r="AC98" s="390" t="s">
        <v>750</v>
      </c>
      <c r="AD98" s="977"/>
      <c r="AE98" s="954"/>
      <c r="AF98" s="873"/>
      <c r="AG98"/>
      <c r="AH98"/>
      <c r="AJ98" s="30">
        <f t="shared" si="45"/>
        <v>3.3156498673740049E-2</v>
      </c>
      <c r="AK98" s="35"/>
      <c r="AL98" s="873"/>
      <c r="AM98" s="339">
        <v>0.40492611432000003</v>
      </c>
      <c r="AN98" s="595"/>
      <c r="AO98" s="633"/>
      <c r="AP98" s="633">
        <f t="shared" si="46"/>
        <v>0.13551900719384577</v>
      </c>
      <c r="AQ98" s="596">
        <f t="shared" si="47"/>
        <v>1.1937683534406605</v>
      </c>
      <c r="AR98" s="596">
        <f t="shared" si="48"/>
        <v>275.77425145805205</v>
      </c>
      <c r="AS98" s="576">
        <f t="shared" si="49"/>
        <v>2.0966959259731137</v>
      </c>
      <c r="AT98" s="669">
        <f t="shared" si="51"/>
        <v>0.19312581729373399</v>
      </c>
      <c r="AU98" s="256">
        <f t="shared" si="50"/>
        <v>0.13551900719384577</v>
      </c>
      <c r="AV98" s="359"/>
      <c r="AW98" s="873"/>
      <c r="AY98" s="971"/>
      <c r="AZ98" s="763">
        <v>1934</v>
      </c>
      <c r="BA98" s="293"/>
    </row>
    <row r="99" spans="2:53">
      <c r="B99" s="991"/>
      <c r="C99" s="954"/>
      <c r="D99" s="871"/>
      <c r="E99" s="873"/>
      <c r="F99" s="873"/>
      <c r="G99" s="873"/>
      <c r="H99" s="873"/>
      <c r="I99" s="905"/>
      <c r="J99" s="221"/>
      <c r="K99" s="35"/>
      <c r="L99" s="521"/>
      <c r="M99" s="339">
        <v>0.14808199999999999</v>
      </c>
      <c r="N99" s="339">
        <v>72.009</v>
      </c>
      <c r="O99" s="339">
        <v>152.39999999999998</v>
      </c>
      <c r="P99" s="141">
        <f t="shared" si="43"/>
        <v>9.5974516502575158E-2</v>
      </c>
      <c r="Q99" s="339">
        <f t="shared" si="52"/>
        <v>486.27787307032594</v>
      </c>
      <c r="R99" s="35"/>
      <c r="S99" s="1057" t="s">
        <v>175</v>
      </c>
      <c r="T99" s="465" t="s">
        <v>175</v>
      </c>
      <c r="U99" s="3">
        <f t="shared" si="44"/>
        <v>13.396331922106365</v>
      </c>
      <c r="V99" s="339">
        <v>112384.54388</v>
      </c>
      <c r="W99" s="3">
        <v>199.94796112</v>
      </c>
      <c r="X99" s="3"/>
      <c r="Z99" s="977"/>
      <c r="AA99" s="35"/>
      <c r="AB99" s="873"/>
      <c r="AC99" s="390" t="s">
        <v>750</v>
      </c>
      <c r="AD99" s="977"/>
      <c r="AE99" s="954"/>
      <c r="AF99" s="873"/>
      <c r="AG99"/>
      <c r="AH99"/>
      <c r="AJ99" s="30">
        <f t="shared" si="45"/>
        <v>1.1022927689594356E-2</v>
      </c>
      <c r="AK99" s="35"/>
      <c r="AL99" s="873"/>
      <c r="AM99" s="339">
        <v>2.9813241383999998</v>
      </c>
      <c r="AN99" s="595"/>
      <c r="AO99" s="633"/>
      <c r="AP99" s="633">
        <f t="shared" si="46"/>
        <v>0.22254779560069551</v>
      </c>
      <c r="AQ99" s="596">
        <f t="shared" si="47"/>
        <v>1.1956060729533817</v>
      </c>
      <c r="AR99" s="596">
        <f t="shared" si="48"/>
        <v>139.8752112102874</v>
      </c>
      <c r="AS99" s="576">
        <f t="shared" si="49"/>
        <v>9.3715122002327487</v>
      </c>
      <c r="AT99" s="669">
        <f t="shared" ref="AT99:AT127" si="53">AP99*W99/AR99</f>
        <v>0.31812626123732268</v>
      </c>
      <c r="AU99" s="256">
        <f t="shared" si="50"/>
        <v>0.22254779560069551</v>
      </c>
      <c r="AV99" s="359"/>
      <c r="AW99" s="873"/>
      <c r="AY99" s="971"/>
      <c r="AZ99" s="763">
        <v>1934</v>
      </c>
      <c r="BA99" s="293"/>
    </row>
    <row r="100" spans="2:53">
      <c r="B100" s="991"/>
      <c r="C100" s="954"/>
      <c r="D100" s="871"/>
      <c r="E100" s="873"/>
      <c r="F100" s="873"/>
      <c r="G100" s="873"/>
      <c r="H100" s="873"/>
      <c r="I100" s="905"/>
      <c r="J100" s="221"/>
      <c r="K100" s="35"/>
      <c r="L100" s="521"/>
      <c r="M100" s="339">
        <v>0.15138399999999999</v>
      </c>
      <c r="N100" s="339">
        <v>47.625</v>
      </c>
      <c r="O100" s="339">
        <v>152.39999999999998</v>
      </c>
      <c r="P100" s="141">
        <f t="shared" si="43"/>
        <v>0.18041492916792295</v>
      </c>
      <c r="Q100" s="339">
        <f t="shared" si="52"/>
        <v>314.59731543624162</v>
      </c>
      <c r="R100" s="35"/>
      <c r="S100" s="1057"/>
      <c r="T100" s="465" t="s">
        <v>175</v>
      </c>
      <c r="U100" s="3">
        <f t="shared" si="44"/>
        <v>9.0575723832840929</v>
      </c>
      <c r="V100" s="339">
        <v>112384.54388</v>
      </c>
      <c r="W100" s="3">
        <v>199.94796112</v>
      </c>
      <c r="X100" s="3"/>
      <c r="Z100" s="977"/>
      <c r="AA100" s="35"/>
      <c r="AB100" s="873"/>
      <c r="AC100" s="390" t="s">
        <v>750</v>
      </c>
      <c r="AD100" s="977"/>
      <c r="AE100" s="954"/>
      <c r="AF100" s="873"/>
      <c r="AG100"/>
      <c r="AH100"/>
      <c r="AJ100" s="30">
        <f t="shared" si="45"/>
        <v>1.6666666666666666E-2</v>
      </c>
      <c r="AK100" s="35"/>
      <c r="AL100" s="873"/>
      <c r="AM100" s="339">
        <v>2.2382179725600002</v>
      </c>
      <c r="AN100" s="595"/>
      <c r="AO100" s="633"/>
      <c r="AP100" s="633">
        <f t="shared" si="46"/>
        <v>0.24711013921243075</v>
      </c>
      <c r="AQ100" s="596">
        <f t="shared" si="47"/>
        <v>0.96166401276432378</v>
      </c>
      <c r="AR100" s="596">
        <f t="shared" si="48"/>
        <v>216.20724928400156</v>
      </c>
      <c r="AS100" s="576">
        <f t="shared" si="49"/>
        <v>9.7941124241086825</v>
      </c>
      <c r="AT100" s="669">
        <f t="shared" si="53"/>
        <v>0.22852688182856856</v>
      </c>
      <c r="AU100" s="256">
        <f t="shared" si="50"/>
        <v>0.24711013921243075</v>
      </c>
      <c r="AV100" s="359"/>
      <c r="AW100" s="873"/>
      <c r="AY100" s="971"/>
      <c r="AZ100" s="763">
        <v>1934</v>
      </c>
      <c r="BA100" s="293"/>
    </row>
    <row r="101" spans="2:53">
      <c r="B101" s="991"/>
      <c r="C101" s="954"/>
      <c r="D101" s="871"/>
      <c r="E101" s="873"/>
      <c r="F101" s="873"/>
      <c r="G101" s="873"/>
      <c r="H101" s="873"/>
      <c r="I101" s="905"/>
      <c r="J101" s="221"/>
      <c r="K101" s="35"/>
      <c r="L101" s="521"/>
      <c r="M101" s="339">
        <v>0.14986000000000002</v>
      </c>
      <c r="N101" s="339">
        <v>47.625</v>
      </c>
      <c r="O101" s="339">
        <v>152.39999999999998</v>
      </c>
      <c r="P101" s="141">
        <f t="shared" si="43"/>
        <v>0.1795045031932811</v>
      </c>
      <c r="Q101" s="339">
        <f t="shared" si="52"/>
        <v>317.79661016949149</v>
      </c>
      <c r="R101" s="35"/>
      <c r="S101" s="1057"/>
      <c r="T101" s="465" t="s">
        <v>175</v>
      </c>
      <c r="U101" s="3">
        <f t="shared" si="44"/>
        <v>8.9663887686872723</v>
      </c>
      <c r="V101" s="339">
        <v>112384.54388</v>
      </c>
      <c r="W101" s="3">
        <v>199.94796112</v>
      </c>
      <c r="X101" s="3"/>
      <c r="Z101" s="977"/>
      <c r="AA101" s="35"/>
      <c r="AB101" s="873"/>
      <c r="AC101" s="390" t="s">
        <v>750</v>
      </c>
      <c r="AD101" s="977"/>
      <c r="AE101" s="954"/>
      <c r="AF101" s="873"/>
      <c r="AG101"/>
      <c r="AH101"/>
      <c r="AJ101" s="30">
        <f t="shared" si="45"/>
        <v>1.6666666666666666E-2</v>
      </c>
      <c r="AK101" s="35"/>
      <c r="AL101" s="873"/>
      <c r="AM101" s="339">
        <v>2.1180750595200002</v>
      </c>
      <c r="AN101" s="595"/>
      <c r="AO101" s="633"/>
      <c r="AP101" s="633">
        <f t="shared" si="46"/>
        <v>0.2362238705192902</v>
      </c>
      <c r="AQ101" s="596">
        <f t="shared" si="47"/>
        <v>0.96654146085350201</v>
      </c>
      <c r="AR101" s="596">
        <f t="shared" si="48"/>
        <v>214.03066623751837</v>
      </c>
      <c r="AS101" s="576">
        <f t="shared" si="49"/>
        <v>9.5979081314812209</v>
      </c>
      <c r="AT101" s="669">
        <f t="shared" si="53"/>
        <v>0.22068090572493562</v>
      </c>
      <c r="AU101" s="256">
        <f t="shared" si="50"/>
        <v>0.2362238705192902</v>
      </c>
      <c r="AV101" s="359"/>
      <c r="AW101" s="873"/>
      <c r="AY101" s="971"/>
      <c r="AZ101" s="763">
        <v>1934</v>
      </c>
      <c r="BA101" s="293"/>
    </row>
    <row r="102" spans="2:53">
      <c r="B102" s="991"/>
      <c r="C102" s="954"/>
      <c r="D102" s="871"/>
      <c r="E102" s="873"/>
      <c r="F102" s="873"/>
      <c r="G102" s="873"/>
      <c r="H102" s="873"/>
      <c r="I102" s="905"/>
      <c r="J102" s="221"/>
      <c r="K102" s="35"/>
      <c r="L102" s="521"/>
      <c r="M102" s="339">
        <v>0.14808199999999999</v>
      </c>
      <c r="N102" s="339">
        <v>23.939499999999999</v>
      </c>
      <c r="O102" s="339">
        <v>152.39999999999998</v>
      </c>
      <c r="P102" s="141">
        <f t="shared" si="43"/>
        <v>0.50068374206148569</v>
      </c>
      <c r="Q102" s="339">
        <f t="shared" si="52"/>
        <v>161.66380789022298</v>
      </c>
      <c r="R102" s="35"/>
      <c r="S102" s="1057"/>
      <c r="T102" s="465" t="s">
        <v>175</v>
      </c>
      <c r="U102" s="3">
        <f t="shared" si="44"/>
        <v>4.4536306301888002</v>
      </c>
      <c r="V102" s="339">
        <v>112384.54388</v>
      </c>
      <c r="W102" s="3">
        <v>199.94796112</v>
      </c>
      <c r="X102" s="3"/>
      <c r="Z102" s="977"/>
      <c r="AA102" s="35"/>
      <c r="AB102" s="873"/>
      <c r="AC102" s="390" t="s">
        <v>750</v>
      </c>
      <c r="AD102" s="977"/>
      <c r="AE102" s="954"/>
      <c r="AF102" s="873"/>
      <c r="AG102"/>
      <c r="AH102"/>
      <c r="AJ102" s="30">
        <f t="shared" si="45"/>
        <v>3.3156498673740049E-2</v>
      </c>
      <c r="AK102" s="35"/>
      <c r="AL102" s="873"/>
      <c r="AM102" s="339">
        <v>3.0347209886400002</v>
      </c>
      <c r="AN102" s="595"/>
      <c r="AO102" s="633"/>
      <c r="AP102" s="633">
        <f t="shared" si="46"/>
        <v>0.68140383445120845</v>
      </c>
      <c r="AQ102" s="596">
        <f t="shared" si="47"/>
        <v>0.6893698099828417</v>
      </c>
      <c r="AR102" s="596">
        <f t="shared" si="48"/>
        <v>420.7386989720581</v>
      </c>
      <c r="AS102" s="576">
        <f t="shared" si="49"/>
        <v>9.3715122002327487</v>
      </c>
      <c r="AT102" s="669">
        <f t="shared" si="53"/>
        <v>0.3238240450206778</v>
      </c>
      <c r="AU102" s="256">
        <f t="shared" si="50"/>
        <v>0.68140383445120845</v>
      </c>
      <c r="AV102" s="359"/>
      <c r="AW102" s="873"/>
      <c r="AY102" s="971"/>
      <c r="AZ102" s="763">
        <v>1934</v>
      </c>
      <c r="BA102" s="293"/>
    </row>
    <row r="103" spans="2:53">
      <c r="B103" s="991"/>
      <c r="C103" s="954"/>
      <c r="D103" s="871"/>
      <c r="E103" s="873"/>
      <c r="F103" s="873"/>
      <c r="G103" s="873"/>
      <c r="H103" s="873"/>
      <c r="I103" s="905"/>
      <c r="J103" s="221"/>
      <c r="K103" s="35"/>
      <c r="L103" s="521"/>
      <c r="M103" s="339">
        <v>7.5691999999999995E-2</v>
      </c>
      <c r="N103" s="339">
        <v>72.009</v>
      </c>
      <c r="O103" s="339">
        <v>152.39999999999998</v>
      </c>
      <c r="P103" s="141">
        <f t="shared" si="43"/>
        <v>6.8616693678336629E-2</v>
      </c>
      <c r="Q103" s="339">
        <f t="shared" si="52"/>
        <v>951.34228187919473</v>
      </c>
      <c r="R103" s="35"/>
      <c r="S103" s="1057"/>
      <c r="T103" s="465" t="s">
        <v>175</v>
      </c>
      <c r="U103" s="3">
        <f t="shared" si="44"/>
        <v>6.847524721762773</v>
      </c>
      <c r="V103" s="339">
        <v>108247.68949999999</v>
      </c>
      <c r="W103" s="3">
        <v>199.94796112</v>
      </c>
      <c r="X103" s="3"/>
      <c r="Z103" s="977"/>
      <c r="AA103" s="35"/>
      <c r="AB103" s="873"/>
      <c r="AC103" s="390" t="s">
        <v>750</v>
      </c>
      <c r="AD103" s="977"/>
      <c r="AE103" s="954"/>
      <c r="AF103" s="873"/>
      <c r="AG103"/>
      <c r="AH103"/>
      <c r="AJ103" s="30">
        <f t="shared" si="45"/>
        <v>1.1022927689594356E-2</v>
      </c>
      <c r="AK103" s="35"/>
      <c r="AL103" s="873"/>
      <c r="AM103" s="339">
        <v>0.52951876488000005</v>
      </c>
      <c r="AN103" s="595"/>
      <c r="AO103" s="633"/>
      <c r="AP103" s="633">
        <f t="shared" si="46"/>
        <v>7.7329952997042248E-2</v>
      </c>
      <c r="AQ103" s="596">
        <f t="shared" si="47"/>
        <v>1.7039554411480944</v>
      </c>
      <c r="AR103" s="596">
        <f t="shared" si="48"/>
        <v>68.865310920242393</v>
      </c>
      <c r="AS103" s="576">
        <f t="shared" si="49"/>
        <v>2.3583982370054373</v>
      </c>
      <c r="AT103" s="669">
        <f t="shared" si="53"/>
        <v>0.2245247458937866</v>
      </c>
      <c r="AU103" s="256">
        <f t="shared" si="50"/>
        <v>7.7329952997042248E-2</v>
      </c>
      <c r="AV103" s="359"/>
      <c r="AW103" s="873"/>
      <c r="AY103" s="971"/>
      <c r="AZ103" s="763">
        <v>1934</v>
      </c>
      <c r="BA103" s="293"/>
    </row>
    <row r="104" spans="2:53">
      <c r="B104" s="991"/>
      <c r="C104" s="954"/>
      <c r="D104" s="871"/>
      <c r="E104" s="873"/>
      <c r="F104" s="873"/>
      <c r="G104" s="873"/>
      <c r="H104" s="873"/>
      <c r="I104" s="905"/>
      <c r="J104" s="221"/>
      <c r="K104" s="35"/>
      <c r="L104" s="521"/>
      <c r="M104" s="339">
        <v>7.493000000000001E-2</v>
      </c>
      <c r="N104" s="339">
        <v>23.939499999999999</v>
      </c>
      <c r="O104" s="339">
        <v>152.39999999999998</v>
      </c>
      <c r="P104" s="141">
        <f t="shared" si="43"/>
        <v>0.35615596305533065</v>
      </c>
      <c r="Q104" s="339">
        <f t="shared" si="52"/>
        <v>319.49152542372877</v>
      </c>
      <c r="R104" s="35"/>
      <c r="S104" s="1057"/>
      <c r="T104" s="465" t="s">
        <v>175</v>
      </c>
      <c r="U104" s="3">
        <f t="shared" si="44"/>
        <v>2.2535523771967347</v>
      </c>
      <c r="V104" s="339">
        <v>108247.68949999999</v>
      </c>
      <c r="W104" s="3">
        <v>199.94796112</v>
      </c>
      <c r="X104" s="3"/>
      <c r="Z104" s="977"/>
      <c r="AA104" s="35"/>
      <c r="AB104" s="873"/>
      <c r="AC104" s="390" t="s">
        <v>750</v>
      </c>
      <c r="AD104" s="977"/>
      <c r="AE104" s="954"/>
      <c r="AF104" s="873"/>
      <c r="AG104"/>
      <c r="AH104"/>
      <c r="AJ104" s="30">
        <f t="shared" si="45"/>
        <v>3.3156498673740049E-2</v>
      </c>
      <c r="AK104" s="35"/>
      <c r="AL104" s="873"/>
      <c r="AM104" s="339">
        <v>0.62741299032000009</v>
      </c>
      <c r="AN104" s="595"/>
      <c r="AO104" s="633"/>
      <c r="AP104" s="633">
        <f t="shared" si="46"/>
        <v>0.27841065362787754</v>
      </c>
      <c r="AQ104" s="596">
        <f t="shared" si="47"/>
        <v>0.98745998471764174</v>
      </c>
      <c r="AR104" s="596">
        <f t="shared" si="48"/>
        <v>205.05859097919546</v>
      </c>
      <c r="AS104" s="576">
        <f t="shared" si="49"/>
        <v>2.3111527248254382</v>
      </c>
      <c r="AT104" s="669">
        <f t="shared" si="53"/>
        <v>0.27147188655279747</v>
      </c>
      <c r="AU104" s="256">
        <f t="shared" si="50"/>
        <v>0.27841065362787754</v>
      </c>
      <c r="AV104" s="359"/>
      <c r="AW104" s="873"/>
      <c r="AY104" s="971"/>
      <c r="AZ104" s="763">
        <v>1934</v>
      </c>
      <c r="BA104" s="293"/>
    </row>
    <row r="105" spans="2:53">
      <c r="B105" s="991"/>
      <c r="C105" s="954"/>
      <c r="D105" s="871"/>
      <c r="E105" s="873"/>
      <c r="F105" s="873"/>
      <c r="G105" s="873"/>
      <c r="H105" s="873"/>
      <c r="I105" s="905"/>
      <c r="J105" s="221"/>
      <c r="K105" s="35"/>
      <c r="L105" s="521"/>
      <c r="M105" s="339">
        <v>7.5184000000000001E-2</v>
      </c>
      <c r="N105" s="339">
        <v>23.939499999999999</v>
      </c>
      <c r="O105" s="339">
        <v>152.39999999999998</v>
      </c>
      <c r="P105" s="141">
        <f t="shared" si="43"/>
        <v>0.35675910652390364</v>
      </c>
      <c r="Q105" s="339">
        <f t="shared" si="52"/>
        <v>318.41216216216213</v>
      </c>
      <c r="R105" s="35"/>
      <c r="S105" s="1057"/>
      <c r="T105" s="465" t="s">
        <v>175</v>
      </c>
      <c r="U105" s="3">
        <f t="shared" si="44"/>
        <v>2.2611915377974015</v>
      </c>
      <c r="V105" s="339">
        <v>108247.68949999999</v>
      </c>
      <c r="W105" s="3">
        <v>199.94796112</v>
      </c>
      <c r="X105" s="3"/>
      <c r="Z105" s="977"/>
      <c r="AA105" s="35"/>
      <c r="AB105" s="873"/>
      <c r="AC105" s="390" t="s">
        <v>750</v>
      </c>
      <c r="AD105" s="977"/>
      <c r="AE105" s="954"/>
      <c r="AF105" s="873"/>
      <c r="AG105"/>
      <c r="AH105"/>
      <c r="AJ105" s="30">
        <f t="shared" si="45"/>
        <v>3.3156498673740049E-2</v>
      </c>
      <c r="AK105" s="35"/>
      <c r="AL105" s="873"/>
      <c r="AM105" s="339">
        <v>0.70305852816000003</v>
      </c>
      <c r="AN105" s="595"/>
      <c r="AO105" s="633"/>
      <c r="AP105" s="633">
        <f t="shared" si="46"/>
        <v>0.3109239161777691</v>
      </c>
      <c r="AQ105" s="596">
        <f t="shared" si="47"/>
        <v>0.98579056681248256</v>
      </c>
      <c r="AR105" s="596">
        <f t="shared" si="48"/>
        <v>205.75370484692155</v>
      </c>
      <c r="AS105" s="576">
        <f t="shared" si="49"/>
        <v>2.3268481142005815</v>
      </c>
      <c r="AT105" s="669">
        <f t="shared" si="53"/>
        <v>0.30215058897453856</v>
      </c>
      <c r="AU105" s="256">
        <f t="shared" si="50"/>
        <v>0.3109239161777691</v>
      </c>
      <c r="AV105" s="359"/>
      <c r="AW105" s="873"/>
      <c r="AY105" s="971"/>
      <c r="AZ105" s="763">
        <v>1934</v>
      </c>
      <c r="BA105" s="293"/>
    </row>
    <row r="106" spans="2:53">
      <c r="B106" s="991"/>
      <c r="C106" s="954"/>
      <c r="D106" s="871"/>
      <c r="E106" s="873"/>
      <c r="F106" s="873"/>
      <c r="G106" s="873"/>
      <c r="H106" s="873"/>
      <c r="I106" s="905"/>
      <c r="J106" s="221"/>
      <c r="K106" s="35"/>
      <c r="L106" s="521"/>
      <c r="M106" s="339">
        <v>5.3593999999999996E-2</v>
      </c>
      <c r="N106" s="339">
        <v>72.009</v>
      </c>
      <c r="O106" s="339">
        <v>152.39999999999998</v>
      </c>
      <c r="P106" s="141">
        <f t="shared" si="43"/>
        <v>5.7738152491526175E-2</v>
      </c>
      <c r="Q106" s="339">
        <f t="shared" si="52"/>
        <v>1343.6018957345973</v>
      </c>
      <c r="R106" s="35"/>
      <c r="S106" s="1057"/>
      <c r="T106" s="465" t="s">
        <v>175</v>
      </c>
      <c r="U106" s="3">
        <f t="shared" si="44"/>
        <v>4.8484151553420975</v>
      </c>
      <c r="V106" s="339">
        <v>108247.68949999999</v>
      </c>
      <c r="W106" s="3">
        <v>199.94796112</v>
      </c>
      <c r="X106" s="3"/>
      <c r="Z106" s="977"/>
      <c r="AA106" s="35"/>
      <c r="AB106" s="873"/>
      <c r="AC106" s="390" t="s">
        <v>750</v>
      </c>
      <c r="AD106" s="977"/>
      <c r="AE106" s="954"/>
      <c r="AF106" s="873"/>
      <c r="AG106"/>
      <c r="AH106"/>
      <c r="AJ106" s="30">
        <f t="shared" si="45"/>
        <v>1.1022927689594356E-2</v>
      </c>
      <c r="AK106" s="35"/>
      <c r="AL106" s="873"/>
      <c r="AM106" s="339">
        <v>0.19578845087999999</v>
      </c>
      <c r="AN106" s="595"/>
      <c r="AO106" s="633"/>
      <c r="AP106" s="633">
        <f t="shared" si="46"/>
        <v>4.0381948452635229E-2</v>
      </c>
      <c r="AQ106" s="596">
        <f t="shared" si="47"/>
        <v>2.02500051528239</v>
      </c>
      <c r="AR106" s="596">
        <f t="shared" si="48"/>
        <v>48.760337597889752</v>
      </c>
      <c r="AS106" s="576">
        <f t="shared" si="49"/>
        <v>1.1823594422516897</v>
      </c>
      <c r="AT106" s="669">
        <f t="shared" si="53"/>
        <v>0.16559131164643109</v>
      </c>
      <c r="AU106" s="256">
        <f t="shared" si="50"/>
        <v>4.0381948452635229E-2</v>
      </c>
      <c r="AV106" s="359"/>
      <c r="AW106" s="873"/>
      <c r="AY106" s="971"/>
      <c r="AZ106" s="763">
        <v>1934</v>
      </c>
      <c r="BA106" s="293"/>
    </row>
    <row r="107" spans="2:53">
      <c r="B107" s="991"/>
      <c r="C107" s="954"/>
      <c r="D107" s="871"/>
      <c r="E107" s="873"/>
      <c r="F107" s="873"/>
      <c r="G107" s="873"/>
      <c r="H107" s="873"/>
      <c r="I107" s="905"/>
      <c r="J107" s="221"/>
      <c r="K107" s="35"/>
      <c r="L107" s="521"/>
      <c r="M107" s="339">
        <v>5.1053999999999988E-2</v>
      </c>
      <c r="N107" s="339">
        <v>72.009</v>
      </c>
      <c r="O107" s="339">
        <v>152.39999999999998</v>
      </c>
      <c r="P107" s="141">
        <f t="shared" si="43"/>
        <v>5.6353342978340749E-2</v>
      </c>
      <c r="Q107" s="339">
        <f t="shared" si="52"/>
        <v>1410.4477611940301</v>
      </c>
      <c r="R107" s="35"/>
      <c r="S107" s="1057"/>
      <c r="T107" s="465" t="s">
        <v>175</v>
      </c>
      <c r="U107" s="3">
        <f t="shared" si="44"/>
        <v>4.6186324465581112</v>
      </c>
      <c r="V107" s="339">
        <v>108247.68949999999</v>
      </c>
      <c r="W107" s="3">
        <v>199.94796112</v>
      </c>
      <c r="X107" s="3"/>
      <c r="Z107" s="977"/>
      <c r="AA107" s="35"/>
      <c r="AB107" s="873"/>
      <c r="AC107" s="390" t="s">
        <v>750</v>
      </c>
      <c r="AD107" s="977"/>
      <c r="AE107" s="954"/>
      <c r="AF107" s="873"/>
      <c r="AG107"/>
      <c r="AH107"/>
      <c r="AJ107" s="30">
        <f t="shared" si="45"/>
        <v>1.1022927689594356E-2</v>
      </c>
      <c r="AK107" s="35"/>
      <c r="AL107" s="873"/>
      <c r="AM107" s="339">
        <v>0.18688897584000003</v>
      </c>
      <c r="AN107" s="595"/>
      <c r="AO107" s="633"/>
      <c r="AP107" s="633">
        <f t="shared" si="46"/>
        <v>4.0464136950164348E-2</v>
      </c>
      <c r="AQ107" s="596">
        <f t="shared" si="47"/>
        <v>2.0747622477646366</v>
      </c>
      <c r="AR107" s="596">
        <f t="shared" si="48"/>
        <v>46.449421124056109</v>
      </c>
      <c r="AS107" s="576">
        <f t="shared" si="49"/>
        <v>1.0729431914469691</v>
      </c>
      <c r="AT107" s="669">
        <f t="shared" si="53"/>
        <v>0.17418347712143262</v>
      </c>
      <c r="AU107" s="256">
        <f t="shared" si="50"/>
        <v>4.0464136950164348E-2</v>
      </c>
      <c r="AV107" s="359"/>
      <c r="AW107" s="873"/>
      <c r="AY107" s="971"/>
      <c r="AZ107" s="763">
        <v>1934</v>
      </c>
      <c r="BA107" s="293"/>
    </row>
    <row r="108" spans="2:53">
      <c r="B108" s="991"/>
      <c r="C108" s="954"/>
      <c r="D108" s="871"/>
      <c r="E108" s="873"/>
      <c r="F108" s="873"/>
      <c r="G108" s="873"/>
      <c r="H108" s="873"/>
      <c r="I108" s="905"/>
      <c r="J108" s="221"/>
      <c r="K108" s="35"/>
      <c r="L108" s="521"/>
      <c r="M108" s="339">
        <v>5.4101999999999997E-2</v>
      </c>
      <c r="N108" s="339">
        <v>47.625</v>
      </c>
      <c r="O108" s="339">
        <v>152.39999999999998</v>
      </c>
      <c r="P108" s="141">
        <f t="shared" si="43"/>
        <v>0.10785471709665738</v>
      </c>
      <c r="Q108" s="339">
        <f t="shared" si="52"/>
        <v>880.28169014084506</v>
      </c>
      <c r="R108" s="35"/>
      <c r="S108" s="1057"/>
      <c r="T108" s="465" t="s">
        <v>175</v>
      </c>
      <c r="U108" s="3">
        <f t="shared" si="44"/>
        <v>3.2370183181870997</v>
      </c>
      <c r="V108" s="339">
        <v>108247.68949999999</v>
      </c>
      <c r="W108" s="3">
        <v>199.94796112</v>
      </c>
      <c r="X108" s="3"/>
      <c r="Z108" s="977"/>
      <c r="AA108" s="35"/>
      <c r="AB108" s="873"/>
      <c r="AC108" s="390" t="s">
        <v>750</v>
      </c>
      <c r="AD108" s="977"/>
      <c r="AE108" s="954"/>
      <c r="AF108" s="873"/>
      <c r="AG108"/>
      <c r="AH108"/>
      <c r="AJ108" s="30">
        <f t="shared" si="45"/>
        <v>1.6666666666666666E-2</v>
      </c>
      <c r="AK108" s="35"/>
      <c r="AL108" s="873"/>
      <c r="AM108" s="339">
        <v>0.21358740096000001</v>
      </c>
      <c r="AN108" s="595"/>
      <c r="AO108" s="633"/>
      <c r="AP108" s="633">
        <f t="shared" si="46"/>
        <v>6.5982759430172205E-2</v>
      </c>
      <c r="AQ108" s="596">
        <f t="shared" si="47"/>
        <v>1.6390819524780058</v>
      </c>
      <c r="AR108" s="596">
        <f t="shared" si="48"/>
        <v>74.424451589696602</v>
      </c>
      <c r="AS108" s="576">
        <f t="shared" si="49"/>
        <v>1.2048800686309142</v>
      </c>
      <c r="AT108" s="669">
        <f t="shared" si="53"/>
        <v>0.17726859836157469</v>
      </c>
      <c r="AU108" s="256">
        <f t="shared" si="50"/>
        <v>6.5982759430172205E-2</v>
      </c>
      <c r="AV108" s="359"/>
      <c r="AW108" s="873"/>
      <c r="AY108" s="971"/>
      <c r="AZ108" s="763">
        <v>1934</v>
      </c>
      <c r="BA108" s="293"/>
    </row>
    <row r="109" spans="2:53">
      <c r="B109" s="991"/>
      <c r="C109" s="954"/>
      <c r="D109" s="871"/>
      <c r="E109" s="873"/>
      <c r="F109" s="873"/>
      <c r="G109" s="873"/>
      <c r="H109" s="873"/>
      <c r="I109" s="905"/>
      <c r="J109" s="221"/>
      <c r="K109" s="35"/>
      <c r="L109" s="521"/>
      <c r="M109" s="339">
        <v>5.2577999999999993E-2</v>
      </c>
      <c r="N109" s="339">
        <v>47.625</v>
      </c>
      <c r="O109" s="339">
        <v>152.39999999999998</v>
      </c>
      <c r="P109" s="141">
        <f t="shared" si="43"/>
        <v>0.10632478544535134</v>
      </c>
      <c r="Q109" s="339">
        <f t="shared" si="52"/>
        <v>905.79710144927549</v>
      </c>
      <c r="R109" s="35"/>
      <c r="S109" s="1057"/>
      <c r="T109" s="465" t="s">
        <v>175</v>
      </c>
      <c r="U109" s="3">
        <f t="shared" si="44"/>
        <v>3.1458347035902796</v>
      </c>
      <c r="V109" s="339">
        <v>108247.68949999999</v>
      </c>
      <c r="W109" s="3">
        <v>199.94796112</v>
      </c>
      <c r="X109" s="3"/>
      <c r="Z109" s="977"/>
      <c r="AA109" s="35"/>
      <c r="AB109" s="873"/>
      <c r="AC109" s="390" t="s">
        <v>750</v>
      </c>
      <c r="AD109" s="977"/>
      <c r="AE109" s="954"/>
      <c r="AF109" s="873"/>
      <c r="AG109"/>
      <c r="AH109"/>
      <c r="AJ109" s="30">
        <f t="shared" si="45"/>
        <v>1.6666666666666666E-2</v>
      </c>
      <c r="AK109" s="35"/>
      <c r="AL109" s="873"/>
      <c r="AM109" s="339">
        <v>0.18243923832</v>
      </c>
      <c r="AN109" s="595"/>
      <c r="AO109" s="633"/>
      <c r="AP109" s="633">
        <f t="shared" si="46"/>
        <v>5.7993904801096403E-2</v>
      </c>
      <c r="AQ109" s="596">
        <f t="shared" si="47"/>
        <v>1.6626670775048462</v>
      </c>
      <c r="AR109" s="596">
        <f t="shared" si="48"/>
        <v>72.327988164634718</v>
      </c>
      <c r="AS109" s="576">
        <f t="shared" si="49"/>
        <v>1.1379555657115217</v>
      </c>
      <c r="AT109" s="669">
        <f t="shared" si="53"/>
        <v>0.16032193507127626</v>
      </c>
      <c r="AU109" s="256">
        <f t="shared" si="50"/>
        <v>5.7993904801096403E-2</v>
      </c>
      <c r="AV109" s="359"/>
      <c r="AW109" s="873"/>
      <c r="AY109" s="971"/>
      <c r="AZ109" s="763">
        <v>1934</v>
      </c>
      <c r="BA109" s="293"/>
    </row>
    <row r="110" spans="2:53">
      <c r="B110" s="991"/>
      <c r="C110" s="954"/>
      <c r="D110" s="871"/>
      <c r="E110" s="873"/>
      <c r="F110" s="873"/>
      <c r="G110" s="873"/>
      <c r="H110" s="873"/>
      <c r="I110" s="905"/>
      <c r="J110" s="221"/>
      <c r="K110" s="35"/>
      <c r="L110" s="521"/>
      <c r="M110" s="339">
        <v>0.15087599999999998</v>
      </c>
      <c r="N110" s="339">
        <v>72.263000000000005</v>
      </c>
      <c r="O110" s="339">
        <v>304.79999999999995</v>
      </c>
      <c r="P110" s="141">
        <f t="shared" si="43"/>
        <v>0.1927307726345221</v>
      </c>
      <c r="Q110" s="339">
        <f t="shared" si="52"/>
        <v>478.95622895622904</v>
      </c>
      <c r="R110" s="35"/>
      <c r="S110" s="1057"/>
      <c r="T110" s="465" t="s">
        <v>175</v>
      </c>
      <c r="U110" s="3">
        <f t="shared" si="44"/>
        <v>13.69723785027587</v>
      </c>
      <c r="V110" s="339">
        <v>112384.54388</v>
      </c>
      <c r="W110" s="3">
        <v>199.94796112</v>
      </c>
      <c r="X110" s="3"/>
      <c r="Z110" s="977"/>
      <c r="AA110" s="35"/>
      <c r="AB110" s="873"/>
      <c r="AC110" s="390" t="s">
        <v>750</v>
      </c>
      <c r="AD110" s="977"/>
      <c r="AE110" s="954"/>
      <c r="AF110" s="873"/>
      <c r="AG110"/>
      <c r="AH110"/>
      <c r="AJ110" s="30">
        <f t="shared" si="45"/>
        <v>1.0984182776801405E-2</v>
      </c>
      <c r="AK110" s="35"/>
      <c r="AL110" s="873"/>
      <c r="AM110" s="339">
        <v>2.7677367374400004</v>
      </c>
      <c r="AN110" s="595"/>
      <c r="AO110" s="633"/>
      <c r="AP110" s="633">
        <f t="shared" si="46"/>
        <v>0.20206531913178805</v>
      </c>
      <c r="AQ110" s="596">
        <f t="shared" si="47"/>
        <v>1.1865711122003584</v>
      </c>
      <c r="AR110" s="596">
        <f t="shared" si="48"/>
        <v>142.01343690806706</v>
      </c>
      <c r="AS110" s="576">
        <f t="shared" si="49"/>
        <v>9.7284904150511515</v>
      </c>
      <c r="AT110" s="669">
        <f t="shared" si="53"/>
        <v>0.28449806900749747</v>
      </c>
      <c r="AU110" s="256">
        <f t="shared" si="50"/>
        <v>0.20206531913178805</v>
      </c>
      <c r="AV110" s="359"/>
      <c r="AW110" s="873"/>
      <c r="AY110" s="971"/>
      <c r="AZ110" s="763">
        <v>1934</v>
      </c>
      <c r="BA110" s="293"/>
    </row>
    <row r="111" spans="2:53">
      <c r="B111" s="991"/>
      <c r="C111" s="954"/>
      <c r="D111" s="871"/>
      <c r="E111" s="873"/>
      <c r="F111" s="873"/>
      <c r="G111" s="873"/>
      <c r="H111" s="873"/>
      <c r="I111" s="905"/>
      <c r="J111" s="221"/>
      <c r="K111" s="35"/>
      <c r="L111" s="521"/>
      <c r="M111" s="339">
        <v>0.14858999999999997</v>
      </c>
      <c r="N111" s="339">
        <v>72.263000000000005</v>
      </c>
      <c r="O111" s="339">
        <v>304.79999999999995</v>
      </c>
      <c r="P111" s="141">
        <f t="shared" si="43"/>
        <v>0.19126511811189179</v>
      </c>
      <c r="Q111" s="339">
        <f t="shared" si="52"/>
        <v>486.32478632478643</v>
      </c>
      <c r="R111" s="35"/>
      <c r="S111" s="1057"/>
      <c r="T111" s="465" t="s">
        <v>175</v>
      </c>
      <c r="U111" s="3">
        <f t="shared" si="44"/>
        <v>13.489703943453508</v>
      </c>
      <c r="V111" s="339">
        <v>112384.54388</v>
      </c>
      <c r="W111" s="3">
        <v>199.94796112</v>
      </c>
      <c r="X111" s="3"/>
      <c r="Z111" s="977"/>
      <c r="AA111" s="35"/>
      <c r="AB111" s="873"/>
      <c r="AC111" s="390" t="s">
        <v>750</v>
      </c>
      <c r="AD111" s="977"/>
      <c r="AE111" s="954"/>
      <c r="AF111" s="873"/>
      <c r="AG111"/>
      <c r="AH111"/>
      <c r="AJ111" s="30">
        <f t="shared" si="45"/>
        <v>1.0984182776801405E-2</v>
      </c>
      <c r="AK111" s="35"/>
      <c r="AL111" s="873"/>
      <c r="AM111" s="339">
        <v>3.8045255796000004</v>
      </c>
      <c r="AN111" s="595"/>
      <c r="AO111" s="633"/>
      <c r="AP111" s="633">
        <f t="shared" si="46"/>
        <v>0.28203180703949543</v>
      </c>
      <c r="AQ111" s="596">
        <f t="shared" si="47"/>
        <v>1.1956637441145663</v>
      </c>
      <c r="AR111" s="596">
        <f t="shared" si="48"/>
        <v>139.86171816703575</v>
      </c>
      <c r="AS111" s="576">
        <f t="shared" si="49"/>
        <v>9.4359210292908902</v>
      </c>
      <c r="AT111" s="669">
        <f t="shared" si="53"/>
        <v>0.40319599621383334</v>
      </c>
      <c r="AU111" s="256">
        <f t="shared" si="50"/>
        <v>0.28203180703949543</v>
      </c>
      <c r="AV111" s="359"/>
      <c r="AW111" s="873"/>
      <c r="AY111" s="971"/>
      <c r="AZ111" s="763">
        <v>1934</v>
      </c>
      <c r="BA111" s="293"/>
    </row>
    <row r="112" spans="2:53">
      <c r="B112" s="991"/>
      <c r="C112" s="954"/>
      <c r="D112" s="871"/>
      <c r="E112" s="873"/>
      <c r="F112" s="873"/>
      <c r="G112" s="873"/>
      <c r="H112" s="873"/>
      <c r="I112" s="905"/>
      <c r="J112" s="221"/>
      <c r="K112" s="35"/>
      <c r="L112" s="521"/>
      <c r="M112" s="339">
        <v>0.14858999999999997</v>
      </c>
      <c r="N112" s="339">
        <v>72.263000000000005</v>
      </c>
      <c r="O112" s="339">
        <v>304.79999999999995</v>
      </c>
      <c r="P112" s="141">
        <f t="shared" si="43"/>
        <v>0.19126511811189179</v>
      </c>
      <c r="Q112" s="339">
        <f t="shared" si="52"/>
        <v>486.32478632478643</v>
      </c>
      <c r="R112" s="35"/>
      <c r="S112" s="1057"/>
      <c r="T112" s="465" t="s">
        <v>175</v>
      </c>
      <c r="U112" s="3">
        <f t="shared" si="44"/>
        <v>13.489703943453508</v>
      </c>
      <c r="V112" s="339">
        <v>112384.54388</v>
      </c>
      <c r="W112" s="3">
        <v>199.94796112</v>
      </c>
      <c r="X112" s="3"/>
      <c r="Z112" s="977"/>
      <c r="AA112" s="35"/>
      <c r="AB112" s="873"/>
      <c r="AC112" s="390" t="s">
        <v>750</v>
      </c>
      <c r="AD112" s="977"/>
      <c r="AE112" s="954"/>
      <c r="AF112" s="873"/>
      <c r="AG112"/>
      <c r="AH112"/>
      <c r="AJ112" s="30">
        <f t="shared" si="45"/>
        <v>1.0984182776801405E-2</v>
      </c>
      <c r="AK112" s="35"/>
      <c r="AL112" s="873"/>
      <c r="AM112" s="339">
        <v>3.6265360788000001</v>
      </c>
      <c r="AN112" s="595"/>
      <c r="AO112" s="633"/>
      <c r="AP112" s="633">
        <f t="shared" si="46"/>
        <v>0.26883733653472369</v>
      </c>
      <c r="AQ112" s="596">
        <f t="shared" si="47"/>
        <v>1.1956637441145663</v>
      </c>
      <c r="AR112" s="596">
        <f t="shared" si="48"/>
        <v>139.86171816703575</v>
      </c>
      <c r="AS112" s="576">
        <f t="shared" si="49"/>
        <v>9.4359210292908902</v>
      </c>
      <c r="AT112" s="669">
        <f t="shared" si="53"/>
        <v>0.38433302563073002</v>
      </c>
      <c r="AU112" s="256">
        <f t="shared" si="50"/>
        <v>0.26883733653472369</v>
      </c>
      <c r="AV112" s="359"/>
      <c r="AW112" s="873"/>
      <c r="AY112" s="971"/>
      <c r="AZ112" s="763">
        <v>1934</v>
      </c>
      <c r="BA112" s="293"/>
    </row>
    <row r="113" spans="1:53">
      <c r="B113" s="991"/>
      <c r="C113" s="954"/>
      <c r="D113" s="871"/>
      <c r="E113" s="873"/>
      <c r="F113" s="873"/>
      <c r="G113" s="873"/>
      <c r="H113" s="873"/>
      <c r="I113" s="905"/>
      <c r="J113" s="221"/>
      <c r="K113" s="35"/>
      <c r="L113" s="521"/>
      <c r="M113" s="339">
        <v>0.151892</v>
      </c>
      <c r="N113" s="339">
        <v>47.625</v>
      </c>
      <c r="O113" s="339">
        <v>304.79999999999995</v>
      </c>
      <c r="P113" s="141">
        <f t="shared" si="43"/>
        <v>0.36143477050960843</v>
      </c>
      <c r="Q113" s="339">
        <f t="shared" si="52"/>
        <v>313.54515050167225</v>
      </c>
      <c r="R113" s="35"/>
      <c r="S113" s="1057"/>
      <c r="T113" s="465" t="s">
        <v>175</v>
      </c>
      <c r="U113" s="3">
        <f t="shared" si="44"/>
        <v>9.0879669214830301</v>
      </c>
      <c r="V113" s="339">
        <v>112384.54388</v>
      </c>
      <c r="W113" s="3">
        <v>199.94796112</v>
      </c>
      <c r="X113" s="3"/>
      <c r="Z113" s="977"/>
      <c r="AA113" s="35"/>
      <c r="AB113" s="873"/>
      <c r="AC113" s="390" t="s">
        <v>750</v>
      </c>
      <c r="AD113" s="977"/>
      <c r="AE113" s="954"/>
      <c r="AF113" s="873"/>
      <c r="AG113"/>
      <c r="AH113"/>
      <c r="AJ113" s="30">
        <f t="shared" si="45"/>
        <v>1.6666666666666666E-2</v>
      </c>
      <c r="AK113" s="35"/>
      <c r="AL113" s="873"/>
      <c r="AM113" s="339">
        <v>2.4340064234400001</v>
      </c>
      <c r="AN113" s="595"/>
      <c r="AO113" s="633"/>
      <c r="AP113" s="633">
        <f t="shared" si="46"/>
        <v>0.26782738586847804</v>
      </c>
      <c r="AQ113" s="596">
        <f t="shared" si="47"/>
        <v>0.96005453211704062</v>
      </c>
      <c r="AR113" s="596">
        <f t="shared" si="48"/>
        <v>216.93277696616266</v>
      </c>
      <c r="AS113" s="576">
        <f t="shared" si="49"/>
        <v>9.8599550113479175</v>
      </c>
      <c r="AT113" s="669">
        <f t="shared" si="53"/>
        <v>0.24685776158599904</v>
      </c>
      <c r="AU113" s="256">
        <f t="shared" si="50"/>
        <v>0.26782738586847804</v>
      </c>
      <c r="AV113" s="359"/>
      <c r="AW113" s="873"/>
      <c r="AY113" s="971"/>
      <c r="AZ113" s="763">
        <v>1934</v>
      </c>
      <c r="BA113" s="293"/>
    </row>
    <row r="114" spans="1:53">
      <c r="B114" s="991"/>
      <c r="C114" s="954"/>
      <c r="D114" s="871"/>
      <c r="E114" s="873"/>
      <c r="F114" s="873"/>
      <c r="G114" s="873"/>
      <c r="H114" s="873"/>
      <c r="I114" s="905"/>
      <c r="J114" s="221"/>
      <c r="K114" s="35"/>
      <c r="L114" s="521"/>
      <c r="M114" s="339">
        <v>0.14909800000000001</v>
      </c>
      <c r="N114" s="339">
        <v>23.939499999999999</v>
      </c>
      <c r="O114" s="339">
        <v>304.79999999999995</v>
      </c>
      <c r="P114" s="141">
        <f t="shared" si="43"/>
        <v>1.0047968348599594</v>
      </c>
      <c r="Q114" s="339">
        <f t="shared" si="52"/>
        <v>160.56218057921635</v>
      </c>
      <c r="R114" s="35"/>
      <c r="S114" s="1057"/>
      <c r="T114" s="465" t="s">
        <v>175</v>
      </c>
      <c r="U114" s="3">
        <f t="shared" si="44"/>
        <v>4.484187272591468</v>
      </c>
      <c r="V114" s="339">
        <v>112384.54388</v>
      </c>
      <c r="W114" s="3">
        <v>199.94796112</v>
      </c>
      <c r="X114" s="3"/>
      <c r="Z114" s="977"/>
      <c r="AA114" s="35"/>
      <c r="AB114" s="873"/>
      <c r="AC114" s="390" t="s">
        <v>750</v>
      </c>
      <c r="AD114" s="977"/>
      <c r="AE114" s="954"/>
      <c r="AF114" s="873"/>
      <c r="AG114"/>
      <c r="AH114"/>
      <c r="AJ114" s="30">
        <f t="shared" si="45"/>
        <v>3.3156498673740049E-2</v>
      </c>
      <c r="AK114" s="35"/>
      <c r="AL114" s="873"/>
      <c r="AM114" s="339">
        <v>3.5731392285600001</v>
      </c>
      <c r="AN114" s="595"/>
      <c r="AO114" s="633"/>
      <c r="AP114" s="633">
        <f t="shared" si="46"/>
        <v>0.79683095538849746</v>
      </c>
      <c r="AQ114" s="596">
        <f t="shared" si="47"/>
        <v>0.68701700513324093</v>
      </c>
      <c r="AR114" s="596">
        <f t="shared" si="48"/>
        <v>423.62541388781841</v>
      </c>
      <c r="AS114" s="576">
        <f t="shared" si="49"/>
        <v>9.5005504365307445</v>
      </c>
      <c r="AT114" s="669">
        <f t="shared" si="53"/>
        <v>0.37609812741173981</v>
      </c>
      <c r="AU114" s="256">
        <f t="shared" si="50"/>
        <v>0.79683095538849746</v>
      </c>
      <c r="AV114" s="359"/>
      <c r="AW114" s="873"/>
      <c r="AY114" s="971"/>
      <c r="AZ114" s="763">
        <v>1934</v>
      </c>
      <c r="BA114" s="293"/>
    </row>
    <row r="115" spans="1:53">
      <c r="B115" s="991"/>
      <c r="C115" s="954"/>
      <c r="D115" s="871"/>
      <c r="E115" s="873"/>
      <c r="F115" s="873"/>
      <c r="G115" s="873"/>
      <c r="H115" s="873"/>
      <c r="I115" s="905"/>
      <c r="J115" s="221"/>
      <c r="K115" s="35"/>
      <c r="L115" s="521"/>
      <c r="M115" s="339">
        <v>4.9021999999999996E-2</v>
      </c>
      <c r="N115" s="339">
        <v>72.009</v>
      </c>
      <c r="O115" s="339">
        <v>304.79999999999995</v>
      </c>
      <c r="P115" s="141">
        <f t="shared" si="43"/>
        <v>0.11044099373320267</v>
      </c>
      <c r="Q115" s="339">
        <f t="shared" si="52"/>
        <v>1468.9119170984457</v>
      </c>
      <c r="R115" s="35"/>
      <c r="S115" s="1057"/>
      <c r="T115" s="465" t="s">
        <v>175</v>
      </c>
      <c r="U115" s="3">
        <f t="shared" si="44"/>
        <v>4.4348062795309247</v>
      </c>
      <c r="V115" s="339">
        <v>108247.68949999999</v>
      </c>
      <c r="W115" s="3">
        <v>199.94796112</v>
      </c>
      <c r="X115" s="3"/>
      <c r="Z115" s="977"/>
      <c r="AA115" s="35"/>
      <c r="AB115" s="873"/>
      <c r="AC115" s="390" t="s">
        <v>750</v>
      </c>
      <c r="AD115" s="977"/>
      <c r="AE115" s="954"/>
      <c r="AF115" s="873"/>
      <c r="AG115"/>
      <c r="AH115"/>
      <c r="AJ115" s="30">
        <f t="shared" si="45"/>
        <v>1.1022927689594356E-2</v>
      </c>
      <c r="AK115" s="35"/>
      <c r="AL115" s="873"/>
      <c r="AM115" s="339">
        <v>0.22248687600000003</v>
      </c>
      <c r="AN115" s="595"/>
      <c r="AO115" s="633"/>
      <c r="AP115" s="633">
        <f t="shared" si="46"/>
        <v>5.01683415185235E-2</v>
      </c>
      <c r="AQ115" s="596">
        <f t="shared" si="47"/>
        <v>2.1173259057998375</v>
      </c>
      <c r="AR115" s="596">
        <f t="shared" si="48"/>
        <v>44.600687944989204</v>
      </c>
      <c r="AS115" s="576">
        <f t="shared" si="49"/>
        <v>0.98923444811287253</v>
      </c>
      <c r="AT115" s="669">
        <f t="shared" si="53"/>
        <v>0.22490813621020811</v>
      </c>
      <c r="AU115" s="256">
        <f t="shared" si="50"/>
        <v>5.01683415185235E-2</v>
      </c>
      <c r="AV115" s="359"/>
      <c r="AW115" s="873"/>
      <c r="AY115" s="971"/>
      <c r="AZ115" s="763">
        <v>1934</v>
      </c>
      <c r="BA115" s="293"/>
    </row>
    <row r="116" spans="1:53">
      <c r="B116" s="991"/>
      <c r="C116" s="954"/>
      <c r="D116" s="871"/>
      <c r="E116" s="873"/>
      <c r="F116" s="873"/>
      <c r="G116" s="873"/>
      <c r="H116" s="873"/>
      <c r="I116" s="905"/>
      <c r="J116" s="221"/>
      <c r="K116" s="35"/>
      <c r="L116" s="521"/>
      <c r="M116" s="339">
        <v>5.2577999999999993E-2</v>
      </c>
      <c r="N116" s="339">
        <v>47.625</v>
      </c>
      <c r="O116" s="339">
        <v>304.79999999999995</v>
      </c>
      <c r="P116" s="141">
        <f t="shared" si="43"/>
        <v>0.21264957089070269</v>
      </c>
      <c r="Q116" s="339">
        <f t="shared" si="52"/>
        <v>905.79710144927549</v>
      </c>
      <c r="R116" s="35"/>
      <c r="S116" s="1057"/>
      <c r="T116" s="465" t="s">
        <v>175</v>
      </c>
      <c r="U116" s="3">
        <f t="shared" si="44"/>
        <v>3.1458347035902796</v>
      </c>
      <c r="V116" s="339">
        <v>108247.68949999999</v>
      </c>
      <c r="W116" s="3">
        <v>199.94796112</v>
      </c>
      <c r="X116" s="3"/>
      <c r="Z116" s="977"/>
      <c r="AA116" s="35"/>
      <c r="AB116" s="873"/>
      <c r="AC116" s="390" t="s">
        <v>750</v>
      </c>
      <c r="AD116" s="977"/>
      <c r="AE116" s="954"/>
      <c r="AF116" s="873"/>
      <c r="AG116"/>
      <c r="AH116"/>
      <c r="AJ116" s="30">
        <f t="shared" si="45"/>
        <v>1.6666666666666666E-2</v>
      </c>
      <c r="AK116" s="35"/>
      <c r="AL116" s="873"/>
      <c r="AM116" s="339">
        <v>0.22693661352</v>
      </c>
      <c r="AN116" s="595"/>
      <c r="AO116" s="633"/>
      <c r="AP116" s="633">
        <f t="shared" si="46"/>
        <v>7.2138759630632113E-2</v>
      </c>
      <c r="AQ116" s="596">
        <f t="shared" si="47"/>
        <v>1.6626670775048462</v>
      </c>
      <c r="AR116" s="596">
        <f t="shared" si="48"/>
        <v>72.327988164634718</v>
      </c>
      <c r="AS116" s="576">
        <f t="shared" si="49"/>
        <v>1.1379555657115217</v>
      </c>
      <c r="AT116" s="669">
        <f t="shared" si="53"/>
        <v>0.19942484606427047</v>
      </c>
      <c r="AU116" s="256">
        <f t="shared" si="50"/>
        <v>7.2138759630632113E-2</v>
      </c>
      <c r="AV116" s="359"/>
      <c r="AW116" s="873"/>
      <c r="AY116" s="971"/>
      <c r="AZ116" s="763">
        <v>1934</v>
      </c>
      <c r="BA116" s="293"/>
    </row>
    <row r="117" spans="1:53">
      <c r="B117" s="991"/>
      <c r="C117" s="954"/>
      <c r="D117" s="871"/>
      <c r="E117" s="873"/>
      <c r="F117" s="873"/>
      <c r="G117" s="873"/>
      <c r="H117" s="873"/>
      <c r="I117" s="905"/>
      <c r="J117" s="221"/>
      <c r="K117" s="35"/>
      <c r="L117" s="521"/>
      <c r="M117" s="339">
        <v>0.150368</v>
      </c>
      <c r="N117" s="339">
        <v>72.009</v>
      </c>
      <c r="O117" s="339">
        <v>762</v>
      </c>
      <c r="P117" s="141">
        <f t="shared" si="43"/>
        <v>0.48356238758233866</v>
      </c>
      <c r="Q117" s="339">
        <f t="shared" si="52"/>
        <v>478.88513513513516</v>
      </c>
      <c r="R117" s="35"/>
      <c r="S117" s="1057"/>
      <c r="T117" s="465" t="s">
        <v>175</v>
      </c>
      <c r="U117" s="3">
        <f t="shared" si="44"/>
        <v>13.603136360011954</v>
      </c>
      <c r="V117" s="339">
        <v>112384.54388</v>
      </c>
      <c r="W117" s="3">
        <v>199.94796112</v>
      </c>
      <c r="X117" s="3"/>
      <c r="Z117" s="977"/>
      <c r="AA117" s="35"/>
      <c r="AB117" s="873"/>
      <c r="AC117" s="390" t="s">
        <v>750</v>
      </c>
      <c r="AD117" s="977"/>
      <c r="AE117" s="954"/>
      <c r="AF117" s="873"/>
      <c r="AG117"/>
      <c r="AH117"/>
      <c r="AJ117" s="30">
        <f t="shared" si="45"/>
        <v>1.1022927689594356E-2</v>
      </c>
      <c r="AK117" s="35"/>
      <c r="AL117" s="873"/>
      <c r="AM117" s="339">
        <v>2.7232393622400002</v>
      </c>
      <c r="AN117" s="595"/>
      <c r="AO117" s="633"/>
      <c r="AP117" s="633">
        <f t="shared" si="46"/>
        <v>0.20019202117574061</v>
      </c>
      <c r="AQ117" s="596">
        <f t="shared" si="47"/>
        <v>1.1864830446485537</v>
      </c>
      <c r="AR117" s="596">
        <f t="shared" si="48"/>
        <v>142.03451978814775</v>
      </c>
      <c r="AS117" s="576">
        <f t="shared" si="49"/>
        <v>9.6630889841753334</v>
      </c>
      <c r="AT117" s="669">
        <f t="shared" si="53"/>
        <v>0.281818719324606</v>
      </c>
      <c r="AU117" s="256">
        <f t="shared" si="50"/>
        <v>0.20019202117574061</v>
      </c>
      <c r="AV117" s="359"/>
      <c r="AW117" s="873"/>
      <c r="AY117" s="971"/>
      <c r="AZ117" s="763">
        <v>1934</v>
      </c>
      <c r="BA117" s="293"/>
    </row>
    <row r="118" spans="1:53">
      <c r="B118" s="991"/>
      <c r="C118" s="954"/>
      <c r="D118" s="871"/>
      <c r="E118" s="873"/>
      <c r="F118" s="873"/>
      <c r="G118" s="873"/>
      <c r="H118" s="873"/>
      <c r="I118" s="905"/>
      <c r="J118" s="221"/>
      <c r="K118" s="35"/>
      <c r="L118" s="521"/>
      <c r="M118" s="339">
        <v>0.150114</v>
      </c>
      <c r="N118" s="339">
        <v>47.625</v>
      </c>
      <c r="O118" s="339">
        <v>762</v>
      </c>
      <c r="P118" s="141">
        <f t="shared" si="43"/>
        <v>0.89828280624756474</v>
      </c>
      <c r="Q118" s="339">
        <f t="shared" si="52"/>
        <v>317.25888324873097</v>
      </c>
      <c r="R118" s="35"/>
      <c r="S118" s="1057"/>
      <c r="T118" s="465" t="s">
        <v>175</v>
      </c>
      <c r="U118" s="3">
        <f t="shared" si="44"/>
        <v>8.9815860377867427</v>
      </c>
      <c r="V118" s="339">
        <v>112384.54388</v>
      </c>
      <c r="W118" s="3">
        <v>199.94796112</v>
      </c>
      <c r="X118" s="3"/>
      <c r="Z118" s="977"/>
      <c r="AA118" s="35"/>
      <c r="AB118" s="873"/>
      <c r="AC118" s="390" t="s">
        <v>750</v>
      </c>
      <c r="AD118" s="977"/>
      <c r="AE118" s="954"/>
      <c r="AF118" s="873"/>
      <c r="AG118"/>
      <c r="AH118"/>
      <c r="AJ118" s="30">
        <f t="shared" si="45"/>
        <v>1.6666666666666666E-2</v>
      </c>
      <c r="AK118" s="35"/>
      <c r="AL118" s="873"/>
      <c r="AM118" s="339">
        <v>2.7232393622400002</v>
      </c>
      <c r="AN118" s="595"/>
      <c r="AO118" s="633"/>
      <c r="AP118" s="633">
        <f t="shared" si="46"/>
        <v>0.3032025024069207</v>
      </c>
      <c r="AQ118" s="596">
        <f t="shared" si="47"/>
        <v>0.96572339768462767</v>
      </c>
      <c r="AR118" s="596">
        <f t="shared" si="48"/>
        <v>214.39343007859884</v>
      </c>
      <c r="AS118" s="576">
        <f t="shared" si="49"/>
        <v>9.6304709855555615</v>
      </c>
      <c r="AT118" s="669">
        <f t="shared" si="53"/>
        <v>0.28277322742828476</v>
      </c>
      <c r="AU118" s="256">
        <f t="shared" si="50"/>
        <v>0.3032025024069207</v>
      </c>
      <c r="AV118" s="359"/>
      <c r="AW118" s="873"/>
      <c r="AY118" s="971"/>
      <c r="AZ118" s="763">
        <v>1934</v>
      </c>
      <c r="BA118" s="293"/>
    </row>
    <row r="119" spans="1:53">
      <c r="B119" s="991"/>
      <c r="C119" s="954"/>
      <c r="D119" s="871"/>
      <c r="E119" s="873"/>
      <c r="F119" s="873"/>
      <c r="G119" s="873"/>
      <c r="H119" s="873"/>
      <c r="I119" s="905"/>
      <c r="J119" s="221"/>
      <c r="K119" s="35"/>
      <c r="L119" s="521"/>
      <c r="M119" s="339">
        <v>0.151638</v>
      </c>
      <c r="N119" s="339">
        <v>23.939499999999999</v>
      </c>
      <c r="O119" s="339">
        <v>762</v>
      </c>
      <c r="P119" s="141">
        <f t="shared" si="43"/>
        <v>2.5332985933106458</v>
      </c>
      <c r="Q119" s="339">
        <f t="shared" si="52"/>
        <v>157.87269681742043</v>
      </c>
      <c r="R119" s="35"/>
      <c r="S119" s="1057"/>
      <c r="T119" s="465" t="s">
        <v>175</v>
      </c>
      <c r="U119" s="3">
        <f t="shared" si="44"/>
        <v>4.5605788785981369</v>
      </c>
      <c r="V119" s="339">
        <v>112384.54388</v>
      </c>
      <c r="W119" s="3">
        <v>199.94796112</v>
      </c>
      <c r="X119" s="3"/>
      <c r="Z119" s="977"/>
      <c r="AA119" s="35"/>
      <c r="AB119" s="873"/>
      <c r="AC119" s="390" t="s">
        <v>750</v>
      </c>
      <c r="AD119" s="977"/>
      <c r="AE119" s="954"/>
      <c r="AF119" s="873"/>
      <c r="AG119"/>
      <c r="AH119"/>
      <c r="AJ119" s="30">
        <f t="shared" si="45"/>
        <v>3.3156498673740049E-2</v>
      </c>
      <c r="AK119" s="35"/>
      <c r="AL119" s="873"/>
      <c r="AM119" s="339">
        <v>3.7733774169600003</v>
      </c>
      <c r="AN119" s="595"/>
      <c r="AO119" s="633"/>
      <c r="AP119" s="633">
        <f t="shared" si="46"/>
        <v>0.82739001284851976</v>
      </c>
      <c r="AQ119" s="596">
        <f t="shared" si="47"/>
        <v>0.68123879482235938</v>
      </c>
      <c r="AR119" s="596">
        <f t="shared" si="48"/>
        <v>430.84220117721901</v>
      </c>
      <c r="AS119" s="576">
        <f t="shared" si="49"/>
        <v>9.8270061454555826</v>
      </c>
      <c r="AT119" s="669">
        <f t="shared" si="53"/>
        <v>0.3839803660553287</v>
      </c>
      <c r="AU119" s="256">
        <f t="shared" si="50"/>
        <v>0.82739001284851976</v>
      </c>
      <c r="AV119" s="359"/>
      <c r="AW119" s="873"/>
      <c r="AY119" s="971"/>
      <c r="AZ119" s="763">
        <v>1934</v>
      </c>
      <c r="BA119" s="293"/>
    </row>
    <row r="120" spans="1:53">
      <c r="B120" s="991"/>
      <c r="C120" s="954"/>
      <c r="D120" s="871"/>
      <c r="E120" s="873"/>
      <c r="F120" s="873"/>
      <c r="G120" s="873"/>
      <c r="H120" s="873"/>
      <c r="I120" s="905"/>
      <c r="J120" s="221"/>
      <c r="K120" s="35"/>
      <c r="L120" s="521"/>
      <c r="M120" s="339">
        <v>7.4929999999999997E-2</v>
      </c>
      <c r="N120" s="339">
        <v>47.625</v>
      </c>
      <c r="O120" s="339">
        <v>152.39999999999998</v>
      </c>
      <c r="P120" s="141">
        <f t="shared" si="43"/>
        <v>0.12692885146149133</v>
      </c>
      <c r="Q120" s="339">
        <f t="shared" si="52"/>
        <v>635.59322033898309</v>
      </c>
      <c r="R120" s="35"/>
      <c r="S120" s="1057"/>
      <c r="T120" s="465" t="s">
        <v>175</v>
      </c>
      <c r="U120" s="3">
        <f t="shared" si="44"/>
        <v>4.4831943843436353</v>
      </c>
      <c r="V120" s="339">
        <v>108247.689296</v>
      </c>
      <c r="W120" s="3">
        <v>199.94796112</v>
      </c>
      <c r="X120" s="3"/>
      <c r="Z120" s="977"/>
      <c r="AA120" s="35"/>
      <c r="AB120" s="873" t="s">
        <v>869</v>
      </c>
      <c r="AC120" s="390" t="s">
        <v>868</v>
      </c>
      <c r="AD120" s="977"/>
      <c r="AE120" s="954"/>
      <c r="AF120" s="873"/>
      <c r="AG120"/>
      <c r="AH120"/>
      <c r="AJ120" s="30">
        <f t="shared" si="45"/>
        <v>1.6666666666666666E-2</v>
      </c>
      <c r="AK120" s="35"/>
      <c r="AL120" s="873"/>
      <c r="AM120" s="339">
        <v>0.55621718999999992</v>
      </c>
      <c r="AN120" s="595"/>
      <c r="AO120" s="633"/>
      <c r="AP120" s="633">
        <f t="shared" si="46"/>
        <v>0.12406715888618183</v>
      </c>
      <c r="AQ120" s="596">
        <f t="shared" si="47"/>
        <v>1.3927701890768724</v>
      </c>
      <c r="AR120" s="596">
        <f t="shared" si="48"/>
        <v>103.07611820462175</v>
      </c>
      <c r="AS120" s="576">
        <f t="shared" si="49"/>
        <v>2.3111527204699165</v>
      </c>
      <c r="AT120" s="669">
        <f t="shared" si="53"/>
        <v>0.24066656654645777</v>
      </c>
      <c r="AU120" s="256">
        <f t="shared" si="50"/>
        <v>0.12406715888618183</v>
      </c>
      <c r="AV120" s="359"/>
      <c r="AW120" s="873"/>
      <c r="AY120" s="971"/>
      <c r="AZ120" s="763">
        <v>1934</v>
      </c>
      <c r="BA120" s="293"/>
    </row>
    <row r="121" spans="1:53">
      <c r="B121" s="991"/>
      <c r="C121" s="954"/>
      <c r="D121" s="871"/>
      <c r="E121" s="873"/>
      <c r="F121" s="873"/>
      <c r="G121" s="873"/>
      <c r="H121" s="873"/>
      <c r="I121" s="905"/>
      <c r="J121" s="221"/>
      <c r="K121" s="35"/>
      <c r="L121" s="521"/>
      <c r="M121" s="339">
        <v>7.4929999999999997E-2</v>
      </c>
      <c r="N121" s="339">
        <v>47.625</v>
      </c>
      <c r="O121" s="339">
        <v>152.39999999999998</v>
      </c>
      <c r="P121" s="141">
        <f t="shared" si="43"/>
        <v>0.12692885146149133</v>
      </c>
      <c r="Q121" s="339">
        <f t="shared" si="52"/>
        <v>635.59322033898309</v>
      </c>
      <c r="R121" s="35"/>
      <c r="S121" s="1057"/>
      <c r="T121" s="465" t="s">
        <v>175</v>
      </c>
      <c r="U121" s="3">
        <f t="shared" si="44"/>
        <v>4.4831943843436353</v>
      </c>
      <c r="V121" s="339">
        <v>108247.689296</v>
      </c>
      <c r="W121" s="3">
        <v>199.94796112</v>
      </c>
      <c r="X121" s="3"/>
      <c r="Z121" s="977"/>
      <c r="AA121" s="35"/>
      <c r="AB121" s="873"/>
      <c r="AC121" s="390" t="s">
        <v>868</v>
      </c>
      <c r="AD121" s="977"/>
      <c r="AE121" s="954"/>
      <c r="AF121" s="873"/>
      <c r="AG121"/>
      <c r="AH121"/>
      <c r="AJ121" s="30">
        <f t="shared" si="45"/>
        <v>1.6666666666666666E-2</v>
      </c>
      <c r="AK121" s="35"/>
      <c r="AL121" s="873"/>
      <c r="AM121" s="339">
        <v>0.54286797744000004</v>
      </c>
      <c r="AN121" s="595"/>
      <c r="AO121" s="633"/>
      <c r="AP121" s="633">
        <f t="shared" si="46"/>
        <v>0.12108954707291349</v>
      </c>
      <c r="AQ121" s="596">
        <f t="shared" si="47"/>
        <v>1.3927701890768724</v>
      </c>
      <c r="AR121" s="596">
        <f t="shared" si="48"/>
        <v>103.07611820462175</v>
      </c>
      <c r="AS121" s="576">
        <f t="shared" si="49"/>
        <v>2.3111527204699165</v>
      </c>
      <c r="AT121" s="669">
        <f t="shared" si="53"/>
        <v>0.23489056894934279</v>
      </c>
      <c r="AU121" s="256">
        <f t="shared" si="50"/>
        <v>0.12108954707291349</v>
      </c>
      <c r="AV121" s="359"/>
      <c r="AW121" s="873"/>
      <c r="AY121" s="971"/>
      <c r="AZ121" s="763">
        <v>1934</v>
      </c>
      <c r="BA121" s="293"/>
    </row>
    <row r="122" spans="1:53">
      <c r="B122" s="991"/>
      <c r="C122" s="954"/>
      <c r="D122" s="871"/>
      <c r="E122" s="873"/>
      <c r="F122" s="873"/>
      <c r="G122" s="873"/>
      <c r="H122" s="873"/>
      <c r="I122" s="905"/>
      <c r="J122" s="221"/>
      <c r="K122" s="35"/>
      <c r="L122" s="521"/>
      <c r="M122" s="339">
        <v>7.4929999999999997E-2</v>
      </c>
      <c r="N122" s="339">
        <v>47.625</v>
      </c>
      <c r="O122" s="339">
        <v>152.39999999999998</v>
      </c>
      <c r="P122" s="141">
        <f t="shared" si="43"/>
        <v>0.12692885146149133</v>
      </c>
      <c r="Q122" s="339">
        <f t="shared" si="52"/>
        <v>635.59322033898309</v>
      </c>
      <c r="R122" s="35"/>
      <c r="S122" s="1057"/>
      <c r="T122" s="465" t="s">
        <v>175</v>
      </c>
      <c r="U122" s="3">
        <f t="shared" si="44"/>
        <v>4.4831943843436353</v>
      </c>
      <c r="V122" s="339">
        <v>108247.689296</v>
      </c>
      <c r="W122" s="3">
        <v>199.94796112</v>
      </c>
      <c r="X122" s="3"/>
      <c r="Z122" s="977"/>
      <c r="AA122" s="35"/>
      <c r="AB122" s="873"/>
      <c r="AC122" s="390" t="s">
        <v>868</v>
      </c>
      <c r="AD122" s="977"/>
      <c r="AE122" s="954"/>
      <c r="AF122" s="873"/>
      <c r="AG122"/>
      <c r="AH122"/>
      <c r="AJ122" s="30">
        <f t="shared" si="45"/>
        <v>1.6666666666666666E-2</v>
      </c>
      <c r="AK122" s="35"/>
      <c r="AL122" s="873"/>
      <c r="AM122" s="339">
        <v>0.69860879064000003</v>
      </c>
      <c r="AN122" s="595"/>
      <c r="AO122" s="633"/>
      <c r="AP122" s="633">
        <f t="shared" si="46"/>
        <v>0.15582835156104441</v>
      </c>
      <c r="AQ122" s="596">
        <f t="shared" si="47"/>
        <v>1.3927701890768724</v>
      </c>
      <c r="AR122" s="596">
        <f t="shared" si="48"/>
        <v>103.07611820462175</v>
      </c>
      <c r="AS122" s="576">
        <f t="shared" si="49"/>
        <v>2.3111527204699165</v>
      </c>
      <c r="AT122" s="669">
        <f t="shared" si="53"/>
        <v>0.30227720758235099</v>
      </c>
      <c r="AU122" s="256">
        <f t="shared" si="50"/>
        <v>0.15582835156104441</v>
      </c>
      <c r="AV122" s="359"/>
      <c r="AW122" s="873"/>
      <c r="AY122" s="971"/>
      <c r="AZ122" s="763">
        <v>1934</v>
      </c>
      <c r="BA122" s="293"/>
    </row>
    <row r="123" spans="1:53">
      <c r="B123" s="991"/>
      <c r="C123" s="954"/>
      <c r="D123" s="871"/>
      <c r="E123" s="873"/>
      <c r="F123" s="873"/>
      <c r="G123" s="873"/>
      <c r="H123" s="873"/>
      <c r="I123" s="905"/>
      <c r="J123" s="221"/>
      <c r="K123" s="35"/>
      <c r="L123" s="521"/>
      <c r="M123" s="339">
        <v>7.4929999999999997E-2</v>
      </c>
      <c r="N123" s="339">
        <v>47.625</v>
      </c>
      <c r="O123" s="339">
        <v>152.39999999999998</v>
      </c>
      <c r="P123" s="141">
        <f t="shared" si="43"/>
        <v>0.12692885146149133</v>
      </c>
      <c r="Q123" s="339">
        <f t="shared" si="52"/>
        <v>635.59322033898309</v>
      </c>
      <c r="R123" s="35"/>
      <c r="S123" s="1057"/>
      <c r="T123" s="465" t="s">
        <v>175</v>
      </c>
      <c r="U123" s="3">
        <f t="shared" si="44"/>
        <v>4.4831943843436353</v>
      </c>
      <c r="V123" s="339">
        <v>108247.689296</v>
      </c>
      <c r="W123" s="3">
        <v>199.94796112</v>
      </c>
      <c r="X123" s="3"/>
      <c r="Z123" s="977"/>
      <c r="AA123" s="35"/>
      <c r="AB123" s="873"/>
      <c r="AC123" s="390" t="s">
        <v>868</v>
      </c>
      <c r="AD123" s="977"/>
      <c r="AE123" s="954"/>
      <c r="AF123" s="873"/>
      <c r="AG123"/>
      <c r="AH123"/>
      <c r="AJ123" s="30">
        <f t="shared" si="45"/>
        <v>1.6666666666666666E-2</v>
      </c>
      <c r="AK123" s="35"/>
      <c r="AL123" s="873"/>
      <c r="AM123" s="339">
        <v>0.63186272784000008</v>
      </c>
      <c r="AN123" s="595"/>
      <c r="AO123" s="633"/>
      <c r="AP123" s="633">
        <f t="shared" si="46"/>
        <v>0.14094029249470261</v>
      </c>
      <c r="AQ123" s="596">
        <f t="shared" si="47"/>
        <v>1.3927701890768724</v>
      </c>
      <c r="AR123" s="596">
        <f t="shared" si="48"/>
        <v>103.07611820462175</v>
      </c>
      <c r="AS123" s="576">
        <f t="shared" si="49"/>
        <v>2.3111527204699165</v>
      </c>
      <c r="AT123" s="669">
        <f t="shared" si="53"/>
        <v>0.27339721959677615</v>
      </c>
      <c r="AU123" s="256">
        <f t="shared" si="50"/>
        <v>0.14094029249470261</v>
      </c>
      <c r="AV123" s="359"/>
      <c r="AW123" s="873"/>
      <c r="AY123" s="971"/>
      <c r="AZ123" s="763">
        <v>1934</v>
      </c>
      <c r="BA123" s="293"/>
    </row>
    <row r="124" spans="1:53">
      <c r="B124" s="991"/>
      <c r="C124" s="954"/>
      <c r="D124" s="871"/>
      <c r="E124" s="873"/>
      <c r="F124" s="873"/>
      <c r="G124" s="873"/>
      <c r="H124" s="873"/>
      <c r="I124" s="905"/>
      <c r="J124" s="221"/>
      <c r="K124" s="35"/>
      <c r="L124" s="521"/>
      <c r="M124" s="339">
        <v>7.4929999999999997E-2</v>
      </c>
      <c r="N124" s="339">
        <v>47.625</v>
      </c>
      <c r="O124" s="339">
        <v>152.39999999999998</v>
      </c>
      <c r="P124" s="141">
        <f t="shared" si="43"/>
        <v>0.12692885146149133</v>
      </c>
      <c r="Q124" s="339">
        <f t="shared" si="52"/>
        <v>635.59322033898309</v>
      </c>
      <c r="R124" s="35"/>
      <c r="S124" s="1057"/>
      <c r="T124" s="465" t="s">
        <v>175</v>
      </c>
      <c r="U124" s="3">
        <f t="shared" si="44"/>
        <v>4.4831943843436353</v>
      </c>
      <c r="V124" s="339">
        <v>108247.689296</v>
      </c>
      <c r="W124" s="3">
        <v>199.94796112</v>
      </c>
      <c r="X124" s="3"/>
      <c r="Z124" s="977"/>
      <c r="AA124" s="35"/>
      <c r="AB124" s="873"/>
      <c r="AC124" s="390" t="s">
        <v>868</v>
      </c>
      <c r="AD124" s="977"/>
      <c r="AE124" s="954"/>
      <c r="AF124" s="873"/>
      <c r="AG124"/>
      <c r="AH124"/>
      <c r="AJ124" s="30">
        <f t="shared" si="45"/>
        <v>1.6666666666666666E-2</v>
      </c>
      <c r="AK124" s="35"/>
      <c r="AL124" s="873"/>
      <c r="AM124" s="339">
        <v>0.80095275359999996</v>
      </c>
      <c r="AN124" s="595"/>
      <c r="AO124" s="633"/>
      <c r="AP124" s="633">
        <f t="shared" si="46"/>
        <v>0.17865670879610185</v>
      </c>
      <c r="AQ124" s="596">
        <f t="shared" si="47"/>
        <v>1.3927701890768724</v>
      </c>
      <c r="AR124" s="596">
        <f t="shared" si="48"/>
        <v>103.07611820462175</v>
      </c>
      <c r="AS124" s="576">
        <f t="shared" si="49"/>
        <v>2.3111527204699165</v>
      </c>
      <c r="AT124" s="669">
        <f t="shared" si="53"/>
        <v>0.34655985582689924</v>
      </c>
      <c r="AU124" s="256">
        <f t="shared" si="50"/>
        <v>0.17865670879610185</v>
      </c>
      <c r="AV124" s="359"/>
      <c r="AW124" s="873"/>
      <c r="AY124" s="971"/>
      <c r="AZ124" s="763">
        <v>1934</v>
      </c>
      <c r="BA124" s="293"/>
    </row>
    <row r="125" spans="1:53">
      <c r="B125" s="991"/>
      <c r="C125" s="954"/>
      <c r="D125" s="871"/>
      <c r="E125" s="873"/>
      <c r="F125" s="873"/>
      <c r="G125" s="873"/>
      <c r="H125" s="873"/>
      <c r="I125" s="905"/>
      <c r="J125" s="221"/>
      <c r="K125" s="35"/>
      <c r="L125" s="521"/>
      <c r="M125" s="339">
        <v>7.4929999999999997E-2</v>
      </c>
      <c r="N125" s="339">
        <v>47.625</v>
      </c>
      <c r="O125" s="339">
        <v>152.39999999999998</v>
      </c>
      <c r="P125" s="141">
        <f t="shared" si="43"/>
        <v>0.12692885146149133</v>
      </c>
      <c r="Q125" s="339">
        <f t="shared" si="52"/>
        <v>635.59322033898309</v>
      </c>
      <c r="R125" s="35"/>
      <c r="S125" s="1057"/>
      <c r="T125" s="465" t="s">
        <v>175</v>
      </c>
      <c r="U125" s="3">
        <f t="shared" si="44"/>
        <v>4.4831943843436353</v>
      </c>
      <c r="V125" s="339">
        <v>108247.689296</v>
      </c>
      <c r="W125" s="3">
        <v>199.94796112</v>
      </c>
      <c r="X125" s="3"/>
      <c r="Z125" s="977"/>
      <c r="AA125" s="35"/>
      <c r="AB125" s="873"/>
      <c r="AC125" s="390" t="s">
        <v>868</v>
      </c>
      <c r="AD125" s="977"/>
      <c r="AE125" s="954"/>
      <c r="AF125" s="873"/>
      <c r="AG125"/>
      <c r="AH125"/>
      <c r="AJ125" s="30">
        <f t="shared" si="45"/>
        <v>1.6666666666666666E-2</v>
      </c>
      <c r="AK125" s="35"/>
      <c r="AL125" s="873"/>
      <c r="AM125" s="339">
        <v>0.67636010304000005</v>
      </c>
      <c r="AN125" s="595"/>
      <c r="AO125" s="633"/>
      <c r="AP125" s="633">
        <f t="shared" si="46"/>
        <v>0.15086566520559713</v>
      </c>
      <c r="AQ125" s="596">
        <f t="shared" si="47"/>
        <v>1.3927701890768724</v>
      </c>
      <c r="AR125" s="596">
        <f t="shared" si="48"/>
        <v>103.07611820462175</v>
      </c>
      <c r="AS125" s="576">
        <f t="shared" si="49"/>
        <v>2.3111527204699165</v>
      </c>
      <c r="AT125" s="669">
        <f t="shared" si="53"/>
        <v>0.29265054492049269</v>
      </c>
      <c r="AU125" s="256">
        <f t="shared" si="50"/>
        <v>0.15086566520559713</v>
      </c>
      <c r="AV125" s="359"/>
      <c r="AW125" s="873"/>
      <c r="AY125" s="971"/>
      <c r="AZ125" s="763">
        <v>1934</v>
      </c>
      <c r="BA125" s="293"/>
    </row>
    <row r="126" spans="1:53">
      <c r="B126" s="991"/>
      <c r="C126" s="954"/>
      <c r="D126" s="871"/>
      <c r="E126" s="873"/>
      <c r="F126" s="873"/>
      <c r="G126" s="873"/>
      <c r="H126" s="873"/>
      <c r="I126" s="905"/>
      <c r="J126" s="221"/>
      <c r="K126" s="35"/>
      <c r="L126" s="521"/>
      <c r="M126" s="339">
        <v>7.4929999999999997E-2</v>
      </c>
      <c r="N126" s="339">
        <v>47.625</v>
      </c>
      <c r="O126" s="339">
        <v>152.39999999999998</v>
      </c>
      <c r="P126" s="141">
        <f t="shared" si="43"/>
        <v>0.12692885146149133</v>
      </c>
      <c r="Q126" s="339">
        <f t="shared" si="52"/>
        <v>635.59322033898309</v>
      </c>
      <c r="R126" s="35"/>
      <c r="S126" s="1057"/>
      <c r="T126" s="465" t="s">
        <v>175</v>
      </c>
      <c r="U126" s="3">
        <f t="shared" si="44"/>
        <v>4.4831943843436353</v>
      </c>
      <c r="V126" s="339">
        <v>108247.689296</v>
      </c>
      <c r="W126" s="3">
        <v>199.94796112</v>
      </c>
      <c r="X126" s="3"/>
      <c r="Z126" s="977"/>
      <c r="AA126" s="35"/>
      <c r="AB126" s="873"/>
      <c r="AC126" s="390" t="s">
        <v>868</v>
      </c>
      <c r="AD126" s="977"/>
      <c r="AE126" s="954"/>
      <c r="AF126" s="873"/>
      <c r="AG126"/>
      <c r="AH126"/>
      <c r="AJ126" s="30">
        <f t="shared" si="45"/>
        <v>1.6666666666666666E-2</v>
      </c>
      <c r="AK126" s="35"/>
      <c r="AL126" s="873"/>
      <c r="AM126" s="339">
        <v>0.52951876488000005</v>
      </c>
      <c r="AN126" s="595"/>
      <c r="AO126" s="633"/>
      <c r="AP126" s="633">
        <f t="shared" si="46"/>
        <v>0.11811193525964513</v>
      </c>
      <c r="AQ126" s="596">
        <f t="shared" si="47"/>
        <v>1.3927701890768724</v>
      </c>
      <c r="AR126" s="596">
        <f t="shared" si="48"/>
        <v>103.07611820462175</v>
      </c>
      <c r="AS126" s="576">
        <f t="shared" si="49"/>
        <v>2.3111527204699165</v>
      </c>
      <c r="AT126" s="669">
        <f t="shared" si="53"/>
        <v>0.22911457135222785</v>
      </c>
      <c r="AU126" s="256">
        <f t="shared" si="50"/>
        <v>0.11811193525964513</v>
      </c>
      <c r="AV126" s="359"/>
      <c r="AW126" s="873"/>
      <c r="AY126" s="971"/>
      <c r="AZ126" s="763">
        <v>1934</v>
      </c>
      <c r="BA126" s="293"/>
    </row>
    <row r="127" spans="1:53" ht="16.5" thickBot="1">
      <c r="B127" s="992"/>
      <c r="C127" s="935"/>
      <c r="D127" s="872"/>
      <c r="E127" s="874"/>
      <c r="F127" s="874"/>
      <c r="G127" s="874"/>
      <c r="H127" s="874"/>
      <c r="I127" s="906"/>
      <c r="J127" s="223"/>
      <c r="K127" s="36"/>
      <c r="L127" s="453"/>
      <c r="M127" s="111">
        <v>7.4929999999999997E-2</v>
      </c>
      <c r="N127" s="111">
        <v>47.625</v>
      </c>
      <c r="O127" s="111">
        <v>152.39999999999998</v>
      </c>
      <c r="P127" s="141">
        <f t="shared" si="43"/>
        <v>0.12692885146149133</v>
      </c>
      <c r="Q127" s="339">
        <f t="shared" si="52"/>
        <v>635.59322033898309</v>
      </c>
      <c r="R127" s="36"/>
      <c r="S127" s="874"/>
      <c r="T127" s="465" t="s">
        <v>175</v>
      </c>
      <c r="U127" s="3">
        <f t="shared" si="44"/>
        <v>4.4831943843436353</v>
      </c>
      <c r="V127" s="111">
        <v>108247.689296</v>
      </c>
      <c r="W127" s="346">
        <v>199.94796112</v>
      </c>
      <c r="X127" s="346"/>
      <c r="Z127" s="936"/>
      <c r="AA127" s="35"/>
      <c r="AB127" s="873"/>
      <c r="AC127" s="390" t="s">
        <v>868</v>
      </c>
      <c r="AD127" s="977"/>
      <c r="AE127" s="935"/>
      <c r="AF127" s="874"/>
      <c r="AG127" s="18"/>
      <c r="AH127" s="18"/>
      <c r="AJ127" s="30">
        <f t="shared" si="45"/>
        <v>1.6666666666666666E-2</v>
      </c>
      <c r="AK127" s="36"/>
      <c r="AL127" s="874"/>
      <c r="AM127" s="111">
        <v>0.54731771496000003</v>
      </c>
      <c r="AN127" s="572"/>
      <c r="AO127" s="587"/>
      <c r="AP127" s="633">
        <f t="shared" si="46"/>
        <v>0.12208208434400294</v>
      </c>
      <c r="AQ127" s="596">
        <f t="shared" si="47"/>
        <v>1.3927701890768724</v>
      </c>
      <c r="AR127" s="596">
        <f t="shared" si="48"/>
        <v>103.07611820462175</v>
      </c>
      <c r="AS127" s="576">
        <f t="shared" si="49"/>
        <v>2.3111527204699165</v>
      </c>
      <c r="AT127" s="669">
        <f t="shared" si="53"/>
        <v>0.23681590148171447</v>
      </c>
      <c r="AU127" s="256">
        <f t="shared" si="50"/>
        <v>0.12208208434400294</v>
      </c>
      <c r="AV127" s="197"/>
      <c r="AW127" s="874"/>
      <c r="AY127" s="972"/>
      <c r="AZ127" s="763">
        <v>1934</v>
      </c>
      <c r="BA127" s="295"/>
    </row>
    <row r="128" spans="1:53" ht="15.95" customHeight="1">
      <c r="A128" s="321"/>
      <c r="B128" s="990">
        <v>9</v>
      </c>
      <c r="C128" s="944" t="s">
        <v>180</v>
      </c>
      <c r="D128" s="870" t="s">
        <v>181</v>
      </c>
      <c r="E128" s="898">
        <v>1939</v>
      </c>
      <c r="F128" s="870" t="s">
        <v>182</v>
      </c>
      <c r="G128" s="870" t="s">
        <v>183</v>
      </c>
      <c r="H128" s="464"/>
      <c r="I128" s="870" t="s">
        <v>184</v>
      </c>
      <c r="J128" s="222"/>
      <c r="K128" s="34"/>
      <c r="M128" s="62">
        <f>CONVERT(0.0085,"in","mm")</f>
        <v>0.21589999999999998</v>
      </c>
      <c r="N128" s="416">
        <f>CONVERT(6.375,"in","mm")</f>
        <v>161.92500000000001</v>
      </c>
      <c r="O128" s="78">
        <f>1.405228758*$N$128</f>
        <v>227.54166663915001</v>
      </c>
      <c r="P128" s="72">
        <f>O128/$N$128*SQRT($M$128/$N$128)</f>
        <v>5.1311699280771207E-2</v>
      </c>
      <c r="Q128" s="78">
        <f>$N$128/$M$128</f>
        <v>750.00000000000011</v>
      </c>
      <c r="R128" s="34"/>
      <c r="S128" s="870" t="s">
        <v>972</v>
      </c>
      <c r="T128" s="464" t="s">
        <v>163</v>
      </c>
      <c r="U128" s="171"/>
      <c r="V128" s="116">
        <f t="shared" ref="V128:V140" si="54">CONVERT(29*10^6,"psi","Pa")/10^6</f>
        <v>199947.96150188247</v>
      </c>
      <c r="W128" s="116"/>
      <c r="X128" s="171"/>
      <c r="Y128" s="171"/>
      <c r="Z128" s="1064" t="s">
        <v>863</v>
      </c>
      <c r="AA128" s="34"/>
      <c r="AB128" s="870" t="s">
        <v>185</v>
      </c>
      <c r="AC128" s="379" t="s">
        <v>750</v>
      </c>
      <c r="AD128" s="881" t="s">
        <v>186</v>
      </c>
      <c r="AE128" s="34"/>
      <c r="AF128" s="15"/>
      <c r="AG128" s="15"/>
      <c r="AH128" s="15"/>
      <c r="AI128" s="15"/>
      <c r="AJ128" s="29">
        <f t="shared" ref="AJ128:AJ159" si="55">CONVERT(1/2/2,"in","mm")/N128</f>
        <v>3.9215686274509796E-2</v>
      </c>
      <c r="AK128" s="34"/>
      <c r="AL128" s="870" t="s">
        <v>187</v>
      </c>
      <c r="AM128" s="15"/>
      <c r="AN128" s="76">
        <f>0.000314358357420735*$V$128</f>
        <v>62.855312747356123</v>
      </c>
      <c r="AO128" s="597"/>
      <c r="AP128" s="20"/>
      <c r="AQ128" s="598"/>
      <c r="AR128" s="56">
        <f t="shared" ref="AR128:AR140" si="56">1/SQRT(3*(1-0.3^2))*$V$128*1/Q128</f>
        <v>161.35201520258801</v>
      </c>
      <c r="AS128" s="547"/>
      <c r="AT128" s="668">
        <f t="shared" ref="AT128:AT140" si="57">AN128/$AR$128</f>
        <v>0.38955393689032747</v>
      </c>
      <c r="AU128" s="645"/>
      <c r="AV128" s="128"/>
      <c r="AW128" s="15"/>
      <c r="AX128" s="29"/>
      <c r="AY128" s="128"/>
      <c r="AZ128" s="765">
        <v>1939</v>
      </c>
      <c r="BA128" s="292"/>
    </row>
    <row r="129" spans="1:53">
      <c r="A129" s="321"/>
      <c r="B129" s="991"/>
      <c r="C129" s="945"/>
      <c r="D129" s="871"/>
      <c r="E129" s="899"/>
      <c r="F129" s="871"/>
      <c r="G129" s="871"/>
      <c r="H129" s="465"/>
      <c r="I129" s="871"/>
      <c r="J129" s="221"/>
      <c r="K129" s="35"/>
      <c r="M129" s="9">
        <f t="shared" ref="M129:M140" si="58">CONVERT(0.0085,"in","mm")</f>
        <v>0.21589999999999998</v>
      </c>
      <c r="N129" s="417">
        <f t="shared" ref="N129:N192" si="59">CONVERT(6.375,"in","mm")</f>
        <v>161.92500000000001</v>
      </c>
      <c r="O129" s="79">
        <f>1.405228758*$N$128</f>
        <v>227.54166663915001</v>
      </c>
      <c r="P129" s="65">
        <f t="shared" ref="P129:P140" si="60">O129/$N$128*SQRT($M$128/$N$128)</f>
        <v>5.1311699280771207E-2</v>
      </c>
      <c r="Q129" s="79">
        <f t="shared" ref="Q129:Q140" si="61">$N$128/$M$128</f>
        <v>750.00000000000011</v>
      </c>
      <c r="R129" s="35"/>
      <c r="S129" s="871"/>
      <c r="T129" s="465" t="s">
        <v>163</v>
      </c>
      <c r="V129" s="83">
        <f t="shared" si="54"/>
        <v>199947.96150188247</v>
      </c>
      <c r="W129" s="83"/>
      <c r="Z129" s="1065"/>
      <c r="AA129" s="35"/>
      <c r="AB129" s="871"/>
      <c r="AC129" s="380" t="s">
        <v>750</v>
      </c>
      <c r="AD129" s="882"/>
      <c r="AE129" s="35"/>
      <c r="AJ129" s="30">
        <f t="shared" si="55"/>
        <v>3.9215686274509796E-2</v>
      </c>
      <c r="AK129" s="35"/>
      <c r="AL129" s="871"/>
      <c r="AN129" s="558">
        <f>0.000338378166574157*$V$128</f>
        <v>67.658024623247115</v>
      </c>
      <c r="AO129" s="599"/>
      <c r="AQ129" s="600"/>
      <c r="AR129" s="548">
        <f t="shared" si="56"/>
        <v>161.35201520258801</v>
      </c>
      <c r="AT129" s="669">
        <f t="shared" si="57"/>
        <v>0.41931936541541204</v>
      </c>
      <c r="AU129" s="646"/>
      <c r="AY129" s="90"/>
      <c r="AZ129" s="543">
        <v>1939</v>
      </c>
      <c r="BA129" s="293"/>
    </row>
    <row r="130" spans="1:53">
      <c r="A130" s="321"/>
      <c r="B130" s="991"/>
      <c r="C130" s="945"/>
      <c r="D130" s="871"/>
      <c r="E130" s="899"/>
      <c r="F130" s="871"/>
      <c r="G130" s="871"/>
      <c r="H130" s="465"/>
      <c r="I130" s="871"/>
      <c r="J130" s="221"/>
      <c r="K130" s="35"/>
      <c r="M130" s="9">
        <f t="shared" si="58"/>
        <v>0.21589999999999998</v>
      </c>
      <c r="N130" s="417">
        <f t="shared" si="59"/>
        <v>161.92500000000001</v>
      </c>
      <c r="O130" s="79">
        <f>1.405228758*$N$128</f>
        <v>227.54166663915001</v>
      </c>
      <c r="P130" s="65">
        <f>O130/$N$128*SQRT($M$128/$N$128)</f>
        <v>5.1311699280771207E-2</v>
      </c>
      <c r="Q130" s="79">
        <f t="shared" si="61"/>
        <v>750.00000000000011</v>
      </c>
      <c r="R130" s="35"/>
      <c r="S130" s="871"/>
      <c r="T130" s="465" t="s">
        <v>163</v>
      </c>
      <c r="V130" s="83">
        <f t="shared" si="54"/>
        <v>199947.96150188247</v>
      </c>
      <c r="W130" s="83"/>
      <c r="Z130" s="1065"/>
      <c r="AA130" s="35"/>
      <c r="AB130" s="871"/>
      <c r="AC130" s="380" t="s">
        <v>750</v>
      </c>
      <c r="AD130" s="882"/>
      <c r="AE130" s="35"/>
      <c r="AJ130" s="30">
        <f t="shared" si="55"/>
        <v>3.9215686274509796E-2</v>
      </c>
      <c r="AK130" s="35"/>
      <c r="AL130" s="871"/>
      <c r="AN130" s="558">
        <f>0.000243938810234468*$V$128</f>
        <v>48.775067837576422</v>
      </c>
      <c r="AO130" s="599"/>
      <c r="AQ130" s="600"/>
      <c r="AR130" s="548">
        <f t="shared" si="56"/>
        <v>161.35201520258801</v>
      </c>
      <c r="AT130" s="669">
        <f t="shared" si="57"/>
        <v>0.3022897964821582</v>
      </c>
      <c r="AU130" s="646"/>
      <c r="AY130" s="90"/>
      <c r="AZ130" s="543">
        <v>1939</v>
      </c>
      <c r="BA130" s="293"/>
    </row>
    <row r="131" spans="1:53">
      <c r="A131" s="321"/>
      <c r="B131" s="991"/>
      <c r="C131" s="945"/>
      <c r="D131" s="871"/>
      <c r="E131" s="899"/>
      <c r="F131" s="871"/>
      <c r="G131" s="871"/>
      <c r="H131" s="465"/>
      <c r="I131" s="871"/>
      <c r="J131" s="221"/>
      <c r="K131" s="35"/>
      <c r="M131" s="9">
        <f t="shared" si="58"/>
        <v>0.21589999999999998</v>
      </c>
      <c r="N131" s="417">
        <f t="shared" si="59"/>
        <v>161.92500000000001</v>
      </c>
      <c r="O131" s="79">
        <f>1.098039216*$N$128</f>
        <v>177.80000005080004</v>
      </c>
      <c r="P131" s="65">
        <f t="shared" si="60"/>
        <v>4.0094723175232501E-2</v>
      </c>
      <c r="Q131" s="79">
        <f t="shared" si="61"/>
        <v>750.00000000000011</v>
      </c>
      <c r="R131" s="35"/>
      <c r="S131" s="871"/>
      <c r="T131" s="465" t="s">
        <v>163</v>
      </c>
      <c r="V131" s="83">
        <f t="shared" si="54"/>
        <v>199947.96150188247</v>
      </c>
      <c r="W131" s="83"/>
      <c r="Z131" s="1065"/>
      <c r="AA131" s="35"/>
      <c r="AB131" s="871"/>
      <c r="AC131" s="380" t="s">
        <v>750</v>
      </c>
      <c r="AD131" s="882"/>
      <c r="AE131" s="35"/>
      <c r="AJ131" s="30">
        <f t="shared" si="55"/>
        <v>3.9215686274509796E-2</v>
      </c>
      <c r="AK131" s="35"/>
      <c r="AL131" s="871"/>
      <c r="AN131" s="558">
        <f>0.000243938810234468*$V$128</f>
        <v>48.775067837576422</v>
      </c>
      <c r="AO131" s="599"/>
      <c r="AQ131" s="600"/>
      <c r="AR131" s="548">
        <f t="shared" si="56"/>
        <v>161.35201520258801</v>
      </c>
      <c r="AT131" s="669">
        <f t="shared" si="57"/>
        <v>0.3022897964821582</v>
      </c>
      <c r="AU131" s="646"/>
      <c r="AY131" s="90"/>
      <c r="AZ131" s="543">
        <v>1939</v>
      </c>
      <c r="BA131" s="293"/>
    </row>
    <row r="132" spans="1:53">
      <c r="A132" s="321"/>
      <c r="B132" s="991"/>
      <c r="C132" s="945"/>
      <c r="D132" s="871"/>
      <c r="E132" s="899"/>
      <c r="F132" s="871"/>
      <c r="G132" s="871"/>
      <c r="H132" s="465"/>
      <c r="I132" s="871"/>
      <c r="J132" s="221"/>
      <c r="K132" s="35"/>
      <c r="M132" s="9">
        <f t="shared" si="58"/>
        <v>0.21589999999999998</v>
      </c>
      <c r="N132" s="417">
        <f t="shared" si="59"/>
        <v>161.92500000000001</v>
      </c>
      <c r="O132" s="79">
        <f>0.797385621*$N$128</f>
        <v>129.116666680425</v>
      </c>
      <c r="P132" s="65">
        <f t="shared" si="60"/>
        <v>2.9116406110131006E-2</v>
      </c>
      <c r="Q132" s="79">
        <f t="shared" si="61"/>
        <v>750.00000000000011</v>
      </c>
      <c r="R132" s="35"/>
      <c r="S132" s="871"/>
      <c r="T132" s="465" t="s">
        <v>163</v>
      </c>
      <c r="V132" s="83">
        <f t="shared" si="54"/>
        <v>199947.96150188247</v>
      </c>
      <c r="W132" s="83"/>
      <c r="Z132" s="1065"/>
      <c r="AA132" s="35"/>
      <c r="AB132" s="871"/>
      <c r="AC132" s="380" t="s">
        <v>750</v>
      </c>
      <c r="AD132" s="882"/>
      <c r="AE132" s="35"/>
      <c r="AJ132" s="30">
        <f t="shared" si="55"/>
        <v>3.9215686274509796E-2</v>
      </c>
      <c r="AK132" s="35"/>
      <c r="AL132" s="871"/>
      <c r="AN132" s="558">
        <f>0.000278054209281795*$V$128</f>
        <v>55.596372332912715</v>
      </c>
      <c r="AO132" s="599"/>
      <c r="AQ132" s="600"/>
      <c r="AR132" s="548">
        <f t="shared" si="56"/>
        <v>161.35201520258801</v>
      </c>
      <c r="AT132" s="669">
        <f t="shared" si="57"/>
        <v>0.34456571405760156</v>
      </c>
      <c r="AU132" s="646"/>
      <c r="AY132" s="90"/>
      <c r="AZ132" s="543">
        <v>1939</v>
      </c>
      <c r="BA132" s="293"/>
    </row>
    <row r="133" spans="1:53">
      <c r="A133" s="321"/>
      <c r="B133" s="991"/>
      <c r="C133" s="945"/>
      <c r="D133" s="871"/>
      <c r="E133" s="899"/>
      <c r="F133" s="871"/>
      <c r="G133" s="871"/>
      <c r="H133" s="465"/>
      <c r="I133" s="871"/>
      <c r="J133" s="221"/>
      <c r="K133" s="35"/>
      <c r="M133" s="9">
        <f t="shared" si="58"/>
        <v>0.21589999999999998</v>
      </c>
      <c r="N133" s="417">
        <f t="shared" si="59"/>
        <v>161.92500000000001</v>
      </c>
      <c r="O133" s="79">
        <f>0.781045752*$N$128</f>
        <v>126.47083339260001</v>
      </c>
      <c r="P133" s="65">
        <f t="shared" si="60"/>
        <v>2.8519758454265715E-2</v>
      </c>
      <c r="Q133" s="79">
        <f t="shared" si="61"/>
        <v>750.00000000000011</v>
      </c>
      <c r="R133" s="35"/>
      <c r="S133" s="871"/>
      <c r="T133" s="465" t="s">
        <v>163</v>
      </c>
      <c r="V133" s="83">
        <f t="shared" si="54"/>
        <v>199947.96150188247</v>
      </c>
      <c r="W133" s="83"/>
      <c r="Z133" s="1065"/>
      <c r="AA133" s="35"/>
      <c r="AB133" s="871"/>
      <c r="AC133" s="380" t="s">
        <v>750</v>
      </c>
      <c r="AD133" s="882"/>
      <c r="AE133" s="35"/>
      <c r="AJ133" s="30">
        <f t="shared" si="55"/>
        <v>3.9215686274509796E-2</v>
      </c>
      <c r="AK133" s="35"/>
      <c r="AL133" s="871"/>
      <c r="AN133" s="558">
        <f>0.000264734937245037*$V$128</f>
        <v>52.933211040473928</v>
      </c>
      <c r="AO133" s="599"/>
      <c r="AQ133" s="600"/>
      <c r="AR133" s="548">
        <f t="shared" si="56"/>
        <v>161.35201520258801</v>
      </c>
      <c r="AT133" s="669">
        <f t="shared" si="57"/>
        <v>0.32806042722189011</v>
      </c>
      <c r="AU133" s="646"/>
      <c r="AY133" s="90"/>
      <c r="AZ133" s="543">
        <v>1939</v>
      </c>
      <c r="BA133" s="293"/>
    </row>
    <row r="134" spans="1:53">
      <c r="A134" s="321"/>
      <c r="B134" s="991"/>
      <c r="C134" s="945"/>
      <c r="D134" s="871"/>
      <c r="E134" s="899"/>
      <c r="F134" s="871"/>
      <c r="G134" s="871"/>
      <c r="H134" s="465"/>
      <c r="I134" s="871"/>
      <c r="J134" s="221"/>
      <c r="K134" s="35"/>
      <c r="M134" s="9">
        <f t="shared" si="58"/>
        <v>0.21589999999999998</v>
      </c>
      <c r="N134" s="417">
        <f t="shared" si="59"/>
        <v>161.92500000000001</v>
      </c>
      <c r="O134" s="79">
        <f>0.45751634*$N$128</f>
        <v>74.083333354500013</v>
      </c>
      <c r="P134" s="65">
        <f t="shared" si="60"/>
        <v>1.6706134656346877E-2</v>
      </c>
      <c r="Q134" s="79">
        <f t="shared" si="61"/>
        <v>750.00000000000011</v>
      </c>
      <c r="R134" s="35"/>
      <c r="S134" s="871"/>
      <c r="T134" s="465" t="s">
        <v>163</v>
      </c>
      <c r="V134" s="83">
        <f t="shared" si="54"/>
        <v>199947.96150188247</v>
      </c>
      <c r="W134" s="83"/>
      <c r="Z134" s="1065"/>
      <c r="AA134" s="35"/>
      <c r="AB134" s="871"/>
      <c r="AC134" s="380" t="s">
        <v>750</v>
      </c>
      <c r="AD134" s="882"/>
      <c r="AE134" s="35"/>
      <c r="AJ134" s="30">
        <f t="shared" si="55"/>
        <v>3.9215686274509796E-2</v>
      </c>
      <c r="AK134" s="35"/>
      <c r="AL134" s="871"/>
      <c r="AN134" s="558">
        <f>0.000252053681111896*$V$128</f>
        <v>50.397619727369147</v>
      </c>
      <c r="AO134" s="599"/>
      <c r="AQ134" s="600"/>
      <c r="AR134" s="548">
        <f t="shared" si="56"/>
        <v>161.35201520258801</v>
      </c>
      <c r="AT134" s="669">
        <f t="shared" si="57"/>
        <v>0.31234577184605744</v>
      </c>
      <c r="AU134" s="646"/>
      <c r="AY134" s="90"/>
      <c r="AZ134" s="543">
        <v>1939</v>
      </c>
      <c r="BA134" s="293"/>
    </row>
    <row r="135" spans="1:53">
      <c r="A135" s="321"/>
      <c r="B135" s="991"/>
      <c r="C135" s="945"/>
      <c r="D135" s="871"/>
      <c r="E135" s="899"/>
      <c r="F135" s="871"/>
      <c r="G135" s="871"/>
      <c r="H135" s="465"/>
      <c r="I135" s="871"/>
      <c r="J135" s="221"/>
      <c r="K135" s="35"/>
      <c r="M135" s="9">
        <f t="shared" si="58"/>
        <v>0.21589999999999998</v>
      </c>
      <c r="N135" s="417">
        <f t="shared" si="59"/>
        <v>161.92500000000001</v>
      </c>
      <c r="O135" s="79">
        <f>0.31372549*$N$128</f>
        <v>50.799999968250006</v>
      </c>
      <c r="P135" s="65">
        <f t="shared" si="60"/>
        <v>1.1455635182490761E-2</v>
      </c>
      <c r="Q135" s="79">
        <f t="shared" si="61"/>
        <v>750.00000000000011</v>
      </c>
      <c r="R135" s="35"/>
      <c r="S135" s="871"/>
      <c r="T135" s="465" t="s">
        <v>163</v>
      </c>
      <c r="V135" s="83">
        <f t="shared" si="54"/>
        <v>199947.96150188247</v>
      </c>
      <c r="W135" s="83"/>
      <c r="Z135" s="1065"/>
      <c r="AA135" s="35"/>
      <c r="AB135" s="871"/>
      <c r="AC135" s="380" t="s">
        <v>750</v>
      </c>
      <c r="AD135" s="882"/>
      <c r="AE135" s="35"/>
      <c r="AJ135" s="30">
        <f t="shared" si="55"/>
        <v>3.9215686274509796E-2</v>
      </c>
      <c r="AK135" s="35"/>
      <c r="AL135" s="871"/>
      <c r="AN135" s="558">
        <f>0.000428983285353097*$V$128</f>
        <v>85.774333424732106</v>
      </c>
      <c r="AO135" s="599"/>
      <c r="AQ135" s="600"/>
      <c r="AR135" s="548">
        <f t="shared" si="56"/>
        <v>161.35201520258801</v>
      </c>
      <c r="AT135" s="669">
        <f t="shared" si="57"/>
        <v>0.53159753422996803</v>
      </c>
      <c r="AU135" s="646"/>
      <c r="AY135" s="90"/>
      <c r="AZ135" s="543">
        <v>1939</v>
      </c>
      <c r="BA135" s="293"/>
    </row>
    <row r="136" spans="1:53">
      <c r="A136" s="321"/>
      <c r="B136" s="991"/>
      <c r="C136" s="945"/>
      <c r="D136" s="871"/>
      <c r="E136" s="899"/>
      <c r="F136" s="871"/>
      <c r="G136" s="871"/>
      <c r="H136" s="465"/>
      <c r="I136" s="871"/>
      <c r="J136" s="221"/>
      <c r="K136" s="35"/>
      <c r="M136" s="9">
        <f t="shared" si="58"/>
        <v>0.21589999999999998</v>
      </c>
      <c r="N136" s="417">
        <f t="shared" si="59"/>
        <v>161.92500000000001</v>
      </c>
      <c r="O136" s="79">
        <f>0.160130719*$N$128</f>
        <v>25.929166674075002</v>
      </c>
      <c r="P136" s="65">
        <f t="shared" si="60"/>
        <v>5.8471471297214059E-3</v>
      </c>
      <c r="Q136" s="79">
        <f t="shared" si="61"/>
        <v>750.00000000000011</v>
      </c>
      <c r="R136" s="35"/>
      <c r="S136" s="871"/>
      <c r="T136" s="465" t="s">
        <v>163</v>
      </c>
      <c r="V136" s="83">
        <f t="shared" si="54"/>
        <v>199947.96150188247</v>
      </c>
      <c r="W136" s="83"/>
      <c r="Z136" s="1065"/>
      <c r="AA136" s="35"/>
      <c r="AB136" s="871"/>
      <c r="AC136" s="380" t="s">
        <v>750</v>
      </c>
      <c r="AD136" s="882"/>
      <c r="AE136" s="35"/>
      <c r="AJ136" s="30">
        <f t="shared" si="55"/>
        <v>3.9215686274509796E-2</v>
      </c>
      <c r="AK136" s="35"/>
      <c r="AL136" s="871"/>
      <c r="AN136" s="558">
        <f>0.000454267452508489*$V$128</f>
        <v>90.829851105725581</v>
      </c>
      <c r="AO136" s="599"/>
      <c r="AQ136" s="600"/>
      <c r="AR136" s="548">
        <f t="shared" si="56"/>
        <v>161.35201520258801</v>
      </c>
      <c r="AT136" s="669">
        <f t="shared" si="57"/>
        <v>0.56292975945594959</v>
      </c>
      <c r="AU136" s="646"/>
      <c r="AY136" s="90"/>
      <c r="AZ136" s="543">
        <v>1939</v>
      </c>
      <c r="BA136" s="293"/>
    </row>
    <row r="137" spans="1:53">
      <c r="A137" s="321"/>
      <c r="B137" s="991"/>
      <c r="C137" s="945"/>
      <c r="D137" s="871"/>
      <c r="E137" s="899"/>
      <c r="F137" s="871"/>
      <c r="G137" s="871"/>
      <c r="H137" s="465"/>
      <c r="I137" s="871"/>
      <c r="J137" s="221"/>
      <c r="K137" s="35"/>
      <c r="M137" s="9">
        <f t="shared" si="58"/>
        <v>0.21589999999999998</v>
      </c>
      <c r="N137" s="417">
        <f t="shared" si="59"/>
        <v>161.92500000000001</v>
      </c>
      <c r="O137" s="79">
        <f>0.245098039*$N$128</f>
        <v>39.687499965074998</v>
      </c>
      <c r="P137" s="65">
        <f t="shared" si="60"/>
        <v>8.9497149840387282E-3</v>
      </c>
      <c r="Q137" s="79">
        <f t="shared" si="61"/>
        <v>750.00000000000011</v>
      </c>
      <c r="R137" s="35"/>
      <c r="S137" s="871"/>
      <c r="T137" s="465" t="s">
        <v>163</v>
      </c>
      <c r="V137" s="83">
        <f t="shared" si="54"/>
        <v>199947.96150188247</v>
      </c>
      <c r="W137" s="83"/>
      <c r="Z137" s="1065"/>
      <c r="AA137" s="35"/>
      <c r="AB137" s="871"/>
      <c r="AC137" s="380" t="s">
        <v>750</v>
      </c>
      <c r="AD137" s="882"/>
      <c r="AE137" s="35"/>
      <c r="AJ137" s="30">
        <f t="shared" si="55"/>
        <v>3.9215686274509796E-2</v>
      </c>
      <c r="AK137" s="35"/>
      <c r="AL137" s="871"/>
      <c r="AN137" s="558">
        <f>0.000505243909238812*$V$128</f>
        <v>101.02248971354258</v>
      </c>
      <c r="AO137" s="599"/>
      <c r="AQ137" s="600"/>
      <c r="AR137" s="548">
        <f t="shared" si="56"/>
        <v>161.35201520258801</v>
      </c>
      <c r="AT137" s="669">
        <f t="shared" si="57"/>
        <v>0.62609995658685913</v>
      </c>
      <c r="AU137" s="646"/>
      <c r="AY137" s="90"/>
      <c r="AZ137" s="543">
        <v>1939</v>
      </c>
      <c r="BA137" s="293"/>
    </row>
    <row r="138" spans="1:53">
      <c r="A138" s="321"/>
      <c r="B138" s="991"/>
      <c r="C138" s="945"/>
      <c r="D138" s="871"/>
      <c r="E138" s="899"/>
      <c r="F138" s="871"/>
      <c r="G138" s="871"/>
      <c r="H138" s="465"/>
      <c r="I138" s="871"/>
      <c r="J138" s="221"/>
      <c r="K138" s="35"/>
      <c r="M138" s="9">
        <f t="shared" si="58"/>
        <v>0.21589999999999998</v>
      </c>
      <c r="N138" s="417">
        <f t="shared" si="59"/>
        <v>161.92500000000001</v>
      </c>
      <c r="O138" s="79">
        <f>0.078431373*$N$128</f>
        <v>12.700000073025</v>
      </c>
      <c r="P138" s="147">
        <f t="shared" si="60"/>
        <v>2.8639088138801088E-3</v>
      </c>
      <c r="Q138" s="79">
        <f t="shared" si="61"/>
        <v>750.00000000000011</v>
      </c>
      <c r="R138" s="35"/>
      <c r="S138" s="871"/>
      <c r="T138" s="465" t="s">
        <v>163</v>
      </c>
      <c r="V138" s="83">
        <f t="shared" si="54"/>
        <v>199947.96150188247</v>
      </c>
      <c r="W138" s="83"/>
      <c r="Z138" s="1065"/>
      <c r="AA138" s="35"/>
      <c r="AB138" s="871"/>
      <c r="AC138" s="380" t="s">
        <v>750</v>
      </c>
      <c r="AD138" s="882"/>
      <c r="AE138" s="35"/>
      <c r="AJ138" s="30">
        <f t="shared" si="55"/>
        <v>3.9215686274509796E-2</v>
      </c>
      <c r="AK138" s="35"/>
      <c r="AL138" s="871"/>
      <c r="AN138" s="558">
        <f>0.000766842036964758*$V$128</f>
        <v>153.32850208505457</v>
      </c>
      <c r="AO138" s="599"/>
      <c r="AQ138" s="600"/>
      <c r="AR138" s="548">
        <f t="shared" si="56"/>
        <v>161.35201520258801</v>
      </c>
      <c r="AT138" s="669">
        <f t="shared" si="57"/>
        <v>0.95027323887179593</v>
      </c>
      <c r="AU138" s="646"/>
      <c r="AY138" s="90"/>
      <c r="AZ138" s="543">
        <v>1939</v>
      </c>
      <c r="BA138" s="293"/>
    </row>
    <row r="139" spans="1:53">
      <c r="A139" s="321"/>
      <c r="B139" s="991"/>
      <c r="C139" s="945"/>
      <c r="D139" s="871"/>
      <c r="E139" s="899"/>
      <c r="F139" s="871"/>
      <c r="G139" s="871"/>
      <c r="H139" s="465"/>
      <c r="I139" s="871"/>
      <c r="J139" s="221"/>
      <c r="K139" s="35"/>
      <c r="M139" s="9">
        <f t="shared" si="58"/>
        <v>0.21589999999999998</v>
      </c>
      <c r="N139" s="417">
        <f t="shared" si="59"/>
        <v>161.92500000000001</v>
      </c>
      <c r="O139" s="79">
        <f>0.078431373*$N$128</f>
        <v>12.700000073025</v>
      </c>
      <c r="P139" s="46">
        <f t="shared" si="60"/>
        <v>2.8639088138801088E-3</v>
      </c>
      <c r="Q139" s="79">
        <f t="shared" si="61"/>
        <v>750.00000000000011</v>
      </c>
      <c r="R139" s="35"/>
      <c r="S139" s="871"/>
      <c r="T139" s="465" t="s">
        <v>163</v>
      </c>
      <c r="V139" s="83">
        <f t="shared" si="54"/>
        <v>199947.96150188247</v>
      </c>
      <c r="W139" s="83"/>
      <c r="Z139" s="1065"/>
      <c r="AA139" s="35"/>
      <c r="AB139" s="871"/>
      <c r="AC139" s="380" t="s">
        <v>750</v>
      </c>
      <c r="AD139" s="882"/>
      <c r="AE139" s="35"/>
      <c r="AJ139" s="30">
        <f t="shared" si="55"/>
        <v>3.9215686274509796E-2</v>
      </c>
      <c r="AK139" s="35"/>
      <c r="AL139" s="871"/>
      <c r="AN139" s="558">
        <f>0.000866964768359629*$V$128</f>
        <v>173.34783812745954</v>
      </c>
      <c r="AO139" s="599"/>
      <c r="AQ139" s="600"/>
      <c r="AR139" s="548">
        <f t="shared" si="56"/>
        <v>161.35201520258801</v>
      </c>
      <c r="AT139" s="669">
        <f t="shared" si="57"/>
        <v>1.0743456653442474</v>
      </c>
      <c r="AU139" s="646"/>
      <c r="AY139" s="90"/>
      <c r="AZ139" s="543">
        <v>1939</v>
      </c>
      <c r="BA139" s="293"/>
    </row>
    <row r="140" spans="1:53">
      <c r="A140" s="321"/>
      <c r="B140" s="991"/>
      <c r="C140" s="945"/>
      <c r="D140" s="871"/>
      <c r="E140" s="899"/>
      <c r="F140" s="871"/>
      <c r="G140" s="871"/>
      <c r="H140" s="465"/>
      <c r="I140" s="871"/>
      <c r="J140" s="221"/>
      <c r="K140" s="35"/>
      <c r="M140" s="9">
        <f t="shared" si="58"/>
        <v>0.21589999999999998</v>
      </c>
      <c r="N140" s="417">
        <f t="shared" si="59"/>
        <v>161.92500000000001</v>
      </c>
      <c r="O140" s="79">
        <f>0.035947712*$N$128</f>
        <v>5.8208332656000001</v>
      </c>
      <c r="P140" s="46">
        <f t="shared" si="60"/>
        <v>1.3126248502066098E-3</v>
      </c>
      <c r="Q140" s="79">
        <f t="shared" si="61"/>
        <v>750.00000000000011</v>
      </c>
      <c r="R140" s="35"/>
      <c r="S140" s="871"/>
      <c r="T140" s="465" t="s">
        <v>163</v>
      </c>
      <c r="V140" s="83">
        <f t="shared" si="54"/>
        <v>199947.96150188247</v>
      </c>
      <c r="W140" s="83"/>
      <c r="Z140" s="1065"/>
      <c r="AA140" s="35"/>
      <c r="AB140" s="871"/>
      <c r="AC140" s="380" t="s">
        <v>750</v>
      </c>
      <c r="AD140" s="882"/>
      <c r="AE140" s="35"/>
      <c r="AJ140" s="30">
        <f t="shared" si="55"/>
        <v>3.9215686274509796E-2</v>
      </c>
      <c r="AK140" s="35"/>
      <c r="AL140" s="871"/>
      <c r="AN140" s="558">
        <f>0.0012944944798687*$V$128</f>
        <v>258.8315324251862</v>
      </c>
      <c r="AO140" s="601"/>
      <c r="AP140" s="602"/>
      <c r="AQ140" s="603"/>
      <c r="AR140" s="549">
        <f t="shared" si="56"/>
        <v>161.35201520258801</v>
      </c>
      <c r="AT140" s="669">
        <f t="shared" si="57"/>
        <v>1.6041419259635914</v>
      </c>
      <c r="AU140" s="646"/>
      <c r="AY140" s="90"/>
      <c r="AZ140" s="543">
        <v>1939</v>
      </c>
      <c r="BA140" s="293"/>
    </row>
    <row r="141" spans="1:53">
      <c r="A141" s="321"/>
      <c r="B141" s="991"/>
      <c r="C141" s="945"/>
      <c r="D141" s="871"/>
      <c r="E141" s="899"/>
      <c r="F141" s="871"/>
      <c r="G141" s="871"/>
      <c r="H141" s="465"/>
      <c r="I141" s="871"/>
      <c r="J141" s="221"/>
      <c r="K141" s="35"/>
      <c r="M141" s="9">
        <f>CONVERT(0.006,"in","mm")</f>
        <v>0.15239999999999998</v>
      </c>
      <c r="N141" s="52">
        <f t="shared" si="59"/>
        <v>161.92500000000001</v>
      </c>
      <c r="O141" s="5">
        <f>0.784571428571428*$N$128</f>
        <v>127.04172857142849</v>
      </c>
      <c r="P141" s="65">
        <f>O141/$N$128*SQRT($M$141/$N$128)</f>
        <v>2.4069552678570028E-2</v>
      </c>
      <c r="Q141" s="79">
        <f t="shared" ref="Q141:Q150" si="62">$N$128/$M$141</f>
        <v>1062.5000000000002</v>
      </c>
      <c r="R141" s="35"/>
      <c r="S141" s="871"/>
      <c r="T141" s="465" t="s">
        <v>163</v>
      </c>
      <c r="V141" s="83">
        <f t="shared" ref="V141:V150" si="63">CONVERT(30.6*10^6,"psi","Pa")/10^6</f>
        <v>210979.57317095189</v>
      </c>
      <c r="W141" s="83"/>
      <c r="Z141" s="1065"/>
      <c r="AA141" s="35"/>
      <c r="AB141" s="871"/>
      <c r="AC141" s="380" t="s">
        <v>750</v>
      </c>
      <c r="AD141" s="882"/>
      <c r="AE141" s="35"/>
      <c r="AJ141" s="30">
        <f t="shared" si="55"/>
        <v>3.9215686274509796E-2</v>
      </c>
      <c r="AK141" s="35"/>
      <c r="AL141" s="871"/>
      <c r="AN141" s="558">
        <f>0.000226496252369511*$V$141</f>
        <v>47.786082649739633</v>
      </c>
      <c r="AO141" s="599"/>
      <c r="AQ141" s="600"/>
      <c r="AR141" s="549">
        <f t="shared" ref="AR141:AR150" si="64">1/SQRT(3*(1-0.3^2))*$V$141*1/Q141</f>
        <v>120.17943201296212</v>
      </c>
      <c r="AT141" s="669">
        <f t="shared" ref="AT141:AT150" si="65">AN141/$AR$141</f>
        <v>0.39762280324794341</v>
      </c>
      <c r="AU141" s="646"/>
      <c r="AY141" s="90"/>
      <c r="AZ141" s="543">
        <v>1939</v>
      </c>
      <c r="BA141" s="293"/>
    </row>
    <row r="142" spans="1:53">
      <c r="A142" s="321"/>
      <c r="B142" s="991"/>
      <c r="C142" s="945"/>
      <c r="D142" s="871"/>
      <c r="E142" s="899"/>
      <c r="F142" s="871"/>
      <c r="G142" s="871"/>
      <c r="H142" s="465"/>
      <c r="I142" s="871"/>
      <c r="J142" s="221"/>
      <c r="K142" s="35"/>
      <c r="M142" s="9">
        <f t="shared" ref="M142:M150" si="66">CONVERT(0.006,"in","mm")</f>
        <v>0.15239999999999998</v>
      </c>
      <c r="N142" s="52">
        <f t="shared" si="59"/>
        <v>161.92500000000001</v>
      </c>
      <c r="O142" s="5">
        <f>0.781142857142857*$N$128</f>
        <v>126.48655714285714</v>
      </c>
      <c r="P142" s="65">
        <f t="shared" ref="P142:P150" si="67">O142/$N$128*SQRT($M$141/$N$128)</f>
        <v>2.3964368908670972E-2</v>
      </c>
      <c r="Q142" s="79">
        <f t="shared" si="62"/>
        <v>1062.5000000000002</v>
      </c>
      <c r="R142" s="35"/>
      <c r="S142" s="871"/>
      <c r="T142" s="465" t="s">
        <v>163</v>
      </c>
      <c r="V142" s="83">
        <f t="shared" si="63"/>
        <v>210979.57317095189</v>
      </c>
      <c r="W142" s="83"/>
      <c r="Z142" s="1065"/>
      <c r="AA142" s="35"/>
      <c r="AB142" s="871"/>
      <c r="AC142" s="380" t="s">
        <v>750</v>
      </c>
      <c r="AD142" s="882"/>
      <c r="AE142" s="35"/>
      <c r="AJ142" s="30">
        <f t="shared" si="55"/>
        <v>3.9215686274509796E-2</v>
      </c>
      <c r="AK142" s="35"/>
      <c r="AL142" s="871"/>
      <c r="AN142" s="558">
        <f>0.0002*$V$141</f>
        <v>42.19591463419038</v>
      </c>
      <c r="AO142" s="599"/>
      <c r="AQ142" s="600"/>
      <c r="AR142" s="549">
        <f t="shared" si="64"/>
        <v>120.17943201296212</v>
      </c>
      <c r="AT142" s="669">
        <f t="shared" si="65"/>
        <v>0.35110762238948906</v>
      </c>
      <c r="AU142" s="646"/>
      <c r="AY142" s="90"/>
      <c r="AZ142" s="543">
        <v>1939</v>
      </c>
      <c r="BA142" s="293"/>
    </row>
    <row r="143" spans="1:53">
      <c r="A143" s="321"/>
      <c r="B143" s="991"/>
      <c r="C143" s="945"/>
      <c r="D143" s="871"/>
      <c r="E143" s="899"/>
      <c r="F143" s="871"/>
      <c r="G143" s="871"/>
      <c r="H143" s="465"/>
      <c r="I143" s="871"/>
      <c r="J143" s="221"/>
      <c r="K143" s="35"/>
      <c r="M143" s="9">
        <f t="shared" si="66"/>
        <v>0.15239999999999998</v>
      </c>
      <c r="N143" s="52">
        <f t="shared" si="59"/>
        <v>161.92500000000001</v>
      </c>
      <c r="O143" s="5">
        <f>0.479428571428571*$N$128</f>
        <v>77.631471428571359</v>
      </c>
      <c r="P143" s="65">
        <f t="shared" si="67"/>
        <v>1.4708197157552986E-2</v>
      </c>
      <c r="Q143" s="79">
        <f t="shared" si="62"/>
        <v>1062.5000000000002</v>
      </c>
      <c r="R143" s="35"/>
      <c r="S143" s="871"/>
      <c r="T143" s="465" t="s">
        <v>163</v>
      </c>
      <c r="V143" s="83">
        <f t="shared" si="63"/>
        <v>210979.57317095189</v>
      </c>
      <c r="W143" s="83"/>
      <c r="Z143" s="1065"/>
      <c r="AA143" s="35"/>
      <c r="AB143" s="871"/>
      <c r="AC143" s="380" t="s">
        <v>750</v>
      </c>
      <c r="AD143" s="882"/>
      <c r="AE143" s="35"/>
      <c r="AJ143" s="30">
        <f t="shared" si="55"/>
        <v>3.9215686274509796E-2</v>
      </c>
      <c r="AK143" s="35"/>
      <c r="AL143" s="871"/>
      <c r="AN143" s="558">
        <f>0.000177652726335418*$V$141</f>
        <v>37.481096374902414</v>
      </c>
      <c r="AO143" s="599"/>
      <c r="AQ143" s="600"/>
      <c r="AR143" s="549">
        <f t="shared" si="64"/>
        <v>120.17943201296212</v>
      </c>
      <c r="AT143" s="669">
        <f t="shared" si="65"/>
        <v>0.3118761317731959</v>
      </c>
      <c r="AU143" s="646"/>
      <c r="AY143" s="90"/>
      <c r="AZ143" s="543">
        <v>1939</v>
      </c>
      <c r="BA143" s="293"/>
    </row>
    <row r="144" spans="1:53">
      <c r="A144" s="321"/>
      <c r="B144" s="991"/>
      <c r="C144" s="945"/>
      <c r="D144" s="871"/>
      <c r="E144" s="899"/>
      <c r="F144" s="871"/>
      <c r="G144" s="871"/>
      <c r="H144" s="465"/>
      <c r="I144" s="871"/>
      <c r="J144" s="221"/>
      <c r="K144" s="35"/>
      <c r="M144" s="9">
        <f t="shared" si="66"/>
        <v>0.15239999999999998</v>
      </c>
      <c r="N144" s="52">
        <f t="shared" si="59"/>
        <v>161.92500000000001</v>
      </c>
      <c r="O144" s="5">
        <f>0.476*$N$128</f>
        <v>77.076300000000003</v>
      </c>
      <c r="P144" s="65">
        <f t="shared" si="67"/>
        <v>1.460301338765393E-2</v>
      </c>
      <c r="Q144" s="79">
        <f t="shared" si="62"/>
        <v>1062.5000000000002</v>
      </c>
      <c r="R144" s="35"/>
      <c r="S144" s="871"/>
      <c r="T144" s="465" t="s">
        <v>163</v>
      </c>
      <c r="V144" s="83">
        <f t="shared" si="63"/>
        <v>210979.57317095189</v>
      </c>
      <c r="W144" s="83"/>
      <c r="Z144" s="1065"/>
      <c r="AA144" s="35"/>
      <c r="AB144" s="871"/>
      <c r="AC144" s="380" t="s">
        <v>750</v>
      </c>
      <c r="AD144" s="882"/>
      <c r="AE144" s="35"/>
      <c r="AJ144" s="30">
        <f t="shared" si="55"/>
        <v>3.9215686274509796E-2</v>
      </c>
      <c r="AK144" s="35"/>
      <c r="AL144" s="871"/>
      <c r="AN144" s="558">
        <f>0.000170436079285715*$V$141</f>
        <v>35.958531260630664</v>
      </c>
      <c r="AO144" s="599"/>
      <c r="AQ144" s="600"/>
      <c r="AR144" s="549">
        <f t="shared" si="64"/>
        <v>120.17943201296212</v>
      </c>
      <c r="AT144" s="669">
        <f t="shared" si="65"/>
        <v>0.2992070328369692</v>
      </c>
      <c r="AU144" s="646"/>
      <c r="AY144" s="90"/>
      <c r="AZ144" s="543">
        <v>1939</v>
      </c>
      <c r="BA144" s="293"/>
    </row>
    <row r="145" spans="1:53">
      <c r="A145" s="321"/>
      <c r="B145" s="991"/>
      <c r="C145" s="945"/>
      <c r="D145" s="871"/>
      <c r="E145" s="899"/>
      <c r="F145" s="871"/>
      <c r="G145" s="871"/>
      <c r="H145" s="465"/>
      <c r="I145" s="871"/>
      <c r="J145" s="221"/>
      <c r="K145" s="35"/>
      <c r="M145" s="9">
        <f t="shared" si="66"/>
        <v>0.15239999999999998</v>
      </c>
      <c r="N145" s="52">
        <f t="shared" si="59"/>
        <v>161.92500000000001</v>
      </c>
      <c r="O145" s="5">
        <f>0.321714285714285*$N$128</f>
        <v>52.093585714285602</v>
      </c>
      <c r="P145" s="65">
        <f t="shared" si="67"/>
        <v>9.8697437421958519E-3</v>
      </c>
      <c r="Q145" s="79">
        <f t="shared" si="62"/>
        <v>1062.5000000000002</v>
      </c>
      <c r="R145" s="35"/>
      <c r="S145" s="871"/>
      <c r="T145" s="465" t="s">
        <v>163</v>
      </c>
      <c r="V145" s="83">
        <f t="shared" si="63"/>
        <v>210979.57317095189</v>
      </c>
      <c r="W145" s="83"/>
      <c r="Z145" s="1065"/>
      <c r="AA145" s="35"/>
      <c r="AB145" s="871"/>
      <c r="AC145" s="380" t="s">
        <v>750</v>
      </c>
      <c r="AD145" s="882"/>
      <c r="AE145" s="35"/>
      <c r="AJ145" s="30">
        <f t="shared" si="55"/>
        <v>3.9215686274509796E-2</v>
      </c>
      <c r="AK145" s="35"/>
      <c r="AL145" s="871"/>
      <c r="AN145" s="558">
        <f>0.000238900563449586*$V$141</f>
        <v>50.403138906893567</v>
      </c>
      <c r="AO145" s="599"/>
      <c r="AQ145" s="600"/>
      <c r="AR145" s="549">
        <f t="shared" si="64"/>
        <v>120.17943201296212</v>
      </c>
      <c r="AT145" s="669">
        <f t="shared" si="65"/>
        <v>0.41939904410146706</v>
      </c>
      <c r="AU145" s="646"/>
      <c r="AY145" s="90"/>
      <c r="AZ145" s="543">
        <v>1939</v>
      </c>
      <c r="BA145" s="293"/>
    </row>
    <row r="146" spans="1:53">
      <c r="A146" s="321"/>
      <c r="B146" s="991"/>
      <c r="C146" s="945"/>
      <c r="D146" s="871"/>
      <c r="E146" s="899"/>
      <c r="F146" s="871"/>
      <c r="G146" s="871"/>
      <c r="H146" s="465"/>
      <c r="I146" s="871"/>
      <c r="J146" s="221"/>
      <c r="K146" s="35"/>
      <c r="M146" s="9">
        <f t="shared" si="66"/>
        <v>0.15239999999999998</v>
      </c>
      <c r="N146" s="52">
        <f t="shared" si="59"/>
        <v>161.92500000000001</v>
      </c>
      <c r="O146" s="5">
        <f>0.323428571428571*$N$128</f>
        <v>52.371171428571365</v>
      </c>
      <c r="P146" s="65">
        <f t="shared" si="67"/>
        <v>9.9223356271453955E-3</v>
      </c>
      <c r="Q146" s="79">
        <f t="shared" si="62"/>
        <v>1062.5000000000002</v>
      </c>
      <c r="R146" s="35"/>
      <c r="S146" s="871"/>
      <c r="T146" s="465" t="s">
        <v>163</v>
      </c>
      <c r="V146" s="83">
        <f t="shared" si="63"/>
        <v>210979.57317095189</v>
      </c>
      <c r="W146" s="83"/>
      <c r="Z146" s="1065"/>
      <c r="AA146" s="35"/>
      <c r="AB146" s="871"/>
      <c r="AC146" s="380" t="s">
        <v>750</v>
      </c>
      <c r="AD146" s="882"/>
      <c r="AE146" s="35"/>
      <c r="AJ146" s="30">
        <f t="shared" si="55"/>
        <v>3.9215686274509796E-2</v>
      </c>
      <c r="AK146" s="35"/>
      <c r="AL146" s="871"/>
      <c r="AN146" s="558">
        <f>0.000253481479606608*$V$141</f>
        <v>53.479414374143502</v>
      </c>
      <c r="AO146" s="599"/>
      <c r="AQ146" s="600"/>
      <c r="AR146" s="549">
        <f t="shared" si="64"/>
        <v>120.17943201296212</v>
      </c>
      <c r="AT146" s="669">
        <f t="shared" si="65"/>
        <v>0.44499639812222946</v>
      </c>
      <c r="AU146" s="646"/>
      <c r="AY146" s="90"/>
      <c r="AZ146" s="543">
        <v>1939</v>
      </c>
      <c r="BA146" s="293"/>
    </row>
    <row r="147" spans="1:53">
      <c r="A147" s="321"/>
      <c r="B147" s="991"/>
      <c r="C147" s="945"/>
      <c r="D147" s="871"/>
      <c r="E147" s="899"/>
      <c r="F147" s="871"/>
      <c r="G147" s="871"/>
      <c r="H147" s="465"/>
      <c r="I147" s="871"/>
      <c r="J147" s="221"/>
      <c r="K147" s="35"/>
      <c r="M147" s="9">
        <f t="shared" si="66"/>
        <v>0.15239999999999998</v>
      </c>
      <c r="N147" s="52">
        <f t="shared" si="59"/>
        <v>161.92500000000001</v>
      </c>
      <c r="O147" s="5">
        <f>0.241142857142857*$N$128</f>
        <v>39.04705714285712</v>
      </c>
      <c r="P147" s="65">
        <f t="shared" si="67"/>
        <v>7.3979251495677727E-3</v>
      </c>
      <c r="Q147" s="79">
        <f t="shared" si="62"/>
        <v>1062.5000000000002</v>
      </c>
      <c r="R147" s="35"/>
      <c r="S147" s="871"/>
      <c r="T147" s="465" t="s">
        <v>163</v>
      </c>
      <c r="V147" s="83">
        <f t="shared" si="63"/>
        <v>210979.57317095189</v>
      </c>
      <c r="W147" s="83"/>
      <c r="Z147" s="1065"/>
      <c r="AA147" s="35"/>
      <c r="AB147" s="871"/>
      <c r="AC147" s="380" t="s">
        <v>750</v>
      </c>
      <c r="AD147" s="882"/>
      <c r="AE147" s="35"/>
      <c r="AJ147" s="30">
        <f t="shared" si="55"/>
        <v>3.9215686274509796E-2</v>
      </c>
      <c r="AK147" s="35"/>
      <c r="AL147" s="871"/>
      <c r="AN147" s="558">
        <f>0.000262653788351921*$V$141</f>
        <v>55.414584158221835</v>
      </c>
      <c r="AO147" s="599"/>
      <c r="AQ147" s="600"/>
      <c r="AR147" s="549">
        <f t="shared" si="64"/>
        <v>120.17943201296212</v>
      </c>
      <c r="AT147" s="669">
        <f t="shared" si="65"/>
        <v>0.46109873569917537</v>
      </c>
      <c r="AU147" s="646"/>
      <c r="AY147" s="90"/>
      <c r="AZ147" s="543">
        <v>1939</v>
      </c>
      <c r="BA147" s="293"/>
    </row>
    <row r="148" spans="1:53">
      <c r="A148" s="321"/>
      <c r="B148" s="991"/>
      <c r="C148" s="945"/>
      <c r="D148" s="871"/>
      <c r="E148" s="899"/>
      <c r="F148" s="871"/>
      <c r="G148" s="871"/>
      <c r="H148" s="465"/>
      <c r="I148" s="871"/>
      <c r="J148" s="221"/>
      <c r="K148" s="35"/>
      <c r="M148" s="9">
        <f t="shared" si="66"/>
        <v>0.15239999999999998</v>
      </c>
      <c r="N148" s="52">
        <f t="shared" si="59"/>
        <v>161.92500000000001</v>
      </c>
      <c r="O148" s="5">
        <f>0.14*$N$128</f>
        <v>22.669500000000003</v>
      </c>
      <c r="P148" s="46">
        <f t="shared" si="67"/>
        <v>4.2950039375452744E-3</v>
      </c>
      <c r="Q148" s="79">
        <f t="shared" si="62"/>
        <v>1062.5000000000002</v>
      </c>
      <c r="R148" s="35"/>
      <c r="S148" s="871"/>
      <c r="T148" s="465" t="s">
        <v>163</v>
      </c>
      <c r="V148" s="83">
        <f t="shared" si="63"/>
        <v>210979.57317095189</v>
      </c>
      <c r="W148" s="83"/>
      <c r="Z148" s="1065"/>
      <c r="AA148" s="35"/>
      <c r="AB148" s="871"/>
      <c r="AC148" s="380" t="s">
        <v>750</v>
      </c>
      <c r="AD148" s="882"/>
      <c r="AE148" s="35"/>
      <c r="AJ148" s="30">
        <f t="shared" si="55"/>
        <v>3.9215686274509796E-2</v>
      </c>
      <c r="AK148" s="35"/>
      <c r="AL148" s="871"/>
      <c r="AN148" s="558">
        <f>0.000342897593141229*$V$141</f>
        <v>72.344387842283211</v>
      </c>
      <c r="AO148" s="599"/>
      <c r="AQ148" s="600"/>
      <c r="AR148" s="549">
        <f t="shared" si="64"/>
        <v>120.17943201296212</v>
      </c>
      <c r="AT148" s="669">
        <f t="shared" si="65"/>
        <v>0.60196979325447642</v>
      </c>
      <c r="AU148" s="646"/>
      <c r="AY148" s="90"/>
      <c r="AZ148" s="543">
        <v>1939</v>
      </c>
      <c r="BA148" s="293"/>
    </row>
    <row r="149" spans="1:53">
      <c r="A149" s="321"/>
      <c r="B149" s="991"/>
      <c r="C149" s="945"/>
      <c r="D149" s="871"/>
      <c r="E149" s="899"/>
      <c r="F149" s="871"/>
      <c r="G149" s="871"/>
      <c r="H149" s="465"/>
      <c r="I149" s="871"/>
      <c r="J149" s="221"/>
      <c r="K149" s="35"/>
      <c r="M149" s="9">
        <f t="shared" si="66"/>
        <v>0.15239999999999998</v>
      </c>
      <c r="N149" s="52">
        <f t="shared" si="59"/>
        <v>161.92500000000001</v>
      </c>
      <c r="O149" s="5">
        <f>0.0902857142857143*$N$128</f>
        <v>14.61951428571429</v>
      </c>
      <c r="P149" s="46">
        <f t="shared" si="67"/>
        <v>2.7698392740087893E-3</v>
      </c>
      <c r="Q149" s="79">
        <f t="shared" si="62"/>
        <v>1062.5000000000002</v>
      </c>
      <c r="R149" s="35"/>
      <c r="S149" s="871"/>
      <c r="T149" s="465" t="s">
        <v>163</v>
      </c>
      <c r="V149" s="83">
        <f t="shared" si="63"/>
        <v>210979.57317095189</v>
      </c>
      <c r="W149" s="83"/>
      <c r="Z149" s="1065"/>
      <c r="AA149" s="35"/>
      <c r="AB149" s="871"/>
      <c r="AC149" s="380" t="s">
        <v>750</v>
      </c>
      <c r="AD149" s="882"/>
      <c r="AE149" s="35"/>
      <c r="AJ149" s="30">
        <f t="shared" si="55"/>
        <v>3.9215686274509796E-2</v>
      </c>
      <c r="AK149" s="35"/>
      <c r="AL149" s="871"/>
      <c r="AN149" s="558">
        <f>0.000469384184001851*$V$141</f>
        <v>99.030474793906066</v>
      </c>
      <c r="AO149" s="599"/>
      <c r="AQ149" s="600"/>
      <c r="AR149" s="549">
        <f t="shared" si="64"/>
        <v>120.17943201296212</v>
      </c>
      <c r="AT149" s="669">
        <f t="shared" si="65"/>
        <v>0.82402182416060177</v>
      </c>
      <c r="AU149" s="646"/>
      <c r="AY149" s="90"/>
      <c r="AZ149" s="543">
        <v>1939</v>
      </c>
      <c r="BA149" s="293"/>
    </row>
    <row r="150" spans="1:53">
      <c r="A150" s="321"/>
      <c r="B150" s="991"/>
      <c r="C150" s="945"/>
      <c r="D150" s="871"/>
      <c r="E150" s="899"/>
      <c r="F150" s="871"/>
      <c r="G150" s="871"/>
      <c r="H150" s="465"/>
      <c r="I150" s="871"/>
      <c r="J150" s="221"/>
      <c r="K150" s="35"/>
      <c r="M150" s="9">
        <f t="shared" si="66"/>
        <v>0.15239999999999998</v>
      </c>
      <c r="N150" s="52">
        <f t="shared" si="59"/>
        <v>161.92500000000001</v>
      </c>
      <c r="O150" s="5">
        <f>0.0405714285714285*$N$128</f>
        <v>6.5695285714285605</v>
      </c>
      <c r="P150" s="46">
        <f t="shared" si="67"/>
        <v>1.2446746104723017E-3</v>
      </c>
      <c r="Q150" s="79">
        <f t="shared" si="62"/>
        <v>1062.5000000000002</v>
      </c>
      <c r="R150" s="35"/>
      <c r="S150" s="871"/>
      <c r="T150" s="465" t="s">
        <v>163</v>
      </c>
      <c r="V150" s="83">
        <f t="shared" si="63"/>
        <v>210979.57317095189</v>
      </c>
      <c r="W150" s="83"/>
      <c r="Z150" s="1065"/>
      <c r="AA150" s="35"/>
      <c r="AB150" s="871"/>
      <c r="AC150" s="380" t="s">
        <v>750</v>
      </c>
      <c r="AD150" s="882"/>
      <c r="AE150" s="35"/>
      <c r="AJ150" s="30">
        <f t="shared" si="55"/>
        <v>3.9215686274509796E-2</v>
      </c>
      <c r="AK150" s="35"/>
      <c r="AL150" s="871"/>
      <c r="AN150" s="558">
        <f>0.000710610905341673*$V$141</f>
        <v>149.92438549960988</v>
      </c>
      <c r="AO150" s="599"/>
      <c r="AQ150" s="600"/>
      <c r="AR150" s="549">
        <f t="shared" si="64"/>
        <v>120.17943201296212</v>
      </c>
      <c r="AT150" s="669">
        <f t="shared" si="65"/>
        <v>1.2475045270927856</v>
      </c>
      <c r="AU150" s="646"/>
      <c r="AY150" s="90"/>
      <c r="AZ150" s="543">
        <v>1939</v>
      </c>
      <c r="BA150" s="293"/>
    </row>
    <row r="151" spans="1:53">
      <c r="A151" s="321"/>
      <c r="B151" s="991"/>
      <c r="C151" s="945"/>
      <c r="D151" s="871"/>
      <c r="E151" s="899"/>
      <c r="F151" s="871"/>
      <c r="G151" s="871"/>
      <c r="H151" s="465"/>
      <c r="I151" s="871"/>
      <c r="J151" s="221"/>
      <c r="K151" s="35"/>
      <c r="M151" s="9">
        <f>CONVERT(0.005,"in","mm")</f>
        <v>0.127</v>
      </c>
      <c r="N151" s="52">
        <f t="shared" si="59"/>
        <v>161.92500000000001</v>
      </c>
      <c r="O151" s="5">
        <f>1.40522875816993*$N$128</f>
        <v>227.54166666666595</v>
      </c>
      <c r="P151" s="65">
        <f>O151/$N$128*SQRT($M$151/$N$128)</f>
        <v>3.9354276871375313E-2</v>
      </c>
      <c r="Q151" s="79">
        <f t="shared" ref="Q151:Q165" si="68">$N$128/$M$151</f>
        <v>1275</v>
      </c>
      <c r="R151" s="35"/>
      <c r="S151" s="871"/>
      <c r="T151" s="465" t="s">
        <v>163</v>
      </c>
      <c r="V151" s="83">
        <f t="shared" ref="V151:V165" si="69">CONVERT(31.5*10^6,"psi","Pa")/10^6</f>
        <v>217184.8547348034</v>
      </c>
      <c r="W151" s="83"/>
      <c r="Z151" s="1065"/>
      <c r="AA151" s="35"/>
      <c r="AB151" s="871"/>
      <c r="AC151" s="380" t="s">
        <v>750</v>
      </c>
      <c r="AD151" s="882"/>
      <c r="AE151" s="35"/>
      <c r="AJ151" s="30">
        <f t="shared" si="55"/>
        <v>3.9215686274509796E-2</v>
      </c>
      <c r="AK151" s="35"/>
      <c r="AL151" s="871"/>
      <c r="AN151" s="558">
        <f>0.00013871436293754*$V$151</f>
        <v>30.126658764220423</v>
      </c>
      <c r="AO151" s="599"/>
      <c r="AQ151" s="600"/>
      <c r="AR151" s="549">
        <f t="shared" ref="AR151:AR165" si="70">1/SQRT(3*(1-0.3^2))*$V$151*1/Q151</f>
        <v>103.09510099151164</v>
      </c>
      <c r="AT151" s="669">
        <f t="shared" ref="AT151:AT165" si="71">AN151/$AR$151</f>
        <v>0.29222202097363392</v>
      </c>
      <c r="AU151" s="646"/>
      <c r="AY151" s="90"/>
      <c r="AZ151" s="543">
        <v>1939</v>
      </c>
      <c r="BA151" s="293"/>
    </row>
    <row r="152" spans="1:53">
      <c r="A152" s="321"/>
      <c r="B152" s="991"/>
      <c r="C152" s="945"/>
      <c r="D152" s="871"/>
      <c r="E152" s="899"/>
      <c r="F152" s="871"/>
      <c r="G152" s="871"/>
      <c r="H152" s="465"/>
      <c r="I152" s="871"/>
      <c r="J152" s="221"/>
      <c r="K152" s="35"/>
      <c r="M152" s="9">
        <f t="shared" ref="M152:M165" si="72">CONVERT(0.005,"in","mm")</f>
        <v>0.127</v>
      </c>
      <c r="N152" s="52">
        <f t="shared" si="59"/>
        <v>161.92500000000001</v>
      </c>
      <c r="O152" s="5">
        <f>1.40196078431372*$N$128</f>
        <v>227.01249999999914</v>
      </c>
      <c r="P152" s="65">
        <f t="shared" ref="P152:P164" si="73">O152/$N$128*SQRT($M$151/$N$128)</f>
        <v>3.9262755297255807E-2</v>
      </c>
      <c r="Q152" s="79">
        <f t="shared" si="68"/>
        <v>1275</v>
      </c>
      <c r="R152" s="35"/>
      <c r="S152" s="871"/>
      <c r="T152" s="465" t="s">
        <v>163</v>
      </c>
      <c r="U152" s="5"/>
      <c r="V152" s="83">
        <f t="shared" si="69"/>
        <v>217184.8547348034</v>
      </c>
      <c r="W152" s="83"/>
      <c r="Z152" s="1065"/>
      <c r="AA152" s="35"/>
      <c r="AB152" s="871"/>
      <c r="AC152" s="380" t="s">
        <v>750</v>
      </c>
      <c r="AD152" s="882"/>
      <c r="AE152" s="35"/>
      <c r="AJ152" s="30">
        <f t="shared" si="55"/>
        <v>3.9215686274509796E-2</v>
      </c>
      <c r="AK152" s="35"/>
      <c r="AL152" s="871"/>
      <c r="AN152" s="558">
        <f>0.000111221683712718*$V$151</f>
        <v>24.155665220506908</v>
      </c>
      <c r="AO152" s="599"/>
      <c r="AQ152" s="600"/>
      <c r="AR152" s="549">
        <f t="shared" si="70"/>
        <v>103.09510099151164</v>
      </c>
      <c r="AT152" s="669">
        <f t="shared" si="71"/>
        <v>0.234304685559169</v>
      </c>
      <c r="AU152" s="646"/>
      <c r="AY152" s="90"/>
      <c r="AZ152" s="543">
        <v>1939</v>
      </c>
      <c r="BA152" s="293"/>
    </row>
    <row r="153" spans="1:53">
      <c r="A153" s="321"/>
      <c r="B153" s="991"/>
      <c r="C153" s="945"/>
      <c r="D153" s="871"/>
      <c r="E153" s="899"/>
      <c r="F153" s="871"/>
      <c r="G153" s="871"/>
      <c r="H153" s="465"/>
      <c r="I153" s="871"/>
      <c r="J153" s="221"/>
      <c r="K153" s="35"/>
      <c r="M153" s="9">
        <f t="shared" si="72"/>
        <v>0.127</v>
      </c>
      <c r="N153" s="52">
        <f t="shared" si="59"/>
        <v>161.92500000000001</v>
      </c>
      <c r="O153" s="5">
        <f>1.40196078431372*$N$128</f>
        <v>227.01249999999914</v>
      </c>
      <c r="P153" s="65">
        <f t="shared" si="73"/>
        <v>3.9262755297255807E-2</v>
      </c>
      <c r="Q153" s="79">
        <f t="shared" si="68"/>
        <v>1275</v>
      </c>
      <c r="R153" s="35"/>
      <c r="S153" s="871"/>
      <c r="T153" s="465" t="s">
        <v>163</v>
      </c>
      <c r="U153" s="5"/>
      <c r="V153" s="83">
        <f t="shared" si="69"/>
        <v>217184.8547348034</v>
      </c>
      <c r="W153" s="83"/>
      <c r="Z153" s="1065"/>
      <c r="AA153" s="35"/>
      <c r="AB153" s="871"/>
      <c r="AC153" s="380" t="s">
        <v>750</v>
      </c>
      <c r="AD153" s="882"/>
      <c r="AE153" s="35"/>
      <c r="AJ153" s="30">
        <f t="shared" si="55"/>
        <v>3.9215686274509796E-2</v>
      </c>
      <c r="AK153" s="35"/>
      <c r="AL153" s="871"/>
      <c r="AN153" s="558">
        <f>0.000105031172755422*$V$151</f>
        <v>22.811179997512369</v>
      </c>
      <c r="AO153" s="599"/>
      <c r="AQ153" s="600"/>
      <c r="AR153" s="549">
        <f t="shared" si="70"/>
        <v>103.09510099151164</v>
      </c>
      <c r="AT153" s="669">
        <f t="shared" si="71"/>
        <v>0.22126347205761535</v>
      </c>
      <c r="AU153" s="646"/>
      <c r="AY153" s="90"/>
      <c r="AZ153" s="543">
        <v>1939</v>
      </c>
      <c r="BA153" s="293"/>
    </row>
    <row r="154" spans="1:53">
      <c r="A154" s="321"/>
      <c r="B154" s="991"/>
      <c r="C154" s="945"/>
      <c r="D154" s="871"/>
      <c r="E154" s="899"/>
      <c r="F154" s="871"/>
      <c r="G154" s="871"/>
      <c r="H154" s="465"/>
      <c r="I154" s="871"/>
      <c r="J154" s="221"/>
      <c r="K154" s="35"/>
      <c r="M154" s="9">
        <f t="shared" si="72"/>
        <v>0.127</v>
      </c>
      <c r="N154" s="52">
        <f t="shared" si="59"/>
        <v>161.92500000000001</v>
      </c>
      <c r="O154" s="5">
        <f>1.39869281045751*$N$128</f>
        <v>226.48333333333233</v>
      </c>
      <c r="P154" s="65">
        <f t="shared" si="73"/>
        <v>3.9171233723136308E-2</v>
      </c>
      <c r="Q154" s="79">
        <f t="shared" si="68"/>
        <v>1275</v>
      </c>
      <c r="R154" s="35"/>
      <c r="S154" s="871"/>
      <c r="T154" s="465" t="s">
        <v>163</v>
      </c>
      <c r="U154" s="5"/>
      <c r="V154" s="83">
        <f t="shared" si="69"/>
        <v>217184.8547348034</v>
      </c>
      <c r="W154" s="83"/>
      <c r="Z154" s="1065"/>
      <c r="AA154" s="35"/>
      <c r="AB154" s="871"/>
      <c r="AC154" s="380" t="s">
        <v>750</v>
      </c>
      <c r="AD154" s="882"/>
      <c r="AE154" s="35"/>
      <c r="AJ154" s="30">
        <f t="shared" si="55"/>
        <v>3.9215686274509796E-2</v>
      </c>
      <c r="AK154" s="35"/>
      <c r="AL154" s="871"/>
      <c r="AN154" s="558">
        <f>0.000100821472444758*$V$151</f>
        <v>21.896896847063751</v>
      </c>
      <c r="AO154" s="599"/>
      <c r="AQ154" s="600"/>
      <c r="AR154" s="549">
        <f t="shared" si="70"/>
        <v>103.09510099151164</v>
      </c>
      <c r="AT154" s="669">
        <f t="shared" si="71"/>
        <v>0.21239512485531817</v>
      </c>
      <c r="AU154" s="646"/>
      <c r="AY154" s="90"/>
      <c r="AZ154" s="543">
        <v>1939</v>
      </c>
      <c r="BA154" s="293"/>
    </row>
    <row r="155" spans="1:53">
      <c r="A155" s="321"/>
      <c r="B155" s="991"/>
      <c r="C155" s="945"/>
      <c r="D155" s="871"/>
      <c r="E155" s="899"/>
      <c r="F155" s="871"/>
      <c r="G155" s="871"/>
      <c r="H155" s="465"/>
      <c r="I155" s="871"/>
      <c r="J155" s="221"/>
      <c r="K155" s="35"/>
      <c r="M155" s="9">
        <f t="shared" si="72"/>
        <v>0.127</v>
      </c>
      <c r="N155" s="52">
        <f t="shared" si="59"/>
        <v>161.92500000000001</v>
      </c>
      <c r="O155" s="5">
        <f>1.09803921568627*$N$128</f>
        <v>177.79999999999927</v>
      </c>
      <c r="P155" s="65">
        <f t="shared" si="73"/>
        <v>3.07512489041444E-2</v>
      </c>
      <c r="Q155" s="79">
        <f t="shared" si="68"/>
        <v>1275</v>
      </c>
      <c r="R155" s="35"/>
      <c r="S155" s="871"/>
      <c r="T155" s="465" t="s">
        <v>163</v>
      </c>
      <c r="U155" s="5"/>
      <c r="V155" s="83">
        <f t="shared" si="69"/>
        <v>217184.8547348034</v>
      </c>
      <c r="W155" s="83"/>
      <c r="Z155" s="1065"/>
      <c r="AA155" s="35"/>
      <c r="AB155" s="871"/>
      <c r="AC155" s="380" t="s">
        <v>750</v>
      </c>
      <c r="AD155" s="882"/>
      <c r="AE155" s="35"/>
      <c r="AJ155" s="30">
        <f t="shared" si="55"/>
        <v>3.9215686274509796E-2</v>
      </c>
      <c r="AK155" s="35"/>
      <c r="AL155" s="871"/>
      <c r="AN155" s="558">
        <f>0.0000991852207423294*$V$151</f>
        <v>21.541527758762221</v>
      </c>
      <c r="AO155" s="599"/>
      <c r="AQ155" s="600"/>
      <c r="AR155" s="549">
        <f t="shared" si="70"/>
        <v>103.09510099151164</v>
      </c>
      <c r="AT155" s="669">
        <f t="shared" si="71"/>
        <v>0.2089481221860954</v>
      </c>
      <c r="AU155" s="646"/>
      <c r="AY155" s="90"/>
      <c r="AZ155" s="543">
        <v>1939</v>
      </c>
      <c r="BA155" s="293"/>
    </row>
    <row r="156" spans="1:53">
      <c r="A156" s="321"/>
      <c r="B156" s="991"/>
      <c r="C156" s="945"/>
      <c r="D156" s="871"/>
      <c r="E156" s="899"/>
      <c r="F156" s="871"/>
      <c r="G156" s="871"/>
      <c r="H156" s="465"/>
      <c r="I156" s="871"/>
      <c r="J156" s="221"/>
      <c r="K156" s="35"/>
      <c r="M156" s="9">
        <f t="shared" si="72"/>
        <v>0.127</v>
      </c>
      <c r="N156" s="52">
        <f t="shared" si="59"/>
        <v>161.92500000000001</v>
      </c>
      <c r="O156" s="5">
        <f>1.09803921568627*$N$128</f>
        <v>177.79999999999927</v>
      </c>
      <c r="P156" s="65">
        <f t="shared" si="73"/>
        <v>3.07512489041444E-2</v>
      </c>
      <c r="Q156" s="79">
        <f t="shared" si="68"/>
        <v>1275</v>
      </c>
      <c r="R156" s="35"/>
      <c r="S156" s="871"/>
      <c r="T156" s="465" t="s">
        <v>163</v>
      </c>
      <c r="U156" s="5"/>
      <c r="V156" s="83">
        <f t="shared" si="69"/>
        <v>217184.8547348034</v>
      </c>
      <c r="W156" s="83"/>
      <c r="Z156" s="1065"/>
      <c r="AA156" s="35"/>
      <c r="AB156" s="871"/>
      <c r="AC156" s="380" t="s">
        <v>750</v>
      </c>
      <c r="AD156" s="882"/>
      <c r="AE156" s="35"/>
      <c r="AJ156" s="30">
        <f t="shared" si="55"/>
        <v>3.9215686274509796E-2</v>
      </c>
      <c r="AK156" s="35"/>
      <c r="AL156" s="871"/>
      <c r="AN156" s="558">
        <f>0.0000975755240937872*$V$151</f>
        <v>21.191926025981481</v>
      </c>
      <c r="AO156" s="599"/>
      <c r="AQ156" s="600"/>
      <c r="AR156" s="549">
        <f t="shared" si="70"/>
        <v>103.09510099151164</v>
      </c>
      <c r="AT156" s="669">
        <f t="shared" si="71"/>
        <v>0.20555706160786749</v>
      </c>
      <c r="AU156" s="646"/>
      <c r="AY156" s="90"/>
      <c r="AZ156" s="543">
        <v>1939</v>
      </c>
      <c r="BA156" s="293"/>
    </row>
    <row r="157" spans="1:53">
      <c r="A157" s="321"/>
      <c r="B157" s="991"/>
      <c r="C157" s="945"/>
      <c r="D157" s="871"/>
      <c r="E157" s="899"/>
      <c r="F157" s="871"/>
      <c r="G157" s="871"/>
      <c r="H157" s="465"/>
      <c r="I157" s="871"/>
      <c r="J157" s="221"/>
      <c r="K157" s="35"/>
      <c r="M157" s="9">
        <f t="shared" si="72"/>
        <v>0.127</v>
      </c>
      <c r="N157" s="52">
        <f t="shared" si="59"/>
        <v>161.92500000000001</v>
      </c>
      <c r="O157" s="5">
        <f>0.797385620915032*$N$128</f>
        <v>129.11666666666656</v>
      </c>
      <c r="P157" s="65">
        <f t="shared" si="73"/>
        <v>2.2331264085152555E-2</v>
      </c>
      <c r="Q157" s="79">
        <f t="shared" si="68"/>
        <v>1275</v>
      </c>
      <c r="R157" s="35"/>
      <c r="S157" s="871"/>
      <c r="T157" s="465" t="s">
        <v>163</v>
      </c>
      <c r="U157" s="5"/>
      <c r="V157" s="83">
        <f t="shared" si="69"/>
        <v>217184.8547348034</v>
      </c>
      <c r="W157" s="83"/>
      <c r="Z157" s="1065"/>
      <c r="AA157" s="35"/>
      <c r="AB157" s="871"/>
      <c r="AC157" s="380" t="s">
        <v>750</v>
      </c>
      <c r="AD157" s="882"/>
      <c r="AE157" s="35"/>
      <c r="AJ157" s="30">
        <f t="shared" si="55"/>
        <v>3.9215686274509796E-2</v>
      </c>
      <c r="AK157" s="35"/>
      <c r="AL157" s="871"/>
      <c r="AN157" s="558">
        <f>0.000113985228104759*$V$151</f>
        <v>24.755865207845513</v>
      </c>
      <c r="AO157" s="599"/>
      <c r="AQ157" s="600"/>
      <c r="AR157" s="549">
        <f t="shared" si="70"/>
        <v>103.09510099151164</v>
      </c>
      <c r="AT157" s="669">
        <f t="shared" si="71"/>
        <v>0.24012649456431293</v>
      </c>
      <c r="AU157" s="646"/>
      <c r="AY157" s="90"/>
      <c r="AZ157" s="543">
        <v>1939</v>
      </c>
      <c r="BA157" s="293"/>
    </row>
    <row r="158" spans="1:53">
      <c r="A158" s="321"/>
      <c r="B158" s="991"/>
      <c r="C158" s="945"/>
      <c r="D158" s="871"/>
      <c r="E158" s="899"/>
      <c r="F158" s="871"/>
      <c r="G158" s="871"/>
      <c r="H158" s="465"/>
      <c r="I158" s="871"/>
      <c r="J158" s="221"/>
      <c r="K158" s="35"/>
      <c r="M158" s="9">
        <f t="shared" si="72"/>
        <v>0.127</v>
      </c>
      <c r="N158" s="52">
        <f t="shared" si="59"/>
        <v>161.92500000000001</v>
      </c>
      <c r="O158" s="5">
        <f>0.604575163398692*$N$128</f>
        <v>97.895833333333215</v>
      </c>
      <c r="P158" s="65">
        <f t="shared" si="73"/>
        <v>1.6931491212103363E-2</v>
      </c>
      <c r="Q158" s="79">
        <f t="shared" si="68"/>
        <v>1275</v>
      </c>
      <c r="R158" s="35"/>
      <c r="S158" s="871"/>
      <c r="T158" s="465" t="s">
        <v>163</v>
      </c>
      <c r="U158" s="5"/>
      <c r="V158" s="83">
        <f t="shared" si="69"/>
        <v>217184.8547348034</v>
      </c>
      <c r="W158" s="83"/>
      <c r="Z158" s="1065"/>
      <c r="AA158" s="35"/>
      <c r="AB158" s="871"/>
      <c r="AC158" s="380" t="s">
        <v>750</v>
      </c>
      <c r="AD158" s="882"/>
      <c r="AE158" s="35"/>
      <c r="AJ158" s="30">
        <f t="shared" si="55"/>
        <v>3.9215686274509796E-2</v>
      </c>
      <c r="AK158" s="35"/>
      <c r="AL158" s="871"/>
      <c r="AN158" s="558">
        <f>0.000124718812291886*$V$151</f>
        <v>27.087037130310474</v>
      </c>
      <c r="AO158" s="599"/>
      <c r="AQ158" s="600"/>
      <c r="AR158" s="549">
        <f t="shared" si="70"/>
        <v>103.09510099151164</v>
      </c>
      <c r="AT158" s="669">
        <f t="shared" si="71"/>
        <v>0.26273835390627037</v>
      </c>
      <c r="AU158" s="646"/>
      <c r="AY158" s="90"/>
      <c r="AZ158" s="543">
        <v>1939</v>
      </c>
      <c r="BA158" s="293"/>
    </row>
    <row r="159" spans="1:53">
      <c r="A159" s="321"/>
      <c r="B159" s="991"/>
      <c r="C159" s="945"/>
      <c r="D159" s="871"/>
      <c r="E159" s="899"/>
      <c r="F159" s="871"/>
      <c r="G159" s="871"/>
      <c r="H159" s="465"/>
      <c r="I159" s="871"/>
      <c r="J159" s="221"/>
      <c r="K159" s="35"/>
      <c r="M159" s="9">
        <f t="shared" si="72"/>
        <v>0.127</v>
      </c>
      <c r="N159" s="52">
        <f t="shared" si="59"/>
        <v>161.92500000000001</v>
      </c>
      <c r="O159" s="5">
        <f>0.447712418300653*$N$128</f>
        <v>72.495833333333238</v>
      </c>
      <c r="P159" s="65">
        <f t="shared" si="73"/>
        <v>1.2538455654368437E-2</v>
      </c>
      <c r="Q159" s="79">
        <f t="shared" si="68"/>
        <v>1275</v>
      </c>
      <c r="R159" s="35"/>
      <c r="S159" s="871"/>
      <c r="T159" s="465" t="s">
        <v>163</v>
      </c>
      <c r="U159" s="5"/>
      <c r="V159" s="83">
        <f t="shared" si="69"/>
        <v>217184.8547348034</v>
      </c>
      <c r="W159" s="83"/>
      <c r="Z159" s="1065"/>
      <c r="AA159" s="35"/>
      <c r="AB159" s="871"/>
      <c r="AC159" s="380" t="s">
        <v>750</v>
      </c>
      <c r="AD159" s="882"/>
      <c r="AE159" s="35"/>
      <c r="AJ159" s="30">
        <f t="shared" si="55"/>
        <v>3.9215686274509796E-2</v>
      </c>
      <c r="AK159" s="35"/>
      <c r="AL159" s="871"/>
      <c r="AN159" s="558">
        <f>0.000136463139988656*$V$151</f>
        <v>29.637727235091393</v>
      </c>
      <c r="AO159" s="599"/>
      <c r="AQ159" s="600"/>
      <c r="AR159" s="549">
        <f t="shared" si="70"/>
        <v>103.09510099151164</v>
      </c>
      <c r="AT159" s="669">
        <f t="shared" si="71"/>
        <v>0.28747949175132603</v>
      </c>
      <c r="AU159" s="646"/>
      <c r="AY159" s="90"/>
      <c r="AZ159" s="543">
        <v>1939</v>
      </c>
      <c r="BA159" s="293"/>
    </row>
    <row r="160" spans="1:53">
      <c r="A160" s="321"/>
      <c r="B160" s="991"/>
      <c r="C160" s="945"/>
      <c r="D160" s="871"/>
      <c r="E160" s="899"/>
      <c r="F160" s="871"/>
      <c r="G160" s="871"/>
      <c r="H160" s="465"/>
      <c r="I160" s="871"/>
      <c r="J160" s="221"/>
      <c r="K160" s="35"/>
      <c r="M160" s="9">
        <f t="shared" si="72"/>
        <v>0.127</v>
      </c>
      <c r="N160" s="52">
        <f t="shared" si="59"/>
        <v>161.92500000000001</v>
      </c>
      <c r="O160" s="5">
        <f>0.313725490196078*$N$128</f>
        <v>50.799999999999933</v>
      </c>
      <c r="P160" s="65">
        <f t="shared" si="73"/>
        <v>8.7860711154698536E-3</v>
      </c>
      <c r="Q160" s="79">
        <f t="shared" si="68"/>
        <v>1275</v>
      </c>
      <c r="R160" s="35"/>
      <c r="S160" s="871"/>
      <c r="T160" s="465" t="s">
        <v>163</v>
      </c>
      <c r="U160" s="5"/>
      <c r="V160" s="83">
        <f t="shared" si="69"/>
        <v>217184.8547348034</v>
      </c>
      <c r="W160" s="83"/>
      <c r="Z160" s="1065"/>
      <c r="AA160" s="35"/>
      <c r="AB160" s="871"/>
      <c r="AC160" s="380" t="s">
        <v>750</v>
      </c>
      <c r="AD160" s="882"/>
      <c r="AE160" s="35"/>
      <c r="AJ160" s="30">
        <f t="shared" ref="AJ160:AJ191" si="74">CONVERT(1/2/2,"in","mm")/N160</f>
        <v>3.9215686274509796E-2</v>
      </c>
      <c r="AK160" s="35"/>
      <c r="AL160" s="871"/>
      <c r="AN160" s="558">
        <f>0.000164715770942417*$V$151</f>
        <v>35.773770784659987</v>
      </c>
      <c r="AO160" s="599"/>
      <c r="AQ160" s="600"/>
      <c r="AR160" s="549">
        <f t="shared" si="70"/>
        <v>103.09510099151164</v>
      </c>
      <c r="AT160" s="669">
        <f t="shared" si="71"/>
        <v>0.34699777623386224</v>
      </c>
      <c r="AU160" s="646"/>
      <c r="AY160" s="90"/>
      <c r="AZ160" s="543">
        <v>1939</v>
      </c>
      <c r="BA160" s="293"/>
    </row>
    <row r="161" spans="1:53">
      <c r="A161" s="321"/>
      <c r="B161" s="991"/>
      <c r="C161" s="945"/>
      <c r="D161" s="871"/>
      <c r="E161" s="899"/>
      <c r="F161" s="871"/>
      <c r="G161" s="871"/>
      <c r="H161" s="465"/>
      <c r="I161" s="871"/>
      <c r="J161" s="221"/>
      <c r="K161" s="35"/>
      <c r="M161" s="9">
        <f t="shared" si="72"/>
        <v>0.127</v>
      </c>
      <c r="N161" s="52">
        <f t="shared" si="59"/>
        <v>161.92500000000001</v>
      </c>
      <c r="O161" s="5">
        <f>0.222222222222222*$N$128</f>
        <v>35.983333333333299</v>
      </c>
      <c r="P161" s="65">
        <f t="shared" si="73"/>
        <v>6.2234670401244818E-3</v>
      </c>
      <c r="Q161" s="79">
        <f t="shared" si="68"/>
        <v>1275</v>
      </c>
      <c r="R161" s="35"/>
      <c r="S161" s="871"/>
      <c r="T161" s="465" t="s">
        <v>163</v>
      </c>
      <c r="U161" s="5"/>
      <c r="V161" s="83">
        <f t="shared" si="69"/>
        <v>217184.8547348034</v>
      </c>
      <c r="W161" s="83"/>
      <c r="Z161" s="1065"/>
      <c r="AA161" s="35"/>
      <c r="AB161" s="871"/>
      <c r="AC161" s="380" t="s">
        <v>750</v>
      </c>
      <c r="AD161" s="882"/>
      <c r="AE161" s="35"/>
      <c r="AJ161" s="30">
        <f t="shared" si="74"/>
        <v>3.9215686274509796E-2</v>
      </c>
      <c r="AK161" s="35"/>
      <c r="AL161" s="871"/>
      <c r="AN161" s="558">
        <f>0.000214009143369238*$V$151</f>
        <v>46.479544714567673</v>
      </c>
      <c r="AO161" s="599"/>
      <c r="AQ161" s="600"/>
      <c r="AR161" s="549">
        <f t="shared" si="70"/>
        <v>103.09510099151164</v>
      </c>
      <c r="AT161" s="669">
        <f t="shared" si="71"/>
        <v>0.45084144898790657</v>
      </c>
      <c r="AU161" s="646"/>
      <c r="AY161" s="90"/>
      <c r="AZ161" s="543">
        <v>1939</v>
      </c>
      <c r="BA161" s="293"/>
    </row>
    <row r="162" spans="1:53">
      <c r="A162" s="321"/>
      <c r="B162" s="991"/>
      <c r="C162" s="945"/>
      <c r="D162" s="871"/>
      <c r="E162" s="899"/>
      <c r="F162" s="871"/>
      <c r="G162" s="871"/>
      <c r="H162" s="465"/>
      <c r="I162" s="871"/>
      <c r="J162" s="221"/>
      <c r="K162" s="35"/>
      <c r="M162" s="9">
        <f t="shared" si="72"/>
        <v>0.127</v>
      </c>
      <c r="N162" s="52">
        <f t="shared" si="59"/>
        <v>161.92500000000001</v>
      </c>
      <c r="O162" s="5">
        <f>0.160130718954248*$N$128</f>
        <v>25.929166666666607</v>
      </c>
      <c r="P162" s="147">
        <f t="shared" si="73"/>
        <v>4.4845571318543999E-3</v>
      </c>
      <c r="Q162" s="79">
        <f t="shared" si="68"/>
        <v>1275</v>
      </c>
      <c r="R162" s="35"/>
      <c r="S162" s="871"/>
      <c r="T162" s="465" t="s">
        <v>163</v>
      </c>
      <c r="U162" s="5"/>
      <c r="V162" s="83">
        <f t="shared" si="69"/>
        <v>217184.8547348034</v>
      </c>
      <c r="W162" s="83"/>
      <c r="Z162" s="1065"/>
      <c r="AA162" s="35"/>
      <c r="AB162" s="871"/>
      <c r="AC162" s="380" t="s">
        <v>750</v>
      </c>
      <c r="AD162" s="882"/>
      <c r="AE162" s="35"/>
      <c r="AJ162" s="30">
        <f t="shared" si="74"/>
        <v>3.9215686274509796E-2</v>
      </c>
      <c r="AK162" s="35"/>
      <c r="AL162" s="871"/>
      <c r="AN162" s="558">
        <f>0.000275788681259487*$V$151</f>
        <v>59.897124676844676</v>
      </c>
      <c r="AO162" s="599"/>
      <c r="AQ162" s="600"/>
      <c r="AR162" s="549">
        <f t="shared" si="70"/>
        <v>103.09510099151164</v>
      </c>
      <c r="AT162" s="669">
        <f t="shared" si="71"/>
        <v>0.58098904895370651</v>
      </c>
      <c r="AU162" s="646"/>
      <c r="AY162" s="90"/>
      <c r="AZ162" s="543">
        <v>1939</v>
      </c>
      <c r="BA162" s="293"/>
    </row>
    <row r="163" spans="1:53">
      <c r="A163" s="321"/>
      <c r="B163" s="991"/>
      <c r="C163" s="945"/>
      <c r="D163" s="871"/>
      <c r="E163" s="899"/>
      <c r="F163" s="871"/>
      <c r="G163" s="871"/>
      <c r="H163" s="465"/>
      <c r="I163" s="871"/>
      <c r="J163" s="221"/>
      <c r="K163" s="35"/>
      <c r="M163" s="9">
        <f t="shared" si="72"/>
        <v>0.127</v>
      </c>
      <c r="N163" s="52">
        <f t="shared" si="59"/>
        <v>161.92500000000001</v>
      </c>
      <c r="O163" s="5">
        <f>0.0849673202614378*$N$128</f>
        <v>13.758333333333317</v>
      </c>
      <c r="P163" s="147">
        <f t="shared" si="73"/>
        <v>2.3795609271064187E-3</v>
      </c>
      <c r="Q163" s="79">
        <f t="shared" si="68"/>
        <v>1275</v>
      </c>
      <c r="R163" s="35"/>
      <c r="S163" s="871"/>
      <c r="T163" s="465" t="s">
        <v>163</v>
      </c>
      <c r="U163" s="5"/>
      <c r="V163" s="83">
        <f t="shared" si="69"/>
        <v>217184.8547348034</v>
      </c>
      <c r="W163" s="83"/>
      <c r="Z163" s="1065"/>
      <c r="AA163" s="35"/>
      <c r="AB163" s="871"/>
      <c r="AC163" s="380" t="s">
        <v>750</v>
      </c>
      <c r="AD163" s="882"/>
      <c r="AE163" s="35"/>
      <c r="AJ163" s="30">
        <f t="shared" si="74"/>
        <v>3.9215686274509796E-2</v>
      </c>
      <c r="AK163" s="35"/>
      <c r="AL163" s="871"/>
      <c r="AN163" s="558">
        <f>0.000319544305424407*$V$151</f>
        <v>69.400183554933491</v>
      </c>
      <c r="AO163" s="599"/>
      <c r="AQ163" s="600"/>
      <c r="AR163" s="549">
        <f t="shared" si="70"/>
        <v>103.09510099151164</v>
      </c>
      <c r="AT163" s="669">
        <f t="shared" si="71"/>
        <v>0.6731666479539854</v>
      </c>
      <c r="AU163" s="646"/>
      <c r="AY163" s="90"/>
      <c r="AZ163" s="543">
        <v>1939</v>
      </c>
      <c r="BA163" s="293"/>
    </row>
    <row r="164" spans="1:53">
      <c r="A164" s="321"/>
      <c r="B164" s="991"/>
      <c r="C164" s="945"/>
      <c r="D164" s="871"/>
      <c r="E164" s="899"/>
      <c r="F164" s="871"/>
      <c r="G164" s="871"/>
      <c r="H164" s="465"/>
      <c r="I164" s="871"/>
      <c r="J164" s="221"/>
      <c r="K164" s="35"/>
      <c r="M164" s="9">
        <f t="shared" si="72"/>
        <v>0.127</v>
      </c>
      <c r="N164" s="52">
        <f t="shared" si="59"/>
        <v>161.92500000000001</v>
      </c>
      <c r="O164" s="5">
        <f>0.0392156862745097*$N$128</f>
        <v>6.3499999999999837</v>
      </c>
      <c r="P164" s="147">
        <f t="shared" si="73"/>
        <v>1.0982588894337302E-3</v>
      </c>
      <c r="Q164" s="79">
        <f t="shared" si="68"/>
        <v>1275</v>
      </c>
      <c r="R164" s="35"/>
      <c r="S164" s="871"/>
      <c r="T164" s="465" t="s">
        <v>163</v>
      </c>
      <c r="U164" s="5"/>
      <c r="V164" s="83">
        <f t="shared" si="69"/>
        <v>217184.8547348034</v>
      </c>
      <c r="W164" s="83"/>
      <c r="Z164" s="1065"/>
      <c r="AA164" s="35"/>
      <c r="AB164" s="871"/>
      <c r="AC164" s="380" t="s">
        <v>750</v>
      </c>
      <c r="AD164" s="882"/>
      <c r="AE164" s="35"/>
      <c r="AJ164" s="30">
        <f t="shared" si="74"/>
        <v>3.9215686274509796E-2</v>
      </c>
      <c r="AK164" s="35"/>
      <c r="AL164" s="871"/>
      <c r="AN164" s="558">
        <f>0.000454267452508489*$V$151</f>
        <v>98.660010683805396</v>
      </c>
      <c r="AO164" s="599"/>
      <c r="AQ164" s="600"/>
      <c r="AR164" s="549">
        <f t="shared" si="70"/>
        <v>103.09510099151164</v>
      </c>
      <c r="AT164" s="669">
        <f t="shared" si="71"/>
        <v>0.95698059107511413</v>
      </c>
      <c r="AU164" s="646"/>
      <c r="AY164" s="90"/>
      <c r="AZ164" s="543">
        <v>1939</v>
      </c>
      <c r="BA164" s="293"/>
    </row>
    <row r="165" spans="1:53">
      <c r="A165" s="321"/>
      <c r="B165" s="991"/>
      <c r="C165" s="945"/>
      <c r="D165" s="871"/>
      <c r="E165" s="899"/>
      <c r="F165" s="871"/>
      <c r="G165" s="871"/>
      <c r="H165" s="465"/>
      <c r="I165" s="871"/>
      <c r="J165" s="221"/>
      <c r="K165" s="35"/>
      <c r="M165" s="9">
        <f t="shared" si="72"/>
        <v>0.127</v>
      </c>
      <c r="N165" s="52">
        <f t="shared" si="59"/>
        <v>161.92500000000001</v>
      </c>
      <c r="O165" s="5">
        <f>0.0784313725490195*$N$128</f>
        <v>12.699999999999983</v>
      </c>
      <c r="P165" s="147">
        <f>O165/$N$128*SQRT($M$151/$N$128)</f>
        <v>2.1965177788674634E-3</v>
      </c>
      <c r="Q165" s="79">
        <f t="shared" si="68"/>
        <v>1275</v>
      </c>
      <c r="R165" s="35"/>
      <c r="S165" s="871"/>
      <c r="T165" s="465" t="s">
        <v>163</v>
      </c>
      <c r="U165" s="5"/>
      <c r="V165" s="83">
        <f t="shared" si="69"/>
        <v>217184.8547348034</v>
      </c>
      <c r="W165" s="83"/>
      <c r="Z165" s="1065"/>
      <c r="AA165" s="35"/>
      <c r="AB165" s="871"/>
      <c r="AC165" s="380" t="s">
        <v>750</v>
      </c>
      <c r="AD165" s="882"/>
      <c r="AE165" s="35"/>
      <c r="AJ165" s="30">
        <f t="shared" si="74"/>
        <v>3.9215686274509796E-2</v>
      </c>
      <c r="AK165" s="35"/>
      <c r="AL165" s="871"/>
      <c r="AN165" s="558">
        <f>0.000411789427356043*$V$151</f>
        <v>89.434426961650075</v>
      </c>
      <c r="AO165" s="599"/>
      <c r="AQ165" s="600"/>
      <c r="AR165" s="549">
        <f t="shared" si="70"/>
        <v>103.09510099151164</v>
      </c>
      <c r="AT165" s="669">
        <f t="shared" si="71"/>
        <v>0.86749444058465663</v>
      </c>
      <c r="AU165" s="646"/>
      <c r="AY165" s="90"/>
      <c r="AZ165" s="543">
        <v>1939</v>
      </c>
      <c r="BA165" s="293"/>
    </row>
    <row r="166" spans="1:53">
      <c r="A166" s="321"/>
      <c r="B166" s="991"/>
      <c r="C166" s="945"/>
      <c r="D166" s="871"/>
      <c r="E166" s="899"/>
      <c r="F166" s="871"/>
      <c r="G166" s="871"/>
      <c r="H166" s="465"/>
      <c r="I166" s="871"/>
      <c r="J166" s="221"/>
      <c r="K166" s="35"/>
      <c r="M166" s="9">
        <f>CONVERT(0.004,"in","mm")</f>
        <v>0.10160000000000001</v>
      </c>
      <c r="N166" s="52">
        <f t="shared" si="59"/>
        <v>161.92500000000001</v>
      </c>
      <c r="O166" s="5">
        <f>0.775999999999999*$N$128</f>
        <v>125.65379999999985</v>
      </c>
      <c r="P166" s="65">
        <f>O166/$N$128*SQRT($M$166/$N$128)</f>
        <v>1.9438001995283016E-2</v>
      </c>
      <c r="Q166" s="79">
        <f t="shared" ref="Q166:Q177" si="75">$N$128/$M$166</f>
        <v>1593.75</v>
      </c>
      <c r="R166" s="35"/>
      <c r="S166" s="871"/>
      <c r="T166" s="465" t="s">
        <v>163</v>
      </c>
      <c r="U166" s="5"/>
      <c r="V166" s="83">
        <f t="shared" ref="V166:V177" si="76">CONVERT(32.4*10^6,"psi","Pa")/10^6</f>
        <v>223390.13629865492</v>
      </c>
      <c r="W166" s="83"/>
      <c r="Z166" s="1065"/>
      <c r="AA166" s="35"/>
      <c r="AB166" s="871"/>
      <c r="AC166" s="380" t="s">
        <v>750</v>
      </c>
      <c r="AD166" s="882"/>
      <c r="AE166" s="35"/>
      <c r="AJ166" s="30">
        <f t="shared" si="74"/>
        <v>3.9215686274509796E-2</v>
      </c>
      <c r="AK166" s="35"/>
      <c r="AL166" s="871"/>
      <c r="AN166" s="558">
        <f>0.000114597946829758*$V$166</f>
        <v>25.60005096184565</v>
      </c>
      <c r="AO166" s="599"/>
      <c r="AQ166" s="600"/>
      <c r="AR166" s="549">
        <f t="shared" ref="AR166:AR177" si="77">1/SQRT(3*(1-0.3^2))*$V$166*1/Q166</f>
        <v>84.832540244443877</v>
      </c>
      <c r="AT166" s="669">
        <f t="shared" ref="AT166:AT177" si="78">AN166/$AR$166</f>
        <v>0.30177159481585053</v>
      </c>
      <c r="AU166" s="646"/>
      <c r="AY166" s="90"/>
      <c r="AZ166" s="543">
        <v>1939</v>
      </c>
      <c r="BA166" s="293"/>
    </row>
    <row r="167" spans="1:53">
      <c r="A167" s="321"/>
      <c r="B167" s="991"/>
      <c r="C167" s="945"/>
      <c r="D167" s="871"/>
      <c r="E167" s="899"/>
      <c r="F167" s="871"/>
      <c r="G167" s="871"/>
      <c r="H167" s="465"/>
      <c r="I167" s="871"/>
      <c r="J167" s="221"/>
      <c r="K167" s="35"/>
      <c r="M167" s="9">
        <f t="shared" ref="M167:M177" si="79">CONVERT(0.004,"in","mm")</f>
        <v>0.10160000000000001</v>
      </c>
      <c r="N167" s="52">
        <f t="shared" si="59"/>
        <v>161.92500000000001</v>
      </c>
      <c r="O167" s="5">
        <f>0.777714285714285*$N$128</f>
        <v>125.93138571428561</v>
      </c>
      <c r="P167" s="65">
        <f t="shared" ref="P167:P177" si="80">O167/$N$128*SQRT($M$166/$N$128)</f>
        <v>1.9480943089528864E-2</v>
      </c>
      <c r="Q167" s="79">
        <f t="shared" si="75"/>
        <v>1593.75</v>
      </c>
      <c r="R167" s="35"/>
      <c r="S167" s="871"/>
      <c r="T167" s="465" t="s">
        <v>163</v>
      </c>
      <c r="U167" s="5"/>
      <c r="V167" s="83">
        <f t="shared" si="76"/>
        <v>223390.13629865492</v>
      </c>
      <c r="W167" s="83"/>
      <c r="Z167" s="1065"/>
      <c r="AA167" s="35"/>
      <c r="AB167" s="871"/>
      <c r="AC167" s="380" t="s">
        <v>750</v>
      </c>
      <c r="AD167" s="882"/>
      <c r="AE167" s="35"/>
      <c r="AJ167" s="30">
        <f t="shared" si="74"/>
        <v>3.9215686274509796E-2</v>
      </c>
      <c r="AK167" s="35"/>
      <c r="AL167" s="871"/>
      <c r="AN167" s="558">
        <f>0.0000789012279360178*$V$166</f>
        <v>17.625756062758253</v>
      </c>
      <c r="AO167" s="599"/>
      <c r="AQ167" s="600"/>
      <c r="AR167" s="549">
        <f t="shared" si="77"/>
        <v>84.832540244443877</v>
      </c>
      <c r="AT167" s="669">
        <f t="shared" si="78"/>
        <v>0.20777116908169746</v>
      </c>
      <c r="AU167" s="646"/>
      <c r="AY167" s="90"/>
      <c r="AZ167" s="543">
        <v>1939</v>
      </c>
      <c r="BA167" s="293"/>
    </row>
    <row r="168" spans="1:53">
      <c r="A168" s="321"/>
      <c r="B168" s="991"/>
      <c r="C168" s="945"/>
      <c r="D168" s="871"/>
      <c r="E168" s="899"/>
      <c r="F168" s="871"/>
      <c r="G168" s="871"/>
      <c r="H168" s="465"/>
      <c r="I168" s="871"/>
      <c r="J168" s="221"/>
      <c r="K168" s="35"/>
      <c r="M168" s="9">
        <f t="shared" si="79"/>
        <v>0.10160000000000001</v>
      </c>
      <c r="N168" s="52">
        <f t="shared" si="59"/>
        <v>161.92500000000001</v>
      </c>
      <c r="O168" s="5">
        <f>0.775999999999999*$N$128</f>
        <v>125.65379999999985</v>
      </c>
      <c r="P168" s="65">
        <f t="shared" si="80"/>
        <v>1.9438001995283016E-2</v>
      </c>
      <c r="Q168" s="79">
        <f t="shared" si="75"/>
        <v>1593.75</v>
      </c>
      <c r="R168" s="35"/>
      <c r="S168" s="871"/>
      <c r="T168" s="465" t="s">
        <v>163</v>
      </c>
      <c r="U168" s="5"/>
      <c r="V168" s="83">
        <f t="shared" si="76"/>
        <v>223390.13629865492</v>
      </c>
      <c r="W168" s="83"/>
      <c r="Z168" s="1065"/>
      <c r="AA168" s="35"/>
      <c r="AB168" s="871"/>
      <c r="AC168" s="380" t="s">
        <v>750</v>
      </c>
      <c r="AD168" s="882"/>
      <c r="AE168" s="35"/>
      <c r="AJ168" s="30">
        <f t="shared" si="74"/>
        <v>3.9215686274509796E-2</v>
      </c>
      <c r="AK168" s="35"/>
      <c r="AL168" s="871"/>
      <c r="AN168" s="558">
        <f>0.0000721921827427729*$V$166</f>
        <v>16.127021542605441</v>
      </c>
      <c r="AO168" s="599"/>
      <c r="AQ168" s="600"/>
      <c r="AR168" s="549">
        <f t="shared" si="77"/>
        <v>84.832540244443877</v>
      </c>
      <c r="AT168" s="669">
        <f t="shared" si="78"/>
        <v>0.19010419228441863</v>
      </c>
      <c r="AU168" s="646"/>
      <c r="AY168" s="90"/>
      <c r="AZ168" s="543">
        <v>1939</v>
      </c>
      <c r="BA168" s="293"/>
    </row>
    <row r="169" spans="1:53">
      <c r="A169" s="321"/>
      <c r="B169" s="991"/>
      <c r="C169" s="945"/>
      <c r="D169" s="871"/>
      <c r="E169" s="899"/>
      <c r="F169" s="871"/>
      <c r="G169" s="871"/>
      <c r="H169" s="465"/>
      <c r="I169" s="871"/>
      <c r="J169" s="221"/>
      <c r="K169" s="35"/>
      <c r="M169" s="9">
        <f t="shared" si="79"/>
        <v>0.10160000000000001</v>
      </c>
      <c r="N169" s="52">
        <f t="shared" si="59"/>
        <v>161.92500000000001</v>
      </c>
      <c r="O169" s="5">
        <f>0.765714285714285*$N$128</f>
        <v>123.98828571428561</v>
      </c>
      <c r="P169" s="65">
        <f t="shared" si="80"/>
        <v>1.9180355429807991E-2</v>
      </c>
      <c r="Q169" s="79">
        <f t="shared" si="75"/>
        <v>1593.75</v>
      </c>
      <c r="R169" s="35"/>
      <c r="S169" s="871"/>
      <c r="T169" s="465" t="s">
        <v>163</v>
      </c>
      <c r="U169" s="5"/>
      <c r="V169" s="83">
        <f t="shared" si="76"/>
        <v>223390.13629865492</v>
      </c>
      <c r="W169" s="83"/>
      <c r="Z169" s="1065"/>
      <c r="AA169" s="35"/>
      <c r="AB169" s="871"/>
      <c r="AC169" s="380" t="s">
        <v>750</v>
      </c>
      <c r="AD169" s="882"/>
      <c r="AE169" s="35"/>
      <c r="AJ169" s="30">
        <f t="shared" si="74"/>
        <v>3.9215686274509796E-2</v>
      </c>
      <c r="AK169" s="35"/>
      <c r="AL169" s="871"/>
      <c r="AN169" s="558">
        <f>0.0000709204455166128*$V$166</f>
        <v>15.842927990317463</v>
      </c>
      <c r="AO169" s="599"/>
      <c r="AQ169" s="600"/>
      <c r="AR169" s="549">
        <f t="shared" si="77"/>
        <v>84.832540244443877</v>
      </c>
      <c r="AT169" s="669">
        <f t="shared" si="78"/>
        <v>0.18675531753105906</v>
      </c>
      <c r="AU169" s="646"/>
      <c r="AY169" s="90"/>
      <c r="AZ169" s="543">
        <v>1939</v>
      </c>
      <c r="BA169" s="293"/>
    </row>
    <row r="170" spans="1:53">
      <c r="A170" s="321"/>
      <c r="B170" s="991"/>
      <c r="C170" s="945"/>
      <c r="D170" s="871"/>
      <c r="E170" s="899"/>
      <c r="F170" s="871"/>
      <c r="G170" s="871"/>
      <c r="H170" s="465"/>
      <c r="I170" s="871"/>
      <c r="J170" s="221"/>
      <c r="K170" s="35"/>
      <c r="M170" s="9">
        <f t="shared" si="79"/>
        <v>0.10160000000000001</v>
      </c>
      <c r="N170" s="52">
        <f t="shared" si="59"/>
        <v>161.92500000000001</v>
      </c>
      <c r="O170" s="5">
        <f>0.479428571428571*$N$128</f>
        <v>77.631471428571359</v>
      </c>
      <c r="P170" s="65">
        <f t="shared" si="80"/>
        <v>1.2009192690752913E-2</v>
      </c>
      <c r="Q170" s="79">
        <f t="shared" si="75"/>
        <v>1593.75</v>
      </c>
      <c r="R170" s="35"/>
      <c r="S170" s="871"/>
      <c r="T170" s="465" t="s">
        <v>163</v>
      </c>
      <c r="U170" s="5"/>
      <c r="V170" s="83">
        <f t="shared" si="76"/>
        <v>223390.13629865492</v>
      </c>
      <c r="W170" s="83"/>
      <c r="Z170" s="1065"/>
      <c r="AA170" s="35"/>
      <c r="AB170" s="871"/>
      <c r="AC170" s="380" t="s">
        <v>750</v>
      </c>
      <c r="AD170" s="882"/>
      <c r="AE170" s="35"/>
      <c r="AJ170" s="30">
        <f t="shared" si="74"/>
        <v>3.9215686274509796E-2</v>
      </c>
      <c r="AK170" s="35"/>
      <c r="AL170" s="871"/>
      <c r="AN170" s="558">
        <f>0.0000847146719700724*$V$166</f>
        <v>18.924422117890316</v>
      </c>
      <c r="AO170" s="599"/>
      <c r="AQ170" s="600"/>
      <c r="AR170" s="549">
        <f t="shared" si="77"/>
        <v>84.832540244443877</v>
      </c>
      <c r="AT170" s="669">
        <f t="shared" si="78"/>
        <v>0.22307975292688204</v>
      </c>
      <c r="AU170" s="646"/>
      <c r="AY170" s="90"/>
      <c r="AZ170" s="543">
        <v>1939</v>
      </c>
      <c r="BA170" s="293"/>
    </row>
    <row r="171" spans="1:53">
      <c r="A171" s="321"/>
      <c r="B171" s="991"/>
      <c r="C171" s="945"/>
      <c r="D171" s="871"/>
      <c r="E171" s="899"/>
      <c r="F171" s="871"/>
      <c r="G171" s="871"/>
      <c r="H171" s="465"/>
      <c r="I171" s="871"/>
      <c r="J171" s="221"/>
      <c r="K171" s="35"/>
      <c r="M171" s="9">
        <f t="shared" si="79"/>
        <v>0.10160000000000001</v>
      </c>
      <c r="N171" s="52">
        <f t="shared" si="59"/>
        <v>161.92500000000001</v>
      </c>
      <c r="O171" s="5">
        <f>0.314857142857142*$N$128</f>
        <v>50.98324285714272</v>
      </c>
      <c r="P171" s="65">
        <f t="shared" si="80"/>
        <v>7.8868476431523758E-3</v>
      </c>
      <c r="Q171" s="79">
        <f t="shared" si="75"/>
        <v>1593.75</v>
      </c>
      <c r="R171" s="35"/>
      <c r="S171" s="871"/>
      <c r="T171" s="465" t="s">
        <v>163</v>
      </c>
      <c r="U171" s="5"/>
      <c r="V171" s="83">
        <f t="shared" si="76"/>
        <v>223390.13629865492</v>
      </c>
      <c r="W171" s="83"/>
      <c r="Z171" s="1065"/>
      <c r="AA171" s="35"/>
      <c r="AB171" s="871"/>
      <c r="AC171" s="380" t="s">
        <v>750</v>
      </c>
      <c r="AD171" s="882"/>
      <c r="AE171" s="35"/>
      <c r="AJ171" s="30">
        <f t="shared" si="74"/>
        <v>3.9215686274509796E-2</v>
      </c>
      <c r="AK171" s="35"/>
      <c r="AL171" s="871"/>
      <c r="AN171" s="558">
        <f>0.000107368001976812*$V$166</f>
        <v>23.984952595714283</v>
      </c>
      <c r="AO171" s="599"/>
      <c r="AQ171" s="600"/>
      <c r="AR171" s="549">
        <f t="shared" si="77"/>
        <v>84.832540244443877</v>
      </c>
      <c r="AT171" s="669">
        <f t="shared" si="78"/>
        <v>0.28273292921091303</v>
      </c>
      <c r="AU171" s="646"/>
      <c r="AY171" s="90"/>
      <c r="AZ171" s="543">
        <v>1939</v>
      </c>
      <c r="BA171" s="293"/>
    </row>
    <row r="172" spans="1:53">
      <c r="A172" s="321"/>
      <c r="B172" s="991"/>
      <c r="C172" s="945"/>
      <c r="D172" s="871"/>
      <c r="E172" s="899"/>
      <c r="F172" s="871"/>
      <c r="G172" s="871"/>
      <c r="H172" s="465"/>
      <c r="I172" s="871"/>
      <c r="J172" s="221"/>
      <c r="K172" s="35"/>
      <c r="M172" s="9">
        <f t="shared" si="79"/>
        <v>0.10160000000000001</v>
      </c>
      <c r="N172" s="52">
        <f t="shared" si="59"/>
        <v>161.92500000000001</v>
      </c>
      <c r="O172" s="5">
        <f>0.311428571428571*$N$128</f>
        <v>50.428071428571364</v>
      </c>
      <c r="P172" s="65">
        <f t="shared" si="80"/>
        <v>7.8009654546607092E-3</v>
      </c>
      <c r="Q172" s="79">
        <f t="shared" si="75"/>
        <v>1593.75</v>
      </c>
      <c r="R172" s="35"/>
      <c r="S172" s="871"/>
      <c r="T172" s="465" t="s">
        <v>163</v>
      </c>
      <c r="U172" s="5"/>
      <c r="V172" s="83">
        <f t="shared" si="76"/>
        <v>223390.13629865492</v>
      </c>
      <c r="W172" s="83"/>
      <c r="Z172" s="1065"/>
      <c r="AA172" s="35"/>
      <c r="AB172" s="871"/>
      <c r="AC172" s="380" t="s">
        <v>750</v>
      </c>
      <c r="AD172" s="882"/>
      <c r="AE172" s="35"/>
      <c r="AJ172" s="30">
        <f t="shared" si="74"/>
        <v>3.9215686274509796E-2</v>
      </c>
      <c r="AK172" s="35"/>
      <c r="AL172" s="871"/>
      <c r="AN172" s="558">
        <f>0.000114597946829758*$V$166</f>
        <v>25.60005096184565</v>
      </c>
      <c r="AO172" s="599"/>
      <c r="AQ172" s="600"/>
      <c r="AR172" s="549">
        <f t="shared" si="77"/>
        <v>84.832540244443877</v>
      </c>
      <c r="AT172" s="669">
        <f t="shared" si="78"/>
        <v>0.30177159481585053</v>
      </c>
      <c r="AU172" s="646"/>
      <c r="AY172" s="90"/>
      <c r="AZ172" s="543">
        <v>1939</v>
      </c>
      <c r="BA172" s="293"/>
    </row>
    <row r="173" spans="1:53">
      <c r="A173" s="321"/>
      <c r="B173" s="991"/>
      <c r="C173" s="945"/>
      <c r="D173" s="871"/>
      <c r="E173" s="899"/>
      <c r="F173" s="871"/>
      <c r="G173" s="871"/>
      <c r="H173" s="465"/>
      <c r="I173" s="871"/>
      <c r="J173" s="221"/>
      <c r="K173" s="35"/>
      <c r="M173" s="9">
        <f t="shared" si="79"/>
        <v>0.10160000000000001</v>
      </c>
      <c r="N173" s="52">
        <f t="shared" si="59"/>
        <v>161.92500000000001</v>
      </c>
      <c r="O173" s="5">
        <f>0.306285714285714*$N$128</f>
        <v>49.595314285714245</v>
      </c>
      <c r="P173" s="65">
        <f t="shared" si="80"/>
        <v>7.672142171923196E-3</v>
      </c>
      <c r="Q173" s="79">
        <f t="shared" si="75"/>
        <v>1593.75</v>
      </c>
      <c r="R173" s="35"/>
      <c r="S173" s="871"/>
      <c r="T173" s="465" t="s">
        <v>163</v>
      </c>
      <c r="U173" s="5"/>
      <c r="V173" s="83">
        <f t="shared" si="76"/>
        <v>223390.13629865492</v>
      </c>
      <c r="W173" s="83"/>
      <c r="Z173" s="1065"/>
      <c r="AA173" s="35"/>
      <c r="AB173" s="871"/>
      <c r="AC173" s="380" t="s">
        <v>750</v>
      </c>
      <c r="AD173" s="882"/>
      <c r="AE173" s="35"/>
      <c r="AJ173" s="30">
        <f t="shared" si="74"/>
        <v>3.9215686274509796E-2</v>
      </c>
      <c r="AK173" s="35"/>
      <c r="AL173" s="871"/>
      <c r="AN173" s="558">
        <f>0.000128251380843583*$V$166</f>
        <v>28.650093447138708</v>
      </c>
      <c r="AO173" s="599"/>
      <c r="AQ173" s="600"/>
      <c r="AR173" s="549">
        <f t="shared" si="77"/>
        <v>84.832540244443877</v>
      </c>
      <c r="AT173" s="669">
        <f t="shared" si="78"/>
        <v>0.33772528047119454</v>
      </c>
      <c r="AU173" s="646"/>
      <c r="AY173" s="90"/>
      <c r="AZ173" s="543">
        <v>1939</v>
      </c>
      <c r="BA173" s="293"/>
    </row>
    <row r="174" spans="1:53">
      <c r="A174" s="321"/>
      <c r="B174" s="991"/>
      <c r="C174" s="945"/>
      <c r="D174" s="871"/>
      <c r="E174" s="899"/>
      <c r="F174" s="871"/>
      <c r="G174" s="871"/>
      <c r="H174" s="465"/>
      <c r="I174" s="871"/>
      <c r="J174" s="221"/>
      <c r="K174" s="35"/>
      <c r="M174" s="9">
        <f t="shared" si="79"/>
        <v>0.10160000000000001</v>
      </c>
      <c r="N174" s="52">
        <f t="shared" si="59"/>
        <v>161.92500000000001</v>
      </c>
      <c r="O174" s="5">
        <f>0.241142857142857*$N$128</f>
        <v>39.04705714285712</v>
      </c>
      <c r="P174" s="65">
        <f t="shared" si="80"/>
        <v>6.040380590581324E-3</v>
      </c>
      <c r="Q174" s="79">
        <f t="shared" si="75"/>
        <v>1593.75</v>
      </c>
      <c r="R174" s="35"/>
      <c r="S174" s="871"/>
      <c r="T174" s="465" t="s">
        <v>163</v>
      </c>
      <c r="U174" s="5"/>
      <c r="V174" s="83">
        <f t="shared" si="76"/>
        <v>223390.13629865492</v>
      </c>
      <c r="W174" s="83"/>
      <c r="Z174" s="1065"/>
      <c r="AA174" s="35"/>
      <c r="AB174" s="871"/>
      <c r="AC174" s="380" t="s">
        <v>750</v>
      </c>
      <c r="AD174" s="882"/>
      <c r="AE174" s="35"/>
      <c r="AJ174" s="30">
        <f t="shared" si="74"/>
        <v>3.9215686274509796E-2</v>
      </c>
      <c r="AK174" s="35"/>
      <c r="AL174" s="871"/>
      <c r="AN174" s="558">
        <f>0.000151392170755134*$V$166</f>
        <v>33.819517659538626</v>
      </c>
      <c r="AO174" s="599"/>
      <c r="AQ174" s="600"/>
      <c r="AR174" s="549">
        <f t="shared" si="77"/>
        <v>84.832540244443877</v>
      </c>
      <c r="AT174" s="669">
        <f t="shared" si="78"/>
        <v>0.39866208841663964</v>
      </c>
      <c r="AU174" s="646"/>
      <c r="AY174" s="90"/>
      <c r="AZ174" s="543">
        <v>1939</v>
      </c>
      <c r="BA174" s="293"/>
    </row>
    <row r="175" spans="1:53">
      <c r="A175" s="321"/>
      <c r="B175" s="991"/>
      <c r="C175" s="945"/>
      <c r="D175" s="871"/>
      <c r="E175" s="899"/>
      <c r="F175" s="871"/>
      <c r="G175" s="871"/>
      <c r="H175" s="465"/>
      <c r="I175" s="871"/>
      <c r="J175" s="221"/>
      <c r="K175" s="35"/>
      <c r="M175" s="9">
        <f t="shared" si="79"/>
        <v>0.10160000000000001</v>
      </c>
      <c r="N175" s="52">
        <f t="shared" si="59"/>
        <v>161.92500000000001</v>
      </c>
      <c r="O175" s="5">
        <f>0.150285714285714*$N$128</f>
        <v>24.335014285714241</v>
      </c>
      <c r="P175" s="351">
        <f>O175/$N$128*SQRT($M$166/$N$128)</f>
        <v>3.7645025955518629E-3</v>
      </c>
      <c r="Q175" s="79">
        <f t="shared" si="75"/>
        <v>1593.75</v>
      </c>
      <c r="R175" s="35"/>
      <c r="S175" s="871"/>
      <c r="T175" s="465" t="s">
        <v>163</v>
      </c>
      <c r="U175" s="5"/>
      <c r="V175" s="83">
        <f t="shared" si="76"/>
        <v>223390.13629865492</v>
      </c>
      <c r="W175" s="83"/>
      <c r="Z175" s="1065"/>
      <c r="AA175" s="35"/>
      <c r="AB175" s="871"/>
      <c r="AC175" s="380" t="s">
        <v>750</v>
      </c>
      <c r="AD175" s="882"/>
      <c r="AE175" s="35"/>
      <c r="AJ175" s="30">
        <f t="shared" si="74"/>
        <v>3.9215686274509796E-2</v>
      </c>
      <c r="AK175" s="35"/>
      <c r="AL175" s="871"/>
      <c r="AN175" s="558">
        <f>0.000219885449041519*$V$166</f>
        <v>49.120240431475871</v>
      </c>
      <c r="AO175" s="599"/>
      <c r="AQ175" s="600"/>
      <c r="AR175" s="549">
        <f t="shared" si="77"/>
        <v>84.832540244443877</v>
      </c>
      <c r="AT175" s="669">
        <f t="shared" si="78"/>
        <v>0.57902592908259642</v>
      </c>
      <c r="AU175" s="646"/>
      <c r="AY175" s="90"/>
      <c r="AZ175" s="543">
        <v>1939</v>
      </c>
      <c r="BA175" s="293"/>
    </row>
    <row r="176" spans="1:53">
      <c r="A176" s="321"/>
      <c r="B176" s="991"/>
      <c r="C176" s="945"/>
      <c r="D176" s="871"/>
      <c r="E176" s="899"/>
      <c r="F176" s="871"/>
      <c r="G176" s="871"/>
      <c r="H176" s="465"/>
      <c r="I176" s="871"/>
      <c r="J176" s="221"/>
      <c r="K176" s="35"/>
      <c r="M176" s="9">
        <f t="shared" si="79"/>
        <v>0.10160000000000001</v>
      </c>
      <c r="N176" s="52">
        <f t="shared" si="59"/>
        <v>161.92500000000001</v>
      </c>
      <c r="O176" s="5">
        <f>0.0902857142857143*$N$128</f>
        <v>14.61951428571429</v>
      </c>
      <c r="P176" s="147">
        <f t="shared" si="80"/>
        <v>2.2615642969475119E-3</v>
      </c>
      <c r="Q176" s="79">
        <f t="shared" si="75"/>
        <v>1593.75</v>
      </c>
      <c r="R176" s="35"/>
      <c r="S176" s="871"/>
      <c r="T176" s="465" t="s">
        <v>163</v>
      </c>
      <c r="U176" s="5"/>
      <c r="V176" s="83">
        <f t="shared" si="76"/>
        <v>223390.13629865492</v>
      </c>
      <c r="W176" s="83"/>
      <c r="Z176" s="1065"/>
      <c r="AA176" s="35"/>
      <c r="AB176" s="871"/>
      <c r="AC176" s="380" t="s">
        <v>750</v>
      </c>
      <c r="AD176" s="882"/>
      <c r="AE176" s="35"/>
      <c r="AJ176" s="30">
        <f t="shared" si="74"/>
        <v>3.9215686274509796E-2</v>
      </c>
      <c r="AK176" s="35"/>
      <c r="AL176" s="871"/>
      <c r="AN176" s="558">
        <f>0.000319366651914864*$V$166</f>
        <v>71.343359900506556</v>
      </c>
      <c r="AO176" s="599"/>
      <c r="AQ176" s="600"/>
      <c r="AR176" s="549">
        <f t="shared" si="77"/>
        <v>84.832540244443877</v>
      </c>
      <c r="AT176" s="669">
        <f t="shared" si="78"/>
        <v>0.84099049368239565</v>
      </c>
      <c r="AU176" s="646"/>
      <c r="AY176" s="90"/>
      <c r="AZ176" s="543">
        <v>1939</v>
      </c>
      <c r="BA176" s="293"/>
    </row>
    <row r="177" spans="1:53">
      <c r="A177" s="321"/>
      <c r="B177" s="991"/>
      <c r="C177" s="945"/>
      <c r="D177" s="871"/>
      <c r="E177" s="899"/>
      <c r="F177" s="871"/>
      <c r="G177" s="871"/>
      <c r="H177" s="465"/>
      <c r="I177" s="871"/>
      <c r="J177" s="221"/>
      <c r="K177" s="35"/>
      <c r="M177" s="9">
        <f t="shared" si="79"/>
        <v>0.10160000000000001</v>
      </c>
      <c r="N177" s="52">
        <f t="shared" si="59"/>
        <v>161.92500000000001</v>
      </c>
      <c r="O177" s="5">
        <f>0.0371428571428571*$N$128</f>
        <v>6.0143571428571372</v>
      </c>
      <c r="P177" s="147">
        <f t="shared" si="80"/>
        <v>9.3039037532650687E-4</v>
      </c>
      <c r="Q177" s="79">
        <f t="shared" si="75"/>
        <v>1593.75</v>
      </c>
      <c r="R177" s="35"/>
      <c r="S177" s="871"/>
      <c r="T177" s="465" t="s">
        <v>163</v>
      </c>
      <c r="U177" s="5"/>
      <c r="V177" s="83">
        <f t="shared" si="76"/>
        <v>223390.13629865492</v>
      </c>
      <c r="W177" s="83"/>
      <c r="Z177" s="1065"/>
      <c r="AA177" s="35"/>
      <c r="AB177" s="871"/>
      <c r="AC177" s="380" t="s">
        <v>750</v>
      </c>
      <c r="AD177" s="882"/>
      <c r="AE177" s="35"/>
      <c r="AJ177" s="30">
        <f t="shared" si="74"/>
        <v>3.9215686274509796E-2</v>
      </c>
      <c r="AK177" s="35"/>
      <c r="AL177" s="871"/>
      <c r="AN177" s="558">
        <f>0.000381484365447344*$V$166</f>
        <v>85.219844393088067</v>
      </c>
      <c r="AO177" s="599"/>
      <c r="AQ177" s="600"/>
      <c r="AR177" s="549">
        <f t="shared" si="77"/>
        <v>84.832540244443877</v>
      </c>
      <c r="AT177" s="669">
        <f t="shared" si="78"/>
        <v>1.0045655139823491</v>
      </c>
      <c r="AU177" s="646"/>
      <c r="AY177" s="90"/>
      <c r="AZ177" s="543">
        <v>1939</v>
      </c>
      <c r="BA177" s="293"/>
    </row>
    <row r="178" spans="1:53">
      <c r="A178" s="321"/>
      <c r="B178" s="991"/>
      <c r="C178" s="945"/>
      <c r="D178" s="871"/>
      <c r="E178" s="899"/>
      <c r="F178" s="871"/>
      <c r="G178" s="871"/>
      <c r="H178" s="465"/>
      <c r="I178" s="871"/>
      <c r="J178" s="221"/>
      <c r="K178" s="35"/>
      <c r="M178" s="9">
        <f>CONVERT(0.003,"in","mm")</f>
        <v>7.619999999999999E-2</v>
      </c>
      <c r="N178" s="52">
        <f t="shared" si="59"/>
        <v>161.92500000000001</v>
      </c>
      <c r="O178" s="5">
        <f>1.39869281045751*$N$128</f>
        <v>226.48333333333233</v>
      </c>
      <c r="P178" s="65">
        <f>O178/$N$128*SQRT($M$178/$N$128)</f>
        <v>3.0341907172021051E-2</v>
      </c>
      <c r="Q178" s="79">
        <f t="shared" ref="Q178:Q195" si="81">$N$128/$M$178</f>
        <v>2125.0000000000005</v>
      </c>
      <c r="R178" s="35"/>
      <c r="S178" s="871"/>
      <c r="T178" s="465" t="s">
        <v>163</v>
      </c>
      <c r="U178" s="5"/>
      <c r="V178" s="142">
        <f t="shared" ref="V178:V195" si="82">CONVERT(32*10^6,"psi","Pa")/10^6</f>
        <v>220632.23338138757</v>
      </c>
      <c r="W178" s="83"/>
      <c r="Z178" s="1065"/>
      <c r="AA178" s="35"/>
      <c r="AB178" s="871"/>
      <c r="AC178" s="380" t="s">
        <v>750</v>
      </c>
      <c r="AD178" s="882"/>
      <c r="AE178" s="35"/>
      <c r="AJ178" s="30">
        <f t="shared" si="74"/>
        <v>3.9215686274509796E-2</v>
      </c>
      <c r="AK178" s="35"/>
      <c r="AL178" s="871"/>
      <c r="AN178" s="558">
        <f>0.0000642889107048738*$V$178</f>
        <v>14.184205950472901</v>
      </c>
      <c r="AO178" s="599"/>
      <c r="AQ178" s="600"/>
      <c r="AR178" s="550">
        <f t="shared" ref="AR178:AR195" si="83">1/SQRT(3*(1-0.3^2))*$V$178*1/Q178</f>
        <v>62.838918699588035</v>
      </c>
      <c r="AT178" s="669">
        <f t="shared" ref="AT178:AT195" si="84">AN178/$AR$178</f>
        <v>0.22572326583598407</v>
      </c>
      <c r="AU178" s="646"/>
      <c r="AY178" s="90"/>
      <c r="AZ178" s="543">
        <v>1939</v>
      </c>
      <c r="BA178" s="293"/>
    </row>
    <row r="179" spans="1:53">
      <c r="A179" s="321"/>
      <c r="B179" s="991"/>
      <c r="C179" s="945"/>
      <c r="D179" s="871"/>
      <c r="E179" s="899"/>
      <c r="F179" s="871"/>
      <c r="G179" s="871"/>
      <c r="H179" s="465"/>
      <c r="I179" s="871"/>
      <c r="J179" s="221"/>
      <c r="K179" s="35"/>
      <c r="M179" s="9">
        <f t="shared" ref="M179:M195" si="85">CONVERT(0.003,"in","mm")</f>
        <v>7.619999999999999E-2</v>
      </c>
      <c r="N179" s="52">
        <f t="shared" si="59"/>
        <v>161.92500000000001</v>
      </c>
      <c r="O179" s="5">
        <f>1.40522875816993*$N$128</f>
        <v>227.54166666666595</v>
      </c>
      <c r="P179" s="65">
        <f t="shared" ref="P179:P195" si="86">O179/$N$128*SQRT($M$178/$N$128)</f>
        <v>3.0483691784974457E-2</v>
      </c>
      <c r="Q179" s="79">
        <f t="shared" si="81"/>
        <v>2125.0000000000005</v>
      </c>
      <c r="R179" s="35"/>
      <c r="S179" s="871"/>
      <c r="T179" s="465" t="s">
        <v>163</v>
      </c>
      <c r="U179" s="5"/>
      <c r="V179" s="142">
        <f t="shared" si="82"/>
        <v>220632.23338138757</v>
      </c>
      <c r="W179" s="83"/>
      <c r="Z179" s="1065"/>
      <c r="AA179" s="35"/>
      <c r="AB179" s="871"/>
      <c r="AC179" s="380" t="s">
        <v>750</v>
      </c>
      <c r="AD179" s="882"/>
      <c r="AE179" s="35"/>
      <c r="AJ179" s="30">
        <f t="shared" si="74"/>
        <v>3.9215686274509796E-2</v>
      </c>
      <c r="AK179" s="35"/>
      <c r="AL179" s="871"/>
      <c r="AN179" s="558">
        <f>0.0000550336588323658*$V$178</f>
        <v>12.142199059334192</v>
      </c>
      <c r="AO179" s="599"/>
      <c r="AQ179" s="600"/>
      <c r="AR179" s="550">
        <f t="shared" si="83"/>
        <v>62.838918699588035</v>
      </c>
      <c r="AT179" s="669">
        <f t="shared" si="84"/>
        <v>0.19322737104026258</v>
      </c>
      <c r="AU179" s="646"/>
      <c r="AY179" s="90"/>
      <c r="AZ179" s="543">
        <v>1939</v>
      </c>
      <c r="BA179" s="293"/>
    </row>
    <row r="180" spans="1:53">
      <c r="A180" s="321"/>
      <c r="B180" s="991"/>
      <c r="C180" s="945"/>
      <c r="D180" s="871"/>
      <c r="E180" s="899"/>
      <c r="F180" s="871"/>
      <c r="G180" s="871"/>
      <c r="H180" s="465"/>
      <c r="I180" s="871"/>
      <c r="J180" s="221"/>
      <c r="K180" s="35"/>
      <c r="M180" s="9">
        <f t="shared" si="85"/>
        <v>7.619999999999999E-2</v>
      </c>
      <c r="N180" s="52">
        <f t="shared" si="59"/>
        <v>161.92500000000001</v>
      </c>
      <c r="O180" s="5">
        <f>1.40522875816993*$N$128</f>
        <v>227.54166666666595</v>
      </c>
      <c r="P180" s="65">
        <f t="shared" si="86"/>
        <v>3.0483691784974457E-2</v>
      </c>
      <c r="Q180" s="79">
        <f t="shared" si="81"/>
        <v>2125.0000000000005</v>
      </c>
      <c r="R180" s="35"/>
      <c r="S180" s="871"/>
      <c r="T180" s="465" t="s">
        <v>163</v>
      </c>
      <c r="U180" s="5"/>
      <c r="V180" s="142">
        <f t="shared" si="82"/>
        <v>220632.23338138757</v>
      </c>
      <c r="W180" s="83"/>
      <c r="Z180" s="1065"/>
      <c r="AA180" s="35"/>
      <c r="AB180" s="871"/>
      <c r="AC180" s="380" t="s">
        <v>750</v>
      </c>
      <c r="AD180" s="882"/>
      <c r="AE180" s="35"/>
      <c r="AJ180" s="30">
        <f t="shared" si="74"/>
        <v>3.9215686274509796E-2</v>
      </c>
      <c r="AK180" s="35"/>
      <c r="AL180" s="871"/>
      <c r="AN180" s="558">
        <f>0.0000528278831125888*$V$178</f>
        <v>11.655533835941355</v>
      </c>
      <c r="AO180" s="599"/>
      <c r="AQ180" s="600"/>
      <c r="AR180" s="550">
        <f t="shared" si="83"/>
        <v>62.838918699588035</v>
      </c>
      <c r="AT180" s="669">
        <f t="shared" si="84"/>
        <v>0.18548272435530894</v>
      </c>
      <c r="AU180" s="646"/>
      <c r="AY180" s="90"/>
      <c r="AZ180" s="543">
        <v>1939</v>
      </c>
      <c r="BA180" s="293"/>
    </row>
    <row r="181" spans="1:53">
      <c r="A181" s="321"/>
      <c r="B181" s="991"/>
      <c r="C181" s="945"/>
      <c r="D181" s="871"/>
      <c r="E181" s="899"/>
      <c r="F181" s="871"/>
      <c r="G181" s="871"/>
      <c r="H181" s="465"/>
      <c r="I181" s="871"/>
      <c r="J181" s="221"/>
      <c r="K181" s="35"/>
      <c r="M181" s="9">
        <f t="shared" si="85"/>
        <v>7.619999999999999E-2</v>
      </c>
      <c r="N181" s="52">
        <f t="shared" si="59"/>
        <v>161.92500000000001</v>
      </c>
      <c r="O181" s="5">
        <f>1.09803921568627*$N$128</f>
        <v>177.79999999999927</v>
      </c>
      <c r="P181" s="65">
        <f t="shared" si="86"/>
        <v>2.3819814976166066E-2</v>
      </c>
      <c r="Q181" s="79">
        <f t="shared" si="81"/>
        <v>2125.0000000000005</v>
      </c>
      <c r="R181" s="35"/>
      <c r="S181" s="871"/>
      <c r="T181" s="465" t="s">
        <v>163</v>
      </c>
      <c r="U181" s="5"/>
      <c r="V181" s="142">
        <f t="shared" si="82"/>
        <v>220632.23338138757</v>
      </c>
      <c r="W181" s="83"/>
      <c r="Z181" s="1065"/>
      <c r="AA181" s="35"/>
      <c r="AB181" s="871"/>
      <c r="AC181" s="380" t="s">
        <v>750</v>
      </c>
      <c r="AD181" s="882"/>
      <c r="AE181" s="35"/>
      <c r="AJ181" s="30">
        <f t="shared" si="74"/>
        <v>3.9215686274509796E-2</v>
      </c>
      <c r="AK181" s="35"/>
      <c r="AL181" s="871"/>
      <c r="AN181" s="558">
        <f>0.0000532618496155077*$V$178</f>
        <v>11.751280834693063</v>
      </c>
      <c r="AO181" s="599"/>
      <c r="AQ181" s="600"/>
      <c r="AR181" s="550">
        <f t="shared" si="83"/>
        <v>62.838918699588035</v>
      </c>
      <c r="AT181" s="669">
        <f t="shared" si="84"/>
        <v>0.18700641382567429</v>
      </c>
      <c r="AU181" s="646"/>
      <c r="AY181" s="90"/>
      <c r="AZ181" s="543">
        <v>1939</v>
      </c>
      <c r="BA181" s="293"/>
    </row>
    <row r="182" spans="1:53">
      <c r="A182" s="321"/>
      <c r="B182" s="991"/>
      <c r="C182" s="945"/>
      <c r="D182" s="871"/>
      <c r="E182" s="899"/>
      <c r="F182" s="871"/>
      <c r="G182" s="871"/>
      <c r="H182" s="465"/>
      <c r="I182" s="871"/>
      <c r="J182" s="221"/>
      <c r="K182" s="35"/>
      <c r="M182" s="9">
        <f t="shared" si="85"/>
        <v>7.619999999999999E-2</v>
      </c>
      <c r="N182" s="52">
        <f t="shared" si="59"/>
        <v>161.92500000000001</v>
      </c>
      <c r="O182" s="5">
        <f>1.09803921568627*$N$128</f>
        <v>177.79999999999927</v>
      </c>
      <c r="P182" s="65">
        <f t="shared" si="86"/>
        <v>2.3819814976166066E-2</v>
      </c>
      <c r="Q182" s="79">
        <f t="shared" si="81"/>
        <v>2125.0000000000005</v>
      </c>
      <c r="R182" s="35"/>
      <c r="S182" s="871"/>
      <c r="T182" s="465" t="s">
        <v>163</v>
      </c>
      <c r="U182" s="5"/>
      <c r="V182" s="142">
        <f t="shared" si="82"/>
        <v>220632.23338138757</v>
      </c>
      <c r="W182" s="83"/>
      <c r="Z182" s="1065"/>
      <c r="AA182" s="35"/>
      <c r="AB182" s="871"/>
      <c r="AC182" s="380" t="s">
        <v>750</v>
      </c>
      <c r="AD182" s="882"/>
      <c r="AE182" s="35"/>
      <c r="AJ182" s="30">
        <f t="shared" si="74"/>
        <v>3.9215686274509796E-2</v>
      </c>
      <c r="AK182" s="35"/>
      <c r="AL182" s="871"/>
      <c r="AN182" s="558">
        <f>0.0000519705289043763*$V$178</f>
        <v>11.466373862184501</v>
      </c>
      <c r="AO182" s="599"/>
      <c r="AQ182" s="600"/>
      <c r="AR182" s="550">
        <f t="shared" si="83"/>
        <v>62.838918699588035</v>
      </c>
      <c r="AT182" s="669">
        <f t="shared" si="84"/>
        <v>0.18247248837939781</v>
      </c>
      <c r="AU182" s="646"/>
      <c r="AY182" s="90"/>
      <c r="AZ182" s="543">
        <v>1939</v>
      </c>
      <c r="BA182" s="293"/>
    </row>
    <row r="183" spans="1:53">
      <c r="A183" s="321"/>
      <c r="B183" s="991"/>
      <c r="C183" s="945"/>
      <c r="D183" s="871"/>
      <c r="E183" s="899"/>
      <c r="F183" s="871"/>
      <c r="G183" s="871"/>
      <c r="H183" s="465"/>
      <c r="I183" s="871"/>
      <c r="J183" s="221"/>
      <c r="K183" s="35"/>
      <c r="M183" s="9">
        <f t="shared" si="85"/>
        <v>7.619999999999999E-2</v>
      </c>
      <c r="N183" s="52">
        <f t="shared" si="59"/>
        <v>161.92500000000001</v>
      </c>
      <c r="O183" s="5">
        <f>0.800653594771241*$N$128</f>
        <v>129.6458333333332</v>
      </c>
      <c r="P183" s="65">
        <f t="shared" si="86"/>
        <v>1.736861508678781E-2</v>
      </c>
      <c r="Q183" s="79">
        <f t="shared" si="81"/>
        <v>2125.0000000000005</v>
      </c>
      <c r="R183" s="35"/>
      <c r="S183" s="871"/>
      <c r="T183" s="465" t="s">
        <v>163</v>
      </c>
      <c r="U183" s="5"/>
      <c r="V183" s="142">
        <f t="shared" si="82"/>
        <v>220632.23338138757</v>
      </c>
      <c r="W183" s="83"/>
      <c r="Z183" s="1065"/>
      <c r="AA183" s="35"/>
      <c r="AB183" s="871"/>
      <c r="AC183" s="380" t="s">
        <v>750</v>
      </c>
      <c r="AD183" s="882"/>
      <c r="AE183" s="35"/>
      <c r="AJ183" s="30">
        <f t="shared" si="74"/>
        <v>3.9215686274509796E-2</v>
      </c>
      <c r="AK183" s="35"/>
      <c r="AL183" s="871"/>
      <c r="AN183" s="558">
        <f>0.0000536993810336676*$V$178</f>
        <v>11.847814368656207</v>
      </c>
      <c r="AO183" s="599"/>
      <c r="AQ183" s="600"/>
      <c r="AR183" s="550">
        <f t="shared" si="83"/>
        <v>62.838918699588035</v>
      </c>
      <c r="AT183" s="669">
        <f t="shared" si="84"/>
        <v>0.18854261998518254</v>
      </c>
      <c r="AU183" s="646"/>
      <c r="AY183" s="90"/>
      <c r="AZ183" s="543">
        <v>1939</v>
      </c>
      <c r="BA183" s="293"/>
    </row>
    <row r="184" spans="1:53">
      <c r="A184" s="321"/>
      <c r="B184" s="991"/>
      <c r="C184" s="945"/>
      <c r="D184" s="871"/>
      <c r="E184" s="899"/>
      <c r="F184" s="871"/>
      <c r="G184" s="871"/>
      <c r="H184" s="465"/>
      <c r="I184" s="871"/>
      <c r="J184" s="221"/>
      <c r="K184" s="35"/>
      <c r="M184" s="9">
        <f t="shared" si="85"/>
        <v>7.619999999999999E-2</v>
      </c>
      <c r="N184" s="52">
        <f t="shared" si="59"/>
        <v>161.92500000000001</v>
      </c>
      <c r="O184" s="5">
        <f>0.473856209150326*$N$128</f>
        <v>76.729166666666544</v>
      </c>
      <c r="P184" s="65">
        <f t="shared" si="86"/>
        <v>1.0279384439119309E-2</v>
      </c>
      <c r="Q184" s="79">
        <f t="shared" si="81"/>
        <v>2125.0000000000005</v>
      </c>
      <c r="R184" s="35"/>
      <c r="S184" s="871"/>
      <c r="T184" s="465" t="s">
        <v>163</v>
      </c>
      <c r="U184" s="5"/>
      <c r="V184" s="142">
        <f t="shared" si="82"/>
        <v>220632.23338138757</v>
      </c>
      <c r="W184" s="83"/>
      <c r="Z184" s="1065"/>
      <c r="AA184" s="35"/>
      <c r="AB184" s="871"/>
      <c r="AC184" s="380" t="s">
        <v>750</v>
      </c>
      <c r="AD184" s="882"/>
      <c r="AE184" s="35"/>
      <c r="AJ184" s="30">
        <f t="shared" si="74"/>
        <v>3.9215686274509796E-2</v>
      </c>
      <c r="AK184" s="35"/>
      <c r="AL184" s="871"/>
      <c r="AN184" s="558">
        <f>0.0000751006588932908*$V$178</f>
        <v>16.569626100040516</v>
      </c>
      <c r="AO184" s="599"/>
      <c r="AQ184" s="600"/>
      <c r="AR184" s="550">
        <f t="shared" si="83"/>
        <v>62.838918699588035</v>
      </c>
      <c r="AT184" s="669">
        <f t="shared" si="84"/>
        <v>0.26368413783907368</v>
      </c>
      <c r="AU184" s="646"/>
      <c r="AY184" s="90"/>
      <c r="AZ184" s="543">
        <v>1939</v>
      </c>
      <c r="BA184" s="293"/>
    </row>
    <row r="185" spans="1:53">
      <c r="A185" s="321"/>
      <c r="B185" s="991"/>
      <c r="C185" s="945"/>
      <c r="D185" s="871"/>
      <c r="E185" s="899"/>
      <c r="F185" s="871"/>
      <c r="G185" s="871"/>
      <c r="H185" s="465"/>
      <c r="I185" s="871"/>
      <c r="J185" s="221"/>
      <c r="K185" s="35"/>
      <c r="M185" s="9">
        <f t="shared" si="85"/>
        <v>7.619999999999999E-2</v>
      </c>
      <c r="N185" s="52">
        <f t="shared" si="59"/>
        <v>161.92500000000001</v>
      </c>
      <c r="O185" s="5">
        <f>0.470588235294117*$N$128</f>
        <v>76.199999999999903</v>
      </c>
      <c r="P185" s="65">
        <f t="shared" si="86"/>
        <v>1.0208492132642629E-2</v>
      </c>
      <c r="Q185" s="79">
        <f t="shared" si="81"/>
        <v>2125.0000000000005</v>
      </c>
      <c r="R185" s="35"/>
      <c r="S185" s="871"/>
      <c r="T185" s="465" t="s">
        <v>163</v>
      </c>
      <c r="U185" s="5"/>
      <c r="V185" s="142">
        <f t="shared" si="82"/>
        <v>220632.23338138757</v>
      </c>
      <c r="W185" s="83"/>
      <c r="Z185" s="1065"/>
      <c r="AA185" s="35"/>
      <c r="AB185" s="871"/>
      <c r="AC185" s="380" t="s">
        <v>750</v>
      </c>
      <c r="AD185" s="882"/>
      <c r="AE185" s="35"/>
      <c r="AJ185" s="30">
        <f t="shared" si="74"/>
        <v>3.9215686274509796E-2</v>
      </c>
      <c r="AK185" s="35"/>
      <c r="AL185" s="871"/>
      <c r="AN185" s="558">
        <f>0.000072682792401358*$V$178</f>
        <v>16.036166815907361</v>
      </c>
      <c r="AO185" s="599"/>
      <c r="AQ185" s="600"/>
      <c r="AR185" s="550">
        <f t="shared" si="83"/>
        <v>62.838918699588035</v>
      </c>
      <c r="AT185" s="669">
        <f t="shared" si="84"/>
        <v>0.25519482428669626</v>
      </c>
      <c r="AU185" s="646"/>
      <c r="AY185" s="90"/>
      <c r="AZ185" s="543">
        <v>1939</v>
      </c>
      <c r="BA185" s="293"/>
    </row>
    <row r="186" spans="1:53">
      <c r="A186" s="321"/>
      <c r="B186" s="991"/>
      <c r="C186" s="945"/>
      <c r="D186" s="871"/>
      <c r="E186" s="899"/>
      <c r="F186" s="871"/>
      <c r="G186" s="871"/>
      <c r="H186" s="465"/>
      <c r="I186" s="871"/>
      <c r="J186" s="221"/>
      <c r="K186" s="35"/>
      <c r="M186" s="9">
        <f t="shared" si="85"/>
        <v>7.619999999999999E-2</v>
      </c>
      <c r="N186" s="52">
        <f t="shared" si="59"/>
        <v>161.92500000000001</v>
      </c>
      <c r="O186" s="5">
        <f>0.241830065359477*$N$128</f>
        <v>39.158333333333317</v>
      </c>
      <c r="P186" s="65">
        <f t="shared" si="86"/>
        <v>5.2460306792746891E-3</v>
      </c>
      <c r="Q186" s="79">
        <f t="shared" si="81"/>
        <v>2125.0000000000005</v>
      </c>
      <c r="R186" s="35"/>
      <c r="S186" s="871"/>
      <c r="T186" s="465" t="s">
        <v>163</v>
      </c>
      <c r="U186" s="5"/>
      <c r="V186" s="142">
        <f t="shared" si="82"/>
        <v>220632.23338138757</v>
      </c>
      <c r="W186" s="83"/>
      <c r="Z186" s="1065"/>
      <c r="AA186" s="35"/>
      <c r="AB186" s="871"/>
      <c r="AC186" s="380" t="s">
        <v>750</v>
      </c>
      <c r="AD186" s="882"/>
      <c r="AE186" s="35"/>
      <c r="AJ186" s="30">
        <f t="shared" si="74"/>
        <v>3.9215686274509796E-2</v>
      </c>
      <c r="AK186" s="35"/>
      <c r="AL186" s="871"/>
      <c r="AN186" s="558">
        <f>0.000108525140788618*$V$178</f>
        <v>23.94414419022231</v>
      </c>
      <c r="AO186" s="599"/>
      <c r="AQ186" s="600"/>
      <c r="AR186" s="550">
        <f t="shared" si="83"/>
        <v>62.838918699588035</v>
      </c>
      <c r="AT186" s="669">
        <f t="shared" si="84"/>
        <v>0.38104004151776222</v>
      </c>
      <c r="AU186" s="646"/>
      <c r="AY186" s="90"/>
      <c r="AZ186" s="543">
        <v>1939</v>
      </c>
      <c r="BA186" s="293"/>
    </row>
    <row r="187" spans="1:53">
      <c r="A187" s="321"/>
      <c r="B187" s="991"/>
      <c r="C187" s="945"/>
      <c r="D187" s="871"/>
      <c r="E187" s="899"/>
      <c r="F187" s="871"/>
      <c r="G187" s="871"/>
      <c r="H187" s="465"/>
      <c r="I187" s="871"/>
      <c r="J187" s="221"/>
      <c r="K187" s="35"/>
      <c r="M187" s="9">
        <f t="shared" si="85"/>
        <v>7.619999999999999E-2</v>
      </c>
      <c r="N187" s="52">
        <f t="shared" si="59"/>
        <v>161.92500000000001</v>
      </c>
      <c r="O187" s="5">
        <f>0.238562091503267*$N$128</f>
        <v>38.629166666666507</v>
      </c>
      <c r="P187" s="65">
        <f t="shared" si="86"/>
        <v>5.1751383727979845E-3</v>
      </c>
      <c r="Q187" s="79">
        <f t="shared" si="81"/>
        <v>2125.0000000000005</v>
      </c>
      <c r="R187" s="35"/>
      <c r="S187" s="871"/>
      <c r="T187" s="465" t="s">
        <v>163</v>
      </c>
      <c r="U187" s="5"/>
      <c r="V187" s="142">
        <f t="shared" si="82"/>
        <v>220632.23338138757</v>
      </c>
      <c r="W187" s="83"/>
      <c r="Z187" s="1065"/>
      <c r="AA187" s="35"/>
      <c r="AB187" s="871"/>
      <c r="AC187" s="380" t="s">
        <v>750</v>
      </c>
      <c r="AD187" s="882"/>
      <c r="AE187" s="35"/>
      <c r="AJ187" s="30">
        <f t="shared" si="74"/>
        <v>3.9215686274509796E-2</v>
      </c>
      <c r="AK187" s="35"/>
      <c r="AL187" s="871"/>
      <c r="AN187" s="558">
        <f>0.000094434079083639*$V$178</f>
        <v>20.83520177553785</v>
      </c>
      <c r="AO187" s="599"/>
      <c r="AQ187" s="600"/>
      <c r="AR187" s="550">
        <f t="shared" si="83"/>
        <v>62.838918699588035</v>
      </c>
      <c r="AT187" s="669">
        <f t="shared" si="84"/>
        <v>0.33156524979597468</v>
      </c>
      <c r="AU187" s="646"/>
      <c r="AY187" s="90"/>
      <c r="AZ187" s="543">
        <v>1939</v>
      </c>
      <c r="BA187" s="293"/>
    </row>
    <row r="188" spans="1:53">
      <c r="A188" s="321"/>
      <c r="B188" s="991"/>
      <c r="C188" s="945"/>
      <c r="D188" s="871"/>
      <c r="E188" s="899"/>
      <c r="F188" s="871"/>
      <c r="G188" s="871"/>
      <c r="H188" s="465"/>
      <c r="I188" s="871"/>
      <c r="J188" s="221"/>
      <c r="K188" s="35"/>
      <c r="M188" s="9">
        <f t="shared" si="85"/>
        <v>7.619999999999999E-2</v>
      </c>
      <c r="N188" s="52">
        <f t="shared" si="59"/>
        <v>161.92500000000001</v>
      </c>
      <c r="O188" s="5">
        <f>0.147058823529411*$N$128</f>
        <v>23.812499999999876</v>
      </c>
      <c r="P188" s="46">
        <f t="shared" si="86"/>
        <v>3.1901537914508088E-3</v>
      </c>
      <c r="Q188" s="79">
        <f t="shared" si="81"/>
        <v>2125.0000000000005</v>
      </c>
      <c r="R188" s="35"/>
      <c r="S188" s="871"/>
      <c r="T188" s="465" t="s">
        <v>163</v>
      </c>
      <c r="U188" s="5"/>
      <c r="V188" s="142">
        <f t="shared" si="82"/>
        <v>220632.23338138757</v>
      </c>
      <c r="W188" s="83"/>
      <c r="Z188" s="1065"/>
      <c r="AA188" s="35"/>
      <c r="AB188" s="871"/>
      <c r="AC188" s="380" t="s">
        <v>750</v>
      </c>
      <c r="AD188" s="882"/>
      <c r="AE188" s="35"/>
      <c r="AJ188" s="30">
        <f t="shared" si="74"/>
        <v>3.9215686274509796E-2</v>
      </c>
      <c r="AK188" s="35"/>
      <c r="AL188" s="871"/>
      <c r="AN188" s="558">
        <f>0.000162042565978374*$V$178</f>
        <v>35.751813234659508</v>
      </c>
      <c r="AO188" s="599"/>
      <c r="AQ188" s="600"/>
      <c r="AR188" s="550">
        <f t="shared" si="83"/>
        <v>62.838918699588035</v>
      </c>
      <c r="AT188" s="669">
        <f t="shared" si="84"/>
        <v>0.56894380066558803</v>
      </c>
      <c r="AU188" s="646"/>
      <c r="AY188" s="90"/>
      <c r="AZ188" s="543">
        <v>1939</v>
      </c>
      <c r="BA188" s="293"/>
    </row>
    <row r="189" spans="1:53">
      <c r="A189" s="321"/>
      <c r="B189" s="991"/>
      <c r="C189" s="945"/>
      <c r="D189" s="871"/>
      <c r="E189" s="899"/>
      <c r="F189" s="871"/>
      <c r="G189" s="871"/>
      <c r="H189" s="465"/>
      <c r="I189" s="871"/>
      <c r="J189" s="221"/>
      <c r="K189" s="35"/>
      <c r="M189" s="9">
        <f t="shared" si="85"/>
        <v>7.619999999999999E-2</v>
      </c>
      <c r="N189" s="52">
        <f t="shared" si="59"/>
        <v>161.92500000000001</v>
      </c>
      <c r="O189" s="5">
        <f>0.160130718954248*$N$128</f>
        <v>25.929166666666607</v>
      </c>
      <c r="P189" s="46">
        <f t="shared" si="86"/>
        <v>3.4737230173575578E-3</v>
      </c>
      <c r="Q189" s="79">
        <f t="shared" si="81"/>
        <v>2125.0000000000005</v>
      </c>
      <c r="R189" s="35"/>
      <c r="S189" s="871"/>
      <c r="T189" s="465" t="s">
        <v>163</v>
      </c>
      <c r="U189" s="5"/>
      <c r="V189" s="142">
        <f t="shared" si="82"/>
        <v>220632.23338138757</v>
      </c>
      <c r="W189" s="83"/>
      <c r="Z189" s="1065"/>
      <c r="AA189" s="35"/>
      <c r="AB189" s="871"/>
      <c r="AC189" s="380" t="s">
        <v>750</v>
      </c>
      <c r="AD189" s="882"/>
      <c r="AE189" s="35"/>
      <c r="AJ189" s="30">
        <f t="shared" si="74"/>
        <v>3.9215686274509796E-2</v>
      </c>
      <c r="AK189" s="35"/>
      <c r="AL189" s="871"/>
      <c r="AN189" s="558">
        <f>0.00013871436293754*$V$178</f>
        <v>30.604859696985827</v>
      </c>
      <c r="AO189" s="599"/>
      <c r="AQ189" s="600"/>
      <c r="AR189" s="550">
        <f t="shared" si="83"/>
        <v>62.838918699588035</v>
      </c>
      <c r="AT189" s="669">
        <f t="shared" si="84"/>
        <v>0.48703670162272333</v>
      </c>
      <c r="AU189" s="646"/>
      <c r="AY189" s="90"/>
      <c r="AZ189" s="543">
        <v>1939</v>
      </c>
      <c r="BA189" s="293"/>
    </row>
    <row r="190" spans="1:53">
      <c r="A190" s="321"/>
      <c r="B190" s="991"/>
      <c r="C190" s="945"/>
      <c r="D190" s="871"/>
      <c r="E190" s="899"/>
      <c r="F190" s="871"/>
      <c r="G190" s="871"/>
      <c r="H190" s="465"/>
      <c r="I190" s="871"/>
      <c r="J190" s="221"/>
      <c r="K190" s="35"/>
      <c r="M190" s="9">
        <f t="shared" si="85"/>
        <v>7.619999999999999E-2</v>
      </c>
      <c r="N190" s="52">
        <f t="shared" si="59"/>
        <v>161.92500000000001</v>
      </c>
      <c r="O190" s="5">
        <f>0.147058823529411*$N$128</f>
        <v>23.812499999999876</v>
      </c>
      <c r="P190" s="46">
        <f t="shared" si="86"/>
        <v>3.1901537914508088E-3</v>
      </c>
      <c r="Q190" s="79">
        <f t="shared" si="81"/>
        <v>2125.0000000000005</v>
      </c>
      <c r="R190" s="35"/>
      <c r="S190" s="871"/>
      <c r="T190" s="465" t="s">
        <v>163</v>
      </c>
      <c r="U190" s="5"/>
      <c r="V190" s="142">
        <f t="shared" si="82"/>
        <v>220632.23338138757</v>
      </c>
      <c r="W190" s="83"/>
      <c r="Z190" s="1065"/>
      <c r="AA190" s="35"/>
      <c r="AB190" s="871"/>
      <c r="AC190" s="380" t="s">
        <v>750</v>
      </c>
      <c r="AD190" s="882"/>
      <c r="AE190" s="35"/>
      <c r="AJ190" s="30">
        <f t="shared" si="74"/>
        <v>3.9215686274509796E-2</v>
      </c>
      <c r="AK190" s="35"/>
      <c r="AL190" s="871"/>
      <c r="AN190" s="558">
        <f>0.000132069707781472*$V$178</f>
        <v>29.138834589853392</v>
      </c>
      <c r="AO190" s="599"/>
      <c r="AQ190" s="600"/>
      <c r="AR190" s="550">
        <f t="shared" si="83"/>
        <v>62.838918699588035</v>
      </c>
      <c r="AT190" s="669">
        <f t="shared" si="84"/>
        <v>0.46370681088827237</v>
      </c>
      <c r="AU190" s="646"/>
      <c r="AY190" s="90"/>
      <c r="AZ190" s="543">
        <v>1939</v>
      </c>
      <c r="BA190" s="293"/>
    </row>
    <row r="191" spans="1:53">
      <c r="A191" s="321"/>
      <c r="B191" s="991"/>
      <c r="C191" s="945"/>
      <c r="D191" s="871"/>
      <c r="E191" s="899"/>
      <c r="F191" s="871"/>
      <c r="G191" s="871"/>
      <c r="H191" s="465"/>
      <c r="I191" s="871"/>
      <c r="J191" s="221"/>
      <c r="K191" s="35"/>
      <c r="M191" s="9">
        <f t="shared" si="85"/>
        <v>7.619999999999999E-2</v>
      </c>
      <c r="N191" s="52">
        <f t="shared" si="59"/>
        <v>161.92500000000001</v>
      </c>
      <c r="O191" s="5">
        <f>0.137254901960784*$N$128</f>
        <v>22.224999999999948</v>
      </c>
      <c r="P191" s="46">
        <f t="shared" si="86"/>
        <v>2.9774768720207639E-3</v>
      </c>
      <c r="Q191" s="79">
        <f t="shared" si="81"/>
        <v>2125.0000000000005</v>
      </c>
      <c r="R191" s="35"/>
      <c r="S191" s="871"/>
      <c r="T191" s="465" t="s">
        <v>163</v>
      </c>
      <c r="U191" s="5"/>
      <c r="V191" s="142">
        <f t="shared" si="82"/>
        <v>220632.23338138757</v>
      </c>
      <c r="W191" s="83"/>
      <c r="Z191" s="1065"/>
      <c r="AA191" s="35"/>
      <c r="AB191" s="871"/>
      <c r="AC191" s="380" t="s">
        <v>750</v>
      </c>
      <c r="AD191" s="882"/>
      <c r="AE191" s="35"/>
      <c r="AJ191" s="30">
        <f t="shared" si="74"/>
        <v>3.9215686274509796E-2</v>
      </c>
      <c r="AK191" s="35"/>
      <c r="AL191" s="871"/>
      <c r="AN191" s="558">
        <f>0.000146890152669019*$V$178</f>
        <v>32.408702445098648</v>
      </c>
      <c r="AO191" s="599"/>
      <c r="AQ191" s="600"/>
      <c r="AR191" s="550">
        <f t="shared" si="83"/>
        <v>62.838918699588035</v>
      </c>
      <c r="AT191" s="669">
        <f t="shared" si="84"/>
        <v>0.51574252256048314</v>
      </c>
      <c r="AU191" s="646"/>
      <c r="AY191" s="90"/>
      <c r="AZ191" s="543">
        <v>1939</v>
      </c>
      <c r="BA191" s="293"/>
    </row>
    <row r="192" spans="1:53">
      <c r="A192" s="321"/>
      <c r="B192" s="991"/>
      <c r="C192" s="945"/>
      <c r="D192" s="871"/>
      <c r="E192" s="899"/>
      <c r="F192" s="871"/>
      <c r="G192" s="871"/>
      <c r="H192" s="465"/>
      <c r="I192" s="871"/>
      <c r="J192" s="221"/>
      <c r="K192" s="35"/>
      <c r="M192" s="9">
        <f t="shared" si="85"/>
        <v>7.619999999999999E-2</v>
      </c>
      <c r="N192" s="52">
        <f t="shared" si="59"/>
        <v>161.92500000000001</v>
      </c>
      <c r="O192" s="5">
        <f>0.0816993464052287*$N$128</f>
        <v>13.229166666666659</v>
      </c>
      <c r="P192" s="46">
        <f t="shared" si="86"/>
        <v>1.7723076619171243E-3</v>
      </c>
      <c r="Q192" s="79">
        <f t="shared" si="81"/>
        <v>2125.0000000000005</v>
      </c>
      <c r="R192" s="35"/>
      <c r="S192" s="871"/>
      <c r="T192" s="465" t="s">
        <v>163</v>
      </c>
      <c r="U192" s="5"/>
      <c r="V192" s="142">
        <f t="shared" si="82"/>
        <v>220632.23338138757</v>
      </c>
      <c r="W192" s="83"/>
      <c r="Z192" s="1065"/>
      <c r="AA192" s="35"/>
      <c r="AB192" s="871"/>
      <c r="AC192" s="380" t="s">
        <v>750</v>
      </c>
      <c r="AD192" s="882"/>
      <c r="AE192" s="35"/>
      <c r="AJ192" s="30">
        <f t="shared" ref="AJ192:AJ211" si="87">CONVERT(1/2/2,"in","mm")/N192</f>
        <v>3.9215686274509796E-2</v>
      </c>
      <c r="AK192" s="35"/>
      <c r="AL192" s="871"/>
      <c r="AN192" s="558">
        <f>0.000200450914666275*$V$178</f>
        <v>44.225932986162192</v>
      </c>
      <c r="AO192" s="599"/>
      <c r="AQ192" s="600"/>
      <c r="AR192" s="550">
        <f t="shared" si="83"/>
        <v>62.838918699588035</v>
      </c>
      <c r="AT192" s="669">
        <f t="shared" si="84"/>
        <v>0.70379844054274177</v>
      </c>
      <c r="AU192" s="646"/>
      <c r="AY192" s="90"/>
      <c r="AZ192" s="543">
        <v>1939</v>
      </c>
      <c r="BA192" s="293"/>
    </row>
    <row r="193" spans="1:53">
      <c r="A193" s="321"/>
      <c r="B193" s="991"/>
      <c r="C193" s="945"/>
      <c r="D193" s="871"/>
      <c r="E193" s="899"/>
      <c r="F193" s="871"/>
      <c r="G193" s="871"/>
      <c r="H193" s="465"/>
      <c r="I193" s="871"/>
      <c r="J193" s="221"/>
      <c r="K193" s="35"/>
      <c r="M193" s="9">
        <f t="shared" si="85"/>
        <v>7.619999999999999E-2</v>
      </c>
      <c r="N193" s="52">
        <f t="shared" ref="N193:N211" si="88">CONVERT(6.375,"in","mm")</f>
        <v>161.92500000000001</v>
      </c>
      <c r="O193" s="5">
        <f>0.0816993464052287*$N$128</f>
        <v>13.229166666666659</v>
      </c>
      <c r="P193" s="46">
        <f t="shared" si="86"/>
        <v>1.7723076619171243E-3</v>
      </c>
      <c r="Q193" s="79">
        <f t="shared" si="81"/>
        <v>2125.0000000000005</v>
      </c>
      <c r="R193" s="35"/>
      <c r="S193" s="871"/>
      <c r="T193" s="465" t="s">
        <v>163</v>
      </c>
      <c r="U193" s="5"/>
      <c r="V193" s="142">
        <f t="shared" si="82"/>
        <v>220632.23338138757</v>
      </c>
      <c r="W193" s="83"/>
      <c r="Z193" s="1065"/>
      <c r="AA193" s="35"/>
      <c r="AB193" s="871"/>
      <c r="AC193" s="380" t="s">
        <v>750</v>
      </c>
      <c r="AD193" s="882"/>
      <c r="AE193" s="35"/>
      <c r="AJ193" s="30">
        <f t="shared" si="87"/>
        <v>3.9215686274509796E-2</v>
      </c>
      <c r="AK193" s="35"/>
      <c r="AL193" s="871"/>
      <c r="AN193" s="558">
        <f>0.000222944882309374*$V$178</f>
        <v>49.188827304867793</v>
      </c>
      <c r="AO193" s="599"/>
      <c r="AQ193" s="600"/>
      <c r="AR193" s="550">
        <f t="shared" si="83"/>
        <v>62.838918699588035</v>
      </c>
      <c r="AT193" s="669">
        <f t="shared" si="84"/>
        <v>0.78277647551548768</v>
      </c>
      <c r="AU193" s="646"/>
      <c r="AY193" s="90"/>
      <c r="AZ193" s="543">
        <v>1939</v>
      </c>
      <c r="BA193" s="293"/>
    </row>
    <row r="194" spans="1:53">
      <c r="A194" s="321"/>
      <c r="B194" s="991"/>
      <c r="C194" s="945"/>
      <c r="D194" s="871"/>
      <c r="E194" s="899"/>
      <c r="F194" s="871"/>
      <c r="G194" s="871"/>
      <c r="H194" s="465"/>
      <c r="I194" s="871"/>
      <c r="J194" s="221"/>
      <c r="K194" s="35"/>
      <c r="M194" s="9">
        <f t="shared" si="85"/>
        <v>7.619999999999999E-2</v>
      </c>
      <c r="N194" s="52">
        <f t="shared" si="88"/>
        <v>161.92500000000001</v>
      </c>
      <c r="O194" s="5">
        <f>0.0326797385620914*$N$128</f>
        <v>5.2916666666666501</v>
      </c>
      <c r="P194" s="46">
        <f t="shared" si="86"/>
        <v>7.0892306476684789E-4</v>
      </c>
      <c r="Q194" s="79">
        <f t="shared" si="81"/>
        <v>2125.0000000000005</v>
      </c>
      <c r="R194" s="35"/>
      <c r="S194" s="871"/>
      <c r="T194" s="465" t="s">
        <v>163</v>
      </c>
      <c r="U194" s="5"/>
      <c r="V194" s="142">
        <f t="shared" si="82"/>
        <v>220632.23338138757</v>
      </c>
      <c r="W194" s="83"/>
      <c r="Z194" s="1065"/>
      <c r="AA194" s="35"/>
      <c r="AB194" s="871"/>
      <c r="AC194" s="380" t="s">
        <v>750</v>
      </c>
      <c r="AD194" s="882"/>
      <c r="AE194" s="35"/>
      <c r="AJ194" s="30">
        <f t="shared" si="87"/>
        <v>3.9215686274509796E-2</v>
      </c>
      <c r="AK194" s="35"/>
      <c r="AL194" s="871"/>
      <c r="AN194" s="558">
        <f>0.000294442654579738*$V$178</f>
        <v>64.963540482672045</v>
      </c>
      <c r="AO194" s="599"/>
      <c r="AQ194" s="600"/>
      <c r="AR194" s="550">
        <f t="shared" si="83"/>
        <v>62.838918699588035</v>
      </c>
      <c r="AT194" s="669">
        <f t="shared" si="84"/>
        <v>1.033810603795414</v>
      </c>
      <c r="AU194" s="646"/>
      <c r="AY194" s="90"/>
      <c r="AZ194" s="543">
        <v>1939</v>
      </c>
      <c r="BA194" s="293"/>
    </row>
    <row r="195" spans="1:53">
      <c r="A195" s="321"/>
      <c r="B195" s="991"/>
      <c r="C195" s="945"/>
      <c r="D195" s="871"/>
      <c r="E195" s="899"/>
      <c r="F195" s="871"/>
      <c r="G195" s="871"/>
      <c r="H195" s="465"/>
      <c r="I195" s="871"/>
      <c r="J195" s="221"/>
      <c r="K195" s="35"/>
      <c r="M195" s="9">
        <f t="shared" si="85"/>
        <v>7.619999999999999E-2</v>
      </c>
      <c r="N195" s="52">
        <f t="shared" si="88"/>
        <v>161.92500000000001</v>
      </c>
      <c r="O195" s="5">
        <f>0.0326797385620914*$N$128</f>
        <v>5.2916666666666501</v>
      </c>
      <c r="P195" s="46">
        <f t="shared" si="86"/>
        <v>7.0892306476684789E-4</v>
      </c>
      <c r="Q195" s="79">
        <f t="shared" si="81"/>
        <v>2125.0000000000005</v>
      </c>
      <c r="R195" s="35"/>
      <c r="S195" s="871"/>
      <c r="T195" s="465" t="s">
        <v>163</v>
      </c>
      <c r="U195" s="5"/>
      <c r="V195" s="142">
        <f t="shared" si="82"/>
        <v>220632.23338138757</v>
      </c>
      <c r="W195" s="83"/>
      <c r="Z195" s="1065"/>
      <c r="AA195" s="35"/>
      <c r="AB195" s="871"/>
      <c r="AC195" s="380" t="s">
        <v>750</v>
      </c>
      <c r="AD195" s="882"/>
      <c r="AE195" s="35"/>
      <c r="AJ195" s="30">
        <f t="shared" si="87"/>
        <v>3.9215686274509796E-2</v>
      </c>
      <c r="AK195" s="35"/>
      <c r="AL195" s="871"/>
      <c r="AN195" s="558">
        <f>0.000332886560096925*$V$178</f>
        <v>73.445505216832061</v>
      </c>
      <c r="AO195" s="599"/>
      <c r="AQ195" s="600"/>
      <c r="AR195" s="550">
        <f t="shared" si="83"/>
        <v>62.838918699588035</v>
      </c>
      <c r="AT195" s="669">
        <f t="shared" si="84"/>
        <v>1.168790086410471</v>
      </c>
      <c r="AU195" s="646"/>
      <c r="AY195" s="90"/>
      <c r="AZ195" s="543">
        <v>1939</v>
      </c>
      <c r="BA195" s="293"/>
    </row>
    <row r="196" spans="1:53">
      <c r="A196" s="321"/>
      <c r="B196" s="991"/>
      <c r="C196" s="945"/>
      <c r="D196" s="871"/>
      <c r="E196" s="899"/>
      <c r="F196" s="871"/>
      <c r="G196" s="871"/>
      <c r="H196" s="465"/>
      <c r="I196" s="871"/>
      <c r="J196" s="221"/>
      <c r="K196" s="35"/>
      <c r="M196" s="9">
        <f>CONVERT(0.002,"in","mm")</f>
        <v>5.0800000000000005E-2</v>
      </c>
      <c r="N196" s="52">
        <f t="shared" si="88"/>
        <v>161.92500000000001</v>
      </c>
      <c r="O196" s="5">
        <f>1.40849673202614*$N$128</f>
        <v>228.07083333333273</v>
      </c>
      <c r="P196" s="65">
        <f>O196/$N$128*SQRT($M$196/$N$128)</f>
        <v>2.4947713442338561E-2</v>
      </c>
      <c r="Q196" s="79">
        <f t="shared" ref="Q196:Q211" si="89">$N$128/$M$196</f>
        <v>3187.5</v>
      </c>
      <c r="R196" s="35"/>
      <c r="S196" s="871"/>
      <c r="T196" s="465" t="s">
        <v>163</v>
      </c>
      <c r="U196" s="5"/>
      <c r="V196" s="83">
        <f t="shared" ref="V196:V211" si="90">CONVERT(33.5*10^6,"psi","Pa")/10^6</f>
        <v>230974.36932114011</v>
      </c>
      <c r="W196" s="83"/>
      <c r="Z196" s="1065"/>
      <c r="AA196" s="35"/>
      <c r="AB196" s="871"/>
      <c r="AC196" s="380" t="s">
        <v>750</v>
      </c>
      <c r="AD196" s="882"/>
      <c r="AE196" s="35"/>
      <c r="AJ196" s="30">
        <f t="shared" si="87"/>
        <v>3.9215686274509796E-2</v>
      </c>
      <c r="AK196" s="35"/>
      <c r="AL196" s="871"/>
      <c r="AN196" s="558">
        <f>0.0000323356101912838*$V$196</f>
        <v>7.4686971705460063</v>
      </c>
      <c r="AO196" s="599"/>
      <c r="AQ196" s="600"/>
      <c r="AR196" s="549">
        <f t="shared" ref="AR196:AR211" si="91">1/SQRT(3*(1-0.3^2))*$V$196*1/Q196</f>
        <v>43.856328675754156</v>
      </c>
      <c r="AT196" s="669">
        <f t="shared" ref="AT196:AT211" si="92">AN196/$AR$196</f>
        <v>0.17029918819162476</v>
      </c>
      <c r="AU196" s="646"/>
      <c r="AY196" s="90"/>
      <c r="AZ196" s="543">
        <v>1939</v>
      </c>
      <c r="BA196" s="293"/>
    </row>
    <row r="197" spans="1:53">
      <c r="A197" s="321"/>
      <c r="B197" s="991"/>
      <c r="C197" s="945"/>
      <c r="D197" s="871"/>
      <c r="E197" s="899"/>
      <c r="F197" s="871"/>
      <c r="G197" s="871"/>
      <c r="H197" s="465"/>
      <c r="I197" s="871"/>
      <c r="J197" s="221"/>
      <c r="K197" s="35"/>
      <c r="M197" s="9">
        <f t="shared" ref="M197:M211" si="93">CONVERT(0.002,"in","mm")</f>
        <v>5.0800000000000005E-2</v>
      </c>
      <c r="N197" s="52">
        <f t="shared" si="88"/>
        <v>161.92500000000001</v>
      </c>
      <c r="O197" s="5">
        <f>1.40849673202614*$N$128</f>
        <v>228.07083333333273</v>
      </c>
      <c r="P197" s="65">
        <f t="shared" ref="P197:P211" si="94">O197/$N$128*SQRT($M$196/$N$128)</f>
        <v>2.4947713442338561E-2</v>
      </c>
      <c r="Q197" s="79">
        <f t="shared" si="89"/>
        <v>3187.5</v>
      </c>
      <c r="R197" s="35"/>
      <c r="S197" s="871"/>
      <c r="T197" s="465" t="s">
        <v>163</v>
      </c>
      <c r="U197" s="5"/>
      <c r="V197" s="83">
        <f t="shared" si="90"/>
        <v>230974.36932114011</v>
      </c>
      <c r="W197" s="83"/>
      <c r="Z197" s="1065"/>
      <c r="AA197" s="35"/>
      <c r="AB197" s="871"/>
      <c r="AC197" s="380" t="s">
        <v>750</v>
      </c>
      <c r="AD197" s="882"/>
      <c r="AE197" s="35"/>
      <c r="AJ197" s="30">
        <f t="shared" si="87"/>
        <v>3.9215686274509796E-2</v>
      </c>
      <c r="AK197" s="35"/>
      <c r="AL197" s="871"/>
      <c r="AN197" s="558">
        <f>0.0000236954903675613*$V$196</f>
        <v>5.4730509434026215</v>
      </c>
      <c r="AO197" s="599"/>
      <c r="AQ197" s="600"/>
      <c r="AR197" s="549">
        <f t="shared" si="91"/>
        <v>43.856328675754156</v>
      </c>
      <c r="AT197" s="669">
        <f t="shared" si="92"/>
        <v>0.12479500926461229</v>
      </c>
      <c r="AU197" s="646"/>
      <c r="AY197" s="90"/>
      <c r="AZ197" s="543">
        <v>1939</v>
      </c>
      <c r="BA197" s="293"/>
    </row>
    <row r="198" spans="1:53">
      <c r="A198" s="321"/>
      <c r="B198" s="991"/>
      <c r="C198" s="945"/>
      <c r="D198" s="871"/>
      <c r="E198" s="899"/>
      <c r="F198" s="871"/>
      <c r="G198" s="871"/>
      <c r="H198" s="465"/>
      <c r="I198" s="871"/>
      <c r="J198" s="221"/>
      <c r="K198" s="35"/>
      <c r="M198" s="9">
        <f t="shared" si="93"/>
        <v>5.0800000000000005E-2</v>
      </c>
      <c r="N198" s="52">
        <f t="shared" si="88"/>
        <v>161.92500000000001</v>
      </c>
      <c r="O198" s="5">
        <f>1.09803921568627*$N$128</f>
        <v>177.79999999999927</v>
      </c>
      <c r="P198" s="65">
        <f t="shared" si="94"/>
        <v>1.9448797486370639E-2</v>
      </c>
      <c r="Q198" s="79">
        <f t="shared" si="89"/>
        <v>3187.5</v>
      </c>
      <c r="R198" s="35"/>
      <c r="S198" s="871"/>
      <c r="T198" s="465" t="s">
        <v>163</v>
      </c>
      <c r="U198" s="5"/>
      <c r="V198" s="83">
        <f t="shared" si="90"/>
        <v>230974.36932114011</v>
      </c>
      <c r="W198" s="83"/>
      <c r="Z198" s="1065"/>
      <c r="AA198" s="35"/>
      <c r="AB198" s="871"/>
      <c r="AC198" s="380" t="s">
        <v>750</v>
      </c>
      <c r="AD198" s="882"/>
      <c r="AE198" s="35"/>
      <c r="AJ198" s="30">
        <f t="shared" si="87"/>
        <v>3.9215686274509796E-2</v>
      </c>
      <c r="AK198" s="35"/>
      <c r="AL198" s="871"/>
      <c r="AN198" s="558">
        <f>0.0000236954903675613*$V$196</f>
        <v>5.4730509434026215</v>
      </c>
      <c r="AO198" s="599"/>
      <c r="AQ198" s="600"/>
      <c r="AR198" s="549">
        <f t="shared" si="91"/>
        <v>43.856328675754156</v>
      </c>
      <c r="AT198" s="669">
        <f t="shared" si="92"/>
        <v>0.12479500926461229</v>
      </c>
      <c r="AU198" s="646"/>
      <c r="AY198" s="90"/>
      <c r="AZ198" s="543">
        <v>1939</v>
      </c>
      <c r="BA198" s="293"/>
    </row>
    <row r="199" spans="1:53">
      <c r="A199" s="321"/>
      <c r="B199" s="991"/>
      <c r="C199" s="945"/>
      <c r="D199" s="871"/>
      <c r="E199" s="899"/>
      <c r="F199" s="871"/>
      <c r="G199" s="871"/>
      <c r="H199" s="465"/>
      <c r="I199" s="871"/>
      <c r="J199" s="221"/>
      <c r="K199" s="35"/>
      <c r="M199" s="9">
        <f t="shared" si="93"/>
        <v>5.0800000000000005E-2</v>
      </c>
      <c r="N199" s="52">
        <f t="shared" si="88"/>
        <v>161.92500000000001</v>
      </c>
      <c r="O199" s="5">
        <f>1.10130718954248*$N$128</f>
        <v>178.32916666666608</v>
      </c>
      <c r="P199" s="65">
        <f t="shared" si="94"/>
        <v>1.9506680812222947E-2</v>
      </c>
      <c r="Q199" s="79">
        <f t="shared" si="89"/>
        <v>3187.5</v>
      </c>
      <c r="R199" s="35"/>
      <c r="S199" s="871"/>
      <c r="T199" s="465" t="s">
        <v>163</v>
      </c>
      <c r="U199" s="5"/>
      <c r="V199" s="83">
        <f t="shared" si="90"/>
        <v>230974.36932114011</v>
      </c>
      <c r="W199" s="83"/>
      <c r="Z199" s="1065"/>
      <c r="AA199" s="35"/>
      <c r="AB199" s="871"/>
      <c r="AC199" s="380" t="s">
        <v>750</v>
      </c>
      <c r="AD199" s="882"/>
      <c r="AE199" s="35"/>
      <c r="AJ199" s="30">
        <f t="shared" si="87"/>
        <v>3.9215686274509796E-2</v>
      </c>
      <c r="AK199" s="35"/>
      <c r="AL199" s="871"/>
      <c r="AN199" s="558">
        <f>0.0000216562026607459*$V$196</f>
        <v>5.0020277514565805</v>
      </c>
      <c r="AO199" s="599"/>
      <c r="AQ199" s="600"/>
      <c r="AR199" s="549">
        <f t="shared" si="91"/>
        <v>43.856328675754156</v>
      </c>
      <c r="AT199" s="669">
        <f t="shared" si="92"/>
        <v>0.11405486739299127</v>
      </c>
      <c r="AU199" s="646"/>
      <c r="AY199" s="90"/>
      <c r="AZ199" s="543">
        <v>1939</v>
      </c>
      <c r="BA199" s="293"/>
    </row>
    <row r="200" spans="1:53">
      <c r="A200" s="321"/>
      <c r="B200" s="991"/>
      <c r="C200" s="945"/>
      <c r="D200" s="871"/>
      <c r="E200" s="899"/>
      <c r="F200" s="871"/>
      <c r="G200" s="871"/>
      <c r="H200" s="465"/>
      <c r="I200" s="871"/>
      <c r="J200" s="221"/>
      <c r="K200" s="35"/>
      <c r="M200" s="9">
        <f t="shared" si="93"/>
        <v>5.0800000000000005E-2</v>
      </c>
      <c r="N200" s="52">
        <f t="shared" si="88"/>
        <v>161.92500000000001</v>
      </c>
      <c r="O200" s="5">
        <f>0.790849673202614*$N$128</f>
        <v>128.05833333333328</v>
      </c>
      <c r="P200" s="65">
        <f t="shared" si="94"/>
        <v>1.4007764856255095E-2</v>
      </c>
      <c r="Q200" s="79">
        <f t="shared" si="89"/>
        <v>3187.5</v>
      </c>
      <c r="R200" s="35"/>
      <c r="S200" s="871"/>
      <c r="T200" s="465" t="s">
        <v>163</v>
      </c>
      <c r="U200" s="5"/>
      <c r="V200" s="83">
        <f t="shared" si="90"/>
        <v>230974.36932114011</v>
      </c>
      <c r="W200" s="83"/>
      <c r="Z200" s="1065"/>
      <c r="AA200" s="35"/>
      <c r="AB200" s="871"/>
      <c r="AC200" s="380" t="s">
        <v>750</v>
      </c>
      <c r="AD200" s="882"/>
      <c r="AE200" s="35"/>
      <c r="AJ200" s="30">
        <f t="shared" si="87"/>
        <v>3.9215686274509796E-2</v>
      </c>
      <c r="AK200" s="35"/>
      <c r="AL200" s="871"/>
      <c r="AN200" s="558">
        <f>0.0000248876514231979*$V$196</f>
        <v>5.7484095913575102</v>
      </c>
      <c r="AO200" s="599"/>
      <c r="AQ200" s="600"/>
      <c r="AR200" s="549">
        <f t="shared" si="91"/>
        <v>43.856328675754156</v>
      </c>
      <c r="AT200" s="669">
        <f t="shared" si="92"/>
        <v>0.13107366177086094</v>
      </c>
      <c r="AU200" s="646"/>
      <c r="AY200" s="90"/>
      <c r="AZ200" s="543">
        <v>1939</v>
      </c>
      <c r="BA200" s="293"/>
    </row>
    <row r="201" spans="1:53">
      <c r="A201" s="321"/>
      <c r="B201" s="991"/>
      <c r="C201" s="945"/>
      <c r="D201" s="871"/>
      <c r="E201" s="899"/>
      <c r="F201" s="871"/>
      <c r="G201" s="871"/>
      <c r="H201" s="465"/>
      <c r="I201" s="871"/>
      <c r="J201" s="221"/>
      <c r="K201" s="35"/>
      <c r="M201" s="9">
        <f t="shared" si="93"/>
        <v>5.0800000000000005E-2</v>
      </c>
      <c r="N201" s="52">
        <f t="shared" si="88"/>
        <v>161.92500000000001</v>
      </c>
      <c r="O201" s="5">
        <f>0.790849673202614*$N$128</f>
        <v>128.05833333333328</v>
      </c>
      <c r="P201" s="65">
        <f t="shared" si="94"/>
        <v>1.4007764856255095E-2</v>
      </c>
      <c r="Q201" s="79">
        <f t="shared" si="89"/>
        <v>3187.5</v>
      </c>
      <c r="R201" s="35"/>
      <c r="S201" s="871"/>
      <c r="T201" s="465" t="s">
        <v>163</v>
      </c>
      <c r="U201" s="5"/>
      <c r="V201" s="83">
        <f t="shared" si="90"/>
        <v>230974.36932114011</v>
      </c>
      <c r="W201" s="83"/>
      <c r="Z201" s="1065"/>
      <c r="AA201" s="35"/>
      <c r="AB201" s="871"/>
      <c r="AC201" s="380" t="s">
        <v>750</v>
      </c>
      <c r="AD201" s="882"/>
      <c r="AE201" s="35"/>
      <c r="AJ201" s="30">
        <f t="shared" si="87"/>
        <v>3.9215686274509796E-2</v>
      </c>
      <c r="AK201" s="35"/>
      <c r="AL201" s="871"/>
      <c r="AN201" s="558">
        <f>0.000034241462939078*$V$196</f>
        <v>7.9089003069867339</v>
      </c>
      <c r="AO201" s="599"/>
      <c r="AQ201" s="600"/>
      <c r="AR201" s="549">
        <f t="shared" si="91"/>
        <v>43.856328675754156</v>
      </c>
      <c r="AT201" s="669">
        <f t="shared" si="92"/>
        <v>0.18033657959516219</v>
      </c>
      <c r="AU201" s="646"/>
      <c r="AY201" s="90"/>
      <c r="AZ201" s="543">
        <v>1939</v>
      </c>
      <c r="BA201" s="293"/>
    </row>
    <row r="202" spans="1:53">
      <c r="A202" s="321"/>
      <c r="B202" s="991"/>
      <c r="C202" s="945"/>
      <c r="D202" s="871"/>
      <c r="E202" s="899"/>
      <c r="F202" s="871"/>
      <c r="G202" s="871"/>
      <c r="H202" s="465"/>
      <c r="I202" s="871"/>
      <c r="J202" s="221"/>
      <c r="K202" s="35"/>
      <c r="M202" s="9">
        <f t="shared" si="93"/>
        <v>5.0800000000000005E-2</v>
      </c>
      <c r="N202" s="52">
        <f t="shared" si="88"/>
        <v>161.92500000000001</v>
      </c>
      <c r="O202" s="5">
        <f>0.473856209150326*$N$128</f>
        <v>76.729166666666544</v>
      </c>
      <c r="P202" s="65">
        <f t="shared" si="94"/>
        <v>8.3930822485825882E-3</v>
      </c>
      <c r="Q202" s="79">
        <f t="shared" si="89"/>
        <v>3187.5</v>
      </c>
      <c r="R202" s="35"/>
      <c r="S202" s="871"/>
      <c r="T202" s="465" t="s">
        <v>163</v>
      </c>
      <c r="U202" s="5"/>
      <c r="V202" s="83">
        <f t="shared" si="90"/>
        <v>230974.36932114011</v>
      </c>
      <c r="W202" s="83"/>
      <c r="Z202" s="1065"/>
      <c r="AA202" s="35"/>
      <c r="AB202" s="871"/>
      <c r="AC202" s="380" t="s">
        <v>750</v>
      </c>
      <c r="AD202" s="882"/>
      <c r="AE202" s="35"/>
      <c r="AJ202" s="30">
        <f t="shared" si="87"/>
        <v>3.9215686274509796E-2</v>
      </c>
      <c r="AK202" s="35"/>
      <c r="AL202" s="871"/>
      <c r="AN202" s="558">
        <f>0.0000365575091712688*$V$196</f>
        <v>8.443847624785608</v>
      </c>
      <c r="AO202" s="599"/>
      <c r="AQ202" s="600"/>
      <c r="AR202" s="549">
        <f t="shared" si="91"/>
        <v>43.856328675754156</v>
      </c>
      <c r="AT202" s="669">
        <f t="shared" si="92"/>
        <v>0.19253430188409193</v>
      </c>
      <c r="AU202" s="646"/>
      <c r="AY202" s="90"/>
      <c r="AZ202" s="543">
        <v>1939</v>
      </c>
      <c r="BA202" s="293"/>
    </row>
    <row r="203" spans="1:53">
      <c r="A203" s="321"/>
      <c r="B203" s="991"/>
      <c r="C203" s="945"/>
      <c r="D203" s="871"/>
      <c r="E203" s="899"/>
      <c r="F203" s="871"/>
      <c r="G203" s="871"/>
      <c r="H203" s="465"/>
      <c r="I203" s="871"/>
      <c r="J203" s="221"/>
      <c r="K203" s="35"/>
      <c r="M203" s="9">
        <f t="shared" si="93"/>
        <v>5.0800000000000005E-2</v>
      </c>
      <c r="N203" s="52">
        <f t="shared" si="88"/>
        <v>161.92500000000001</v>
      </c>
      <c r="O203" s="5">
        <f>0.473856209150326*$N$128</f>
        <v>76.729166666666544</v>
      </c>
      <c r="P203" s="65">
        <f t="shared" si="94"/>
        <v>8.3930822485825882E-3</v>
      </c>
      <c r="Q203" s="79">
        <f t="shared" si="89"/>
        <v>3187.5</v>
      </c>
      <c r="R203" s="35"/>
      <c r="S203" s="871"/>
      <c r="T203" s="465" t="s">
        <v>163</v>
      </c>
      <c r="U203" s="5"/>
      <c r="V203" s="83">
        <f t="shared" si="90"/>
        <v>230974.36932114011</v>
      </c>
      <c r="W203" s="83"/>
      <c r="Z203" s="1065"/>
      <c r="AA203" s="35"/>
      <c r="AB203" s="871"/>
      <c r="AC203" s="380" t="s">
        <v>750</v>
      </c>
      <c r="AD203" s="882"/>
      <c r="AE203" s="35"/>
      <c r="AJ203" s="30">
        <f t="shared" si="87"/>
        <v>3.9215686274509796E-2</v>
      </c>
      <c r="AK203" s="35"/>
      <c r="AL203" s="871"/>
      <c r="AN203" s="558">
        <f>0.0000380839316087088*$V$196</f>
        <v>8.7964120845909477</v>
      </c>
      <c r="AO203" s="599"/>
      <c r="AQ203" s="600"/>
      <c r="AR203" s="549">
        <f t="shared" si="91"/>
        <v>43.856328675754156</v>
      </c>
      <c r="AT203" s="669">
        <f t="shared" si="92"/>
        <v>0.20057338017566478</v>
      </c>
      <c r="AU203" s="646"/>
      <c r="AY203" s="90"/>
      <c r="AZ203" s="543">
        <v>1939</v>
      </c>
      <c r="BA203" s="293"/>
    </row>
    <row r="204" spans="1:53">
      <c r="A204" s="321"/>
      <c r="B204" s="991"/>
      <c r="C204" s="945"/>
      <c r="D204" s="871"/>
      <c r="E204" s="899"/>
      <c r="F204" s="871"/>
      <c r="G204" s="871"/>
      <c r="H204" s="465"/>
      <c r="I204" s="871"/>
      <c r="J204" s="221"/>
      <c r="K204" s="35"/>
      <c r="M204" s="9">
        <f t="shared" si="93"/>
        <v>5.0800000000000005E-2</v>
      </c>
      <c r="N204" s="52">
        <f t="shared" si="88"/>
        <v>161.92500000000001</v>
      </c>
      <c r="O204" s="5">
        <f>0.326797385620915*$N$128</f>
        <v>52.916666666666664</v>
      </c>
      <c r="P204" s="65">
        <f t="shared" si="94"/>
        <v>5.7883325852293799E-3</v>
      </c>
      <c r="Q204" s="79">
        <f t="shared" si="89"/>
        <v>3187.5</v>
      </c>
      <c r="R204" s="35"/>
      <c r="S204" s="871"/>
      <c r="T204" s="465" t="s">
        <v>163</v>
      </c>
      <c r="U204" s="5"/>
      <c r="V204" s="83">
        <f t="shared" si="90"/>
        <v>230974.36932114011</v>
      </c>
      <c r="W204" s="83"/>
      <c r="Z204" s="1065"/>
      <c r="AA204" s="35"/>
      <c r="AB204" s="871"/>
      <c r="AC204" s="380" t="s">
        <v>750</v>
      </c>
      <c r="AD204" s="882"/>
      <c r="AE204" s="35"/>
      <c r="AJ204" s="30">
        <f t="shared" si="87"/>
        <v>3.9215686274509796E-2</v>
      </c>
      <c r="AK204" s="35"/>
      <c r="AL204" s="871"/>
      <c r="AN204" s="558">
        <f>0.0000455940912419038*$V$196</f>
        <v>10.531066469369248</v>
      </c>
      <c r="AO204" s="599"/>
      <c r="AQ204" s="600"/>
      <c r="AR204" s="549">
        <f t="shared" si="91"/>
        <v>43.856328675754156</v>
      </c>
      <c r="AT204" s="669">
        <f t="shared" si="92"/>
        <v>0.24012649456431401</v>
      </c>
      <c r="AU204" s="646"/>
      <c r="AY204" s="90"/>
      <c r="AZ204" s="543">
        <v>1939</v>
      </c>
      <c r="BA204" s="293"/>
    </row>
    <row r="205" spans="1:53">
      <c r="A205" s="321"/>
      <c r="B205" s="991"/>
      <c r="C205" s="945"/>
      <c r="D205" s="871"/>
      <c r="E205" s="899"/>
      <c r="F205" s="871"/>
      <c r="G205" s="871"/>
      <c r="H205" s="465"/>
      <c r="I205" s="871"/>
      <c r="J205" s="221"/>
      <c r="K205" s="35"/>
      <c r="M205" s="9">
        <f t="shared" si="93"/>
        <v>5.0800000000000005E-2</v>
      </c>
      <c r="N205" s="52">
        <f t="shared" si="88"/>
        <v>161.92500000000001</v>
      </c>
      <c r="O205" s="5">
        <f>0.248366013071895*$N$128</f>
        <v>40.216666666666598</v>
      </c>
      <c r="P205" s="46">
        <f t="shared" si="94"/>
        <v>4.399132764774322E-3</v>
      </c>
      <c r="Q205" s="79">
        <f t="shared" si="89"/>
        <v>3187.5</v>
      </c>
      <c r="R205" s="35"/>
      <c r="S205" s="871"/>
      <c r="T205" s="465" t="s">
        <v>163</v>
      </c>
      <c r="U205" s="5"/>
      <c r="V205" s="83">
        <f t="shared" si="90"/>
        <v>230974.36932114011</v>
      </c>
      <c r="W205" s="83"/>
      <c r="Z205" s="1065"/>
      <c r="AA205" s="35"/>
      <c r="AB205" s="871"/>
      <c r="AC205" s="380" t="s">
        <v>750</v>
      </c>
      <c r="AD205" s="882"/>
      <c r="AE205" s="35"/>
      <c r="AJ205" s="30">
        <f t="shared" si="87"/>
        <v>3.9215686274509796E-2</v>
      </c>
      <c r="AK205" s="35"/>
      <c r="AL205" s="871"/>
      <c r="AN205" s="558">
        <f>0.0000532618496155077*$V$196</f>
        <v>12.3021221238193</v>
      </c>
      <c r="AO205" s="599"/>
      <c r="AQ205" s="600"/>
      <c r="AR205" s="549">
        <f t="shared" si="91"/>
        <v>43.856328675754156</v>
      </c>
      <c r="AT205" s="669">
        <f t="shared" si="92"/>
        <v>0.28050962073851138</v>
      </c>
      <c r="AU205" s="646"/>
      <c r="AY205" s="90"/>
      <c r="AZ205" s="543">
        <v>1939</v>
      </c>
      <c r="BA205" s="293"/>
    </row>
    <row r="206" spans="1:53">
      <c r="A206" s="321"/>
      <c r="B206" s="991"/>
      <c r="C206" s="945"/>
      <c r="D206" s="871"/>
      <c r="E206" s="899"/>
      <c r="F206" s="871"/>
      <c r="G206" s="871"/>
      <c r="H206" s="465"/>
      <c r="I206" s="871"/>
      <c r="J206" s="221"/>
      <c r="K206" s="35"/>
      <c r="M206" s="9">
        <f t="shared" si="93"/>
        <v>5.0800000000000005E-2</v>
      </c>
      <c r="N206" s="52">
        <f t="shared" si="88"/>
        <v>161.92500000000001</v>
      </c>
      <c r="O206" s="5">
        <f>0.241830065359477*$N$128</f>
        <v>39.158333333333317</v>
      </c>
      <c r="P206" s="46">
        <f t="shared" si="94"/>
        <v>4.2833661130697396E-3</v>
      </c>
      <c r="Q206" s="79">
        <f t="shared" si="89"/>
        <v>3187.5</v>
      </c>
      <c r="R206" s="35"/>
      <c r="S206" s="871"/>
      <c r="T206" s="465" t="s">
        <v>163</v>
      </c>
      <c r="U206" s="5"/>
      <c r="V206" s="83">
        <f t="shared" si="90"/>
        <v>230974.36932114011</v>
      </c>
      <c r="W206" s="83"/>
      <c r="Z206" s="1065"/>
      <c r="AA206" s="35"/>
      <c r="AB206" s="871"/>
      <c r="AC206" s="380" t="s">
        <v>750</v>
      </c>
      <c r="AD206" s="882"/>
      <c r="AE206" s="35"/>
      <c r="AJ206" s="30">
        <f t="shared" si="87"/>
        <v>3.9215686274509796E-2</v>
      </c>
      <c r="AK206" s="35"/>
      <c r="AL206" s="871"/>
      <c r="AN206" s="558">
        <f>0.0000568644090721813*$V$196</f>
        <v>13.134221022266393</v>
      </c>
      <c r="AO206" s="599"/>
      <c r="AQ206" s="600"/>
      <c r="AR206" s="549">
        <f t="shared" si="91"/>
        <v>43.856328675754156</v>
      </c>
      <c r="AT206" s="669">
        <f t="shared" si="92"/>
        <v>0.29948291201875293</v>
      </c>
      <c r="AU206" s="646"/>
      <c r="AY206" s="90"/>
      <c r="AZ206" s="543">
        <v>1939</v>
      </c>
      <c r="BA206" s="293"/>
    </row>
    <row r="207" spans="1:53">
      <c r="A207" s="321"/>
      <c r="B207" s="991"/>
      <c r="C207" s="945"/>
      <c r="D207" s="871"/>
      <c r="E207" s="899"/>
      <c r="F207" s="871"/>
      <c r="G207" s="871"/>
      <c r="H207" s="465"/>
      <c r="I207" s="871"/>
      <c r="J207" s="221"/>
      <c r="K207" s="35"/>
      <c r="M207" s="9">
        <f t="shared" si="93"/>
        <v>5.0800000000000005E-2</v>
      </c>
      <c r="N207" s="52">
        <f t="shared" si="88"/>
        <v>161.92500000000001</v>
      </c>
      <c r="O207" s="5">
        <f>0.169934640522875*$N$128</f>
        <v>27.516666666666534</v>
      </c>
      <c r="P207" s="46">
        <f t="shared" si="94"/>
        <v>3.0099329443192633E-3</v>
      </c>
      <c r="Q207" s="79">
        <f t="shared" si="89"/>
        <v>3187.5</v>
      </c>
      <c r="R207" s="35"/>
      <c r="S207" s="871"/>
      <c r="T207" s="465" t="s">
        <v>163</v>
      </c>
      <c r="U207" s="5"/>
      <c r="V207" s="83">
        <f t="shared" si="90"/>
        <v>230974.36932114011</v>
      </c>
      <c r="W207" s="83"/>
      <c r="Z207" s="1065"/>
      <c r="AA207" s="35"/>
      <c r="AB207" s="871"/>
      <c r="AC207" s="380" t="s">
        <v>750</v>
      </c>
      <c r="AD207" s="882"/>
      <c r="AE207" s="35"/>
      <c r="AJ207" s="30">
        <f t="shared" si="87"/>
        <v>3.9215686274509796E-2</v>
      </c>
      <c r="AK207" s="35"/>
      <c r="AL207" s="871"/>
      <c r="AN207" s="558">
        <f>0.0000856036573476951*$V$196</f>
        <v>19.772250767466858</v>
      </c>
      <c r="AO207" s="599"/>
      <c r="AQ207" s="600"/>
      <c r="AR207" s="549">
        <f t="shared" si="91"/>
        <v>43.856328675754156</v>
      </c>
      <c r="AT207" s="669">
        <f t="shared" si="92"/>
        <v>0.45084144898790601</v>
      </c>
      <c r="AU207" s="646"/>
      <c r="AY207" s="90"/>
      <c r="AZ207" s="543">
        <v>1939</v>
      </c>
      <c r="BA207" s="293"/>
    </row>
    <row r="208" spans="1:53">
      <c r="A208" s="321"/>
      <c r="B208" s="991"/>
      <c r="C208" s="945"/>
      <c r="D208" s="871"/>
      <c r="E208" s="899"/>
      <c r="F208" s="871"/>
      <c r="G208" s="871"/>
      <c r="H208" s="465"/>
      <c r="I208" s="871"/>
      <c r="J208" s="221"/>
      <c r="K208" s="35"/>
      <c r="M208" s="9">
        <f t="shared" si="93"/>
        <v>5.0800000000000005E-2</v>
      </c>
      <c r="N208" s="52">
        <f t="shared" si="88"/>
        <v>161.92500000000001</v>
      </c>
      <c r="O208" s="5">
        <f>0.0784313725490195*$N$128</f>
        <v>12.699999999999983</v>
      </c>
      <c r="P208" s="46">
        <f t="shared" si="94"/>
        <v>1.3891998204550494E-3</v>
      </c>
      <c r="Q208" s="79">
        <f t="shared" si="89"/>
        <v>3187.5</v>
      </c>
      <c r="R208" s="35"/>
      <c r="S208" s="871"/>
      <c r="T208" s="465" t="s">
        <v>163</v>
      </c>
      <c r="U208" s="5"/>
      <c r="V208" s="83">
        <f t="shared" si="90"/>
        <v>230974.36932114011</v>
      </c>
      <c r="W208" s="83"/>
      <c r="Z208" s="1065"/>
      <c r="AA208" s="35"/>
      <c r="AB208" s="871"/>
      <c r="AC208" s="380" t="s">
        <v>750</v>
      </c>
      <c r="AD208" s="882"/>
      <c r="AE208" s="35"/>
      <c r="AJ208" s="30">
        <f t="shared" si="87"/>
        <v>3.9215686274509796E-2</v>
      </c>
      <c r="AK208" s="35"/>
      <c r="AL208" s="871"/>
      <c r="AN208" s="558">
        <f>0.000134248452584169*$V$196</f>
        <v>31.007951667967415</v>
      </c>
      <c r="AO208" s="599"/>
      <c r="AQ208" s="600"/>
      <c r="AR208" s="549">
        <f t="shared" si="91"/>
        <v>43.856328675754156</v>
      </c>
      <c r="AT208" s="669">
        <f t="shared" si="92"/>
        <v>0.70703482494443437</v>
      </c>
      <c r="AU208" s="646"/>
      <c r="AY208" s="90"/>
      <c r="AZ208" s="543">
        <v>1939</v>
      </c>
      <c r="BA208" s="293"/>
    </row>
    <row r="209" spans="1:55">
      <c r="A209" s="321"/>
      <c r="B209" s="991"/>
      <c r="C209" s="945"/>
      <c r="D209" s="871"/>
      <c r="E209" s="899"/>
      <c r="F209" s="871"/>
      <c r="G209" s="871"/>
      <c r="H209" s="465"/>
      <c r="I209" s="871"/>
      <c r="J209" s="221"/>
      <c r="K209" s="35"/>
      <c r="M209" s="9">
        <f t="shared" si="93"/>
        <v>5.0800000000000005E-2</v>
      </c>
      <c r="N209" s="52">
        <f t="shared" si="88"/>
        <v>161.92500000000001</v>
      </c>
      <c r="O209" s="5">
        <f>0.0620915032679738*$N$128</f>
        <v>10.054166666666658</v>
      </c>
      <c r="P209" s="46">
        <f t="shared" si="94"/>
        <v>1.0997831911935814E-3</v>
      </c>
      <c r="Q209" s="79">
        <f t="shared" si="89"/>
        <v>3187.5</v>
      </c>
      <c r="R209" s="35"/>
      <c r="S209" s="871"/>
      <c r="T209" s="465" t="s">
        <v>163</v>
      </c>
      <c r="U209" s="5"/>
      <c r="V209" s="83">
        <f t="shared" si="90"/>
        <v>230974.36932114011</v>
      </c>
      <c r="W209" s="83"/>
      <c r="Z209" s="1065"/>
      <c r="AA209" s="35"/>
      <c r="AB209" s="871"/>
      <c r="AC209" s="380" t="s">
        <v>750</v>
      </c>
      <c r="AD209" s="882"/>
      <c r="AE209" s="35"/>
      <c r="AJ209" s="30">
        <f t="shared" si="87"/>
        <v>3.9215686274509796E-2</v>
      </c>
      <c r="AK209" s="35"/>
      <c r="AL209" s="871"/>
      <c r="AN209" s="558">
        <f>0.000148096814797259*$V$196</f>
        <v>34.20656839626659</v>
      </c>
      <c r="AO209" s="599"/>
      <c r="AQ209" s="600"/>
      <c r="AR209" s="549">
        <f t="shared" si="91"/>
        <v>43.856328675754156</v>
      </c>
      <c r="AT209" s="669">
        <f t="shared" si="92"/>
        <v>0.7799688079038315</v>
      </c>
      <c r="AU209" s="646"/>
      <c r="AY209" s="90"/>
      <c r="AZ209" s="543">
        <v>1939</v>
      </c>
      <c r="BA209" s="293"/>
    </row>
    <row r="210" spans="1:55">
      <c r="A210" s="321"/>
      <c r="B210" s="991"/>
      <c r="C210" s="945"/>
      <c r="D210" s="871"/>
      <c r="E210" s="899"/>
      <c r="F210" s="871"/>
      <c r="G210" s="871"/>
      <c r="H210" s="465"/>
      <c r="I210" s="871"/>
      <c r="J210" s="221"/>
      <c r="K210" s="35"/>
      <c r="M210" s="9">
        <f t="shared" si="93"/>
        <v>5.0800000000000005E-2</v>
      </c>
      <c r="N210" s="52">
        <f t="shared" si="88"/>
        <v>161.92500000000001</v>
      </c>
      <c r="O210" s="5">
        <f>0.0359477124183006*$N$128</f>
        <v>5.8208333333333258</v>
      </c>
      <c r="P210" s="46">
        <f t="shared" si="94"/>
        <v>6.3671658437523099E-4</v>
      </c>
      <c r="Q210" s="79">
        <f t="shared" si="89"/>
        <v>3187.5</v>
      </c>
      <c r="R210" s="35"/>
      <c r="S210" s="871"/>
      <c r="T210" s="465" t="s">
        <v>163</v>
      </c>
      <c r="U210" s="5"/>
      <c r="V210" s="83">
        <f t="shared" si="90"/>
        <v>230974.36932114011</v>
      </c>
      <c r="W210" s="83"/>
      <c r="Z210" s="1065"/>
      <c r="AA210" s="35"/>
      <c r="AB210" s="871"/>
      <c r="AC210" s="380" t="s">
        <v>750</v>
      </c>
      <c r="AD210" s="882"/>
      <c r="AE210" s="35"/>
      <c r="AJ210" s="30">
        <f t="shared" si="87"/>
        <v>3.9215686274509796E-2</v>
      </c>
      <c r="AK210" s="35"/>
      <c r="AL210" s="871"/>
      <c r="AN210" s="558">
        <f>0.000186221885755636*$V$196</f>
        <v>43.012482616201432</v>
      </c>
      <c r="AO210" s="599"/>
      <c r="AQ210" s="600"/>
      <c r="AR210" s="549">
        <f t="shared" si="91"/>
        <v>43.856328675754156</v>
      </c>
      <c r="AT210" s="669">
        <f t="shared" si="92"/>
        <v>0.98075885316822609</v>
      </c>
      <c r="AU210" s="646"/>
      <c r="AY210" s="90"/>
      <c r="AZ210" s="543">
        <v>1939</v>
      </c>
      <c r="BA210" s="293"/>
    </row>
    <row r="211" spans="1:55" ht="16.5" thickBot="1">
      <c r="A211" s="321"/>
      <c r="B211" s="992"/>
      <c r="C211" s="946"/>
      <c r="D211" s="872"/>
      <c r="E211" s="900"/>
      <c r="F211" s="872"/>
      <c r="G211" s="872"/>
      <c r="H211" s="466"/>
      <c r="I211" s="872"/>
      <c r="J211" s="223"/>
      <c r="K211" s="36"/>
      <c r="L211" s="453"/>
      <c r="M211" s="9">
        <f t="shared" si="93"/>
        <v>5.0800000000000005E-2</v>
      </c>
      <c r="N211" s="54">
        <f t="shared" si="88"/>
        <v>161.92500000000001</v>
      </c>
      <c r="O211" s="18">
        <f>0.0359477124183006*$N$128</f>
        <v>5.8208333333333258</v>
      </c>
      <c r="P211" s="50">
        <f t="shared" si="94"/>
        <v>6.3671658437523099E-4</v>
      </c>
      <c r="Q211" s="239">
        <f t="shared" si="89"/>
        <v>3187.5</v>
      </c>
      <c r="R211" s="36"/>
      <c r="S211" s="872"/>
      <c r="T211" s="466" t="s">
        <v>163</v>
      </c>
      <c r="U211" s="18"/>
      <c r="V211" s="118">
        <f t="shared" si="90"/>
        <v>230974.36932114011</v>
      </c>
      <c r="W211" s="118"/>
      <c r="X211" s="173"/>
      <c r="Y211" s="173"/>
      <c r="Z211" s="1066"/>
      <c r="AA211" s="35"/>
      <c r="AB211" s="871"/>
      <c r="AC211" s="380" t="s">
        <v>750</v>
      </c>
      <c r="AD211" s="882"/>
      <c r="AE211" s="35"/>
      <c r="AJ211" s="30">
        <f t="shared" si="87"/>
        <v>3.9215686274509796E-2</v>
      </c>
      <c r="AK211" s="36"/>
      <c r="AL211" s="872"/>
      <c r="AM211" s="18"/>
      <c r="AN211" s="560">
        <f>0.000207119116778992*$V$196</f>
        <v>47.839207372379242</v>
      </c>
      <c r="AO211" s="604"/>
      <c r="AP211" s="556"/>
      <c r="AQ211" s="605"/>
      <c r="AR211" s="551">
        <f t="shared" si="91"/>
        <v>43.856328675754156</v>
      </c>
      <c r="AS211" s="577"/>
      <c r="AT211" s="671">
        <f t="shared" si="92"/>
        <v>1.0908165096552418</v>
      </c>
      <c r="AU211" s="647"/>
      <c r="AV211" s="91"/>
      <c r="AW211" s="18"/>
      <c r="AX211" s="31"/>
      <c r="AY211" s="91"/>
      <c r="AZ211" s="766">
        <v>1939</v>
      </c>
      <c r="BA211" s="295"/>
    </row>
    <row r="212" spans="1:55" ht="17.100000000000001" customHeight="1">
      <c r="A212" s="145"/>
      <c r="B212" s="990">
        <v>10</v>
      </c>
      <c r="C212" s="955" t="s">
        <v>193</v>
      </c>
      <c r="D212" s="870" t="s">
        <v>194</v>
      </c>
      <c r="E212" s="898">
        <v>1933</v>
      </c>
      <c r="F212" s="870" t="s">
        <v>195</v>
      </c>
      <c r="G212" s="870" t="s">
        <v>196</v>
      </c>
      <c r="H212" s="870" t="s">
        <v>197</v>
      </c>
      <c r="I212" s="904" t="s">
        <v>973</v>
      </c>
      <c r="J212" s="222"/>
      <c r="K212" s="1024" t="s">
        <v>198</v>
      </c>
      <c r="L212" s="522" t="s">
        <v>199</v>
      </c>
      <c r="M212" s="47">
        <f>(1/Q212)*CONVERT(3.625/2,"in","mm")/(1-(1/Q212)/2)</f>
        <v>0.56510463829359092</v>
      </c>
      <c r="N212" s="73">
        <f>CONVERT(3.625/2,"in","mm")+M212/2</f>
        <v>46.320052319146797</v>
      </c>
      <c r="O212" s="73">
        <f>8.49*25.4</f>
        <v>215.64599999999999</v>
      </c>
      <c r="P212" s="72">
        <f t="shared" ref="P212:P237" si="95">O212/N212*SQRT(M212/N212)</f>
        <v>0.51422392736110745</v>
      </c>
      <c r="Q212" s="800">
        <f>1/0.0122</f>
        <v>81.967213114754088</v>
      </c>
      <c r="R212" s="1024" t="s">
        <v>200</v>
      </c>
      <c r="S212" s="870" t="s">
        <v>201</v>
      </c>
      <c r="T212" s="777" t="s">
        <v>163</v>
      </c>
      <c r="U212" s="470"/>
      <c r="V212" s="470">
        <f t="shared" ref="V212:V219" si="96">29500000*0.00689476</f>
        <v>203395.41999999998</v>
      </c>
      <c r="W212" s="470">
        <f t="shared" ref="W212:W219" si="97">35950*0.00689476</f>
        <v>247.86662199999998</v>
      </c>
      <c r="X212" s="784"/>
      <c r="Y212" s="784"/>
      <c r="Z212" s="881" t="s">
        <v>977</v>
      </c>
      <c r="AA212" s="1029" t="s">
        <v>202</v>
      </c>
      <c r="AB212" s="870" t="s">
        <v>203</v>
      </c>
      <c r="AC212" s="777" t="s">
        <v>524</v>
      </c>
      <c r="AD212" s="881" t="s">
        <v>204</v>
      </c>
      <c r="AE212" s="34"/>
      <c r="AF212" s="470"/>
      <c r="AG212" s="470"/>
      <c r="AH212" s="781"/>
      <c r="AI212" s="781"/>
      <c r="AJ212" s="787"/>
      <c r="AK212" s="697"/>
      <c r="AL212" s="410" t="s">
        <v>205</v>
      </c>
      <c r="AN212" s="606">
        <f>31400*0.00689476</f>
        <v>216.495464</v>
      </c>
      <c r="AO212" s="559">
        <f t="shared" ref="AO212:AO219" si="98">AN212/$W$212</f>
        <v>0.87343532684283731</v>
      </c>
      <c r="AQ212" s="607">
        <f t="shared" ref="AQ212:AQ219" si="99">SQRT($W$212/AR212)</f>
        <v>0.40625543654636848</v>
      </c>
      <c r="AR212" s="581">
        <f t="shared" ref="AR212:AR219" si="100">$V$212/SQRT(3*(1-0.3^2))*1/Q212</f>
        <v>1501.8262000733646</v>
      </c>
      <c r="AS212" s="450"/>
      <c r="AT212" s="674">
        <f>AN212/AR212</f>
        <v>0.1441548056555573</v>
      </c>
      <c r="AU212" s="648">
        <f t="shared" ref="AU212:AU261" si="101">MAX(AO212:AP212)</f>
        <v>0.87343532684283731</v>
      </c>
      <c r="AV212" s="798">
        <f t="shared" ref="AV212:AV219" si="102">AN212/$V$212</f>
        <v>1.0644067796610171E-3</v>
      </c>
      <c r="AW212" s="429" t="s">
        <v>206</v>
      </c>
      <c r="AX212" s="797"/>
      <c r="AY212" s="1032" t="s">
        <v>979</v>
      </c>
      <c r="AZ212" s="773">
        <v>1933</v>
      </c>
      <c r="BA212" s="292"/>
      <c r="BB212" s="5"/>
      <c r="BC212" s="45"/>
    </row>
    <row r="213" spans="1:55" ht="17.100000000000001" customHeight="1">
      <c r="A213" s="145"/>
      <c r="B213" s="991"/>
      <c r="C213" s="956"/>
      <c r="D213" s="871"/>
      <c r="E213" s="899"/>
      <c r="F213" s="871"/>
      <c r="G213" s="871"/>
      <c r="H213" s="871"/>
      <c r="I213" s="882"/>
      <c r="J213" s="221"/>
      <c r="K213" s="1025"/>
      <c r="L213" s="523" t="s">
        <v>207</v>
      </c>
      <c r="M213" s="46">
        <f>(1/Q213)*CONVERT(3.635/2,"in","mm")/(1-(1/Q213)/2)</f>
        <v>0.95146069913113762</v>
      </c>
      <c r="N213" s="66">
        <f>CONVERT(3.635/2,"in","mm")+M213/2</f>
        <v>46.640230349565563</v>
      </c>
      <c r="O213" s="66">
        <f>8.45*25.4</f>
        <v>214.62999999999997</v>
      </c>
      <c r="P213" s="65">
        <f t="shared" si="95"/>
        <v>0.65727153237888281</v>
      </c>
      <c r="Q213" s="63">
        <f>1/0.0204</f>
        <v>49.019607843137251</v>
      </c>
      <c r="R213" s="1025"/>
      <c r="S213" s="871"/>
      <c r="T213" s="778" t="s">
        <v>163</v>
      </c>
      <c r="U213" s="471"/>
      <c r="V213" s="471">
        <f t="shared" si="96"/>
        <v>203395.41999999998</v>
      </c>
      <c r="W213" s="471">
        <f t="shared" si="97"/>
        <v>247.86662199999998</v>
      </c>
      <c r="X213" s="785"/>
      <c r="Y213" s="785"/>
      <c r="Z213" s="882"/>
      <c r="AA213" s="1028"/>
      <c r="AB213" s="871"/>
      <c r="AC213" s="778" t="s">
        <v>524</v>
      </c>
      <c r="AD213" s="882"/>
      <c r="AE213" s="35"/>
      <c r="AF213" s="471"/>
      <c r="AG213" s="471"/>
      <c r="AH213" s="782"/>
      <c r="AI213" s="782"/>
      <c r="AJ213" s="788"/>
      <c r="AK213" s="697"/>
      <c r="AL213" s="80"/>
      <c r="AN213" s="606">
        <f>38100*0.00689476</f>
        <v>262.69035600000001</v>
      </c>
      <c r="AO213" s="559">
        <f t="shared" si="98"/>
        <v>1.0598052851182198</v>
      </c>
      <c r="AQ213" s="559">
        <f t="shared" si="99"/>
        <v>0.31416949751362527</v>
      </c>
      <c r="AR213" s="581">
        <f t="shared" si="100"/>
        <v>2511.2503673357896</v>
      </c>
      <c r="AS213" s="450"/>
      <c r="AT213" s="675">
        <f t="shared" ref="AT213:AT243" si="103">AN213/AR213</f>
        <v>0.1046054027176473</v>
      </c>
      <c r="AU213" s="649">
        <f t="shared" si="101"/>
        <v>1.0598052851182198</v>
      </c>
      <c r="AV213" s="796">
        <f t="shared" si="102"/>
        <v>1.2915254237288137E-3</v>
      </c>
      <c r="AW213" s="192"/>
      <c r="AX213" s="192"/>
      <c r="AY213" s="1033"/>
      <c r="AZ213" s="773">
        <v>1933</v>
      </c>
      <c r="BA213" s="293"/>
      <c r="BB213" s="5"/>
      <c r="BC213" s="45"/>
    </row>
    <row r="214" spans="1:55" ht="17.100000000000001" customHeight="1">
      <c r="A214" s="145"/>
      <c r="B214" s="991"/>
      <c r="C214" s="956"/>
      <c r="D214" s="871"/>
      <c r="E214" s="899"/>
      <c r="F214" s="871"/>
      <c r="G214" s="871"/>
      <c r="H214" s="871"/>
      <c r="I214" s="882"/>
      <c r="J214" s="221"/>
      <c r="K214" s="1025"/>
      <c r="L214" s="523" t="s">
        <v>208</v>
      </c>
      <c r="M214" s="46">
        <f>(1/Q214)*CONVERT(3.653/2,"in","mm")/(1-(1/Q214)/2)</f>
        <v>1.647874601801435</v>
      </c>
      <c r="N214" s="66">
        <f>CONVERT(3.653/2,"in","mm")+M214/2</f>
        <v>47.217037300900714</v>
      </c>
      <c r="O214" s="66">
        <f>8.01*25.4</f>
        <v>203.45399999999998</v>
      </c>
      <c r="P214" s="65">
        <f t="shared" si="95"/>
        <v>0.80497095979092148</v>
      </c>
      <c r="Q214" s="63">
        <f>1/0.0349</f>
        <v>28.653295128939828</v>
      </c>
      <c r="R214" s="1025"/>
      <c r="S214" s="871"/>
      <c r="T214" s="778" t="s">
        <v>163</v>
      </c>
      <c r="U214" s="471"/>
      <c r="V214" s="471">
        <f t="shared" si="96"/>
        <v>203395.41999999998</v>
      </c>
      <c r="W214" s="471">
        <f t="shared" si="97"/>
        <v>247.86662199999998</v>
      </c>
      <c r="X214" s="785"/>
      <c r="Y214" s="785"/>
      <c r="Z214" s="882"/>
      <c r="AA214" s="1028"/>
      <c r="AB214" s="871"/>
      <c r="AC214" s="778" t="s">
        <v>524</v>
      </c>
      <c r="AD214" s="882"/>
      <c r="AE214" s="35"/>
      <c r="AF214" s="471"/>
      <c r="AG214" s="471"/>
      <c r="AH214" s="782"/>
      <c r="AI214" s="782"/>
      <c r="AJ214" s="788"/>
      <c r="AK214" s="697"/>
      <c r="AL214" s="80"/>
      <c r="AN214" s="606">
        <f>38400*0.00689476</f>
        <v>264.75878399999999</v>
      </c>
      <c r="AO214" s="559">
        <f t="shared" si="98"/>
        <v>1.0681502086230876</v>
      </c>
      <c r="AQ214" s="559">
        <f t="shared" si="99"/>
        <v>0.2401963411674162</v>
      </c>
      <c r="AR214" s="581">
        <f t="shared" si="100"/>
        <v>4296.2077362754435</v>
      </c>
      <c r="AS214" s="450"/>
      <c r="AT214" s="675">
        <f t="shared" si="103"/>
        <v>6.1626159686014183E-2</v>
      </c>
      <c r="AU214" s="649">
        <f t="shared" si="101"/>
        <v>1.0681502086230876</v>
      </c>
      <c r="AV214" s="796">
        <f t="shared" si="102"/>
        <v>1.3016949152542374E-3</v>
      </c>
      <c r="AW214" s="192"/>
      <c r="AX214" s="192"/>
      <c r="AY214" s="1033"/>
      <c r="AZ214" s="773">
        <v>1933</v>
      </c>
      <c r="BA214" s="293"/>
      <c r="BB214" s="5"/>
      <c r="BC214" s="45"/>
    </row>
    <row r="215" spans="1:55" ht="17.100000000000001" customHeight="1">
      <c r="A215" s="145"/>
      <c r="B215" s="991"/>
      <c r="C215" s="956"/>
      <c r="D215" s="871"/>
      <c r="E215" s="899"/>
      <c r="F215" s="871"/>
      <c r="G215" s="871"/>
      <c r="H215" s="871"/>
      <c r="I215" s="882"/>
      <c r="J215" s="221"/>
      <c r="K215" s="1025"/>
      <c r="L215" s="523" t="s">
        <v>209</v>
      </c>
      <c r="M215" s="46">
        <f>(1/Q215)*CONVERT(3.626/2,"in","mm")/(1-(1/Q215)/2)</f>
        <v>0.59790406119470574</v>
      </c>
      <c r="N215" s="66">
        <f>CONVERT(3.626/2,"in","mm")+M215/2</f>
        <v>46.349152030597352</v>
      </c>
      <c r="O215" s="66">
        <f>8.49*25.4</f>
        <v>215.64599999999999</v>
      </c>
      <c r="P215" s="65">
        <f t="shared" si="95"/>
        <v>0.52843852173606309</v>
      </c>
      <c r="Q215" s="63">
        <f>1/0.0129</f>
        <v>77.519379844961236</v>
      </c>
      <c r="R215" s="1025"/>
      <c r="S215" s="871"/>
      <c r="T215" s="778" t="s">
        <v>163</v>
      </c>
      <c r="U215" s="471"/>
      <c r="V215" s="471">
        <f t="shared" si="96"/>
        <v>203395.41999999998</v>
      </c>
      <c r="W215" s="471">
        <f t="shared" si="97"/>
        <v>247.86662199999998</v>
      </c>
      <c r="X215" s="785"/>
      <c r="Y215" s="785"/>
      <c r="Z215" s="882"/>
      <c r="AA215" s="1028"/>
      <c r="AB215" s="871"/>
      <c r="AC215" s="778" t="s">
        <v>524</v>
      </c>
      <c r="AD215" s="882"/>
      <c r="AE215" s="35"/>
      <c r="AF215" s="471"/>
      <c r="AG215" s="471"/>
      <c r="AH215" s="782"/>
      <c r="AI215" s="782"/>
      <c r="AJ215" s="788"/>
      <c r="AK215" s="697"/>
      <c r="AL215" s="80"/>
      <c r="AN215" s="606">
        <f>39950*0.00689476</f>
        <v>275.44566199999997</v>
      </c>
      <c r="AO215" s="559">
        <f t="shared" si="98"/>
        <v>1.1112656467315716</v>
      </c>
      <c r="AQ215" s="559">
        <f t="shared" si="99"/>
        <v>0.39507927304092705</v>
      </c>
      <c r="AR215" s="581">
        <f t="shared" si="100"/>
        <v>1587.9965558152787</v>
      </c>
      <c r="AS215" s="450"/>
      <c r="AT215" s="675">
        <f t="shared" si="103"/>
        <v>0.17345482330633011</v>
      </c>
      <c r="AU215" s="649">
        <f t="shared" si="101"/>
        <v>1.1112656467315716</v>
      </c>
      <c r="AV215" s="796">
        <f t="shared" si="102"/>
        <v>1.3542372881355932E-3</v>
      </c>
      <c r="AW215" s="192"/>
      <c r="AX215" s="192"/>
      <c r="AY215" s="1033"/>
      <c r="AZ215" s="773">
        <v>1933</v>
      </c>
      <c r="BA215" s="293"/>
      <c r="BB215" s="5"/>
      <c r="BC215" s="45"/>
    </row>
    <row r="216" spans="1:55" ht="17.100000000000001" customHeight="1">
      <c r="A216" s="145"/>
      <c r="B216" s="991"/>
      <c r="C216" s="956"/>
      <c r="D216" s="871"/>
      <c r="E216" s="899"/>
      <c r="F216" s="871"/>
      <c r="G216" s="871"/>
      <c r="H216" s="871"/>
      <c r="I216" s="882"/>
      <c r="J216" s="221"/>
      <c r="K216" s="1025"/>
      <c r="L216" s="523" t="s">
        <v>210</v>
      </c>
      <c r="M216" s="46">
        <f>(1/Q216)*CONVERT(3.642/2,"in","mm")/(1-(1/Q216)/2)</f>
        <v>1.0998784720465471</v>
      </c>
      <c r="N216" s="66">
        <f>CONVERT(3.642/2,"in","mm")+M216/2</f>
        <v>46.80333923602327</v>
      </c>
      <c r="O216" s="66">
        <f>8.5*25.4</f>
        <v>215.89999999999998</v>
      </c>
      <c r="P216" s="65">
        <f t="shared" si="95"/>
        <v>0.70714705016180168</v>
      </c>
      <c r="Q216" s="63">
        <f>1/0.0235</f>
        <v>42.553191489361701</v>
      </c>
      <c r="R216" s="1025"/>
      <c r="S216" s="871"/>
      <c r="T216" s="778" t="s">
        <v>163</v>
      </c>
      <c r="U216" s="471"/>
      <c r="V216" s="471">
        <f t="shared" si="96"/>
        <v>203395.41999999998</v>
      </c>
      <c r="W216" s="471">
        <f t="shared" si="97"/>
        <v>247.86662199999998</v>
      </c>
      <c r="X216" s="81"/>
      <c r="Y216" s="785"/>
      <c r="Z216" s="882"/>
      <c r="AA216" s="1028"/>
      <c r="AB216" s="871"/>
      <c r="AC216" s="778" t="s">
        <v>524</v>
      </c>
      <c r="AD216" s="882"/>
      <c r="AE216" s="35"/>
      <c r="AF216" s="471"/>
      <c r="AG216" s="471"/>
      <c r="AH216" s="782"/>
      <c r="AI216" s="782"/>
      <c r="AJ216" s="788"/>
      <c r="AK216" s="697"/>
      <c r="AL216" s="80"/>
      <c r="AN216" s="606">
        <f>36800*0.00689476</f>
        <v>253.72716800000001</v>
      </c>
      <c r="AO216" s="559">
        <f t="shared" si="98"/>
        <v>1.023643949930459</v>
      </c>
      <c r="AQ216" s="559">
        <f t="shared" si="99"/>
        <v>0.2927151292985638</v>
      </c>
      <c r="AR216" s="581">
        <f t="shared" si="100"/>
        <v>2892.8619427642675</v>
      </c>
      <c r="AS216" s="450"/>
      <c r="AT216" s="675">
        <f t="shared" si="103"/>
        <v>8.7708011311992171E-2</v>
      </c>
      <c r="AU216" s="649">
        <f t="shared" si="101"/>
        <v>1.023643949930459</v>
      </c>
      <c r="AV216" s="796">
        <f t="shared" si="102"/>
        <v>1.2474576271186441E-3</v>
      </c>
      <c r="AX216" s="5"/>
      <c r="AY216" s="1033"/>
      <c r="AZ216" s="773">
        <v>1933</v>
      </c>
      <c r="BA216" s="293"/>
      <c r="BB216" s="5"/>
      <c r="BC216" s="45"/>
    </row>
    <row r="217" spans="1:55" ht="17.100000000000001" customHeight="1">
      <c r="A217" s="145"/>
      <c r="B217" s="991"/>
      <c r="C217" s="956"/>
      <c r="D217" s="871"/>
      <c r="E217" s="899"/>
      <c r="F217" s="871"/>
      <c r="G217" s="871"/>
      <c r="H217" s="871"/>
      <c r="I217" s="882"/>
      <c r="J217" s="221"/>
      <c r="K217" s="35"/>
      <c r="L217" s="523" t="s">
        <v>211</v>
      </c>
      <c r="M217" s="46">
        <f>(1/Q217)*CONVERT(3.631/2,"in","mm")/(1-(1/Q217)/2)</f>
        <v>1.657060731918359</v>
      </c>
      <c r="N217" s="66">
        <f>CONVERT(3.631/2,"in","mm")+M217/2</f>
        <v>46.942230365959183</v>
      </c>
      <c r="O217" s="66">
        <f>7.99*25.4</f>
        <v>202.946</v>
      </c>
      <c r="P217" s="65">
        <f t="shared" si="95"/>
        <v>0.81227694778902049</v>
      </c>
      <c r="Q217" s="63">
        <f>1/0.0353</f>
        <v>28.328611898016998</v>
      </c>
      <c r="R217" s="1025"/>
      <c r="S217" s="871"/>
      <c r="T217" s="778" t="s">
        <v>163</v>
      </c>
      <c r="U217" s="471"/>
      <c r="V217" s="471">
        <f t="shared" si="96"/>
        <v>203395.41999999998</v>
      </c>
      <c r="W217" s="471">
        <f t="shared" si="97"/>
        <v>247.86662199999998</v>
      </c>
      <c r="X217" s="81"/>
      <c r="Y217" s="785"/>
      <c r="Z217" s="882"/>
      <c r="AA217" s="1028"/>
      <c r="AB217" s="871"/>
      <c r="AC217" s="778" t="s">
        <v>524</v>
      </c>
      <c r="AD217" s="882"/>
      <c r="AE217" s="35"/>
      <c r="AF217" s="471"/>
      <c r="AG217" s="471"/>
      <c r="AH217" s="782"/>
      <c r="AI217" s="782"/>
      <c r="AJ217" s="788"/>
      <c r="AK217" s="697"/>
      <c r="AL217" s="80"/>
      <c r="AN217" s="606">
        <f>40700*0.00689476</f>
        <v>280.61673200000001</v>
      </c>
      <c r="AO217" s="559">
        <f t="shared" si="98"/>
        <v>1.1321279554937416</v>
      </c>
      <c r="AQ217" s="559">
        <f t="shared" si="99"/>
        <v>0.23883157818281384</v>
      </c>
      <c r="AR217" s="581">
        <f t="shared" si="100"/>
        <v>4345.4479395565377</v>
      </c>
      <c r="AS217" s="450"/>
      <c r="AT217" s="675">
        <f t="shared" si="103"/>
        <v>6.4577170386866389E-2</v>
      </c>
      <c r="AU217" s="649">
        <f t="shared" si="101"/>
        <v>1.1321279554937416</v>
      </c>
      <c r="AV217" s="796">
        <f t="shared" si="102"/>
        <v>1.3796610169491527E-3</v>
      </c>
      <c r="AX217" s="5"/>
      <c r="AY217" s="1033"/>
      <c r="AZ217" s="773">
        <v>1933</v>
      </c>
      <c r="BA217" s="293"/>
      <c r="BB217" s="5"/>
      <c r="BC217" s="45"/>
    </row>
    <row r="218" spans="1:55" ht="17.100000000000001" customHeight="1">
      <c r="A218" s="145"/>
      <c r="B218" s="991"/>
      <c r="C218" s="956"/>
      <c r="D218" s="871"/>
      <c r="E218" s="899"/>
      <c r="F218" s="871"/>
      <c r="G218" s="871"/>
      <c r="H218" s="871"/>
      <c r="I218" s="882"/>
      <c r="J218" s="221"/>
      <c r="K218" s="35"/>
      <c r="L218" s="523" t="s">
        <v>212</v>
      </c>
      <c r="M218" s="46">
        <f>(1/Q218)*CONVERT(3.652/2,"in","mm")/(1-(1/Q218)/2)</f>
        <v>0.60688998490186219</v>
      </c>
      <c r="N218" s="66">
        <f>CONVERT(3.652/2,"in","mm")+M218/2</f>
        <v>46.683844992450936</v>
      </c>
      <c r="O218" s="66">
        <f>4.51*25.4</f>
        <v>114.55399999999999</v>
      </c>
      <c r="P218" s="65">
        <f t="shared" si="95"/>
        <v>0.27977913059202247</v>
      </c>
      <c r="Q218" s="63">
        <f>1/0.013</f>
        <v>76.92307692307692</v>
      </c>
      <c r="R218" s="1025"/>
      <c r="S218" s="871"/>
      <c r="T218" s="778" t="s">
        <v>163</v>
      </c>
      <c r="U218" s="471"/>
      <c r="V218" s="471">
        <f t="shared" si="96"/>
        <v>203395.41999999998</v>
      </c>
      <c r="W218" s="471">
        <f t="shared" si="97"/>
        <v>247.86662199999998</v>
      </c>
      <c r="X218" s="785"/>
      <c r="Y218" s="785"/>
      <c r="Z218" s="882"/>
      <c r="AA218" s="1028"/>
      <c r="AB218" s="871"/>
      <c r="AC218" s="778" t="s">
        <v>524</v>
      </c>
      <c r="AD218" s="882"/>
      <c r="AE218" s="35"/>
      <c r="AF218" s="471"/>
      <c r="AG218" s="471"/>
      <c r="AH218" s="782"/>
      <c r="AI218" s="782"/>
      <c r="AJ218" s="788"/>
      <c r="AK218" s="697"/>
      <c r="AL218" s="80"/>
      <c r="AN218" s="606">
        <f>40000*0.00689476</f>
        <v>275.79039999999998</v>
      </c>
      <c r="AO218" s="559">
        <f t="shared" si="98"/>
        <v>1.1126564673157162</v>
      </c>
      <c r="AQ218" s="559">
        <f t="shared" si="99"/>
        <v>0.39355680389791659</v>
      </c>
      <c r="AR218" s="581">
        <f t="shared" si="100"/>
        <v>1600.3066066355523</v>
      </c>
      <c r="AS218" s="450"/>
      <c r="AT218" s="675">
        <f t="shared" si="103"/>
        <v>0.17233597540399795</v>
      </c>
      <c r="AU218" s="649">
        <f t="shared" si="101"/>
        <v>1.1126564673157162</v>
      </c>
      <c r="AV218" s="796">
        <f t="shared" si="102"/>
        <v>1.3559322033898306E-3</v>
      </c>
      <c r="AX218" s="5"/>
      <c r="AY218" s="1033"/>
      <c r="AZ218" s="773">
        <v>1933</v>
      </c>
      <c r="BA218" s="293"/>
      <c r="BB218" s="5"/>
      <c r="BC218" s="45"/>
    </row>
    <row r="219" spans="1:55" ht="17.100000000000001" customHeight="1">
      <c r="A219" s="145"/>
      <c r="B219" s="991"/>
      <c r="C219" s="956"/>
      <c r="D219" s="871"/>
      <c r="E219" s="899"/>
      <c r="F219" s="871"/>
      <c r="G219" s="871"/>
      <c r="H219" s="871"/>
      <c r="I219" s="882"/>
      <c r="J219" s="221"/>
      <c r="K219" s="35"/>
      <c r="L219" s="451" t="s">
        <v>213</v>
      </c>
      <c r="M219" s="46">
        <f>(1/Q219)*CONVERT(3.652/2,"in","mm")/(1-(1/Q219)/2)</f>
        <v>0.58809805776391266</v>
      </c>
      <c r="N219" s="66">
        <f>CONVERT(3.652/2,"in","mm")+M219/2</f>
        <v>46.674449028881959</v>
      </c>
      <c r="O219" s="66">
        <f>2.52*25.4</f>
        <v>64.007999999999996</v>
      </c>
      <c r="P219" s="65">
        <f t="shared" si="95"/>
        <v>0.15393604702077612</v>
      </c>
      <c r="Q219" s="63">
        <f>1/0.0126</f>
        <v>79.365079365079367</v>
      </c>
      <c r="R219" s="1025"/>
      <c r="S219" s="871"/>
      <c r="T219" s="778" t="s">
        <v>163</v>
      </c>
      <c r="U219" s="471"/>
      <c r="V219" s="471">
        <f t="shared" si="96"/>
        <v>203395.41999999998</v>
      </c>
      <c r="W219" s="471">
        <f t="shared" si="97"/>
        <v>247.86662199999998</v>
      </c>
      <c r="X219" s="785"/>
      <c r="Y219" s="785"/>
      <c r="Z219" s="882"/>
      <c r="AA219" s="1028"/>
      <c r="AB219" s="871"/>
      <c r="AC219" s="778" t="s">
        <v>524</v>
      </c>
      <c r="AD219" s="882"/>
      <c r="AE219" s="35"/>
      <c r="AF219" s="471"/>
      <c r="AG219" s="471"/>
      <c r="AH219" s="782"/>
      <c r="AI219" s="782"/>
      <c r="AJ219" s="788"/>
      <c r="AK219" s="697"/>
      <c r="AL219" s="80"/>
      <c r="AN219" s="606">
        <f>40600*0.00689476</f>
        <v>279.927256</v>
      </c>
      <c r="AO219" s="559">
        <f t="shared" si="98"/>
        <v>1.1293463143254521</v>
      </c>
      <c r="AQ219" s="559">
        <f t="shared" si="99"/>
        <v>0.39975493014683794</v>
      </c>
      <c r="AR219" s="581">
        <f t="shared" si="100"/>
        <v>1551.0664033544583</v>
      </c>
      <c r="AS219" s="450"/>
      <c r="AT219" s="675">
        <f t="shared" si="103"/>
        <v>0.18047406313140898</v>
      </c>
      <c r="AU219" s="649">
        <f t="shared" si="101"/>
        <v>1.1293463143254521</v>
      </c>
      <c r="AV219" s="796">
        <f t="shared" si="102"/>
        <v>1.3762711864406781E-3</v>
      </c>
      <c r="AX219" s="5"/>
      <c r="AY219" s="1033"/>
      <c r="AZ219" s="773">
        <v>1933</v>
      </c>
      <c r="BA219" s="293"/>
      <c r="BB219" s="5"/>
      <c r="BC219" s="45"/>
    </row>
    <row r="220" spans="1:55" ht="17.100000000000001" customHeight="1">
      <c r="A220" s="145"/>
      <c r="B220" s="991"/>
      <c r="C220" s="956"/>
      <c r="D220" s="871"/>
      <c r="E220" s="899"/>
      <c r="F220" s="871"/>
      <c r="G220" s="871"/>
      <c r="H220" s="871"/>
      <c r="I220" s="882"/>
      <c r="J220" s="221"/>
      <c r="K220" s="35"/>
      <c r="L220" s="451" t="s">
        <v>214</v>
      </c>
      <c r="M220" s="46">
        <f>(1/Q220)*CONVERT(3.871/2,"in","mm")/(1-(1/Q220)/2)</f>
        <v>0.50302651094068818</v>
      </c>
      <c r="N220" s="66">
        <f>CONVERT(3.871/2,"in","mm")+M220/2</f>
        <v>49.413213255470346</v>
      </c>
      <c r="O220" s="66">
        <f>1.75*25.4</f>
        <v>44.449999999999996</v>
      </c>
      <c r="P220" s="65">
        <f t="shared" si="95"/>
        <v>9.0761686687220858E-2</v>
      </c>
      <c r="Q220" s="63">
        <f>1/0.01018</f>
        <v>98.231827111984288</v>
      </c>
      <c r="R220" s="35"/>
      <c r="S220" s="871" t="s">
        <v>215</v>
      </c>
      <c r="T220" s="778" t="s">
        <v>163</v>
      </c>
      <c r="U220" s="471"/>
      <c r="V220" s="471">
        <f t="shared" ref="V220:V236" si="104">29900000*0.00689476</f>
        <v>206153.32399999999</v>
      </c>
      <c r="W220" s="9">
        <f t="shared" ref="W220:W225" si="105">46800*0.00689476</f>
        <v>322.67476799999997</v>
      </c>
      <c r="X220" s="785"/>
      <c r="Y220" s="785"/>
      <c r="Z220" s="882" t="s">
        <v>976</v>
      </c>
      <c r="AA220" s="1028"/>
      <c r="AB220" s="871"/>
      <c r="AC220" s="778" t="s">
        <v>524</v>
      </c>
      <c r="AD220" s="882"/>
      <c r="AE220" s="35"/>
      <c r="AF220" s="471"/>
      <c r="AG220" s="471"/>
      <c r="AH220" s="782"/>
      <c r="AI220" s="782"/>
      <c r="AJ220" s="788"/>
      <c r="AK220" s="697"/>
      <c r="AL220" s="80" t="s">
        <v>216</v>
      </c>
      <c r="AN220" s="606">
        <f>49400*0.00689476</f>
        <v>340.60114399999998</v>
      </c>
      <c r="AO220" s="559">
        <f t="shared" ref="AO220:AO236" si="106">AN220/$W$220</f>
        <v>1.0555555555555556</v>
      </c>
      <c r="AQ220" s="559">
        <f t="shared" ref="AQ220:AQ236" si="107">SQRT($W$220/AR220)</f>
        <v>0.50402735227397011</v>
      </c>
      <c r="AR220" s="581">
        <f>$V$220/SQRT(3*(1-0.3^2))*1/Q220</f>
        <v>1270.1552165344008</v>
      </c>
      <c r="AS220" s="450"/>
      <c r="AT220" s="675">
        <f t="shared" si="103"/>
        <v>0.2681571036092148</v>
      </c>
      <c r="AU220" s="649">
        <f t="shared" si="101"/>
        <v>1.0555555555555556</v>
      </c>
      <c r="AV220" s="796">
        <f>AN220/$V$220</f>
        <v>1.6521739130434781E-3</v>
      </c>
      <c r="AX220" s="5"/>
      <c r="AY220" s="1033"/>
      <c r="AZ220" s="773">
        <v>1933</v>
      </c>
      <c r="BA220" s="293"/>
      <c r="BB220" s="5"/>
      <c r="BC220" s="45"/>
    </row>
    <row r="221" spans="1:55">
      <c r="A221" s="145"/>
      <c r="B221" s="991"/>
      <c r="C221" s="956"/>
      <c r="D221" s="871"/>
      <c r="E221" s="899"/>
      <c r="F221" s="871"/>
      <c r="G221" s="871"/>
      <c r="H221" s="871"/>
      <c r="I221" s="882"/>
      <c r="J221" s="221"/>
      <c r="K221" s="35"/>
      <c r="L221" s="451" t="s">
        <v>217</v>
      </c>
      <c r="M221" s="46">
        <f t="shared" ref="M221:M224" si="108">(1/Q221)*CONVERT(3.871/2,"in","mm")/(1-(1/Q221)/2)</f>
        <v>0.50501319140809542</v>
      </c>
      <c r="N221" s="66">
        <f t="shared" ref="N221:N228" si="109">CONVERT(3.871/2,"in","mm")+M221/2</f>
        <v>49.414206595704051</v>
      </c>
      <c r="O221" s="66">
        <f>3.75*25.4</f>
        <v>95.25</v>
      </c>
      <c r="P221" s="65">
        <f t="shared" si="95"/>
        <v>0.19486713748805642</v>
      </c>
      <c r="Q221" s="63">
        <f>1/0.01022</f>
        <v>97.847358121330728</v>
      </c>
      <c r="R221" s="35"/>
      <c r="S221" s="871"/>
      <c r="T221" s="778" t="s">
        <v>163</v>
      </c>
      <c r="U221" s="471"/>
      <c r="V221" s="471">
        <f t="shared" si="104"/>
        <v>206153.32399999999</v>
      </c>
      <c r="W221" s="9">
        <f t="shared" si="105"/>
        <v>322.67476799999997</v>
      </c>
      <c r="X221" s="785"/>
      <c r="Y221" s="785"/>
      <c r="Z221" s="882"/>
      <c r="AA221" s="1028"/>
      <c r="AB221" s="871"/>
      <c r="AC221" s="778" t="s">
        <v>524</v>
      </c>
      <c r="AD221" s="882"/>
      <c r="AE221" s="35"/>
      <c r="AF221" s="471"/>
      <c r="AG221" s="471"/>
      <c r="AH221" s="782"/>
      <c r="AI221" s="782"/>
      <c r="AJ221" s="788"/>
      <c r="AK221" s="697"/>
      <c r="AL221" s="80"/>
      <c r="AN221" s="606">
        <f>53500*0.00689476</f>
        <v>368.86966000000001</v>
      </c>
      <c r="AO221" s="559">
        <f t="shared" si="106"/>
        <v>1.1431623931623933</v>
      </c>
      <c r="AQ221" s="559">
        <f t="shared" si="107"/>
        <v>0.50304003036161793</v>
      </c>
      <c r="AR221" s="581">
        <f>$V$220/SQRT(3*(1-0.3^2))*1/Q221</f>
        <v>1275.1460032398404</v>
      </c>
      <c r="AS221" s="450"/>
      <c r="AT221" s="675">
        <f t="shared" si="103"/>
        <v>0.28927641153467182</v>
      </c>
      <c r="AU221" s="649">
        <f t="shared" si="101"/>
        <v>1.1431623931623933</v>
      </c>
      <c r="AV221" s="796">
        <f>AN221/$V$220</f>
        <v>1.7892976588628764E-3</v>
      </c>
      <c r="AX221" s="5"/>
      <c r="AZ221" s="773">
        <v>1933</v>
      </c>
      <c r="BA221" s="293"/>
      <c r="BB221" s="5"/>
      <c r="BC221" s="45"/>
    </row>
    <row r="222" spans="1:55">
      <c r="A222" s="145"/>
      <c r="B222" s="991"/>
      <c r="C222" s="956"/>
      <c r="D222" s="871"/>
      <c r="E222" s="899"/>
      <c r="F222" s="871"/>
      <c r="G222" s="871"/>
      <c r="H222" s="871"/>
      <c r="I222" s="882"/>
      <c r="J222" s="221"/>
      <c r="K222" s="35"/>
      <c r="L222" s="451" t="s">
        <v>218</v>
      </c>
      <c r="M222" s="46">
        <f t="shared" si="108"/>
        <v>0.50302651094068818</v>
      </c>
      <c r="N222" s="66">
        <f t="shared" si="109"/>
        <v>49.413213255470346</v>
      </c>
      <c r="O222" s="66">
        <f>5.75*25.4</f>
        <v>146.04999999999998</v>
      </c>
      <c r="P222" s="65">
        <f t="shared" si="95"/>
        <v>0.2982169705437257</v>
      </c>
      <c r="Q222" s="63">
        <f>1/0.01018</f>
        <v>98.231827111984288</v>
      </c>
      <c r="R222" s="35"/>
      <c r="S222" s="871"/>
      <c r="T222" s="778" t="s">
        <v>163</v>
      </c>
      <c r="U222" s="471"/>
      <c r="V222" s="471">
        <f t="shared" si="104"/>
        <v>206153.32399999999</v>
      </c>
      <c r="W222" s="9">
        <f t="shared" si="105"/>
        <v>322.67476799999997</v>
      </c>
      <c r="X222" s="785"/>
      <c r="Y222" s="785"/>
      <c r="Z222" s="882"/>
      <c r="AA222" s="1028"/>
      <c r="AB222" s="871"/>
      <c r="AC222" s="778" t="s">
        <v>524</v>
      </c>
      <c r="AD222" s="882"/>
      <c r="AE222" s="35"/>
      <c r="AF222" s="471"/>
      <c r="AG222" s="471"/>
      <c r="AH222" s="782"/>
      <c r="AI222" s="782"/>
      <c r="AJ222" s="788"/>
      <c r="AK222" s="697"/>
      <c r="AL222" s="80"/>
      <c r="AN222" s="606">
        <f>46400*0.00689476</f>
        <v>319.91686399999998</v>
      </c>
      <c r="AO222" s="559">
        <f t="shared" si="106"/>
        <v>0.99145299145299148</v>
      </c>
      <c r="AQ222" s="559">
        <f t="shared" si="107"/>
        <v>0.50402735227397011</v>
      </c>
      <c r="AR222" s="581">
        <f>$V$220/SQRT(3*(1-0.3^2))*1/Q222</f>
        <v>1270.1552165344008</v>
      </c>
      <c r="AS222" s="450"/>
      <c r="AT222" s="675">
        <f t="shared" si="103"/>
        <v>0.25187225926047707</v>
      </c>
      <c r="AU222" s="649">
        <f t="shared" si="101"/>
        <v>0.99145299145299148</v>
      </c>
      <c r="AV222" s="796">
        <f>AN222/$V$220</f>
        <v>1.5518394648829431E-3</v>
      </c>
      <c r="AX222" s="5"/>
      <c r="AZ222" s="773">
        <v>1933</v>
      </c>
      <c r="BA222" s="293"/>
      <c r="BB222" s="5"/>
      <c r="BC222" s="45"/>
    </row>
    <row r="223" spans="1:55">
      <c r="A223" s="145"/>
      <c r="B223" s="991"/>
      <c r="C223" s="956"/>
      <c r="D223" s="871"/>
      <c r="E223" s="899"/>
      <c r="F223" s="871"/>
      <c r="G223" s="871"/>
      <c r="H223" s="871"/>
      <c r="I223" s="882"/>
      <c r="J223" s="221"/>
      <c r="K223" s="35"/>
      <c r="L223" s="451" t="s">
        <v>219</v>
      </c>
      <c r="M223" s="46">
        <f t="shared" si="108"/>
        <v>0.54575775078432953</v>
      </c>
      <c r="N223" s="66">
        <f t="shared" si="109"/>
        <v>49.43457887539217</v>
      </c>
      <c r="O223" s="66">
        <f>7.75*25.4</f>
        <v>196.85</v>
      </c>
      <c r="P223" s="65">
        <f t="shared" si="95"/>
        <v>0.41839753479272312</v>
      </c>
      <c r="Q223" s="63">
        <f>1/0.01104</f>
        <v>90.579710144927546</v>
      </c>
      <c r="R223" s="35"/>
      <c r="S223" s="871"/>
      <c r="T223" s="778" t="s">
        <v>163</v>
      </c>
      <c r="U223" s="471"/>
      <c r="V223" s="471">
        <f t="shared" si="104"/>
        <v>206153.32399999999</v>
      </c>
      <c r="W223" s="9">
        <f t="shared" si="105"/>
        <v>322.67476799999997</v>
      </c>
      <c r="X223" s="785"/>
      <c r="Y223" s="785"/>
      <c r="Z223" s="882"/>
      <c r="AA223" s="1028"/>
      <c r="AB223" s="871"/>
      <c r="AC223" s="778" t="s">
        <v>524</v>
      </c>
      <c r="AD223" s="882"/>
      <c r="AE223" s="35"/>
      <c r="AF223" s="471"/>
      <c r="AG223" s="471"/>
      <c r="AH223" s="782"/>
      <c r="AI223" s="782"/>
      <c r="AJ223" s="788"/>
      <c r="AK223" s="697"/>
      <c r="AL223" s="80"/>
      <c r="AN223" s="606">
        <f>48000*0.00689476</f>
        <v>330.94848000000002</v>
      </c>
      <c r="AO223" s="559">
        <f t="shared" si="106"/>
        <v>1.0256410256410258</v>
      </c>
      <c r="AQ223" s="559">
        <f t="shared" si="107"/>
        <v>0.48399787786005671</v>
      </c>
      <c r="AR223" s="581">
        <f>$V$220/SQRT(3*(1-0.3^2))*1/Q223</f>
        <v>1377.4571307013539</v>
      </c>
      <c r="AS223" s="450"/>
      <c r="AT223" s="675">
        <f t="shared" si="103"/>
        <v>0.24026045720311631</v>
      </c>
      <c r="AU223" s="649">
        <f t="shared" si="101"/>
        <v>1.0256410256410258</v>
      </c>
      <c r="AV223" s="796">
        <f>AN223/$V$220</f>
        <v>1.605351170568562E-3</v>
      </c>
      <c r="AX223" s="5"/>
      <c r="AZ223" s="773">
        <v>1933</v>
      </c>
      <c r="BA223" s="293"/>
      <c r="BB223" s="5"/>
      <c r="BC223" s="45"/>
    </row>
    <row r="224" spans="1:55">
      <c r="A224" s="145"/>
      <c r="B224" s="991"/>
      <c r="C224" s="956"/>
      <c r="D224" s="871"/>
      <c r="E224" s="899"/>
      <c r="F224" s="871"/>
      <c r="G224" s="871"/>
      <c r="H224" s="871"/>
      <c r="I224" s="882"/>
      <c r="J224" s="221"/>
      <c r="K224" s="35"/>
      <c r="L224" s="451" t="s">
        <v>220</v>
      </c>
      <c r="M224" s="46">
        <f t="shared" si="108"/>
        <v>0.49259774877765666</v>
      </c>
      <c r="N224" s="66">
        <f t="shared" si="109"/>
        <v>49.407998874388831</v>
      </c>
      <c r="O224" s="66">
        <f>19.87*25.4</f>
        <v>504.69799999999998</v>
      </c>
      <c r="P224" s="65">
        <f t="shared" si="95"/>
        <v>1.0199570835537215</v>
      </c>
      <c r="Q224" s="63">
        <f>1/0.00997</f>
        <v>100.30090270812438</v>
      </c>
      <c r="R224" s="35"/>
      <c r="S224" s="871"/>
      <c r="T224" s="778" t="s">
        <v>163</v>
      </c>
      <c r="U224" s="471"/>
      <c r="V224" s="425">
        <f t="shared" si="104"/>
        <v>206153.32399999999</v>
      </c>
      <c r="W224" s="9">
        <f t="shared" si="105"/>
        <v>322.67476799999997</v>
      </c>
      <c r="X224" s="785"/>
      <c r="Y224" s="785"/>
      <c r="Z224" s="882"/>
      <c r="AA224" s="1028"/>
      <c r="AB224" s="871"/>
      <c r="AC224" s="778" t="s">
        <v>524</v>
      </c>
      <c r="AD224" s="882"/>
      <c r="AE224" s="35"/>
      <c r="AF224" s="471"/>
      <c r="AG224" s="471"/>
      <c r="AH224" s="782"/>
      <c r="AI224" s="782"/>
      <c r="AJ224" s="788"/>
      <c r="AK224" s="697"/>
      <c r="AL224" s="80"/>
      <c r="AN224" s="606">
        <f>50600*0.00689476</f>
        <v>348.87485599999997</v>
      </c>
      <c r="AO224" s="559">
        <f t="shared" si="106"/>
        <v>1.0811965811965811</v>
      </c>
      <c r="AQ224" s="559">
        <f t="shared" si="107"/>
        <v>0.50930790270001947</v>
      </c>
      <c r="AR224" s="581">
        <f>$V$220/SQRT(3*(1-0.3^2))*1/Q224</f>
        <v>1243.9535863308422</v>
      </c>
      <c r="AS224" s="559"/>
      <c r="AT224" s="675">
        <f t="shared" si="103"/>
        <v>0.28045648956167174</v>
      </c>
      <c r="AU224" s="649">
        <f t="shared" si="101"/>
        <v>1.0811965811965811</v>
      </c>
      <c r="AV224" s="796">
        <f>AN224/$V$220</f>
        <v>1.6923076923076922E-3</v>
      </c>
      <c r="AX224" s="5"/>
      <c r="AZ224" s="773">
        <v>1933</v>
      </c>
      <c r="BA224" s="293"/>
      <c r="BB224" s="5"/>
      <c r="BC224" s="45"/>
    </row>
    <row r="225" spans="1:55" ht="15.95" customHeight="1">
      <c r="A225" s="145"/>
      <c r="B225" s="991"/>
      <c r="C225" s="956"/>
      <c r="D225" s="871"/>
      <c r="E225" s="899"/>
      <c r="F225" s="871"/>
      <c r="G225" s="871"/>
      <c r="H225" s="871"/>
      <c r="I225" s="882"/>
      <c r="J225" s="221"/>
      <c r="K225" s="35"/>
      <c r="L225" s="451">
        <v>110</v>
      </c>
      <c r="M225" s="46">
        <f t="shared" ref="M225:M228" si="110">(1/Q225)*CONVERT(3.871/2,"in","mm")/(1-(1/Q225)/2)</f>
        <v>0.74449523267354178</v>
      </c>
      <c r="N225" s="66">
        <f t="shared" si="109"/>
        <v>49.533947616336775</v>
      </c>
      <c r="O225" s="63">
        <f>8.49*25.4</f>
        <v>215.64599999999999</v>
      </c>
      <c r="P225" s="27">
        <f t="shared" si="95"/>
        <v>0.53372550476408576</v>
      </c>
      <c r="Q225" s="63">
        <f>1/0.01503</f>
        <v>66.533599467731207</v>
      </c>
      <c r="R225" s="35"/>
      <c r="S225" s="871" t="s">
        <v>215</v>
      </c>
      <c r="T225" s="778" t="s">
        <v>163</v>
      </c>
      <c r="U225" s="471"/>
      <c r="V225" s="425">
        <f t="shared" si="104"/>
        <v>206153.32399999999</v>
      </c>
      <c r="W225" s="9">
        <f t="shared" si="105"/>
        <v>322.67476799999997</v>
      </c>
      <c r="X225" s="785"/>
      <c r="Y225" s="785"/>
      <c r="Z225" s="882" t="s">
        <v>975</v>
      </c>
      <c r="AA225" s="1028"/>
      <c r="AB225" s="871"/>
      <c r="AC225" s="778" t="s">
        <v>524</v>
      </c>
      <c r="AD225" s="882"/>
      <c r="AE225" s="35"/>
      <c r="AF225" s="471"/>
      <c r="AG225" s="471"/>
      <c r="AH225" s="782"/>
      <c r="AI225" s="782"/>
      <c r="AJ225" s="788"/>
      <c r="AK225" s="697"/>
      <c r="AL225" s="80"/>
      <c r="AN225" s="606">
        <f>55500*0.00689476</f>
        <v>382.65917999999999</v>
      </c>
      <c r="AO225" s="559">
        <f t="shared" si="106"/>
        <v>1.1858974358974359</v>
      </c>
      <c r="AQ225" s="559">
        <f t="shared" si="107"/>
        <v>0.41480931829921625</v>
      </c>
      <c r="AR225" s="581">
        <f>$V$225/SQRT(3*(1-0.3^2))*1/Q225</f>
        <v>1875.2881045689628</v>
      </c>
      <c r="AS225" s="559"/>
      <c r="AT225" s="675">
        <f t="shared" si="103"/>
        <v>0.20405354199586023</v>
      </c>
      <c r="AU225" s="649">
        <f t="shared" si="101"/>
        <v>1.1858974358974359</v>
      </c>
      <c r="AV225" s="796">
        <f>AN225/$V$225</f>
        <v>1.8561872909698997E-3</v>
      </c>
      <c r="AX225" s="5"/>
      <c r="AZ225" s="773">
        <v>1933</v>
      </c>
      <c r="BA225" s="293"/>
      <c r="BB225" s="42"/>
      <c r="BC225" s="45"/>
    </row>
    <row r="226" spans="1:55">
      <c r="A226" s="145"/>
      <c r="B226" s="991"/>
      <c r="C226" s="956"/>
      <c r="D226" s="871"/>
      <c r="E226" s="899"/>
      <c r="F226" s="871"/>
      <c r="G226" s="871"/>
      <c r="H226" s="871"/>
      <c r="I226" s="882"/>
      <c r="J226" s="221"/>
      <c r="K226" s="35"/>
      <c r="L226" s="451">
        <v>111</v>
      </c>
      <c r="M226" s="46">
        <f t="shared" si="110"/>
        <v>0.37109128724002244</v>
      </c>
      <c r="N226" s="66">
        <f t="shared" si="109"/>
        <v>49.347245643620013</v>
      </c>
      <c r="O226" s="63">
        <f>8.5*25.4</f>
        <v>215.89999999999998</v>
      </c>
      <c r="P226" s="27">
        <f t="shared" si="95"/>
        <v>0.37940115218737808</v>
      </c>
      <c r="Q226" s="63">
        <f>1/0.00752</f>
        <v>132.97872340425533</v>
      </c>
      <c r="R226" s="35"/>
      <c r="S226" s="871"/>
      <c r="T226" s="778" t="s">
        <v>163</v>
      </c>
      <c r="U226" s="471"/>
      <c r="V226" s="425">
        <f t="shared" si="104"/>
        <v>206153.32399999999</v>
      </c>
      <c r="W226" s="9">
        <f t="shared" ref="W226:W236" si="111">46800*0.00689476</f>
        <v>322.67476799999997</v>
      </c>
      <c r="X226" s="785"/>
      <c r="Y226" s="785"/>
      <c r="Z226" s="882"/>
      <c r="AA226" s="1028"/>
      <c r="AB226" s="871"/>
      <c r="AC226" s="778" t="s">
        <v>524</v>
      </c>
      <c r="AD226" s="882"/>
      <c r="AE226" s="35"/>
      <c r="AF226" s="471"/>
      <c r="AG226" s="471"/>
      <c r="AH226" s="782"/>
      <c r="AI226" s="782"/>
      <c r="AJ226" s="788"/>
      <c r="AK226" s="697"/>
      <c r="AL226" s="80"/>
      <c r="AN226" s="606">
        <f>40400*0.00689476</f>
        <v>278.54830399999997</v>
      </c>
      <c r="AO226" s="559">
        <f t="shared" si="106"/>
        <v>0.86324786324786329</v>
      </c>
      <c r="AQ226" s="559">
        <f t="shared" si="107"/>
        <v>0.58643390838255893</v>
      </c>
      <c r="AR226" s="581">
        <f>$V$225/SQRT(3*(1-0.3^2))*1/Q226</f>
        <v>938.26790062266139</v>
      </c>
      <c r="AS226" s="559"/>
      <c r="AT226" s="675">
        <f t="shared" si="103"/>
        <v>0.29687502238448887</v>
      </c>
      <c r="AU226" s="649">
        <f t="shared" si="101"/>
        <v>0.86324786324786329</v>
      </c>
      <c r="AV226" s="796">
        <f>AN226/$V$225</f>
        <v>1.3511705685618728E-3</v>
      </c>
      <c r="AX226" s="5"/>
      <c r="AZ226" s="773">
        <v>1933</v>
      </c>
      <c r="BA226" s="293"/>
      <c r="BB226" s="42"/>
      <c r="BC226" s="45"/>
    </row>
    <row r="227" spans="1:55">
      <c r="A227" s="145"/>
      <c r="B227" s="991"/>
      <c r="C227" s="956"/>
      <c r="D227" s="871"/>
      <c r="E227" s="899"/>
      <c r="F227" s="871"/>
      <c r="G227" s="871"/>
      <c r="H227" s="871"/>
      <c r="I227" s="882"/>
      <c r="J227" s="221"/>
      <c r="K227" s="35"/>
      <c r="L227" s="451">
        <v>112</v>
      </c>
      <c r="M227" s="46">
        <f t="shared" si="110"/>
        <v>0.73401544847318645</v>
      </c>
      <c r="N227" s="66">
        <f t="shared" si="109"/>
        <v>49.528707724236597</v>
      </c>
      <c r="O227" s="63">
        <f>8.49*25.4</f>
        <v>215.64599999999999</v>
      </c>
      <c r="P227" s="27">
        <f t="shared" si="95"/>
        <v>0.53003983721682535</v>
      </c>
      <c r="Q227" s="63">
        <f>1/0.01482</f>
        <v>67.476383265856953</v>
      </c>
      <c r="R227" s="35"/>
      <c r="S227" s="871"/>
      <c r="T227" s="778" t="s">
        <v>163</v>
      </c>
      <c r="U227" s="471"/>
      <c r="V227" s="425">
        <f t="shared" si="104"/>
        <v>206153.32399999999</v>
      </c>
      <c r="W227" s="9">
        <f t="shared" si="111"/>
        <v>322.67476799999997</v>
      </c>
      <c r="X227" s="785"/>
      <c r="Y227" s="785"/>
      <c r="Z227" s="882"/>
      <c r="AA227" s="1028"/>
      <c r="AB227" s="871"/>
      <c r="AC227" s="778" t="s">
        <v>524</v>
      </c>
      <c r="AD227" s="882"/>
      <c r="AE227" s="35"/>
      <c r="AF227" s="471"/>
      <c r="AG227" s="471"/>
      <c r="AH227" s="782"/>
      <c r="AI227" s="782"/>
      <c r="AJ227" s="788"/>
      <c r="AK227" s="697"/>
      <c r="AL227" s="80"/>
      <c r="AN227" s="606">
        <f>52600*0.00689476</f>
        <v>362.664376</v>
      </c>
      <c r="AO227" s="559">
        <f t="shared" si="106"/>
        <v>1.1239316239316239</v>
      </c>
      <c r="AQ227" s="559">
        <f t="shared" si="107"/>
        <v>0.4177379126351709</v>
      </c>
      <c r="AR227" s="581">
        <f>$V$225/SQRT(3*(1-0.3^2))*1/Q227</f>
        <v>1849.0864743654045</v>
      </c>
      <c r="AS227" s="559"/>
      <c r="AT227" s="675">
        <f t="shared" si="103"/>
        <v>0.19613164718240897</v>
      </c>
      <c r="AU227" s="649">
        <f t="shared" si="101"/>
        <v>1.1239316239316239</v>
      </c>
      <c r="AV227" s="796">
        <f>AN227/$V$225</f>
        <v>1.7591973244147159E-3</v>
      </c>
      <c r="AX227" s="5"/>
      <c r="AZ227" s="773">
        <v>1933</v>
      </c>
      <c r="BA227" s="293"/>
      <c r="BB227" s="42"/>
      <c r="BC227" s="45"/>
    </row>
    <row r="228" spans="1:55">
      <c r="A228" s="145"/>
      <c r="B228" s="991"/>
      <c r="C228" s="956"/>
      <c r="D228" s="871"/>
      <c r="E228" s="899"/>
      <c r="F228" s="871"/>
      <c r="G228" s="871"/>
      <c r="H228" s="871"/>
      <c r="I228" s="882"/>
      <c r="J228" s="221"/>
      <c r="K228" s="35"/>
      <c r="L228" s="451">
        <v>113</v>
      </c>
      <c r="M228" s="46">
        <f t="shared" si="110"/>
        <v>0.36316656495904931</v>
      </c>
      <c r="N228" s="66">
        <f t="shared" si="109"/>
        <v>49.343283282479526</v>
      </c>
      <c r="O228" s="63">
        <f>8.5*25.4</f>
        <v>215.89999999999998</v>
      </c>
      <c r="P228" s="27">
        <f t="shared" si="95"/>
        <v>0.37537340997518148</v>
      </c>
      <c r="Q228" s="63">
        <f>1/0.00736</f>
        <v>135.86956521739131</v>
      </c>
      <c r="R228" s="35"/>
      <c r="S228" s="871"/>
      <c r="T228" s="778" t="s">
        <v>163</v>
      </c>
      <c r="U228" s="471"/>
      <c r="V228" s="425">
        <f t="shared" si="104"/>
        <v>206153.32399999999</v>
      </c>
      <c r="W228" s="9">
        <f t="shared" si="111"/>
        <v>322.67476799999997</v>
      </c>
      <c r="X228" s="785"/>
      <c r="Y228" s="785"/>
      <c r="Z228" s="882"/>
      <c r="AA228" s="1028"/>
      <c r="AB228" s="871"/>
      <c r="AC228" s="778" t="s">
        <v>524</v>
      </c>
      <c r="AD228" s="882"/>
      <c r="AE228" s="35"/>
      <c r="AF228" s="471"/>
      <c r="AG228" s="471"/>
      <c r="AH228" s="782"/>
      <c r="AI228" s="782"/>
      <c r="AJ228" s="788"/>
      <c r="AK228" s="697"/>
      <c r="AL228" s="80"/>
      <c r="AN228" s="606">
        <f>43700*0.00689476</f>
        <v>301.30101200000001</v>
      </c>
      <c r="AO228" s="559">
        <f t="shared" si="106"/>
        <v>0.93376068376068388</v>
      </c>
      <c r="AQ228" s="559">
        <f t="shared" si="107"/>
        <v>0.59277391867351714</v>
      </c>
      <c r="AR228" s="581">
        <f>$V$225/SQRT(3*(1-0.3^2))*1/Q228</f>
        <v>918.30475380090263</v>
      </c>
      <c r="AS228" s="559"/>
      <c r="AT228" s="675">
        <f t="shared" si="103"/>
        <v>0.32810568686800567</v>
      </c>
      <c r="AU228" s="649">
        <f t="shared" si="101"/>
        <v>0.93376068376068388</v>
      </c>
      <c r="AV228" s="796">
        <f>AN228/$V$225</f>
        <v>1.4615384615384616E-3</v>
      </c>
      <c r="AX228" s="5"/>
      <c r="AZ228" s="773">
        <v>1933</v>
      </c>
      <c r="BA228" s="293"/>
      <c r="BB228" s="42"/>
      <c r="BC228" s="45"/>
    </row>
    <row r="229" spans="1:55" ht="15.95" customHeight="1">
      <c r="A229" s="145"/>
      <c r="B229" s="991"/>
      <c r="C229" s="956"/>
      <c r="D229" s="871"/>
      <c r="E229" s="899"/>
      <c r="F229" s="871"/>
      <c r="G229" s="871"/>
      <c r="H229" s="871"/>
      <c r="I229" s="882"/>
      <c r="J229" s="221"/>
      <c r="K229" s="35"/>
      <c r="L229" s="451">
        <v>510</v>
      </c>
      <c r="M229" s="46">
        <f>(1/Q229)*CONVERT(3.873/2,"in","mm")/(1-(1/Q229)/2)</f>
        <v>0.33759433663127897</v>
      </c>
      <c r="N229" s="66">
        <f>CONVERT(3.873/2,"in","mm")+M229/2</f>
        <v>49.355897168315643</v>
      </c>
      <c r="O229" s="63">
        <f>2.5*25.4</f>
        <v>63.5</v>
      </c>
      <c r="P229" s="27">
        <f t="shared" si="95"/>
        <v>0.10640516890285105</v>
      </c>
      <c r="Q229" s="63">
        <f>1/0.00684</f>
        <v>146.19883040935673</v>
      </c>
      <c r="R229" s="35"/>
      <c r="S229" s="871" t="s">
        <v>215</v>
      </c>
      <c r="T229" s="778" t="s">
        <v>163</v>
      </c>
      <c r="U229" s="471"/>
      <c r="V229" s="425">
        <f t="shared" si="104"/>
        <v>206153.32399999999</v>
      </c>
      <c r="W229" s="9">
        <f t="shared" si="111"/>
        <v>322.67476799999997</v>
      </c>
      <c r="X229" s="785"/>
      <c r="Y229" s="785"/>
      <c r="Z229" s="882"/>
      <c r="AA229" s="1028"/>
      <c r="AB229" s="871"/>
      <c r="AC229" s="778" t="s">
        <v>524</v>
      </c>
      <c r="AD229" s="882"/>
      <c r="AE229" s="35"/>
      <c r="AF229" s="471"/>
      <c r="AG229" s="471"/>
      <c r="AH229" s="782"/>
      <c r="AI229" s="782"/>
      <c r="AJ229" s="788"/>
      <c r="AK229" s="697"/>
      <c r="AL229" s="80"/>
      <c r="AN229" s="606">
        <f>55200*0.00689476</f>
        <v>380.59075200000001</v>
      </c>
      <c r="AO229" s="559">
        <f t="shared" si="106"/>
        <v>1.1794871794871795</v>
      </c>
      <c r="AQ229" s="559">
        <f t="shared" si="107"/>
        <v>0.61489355819879721</v>
      </c>
      <c r="AR229" s="581">
        <f t="shared" ref="AR229:AR236" si="112">$V$229/SQRT(3*(1-0.3^2))*1/Q229</f>
        <v>853.42452663018673</v>
      </c>
      <c r="AS229" s="559"/>
      <c r="AT229" s="675">
        <f t="shared" si="103"/>
        <v>0.44595712933490705</v>
      </c>
      <c r="AU229" s="649">
        <f t="shared" si="101"/>
        <v>1.1794871794871795</v>
      </c>
      <c r="AV229" s="796">
        <f t="shared" ref="AV229:AV236" si="113">AN229/$V$229</f>
        <v>1.8461538461538463E-3</v>
      </c>
      <c r="AX229" s="5"/>
      <c r="AZ229" s="773">
        <v>1933</v>
      </c>
      <c r="BA229" s="293"/>
      <c r="BB229" s="42"/>
      <c r="BC229" s="45"/>
    </row>
    <row r="230" spans="1:55">
      <c r="A230" s="145"/>
      <c r="B230" s="991"/>
      <c r="C230" s="956"/>
      <c r="D230" s="871"/>
      <c r="E230" s="899"/>
      <c r="F230" s="871"/>
      <c r="G230" s="871"/>
      <c r="H230" s="871"/>
      <c r="I230" s="882"/>
      <c r="J230" s="221"/>
      <c r="K230" s="35"/>
      <c r="L230" s="451">
        <v>511</v>
      </c>
      <c r="M230" s="46">
        <f>(1/Q230)*CONVERT(3.873/2,"in","mm")/(1-(1/Q230)/2)</f>
        <v>0.36533628425173142</v>
      </c>
      <c r="N230" s="66">
        <f>CONVERT(3.873/2,"in","mm")+M230/2</f>
        <v>49.369768142125864</v>
      </c>
      <c r="O230" s="63">
        <f>6.49*25.4</f>
        <v>164.846</v>
      </c>
      <c r="P230" s="27">
        <f t="shared" si="95"/>
        <v>0.28723224036389955</v>
      </c>
      <c r="Q230" s="63">
        <f>1/0.0074</f>
        <v>135.13513513513513</v>
      </c>
      <c r="R230" s="35"/>
      <c r="S230" s="871"/>
      <c r="T230" s="778" t="s">
        <v>163</v>
      </c>
      <c r="U230" s="471"/>
      <c r="V230" s="425">
        <f t="shared" si="104"/>
        <v>206153.32399999999</v>
      </c>
      <c r="W230" s="9">
        <f t="shared" si="111"/>
        <v>322.67476799999997</v>
      </c>
      <c r="X230" s="785"/>
      <c r="Y230" s="785"/>
      <c r="Z230" s="882"/>
      <c r="AA230" s="1028"/>
      <c r="AB230" s="871"/>
      <c r="AC230" s="778" t="s">
        <v>524</v>
      </c>
      <c r="AD230" s="882"/>
      <c r="AE230" s="35"/>
      <c r="AF230" s="471"/>
      <c r="AG230" s="471"/>
      <c r="AH230" s="782"/>
      <c r="AI230" s="782"/>
      <c r="AJ230" s="788"/>
      <c r="AK230" s="697"/>
      <c r="AL230" s="80"/>
      <c r="AN230" s="606">
        <f>45500*0.00689476</f>
        <v>313.71157999999997</v>
      </c>
      <c r="AO230" s="559">
        <f t="shared" si="106"/>
        <v>0.97222222222222221</v>
      </c>
      <c r="AQ230" s="559">
        <f t="shared" si="107"/>
        <v>0.59116965614151651</v>
      </c>
      <c r="AR230" s="581">
        <f t="shared" si="112"/>
        <v>923.29554050634238</v>
      </c>
      <c r="AS230" s="559"/>
      <c r="AT230" s="675">
        <f t="shared" si="103"/>
        <v>0.33977374116629883</v>
      </c>
      <c r="AU230" s="649">
        <f t="shared" si="101"/>
        <v>0.97222222222222221</v>
      </c>
      <c r="AV230" s="796">
        <f t="shared" si="113"/>
        <v>1.5217391304347826E-3</v>
      </c>
      <c r="AX230" s="5"/>
      <c r="AZ230" s="773">
        <v>1933</v>
      </c>
      <c r="BA230" s="293"/>
      <c r="BB230" s="42"/>
      <c r="BC230" s="45"/>
    </row>
    <row r="231" spans="1:55">
      <c r="A231" s="145"/>
      <c r="B231" s="991"/>
      <c r="C231" s="956"/>
      <c r="D231" s="871"/>
      <c r="E231" s="899"/>
      <c r="F231" s="871"/>
      <c r="G231" s="871"/>
      <c r="H231" s="871"/>
      <c r="I231" s="882"/>
      <c r="J231" s="221"/>
      <c r="K231" s="35"/>
      <c r="L231" s="451">
        <v>512</v>
      </c>
      <c r="M231" s="46">
        <f t="shared" ref="M231:M236" si="114">(1/Q231)*CONVERT(3.873/2,"in","mm")/(1-(1/Q231)/2)</f>
        <v>0.36087670535808375</v>
      </c>
      <c r="N231" s="66">
        <f t="shared" ref="N231:N236" si="115">CONVERT(3.873/2,"in","mm")+M231/2</f>
        <v>49.367538352679041</v>
      </c>
      <c r="O231" s="63">
        <f>10.5*25.4</f>
        <v>266.7</v>
      </c>
      <c r="P231" s="27">
        <f t="shared" si="95"/>
        <v>0.46189177838858558</v>
      </c>
      <c r="Q231" s="63">
        <f>1/0.00731</f>
        <v>136.79890560875515</v>
      </c>
      <c r="R231" s="35"/>
      <c r="S231" s="871"/>
      <c r="T231" s="778" t="s">
        <v>163</v>
      </c>
      <c r="U231" s="471"/>
      <c r="V231" s="425">
        <f t="shared" si="104"/>
        <v>206153.32399999999</v>
      </c>
      <c r="W231" s="9">
        <f t="shared" si="111"/>
        <v>322.67476799999997</v>
      </c>
      <c r="X231" s="785"/>
      <c r="Y231" s="785"/>
      <c r="Z231" s="882"/>
      <c r="AA231" s="1028"/>
      <c r="AB231" s="871"/>
      <c r="AC231" s="778" t="s">
        <v>524</v>
      </c>
      <c r="AD231" s="882"/>
      <c r="AE231" s="35"/>
      <c r="AF231" s="471"/>
      <c r="AG231" s="471"/>
      <c r="AH231" s="782"/>
      <c r="AI231" s="782"/>
      <c r="AJ231" s="788"/>
      <c r="AK231" s="697"/>
      <c r="AL231" s="80"/>
      <c r="AN231" s="606">
        <f>36000*0.00689476</f>
        <v>248.21135999999998</v>
      </c>
      <c r="AO231" s="559">
        <f t="shared" si="106"/>
        <v>0.76923076923076927</v>
      </c>
      <c r="AQ231" s="559">
        <f t="shared" si="107"/>
        <v>0.5947977344575035</v>
      </c>
      <c r="AR231" s="581">
        <f t="shared" si="112"/>
        <v>912.06627041910292</v>
      </c>
      <c r="AS231" s="559"/>
      <c r="AT231" s="675">
        <f t="shared" si="103"/>
        <v>0.27214180378136837</v>
      </c>
      <c r="AU231" s="649">
        <f t="shared" si="101"/>
        <v>0.76923076923076927</v>
      </c>
      <c r="AV231" s="796">
        <f t="shared" si="113"/>
        <v>1.2040133779264214E-3</v>
      </c>
      <c r="AX231" s="5"/>
      <c r="AZ231" s="773">
        <v>1933</v>
      </c>
      <c r="BA231" s="293"/>
      <c r="BB231" s="42"/>
      <c r="BC231" s="45"/>
    </row>
    <row r="232" spans="1:55">
      <c r="A232" s="145"/>
      <c r="B232" s="991"/>
      <c r="C232" s="956"/>
      <c r="D232" s="871"/>
      <c r="E232" s="899"/>
      <c r="F232" s="871"/>
      <c r="G232" s="871"/>
      <c r="H232" s="871"/>
      <c r="I232" s="882"/>
      <c r="J232" s="221"/>
      <c r="K232" s="35"/>
      <c r="L232" s="451">
        <v>513</v>
      </c>
      <c r="M232" s="46">
        <f t="shared" si="114"/>
        <v>0.34799573998344163</v>
      </c>
      <c r="N232" s="66">
        <f t="shared" si="115"/>
        <v>49.361097869991724</v>
      </c>
      <c r="O232" s="63">
        <f>19.98*25.4</f>
        <v>507.49199999999996</v>
      </c>
      <c r="P232" s="27">
        <f t="shared" si="95"/>
        <v>0.86325469387375575</v>
      </c>
      <c r="Q232" s="63">
        <f>1/0.00705</f>
        <v>141.84397163120568</v>
      </c>
      <c r="R232" s="35"/>
      <c r="S232" s="871"/>
      <c r="T232" s="778" t="s">
        <v>163</v>
      </c>
      <c r="U232" s="471"/>
      <c r="V232" s="425">
        <f t="shared" si="104"/>
        <v>206153.32399999999</v>
      </c>
      <c r="W232" s="9">
        <f t="shared" si="111"/>
        <v>322.67476799999997</v>
      </c>
      <c r="X232" s="785"/>
      <c r="Y232" s="785"/>
      <c r="Z232" s="882"/>
      <c r="AA232" s="1028"/>
      <c r="AB232" s="871"/>
      <c r="AC232" s="778" t="s">
        <v>524</v>
      </c>
      <c r="AD232" s="882"/>
      <c r="AE232" s="35"/>
      <c r="AF232" s="471"/>
      <c r="AG232" s="471"/>
      <c r="AH232" s="782"/>
      <c r="AI232" s="782"/>
      <c r="AJ232" s="788"/>
      <c r="AK232" s="697"/>
      <c r="AL232" s="80"/>
      <c r="AN232" s="606">
        <f>54000*0.00689476</f>
        <v>372.31703999999996</v>
      </c>
      <c r="AO232" s="559">
        <f t="shared" si="106"/>
        <v>1.1538461538461537</v>
      </c>
      <c r="AQ232" s="559">
        <f t="shared" si="107"/>
        <v>0.60566633621786048</v>
      </c>
      <c r="AR232" s="581">
        <f t="shared" si="112"/>
        <v>879.62615683374509</v>
      </c>
      <c r="AS232" s="559"/>
      <c r="AT232" s="675">
        <f t="shared" si="103"/>
        <v>0.423267358647192</v>
      </c>
      <c r="AU232" s="649">
        <f t="shared" si="101"/>
        <v>1.1538461538461537</v>
      </c>
      <c r="AV232" s="796">
        <f t="shared" si="113"/>
        <v>1.806020066889632E-3</v>
      </c>
      <c r="AX232" s="5"/>
      <c r="AZ232" s="773">
        <v>1933</v>
      </c>
      <c r="BA232" s="293"/>
      <c r="BB232" s="42"/>
      <c r="BC232" s="45"/>
    </row>
    <row r="233" spans="1:55">
      <c r="A233" s="145"/>
      <c r="B233" s="991"/>
      <c r="C233" s="956"/>
      <c r="D233" s="871"/>
      <c r="E233" s="899"/>
      <c r="F233" s="871"/>
      <c r="G233" s="871"/>
      <c r="H233" s="871"/>
      <c r="I233" s="882"/>
      <c r="J233" s="221"/>
      <c r="K233" s="35"/>
      <c r="L233" s="451">
        <v>514</v>
      </c>
      <c r="M233" s="46">
        <f t="shared" si="114"/>
        <v>0.34254711248030667</v>
      </c>
      <c r="N233" s="66">
        <f t="shared" si="115"/>
        <v>49.358373556240153</v>
      </c>
      <c r="O233" s="63">
        <f>2.5*25.4</f>
        <v>63.5</v>
      </c>
      <c r="P233" s="27">
        <f t="shared" si="95"/>
        <v>0.10717478476647413</v>
      </c>
      <c r="Q233" s="63">
        <f>1/0.00694</f>
        <v>144.09221902017291</v>
      </c>
      <c r="R233" s="35"/>
      <c r="S233" s="871"/>
      <c r="T233" s="778" t="s">
        <v>163</v>
      </c>
      <c r="U233" s="471"/>
      <c r="V233" s="425">
        <f t="shared" si="104"/>
        <v>206153.32399999999</v>
      </c>
      <c r="W233" s="9">
        <f t="shared" si="111"/>
        <v>322.67476799999997</v>
      </c>
      <c r="X233" s="785"/>
      <c r="Y233" s="785"/>
      <c r="Z233" s="882"/>
      <c r="AA233" s="1028"/>
      <c r="AB233" s="871"/>
      <c r="AC233" s="778" t="s">
        <v>524</v>
      </c>
      <c r="AD233" s="882"/>
      <c r="AE233" s="35"/>
      <c r="AF233" s="471"/>
      <c r="AG233" s="471"/>
      <c r="AH233" s="782"/>
      <c r="AI233" s="782"/>
      <c r="AJ233" s="788"/>
      <c r="AK233" s="697"/>
      <c r="AL233" s="80"/>
      <c r="AN233" s="606">
        <f>51300*0.00689476</f>
        <v>353.701188</v>
      </c>
      <c r="AO233" s="559">
        <f t="shared" si="106"/>
        <v>1.0961538461538463</v>
      </c>
      <c r="AQ233" s="559">
        <f t="shared" si="107"/>
        <v>0.61044741485387466</v>
      </c>
      <c r="AR233" s="581">
        <f t="shared" si="112"/>
        <v>865.90149339378604</v>
      </c>
      <c r="AS233" s="559"/>
      <c r="AT233" s="675">
        <f t="shared" si="103"/>
        <v>0.40847739690771884</v>
      </c>
      <c r="AU233" s="649">
        <f t="shared" si="101"/>
        <v>1.0961538461538463</v>
      </c>
      <c r="AV233" s="796">
        <f t="shared" si="113"/>
        <v>1.7157190635451506E-3</v>
      </c>
      <c r="AX233" s="5"/>
      <c r="AZ233" s="773">
        <v>1933</v>
      </c>
      <c r="BA233" s="293"/>
      <c r="BB233" s="42"/>
      <c r="BC233" s="45"/>
    </row>
    <row r="234" spans="1:55">
      <c r="A234" s="145"/>
      <c r="B234" s="991"/>
      <c r="C234" s="956"/>
      <c r="D234" s="871"/>
      <c r="E234" s="899"/>
      <c r="F234" s="871"/>
      <c r="G234" s="871"/>
      <c r="H234" s="871"/>
      <c r="I234" s="882"/>
      <c r="J234" s="221"/>
      <c r="K234" s="35"/>
      <c r="L234" s="451">
        <v>515</v>
      </c>
      <c r="M234" s="46">
        <f t="shared" si="114"/>
        <v>0.35047258768628636</v>
      </c>
      <c r="N234" s="66">
        <f t="shared" si="115"/>
        <v>49.362336293843143</v>
      </c>
      <c r="O234" s="63">
        <f>6.49*25.4</f>
        <v>164.846</v>
      </c>
      <c r="P234" s="27">
        <f t="shared" si="95"/>
        <v>0.28139208753015998</v>
      </c>
      <c r="Q234" s="63">
        <f>1/0.0071</f>
        <v>140.8450704225352</v>
      </c>
      <c r="R234" s="35"/>
      <c r="S234" s="871"/>
      <c r="T234" s="778" t="s">
        <v>163</v>
      </c>
      <c r="U234" s="471"/>
      <c r="V234" s="425">
        <f t="shared" si="104"/>
        <v>206153.32399999999</v>
      </c>
      <c r="W234" s="9">
        <f t="shared" si="111"/>
        <v>322.67476799999997</v>
      </c>
      <c r="X234" s="785"/>
      <c r="Y234" s="785"/>
      <c r="Z234" s="882"/>
      <c r="AA234" s="1028"/>
      <c r="AB234" s="871"/>
      <c r="AC234" s="778" t="s">
        <v>524</v>
      </c>
      <c r="AD234" s="882"/>
      <c r="AE234" s="35"/>
      <c r="AF234" s="471"/>
      <c r="AG234" s="471"/>
      <c r="AH234" s="782"/>
      <c r="AI234" s="782"/>
      <c r="AJ234" s="788"/>
      <c r="AK234" s="697"/>
      <c r="AL234" s="80"/>
      <c r="AN234" s="606">
        <f>52600*0.00689476</f>
        <v>362.664376</v>
      </c>
      <c r="AO234" s="559">
        <f t="shared" si="106"/>
        <v>1.1239316239316239</v>
      </c>
      <c r="AQ234" s="559">
        <f t="shared" si="107"/>
        <v>0.60352994036777496</v>
      </c>
      <c r="AR234" s="581">
        <f t="shared" si="112"/>
        <v>885.8646402155448</v>
      </c>
      <c r="AS234" s="559"/>
      <c r="AT234" s="675">
        <f t="shared" si="103"/>
        <v>0.4093902832737043</v>
      </c>
      <c r="AU234" s="649">
        <f t="shared" si="101"/>
        <v>1.1239316239316239</v>
      </c>
      <c r="AV234" s="796">
        <f t="shared" si="113"/>
        <v>1.7591973244147159E-3</v>
      </c>
      <c r="AX234" s="5"/>
      <c r="AZ234" s="773">
        <v>1933</v>
      </c>
      <c r="BA234" s="293"/>
      <c r="BB234" s="42"/>
      <c r="BC234" s="45"/>
    </row>
    <row r="235" spans="1:55">
      <c r="A235" s="145"/>
      <c r="B235" s="991"/>
      <c r="C235" s="956"/>
      <c r="D235" s="871"/>
      <c r="E235" s="899"/>
      <c r="F235" s="871"/>
      <c r="G235" s="871"/>
      <c r="H235" s="871"/>
      <c r="I235" s="882"/>
      <c r="J235" s="221"/>
      <c r="K235" s="35"/>
      <c r="L235" s="451">
        <v>516</v>
      </c>
      <c r="M235" s="46">
        <f t="shared" si="114"/>
        <v>0.35542665596146128</v>
      </c>
      <c r="N235" s="66">
        <f t="shared" si="115"/>
        <v>49.364813327980734</v>
      </c>
      <c r="O235" s="63">
        <f>10.49*25.4</f>
        <v>266.44599999999997</v>
      </c>
      <c r="P235" s="27">
        <f t="shared" si="95"/>
        <v>0.45799206532375852</v>
      </c>
      <c r="Q235" s="63">
        <f>1/0.0072</f>
        <v>138.88888888888889</v>
      </c>
      <c r="R235" s="35"/>
      <c r="S235" s="871"/>
      <c r="T235" s="778" t="s">
        <v>163</v>
      </c>
      <c r="U235" s="471"/>
      <c r="V235" s="425">
        <f t="shared" si="104"/>
        <v>206153.32399999999</v>
      </c>
      <c r="W235" s="9">
        <f t="shared" si="111"/>
        <v>322.67476799999997</v>
      </c>
      <c r="X235" s="785"/>
      <c r="Y235" s="785"/>
      <c r="Z235" s="882"/>
      <c r="AA235" s="1028"/>
      <c r="AB235" s="871"/>
      <c r="AC235" s="778" t="s">
        <v>524</v>
      </c>
      <c r="AD235" s="882"/>
      <c r="AE235" s="35"/>
      <c r="AF235" s="471"/>
      <c r="AG235" s="471"/>
      <c r="AH235" s="782"/>
      <c r="AI235" s="782"/>
      <c r="AJ235" s="788"/>
      <c r="AK235" s="697"/>
      <c r="AL235" s="80"/>
      <c r="AN235" s="606">
        <f>50600*0.00689476</f>
        <v>348.87485599999997</v>
      </c>
      <c r="AO235" s="559">
        <f t="shared" si="106"/>
        <v>1.0811965811965811</v>
      </c>
      <c r="AQ235" s="559">
        <f t="shared" si="107"/>
        <v>0.59932410557114979</v>
      </c>
      <c r="AR235" s="581">
        <f t="shared" si="112"/>
        <v>898.34160697914399</v>
      </c>
      <c r="AS235" s="559"/>
      <c r="AT235" s="675">
        <f t="shared" si="103"/>
        <v>0.38835433346248149</v>
      </c>
      <c r="AU235" s="649">
        <f t="shared" si="101"/>
        <v>1.0811965811965811</v>
      </c>
      <c r="AV235" s="796">
        <f t="shared" si="113"/>
        <v>1.6923076923076922E-3</v>
      </c>
      <c r="AX235" s="5"/>
      <c r="AZ235" s="773">
        <v>1933</v>
      </c>
      <c r="BA235" s="293"/>
      <c r="BB235" s="42"/>
      <c r="BC235" s="45"/>
    </row>
    <row r="236" spans="1:55">
      <c r="A236" s="145"/>
      <c r="B236" s="991"/>
      <c r="C236" s="956"/>
      <c r="D236" s="871"/>
      <c r="E236" s="899"/>
      <c r="F236" s="871"/>
      <c r="G236" s="871"/>
      <c r="H236" s="871"/>
      <c r="I236" s="882"/>
      <c r="J236" s="221"/>
      <c r="K236" s="35"/>
      <c r="L236" s="451">
        <v>517</v>
      </c>
      <c r="M236" s="46">
        <f t="shared" si="114"/>
        <v>0.35542665596146128</v>
      </c>
      <c r="N236" s="66">
        <f t="shared" si="115"/>
        <v>49.364813327980734</v>
      </c>
      <c r="O236" s="63">
        <f>20*25.4</f>
        <v>508</v>
      </c>
      <c r="P236" s="27">
        <f t="shared" si="95"/>
        <v>0.87319745533605064</v>
      </c>
      <c r="Q236" s="63">
        <f>1/0.0072</f>
        <v>138.88888888888889</v>
      </c>
      <c r="R236" s="35"/>
      <c r="S236" s="871"/>
      <c r="T236" s="778" t="s">
        <v>163</v>
      </c>
      <c r="U236" s="471"/>
      <c r="V236" s="425">
        <f t="shared" si="104"/>
        <v>206153.32399999999</v>
      </c>
      <c r="W236" s="9">
        <f t="shared" si="111"/>
        <v>322.67476799999997</v>
      </c>
      <c r="X236" s="785"/>
      <c r="Y236" s="785"/>
      <c r="Z236" s="882"/>
      <c r="AA236" s="1028"/>
      <c r="AB236" s="871"/>
      <c r="AC236" s="778" t="s">
        <v>524</v>
      </c>
      <c r="AD236" s="882"/>
      <c r="AE236" s="35"/>
      <c r="AF236" s="471"/>
      <c r="AG236" s="471"/>
      <c r="AH236" s="782"/>
      <c r="AI236" s="782"/>
      <c r="AJ236" s="788"/>
      <c r="AK236" s="697"/>
      <c r="AL236" s="80"/>
      <c r="AN236" s="606">
        <f>39600*0.00689476</f>
        <v>273.03249599999998</v>
      </c>
      <c r="AO236" s="559">
        <f t="shared" si="106"/>
        <v>0.84615384615384615</v>
      </c>
      <c r="AQ236" s="559">
        <f t="shared" si="107"/>
        <v>0.59932410557114979</v>
      </c>
      <c r="AR236" s="581">
        <f t="shared" si="112"/>
        <v>898.34160697914399</v>
      </c>
      <c r="AS236" s="559"/>
      <c r="AT236" s="675">
        <f t="shared" si="103"/>
        <v>0.30392947836194206</v>
      </c>
      <c r="AU236" s="649">
        <f t="shared" si="101"/>
        <v>0.84615384615384615</v>
      </c>
      <c r="AV236" s="796">
        <f t="shared" si="113"/>
        <v>1.3244147157190635E-3</v>
      </c>
      <c r="AX236" s="5"/>
      <c r="AZ236" s="773">
        <v>1933</v>
      </c>
      <c r="BA236" s="293"/>
      <c r="BB236" s="42"/>
      <c r="BC236" s="45"/>
    </row>
    <row r="237" spans="1:55" ht="15.95" customHeight="1">
      <c r="A237" s="145"/>
      <c r="B237" s="991"/>
      <c r="C237" s="956"/>
      <c r="D237" s="871"/>
      <c r="E237" s="899"/>
      <c r="F237" s="871"/>
      <c r="G237" s="871"/>
      <c r="H237" s="871"/>
      <c r="I237" s="882"/>
      <c r="J237" s="221"/>
      <c r="K237" s="35"/>
      <c r="L237" s="451">
        <v>610</v>
      </c>
      <c r="M237" s="46">
        <f>(1/Q237)*CONVERT(13.64/2,"in","mm")/(1-(1/Q237)/2)</f>
        <v>0.36242525439083834</v>
      </c>
      <c r="N237" s="66">
        <f>CONVERT(13.64/2,"in","mm")+M237/2</f>
        <v>173.40921262719539</v>
      </c>
      <c r="O237" s="63">
        <f>10.49*25.4</f>
        <v>266.44599999999997</v>
      </c>
      <c r="P237" s="27">
        <f t="shared" si="95"/>
        <v>7.0244153225193298E-2</v>
      </c>
      <c r="Q237" s="63">
        <f>1/0.00209</f>
        <v>478.46889952153111</v>
      </c>
      <c r="R237" s="35"/>
      <c r="S237" s="871" t="s">
        <v>221</v>
      </c>
      <c r="T237" s="778" t="s">
        <v>163</v>
      </c>
      <c r="U237" s="471"/>
      <c r="V237" s="425">
        <f>29000000*0.00689476</f>
        <v>199948.03999999998</v>
      </c>
      <c r="W237" s="471">
        <f t="shared" ref="W237:W244" si="116">42900*0.00689476</f>
        <v>295.78520399999996</v>
      </c>
      <c r="X237" s="785"/>
      <c r="Y237" s="785"/>
      <c r="Z237" s="882" t="s">
        <v>974</v>
      </c>
      <c r="AA237" s="1028"/>
      <c r="AB237" s="871"/>
      <c r="AC237" s="778" t="s">
        <v>524</v>
      </c>
      <c r="AD237" s="882" t="s">
        <v>222</v>
      </c>
      <c r="AE237" s="35"/>
      <c r="AF237" s="471"/>
      <c r="AG237" s="471"/>
      <c r="AH237" s="782"/>
      <c r="AI237" s="782"/>
      <c r="AJ237" s="788"/>
      <c r="AK237" s="697"/>
      <c r="AL237" s="80" t="s">
        <v>223</v>
      </c>
      <c r="AN237" s="606">
        <f>14700*0.00689476</f>
        <v>101.35297199999999</v>
      </c>
      <c r="AO237" s="559">
        <f t="shared" ref="AO237:AO244" si="117">AN237/$W$237</f>
        <v>0.34265734265734266</v>
      </c>
      <c r="AQ237" s="559">
        <f t="shared" ref="AQ237:AQ244" si="118">SQRT($W$237/AR237)</f>
        <v>1.0814268940158085</v>
      </c>
      <c r="AR237" s="581">
        <f t="shared" ref="AR237:AR244" si="119">$V$237/SQRT(3*(1-0.3^2))*1/Q237</f>
        <v>252.91938312433069</v>
      </c>
      <c r="AS237" s="559"/>
      <c r="AT237" s="675">
        <f t="shared" si="103"/>
        <v>0.40073232327226049</v>
      </c>
      <c r="AU237" s="649">
        <f t="shared" si="101"/>
        <v>0.34265734265734266</v>
      </c>
      <c r="AV237" s="796">
        <f t="shared" ref="AV237:AV244" si="120">AN237/$V$237</f>
        <v>5.0689655172413801E-4</v>
      </c>
      <c r="AX237" s="5"/>
      <c r="AZ237" s="773">
        <v>1933</v>
      </c>
      <c r="BA237" s="293"/>
      <c r="BB237" s="42"/>
      <c r="BC237" s="44"/>
    </row>
    <row r="238" spans="1:55">
      <c r="A238" s="145"/>
      <c r="B238" s="991"/>
      <c r="C238" s="956"/>
      <c r="D238" s="871"/>
      <c r="E238" s="899"/>
      <c r="F238" s="871"/>
      <c r="G238" s="871"/>
      <c r="H238" s="871"/>
      <c r="I238" s="882"/>
      <c r="J238" s="221"/>
      <c r="K238" s="35"/>
      <c r="L238" s="451">
        <v>611</v>
      </c>
      <c r="M238" s="46">
        <f>(1/Q238)*CONVERT(13.64/2,"in","mm")/(1-(1/Q238)/2)</f>
        <v>0.84219813046638092</v>
      </c>
      <c r="N238" s="66">
        <f>CONVERT(13.64/2,"in","mm")+M238/2</f>
        <v>173.64909906523317</v>
      </c>
      <c r="O238" s="63">
        <f>10.49*25.4</f>
        <v>266.44599999999997</v>
      </c>
      <c r="P238" s="27">
        <f t="shared" ref="P238:P296" si="121">O238/N238*SQRT(M238/N238)</f>
        <v>0.10685812258399512</v>
      </c>
      <c r="Q238" s="63">
        <f>1/0.00485</f>
        <v>206.18556701030928</v>
      </c>
      <c r="R238" s="35"/>
      <c r="S238" s="871"/>
      <c r="T238" s="778" t="s">
        <v>163</v>
      </c>
      <c r="U238" s="471"/>
      <c r="V238" s="425">
        <f t="shared" ref="V238:V243" si="122">29000000*0.00689476</f>
        <v>199948.03999999998</v>
      </c>
      <c r="W238" s="471">
        <f t="shared" si="116"/>
        <v>295.78520399999996</v>
      </c>
      <c r="X238" s="785"/>
      <c r="Y238" s="785"/>
      <c r="Z238" s="882"/>
      <c r="AA238" s="1028"/>
      <c r="AB238" s="871"/>
      <c r="AC238" s="778" t="s">
        <v>524</v>
      </c>
      <c r="AD238" s="882"/>
      <c r="AE238" s="35"/>
      <c r="AF238" s="471"/>
      <c r="AG238" s="471"/>
      <c r="AH238" s="782"/>
      <c r="AI238" s="782"/>
      <c r="AJ238" s="788"/>
      <c r="AK238" s="697"/>
      <c r="AL238" s="80"/>
      <c r="AN238" s="606">
        <f>31400*0.00689476</f>
        <v>216.495464</v>
      </c>
      <c r="AO238" s="559">
        <f t="shared" si="117"/>
        <v>0.73193473193473202</v>
      </c>
      <c r="AQ238" s="559">
        <f t="shared" si="118"/>
        <v>0.70990369982036505</v>
      </c>
      <c r="AR238" s="581">
        <f t="shared" si="119"/>
        <v>586.91818571914064</v>
      </c>
      <c r="AS238" s="559"/>
      <c r="AT238" s="675">
        <f t="shared" si="103"/>
        <v>0.36886821582250323</v>
      </c>
      <c r="AU238" s="649">
        <f t="shared" si="101"/>
        <v>0.73193473193473202</v>
      </c>
      <c r="AV238" s="796">
        <f t="shared" si="120"/>
        <v>1.0827586206896553E-3</v>
      </c>
      <c r="AX238" s="5"/>
      <c r="AZ238" s="773">
        <v>1933</v>
      </c>
      <c r="BA238" s="293"/>
      <c r="BB238" s="42"/>
      <c r="BC238" s="44"/>
    </row>
    <row r="239" spans="1:55">
      <c r="A239" s="145"/>
      <c r="B239" s="991"/>
      <c r="C239" s="956"/>
      <c r="D239" s="871"/>
      <c r="E239" s="899"/>
      <c r="F239" s="871"/>
      <c r="G239" s="871"/>
      <c r="H239" s="871"/>
      <c r="I239" s="882"/>
      <c r="J239" s="221"/>
      <c r="K239" s="35"/>
      <c r="L239" s="451">
        <v>612</v>
      </c>
      <c r="M239" s="46">
        <f t="shared" ref="M239:M244" si="123">(1/Q239)*CONVERT(13.64/2,"in","mm")/(1-(1/Q239)/2)</f>
        <v>0.52567724102014557</v>
      </c>
      <c r="N239" s="66">
        <f t="shared" ref="N239:N244" si="124">CONVERT(13.64/2,"in","mm")+M239/2</f>
        <v>173.49083862051006</v>
      </c>
      <c r="O239" s="63">
        <f>10.52*25.4</f>
        <v>267.20799999999997</v>
      </c>
      <c r="P239" s="27">
        <f t="shared" si="121"/>
        <v>8.4780158539469061E-2</v>
      </c>
      <c r="Q239" s="63">
        <f>1/0.00303</f>
        <v>330.03300330032999</v>
      </c>
      <c r="R239" s="35"/>
      <c r="S239" s="871"/>
      <c r="T239" s="778" t="s">
        <v>163</v>
      </c>
      <c r="U239" s="471"/>
      <c r="V239" s="425">
        <f t="shared" si="122"/>
        <v>199948.03999999998</v>
      </c>
      <c r="W239" s="471">
        <f t="shared" si="116"/>
        <v>295.78520399999996</v>
      </c>
      <c r="X239" s="785"/>
      <c r="Y239" s="785"/>
      <c r="Z239" s="882"/>
      <c r="AA239" s="1028"/>
      <c r="AB239" s="871"/>
      <c r="AC239" s="778" t="s">
        <v>524</v>
      </c>
      <c r="AD239" s="882"/>
      <c r="AE239" s="35"/>
      <c r="AF239" s="471"/>
      <c r="AG239" s="471"/>
      <c r="AH239" s="782"/>
      <c r="AI239" s="782"/>
      <c r="AJ239" s="788"/>
      <c r="AK239" s="697"/>
      <c r="AL239" s="80"/>
      <c r="AN239" s="606">
        <f>23000*0.00689476</f>
        <v>158.57947999999999</v>
      </c>
      <c r="AO239" s="559">
        <f t="shared" si="117"/>
        <v>0.53613053613053618</v>
      </c>
      <c r="AQ239" s="559">
        <f t="shared" si="118"/>
        <v>0.89815024903872442</v>
      </c>
      <c r="AR239" s="581">
        <f t="shared" si="119"/>
        <v>366.67259850082394</v>
      </c>
      <c r="AS239" s="450"/>
      <c r="AT239" s="675">
        <f t="shared" si="103"/>
        <v>0.43248249432427566</v>
      </c>
      <c r="AU239" s="649">
        <f t="shared" si="101"/>
        <v>0.53613053613053618</v>
      </c>
      <c r="AV239" s="796">
        <f t="shared" si="120"/>
        <v>7.9310344827586215E-4</v>
      </c>
      <c r="AX239" s="5"/>
      <c r="AZ239" s="773">
        <v>1933</v>
      </c>
      <c r="BA239" s="293"/>
      <c r="BB239" s="42"/>
      <c r="BC239" s="44"/>
    </row>
    <row r="240" spans="1:55">
      <c r="A240" s="145"/>
      <c r="B240" s="991"/>
      <c r="C240" s="956"/>
      <c r="D240" s="871"/>
      <c r="E240" s="899"/>
      <c r="F240" s="871"/>
      <c r="G240" s="871"/>
      <c r="H240" s="871"/>
      <c r="I240" s="882"/>
      <c r="J240" s="221"/>
      <c r="K240" s="35"/>
      <c r="L240" s="451">
        <v>613</v>
      </c>
      <c r="M240" s="46">
        <f t="shared" si="123"/>
        <v>0.39888311558292033</v>
      </c>
      <c r="N240" s="66">
        <f t="shared" si="124"/>
        <v>173.42744155779144</v>
      </c>
      <c r="O240" s="63">
        <f>10.5*25.4</f>
        <v>266.7</v>
      </c>
      <c r="P240" s="27">
        <f t="shared" si="121"/>
        <v>7.3751204294926029E-2</v>
      </c>
      <c r="Q240" s="63">
        <f>1/0.0023</f>
        <v>434.78260869565219</v>
      </c>
      <c r="R240" s="35"/>
      <c r="S240" s="871"/>
      <c r="T240" s="778" t="s">
        <v>163</v>
      </c>
      <c r="U240" s="471"/>
      <c r="V240" s="425">
        <f t="shared" si="122"/>
        <v>199948.03999999998</v>
      </c>
      <c r="W240" s="471">
        <f t="shared" si="116"/>
        <v>295.78520399999996</v>
      </c>
      <c r="X240" s="785"/>
      <c r="Y240" s="785"/>
      <c r="Z240" s="882"/>
      <c r="AA240" s="1028"/>
      <c r="AB240" s="871"/>
      <c r="AC240" s="778" t="s">
        <v>524</v>
      </c>
      <c r="AD240" s="882"/>
      <c r="AE240" s="35"/>
      <c r="AF240" s="471"/>
      <c r="AG240" s="471"/>
      <c r="AH240" s="782"/>
      <c r="AI240" s="782"/>
      <c r="AJ240" s="788"/>
      <c r="AK240" s="697"/>
      <c r="AL240" s="80"/>
      <c r="AN240" s="606">
        <f>22100*0.00689476</f>
        <v>152.37419599999998</v>
      </c>
      <c r="AO240" s="559">
        <f t="shared" si="117"/>
        <v>0.51515151515151514</v>
      </c>
      <c r="AQ240" s="559">
        <f t="shared" si="118"/>
        <v>1.0308759098857585</v>
      </c>
      <c r="AR240" s="581">
        <f t="shared" si="119"/>
        <v>278.3323354956749</v>
      </c>
      <c r="AS240" s="450"/>
      <c r="AT240" s="675">
        <f t="shared" si="103"/>
        <v>0.54745416384568002</v>
      </c>
      <c r="AU240" s="649">
        <f t="shared" si="101"/>
        <v>0.51515151515151514</v>
      </c>
      <c r="AV240" s="796">
        <f t="shared" si="120"/>
        <v>7.6206896551724143E-4</v>
      </c>
      <c r="AX240" s="5"/>
      <c r="AZ240" s="773">
        <v>1933</v>
      </c>
      <c r="BA240" s="293"/>
      <c r="BB240" s="42"/>
      <c r="BC240" s="44"/>
    </row>
    <row r="241" spans="1:55">
      <c r="A241" s="145"/>
      <c r="B241" s="991"/>
      <c r="C241" s="956"/>
      <c r="D241" s="871"/>
      <c r="E241" s="899"/>
      <c r="F241" s="871"/>
      <c r="G241" s="871"/>
      <c r="H241" s="871"/>
      <c r="I241" s="882"/>
      <c r="J241" s="221"/>
      <c r="K241" s="35"/>
      <c r="L241" s="451">
        <v>614</v>
      </c>
      <c r="M241" s="46">
        <f t="shared" si="123"/>
        <v>0.22707741570728823</v>
      </c>
      <c r="N241" s="66">
        <f t="shared" si="124"/>
        <v>173.34153870785363</v>
      </c>
      <c r="O241" s="63">
        <f>10.5*25.4</f>
        <v>266.7</v>
      </c>
      <c r="P241" s="27">
        <f t="shared" si="121"/>
        <v>5.5687281347272938E-2</v>
      </c>
      <c r="Q241" s="63">
        <f>1/0.00131</f>
        <v>763.35877862595419</v>
      </c>
      <c r="R241" s="35"/>
      <c r="S241" s="871"/>
      <c r="T241" s="778" t="s">
        <v>163</v>
      </c>
      <c r="U241" s="471"/>
      <c r="V241" s="425">
        <f t="shared" si="122"/>
        <v>199948.03999999998</v>
      </c>
      <c r="W241" s="471">
        <f t="shared" si="116"/>
        <v>295.78520399999996</v>
      </c>
      <c r="X241" s="785"/>
      <c r="Y241" s="785"/>
      <c r="Z241" s="882"/>
      <c r="AA241" s="1028"/>
      <c r="AB241" s="871"/>
      <c r="AC241" s="778" t="s">
        <v>524</v>
      </c>
      <c r="AD241" s="882"/>
      <c r="AE241" s="35"/>
      <c r="AF241" s="471"/>
      <c r="AG241" s="471"/>
      <c r="AH241" s="782"/>
      <c r="AI241" s="782"/>
      <c r="AJ241" s="788"/>
      <c r="AK241" s="697"/>
      <c r="AL241" s="80"/>
      <c r="AN241" s="606">
        <f>8010*0.00689476</f>
        <v>55.2270276</v>
      </c>
      <c r="AO241" s="559">
        <f t="shared" si="117"/>
        <v>0.18671328671328674</v>
      </c>
      <c r="AQ241" s="559">
        <f t="shared" si="118"/>
        <v>1.3659495552588206</v>
      </c>
      <c r="AR241" s="581">
        <f t="shared" si="119"/>
        <v>158.52841717362355</v>
      </c>
      <c r="AS241" s="450"/>
      <c r="AT241" s="675">
        <f t="shared" si="103"/>
        <v>0.34837304619975001</v>
      </c>
      <c r="AU241" s="649">
        <f t="shared" si="101"/>
        <v>0.18671328671328674</v>
      </c>
      <c r="AV241" s="796">
        <f t="shared" si="120"/>
        <v>2.7620689655172417E-4</v>
      </c>
      <c r="AX241" s="5"/>
      <c r="AZ241" s="773">
        <v>1933</v>
      </c>
      <c r="BA241" s="293"/>
      <c r="BB241" s="42"/>
      <c r="BC241" s="44"/>
    </row>
    <row r="242" spans="1:55">
      <c r="A242" s="145"/>
      <c r="B242" s="991"/>
      <c r="C242" s="956"/>
      <c r="D242" s="871"/>
      <c r="E242" s="899"/>
      <c r="F242" s="871"/>
      <c r="G242" s="871"/>
      <c r="H242" s="871"/>
      <c r="I242" s="882"/>
      <c r="J242" s="221"/>
      <c r="K242" s="35"/>
      <c r="L242" s="451">
        <v>615</v>
      </c>
      <c r="M242" s="46">
        <f t="shared" si="123"/>
        <v>0.33985994274388898</v>
      </c>
      <c r="N242" s="66">
        <f t="shared" si="124"/>
        <v>173.39792997137192</v>
      </c>
      <c r="O242" s="63">
        <f>9.66*25.4</f>
        <v>245.36399999999998</v>
      </c>
      <c r="P242" s="27">
        <f t="shared" si="121"/>
        <v>6.2646234260854208E-2</v>
      </c>
      <c r="Q242" s="63">
        <f>1/0.00196</f>
        <v>510.20408163265307</v>
      </c>
      <c r="R242" s="35"/>
      <c r="S242" s="871"/>
      <c r="T242" s="778" t="s">
        <v>163</v>
      </c>
      <c r="U242" s="471"/>
      <c r="V242" s="425">
        <f t="shared" si="122"/>
        <v>199948.03999999998</v>
      </c>
      <c r="W242" s="471">
        <f t="shared" si="116"/>
        <v>295.78520399999996</v>
      </c>
      <c r="X242" s="785"/>
      <c r="Y242" s="785"/>
      <c r="Z242" s="882"/>
      <c r="AA242" s="1028"/>
      <c r="AB242" s="871"/>
      <c r="AC242" s="778" t="s">
        <v>524</v>
      </c>
      <c r="AD242" s="882"/>
      <c r="AE242" s="35"/>
      <c r="AF242" s="471"/>
      <c r="AG242" s="471"/>
      <c r="AH242" s="782"/>
      <c r="AI242" s="782"/>
      <c r="AJ242" s="788"/>
      <c r="AK242" s="697"/>
      <c r="AL242" s="80"/>
      <c r="AN242" s="606">
        <f>16590*0.00689476</f>
        <v>114.38406839999999</v>
      </c>
      <c r="AO242" s="559">
        <f t="shared" si="117"/>
        <v>0.3867132867132867</v>
      </c>
      <c r="AQ242" s="559">
        <f t="shared" si="118"/>
        <v>1.1167148032767167</v>
      </c>
      <c r="AR242" s="581">
        <f t="shared" si="119"/>
        <v>237.18755546587948</v>
      </c>
      <c r="AS242" s="450"/>
      <c r="AT242" s="675">
        <f t="shared" si="103"/>
        <v>0.48225155900497763</v>
      </c>
      <c r="AU242" s="649">
        <f t="shared" si="101"/>
        <v>0.3867132867132867</v>
      </c>
      <c r="AV242" s="796">
        <f t="shared" si="120"/>
        <v>5.7206896551724137E-4</v>
      </c>
      <c r="AX242" s="5"/>
      <c r="AZ242" s="773">
        <v>1933</v>
      </c>
      <c r="BA242" s="293"/>
      <c r="BB242" s="42"/>
      <c r="BC242" s="44"/>
    </row>
    <row r="243" spans="1:55">
      <c r="A243" s="145"/>
      <c r="B243" s="991"/>
      <c r="C243" s="956"/>
      <c r="D243" s="871"/>
      <c r="E243" s="899"/>
      <c r="F243" s="871"/>
      <c r="G243" s="871"/>
      <c r="H243" s="871"/>
      <c r="I243" s="882"/>
      <c r="J243" s="221"/>
      <c r="K243" s="35"/>
      <c r="L243" s="451">
        <v>616</v>
      </c>
      <c r="M243" s="46">
        <f t="shared" si="123"/>
        <v>0.51004007891600645</v>
      </c>
      <c r="N243" s="66">
        <f t="shared" si="124"/>
        <v>173.48302003945798</v>
      </c>
      <c r="O243" s="63">
        <f>10.46*25.4</f>
        <v>265.68400000000003</v>
      </c>
      <c r="P243" s="63">
        <f t="shared" si="121"/>
        <v>8.303899655237873E-2</v>
      </c>
      <c r="Q243" s="63">
        <f>1/0.00294</f>
        <v>340.13605442176873</v>
      </c>
      <c r="R243" s="35"/>
      <c r="S243" s="871"/>
      <c r="T243" s="778" t="s">
        <v>163</v>
      </c>
      <c r="U243" s="471"/>
      <c r="V243" s="425">
        <f t="shared" si="122"/>
        <v>199948.03999999998</v>
      </c>
      <c r="W243" s="471">
        <f t="shared" si="116"/>
        <v>295.78520399999996</v>
      </c>
      <c r="X243" s="785"/>
      <c r="Y243" s="785"/>
      <c r="Z243" s="882"/>
      <c r="AA243" s="1028"/>
      <c r="AB243" s="871"/>
      <c r="AC243" s="778" t="s">
        <v>524</v>
      </c>
      <c r="AD243" s="882"/>
      <c r="AE243" s="35"/>
      <c r="AF243" s="471"/>
      <c r="AG243" s="471"/>
      <c r="AH243" s="782"/>
      <c r="AI243" s="782"/>
      <c r="AJ243" s="788"/>
      <c r="AK243" s="697"/>
      <c r="AL243" s="80"/>
      <c r="AN243" s="606">
        <f>21800*0.00689476</f>
        <v>150.305768</v>
      </c>
      <c r="AO243" s="559">
        <f t="shared" si="117"/>
        <v>0.50815850815850827</v>
      </c>
      <c r="AQ243" s="559">
        <f t="shared" si="118"/>
        <v>0.91179381874681753</v>
      </c>
      <c r="AR243" s="581">
        <f t="shared" si="119"/>
        <v>355.7813331988192</v>
      </c>
      <c r="AS243" s="450"/>
      <c r="AT243" s="675">
        <f t="shared" si="103"/>
        <v>0.42246670630132671</v>
      </c>
      <c r="AU243" s="649">
        <f t="shared" si="101"/>
        <v>0.50815850815850827</v>
      </c>
      <c r="AV243" s="796">
        <f t="shared" si="120"/>
        <v>7.517241379310346E-4</v>
      </c>
      <c r="AX243" s="5"/>
      <c r="AZ243" s="773">
        <v>1933</v>
      </c>
      <c r="BA243" s="293"/>
      <c r="BB243" s="42"/>
      <c r="BC243" s="44"/>
    </row>
    <row r="244" spans="1:55">
      <c r="A244" s="145"/>
      <c r="B244" s="991"/>
      <c r="C244" s="956"/>
      <c r="D244" s="871"/>
      <c r="E244" s="899"/>
      <c r="F244" s="871"/>
      <c r="G244" s="871"/>
      <c r="H244" s="871"/>
      <c r="I244" s="882"/>
      <c r="J244" s="221"/>
      <c r="K244" s="231"/>
      <c r="L244" s="524">
        <v>617</v>
      </c>
      <c r="M244" s="64">
        <f t="shared" si="123"/>
        <v>0.73778679694350491</v>
      </c>
      <c r="N244" s="67">
        <f t="shared" si="124"/>
        <v>173.59689339847174</v>
      </c>
      <c r="O244" s="795">
        <f>10.5*25.4</f>
        <v>266.7</v>
      </c>
      <c r="P244" s="795">
        <f t="shared" si="121"/>
        <v>0.10015566796328701</v>
      </c>
      <c r="Q244" s="795">
        <f>1/0.00425</f>
        <v>235.29411764705881</v>
      </c>
      <c r="R244" s="231"/>
      <c r="S244" s="892"/>
      <c r="T244" s="780" t="s">
        <v>163</v>
      </c>
      <c r="U244" s="190"/>
      <c r="V244" s="426">
        <f>29000000*0.00689476</f>
        <v>199948.03999999998</v>
      </c>
      <c r="W244" s="190">
        <f t="shared" si="116"/>
        <v>295.78520399999996</v>
      </c>
      <c r="X244" s="39"/>
      <c r="Y244" s="39"/>
      <c r="Z244" s="893"/>
      <c r="AA244" s="1028"/>
      <c r="AB244" s="892"/>
      <c r="AC244" s="780" t="s">
        <v>524</v>
      </c>
      <c r="AD244" s="893"/>
      <c r="AE244" s="231"/>
      <c r="AF244" s="190"/>
      <c r="AG244" s="190"/>
      <c r="AH244" s="790"/>
      <c r="AI244" s="790"/>
      <c r="AJ244" s="507"/>
      <c r="AK244" s="714"/>
      <c r="AL244" s="190"/>
      <c r="AM244" s="40"/>
      <c r="AN244" s="610">
        <f>30300*0.00689476</f>
        <v>208.91122799999999</v>
      </c>
      <c r="AO244" s="611">
        <f t="shared" si="117"/>
        <v>0.70629370629370636</v>
      </c>
      <c r="AP244" s="583"/>
      <c r="AQ244" s="611">
        <f t="shared" si="118"/>
        <v>0.75836074384012342</v>
      </c>
      <c r="AR244" s="585">
        <f t="shared" si="119"/>
        <v>514.30975037244286</v>
      </c>
      <c r="AS244" s="623"/>
      <c r="AT244" s="676">
        <f t="shared" ref="AT244:AT278" si="125">AN244/AR244</f>
        <v>0.40619729229071527</v>
      </c>
      <c r="AU244" s="650">
        <f t="shared" si="101"/>
        <v>0.70629370629370636</v>
      </c>
      <c r="AV244" s="799">
        <f t="shared" si="120"/>
        <v>1.0448275862068967E-3</v>
      </c>
      <c r="AW244" s="40"/>
      <c r="AX244" s="40"/>
      <c r="AY244" s="288"/>
      <c r="AZ244" s="773">
        <v>1933</v>
      </c>
      <c r="BA244" s="293"/>
      <c r="BB244" s="44"/>
      <c r="BC244" s="44"/>
    </row>
    <row r="245" spans="1:55" ht="33.950000000000003" customHeight="1">
      <c r="A245" s="145"/>
      <c r="B245" s="991"/>
      <c r="C245" s="956"/>
      <c r="D245" s="871"/>
      <c r="E245" s="899"/>
      <c r="F245" s="871"/>
      <c r="G245" s="871"/>
      <c r="H245" s="871"/>
      <c r="I245" s="882"/>
      <c r="J245" s="221"/>
      <c r="K245" s="35" t="s">
        <v>95</v>
      </c>
      <c r="L245" s="451" t="s">
        <v>224</v>
      </c>
      <c r="M245" s="423">
        <f>N245/Q245</f>
        <v>6.0756800000000002</v>
      </c>
      <c r="N245" s="424">
        <f>80*25.4/2</f>
        <v>1016</v>
      </c>
      <c r="O245" s="6">
        <f>72*25.4</f>
        <v>1828.8</v>
      </c>
      <c r="P245" s="65">
        <f t="shared" si="121"/>
        <v>0.13919482749010467</v>
      </c>
      <c r="Q245" s="66">
        <f>1/0.00598</f>
        <v>167.22408026755852</v>
      </c>
      <c r="R245" s="35"/>
      <c r="S245" s="191"/>
      <c r="T245" s="778" t="s">
        <v>163</v>
      </c>
      <c r="U245" s="49"/>
      <c r="V245" s="427">
        <f>29100000*0.00689476</f>
        <v>200637.516</v>
      </c>
      <c r="W245" s="49">
        <f>35565*0.00689476</f>
        <v>245.21213939999998</v>
      </c>
      <c r="X245" s="785"/>
      <c r="Y245" s="785"/>
      <c r="AA245" s="1028" t="s">
        <v>225</v>
      </c>
      <c r="AB245" s="191" t="s">
        <v>226</v>
      </c>
      <c r="AC245" s="778" t="s">
        <v>870</v>
      </c>
      <c r="AD245" s="371"/>
      <c r="AE245" s="372"/>
      <c r="AF245" s="471"/>
      <c r="AG245" s="471"/>
      <c r="AH245" s="782"/>
      <c r="AI245" s="782"/>
      <c r="AJ245" s="788"/>
      <c r="AK245" s="697"/>
      <c r="AL245" s="191" t="s">
        <v>978</v>
      </c>
      <c r="AN245" s="606">
        <f>24230*0.00689476</f>
        <v>167.06003479999998</v>
      </c>
      <c r="AO245" s="559">
        <f t="shared" ref="AO245:AO269" si="126">AN245/W245</f>
        <v>0.68128778293265846</v>
      </c>
      <c r="AQ245" s="600">
        <f t="shared" ref="AQ245:AQ269" si="127">SQRT(W245/AR245)</f>
        <v>0.58110549445608406</v>
      </c>
      <c r="AR245" s="581">
        <f t="shared" ref="AR245:AR265" si="128">V245/SQRT(3*(1-0.3^2))*1/Q245</f>
        <v>726.15946564147475</v>
      </c>
      <c r="AS245" s="613"/>
      <c r="AT245" s="675">
        <f t="shared" si="125"/>
        <v>0.23005970823835847</v>
      </c>
      <c r="AU245" s="649">
        <f t="shared" si="101"/>
        <v>0.68128778293265846</v>
      </c>
      <c r="AV245" s="796">
        <f t="shared" ref="AV245:AV265" si="129">AN245/V245</f>
        <v>8.3264604810996548E-4</v>
      </c>
      <c r="AW245" s="191"/>
      <c r="AX245" s="5"/>
      <c r="AY245" s="422" t="s">
        <v>227</v>
      </c>
      <c r="AZ245" s="773">
        <v>1933</v>
      </c>
      <c r="BA245" s="293"/>
      <c r="BB245" s="42"/>
      <c r="BC245" s="44"/>
    </row>
    <row r="246" spans="1:55" ht="17.100000000000001" customHeight="1">
      <c r="A246" s="145"/>
      <c r="B246" s="991"/>
      <c r="C246" s="956"/>
      <c r="D246" s="871"/>
      <c r="E246" s="899"/>
      <c r="F246" s="871"/>
      <c r="G246" s="871"/>
      <c r="H246" s="871"/>
      <c r="I246" s="882"/>
      <c r="J246" s="221"/>
      <c r="K246" s="35"/>
      <c r="L246" s="451" t="s">
        <v>228</v>
      </c>
      <c r="M246" s="423">
        <f t="shared" ref="M246:M265" si="130">N246/Q246</f>
        <v>5.9029600000000002</v>
      </c>
      <c r="N246" s="424">
        <f>80*25.4/2</f>
        <v>1016</v>
      </c>
      <c r="O246" s="6">
        <f>72*25.4</f>
        <v>1828.8</v>
      </c>
      <c r="P246" s="65">
        <f t="shared" si="121"/>
        <v>0.13720204080114845</v>
      </c>
      <c r="Q246" s="66">
        <f>1/0.00581</f>
        <v>172.11703958691911</v>
      </c>
      <c r="R246" s="35"/>
      <c r="S246" s="471"/>
      <c r="T246" s="778" t="s">
        <v>163</v>
      </c>
      <c r="U246" s="49"/>
      <c r="V246" s="427">
        <f>28600000*0.00689476</f>
        <v>197190.136</v>
      </c>
      <c r="W246" s="49">
        <f>36085*0.00689476</f>
        <v>248.7974146</v>
      </c>
      <c r="X246" s="785"/>
      <c r="Y246" s="785"/>
      <c r="AA246" s="1028"/>
      <c r="AB246" s="471"/>
      <c r="AC246" s="778" t="s">
        <v>870</v>
      </c>
      <c r="AD246" s="408"/>
      <c r="AE246" s="372"/>
      <c r="AF246" s="471"/>
      <c r="AG246" s="471"/>
      <c r="AH246" s="782"/>
      <c r="AI246" s="782"/>
      <c r="AJ246" s="788"/>
      <c r="AK246" s="697"/>
      <c r="AL246" s="471"/>
      <c r="AN246" s="606">
        <f>23630*0.00689476</f>
        <v>162.92317879999999</v>
      </c>
      <c r="AO246" s="559">
        <f t="shared" si="126"/>
        <v>0.65484273243730073</v>
      </c>
      <c r="AQ246" s="600">
        <f t="shared" si="127"/>
        <v>0.59900842923715092</v>
      </c>
      <c r="AR246" s="581">
        <f t="shared" si="128"/>
        <v>693.39386596663155</v>
      </c>
      <c r="AS246" s="613"/>
      <c r="AT246" s="675">
        <f t="shared" si="125"/>
        <v>0.2349648400377404</v>
      </c>
      <c r="AU246" s="649">
        <f t="shared" si="101"/>
        <v>0.65484273243730073</v>
      </c>
      <c r="AV246" s="796">
        <f t="shared" si="129"/>
        <v>8.2622377622377618E-4</v>
      </c>
      <c r="AW246" s="471"/>
      <c r="AX246" s="5"/>
      <c r="AY246" s="369"/>
      <c r="AZ246" s="773">
        <v>1933</v>
      </c>
      <c r="BA246" s="293"/>
      <c r="BB246" s="42"/>
      <c r="BC246" s="44"/>
    </row>
    <row r="247" spans="1:55" ht="17.100000000000001" customHeight="1">
      <c r="A247" s="145"/>
      <c r="B247" s="991"/>
      <c r="C247" s="956"/>
      <c r="D247" s="871"/>
      <c r="E247" s="899"/>
      <c r="F247" s="871"/>
      <c r="G247" s="871"/>
      <c r="H247" s="871"/>
      <c r="I247" s="882"/>
      <c r="J247" s="221"/>
      <c r="K247" s="35"/>
      <c r="L247" s="451" t="s">
        <v>229</v>
      </c>
      <c r="M247" s="423">
        <f t="shared" si="130"/>
        <v>6.1467999999999998</v>
      </c>
      <c r="N247" s="424">
        <f>80*25.4/2</f>
        <v>1016</v>
      </c>
      <c r="O247" s="6">
        <f>72*25.4</f>
        <v>1828.8</v>
      </c>
      <c r="P247" s="65">
        <f t="shared" si="121"/>
        <v>0.14000714267493641</v>
      </c>
      <c r="Q247" s="66">
        <f>1/0.00605</f>
        <v>165.28925619834712</v>
      </c>
      <c r="R247" s="35"/>
      <c r="S247" s="471"/>
      <c r="T247" s="778" t="s">
        <v>163</v>
      </c>
      <c r="U247" s="49"/>
      <c r="V247" s="427">
        <f>29700000*0.00689476</f>
        <v>204774.372</v>
      </c>
      <c r="W247" s="49">
        <f>37823*0.00689476</f>
        <v>260.78050747999998</v>
      </c>
      <c r="X247" s="785"/>
      <c r="Y247" s="785"/>
      <c r="AA247" s="1028"/>
      <c r="AB247" s="471"/>
      <c r="AC247" s="778" t="s">
        <v>870</v>
      </c>
      <c r="AD247" s="408"/>
      <c r="AE247" s="372"/>
      <c r="AF247" s="471"/>
      <c r="AG247" s="471"/>
      <c r="AH247" s="782"/>
      <c r="AI247" s="782"/>
      <c r="AJ247" s="788"/>
      <c r="AK247" s="697"/>
      <c r="AL247" s="471"/>
      <c r="AN247" s="606">
        <f>26180*0.00689476</f>
        <v>180.50481679999999</v>
      </c>
      <c r="AO247" s="559">
        <f t="shared" si="126"/>
        <v>0.69217143008222515</v>
      </c>
      <c r="AQ247" s="600">
        <f t="shared" si="127"/>
        <v>0.58974292048580867</v>
      </c>
      <c r="AR247" s="581">
        <f t="shared" si="128"/>
        <v>749.80728191214916</v>
      </c>
      <c r="AS247" s="613"/>
      <c r="AT247" s="675">
        <f t="shared" si="125"/>
        <v>0.24073494770506743</v>
      </c>
      <c r="AU247" s="649">
        <f t="shared" si="101"/>
        <v>0.69217143008222515</v>
      </c>
      <c r="AV247" s="796">
        <f t="shared" si="129"/>
        <v>8.8148148148148135E-4</v>
      </c>
      <c r="AW247" s="471"/>
      <c r="AX247" s="5"/>
      <c r="AY247" s="369"/>
      <c r="AZ247" s="773">
        <v>1933</v>
      </c>
      <c r="BA247" s="293"/>
      <c r="BB247" s="42"/>
      <c r="BC247" s="44"/>
    </row>
    <row r="248" spans="1:55" ht="17.100000000000001" customHeight="1">
      <c r="A248" s="145"/>
      <c r="B248" s="991"/>
      <c r="C248" s="956"/>
      <c r="D248" s="871"/>
      <c r="E248" s="899"/>
      <c r="F248" s="871"/>
      <c r="G248" s="871"/>
      <c r="H248" s="871"/>
      <c r="I248" s="882"/>
      <c r="J248" s="221"/>
      <c r="K248" s="35"/>
      <c r="L248" s="451" t="s">
        <v>230</v>
      </c>
      <c r="M248" s="423">
        <f t="shared" si="130"/>
        <v>6.0756800000000002</v>
      </c>
      <c r="N248" s="424">
        <f>80*25.4/2</f>
        <v>1016</v>
      </c>
      <c r="O248" s="6">
        <f>72*25.4</f>
        <v>1828.8</v>
      </c>
      <c r="P248" s="65">
        <f t="shared" si="121"/>
        <v>0.13919482749010467</v>
      </c>
      <c r="Q248" s="66">
        <f>1/0.00598</f>
        <v>167.22408026755852</v>
      </c>
      <c r="R248" s="35"/>
      <c r="S248" s="471"/>
      <c r="T248" s="778" t="s">
        <v>163</v>
      </c>
      <c r="U248" s="49"/>
      <c r="V248" s="427">
        <f>29000000*0.00689476</f>
        <v>199948.03999999998</v>
      </c>
      <c r="W248" s="49">
        <f>36090*0.00689476</f>
        <v>248.8318884</v>
      </c>
      <c r="X248" s="785"/>
      <c r="Y248" s="785"/>
      <c r="AA248" s="1028"/>
      <c r="AB248" s="471"/>
      <c r="AC248" s="778" t="s">
        <v>870</v>
      </c>
      <c r="AD248" s="408"/>
      <c r="AE248" s="372"/>
      <c r="AF248" s="471"/>
      <c r="AG248" s="471"/>
      <c r="AH248" s="782"/>
      <c r="AI248" s="782"/>
      <c r="AJ248" s="788"/>
      <c r="AK248" s="697"/>
      <c r="AL248" s="471"/>
      <c r="AN248" s="612">
        <f>27450*0.00689476</f>
        <v>189.26116199999998</v>
      </c>
      <c r="AO248" s="559">
        <f t="shared" si="126"/>
        <v>0.7605985037406483</v>
      </c>
      <c r="AQ248" s="600">
        <f t="shared" si="127"/>
        <v>0.58638724069742743</v>
      </c>
      <c r="AR248" s="581">
        <f t="shared" si="128"/>
        <v>723.66407228875482</v>
      </c>
      <c r="AS248" s="613"/>
      <c r="AT248" s="675">
        <f t="shared" si="125"/>
        <v>0.26153179250894387</v>
      </c>
      <c r="AU248" s="649">
        <f t="shared" si="101"/>
        <v>0.7605985037406483</v>
      </c>
      <c r="AV248" s="796">
        <f t="shared" si="129"/>
        <v>9.4655172413793105E-4</v>
      </c>
      <c r="AW248" s="471"/>
      <c r="AX248" s="5"/>
      <c r="AY248" s="369"/>
      <c r="AZ248" s="773">
        <v>1933</v>
      </c>
      <c r="BA248" s="293"/>
      <c r="BB248" s="43"/>
      <c r="BC248" s="44"/>
    </row>
    <row r="249" spans="1:55" ht="17.100000000000001" customHeight="1">
      <c r="A249" s="145"/>
      <c r="B249" s="991"/>
      <c r="C249" s="956"/>
      <c r="D249" s="871"/>
      <c r="E249" s="899"/>
      <c r="F249" s="871"/>
      <c r="G249" s="871"/>
      <c r="H249" s="871"/>
      <c r="I249" s="882"/>
      <c r="J249" s="221"/>
      <c r="K249" s="35"/>
      <c r="L249" s="451">
        <v>810</v>
      </c>
      <c r="M249" s="423">
        <f>N249/Q249</f>
        <v>3.1089599999999997</v>
      </c>
      <c r="N249" s="424">
        <f t="shared" ref="N249:N259" si="131">34*25.4/2</f>
        <v>431.79999999999995</v>
      </c>
      <c r="O249" s="6">
        <f>35*304.8</f>
        <v>10668</v>
      </c>
      <c r="P249" s="65">
        <f>O249/N249*SQRT(M249/N249)</f>
        <v>2.0963636336354119</v>
      </c>
      <c r="Q249" s="66">
        <f>1/0.0072</f>
        <v>138.88888888888889</v>
      </c>
      <c r="R249" s="35"/>
      <c r="S249" s="471"/>
      <c r="T249" s="778" t="s">
        <v>163</v>
      </c>
      <c r="U249" s="49">
        <f>29400000*0.00689476</f>
        <v>202705.94399999999</v>
      </c>
      <c r="V249" s="427">
        <f>29400000*0.00689476</f>
        <v>202705.94399999999</v>
      </c>
      <c r="W249" s="49">
        <f>32800*0.00689476</f>
        <v>226.14812799999999</v>
      </c>
      <c r="X249" s="785"/>
      <c r="Y249" s="785"/>
      <c r="AA249" s="1028"/>
      <c r="AB249" s="471" t="s">
        <v>232</v>
      </c>
      <c r="AC249" s="778" t="s">
        <v>870</v>
      </c>
      <c r="AD249" s="408"/>
      <c r="AE249" s="372"/>
      <c r="AF249" s="471"/>
      <c r="AG249" s="471"/>
      <c r="AH249" s="782"/>
      <c r="AI249" s="782"/>
      <c r="AJ249" s="788"/>
      <c r="AK249" s="697"/>
      <c r="AL249" s="471"/>
      <c r="AN249" s="612">
        <f>20000*0.00689476</f>
        <v>137.89519999999999</v>
      </c>
      <c r="AO249" s="559">
        <f>AN249/W249</f>
        <v>0.6097560975609756</v>
      </c>
      <c r="AQ249" s="600">
        <f>SQRT(W249/AR249)</f>
        <v>0.50598503249121529</v>
      </c>
      <c r="AR249" s="581">
        <f>V249/SQRT(3*(1-0.3^2))*1/Q249</f>
        <v>883.31917207982713</v>
      </c>
      <c r="AS249" s="613"/>
      <c r="AT249" s="675">
        <f>AN249/AR249</f>
        <v>0.15611027628361965</v>
      </c>
      <c r="AU249" s="649">
        <f>MAX(AO249:AP249)</f>
        <v>0.6097560975609756</v>
      </c>
      <c r="AV249" s="796">
        <f>AN249/V249</f>
        <v>6.8027210884353737E-4</v>
      </c>
      <c r="AW249" s="471"/>
      <c r="AX249" s="5"/>
      <c r="AY249" s="369"/>
      <c r="AZ249" s="773">
        <v>1933</v>
      </c>
      <c r="BA249" s="293"/>
      <c r="BB249" s="43"/>
      <c r="BC249" s="44"/>
    </row>
    <row r="250" spans="1:55" ht="17.100000000000001" customHeight="1">
      <c r="A250" s="145"/>
      <c r="B250" s="991"/>
      <c r="C250" s="956"/>
      <c r="D250" s="871"/>
      <c r="E250" s="899"/>
      <c r="F250" s="871"/>
      <c r="G250" s="871"/>
      <c r="H250" s="871"/>
      <c r="I250" s="882"/>
      <c r="J250" s="221"/>
      <c r="K250" s="35"/>
      <c r="L250" s="451">
        <v>811</v>
      </c>
      <c r="M250" s="423">
        <f>N250/Q250</f>
        <v>2.8585159999999998</v>
      </c>
      <c r="N250" s="424">
        <f t="shared" si="131"/>
        <v>431.79999999999995</v>
      </c>
      <c r="O250" s="6">
        <f>35*304.8</f>
        <v>10668</v>
      </c>
      <c r="P250" s="65">
        <f>O250/N250*SQRT(M250/N250)</f>
        <v>2.0101541540845544</v>
      </c>
      <c r="Q250" s="66">
        <f>1/0.00662</f>
        <v>151.05740181268882</v>
      </c>
      <c r="R250" s="35"/>
      <c r="S250" s="471"/>
      <c r="T250" s="778" t="s">
        <v>163</v>
      </c>
      <c r="U250" s="49">
        <f>28200000*0.00689476</f>
        <v>194432.23199999999</v>
      </c>
      <c r="V250" s="427">
        <f>28200000*0.00689476</f>
        <v>194432.23199999999</v>
      </c>
      <c r="W250" s="49">
        <f>32400*0.00689476</f>
        <v>223.39022399999999</v>
      </c>
      <c r="X250" s="785"/>
      <c r="Y250" s="785"/>
      <c r="AA250" s="1028"/>
      <c r="AB250" s="471"/>
      <c r="AC250" s="778" t="s">
        <v>870</v>
      </c>
      <c r="AD250" s="408"/>
      <c r="AE250" s="372"/>
      <c r="AF250" s="471"/>
      <c r="AG250" s="471"/>
      <c r="AH250" s="782"/>
      <c r="AI250" s="782"/>
      <c r="AJ250" s="788"/>
      <c r="AK250" s="697"/>
      <c r="AL250" s="471"/>
      <c r="AN250" s="612">
        <f>22200*0.00689476</f>
        <v>153.063672</v>
      </c>
      <c r="AO250" s="559">
        <f>AN250/W250</f>
        <v>0.68518518518518523</v>
      </c>
      <c r="AQ250" s="600">
        <f>SQRT(W250/AR250)</f>
        <v>0.53550017609716916</v>
      </c>
      <c r="AR250" s="581">
        <f>V250/SQRT(3*(1-0.3^2))*1/Q250</f>
        <v>779.01339909557089</v>
      </c>
      <c r="AS250" s="613"/>
      <c r="AT250" s="675">
        <f>AN250/AR250</f>
        <v>0.19648400422599385</v>
      </c>
      <c r="AU250" s="649">
        <f>MAX(AO250:AP250)</f>
        <v>0.68518518518518523</v>
      </c>
      <c r="AV250" s="796">
        <f>AN250/V250</f>
        <v>7.8723404255319148E-4</v>
      </c>
      <c r="AW250" s="471"/>
      <c r="AX250" s="5"/>
      <c r="AY250" s="369"/>
      <c r="AZ250" s="773">
        <v>1933</v>
      </c>
      <c r="BA250" s="293"/>
      <c r="BB250" s="43"/>
      <c r="BC250" s="44"/>
    </row>
    <row r="251" spans="1:55" ht="17.100000000000001" customHeight="1">
      <c r="A251" s="145"/>
      <c r="B251" s="991"/>
      <c r="C251" s="956"/>
      <c r="D251" s="871"/>
      <c r="E251" s="899"/>
      <c r="F251" s="871"/>
      <c r="G251" s="871"/>
      <c r="H251" s="871"/>
      <c r="I251" s="882"/>
      <c r="J251" s="221"/>
      <c r="K251" s="35"/>
      <c r="L251" s="451">
        <v>820</v>
      </c>
      <c r="M251" s="423">
        <f>N251/Q251</f>
        <v>3.0441899999999995</v>
      </c>
      <c r="N251" s="424">
        <f t="shared" si="131"/>
        <v>431.79999999999995</v>
      </c>
      <c r="O251" s="6">
        <f>20*304.8</f>
        <v>6096</v>
      </c>
      <c r="P251" s="65">
        <f>O251/N251*SQRT(M251/N251)</f>
        <v>1.1853780440291763</v>
      </c>
      <c r="Q251" s="66">
        <f>1/0.00705</f>
        <v>141.84397163120568</v>
      </c>
      <c r="R251" s="35"/>
      <c r="S251" s="471"/>
      <c r="T251" s="778" t="s">
        <v>163</v>
      </c>
      <c r="U251" s="49">
        <f>28700000*0.00689476</f>
        <v>197879.61199999999</v>
      </c>
      <c r="V251" s="427">
        <f>28700000*0.00689476</f>
        <v>197879.61199999999</v>
      </c>
      <c r="W251" s="49">
        <f>45150*0.00689476</f>
        <v>311.29841399999998</v>
      </c>
      <c r="X251" s="785"/>
      <c r="Y251" s="785"/>
      <c r="AA251" s="1028"/>
      <c r="AB251" s="471"/>
      <c r="AC251" s="778" t="s">
        <v>870</v>
      </c>
      <c r="AD251" s="408"/>
      <c r="AE251" s="372"/>
      <c r="AF251" s="471"/>
      <c r="AG251" s="471"/>
      <c r="AH251" s="782"/>
      <c r="AI251" s="782"/>
      <c r="AJ251" s="788"/>
      <c r="AK251" s="697"/>
      <c r="AL251" s="471"/>
      <c r="AN251" s="612">
        <f>23200*0.00689476</f>
        <v>159.95843199999999</v>
      </c>
      <c r="AO251" s="559">
        <f>AN251/W251</f>
        <v>0.5138427464008859</v>
      </c>
      <c r="AQ251" s="600">
        <f>SQRT(W251/AR251)</f>
        <v>0.60720317283264569</v>
      </c>
      <c r="AR251" s="581">
        <f>V251/SQRT(3*(1-0.3^2))*1/Q251</f>
        <v>844.3234348203506</v>
      </c>
      <c r="AS251" s="613"/>
      <c r="AT251" s="675">
        <f>AN251/AR251</f>
        <v>0.18945160752767079</v>
      </c>
      <c r="AU251" s="649">
        <f>MAX(AO251:AP251)</f>
        <v>0.5138427464008859</v>
      </c>
      <c r="AV251" s="796">
        <f>AN251/V251</f>
        <v>8.0836236933797901E-4</v>
      </c>
      <c r="AW251" s="471"/>
      <c r="AX251" s="5"/>
      <c r="AY251" s="369"/>
      <c r="AZ251" s="773">
        <v>1933</v>
      </c>
      <c r="BA251" s="293"/>
      <c r="BB251" s="43"/>
      <c r="BC251" s="44"/>
    </row>
    <row r="252" spans="1:55" ht="17.100000000000001" customHeight="1">
      <c r="A252" s="145"/>
      <c r="B252" s="991"/>
      <c r="C252" s="956"/>
      <c r="D252" s="871"/>
      <c r="E252" s="899"/>
      <c r="F252" s="871"/>
      <c r="G252" s="871"/>
      <c r="H252" s="871"/>
      <c r="I252" s="882"/>
      <c r="J252" s="221"/>
      <c r="K252" s="35"/>
      <c r="L252" s="451">
        <v>821</v>
      </c>
      <c r="M252" s="423">
        <f>N252/Q252</f>
        <v>3.0355539999999994</v>
      </c>
      <c r="N252" s="424">
        <f t="shared" si="131"/>
        <v>431.79999999999995</v>
      </c>
      <c r="O252" s="6">
        <f>20*304.8</f>
        <v>6096</v>
      </c>
      <c r="P252" s="65">
        <f>O252/N252*SQRT(M252/N252)</f>
        <v>1.1836954625649649</v>
      </c>
      <c r="Q252" s="66">
        <f>1/0.00703</f>
        <v>142.24751066856331</v>
      </c>
      <c r="R252" s="35"/>
      <c r="S252" s="471"/>
      <c r="T252" s="778" t="s">
        <v>163</v>
      </c>
      <c r="U252" s="49">
        <f>29800000*0.00689476</f>
        <v>205463.848</v>
      </c>
      <c r="V252" s="427">
        <f>29800000*0.00689476</f>
        <v>205463.848</v>
      </c>
      <c r="W252" s="49">
        <f>38100*0.00689476</f>
        <v>262.69035600000001</v>
      </c>
      <c r="X252" s="785"/>
      <c r="Y252" s="785"/>
      <c r="AA252" s="1028"/>
      <c r="AB252" s="471"/>
      <c r="AC252" s="778" t="s">
        <v>870</v>
      </c>
      <c r="AD252" s="408"/>
      <c r="AE252" s="372"/>
      <c r="AF252" s="471"/>
      <c r="AG252" s="471"/>
      <c r="AH252" s="782"/>
      <c r="AI252" s="782"/>
      <c r="AJ252" s="788"/>
      <c r="AK252" s="697"/>
      <c r="AL252" s="471"/>
      <c r="AN252" s="612">
        <f>23300*0.00689476</f>
        <v>160.647908</v>
      </c>
      <c r="AO252" s="559">
        <f>AN252/W252</f>
        <v>0.61154855643044614</v>
      </c>
      <c r="AQ252" s="600">
        <f>SQRT(W252/AR252)</f>
        <v>0.5481726393695614</v>
      </c>
      <c r="AR252" s="581">
        <f>V252/SQRT(3*(1-0.3^2))*1/Q252</f>
        <v>874.19721577707526</v>
      </c>
      <c r="AS252" s="613"/>
      <c r="AT252" s="675">
        <f>AN252/AR252</f>
        <v>0.18376620870063035</v>
      </c>
      <c r="AU252" s="649">
        <f>MAX(AO252:AP252)</f>
        <v>0.61154855643044614</v>
      </c>
      <c r="AV252" s="796">
        <f>AN252/V252</f>
        <v>7.8187919463087248E-4</v>
      </c>
      <c r="AW252" s="471"/>
      <c r="AX252" s="5"/>
      <c r="AY252" s="369"/>
      <c r="AZ252" s="773">
        <v>1933</v>
      </c>
      <c r="BA252" s="293"/>
      <c r="BB252" s="43"/>
      <c r="BC252" s="44"/>
    </row>
    <row r="253" spans="1:55" ht="17.100000000000001" customHeight="1">
      <c r="A253" s="145"/>
      <c r="B253" s="991"/>
      <c r="C253" s="956"/>
      <c r="D253" s="871"/>
      <c r="E253" s="899"/>
      <c r="F253" s="871"/>
      <c r="G253" s="871"/>
      <c r="H253" s="871"/>
      <c r="I253" s="882"/>
      <c r="J253" s="221"/>
      <c r="K253" s="35"/>
      <c r="L253" s="451">
        <v>710</v>
      </c>
      <c r="M253" s="423">
        <f t="shared" si="130"/>
        <v>0.76454</v>
      </c>
      <c r="N253" s="424">
        <f>10*25.4/2</f>
        <v>127</v>
      </c>
      <c r="O253" s="6">
        <f>30*25.4</f>
        <v>762</v>
      </c>
      <c r="P253" s="65">
        <f t="shared" si="121"/>
        <v>0.46553195379049978</v>
      </c>
      <c r="Q253" s="66">
        <f>1/0.00602</f>
        <v>166.11295681063123</v>
      </c>
      <c r="R253" s="35"/>
      <c r="S253" s="471"/>
      <c r="T253" s="778" t="s">
        <v>163</v>
      </c>
      <c r="U253" s="49">
        <f>28700000*0.00689476</f>
        <v>197879.61199999999</v>
      </c>
      <c r="V253" s="427">
        <f>28700000*0.00689476</f>
        <v>197879.61199999999</v>
      </c>
      <c r="W253" s="49">
        <f>25550*0.00689476</f>
        <v>176.16111799999999</v>
      </c>
      <c r="X253" s="785"/>
      <c r="Y253" s="785"/>
      <c r="AA253" s="1028"/>
      <c r="AB253" s="9" t="s">
        <v>231</v>
      </c>
      <c r="AC253" s="778" t="s">
        <v>751</v>
      </c>
      <c r="AD253" s="408"/>
      <c r="AE253" s="372"/>
      <c r="AF253" s="471"/>
      <c r="AG253" s="471"/>
      <c r="AH253" s="782"/>
      <c r="AI253" s="782"/>
      <c r="AJ253" s="788"/>
      <c r="AK253" s="697"/>
      <c r="AL253" s="471"/>
      <c r="AN253" s="612">
        <f>10400*0.00689476</f>
        <v>71.705503999999991</v>
      </c>
      <c r="AO253" s="559">
        <f t="shared" si="126"/>
        <v>0.40704500978473579</v>
      </c>
      <c r="AQ253" s="600">
        <f t="shared" si="127"/>
        <v>0.49430718136621271</v>
      </c>
      <c r="AR253" s="581">
        <f t="shared" si="128"/>
        <v>720.96837980404405</v>
      </c>
      <c r="AS253" s="613"/>
      <c r="AT253" s="675">
        <f t="shared" si="125"/>
        <v>9.9457210619263534E-2</v>
      </c>
      <c r="AU253" s="649">
        <f t="shared" si="101"/>
        <v>0.40704500978473579</v>
      </c>
      <c r="AV253" s="796">
        <f t="shared" si="129"/>
        <v>3.6236933797909407E-4</v>
      </c>
      <c r="AW253" s="471"/>
      <c r="AX253" s="5"/>
      <c r="AY253" s="369"/>
      <c r="AZ253" s="773">
        <v>1933</v>
      </c>
      <c r="BA253" s="293"/>
      <c r="BB253" s="43"/>
      <c r="BC253" s="44"/>
    </row>
    <row r="254" spans="1:55" ht="17.100000000000001" customHeight="1">
      <c r="A254" s="145"/>
      <c r="B254" s="991"/>
      <c r="C254" s="956"/>
      <c r="D254" s="871"/>
      <c r="E254" s="899"/>
      <c r="F254" s="871"/>
      <c r="G254" s="871"/>
      <c r="H254" s="871"/>
      <c r="I254" s="882"/>
      <c r="J254" s="221"/>
      <c r="K254" s="35"/>
      <c r="L254" s="451">
        <v>711</v>
      </c>
      <c r="M254" s="423">
        <f t="shared" si="130"/>
        <v>0.75565000000000004</v>
      </c>
      <c r="N254" s="424">
        <f>10*25.4/2</f>
        <v>127</v>
      </c>
      <c r="O254" s="6">
        <f t="shared" ref="O254:O265" si="132">30*25.4</f>
        <v>762</v>
      </c>
      <c r="P254" s="65">
        <f t="shared" si="121"/>
        <v>0.46281745861624546</v>
      </c>
      <c r="Q254" s="66">
        <f>1/0.00595</f>
        <v>168.0672268907563</v>
      </c>
      <c r="R254" s="35"/>
      <c r="S254" s="471"/>
      <c r="T254" s="778" t="s">
        <v>163</v>
      </c>
      <c r="U254" s="49">
        <f>30100000*0.00689476</f>
        <v>207532.27599999998</v>
      </c>
      <c r="V254" s="427">
        <f>30100000*0.00689476</f>
        <v>207532.27599999998</v>
      </c>
      <c r="W254" s="49">
        <f>27050*0.00689476</f>
        <v>186.50325799999999</v>
      </c>
      <c r="X254" s="81"/>
      <c r="Y254" s="785"/>
      <c r="AA254" s="1028"/>
      <c r="AB254" s="9"/>
      <c r="AC254" s="778" t="s">
        <v>751</v>
      </c>
      <c r="AD254" s="408"/>
      <c r="AE254" s="372"/>
      <c r="AF254" s="471"/>
      <c r="AG254" s="471"/>
      <c r="AH254" s="782"/>
      <c r="AI254" s="782"/>
      <c r="AJ254" s="788"/>
      <c r="AK254" s="697"/>
      <c r="AL254" s="471"/>
      <c r="AN254" s="612">
        <f>14800*0.00689476</f>
        <v>102.04244799999999</v>
      </c>
      <c r="AO254" s="559">
        <f t="shared" si="126"/>
        <v>0.5471349353049908</v>
      </c>
      <c r="AQ254" s="600">
        <f t="shared" si="127"/>
        <v>0.49955414383058894</v>
      </c>
      <c r="AR254" s="581">
        <f t="shared" si="128"/>
        <v>747.34527174809443</v>
      </c>
      <c r="AS254" s="613"/>
      <c r="AT254" s="675">
        <f t="shared" si="125"/>
        <v>0.13653989910355002</v>
      </c>
      <c r="AU254" s="649">
        <f t="shared" si="101"/>
        <v>0.5471349353049908</v>
      </c>
      <c r="AV254" s="796">
        <f t="shared" si="129"/>
        <v>4.9169435215946846E-4</v>
      </c>
      <c r="AW254" s="471"/>
      <c r="AX254" s="5"/>
      <c r="AY254" s="369"/>
      <c r="AZ254" s="773">
        <v>1933</v>
      </c>
      <c r="BA254" s="293"/>
      <c r="BB254" s="43"/>
      <c r="BC254" s="44"/>
    </row>
    <row r="255" spans="1:55" ht="17.100000000000001" customHeight="1">
      <c r="A255" s="145"/>
      <c r="B255" s="991"/>
      <c r="C255" s="956"/>
      <c r="D255" s="871"/>
      <c r="E255" s="899"/>
      <c r="F255" s="871"/>
      <c r="G255" s="871"/>
      <c r="H255" s="871"/>
      <c r="I255" s="882"/>
      <c r="J255" s="221"/>
      <c r="K255" s="35"/>
      <c r="L255" s="451">
        <v>721</v>
      </c>
      <c r="M255" s="423">
        <f t="shared" si="130"/>
        <v>0.77216000000000007</v>
      </c>
      <c r="N255" s="424">
        <f>20*25.4/2</f>
        <v>254</v>
      </c>
      <c r="O255" s="6">
        <f t="shared" si="132"/>
        <v>762</v>
      </c>
      <c r="P255" s="65">
        <f t="shared" si="121"/>
        <v>0.16540858502508266</v>
      </c>
      <c r="Q255" s="66">
        <f>1/0.00304</f>
        <v>328.9473684210526</v>
      </c>
      <c r="R255" s="35"/>
      <c r="S255" s="471"/>
      <c r="T255" s="778" t="s">
        <v>163</v>
      </c>
      <c r="U255" s="49">
        <f>30100000*0.00689476</f>
        <v>207532.27599999998</v>
      </c>
      <c r="V255" s="427">
        <f>30100000*0.00689476</f>
        <v>207532.27599999998</v>
      </c>
      <c r="W255" s="49">
        <f>27050*0.00689476</f>
        <v>186.50325799999999</v>
      </c>
      <c r="X255" s="81"/>
      <c r="Y255" s="785"/>
      <c r="AA255" s="1028"/>
      <c r="AB255" s="9"/>
      <c r="AC255" s="778" t="s">
        <v>751</v>
      </c>
      <c r="AD255" s="408"/>
      <c r="AE255" s="372"/>
      <c r="AF255" s="471"/>
      <c r="AG255" s="471"/>
      <c r="AH255" s="782"/>
      <c r="AI255" s="782"/>
      <c r="AJ255" s="788"/>
      <c r="AK255" s="697"/>
      <c r="AL255" s="471"/>
      <c r="AN255" s="612">
        <f>9060*0.00689476</f>
        <v>62.466525599999997</v>
      </c>
      <c r="AO255" s="559">
        <f t="shared" si="126"/>
        <v>0.33493530499075785</v>
      </c>
      <c r="AQ255" s="600">
        <f t="shared" si="127"/>
        <v>0.69888264642922793</v>
      </c>
      <c r="AR255" s="581">
        <f t="shared" si="128"/>
        <v>381.83691195196764</v>
      </c>
      <c r="AS255" s="613"/>
      <c r="AT255" s="675">
        <f t="shared" si="125"/>
        <v>0.16359477998255403</v>
      </c>
      <c r="AU255" s="649">
        <f t="shared" si="101"/>
        <v>0.33493530499075785</v>
      </c>
      <c r="AV255" s="796">
        <f t="shared" si="129"/>
        <v>3.009966777408638E-4</v>
      </c>
      <c r="AW255" s="471"/>
      <c r="AX255" s="5"/>
      <c r="AY255" s="369"/>
      <c r="AZ255" s="773">
        <v>1933</v>
      </c>
      <c r="BA255" s="293"/>
      <c r="BB255" s="43"/>
      <c r="BC255" s="44"/>
    </row>
    <row r="256" spans="1:55" ht="17.100000000000001" customHeight="1">
      <c r="A256" s="145"/>
      <c r="B256" s="991"/>
      <c r="C256" s="956"/>
      <c r="D256" s="871"/>
      <c r="E256" s="899"/>
      <c r="F256" s="871"/>
      <c r="G256" s="871"/>
      <c r="H256" s="871"/>
      <c r="I256" s="882"/>
      <c r="J256" s="221"/>
      <c r="K256" s="35"/>
      <c r="L256" s="451">
        <v>730</v>
      </c>
      <c r="M256" s="423">
        <f t="shared" si="130"/>
        <v>0.73532999999999993</v>
      </c>
      <c r="N256" s="424">
        <f>30*25.4/2</f>
        <v>381</v>
      </c>
      <c r="O256" s="6">
        <f t="shared" si="132"/>
        <v>762</v>
      </c>
      <c r="P256" s="65">
        <f t="shared" si="121"/>
        <v>8.7863530545955179E-2</v>
      </c>
      <c r="Q256" s="66">
        <f>1/0.00193</f>
        <v>518.13471502590676</v>
      </c>
      <c r="R256" s="35"/>
      <c r="S256" s="471"/>
      <c r="T256" s="778" t="s">
        <v>163</v>
      </c>
      <c r="U256" s="49"/>
      <c r="V256" s="427">
        <f>30000000*0.00689476</f>
        <v>206842.8</v>
      </c>
      <c r="W256" s="49">
        <f>29650*0.00689476</f>
        <v>204.42963399999999</v>
      </c>
      <c r="X256" s="785"/>
      <c r="Y256" s="785"/>
      <c r="AA256" s="1028"/>
      <c r="AB256" s="9"/>
      <c r="AC256" s="778" t="s">
        <v>751</v>
      </c>
      <c r="AD256" s="408"/>
      <c r="AE256" s="372"/>
      <c r="AF256" s="471"/>
      <c r="AG256" s="471"/>
      <c r="AH256" s="782"/>
      <c r="AI256" s="782"/>
      <c r="AJ256" s="788"/>
      <c r="AK256" s="697"/>
      <c r="AL256" s="471"/>
      <c r="AN256" s="612">
        <f>8960*0.00689476</f>
        <v>61.777049599999998</v>
      </c>
      <c r="AO256" s="559">
        <f t="shared" si="126"/>
        <v>0.30219224283305229</v>
      </c>
      <c r="AQ256" s="600">
        <f t="shared" si="127"/>
        <v>0.91984304452712873</v>
      </c>
      <c r="AR256" s="581">
        <f t="shared" si="128"/>
        <v>241.61082796401166</v>
      </c>
      <c r="AS256" s="613"/>
      <c r="AT256" s="675">
        <f t="shared" si="125"/>
        <v>0.25568824924188327</v>
      </c>
      <c r="AU256" s="649">
        <f t="shared" si="101"/>
        <v>0.30219224283305229</v>
      </c>
      <c r="AV256" s="796">
        <f t="shared" si="129"/>
        <v>2.986666666666667E-4</v>
      </c>
      <c r="AW256" s="471"/>
      <c r="AX256" s="5"/>
      <c r="AY256" s="369"/>
      <c r="AZ256" s="773">
        <v>1933</v>
      </c>
      <c r="BA256" s="293"/>
      <c r="BB256" s="43"/>
      <c r="BC256" s="44"/>
    </row>
    <row r="257" spans="1:55" ht="17.100000000000001" customHeight="1">
      <c r="A257" s="145"/>
      <c r="B257" s="991"/>
      <c r="C257" s="956"/>
      <c r="D257" s="871"/>
      <c r="E257" s="899"/>
      <c r="F257" s="871"/>
      <c r="G257" s="871"/>
      <c r="H257" s="871"/>
      <c r="I257" s="882"/>
      <c r="J257" s="221"/>
      <c r="K257" s="35"/>
      <c r="L257" s="451">
        <v>731</v>
      </c>
      <c r="M257" s="423">
        <f t="shared" si="130"/>
        <v>0.84582000000000002</v>
      </c>
      <c r="N257" s="424">
        <f>30*25.4/2</f>
        <v>381</v>
      </c>
      <c r="O257" s="6">
        <f t="shared" si="132"/>
        <v>762</v>
      </c>
      <c r="P257" s="65">
        <f t="shared" si="121"/>
        <v>9.4233751915117972E-2</v>
      </c>
      <c r="Q257" s="66">
        <f>1/0.00222</f>
        <v>450.45045045045043</v>
      </c>
      <c r="R257" s="35"/>
      <c r="S257" s="471"/>
      <c r="T257" s="778" t="s">
        <v>163</v>
      </c>
      <c r="U257" s="49"/>
      <c r="V257" s="427">
        <f>30000000*0.00689476</f>
        <v>206842.8</v>
      </c>
      <c r="W257" s="49">
        <f>32350*0.00689476</f>
        <v>223.04548599999998</v>
      </c>
      <c r="X257" s="785"/>
      <c r="Y257" s="785"/>
      <c r="AA257" s="1028"/>
      <c r="AB257" s="9"/>
      <c r="AC257" s="778" t="s">
        <v>751</v>
      </c>
      <c r="AD257" s="408"/>
      <c r="AE257" s="372"/>
      <c r="AF257" s="471"/>
      <c r="AG257" s="471"/>
      <c r="AH257" s="782"/>
      <c r="AI257" s="782"/>
      <c r="AJ257" s="788"/>
      <c r="AK257" s="697"/>
      <c r="AL257" s="471"/>
      <c r="AN257" s="612">
        <f>10160*0.00689476</f>
        <v>70.050761600000001</v>
      </c>
      <c r="AO257" s="559">
        <f t="shared" si="126"/>
        <v>0.31406491499227207</v>
      </c>
      <c r="AQ257" s="600">
        <f t="shared" si="127"/>
        <v>0.89586112181004085</v>
      </c>
      <c r="AR257" s="581">
        <f t="shared" si="128"/>
        <v>277.91504563736061</v>
      </c>
      <c r="AS257" s="613"/>
      <c r="AT257" s="675">
        <f t="shared" si="125"/>
        <v>0.25205818360552606</v>
      </c>
      <c r="AU257" s="649">
        <f t="shared" si="101"/>
        <v>0.31406491499227207</v>
      </c>
      <c r="AV257" s="796">
        <f t="shared" si="129"/>
        <v>3.3866666666666669E-4</v>
      </c>
      <c r="AW257" s="471"/>
      <c r="AX257" s="5"/>
      <c r="AY257" s="369"/>
      <c r="AZ257" s="773">
        <v>1933</v>
      </c>
      <c r="BA257" s="293"/>
      <c r="BB257" s="43"/>
      <c r="BC257" s="44"/>
    </row>
    <row r="258" spans="1:55" ht="17.100000000000001" customHeight="1" thickBot="1">
      <c r="A258" s="145"/>
      <c r="B258" s="991"/>
      <c r="C258" s="956"/>
      <c r="D258" s="871"/>
      <c r="E258" s="899"/>
      <c r="F258" s="871"/>
      <c r="G258" s="871"/>
      <c r="H258" s="871"/>
      <c r="I258" s="882"/>
      <c r="J258" s="221"/>
      <c r="K258" s="35"/>
      <c r="L258" s="451">
        <v>830</v>
      </c>
      <c r="M258" s="423">
        <f>N258/Q258</f>
        <v>2.8757879999999996</v>
      </c>
      <c r="N258" s="424">
        <f t="shared" si="131"/>
        <v>431.79999999999995</v>
      </c>
      <c r="O258" s="6">
        <f>6*304.8</f>
        <v>1828.8000000000002</v>
      </c>
      <c r="P258" s="65">
        <f>O258/N258*SQRT(M258/N258)</f>
        <v>0.3456373682219831</v>
      </c>
      <c r="Q258" s="66">
        <f>1/0.00666</f>
        <v>150.15015015015015</v>
      </c>
      <c r="R258" s="35"/>
      <c r="S258" s="471"/>
      <c r="T258" s="778" t="s">
        <v>163</v>
      </c>
      <c r="U258" s="49">
        <f>30100000*0.00689476</f>
        <v>207532.27599999998</v>
      </c>
      <c r="V258" s="427">
        <f>30100000*0.00689476</f>
        <v>207532.27599999998</v>
      </c>
      <c r="W258" s="49">
        <f>39950*0.00689476</f>
        <v>275.44566199999997</v>
      </c>
      <c r="X258" s="785"/>
      <c r="Y258" s="785"/>
      <c r="AA258" s="1028"/>
      <c r="AB258" s="471"/>
      <c r="AC258" s="778" t="s">
        <v>751</v>
      </c>
      <c r="AD258" s="408"/>
      <c r="AE258" s="372"/>
      <c r="AF258" s="471"/>
      <c r="AG258" s="471"/>
      <c r="AH258" s="782"/>
      <c r="AI258" s="782"/>
      <c r="AJ258" s="788"/>
      <c r="AK258" s="697"/>
      <c r="AL258" s="471"/>
      <c r="AN258" s="612">
        <f>26900*0.00689476</f>
        <v>185.469044</v>
      </c>
      <c r="AO258" s="559">
        <f>AN258/W258</f>
        <v>0.67334167709637049</v>
      </c>
      <c r="AQ258" s="600">
        <f>SQRT(W258/AR258)</f>
        <v>0.57382397712795674</v>
      </c>
      <c r="AR258" s="581">
        <f>V258/SQRT(3*(1-0.3^2))*1/Q258</f>
        <v>836.52428736845536</v>
      </c>
      <c r="AS258" s="613"/>
      <c r="AT258" s="675">
        <f>AN258/AR258</f>
        <v>0.22171387824667943</v>
      </c>
      <c r="AU258" s="649">
        <f>MAX(AO258:AP258)</f>
        <v>0.67334167709637049</v>
      </c>
      <c r="AV258" s="796">
        <f>AN258/V258</f>
        <v>8.9368770764119607E-4</v>
      </c>
      <c r="AW258" s="471"/>
      <c r="AX258" s="5"/>
      <c r="AY258" s="369"/>
      <c r="AZ258" s="773">
        <v>1933</v>
      </c>
      <c r="BA258" s="293"/>
      <c r="BB258" s="43"/>
      <c r="BC258" s="44"/>
    </row>
    <row r="259" spans="1:55" ht="18" customHeight="1" thickBot="1">
      <c r="A259" s="145"/>
      <c r="B259" s="991"/>
      <c r="C259" s="956"/>
      <c r="D259" s="871"/>
      <c r="E259" s="899"/>
      <c r="F259" s="871"/>
      <c r="G259" s="871"/>
      <c r="H259" s="871"/>
      <c r="I259" s="882"/>
      <c r="J259" s="801"/>
      <c r="K259" s="697"/>
      <c r="L259" s="451">
        <v>831</v>
      </c>
      <c r="M259" s="423">
        <f>N259/Q259</f>
        <v>2.9707839999999996</v>
      </c>
      <c r="N259" s="424">
        <f t="shared" si="131"/>
        <v>431.79999999999995</v>
      </c>
      <c r="O259" s="6">
        <f>6*304.8</f>
        <v>1828.8000000000002</v>
      </c>
      <c r="P259" s="65">
        <f>O259/N259*SQRT(M259/N259)</f>
        <v>0.35129971233872848</v>
      </c>
      <c r="Q259" s="66">
        <f>1/0.00688</f>
        <v>145.34883720930233</v>
      </c>
      <c r="R259" s="35"/>
      <c r="S259" s="471"/>
      <c r="T259" s="778" t="s">
        <v>163</v>
      </c>
      <c r="U259" s="49">
        <f>29100000*0.00689476</f>
        <v>200637.516</v>
      </c>
      <c r="V259" s="427">
        <f>29100000*0.00689476</f>
        <v>200637.516</v>
      </c>
      <c r="W259" s="49">
        <f>41000*0.00689476</f>
        <v>282.68516</v>
      </c>
      <c r="X259" s="785"/>
      <c r="Y259" s="785"/>
      <c r="AA259" s="1028"/>
      <c r="AB259" s="471"/>
      <c r="AC259" s="778" t="s">
        <v>751</v>
      </c>
      <c r="AD259" s="408"/>
      <c r="AE259" s="372"/>
      <c r="AF259" s="471"/>
      <c r="AG259" s="471"/>
      <c r="AH259" s="782"/>
      <c r="AI259" s="782"/>
      <c r="AJ259" s="788"/>
      <c r="AK259" s="697"/>
      <c r="AL259" s="471"/>
      <c r="AN259" s="613">
        <f>27500*0.00689476</f>
        <v>189.60589999999999</v>
      </c>
      <c r="AO259" s="559">
        <f>AN259/W259</f>
        <v>0.6707317073170731</v>
      </c>
      <c r="AQ259" s="600">
        <f>SQRT(W259/AR259)</f>
        <v>0.58169037332592877</v>
      </c>
      <c r="AR259" s="581">
        <f>V259/SQRT(3*(1-0.3^2))*1/Q259</f>
        <v>835.44767953400435</v>
      </c>
      <c r="AS259" s="613"/>
      <c r="AT259" s="675">
        <f>AN259/AR259</f>
        <v>0.22695125576955136</v>
      </c>
      <c r="AU259" s="649">
        <f>MAX(AO259:AP259)</f>
        <v>0.6707317073170731</v>
      </c>
      <c r="AV259" s="796">
        <f>AN259/V259</f>
        <v>9.4501718213058409E-4</v>
      </c>
      <c r="AW259" s="471"/>
      <c r="AX259" s="5"/>
      <c r="AY259" s="369"/>
      <c r="AZ259" s="773">
        <v>1933</v>
      </c>
      <c r="BA259" s="295"/>
      <c r="BB259" s="43"/>
      <c r="BC259" s="44"/>
    </row>
    <row r="260" spans="1:55" ht="17.100000000000001" customHeight="1">
      <c r="A260" s="145"/>
      <c r="B260" s="991"/>
      <c r="C260" s="956"/>
      <c r="D260" s="871"/>
      <c r="E260" s="899"/>
      <c r="F260" s="871"/>
      <c r="G260" s="871"/>
      <c r="H260" s="871"/>
      <c r="I260" s="882"/>
      <c r="J260" s="221"/>
      <c r="K260" s="35"/>
      <c r="L260" s="451">
        <v>740</v>
      </c>
      <c r="M260" s="423">
        <f t="shared" si="130"/>
        <v>0.76200000000000001</v>
      </c>
      <c r="N260" s="424">
        <f>40*25.4/2</f>
        <v>508</v>
      </c>
      <c r="O260" s="6">
        <f t="shared" si="132"/>
        <v>762</v>
      </c>
      <c r="P260" s="65">
        <f t="shared" si="121"/>
        <v>5.809475019311125E-2</v>
      </c>
      <c r="Q260" s="66">
        <f>1/0.0015</f>
        <v>666.66666666666663</v>
      </c>
      <c r="R260" s="35"/>
      <c r="S260" s="471"/>
      <c r="T260" s="778" t="s">
        <v>163</v>
      </c>
      <c r="U260" s="49">
        <f>29900000*0.00689476</f>
        <v>206153.32399999999</v>
      </c>
      <c r="V260" s="427">
        <f>29900000*0.00689476</f>
        <v>206153.32399999999</v>
      </c>
      <c r="W260" s="49">
        <f>24700*0.00689476</f>
        <v>170.30057199999999</v>
      </c>
      <c r="X260" s="785"/>
      <c r="Y260" s="785"/>
      <c r="AA260" s="374"/>
      <c r="AB260" s="9"/>
      <c r="AC260" s="778" t="s">
        <v>868</v>
      </c>
      <c r="AD260" s="408"/>
      <c r="AE260" s="372"/>
      <c r="AF260" s="471"/>
      <c r="AG260" s="471"/>
      <c r="AH260" s="782"/>
      <c r="AI260" s="782"/>
      <c r="AJ260" s="788"/>
      <c r="AK260" s="697"/>
      <c r="AL260" s="368"/>
      <c r="AN260" s="613">
        <f>5710*0.00689476</f>
        <v>39.369079599999999</v>
      </c>
      <c r="AO260" s="559">
        <f t="shared" si="126"/>
        <v>0.23117408906882592</v>
      </c>
      <c r="AQ260" s="600">
        <f t="shared" si="127"/>
        <v>0.95391112701722314</v>
      </c>
      <c r="AR260" s="581">
        <f t="shared" si="128"/>
        <v>187.15450145398833</v>
      </c>
      <c r="AS260" s="613"/>
      <c r="AT260" s="675">
        <f t="shared" si="125"/>
        <v>0.21035603896323504</v>
      </c>
      <c r="AU260" s="649">
        <f t="shared" si="101"/>
        <v>0.23117408906882592</v>
      </c>
      <c r="AV260" s="796">
        <f t="shared" si="129"/>
        <v>1.9096989966555184E-4</v>
      </c>
      <c r="AW260" s="368"/>
      <c r="AX260" s="5"/>
      <c r="AY260" s="369"/>
      <c r="AZ260" s="773">
        <v>1933</v>
      </c>
      <c r="BA260" s="293"/>
      <c r="BB260" s="43"/>
      <c r="BC260" s="44"/>
    </row>
    <row r="261" spans="1:55" ht="17.100000000000001" customHeight="1">
      <c r="A261" s="145"/>
      <c r="B261" s="991"/>
      <c r="C261" s="956"/>
      <c r="D261" s="871"/>
      <c r="E261" s="899"/>
      <c r="F261" s="871"/>
      <c r="G261" s="871"/>
      <c r="H261" s="871"/>
      <c r="I261" s="882"/>
      <c r="J261" s="221"/>
      <c r="K261" s="35"/>
      <c r="L261" s="451">
        <v>741</v>
      </c>
      <c r="M261" s="423">
        <f t="shared" si="130"/>
        <v>0.77723999999999993</v>
      </c>
      <c r="N261" s="424">
        <f>40*25.4/2</f>
        <v>508</v>
      </c>
      <c r="O261" s="6">
        <f t="shared" si="132"/>
        <v>762</v>
      </c>
      <c r="P261" s="65">
        <f t="shared" si="121"/>
        <v>5.8672821646823838E-2</v>
      </c>
      <c r="Q261" s="66">
        <f>1/0.00153</f>
        <v>653.59477124183013</v>
      </c>
      <c r="R261" s="35"/>
      <c r="S261" s="471"/>
      <c r="T261" s="778" t="s">
        <v>163</v>
      </c>
      <c r="U261" s="49">
        <f>29900000*0.00689476</f>
        <v>206153.32399999999</v>
      </c>
      <c r="V261" s="427">
        <f>29900000*0.00689476</f>
        <v>206153.32399999999</v>
      </c>
      <c r="W261" s="49">
        <f>24700*0.00689476</f>
        <v>170.30057199999999</v>
      </c>
      <c r="X261" s="785"/>
      <c r="Y261" s="785"/>
      <c r="AA261" s="374"/>
      <c r="AB261" s="9"/>
      <c r="AC261" s="778" t="s">
        <v>868</v>
      </c>
      <c r="AD261" s="408"/>
      <c r="AE261" s="372"/>
      <c r="AF261" s="471"/>
      <c r="AG261" s="471"/>
      <c r="AH261" s="782"/>
      <c r="AI261" s="782"/>
      <c r="AJ261" s="788"/>
      <c r="AK261" s="697"/>
      <c r="AL261" s="368"/>
      <c r="AN261" s="613">
        <f>5740*0.00689476</f>
        <v>39.575922399999996</v>
      </c>
      <c r="AO261" s="559">
        <f t="shared" si="126"/>
        <v>0.23238866396761132</v>
      </c>
      <c r="AQ261" s="600">
        <f t="shared" si="127"/>
        <v>0.94451275863421391</v>
      </c>
      <c r="AR261" s="581">
        <f t="shared" si="128"/>
        <v>190.89759148306806</v>
      </c>
      <c r="AS261" s="613"/>
      <c r="AT261" s="675">
        <f t="shared" si="125"/>
        <v>0.20731493830036216</v>
      </c>
      <c r="AU261" s="649">
        <f t="shared" si="101"/>
        <v>0.23238866396761132</v>
      </c>
      <c r="AV261" s="796">
        <f t="shared" si="129"/>
        <v>1.9197324414715718E-4</v>
      </c>
      <c r="AW261" s="368"/>
      <c r="AX261" s="5"/>
      <c r="AY261" s="369"/>
      <c r="AZ261" s="773">
        <v>1933</v>
      </c>
      <c r="BA261" s="293"/>
      <c r="BB261" s="43"/>
      <c r="BC261" s="44"/>
    </row>
    <row r="262" spans="1:55" ht="17.100000000000001" customHeight="1">
      <c r="A262" s="145"/>
      <c r="B262" s="991"/>
      <c r="C262" s="956"/>
      <c r="D262" s="871"/>
      <c r="E262" s="899"/>
      <c r="F262" s="871"/>
      <c r="G262" s="871"/>
      <c r="H262" s="871"/>
      <c r="I262" s="882"/>
      <c r="J262" s="221"/>
      <c r="K262" s="35"/>
      <c r="L262" s="451">
        <v>750</v>
      </c>
      <c r="M262" s="423">
        <f t="shared" si="130"/>
        <v>0.76834999999999998</v>
      </c>
      <c r="N262" s="424">
        <f>50*25.4/2</f>
        <v>635</v>
      </c>
      <c r="O262" s="6">
        <f t="shared" si="132"/>
        <v>762</v>
      </c>
      <c r="P262" s="65">
        <f t="shared" si="121"/>
        <v>4.1742065114222605E-2</v>
      </c>
      <c r="Q262" s="66">
        <f>1/0.00121</f>
        <v>826.44628099173553</v>
      </c>
      <c r="R262" s="35"/>
      <c r="S262" s="471"/>
      <c r="T262" s="778" t="s">
        <v>163</v>
      </c>
      <c r="U262" s="49"/>
      <c r="V262" s="427">
        <f>30000000*0.00689476</f>
        <v>206842.8</v>
      </c>
      <c r="W262" s="49">
        <f>28850*0.00689476</f>
        <v>198.913826</v>
      </c>
      <c r="X262" s="785"/>
      <c r="Y262" s="785"/>
      <c r="AA262" s="374"/>
      <c r="AB262" s="9"/>
      <c r="AC262" s="778" t="s">
        <v>868</v>
      </c>
      <c r="AD262" s="408"/>
      <c r="AE262" s="372"/>
      <c r="AF262" s="471"/>
      <c r="AG262" s="471"/>
      <c r="AH262" s="782"/>
      <c r="AI262" s="782"/>
      <c r="AJ262" s="788"/>
      <c r="AK262" s="697"/>
      <c r="AL262" s="368"/>
      <c r="AN262" s="613">
        <f>4430*0.00689476</f>
        <v>30.543786799999999</v>
      </c>
      <c r="AO262" s="559">
        <f t="shared" si="126"/>
        <v>0.15355285961871751</v>
      </c>
      <c r="AQ262" s="600">
        <f t="shared" si="127"/>
        <v>1.1459357224888604</v>
      </c>
      <c r="AR262" s="581">
        <f t="shared" si="128"/>
        <v>151.47621856811094</v>
      </c>
      <c r="AS262" s="613"/>
      <c r="AT262" s="675">
        <f t="shared" si="125"/>
        <v>0.20164080598741679</v>
      </c>
      <c r="AU262" s="649">
        <f t="shared" ref="AU262:AU309" si="133">MAX(AO262:AP262)</f>
        <v>0.15355285961871751</v>
      </c>
      <c r="AV262" s="796">
        <f t="shared" si="129"/>
        <v>1.4766666666666666E-4</v>
      </c>
      <c r="AW262" s="368"/>
      <c r="AX262" s="5"/>
      <c r="AY262" s="369"/>
      <c r="AZ262" s="773">
        <v>1933</v>
      </c>
      <c r="BA262" s="293"/>
      <c r="BB262" s="43"/>
      <c r="BC262" s="44"/>
    </row>
    <row r="263" spans="1:55" ht="17.100000000000001" customHeight="1">
      <c r="A263" s="145"/>
      <c r="B263" s="991"/>
      <c r="C263" s="956"/>
      <c r="D263" s="871"/>
      <c r="E263" s="899"/>
      <c r="F263" s="871"/>
      <c r="G263" s="871"/>
      <c r="H263" s="871"/>
      <c r="I263" s="882"/>
      <c r="J263" s="221"/>
      <c r="K263" s="35"/>
      <c r="L263" s="451">
        <v>751</v>
      </c>
      <c r="M263" s="423">
        <f t="shared" si="130"/>
        <v>0.74930000000000008</v>
      </c>
      <c r="N263" s="424">
        <f>50*25.4/2</f>
        <v>635</v>
      </c>
      <c r="O263" s="6">
        <f t="shared" si="132"/>
        <v>762</v>
      </c>
      <c r="P263" s="65">
        <f t="shared" si="121"/>
        <v>4.1221353689562402E-2</v>
      </c>
      <c r="Q263" s="66">
        <f>1/0.00118</f>
        <v>847.45762711864404</v>
      </c>
      <c r="R263" s="35"/>
      <c r="S263" s="471"/>
      <c r="T263" s="778" t="s">
        <v>163</v>
      </c>
      <c r="U263" s="49">
        <f>30000000*0.00689476</f>
        <v>206842.8</v>
      </c>
      <c r="V263" s="427">
        <f>30000000*0.00689476</f>
        <v>206842.8</v>
      </c>
      <c r="W263" s="49">
        <f>25475*0.00689476</f>
        <v>175.64401100000001</v>
      </c>
      <c r="X263" s="785"/>
      <c r="Y263" s="785"/>
      <c r="AA263" s="374"/>
      <c r="AB263" s="9"/>
      <c r="AC263" s="778" t="s">
        <v>868</v>
      </c>
      <c r="AD263" s="408"/>
      <c r="AE263" s="372"/>
      <c r="AF263" s="471"/>
      <c r="AG263" s="471"/>
      <c r="AH263" s="782"/>
      <c r="AI263" s="782"/>
      <c r="AJ263" s="788"/>
      <c r="AK263" s="697"/>
      <c r="AL263" s="368"/>
      <c r="AN263" s="613">
        <f>4280*0.00689476</f>
        <v>29.509572800000001</v>
      </c>
      <c r="AO263" s="559">
        <f t="shared" si="126"/>
        <v>0.16800785083415112</v>
      </c>
      <c r="AQ263" s="600">
        <f t="shared" si="127"/>
        <v>1.0904258213959641</v>
      </c>
      <c r="AR263" s="581">
        <f t="shared" si="128"/>
        <v>147.72060984328175</v>
      </c>
      <c r="AS263" s="613"/>
      <c r="AT263" s="675">
        <f t="shared" si="125"/>
        <v>0.199766118155801</v>
      </c>
      <c r="AU263" s="649">
        <f t="shared" si="133"/>
        <v>0.16800785083415112</v>
      </c>
      <c r="AV263" s="796">
        <f t="shared" si="129"/>
        <v>1.4266666666666667E-4</v>
      </c>
      <c r="AW263" s="368"/>
      <c r="AX263" s="5"/>
      <c r="AY263" s="369"/>
      <c r="AZ263" s="773">
        <v>1933</v>
      </c>
      <c r="BA263" s="293"/>
      <c r="BB263" s="43"/>
      <c r="BC263" s="44"/>
    </row>
    <row r="264" spans="1:55" ht="17.100000000000001" customHeight="1">
      <c r="A264" s="145"/>
      <c r="B264" s="991"/>
      <c r="C264" s="956"/>
      <c r="D264" s="871"/>
      <c r="E264" s="899"/>
      <c r="F264" s="871"/>
      <c r="G264" s="871"/>
      <c r="H264" s="871"/>
      <c r="I264" s="882"/>
      <c r="J264" s="221"/>
      <c r="K264" s="35"/>
      <c r="L264" s="451">
        <v>760</v>
      </c>
      <c r="M264" s="423">
        <f t="shared" si="130"/>
        <v>0.78486</v>
      </c>
      <c r="N264" s="424">
        <f>60*25.4/2</f>
        <v>762</v>
      </c>
      <c r="O264" s="6">
        <f t="shared" si="132"/>
        <v>762</v>
      </c>
      <c r="P264" s="65">
        <f t="shared" si="121"/>
        <v>3.2093613071762429E-2</v>
      </c>
      <c r="Q264" s="66">
        <f>1/0.00103</f>
        <v>970.87378640776694</v>
      </c>
      <c r="R264" s="35"/>
      <c r="S264" s="471"/>
      <c r="T264" s="778" t="s">
        <v>163</v>
      </c>
      <c r="U264" s="49"/>
      <c r="V264" s="427">
        <f>30000000*0.00689476</f>
        <v>206842.8</v>
      </c>
      <c r="W264" s="49">
        <f>31670*0.00689476</f>
        <v>218.35704920000001</v>
      </c>
      <c r="X264" s="785"/>
      <c r="Y264" s="785"/>
      <c r="AA264" s="374"/>
      <c r="AB264" s="9"/>
      <c r="AC264" s="778" t="s">
        <v>868</v>
      </c>
      <c r="AD264" s="408"/>
      <c r="AE264" s="372"/>
      <c r="AF264" s="471"/>
      <c r="AG264" s="471"/>
      <c r="AH264" s="782"/>
      <c r="AI264" s="782"/>
      <c r="AJ264" s="788"/>
      <c r="AK264" s="697"/>
      <c r="AL264" s="368"/>
      <c r="AN264" s="613">
        <f>4160*0.00689476</f>
        <v>28.682201599999999</v>
      </c>
      <c r="AO264" s="559">
        <f t="shared" si="126"/>
        <v>0.13135459425323651</v>
      </c>
      <c r="AQ264" s="600">
        <f t="shared" si="127"/>
        <v>1.3013240428093602</v>
      </c>
      <c r="AR264" s="581">
        <f t="shared" si="128"/>
        <v>128.94256621913578</v>
      </c>
      <c r="AS264" s="613"/>
      <c r="AT264" s="675">
        <f t="shared" si="125"/>
        <v>0.22244168423990465</v>
      </c>
      <c r="AU264" s="649">
        <f t="shared" si="133"/>
        <v>0.13135459425323651</v>
      </c>
      <c r="AV264" s="796">
        <f t="shared" si="129"/>
        <v>1.3866666666666666E-4</v>
      </c>
      <c r="AW264" s="368"/>
      <c r="AX264" s="5"/>
      <c r="AY264" s="369"/>
      <c r="AZ264" s="773">
        <v>1933</v>
      </c>
      <c r="BA264" s="293"/>
      <c r="BB264" s="43"/>
      <c r="BC264" s="44"/>
    </row>
    <row r="265" spans="1:55" ht="17.100000000000001" customHeight="1" thickBot="1">
      <c r="A265" s="145"/>
      <c r="B265" s="992"/>
      <c r="C265" s="957"/>
      <c r="D265" s="872"/>
      <c r="E265" s="900"/>
      <c r="F265" s="872"/>
      <c r="G265" s="872"/>
      <c r="H265" s="872"/>
      <c r="I265" s="883"/>
      <c r="J265" s="221"/>
      <c r="K265" s="35"/>
      <c r="L265" s="451">
        <v>761</v>
      </c>
      <c r="M265" s="423">
        <f t="shared" si="130"/>
        <v>0.76962000000000008</v>
      </c>
      <c r="N265" s="424">
        <f>60*25.4/2</f>
        <v>762</v>
      </c>
      <c r="O265" s="6">
        <f t="shared" si="132"/>
        <v>762</v>
      </c>
      <c r="P265" s="65">
        <f t="shared" si="121"/>
        <v>3.1780497164141407E-2</v>
      </c>
      <c r="Q265" s="66">
        <f>1/0.00101</f>
        <v>990.09900990099004</v>
      </c>
      <c r="R265" s="36"/>
      <c r="S265" s="472"/>
      <c r="T265" s="779" t="s">
        <v>163</v>
      </c>
      <c r="U265" s="51"/>
      <c r="V265" s="428">
        <f>30000000*0.00689476</f>
        <v>206842.8</v>
      </c>
      <c r="W265" s="51">
        <f>45750*0.00689476</f>
        <v>315.43527</v>
      </c>
      <c r="X265" s="786"/>
      <c r="Y265" s="786"/>
      <c r="Z265" s="31"/>
      <c r="AA265" s="375"/>
      <c r="AB265" s="126"/>
      <c r="AC265" s="779" t="s">
        <v>868</v>
      </c>
      <c r="AD265" s="409"/>
      <c r="AE265" s="373"/>
      <c r="AF265" s="472"/>
      <c r="AG265" s="472"/>
      <c r="AH265" s="783"/>
      <c r="AI265" s="783"/>
      <c r="AJ265" s="789"/>
      <c r="AK265" s="697"/>
      <c r="AL265" s="368"/>
      <c r="AN265" s="613">
        <f>3870*0.00689476</f>
        <v>26.6827212</v>
      </c>
      <c r="AO265" s="559">
        <f t="shared" si="126"/>
        <v>8.4590163934426227E-2</v>
      </c>
      <c r="AQ265" s="600">
        <f t="shared" si="127"/>
        <v>1.5794827845583594</v>
      </c>
      <c r="AR265" s="581">
        <f t="shared" si="128"/>
        <v>126.43882706924964</v>
      </c>
      <c r="AS265" s="613"/>
      <c r="AT265" s="677">
        <f t="shared" si="125"/>
        <v>0.21103265364353677</v>
      </c>
      <c r="AU265" s="651">
        <f t="shared" si="133"/>
        <v>8.4590163934426227E-2</v>
      </c>
      <c r="AV265" s="796">
        <f t="shared" si="129"/>
        <v>1.2900000000000002E-4</v>
      </c>
      <c r="AW265" s="368"/>
      <c r="AX265" s="5"/>
      <c r="AY265" s="370"/>
      <c r="AZ265" s="773">
        <v>1933</v>
      </c>
      <c r="BA265" s="293"/>
      <c r="BB265" s="43"/>
      <c r="BC265" s="44"/>
    </row>
    <row r="266" spans="1:55" ht="117" customHeight="1">
      <c r="A266" s="145"/>
      <c r="B266" s="990">
        <v>11</v>
      </c>
      <c r="C266" s="981" t="s">
        <v>233</v>
      </c>
      <c r="D266" s="1019" t="s">
        <v>234</v>
      </c>
      <c r="E266" s="937">
        <v>1987</v>
      </c>
      <c r="F266" s="1016" t="s">
        <v>40</v>
      </c>
      <c r="G266" s="1016" t="s">
        <v>235</v>
      </c>
      <c r="H266" s="958" t="s">
        <v>236</v>
      </c>
      <c r="I266" s="910" t="s">
        <v>237</v>
      </c>
      <c r="J266" s="222"/>
      <c r="K266" s="433"/>
      <c r="L266" s="525" t="s">
        <v>191</v>
      </c>
      <c r="M266" s="124">
        <v>0.81</v>
      </c>
      <c r="N266" s="124">
        <v>254</v>
      </c>
      <c r="O266" s="124">
        <f>0.178*N266</f>
        <v>45.211999999999996</v>
      </c>
      <c r="P266" s="125">
        <f t="shared" si="121"/>
        <v>1.0051841998313299E-2</v>
      </c>
      <c r="Q266" s="434">
        <v>303</v>
      </c>
      <c r="R266" s="435"/>
      <c r="S266" s="1016" t="s">
        <v>238</v>
      </c>
      <c r="T266" s="504" t="s">
        <v>163</v>
      </c>
      <c r="U266" s="436">
        <f>2*PI()*$M$266*$N$266*W266/1000</f>
        <v>482.17804932197481</v>
      </c>
      <c r="V266" s="124">
        <v>197000</v>
      </c>
      <c r="W266" s="123">
        <v>373</v>
      </c>
      <c r="X266" s="436"/>
      <c r="Y266" s="437"/>
      <c r="Z266" s="1026" t="s">
        <v>239</v>
      </c>
      <c r="AA266" s="438"/>
      <c r="AB266" s="1017" t="s">
        <v>240</v>
      </c>
      <c r="AC266" s="25" t="s">
        <v>751</v>
      </c>
      <c r="AD266" s="1015" t="s">
        <v>241</v>
      </c>
      <c r="AE266" s="1030" t="s">
        <v>242</v>
      </c>
      <c r="AF266" s="873" t="s">
        <v>243</v>
      </c>
      <c r="AK266" s="34"/>
      <c r="AL266" s="922" t="s">
        <v>244</v>
      </c>
      <c r="AM266" s="15"/>
      <c r="AN266" s="594">
        <v>265</v>
      </c>
      <c r="AO266" s="20">
        <f t="shared" si="126"/>
        <v>0.71045576407506705</v>
      </c>
      <c r="AP266" s="20"/>
      <c r="AQ266" s="20">
        <f t="shared" si="127"/>
        <v>0.99045856852064684</v>
      </c>
      <c r="AR266" s="20">
        <f>1/SQRT(3*(1-0.3^2))/$N$266*$V$266*$M$266</f>
        <v>380.22109207858585</v>
      </c>
      <c r="AS266" s="547">
        <f>AR266*2*PI()*$N$266*$M$266/1000</f>
        <v>491.51277343035792</v>
      </c>
      <c r="AT266" s="674">
        <f t="shared" si="125"/>
        <v>0.69696291321268566</v>
      </c>
      <c r="AU266" s="648">
        <f t="shared" si="133"/>
        <v>0.71045576407506705</v>
      </c>
      <c r="AV266" s="128"/>
      <c r="AW266" s="15"/>
      <c r="AX266" s="29"/>
      <c r="AY266" s="911" t="s">
        <v>245</v>
      </c>
      <c r="AZ266" s="759">
        <v>1987</v>
      </c>
      <c r="BA266" s="292"/>
    </row>
    <row r="267" spans="1:55" ht="17.100000000000001" customHeight="1">
      <c r="A267" s="145"/>
      <c r="B267" s="991"/>
      <c r="C267" s="953"/>
      <c r="D267" s="1020"/>
      <c r="E267" s="938"/>
      <c r="F267" s="1017"/>
      <c r="G267" s="1017"/>
      <c r="H267" s="959"/>
      <c r="I267" s="917"/>
      <c r="J267" s="221"/>
      <c r="K267" s="438"/>
      <c r="L267" s="526" t="s">
        <v>246</v>
      </c>
      <c r="M267" s="115">
        <v>0.81</v>
      </c>
      <c r="N267" s="115">
        <v>254</v>
      </c>
      <c r="O267" s="115">
        <f>0.42*N266</f>
        <v>106.67999999999999</v>
      </c>
      <c r="P267" s="432">
        <f t="shared" si="121"/>
        <v>2.371782943422239E-2</v>
      </c>
      <c r="Q267" s="439">
        <v>313</v>
      </c>
      <c r="R267" s="440"/>
      <c r="S267" s="1017"/>
      <c r="T267" s="505" t="s">
        <v>163</v>
      </c>
      <c r="U267" s="441">
        <f>2*PI()*$M$266*$N$266*W267/1000</f>
        <v>504.15399258866</v>
      </c>
      <c r="V267" s="115">
        <v>197000</v>
      </c>
      <c r="W267" s="12">
        <v>390</v>
      </c>
      <c r="X267" s="441"/>
      <c r="Y267" s="442"/>
      <c r="Z267" s="1015"/>
      <c r="AA267" s="438"/>
      <c r="AB267" s="1017"/>
      <c r="AC267" s="25" t="s">
        <v>751</v>
      </c>
      <c r="AD267" s="1015"/>
      <c r="AE267" s="1030"/>
      <c r="AF267" s="873"/>
      <c r="AK267" s="35"/>
      <c r="AL267" s="873"/>
      <c r="AN267" s="566">
        <v>212</v>
      </c>
      <c r="AO267" s="554">
        <f t="shared" si="126"/>
        <v>0.54358974358974355</v>
      </c>
      <c r="AQ267" s="554">
        <f t="shared" si="127"/>
        <v>1.0127778652551334</v>
      </c>
      <c r="AR267" s="554">
        <f>1/SQRT(3*(1-0.3^2))/$N$266*$V$266*$M$266</f>
        <v>380.22109207858585</v>
      </c>
      <c r="AS267" s="576">
        <f>AR267*2*PI()*$N$266*$M$266/1000</f>
        <v>491.51277343035792</v>
      </c>
      <c r="AT267" s="675">
        <f t="shared" si="125"/>
        <v>0.55757033057014849</v>
      </c>
      <c r="AU267" s="649">
        <f t="shared" si="133"/>
        <v>0.54358974358974355</v>
      </c>
      <c r="AY267" s="912"/>
      <c r="AZ267" s="760">
        <v>1987</v>
      </c>
      <c r="BA267" s="293"/>
    </row>
    <row r="268" spans="1:55">
      <c r="A268" s="145"/>
      <c r="B268" s="991"/>
      <c r="C268" s="953"/>
      <c r="D268" s="1020"/>
      <c r="E268" s="938"/>
      <c r="F268" s="1017"/>
      <c r="G268" s="1017"/>
      <c r="H268" s="959"/>
      <c r="I268" s="917"/>
      <c r="J268" s="221"/>
      <c r="K268" s="438"/>
      <c r="L268" s="526" t="s">
        <v>247</v>
      </c>
      <c r="M268" s="115">
        <v>0.81</v>
      </c>
      <c r="N268" s="115">
        <v>254</v>
      </c>
      <c r="O268" s="115">
        <f>0.419*N266</f>
        <v>106.426</v>
      </c>
      <c r="P268" s="432">
        <f t="shared" si="121"/>
        <v>2.3661358411759956E-2</v>
      </c>
      <c r="Q268" s="439">
        <v>313</v>
      </c>
      <c r="R268" s="440"/>
      <c r="S268" s="1017"/>
      <c r="T268" s="505" t="s">
        <v>163</v>
      </c>
      <c r="U268" s="441">
        <f>2*PI()*$M$266*$N$266*W268/1000</f>
        <v>532.5934485808408</v>
      </c>
      <c r="V268" s="115">
        <v>197000</v>
      </c>
      <c r="W268" s="12">
        <v>412</v>
      </c>
      <c r="X268" s="441"/>
      <c r="Y268" s="442"/>
      <c r="Z268" s="1015"/>
      <c r="AA268" s="438"/>
      <c r="AB268" s="1017"/>
      <c r="AC268" s="25" t="s">
        <v>751</v>
      </c>
      <c r="AD268" s="1015"/>
      <c r="AE268" s="1030"/>
      <c r="AF268" s="873"/>
      <c r="AK268" s="35"/>
      <c r="AL268" s="873"/>
      <c r="AN268" s="566">
        <v>226.7</v>
      </c>
      <c r="AO268" s="554">
        <f t="shared" si="126"/>
        <v>0.55024271844660189</v>
      </c>
      <c r="AQ268" s="554">
        <f t="shared" si="127"/>
        <v>1.0409515245154519</v>
      </c>
      <c r="AR268" s="554">
        <f>1/SQRT(3*(1-0.3^2))/$N$266*$V$266*$M$266</f>
        <v>380.22109207858585</v>
      </c>
      <c r="AS268" s="576">
        <f>AR268*2*PI()*$N$266*$M$266/1000</f>
        <v>491.51277343035792</v>
      </c>
      <c r="AT268" s="675">
        <f t="shared" si="125"/>
        <v>0.59623204688798426</v>
      </c>
      <c r="AU268" s="649">
        <f t="shared" si="133"/>
        <v>0.55024271844660189</v>
      </c>
      <c r="AY268" s="912"/>
      <c r="AZ268" s="760">
        <v>1987</v>
      </c>
      <c r="BA268" s="293"/>
    </row>
    <row r="269" spans="1:55" ht="17.100000000000001" customHeight="1" thickBot="1">
      <c r="A269" s="145"/>
      <c r="B269" s="992"/>
      <c r="C269" s="980"/>
      <c r="D269" s="1021"/>
      <c r="E269" s="939"/>
      <c r="F269" s="1018"/>
      <c r="G269" s="1018"/>
      <c r="H269" s="960"/>
      <c r="I269" s="918"/>
      <c r="J269" s="223"/>
      <c r="K269" s="443"/>
      <c r="L269" s="527" t="s">
        <v>248</v>
      </c>
      <c r="M269" s="430">
        <v>0.81</v>
      </c>
      <c r="N269" s="430">
        <v>254</v>
      </c>
      <c r="O269" s="430">
        <f>0.419*N266</f>
        <v>106.426</v>
      </c>
      <c r="P269" s="431">
        <f t="shared" si="121"/>
        <v>2.3661358411759956E-2</v>
      </c>
      <c r="Q269" s="445">
        <v>313</v>
      </c>
      <c r="R269" s="446"/>
      <c r="S269" s="1018"/>
      <c r="T269" s="506" t="s">
        <v>163</v>
      </c>
      <c r="U269" s="447">
        <f>2*PI()*$M$266*$N$266*W269/1000</f>
        <v>532.5934485808408</v>
      </c>
      <c r="V269" s="430">
        <v>197000</v>
      </c>
      <c r="W269" s="444">
        <v>412</v>
      </c>
      <c r="X269" s="447"/>
      <c r="Y269" s="448"/>
      <c r="Z269" s="1027"/>
      <c r="AA269" s="438"/>
      <c r="AB269" s="1017"/>
      <c r="AC269" s="25" t="s">
        <v>751</v>
      </c>
      <c r="AD269" s="1015"/>
      <c r="AE269" s="1031"/>
      <c r="AF269" s="874"/>
      <c r="AG269" s="18"/>
      <c r="AH269" s="18"/>
      <c r="AI269" s="18"/>
      <c r="AJ269" s="31"/>
      <c r="AK269" s="36"/>
      <c r="AL269" s="874"/>
      <c r="AM269" s="18"/>
      <c r="AN269" s="572">
        <v>234.7</v>
      </c>
      <c r="AO269" s="556">
        <f t="shared" si="126"/>
        <v>0.56966019417475722</v>
      </c>
      <c r="AP269" s="556"/>
      <c r="AQ269" s="556">
        <f t="shared" si="127"/>
        <v>1.0409515245154519</v>
      </c>
      <c r="AR269" s="556">
        <f>1/SQRT(3*(1-0.3^2))/$N$266*$V$266*$M$266</f>
        <v>380.22109207858585</v>
      </c>
      <c r="AS269" s="577">
        <f>AR269*2*PI()*$N$266*$M$266/1000</f>
        <v>491.51277343035792</v>
      </c>
      <c r="AT269" s="677">
        <f t="shared" si="125"/>
        <v>0.61727243672082011</v>
      </c>
      <c r="AU269" s="651">
        <f t="shared" si="133"/>
        <v>0.56966019417475722</v>
      </c>
      <c r="AV269" s="91"/>
      <c r="AW269" s="18"/>
      <c r="AX269" s="31"/>
      <c r="AY269" s="913"/>
      <c r="AZ269" s="760">
        <v>1987</v>
      </c>
      <c r="BA269" s="455"/>
      <c r="BB269" s="5"/>
      <c r="BC269" s="5"/>
    </row>
    <row r="270" spans="1:55" ht="17.100000000000001" customHeight="1">
      <c r="A270" s="145"/>
      <c r="B270" s="990">
        <v>12</v>
      </c>
      <c r="C270" s="1037" t="s">
        <v>249</v>
      </c>
      <c r="D270" s="895" t="s">
        <v>250</v>
      </c>
      <c r="E270" s="898">
        <v>1928</v>
      </c>
      <c r="F270" s="870" t="s">
        <v>40</v>
      </c>
      <c r="G270" s="870" t="s">
        <v>251</v>
      </c>
      <c r="H270" s="870" t="s">
        <v>252</v>
      </c>
      <c r="I270" s="910" t="s">
        <v>253</v>
      </c>
      <c r="J270" s="222"/>
      <c r="K270" s="34"/>
      <c r="L270" s="449"/>
      <c r="M270" s="47">
        <f>N270/Q270</f>
        <v>0.38385749999999996</v>
      </c>
      <c r="N270" s="19">
        <f>3.25/2*25.4</f>
        <v>41.274999999999999</v>
      </c>
      <c r="O270" s="449">
        <f t="shared" ref="O270:O278" si="134">5*25.4</f>
        <v>127</v>
      </c>
      <c r="P270" s="72">
        <f t="shared" si="121"/>
        <v>0.29672771572286016</v>
      </c>
      <c r="Q270" s="15">
        <f>1/0.0093</f>
        <v>107.52688172043011</v>
      </c>
      <c r="R270" s="34"/>
      <c r="S270" s="870" t="s">
        <v>254</v>
      </c>
      <c r="T270" s="464" t="s">
        <v>163</v>
      </c>
      <c r="U270" s="171">
        <f t="shared" ref="U270:U278" si="135">$W$270*2*PI()*N270*M270/10^3</f>
        <v>61.498422034191606</v>
      </c>
      <c r="V270" s="353">
        <f t="shared" ref="V270:V278" si="136">(14.02+14.56+14.6)*10^3*15.4442563072/3</f>
        <v>222294.32911496531</v>
      </c>
      <c r="W270" s="354">
        <f t="shared" ref="W270:W278" si="137">40*15.4442563072</f>
        <v>617.77025228799994</v>
      </c>
      <c r="X270" s="171"/>
      <c r="Y270" s="171"/>
      <c r="Z270" s="881" t="s">
        <v>255</v>
      </c>
      <c r="AA270" s="232"/>
      <c r="AB270" s="870" t="s">
        <v>256</v>
      </c>
      <c r="AC270" s="379" t="s">
        <v>751</v>
      </c>
      <c r="AD270" s="881" t="s">
        <v>257</v>
      </c>
      <c r="AE270" s="34"/>
      <c r="AF270" s="15"/>
      <c r="AG270" s="15"/>
      <c r="AH270" s="15"/>
      <c r="AI270" s="15"/>
      <c r="AJ270" s="29"/>
      <c r="AK270" s="34"/>
      <c r="AL270" s="870" t="s">
        <v>258</v>
      </c>
      <c r="AM270" s="15"/>
      <c r="AN270" s="56">
        <f>39.1*15.4442563072</f>
        <v>603.87042161151999</v>
      </c>
      <c r="AO270" s="552">
        <f t="shared" ref="AO270:AO278" si="138">AN270/$W$270</f>
        <v>0.97750000000000004</v>
      </c>
      <c r="AP270" s="20"/>
      <c r="AQ270" s="20">
        <f t="shared" ref="AQ270:AQ278" si="139">SQRT($W$270/AR270)</f>
        <v>0.70266527472493745</v>
      </c>
      <c r="AR270" s="579">
        <f t="shared" ref="AR270:AR278" si="140">1/SQRT(3*(1-0.3^2))*$V$270*1/Q270</f>
        <v>1251.2094295296099</v>
      </c>
      <c r="AS270" s="547"/>
      <c r="AT270" s="674">
        <f t="shared" si="125"/>
        <v>0.48262937231742575</v>
      </c>
      <c r="AU270" s="648">
        <f t="shared" si="133"/>
        <v>0.97750000000000004</v>
      </c>
      <c r="AV270" s="128"/>
      <c r="AW270" s="870" t="s">
        <v>259</v>
      </c>
      <c r="AX270" s="29"/>
      <c r="AY270" s="128"/>
      <c r="AZ270" s="765">
        <v>1928</v>
      </c>
      <c r="BA270" s="456"/>
      <c r="BB270" s="454"/>
      <c r="BC270" s="454"/>
    </row>
    <row r="271" spans="1:55">
      <c r="A271" s="145"/>
      <c r="B271" s="991"/>
      <c r="C271" s="1038"/>
      <c r="D271" s="896"/>
      <c r="E271" s="899"/>
      <c r="F271" s="871"/>
      <c r="G271" s="871"/>
      <c r="H271" s="871"/>
      <c r="I271" s="917"/>
      <c r="J271" s="221"/>
      <c r="K271" s="35"/>
      <c r="M271" s="46">
        <f t="shared" ref="M271:M278" si="141">N271/Q271</f>
        <v>0.37560250000000001</v>
      </c>
      <c r="N271" s="450">
        <f>3.25/2*25.4</f>
        <v>41.274999999999999</v>
      </c>
      <c r="O271" s="451">
        <f t="shared" si="134"/>
        <v>127</v>
      </c>
      <c r="P271" s="65">
        <f t="shared" si="121"/>
        <v>0.29351975428213717</v>
      </c>
      <c r="Q271" s="5">
        <f>1/0.0091</f>
        <v>109.89010989010988</v>
      </c>
      <c r="R271" s="35"/>
      <c r="S271" s="871"/>
      <c r="T271" s="465" t="s">
        <v>163</v>
      </c>
      <c r="U271" s="172">
        <f t="shared" si="135"/>
        <v>60.175875323778897</v>
      </c>
      <c r="V271" s="355">
        <f t="shared" si="136"/>
        <v>222294.32911496531</v>
      </c>
      <c r="W271" s="356">
        <f t="shared" si="137"/>
        <v>617.77025228799994</v>
      </c>
      <c r="Z271" s="882"/>
      <c r="AA271" s="35"/>
      <c r="AB271" s="871"/>
      <c r="AC271" s="380" t="s">
        <v>751</v>
      </c>
      <c r="AD271" s="882"/>
      <c r="AE271" s="35"/>
      <c r="AK271" s="35"/>
      <c r="AL271" s="871"/>
      <c r="AN271" s="549">
        <f>43.5*15.4442563072</f>
        <v>671.82514936320001</v>
      </c>
      <c r="AO271" s="553">
        <f t="shared" si="138"/>
        <v>1.0875000000000001</v>
      </c>
      <c r="AQ271" s="554">
        <f t="shared" si="139"/>
        <v>0.71034490471292777</v>
      </c>
      <c r="AR271" s="581">
        <f t="shared" si="140"/>
        <v>1224.3016998623066</v>
      </c>
      <c r="AT271" s="675">
        <f t="shared" si="125"/>
        <v>0.54874149847113507</v>
      </c>
      <c r="AU271" s="649">
        <f t="shared" si="133"/>
        <v>1.0875000000000001</v>
      </c>
      <c r="AW271" s="871"/>
      <c r="AY271" s="90"/>
      <c r="AZ271" s="543">
        <v>1928</v>
      </c>
      <c r="BA271" s="457"/>
      <c r="BB271" s="454"/>
      <c r="BC271" s="454"/>
    </row>
    <row r="272" spans="1:55">
      <c r="A272" s="145"/>
      <c r="B272" s="991"/>
      <c r="C272" s="1038"/>
      <c r="D272" s="896"/>
      <c r="E272" s="899"/>
      <c r="F272" s="871"/>
      <c r="G272" s="871"/>
      <c r="H272" s="871"/>
      <c r="I272" s="917"/>
      <c r="J272" s="221"/>
      <c r="K272" s="35"/>
      <c r="M272" s="46">
        <f t="shared" si="141"/>
        <v>0.37972999999999996</v>
      </c>
      <c r="N272" s="450">
        <f>3.25/2*25.4</f>
        <v>41.274999999999999</v>
      </c>
      <c r="O272" s="451">
        <f t="shared" si="134"/>
        <v>127</v>
      </c>
      <c r="P272" s="65">
        <f t="shared" si="121"/>
        <v>0.29512809374232118</v>
      </c>
      <c r="Q272" s="5">
        <f>1/0.0092</f>
        <v>108.69565217391305</v>
      </c>
      <c r="R272" s="35"/>
      <c r="S272" s="871"/>
      <c r="T272" s="465" t="s">
        <v>163</v>
      </c>
      <c r="U272" s="172">
        <f t="shared" si="135"/>
        <v>60.837148678985251</v>
      </c>
      <c r="V272" s="355">
        <f t="shared" si="136"/>
        <v>222294.32911496531</v>
      </c>
      <c r="W272" s="356">
        <f t="shared" si="137"/>
        <v>617.77025228799994</v>
      </c>
      <c r="Z272" s="882"/>
      <c r="AA272" s="35"/>
      <c r="AB272" s="871"/>
      <c r="AC272" s="380" t="s">
        <v>751</v>
      </c>
      <c r="AD272" s="882"/>
      <c r="AE272" s="35"/>
      <c r="AK272" s="35"/>
      <c r="AL272" s="871"/>
      <c r="AN272" s="549">
        <f>43.5*15.4442563072</f>
        <v>671.82514936320001</v>
      </c>
      <c r="AO272" s="553">
        <f t="shared" si="138"/>
        <v>1.0875000000000001</v>
      </c>
      <c r="AQ272" s="554">
        <f t="shared" si="139"/>
        <v>0.70647378649404347</v>
      </c>
      <c r="AR272" s="581">
        <f t="shared" si="140"/>
        <v>1237.7555646959581</v>
      </c>
      <c r="AT272" s="675">
        <f t="shared" si="125"/>
        <v>0.54277691696601416</v>
      </c>
      <c r="AU272" s="649">
        <f t="shared" si="133"/>
        <v>1.0875000000000001</v>
      </c>
      <c r="AW272" s="871"/>
      <c r="AY272" s="90"/>
      <c r="AZ272" s="543">
        <v>1928</v>
      </c>
      <c r="BA272" s="457"/>
      <c r="BB272" s="454"/>
      <c r="BC272" s="454"/>
    </row>
    <row r="273" spans="1:55">
      <c r="A273" s="145"/>
      <c r="B273" s="991"/>
      <c r="C273" s="1038"/>
      <c r="D273" s="896"/>
      <c r="E273" s="899"/>
      <c r="F273" s="871"/>
      <c r="G273" s="871"/>
      <c r="H273" s="871"/>
      <c r="I273" s="917"/>
      <c r="J273" s="221"/>
      <c r="K273" s="35"/>
      <c r="M273" s="46">
        <f>N273/Q273</f>
        <v>0.39496999999999999</v>
      </c>
      <c r="N273" s="450">
        <f>5/2*25.4</f>
        <v>63.5</v>
      </c>
      <c r="O273" s="451">
        <f t="shared" si="134"/>
        <v>127</v>
      </c>
      <c r="P273" s="65">
        <f t="shared" si="121"/>
        <v>0.15773395322504283</v>
      </c>
      <c r="Q273" s="5">
        <f>1/0.00622</f>
        <v>160.77170418006432</v>
      </c>
      <c r="R273" s="35"/>
      <c r="S273" s="871"/>
      <c r="T273" s="465" t="s">
        <v>163</v>
      </c>
      <c r="U273" s="172">
        <f t="shared" si="135"/>
        <v>97.351959038664333</v>
      </c>
      <c r="V273" s="355">
        <f t="shared" si="136"/>
        <v>222294.32911496531</v>
      </c>
      <c r="W273" s="356">
        <f t="shared" si="137"/>
        <v>617.77025228799994</v>
      </c>
      <c r="Z273" s="882"/>
      <c r="AA273" s="35"/>
      <c r="AB273" s="871"/>
      <c r="AC273" s="380" t="s">
        <v>751</v>
      </c>
      <c r="AD273" s="882"/>
      <c r="AE273" s="35"/>
      <c r="AK273" s="35"/>
      <c r="AL273" s="871"/>
      <c r="AN273" s="549">
        <f>30.25*15.4442563072</f>
        <v>467.18875329280002</v>
      </c>
      <c r="AO273" s="553">
        <f t="shared" si="138"/>
        <v>0.75625000000000009</v>
      </c>
      <c r="AQ273" s="554">
        <f t="shared" si="139"/>
        <v>0.85920099924923787</v>
      </c>
      <c r="AR273" s="581">
        <f t="shared" si="140"/>
        <v>836.83039265313687</v>
      </c>
      <c r="AT273" s="675">
        <f t="shared" si="125"/>
        <v>0.55828368256510974</v>
      </c>
      <c r="AU273" s="649">
        <f t="shared" si="133"/>
        <v>0.75625000000000009</v>
      </c>
      <c r="AW273" s="871"/>
      <c r="AY273" s="90"/>
      <c r="AZ273" s="543">
        <v>1928</v>
      </c>
      <c r="BA273" s="457"/>
      <c r="BB273" s="454"/>
      <c r="BC273" s="454"/>
    </row>
    <row r="274" spans="1:55">
      <c r="A274" s="145"/>
      <c r="B274" s="991"/>
      <c r="C274" s="1038"/>
      <c r="D274" s="896"/>
      <c r="E274" s="899"/>
      <c r="F274" s="871"/>
      <c r="G274" s="871"/>
      <c r="H274" s="871"/>
      <c r="I274" s="917"/>
      <c r="J274" s="221"/>
      <c r="K274" s="35"/>
      <c r="M274" s="46">
        <f t="shared" si="141"/>
        <v>0.38481000000000004</v>
      </c>
      <c r="N274" s="450">
        <f>5/2*25.4</f>
        <v>63.5</v>
      </c>
      <c r="O274" s="451">
        <f t="shared" si="134"/>
        <v>127</v>
      </c>
      <c r="P274" s="65">
        <f t="shared" si="121"/>
        <v>0.15569200364822852</v>
      </c>
      <c r="Q274" s="5">
        <f>1/0.00606</f>
        <v>165.016501650165</v>
      </c>
      <c r="R274" s="35"/>
      <c r="S274" s="871"/>
      <c r="T274" s="465" t="s">
        <v>163</v>
      </c>
      <c r="U274" s="172">
        <f t="shared" si="135"/>
        <v>94.84772858107813</v>
      </c>
      <c r="V274" s="355">
        <f t="shared" si="136"/>
        <v>222294.32911496531</v>
      </c>
      <c r="W274" s="356">
        <f t="shared" si="137"/>
        <v>617.77025228799994</v>
      </c>
      <c r="Z274" s="882"/>
      <c r="AA274" s="35"/>
      <c r="AB274" s="871"/>
      <c r="AC274" s="380" t="s">
        <v>751</v>
      </c>
      <c r="AD274" s="882"/>
      <c r="AE274" s="35"/>
      <c r="AK274" s="35"/>
      <c r="AL274" s="871"/>
      <c r="AN274" s="549">
        <f>28.1*15.4442563072</f>
        <v>433.98360223232004</v>
      </c>
      <c r="AO274" s="553">
        <f t="shared" si="138"/>
        <v>0.70250000000000012</v>
      </c>
      <c r="AQ274" s="554">
        <f t="shared" si="139"/>
        <v>0.87046969048388478</v>
      </c>
      <c r="AR274" s="581">
        <f t="shared" si="140"/>
        <v>815.3042089192943</v>
      </c>
      <c r="AT274" s="675">
        <f t="shared" si="125"/>
        <v>0.53229653114090503</v>
      </c>
      <c r="AU274" s="649">
        <f t="shared" si="133"/>
        <v>0.70250000000000012</v>
      </c>
      <c r="AW274" s="871"/>
      <c r="AY274" s="90"/>
      <c r="AZ274" s="543">
        <v>1928</v>
      </c>
      <c r="BA274" s="457"/>
      <c r="BB274" s="454"/>
      <c r="BC274" s="454"/>
    </row>
    <row r="275" spans="1:55">
      <c r="A275" s="145"/>
      <c r="B275" s="991"/>
      <c r="C275" s="1038"/>
      <c r="D275" s="896"/>
      <c r="E275" s="899"/>
      <c r="F275" s="871"/>
      <c r="G275" s="871"/>
      <c r="H275" s="871"/>
      <c r="I275" s="917"/>
      <c r="J275" s="221"/>
      <c r="K275" s="35"/>
      <c r="M275" s="46">
        <f t="shared" si="141"/>
        <v>0.39014399999999994</v>
      </c>
      <c r="N275" s="450">
        <f>8/2*25.4</f>
        <v>101.6</v>
      </c>
      <c r="O275" s="451">
        <f t="shared" si="134"/>
        <v>127</v>
      </c>
      <c r="P275" s="65">
        <f t="shared" si="121"/>
        <v>7.7459666924148338E-2</v>
      </c>
      <c r="Q275" s="6">
        <f>1/0.00384</f>
        <v>260.41666666666669</v>
      </c>
      <c r="R275" s="35"/>
      <c r="S275" s="871"/>
      <c r="T275" s="465" t="s">
        <v>163</v>
      </c>
      <c r="U275" s="172">
        <f t="shared" si="135"/>
        <v>153.85991931409737</v>
      </c>
      <c r="V275" s="355">
        <f t="shared" si="136"/>
        <v>222294.32911496531</v>
      </c>
      <c r="W275" s="356">
        <f t="shared" si="137"/>
        <v>617.77025228799994</v>
      </c>
      <c r="Z275" s="882"/>
      <c r="AA275" s="35"/>
      <c r="AB275" s="871"/>
      <c r="AC275" s="380" t="s">
        <v>751</v>
      </c>
      <c r="AD275" s="882"/>
      <c r="AE275" s="35"/>
      <c r="AK275" s="35"/>
      <c r="AL275" s="871"/>
      <c r="AN275" s="549">
        <f>16.85*15.4442563072</f>
        <v>260.23571877632003</v>
      </c>
      <c r="AO275" s="553">
        <f t="shared" si="138"/>
        <v>0.42125000000000007</v>
      </c>
      <c r="AQ275" s="554">
        <f t="shared" si="139"/>
        <v>1.0935140151648302</v>
      </c>
      <c r="AR275" s="581">
        <f t="shared" si="140"/>
        <v>516.62840961222594</v>
      </c>
      <c r="AT275" s="675">
        <f t="shared" si="125"/>
        <v>0.50371933469870411</v>
      </c>
      <c r="AU275" s="649">
        <f t="shared" si="133"/>
        <v>0.42125000000000007</v>
      </c>
      <c r="AW275" s="871"/>
      <c r="AY275" s="90"/>
      <c r="AZ275" s="543">
        <v>1928</v>
      </c>
      <c r="BA275" s="457"/>
      <c r="BB275" s="454"/>
      <c r="BC275" s="454"/>
    </row>
    <row r="276" spans="1:55">
      <c r="A276" s="145"/>
      <c r="B276" s="991"/>
      <c r="C276" s="1038"/>
      <c r="D276" s="896"/>
      <c r="E276" s="899"/>
      <c r="F276" s="871"/>
      <c r="G276" s="871"/>
      <c r="H276" s="871"/>
      <c r="I276" s="917"/>
      <c r="J276" s="221"/>
      <c r="K276" s="35"/>
      <c r="M276" s="46">
        <f t="shared" si="141"/>
        <v>0.37591999999999998</v>
      </c>
      <c r="N276" s="450">
        <f>8/2*25.4</f>
        <v>101.6</v>
      </c>
      <c r="O276" s="451">
        <f t="shared" si="134"/>
        <v>127</v>
      </c>
      <c r="P276" s="65">
        <f t="shared" si="121"/>
        <v>7.6034531628727753E-2</v>
      </c>
      <c r="Q276" s="6">
        <f>1/0.0037</f>
        <v>270.27027027027026</v>
      </c>
      <c r="R276" s="35"/>
      <c r="S276" s="871"/>
      <c r="T276" s="465" t="s">
        <v>163</v>
      </c>
      <c r="U276" s="172">
        <f t="shared" si="135"/>
        <v>148.25044308910427</v>
      </c>
      <c r="V276" s="355">
        <f t="shared" si="136"/>
        <v>222294.32911496531</v>
      </c>
      <c r="W276" s="356">
        <f t="shared" si="137"/>
        <v>617.77025228799994</v>
      </c>
      <c r="Z276" s="882"/>
      <c r="AA276" s="35"/>
      <c r="AB276" s="871"/>
      <c r="AC276" s="380" t="s">
        <v>751</v>
      </c>
      <c r="AD276" s="882"/>
      <c r="AE276" s="35"/>
      <c r="AK276" s="35"/>
      <c r="AL276" s="871"/>
      <c r="AN276" s="549">
        <f>19.5*15.4442563072</f>
        <v>301.16299799040002</v>
      </c>
      <c r="AO276" s="553">
        <f t="shared" si="138"/>
        <v>0.4875000000000001</v>
      </c>
      <c r="AQ276" s="554">
        <f t="shared" si="139"/>
        <v>1.1140100369810504</v>
      </c>
      <c r="AR276" s="581">
        <f t="shared" si="140"/>
        <v>497.79299884511363</v>
      </c>
      <c r="AT276" s="675">
        <f t="shared" si="125"/>
        <v>0.60499645171607908</v>
      </c>
      <c r="AU276" s="649">
        <f t="shared" si="133"/>
        <v>0.4875000000000001</v>
      </c>
      <c r="AW276" s="871"/>
      <c r="AY276" s="90"/>
      <c r="AZ276" s="543">
        <v>1928</v>
      </c>
      <c r="BA276" s="457"/>
      <c r="BB276" s="454"/>
      <c r="BC276" s="454"/>
    </row>
    <row r="277" spans="1:55">
      <c r="A277" s="145"/>
      <c r="B277" s="991"/>
      <c r="C277" s="1038"/>
      <c r="D277" s="896"/>
      <c r="E277" s="899"/>
      <c r="F277" s="871"/>
      <c r="G277" s="871"/>
      <c r="H277" s="871"/>
      <c r="I277" s="917"/>
      <c r="J277" s="221"/>
      <c r="K277" s="35"/>
      <c r="M277" s="46">
        <f t="shared" si="141"/>
        <v>0.3863339999999999</v>
      </c>
      <c r="N277" s="450">
        <f>(14+5/8)/2*25.4</f>
        <v>185.73749999999998</v>
      </c>
      <c r="O277" s="451">
        <f t="shared" si="134"/>
        <v>127</v>
      </c>
      <c r="P277" s="65">
        <f t="shared" si="121"/>
        <v>3.1184285130916593E-2</v>
      </c>
      <c r="Q277" s="6">
        <f>1/0.00208</f>
        <v>480.76923076923083</v>
      </c>
      <c r="R277" s="35"/>
      <c r="S277" s="871"/>
      <c r="T277" s="465" t="s">
        <v>163</v>
      </c>
      <c r="U277" s="172">
        <f t="shared" si="135"/>
        <v>278.52833721291933</v>
      </c>
      <c r="V277" s="355">
        <f t="shared" si="136"/>
        <v>222294.32911496531</v>
      </c>
      <c r="W277" s="356">
        <f t="shared" si="137"/>
        <v>617.77025228799994</v>
      </c>
      <c r="Z277" s="882"/>
      <c r="AA277" s="35"/>
      <c r="AB277" s="871"/>
      <c r="AC277" s="380" t="s">
        <v>751</v>
      </c>
      <c r="AD277" s="882"/>
      <c r="AE277" s="35"/>
      <c r="AK277" s="35"/>
      <c r="AL277" s="871"/>
      <c r="AN277" s="549">
        <f>9.75*15.4442563072</f>
        <v>150.58149899520001</v>
      </c>
      <c r="AO277" s="553">
        <f t="shared" si="138"/>
        <v>0.24375000000000005</v>
      </c>
      <c r="AQ277" s="554">
        <f t="shared" si="139"/>
        <v>1.4857929670636589</v>
      </c>
      <c r="AR277" s="581">
        <f t="shared" si="140"/>
        <v>279.84038853995571</v>
      </c>
      <c r="AT277" s="675">
        <f t="shared" si="125"/>
        <v>0.53809780561285891</v>
      </c>
      <c r="AU277" s="649">
        <f t="shared" si="133"/>
        <v>0.24375000000000005</v>
      </c>
      <c r="AW277" s="871"/>
      <c r="AY277" s="90"/>
      <c r="AZ277" s="543">
        <v>1928</v>
      </c>
      <c r="BA277" s="457"/>
      <c r="BB277" s="454"/>
      <c r="BC277" s="454"/>
    </row>
    <row r="278" spans="1:55" ht="16.5" thickBot="1">
      <c r="A278" s="145"/>
      <c r="B278" s="992"/>
      <c r="C278" s="1039"/>
      <c r="D278" s="897"/>
      <c r="E278" s="900"/>
      <c r="F278" s="872"/>
      <c r="G278" s="872"/>
      <c r="H278" s="872"/>
      <c r="I278" s="918"/>
      <c r="J278" s="223"/>
      <c r="K278" s="36"/>
      <c r="L278" s="453"/>
      <c r="M278" s="50">
        <f t="shared" si="141"/>
        <v>0.36404549999999997</v>
      </c>
      <c r="N278" s="452">
        <f>(14+5/8)/2*25.4</f>
        <v>185.73749999999998</v>
      </c>
      <c r="O278" s="453">
        <f t="shared" si="134"/>
        <v>127</v>
      </c>
      <c r="P278" s="89">
        <f t="shared" si="121"/>
        <v>3.0271375892210128E-2</v>
      </c>
      <c r="Q278" s="16">
        <f>1/0.00196</f>
        <v>510.20408163265307</v>
      </c>
      <c r="R278" s="36"/>
      <c r="S278" s="872"/>
      <c r="T278" s="466" t="s">
        <v>163</v>
      </c>
      <c r="U278" s="173">
        <f t="shared" si="135"/>
        <v>262.45939468140483</v>
      </c>
      <c r="V278" s="357">
        <f t="shared" si="136"/>
        <v>222294.32911496531</v>
      </c>
      <c r="W278" s="358">
        <f t="shared" si="137"/>
        <v>617.77025228799994</v>
      </c>
      <c r="X278" s="173"/>
      <c r="Y278" s="173"/>
      <c r="Z278" s="883"/>
      <c r="AA278" s="36"/>
      <c r="AB278" s="872"/>
      <c r="AC278" s="381" t="s">
        <v>751</v>
      </c>
      <c r="AD278" s="883"/>
      <c r="AE278" s="35"/>
      <c r="AK278" s="36"/>
      <c r="AL278" s="872"/>
      <c r="AM278" s="18"/>
      <c r="AN278" s="551">
        <f>6.76*15.4442563072</f>
        <v>104.403172636672</v>
      </c>
      <c r="AO278" s="555">
        <f t="shared" si="138"/>
        <v>0.16900000000000001</v>
      </c>
      <c r="AP278" s="556"/>
      <c r="AQ278" s="556">
        <f t="shared" si="139"/>
        <v>1.5306007792776573</v>
      </c>
      <c r="AR278" s="588">
        <f t="shared" si="140"/>
        <v>263.69575073957367</v>
      </c>
      <c r="AS278" s="577"/>
      <c r="AT278" s="677">
        <f t="shared" si="125"/>
        <v>0.39592284799378785</v>
      </c>
      <c r="AU278" s="651">
        <f t="shared" si="133"/>
        <v>0.16900000000000001</v>
      </c>
      <c r="AV278" s="91"/>
      <c r="AW278" s="872"/>
      <c r="AX278" s="31"/>
      <c r="AY278" s="91"/>
      <c r="AZ278" s="766">
        <v>1928</v>
      </c>
      <c r="BA278" s="455"/>
      <c r="BB278" s="454"/>
      <c r="BC278" s="454"/>
    </row>
    <row r="279" spans="1:55" ht="126" customHeight="1">
      <c r="A279" s="145"/>
      <c r="B279" s="1001">
        <v>13</v>
      </c>
      <c r="C279" s="944" t="s">
        <v>260</v>
      </c>
      <c r="D279" s="870" t="s">
        <v>261</v>
      </c>
      <c r="E279" s="898">
        <v>2016</v>
      </c>
      <c r="F279" s="870" t="s">
        <v>40</v>
      </c>
      <c r="G279" s="870" t="s">
        <v>262</v>
      </c>
      <c r="H279" s="870" t="s">
        <v>263</v>
      </c>
      <c r="I279" s="910" t="s">
        <v>264</v>
      </c>
      <c r="J279" s="222"/>
      <c r="K279" s="884" t="s">
        <v>265</v>
      </c>
      <c r="L279" s="449" t="s">
        <v>266</v>
      </c>
      <c r="M279" s="14">
        <v>1.9</v>
      </c>
      <c r="N279" s="14">
        <f>101.75/2</f>
        <v>50.875</v>
      </c>
      <c r="O279" s="14">
        <v>300</v>
      </c>
      <c r="P279" s="72">
        <f>O279/N279*SQRT(M279/N279)</f>
        <v>1.139571086955977</v>
      </c>
      <c r="Q279" s="14">
        <f>N279/M279</f>
        <v>26.776315789473685</v>
      </c>
      <c r="R279" s="34"/>
      <c r="S279" s="171"/>
      <c r="T279" s="464" t="s">
        <v>163</v>
      </c>
      <c r="U279" s="77">
        <f>$W$279*2*PI()*N279*M279/10^3</f>
        <v>168.23550673220333</v>
      </c>
      <c r="V279" s="62">
        <v>192392</v>
      </c>
      <c r="W279" s="62">
        <v>277</v>
      </c>
      <c r="X279" s="870"/>
      <c r="Y279" s="870"/>
      <c r="Z279" s="881" t="s">
        <v>267</v>
      </c>
      <c r="AA279" s="34"/>
      <c r="AB279" s="870" t="s">
        <v>268</v>
      </c>
      <c r="AC279" s="380" t="s">
        <v>751</v>
      </c>
      <c r="AD279" s="15"/>
      <c r="AE279" s="884" t="s">
        <v>980</v>
      </c>
      <c r="AF279" s="870" t="s">
        <v>981</v>
      </c>
      <c r="AG279" s="925"/>
      <c r="AH279" s="475"/>
      <c r="AI279" s="475"/>
      <c r="AJ279" s="483"/>
      <c r="AK279" s="26"/>
      <c r="AL279" s="15"/>
      <c r="AM279" s="127">
        <v>174</v>
      </c>
      <c r="AN279" s="578"/>
      <c r="AO279" s="20"/>
      <c r="AP279" s="76">
        <f t="shared" ref="AP279:AP289" si="142">AM279/U279</f>
        <v>1.0342644271697803</v>
      </c>
      <c r="AQ279" s="557">
        <f>SQRT($W$279/AR279)</f>
        <v>0.25238436792586039</v>
      </c>
      <c r="AR279" s="579">
        <f>1/SQRT(3*(1-0.3^2))*$V$279*1/Q279</f>
        <v>4348.6541009122529</v>
      </c>
      <c r="AS279" s="614"/>
      <c r="AT279" s="674">
        <f>AP279*$W$279/AR279</f>
        <v>6.5880440172496016E-2</v>
      </c>
      <c r="AU279" s="648">
        <f t="shared" si="133"/>
        <v>1.0342644271697803</v>
      </c>
      <c r="AV279" s="128"/>
      <c r="AW279" s="15"/>
      <c r="AX279" s="29"/>
      <c r="AY279" s="216"/>
      <c r="AZ279" s="543">
        <v>2016</v>
      </c>
      <c r="BA279" s="292"/>
    </row>
    <row r="280" spans="1:55">
      <c r="A280" s="145"/>
      <c r="B280" s="994"/>
      <c r="C280" s="945"/>
      <c r="D280" s="871"/>
      <c r="E280" s="899"/>
      <c r="F280" s="871"/>
      <c r="G280" s="871"/>
      <c r="H280" s="871"/>
      <c r="I280" s="917"/>
      <c r="J280" s="221"/>
      <c r="K280" s="885"/>
      <c r="L280" s="451" t="s">
        <v>269</v>
      </c>
      <c r="M280" s="6">
        <v>1.9</v>
      </c>
      <c r="N280" s="6">
        <f>151.5/2</f>
        <v>75.75</v>
      </c>
      <c r="O280" s="6">
        <v>450</v>
      </c>
      <c r="P280" s="65">
        <f>O280/N280*SQRT(M280/N280)</f>
        <v>0.94083910149930083</v>
      </c>
      <c r="Q280" s="6">
        <f>N280/M280</f>
        <v>39.868421052631582</v>
      </c>
      <c r="R280" s="35"/>
      <c r="T280" s="465" t="s">
        <v>163</v>
      </c>
      <c r="U280" s="68">
        <f>$W$279*2*PI()*N280*M280/10^3</f>
        <v>250.49316235802269</v>
      </c>
      <c r="V280" s="9">
        <v>192392</v>
      </c>
      <c r="W280" s="9">
        <v>277</v>
      </c>
      <c r="X280" s="871"/>
      <c r="Y280" s="871"/>
      <c r="Z280" s="882"/>
      <c r="AA280" s="35"/>
      <c r="AB280" s="871"/>
      <c r="AC280" s="380" t="s">
        <v>751</v>
      </c>
      <c r="AD280" s="5"/>
      <c r="AE280" s="885"/>
      <c r="AF280" s="871"/>
      <c r="AG280" s="890"/>
      <c r="AH280" s="476"/>
      <c r="AI280" s="476"/>
      <c r="AJ280" s="484"/>
      <c r="AK280" s="697"/>
      <c r="AM280" s="7">
        <v>256.7</v>
      </c>
      <c r="AN280" s="580"/>
      <c r="AP280" s="558">
        <f t="shared" si="142"/>
        <v>1.024778471330511</v>
      </c>
      <c r="AQ280" s="559">
        <f>SQRT($W$279/AR280)</f>
        <v>0.30796514017858079</v>
      </c>
      <c r="AR280" s="581">
        <f>1/SQRT(3*(1-0.3^2))*$V$279*1/Q280</f>
        <v>2920.6307245400772</v>
      </c>
      <c r="AS280" s="608"/>
      <c r="AT280" s="675">
        <f t="shared" ref="AT280:AT283" si="143">AP280*$W$279/AR280</f>
        <v>9.7192580415400728E-2</v>
      </c>
      <c r="AU280" s="649">
        <f t="shared" si="133"/>
        <v>1.024778471330511</v>
      </c>
      <c r="AZ280" s="543">
        <v>2016</v>
      </c>
      <c r="BA280" s="293"/>
    </row>
    <row r="281" spans="1:55">
      <c r="A281" s="145"/>
      <c r="B281" s="994"/>
      <c r="C281" s="945"/>
      <c r="D281" s="871"/>
      <c r="E281" s="899"/>
      <c r="F281" s="871"/>
      <c r="G281" s="871"/>
      <c r="H281" s="871"/>
      <c r="I281" s="917"/>
      <c r="J281" s="221"/>
      <c r="K281" s="885"/>
      <c r="L281" s="451" t="s">
        <v>270</v>
      </c>
      <c r="M281" s="6">
        <v>1.9</v>
      </c>
      <c r="N281" s="6">
        <f>204/2</f>
        <v>102</v>
      </c>
      <c r="O281" s="6">
        <v>600</v>
      </c>
      <c r="P281" s="65">
        <f>O281/N281*SQRT(M281/N281)</f>
        <v>0.80283776495016634</v>
      </c>
      <c r="Q281" s="6">
        <f>N281/M281</f>
        <v>53.684210526315795</v>
      </c>
      <c r="R281" s="35"/>
      <c r="T281" s="465" t="s">
        <v>163</v>
      </c>
      <c r="U281" s="68">
        <f>$W$279*2*PI()*N281*M281/10^3</f>
        <v>337.2977235711989</v>
      </c>
      <c r="V281" s="9">
        <v>192392</v>
      </c>
      <c r="W281" s="9">
        <v>277</v>
      </c>
      <c r="X281" s="871"/>
      <c r="Y281" s="871"/>
      <c r="Z281" s="882"/>
      <c r="AA281" s="35"/>
      <c r="AB281" s="871"/>
      <c r="AC281" s="380" t="s">
        <v>751</v>
      </c>
      <c r="AD281" s="5"/>
      <c r="AE281" s="885"/>
      <c r="AF281" s="871"/>
      <c r="AG281" s="890"/>
      <c r="AH281" s="476"/>
      <c r="AI281" s="476"/>
      <c r="AJ281" s="484"/>
      <c r="AK281" s="697"/>
      <c r="AM281" s="7">
        <v>285.2</v>
      </c>
      <c r="AN281" s="580"/>
      <c r="AP281" s="558">
        <f t="shared" si="142"/>
        <v>0.84554380320268663</v>
      </c>
      <c r="AQ281" s="559">
        <f>SQRT($W$279/AR281)</f>
        <v>0.35736361033099262</v>
      </c>
      <c r="AR281" s="581">
        <f>1/SQRT(3*(1-0.3^2))*$V$279*1/Q281</f>
        <v>2168.9978174893222</v>
      </c>
      <c r="AS281" s="608"/>
      <c r="AT281" s="675">
        <f t="shared" si="143"/>
        <v>0.1079833421677923</v>
      </c>
      <c r="AU281" s="649">
        <f t="shared" si="133"/>
        <v>0.84554380320268663</v>
      </c>
      <c r="AZ281" s="543">
        <v>2016</v>
      </c>
      <c r="BA281" s="293"/>
    </row>
    <row r="282" spans="1:55">
      <c r="A282" s="145"/>
      <c r="B282" s="994"/>
      <c r="C282" s="945"/>
      <c r="D282" s="871"/>
      <c r="E282" s="899"/>
      <c r="F282" s="871"/>
      <c r="G282" s="871"/>
      <c r="H282" s="871"/>
      <c r="I282" s="917"/>
      <c r="J282" s="221"/>
      <c r="K282" s="885"/>
      <c r="L282" s="451" t="s">
        <v>271</v>
      </c>
      <c r="M282" s="6">
        <v>1.9</v>
      </c>
      <c r="N282" s="6">
        <f>256.5/2</f>
        <v>128.25</v>
      </c>
      <c r="O282" s="6">
        <v>750</v>
      </c>
      <c r="P282" s="65">
        <f>O282/N282*SQRT(M282/N282)</f>
        <v>0.71179019818735034</v>
      </c>
      <c r="Q282" s="6">
        <f>N282/M282</f>
        <v>67.5</v>
      </c>
      <c r="R282" s="35"/>
      <c r="T282" s="465" t="s">
        <v>163</v>
      </c>
      <c r="U282" s="68">
        <f>$W$279*2*PI()*N282*M282/10^3</f>
        <v>424.102284784375</v>
      </c>
      <c r="V282" s="9">
        <v>192392</v>
      </c>
      <c r="W282" s="9">
        <v>277</v>
      </c>
      <c r="X282" s="871"/>
      <c r="Y282" s="871"/>
      <c r="Z282" s="882"/>
      <c r="AA282" s="35"/>
      <c r="AB282" s="871"/>
      <c r="AC282" s="380" t="s">
        <v>751</v>
      </c>
      <c r="AD282" s="5"/>
      <c r="AE282" s="885"/>
      <c r="AF282" s="871"/>
      <c r="AG282" s="890"/>
      <c r="AH282" s="476"/>
      <c r="AI282" s="476"/>
      <c r="AJ282" s="484"/>
      <c r="AK282" s="697"/>
      <c r="AM282" s="7">
        <v>352.7</v>
      </c>
      <c r="AN282" s="580"/>
      <c r="AP282" s="558">
        <f t="shared" si="142"/>
        <v>0.83163899996276169</v>
      </c>
      <c r="AQ282" s="559">
        <f>SQRT($W$279/AR282)</f>
        <v>0.40071807098306678</v>
      </c>
      <c r="AR282" s="581">
        <f>1/SQRT(3*(1-0.3^2))*$V$279*1/Q282</f>
        <v>1725.0508957809814</v>
      </c>
      <c r="AS282" s="608"/>
      <c r="AT282" s="675">
        <f t="shared" si="143"/>
        <v>0.1335404094760882</v>
      </c>
      <c r="AU282" s="649">
        <f t="shared" si="133"/>
        <v>0.83163899996276169</v>
      </c>
      <c r="AZ282" s="543">
        <v>2016</v>
      </c>
      <c r="BA282" s="293"/>
    </row>
    <row r="283" spans="1:55" ht="16.5" thickBot="1">
      <c r="A283" s="145"/>
      <c r="B283" s="1002"/>
      <c r="C283" s="946"/>
      <c r="D283" s="872"/>
      <c r="E283" s="900"/>
      <c r="F283" s="872"/>
      <c r="G283" s="872"/>
      <c r="H283" s="872"/>
      <c r="I283" s="918"/>
      <c r="J283" s="223"/>
      <c r="K283" s="886"/>
      <c r="L283" s="453" t="s">
        <v>272</v>
      </c>
      <c r="M283" s="16">
        <v>1.9</v>
      </c>
      <c r="N283" s="16">
        <f>204/2</f>
        <v>102</v>
      </c>
      <c r="O283" s="16">
        <v>1400</v>
      </c>
      <c r="P283" s="89">
        <f>O283/N283*SQRT(M283/N283)</f>
        <v>1.8732881182170547</v>
      </c>
      <c r="Q283" s="16">
        <f>N283/M283</f>
        <v>53.684210526315795</v>
      </c>
      <c r="R283" s="36"/>
      <c r="S283" s="173"/>
      <c r="T283" s="466" t="s">
        <v>163</v>
      </c>
      <c r="U283" s="75">
        <f>$W$279*2*PI()*N283*M283/10^3</f>
        <v>337.2977235711989</v>
      </c>
      <c r="V283" s="126">
        <v>192392</v>
      </c>
      <c r="W283" s="126">
        <v>277</v>
      </c>
      <c r="X283" s="872"/>
      <c r="Y283" s="872"/>
      <c r="Z283" s="883"/>
      <c r="AA283" s="35"/>
      <c r="AB283" s="871"/>
      <c r="AC283" s="380" t="s">
        <v>751</v>
      </c>
      <c r="AD283" s="5"/>
      <c r="AE283" s="886"/>
      <c r="AF283" s="872"/>
      <c r="AG283" s="891"/>
      <c r="AH283" s="477"/>
      <c r="AI283" s="477"/>
      <c r="AJ283" s="485"/>
      <c r="AK283" s="698"/>
      <c r="AL283" s="18"/>
      <c r="AM283" s="17">
        <v>282.7</v>
      </c>
      <c r="AN283" s="587"/>
      <c r="AO283" s="556"/>
      <c r="AP283" s="560">
        <f t="shared" si="142"/>
        <v>0.83813195359536996</v>
      </c>
      <c r="AQ283" s="561">
        <f>SQRT($W$279/AR283)</f>
        <v>0.35736361033099262</v>
      </c>
      <c r="AR283" s="588">
        <f>1/SQRT(3*(1-0.3^2))*$V$279*1/Q283</f>
        <v>2168.9978174893222</v>
      </c>
      <c r="AS283" s="615"/>
      <c r="AT283" s="677">
        <f t="shared" si="143"/>
        <v>0.10703678411933691</v>
      </c>
      <c r="AU283" s="651">
        <f t="shared" si="133"/>
        <v>0.83813195359536996</v>
      </c>
      <c r="AV283" s="91"/>
      <c r="AW283" s="18"/>
      <c r="AX283" s="31"/>
      <c r="AY283" s="286"/>
      <c r="AZ283" s="543">
        <v>2016</v>
      </c>
      <c r="BA283" s="295"/>
    </row>
    <row r="284" spans="1:55" ht="99.75" customHeight="1">
      <c r="A284" s="219"/>
      <c r="B284" s="990">
        <v>14</v>
      </c>
      <c r="C284" s="922" t="s">
        <v>273</v>
      </c>
      <c r="D284" s="922" t="s">
        <v>274</v>
      </c>
      <c r="E284" s="937">
        <v>2020</v>
      </c>
      <c r="F284" s="922" t="s">
        <v>40</v>
      </c>
      <c r="G284" s="922" t="s">
        <v>275</v>
      </c>
      <c r="H284" s="922" t="s">
        <v>276</v>
      </c>
      <c r="I284" s="910" t="s">
        <v>277</v>
      </c>
      <c r="J284" s="222"/>
      <c r="K284" s="113" t="s">
        <v>278</v>
      </c>
      <c r="L284" s="528" t="s">
        <v>279</v>
      </c>
      <c r="M284" s="108">
        <v>3.95</v>
      </c>
      <c r="N284" s="22">
        <v>82.234999999999999</v>
      </c>
      <c r="O284" s="108">
        <v>505.31</v>
      </c>
      <c r="P284" s="72">
        <f t="shared" si="121"/>
        <v>1.3467016605070057</v>
      </c>
      <c r="Q284" s="22">
        <v>20.818989999999999</v>
      </c>
      <c r="R284" s="34"/>
      <c r="S284" s="22" t="s">
        <v>280</v>
      </c>
      <c r="T284" s="499" t="s">
        <v>163</v>
      </c>
      <c r="U284" s="171">
        <v>1471.1</v>
      </c>
      <c r="V284" s="22">
        <v>211700</v>
      </c>
      <c r="W284" s="171"/>
      <c r="X284" s="22">
        <v>720</v>
      </c>
      <c r="Y284" s="171"/>
      <c r="Z284" s="982" t="s">
        <v>281</v>
      </c>
      <c r="AA284" s="34"/>
      <c r="AB284" s="981" t="s">
        <v>282</v>
      </c>
      <c r="AC284" s="393" t="s">
        <v>749</v>
      </c>
      <c r="AD284" s="981" t="s">
        <v>982</v>
      </c>
      <c r="AE284" s="34"/>
      <c r="AF284" s="981" t="s">
        <v>983</v>
      </c>
      <c r="AG284" s="22" t="s">
        <v>283</v>
      </c>
      <c r="AH284" s="22"/>
      <c r="AI284" s="22"/>
      <c r="AJ284" s="103"/>
      <c r="AK284" s="26"/>
      <c r="AL284" s="981" t="s">
        <v>284</v>
      </c>
      <c r="AM284" s="108">
        <v>1634.6</v>
      </c>
      <c r="AN284" s="594"/>
      <c r="AO284" s="594">
        <v>1.111</v>
      </c>
      <c r="AP284" s="594">
        <f t="shared" si="142"/>
        <v>1.1111413228196587</v>
      </c>
      <c r="AQ284" s="594">
        <f t="shared" ref="AQ284:AQ289" si="144">SQRT(X284/AR284)</f>
        <v>0.34203951467201471</v>
      </c>
      <c r="AR284" s="20">
        <f t="shared" ref="AR284:AR289" si="145">V284*M284/N284/SQRT(3*(1-0.3^2))</f>
        <v>6154.3180060879504</v>
      </c>
      <c r="AS284" s="547">
        <f t="shared" ref="AS284:AS290" si="146">2*PI()*N284*M284*AR284/1000</f>
        <v>12560.692800516848</v>
      </c>
      <c r="AT284" s="678">
        <f t="shared" ref="AT284:AT289" si="147">AM284/AS284</f>
        <v>0.13013613388687759</v>
      </c>
      <c r="AU284" s="652">
        <f t="shared" si="133"/>
        <v>1.1111413228196587</v>
      </c>
      <c r="AV284" s="128"/>
      <c r="AW284" s="981" t="s">
        <v>285</v>
      </c>
      <c r="AX284" s="982" t="s">
        <v>984</v>
      </c>
      <c r="AY284" s="967" t="s">
        <v>286</v>
      </c>
      <c r="AZ284" s="765">
        <v>2020</v>
      </c>
      <c r="BA284" s="292"/>
    </row>
    <row r="285" spans="1:55">
      <c r="A285" s="219"/>
      <c r="B285" s="991"/>
      <c r="C285" s="873"/>
      <c r="D285" s="873"/>
      <c r="E285" s="938"/>
      <c r="F285" s="873"/>
      <c r="G285" s="873"/>
      <c r="H285" s="873"/>
      <c r="I285" s="917"/>
      <c r="J285" s="221"/>
      <c r="K285" s="114" t="s">
        <v>287</v>
      </c>
      <c r="L285" s="98" t="s">
        <v>288</v>
      </c>
      <c r="M285" s="41">
        <v>3.98</v>
      </c>
      <c r="N285" s="163">
        <v>68.06</v>
      </c>
      <c r="O285" s="41">
        <v>420.28</v>
      </c>
      <c r="P285" s="65">
        <f t="shared" si="121"/>
        <v>1.4932837616133572</v>
      </c>
      <c r="Q285" s="163">
        <v>17.1005</v>
      </c>
      <c r="R285" s="35"/>
      <c r="S285" s="163" t="s">
        <v>280</v>
      </c>
      <c r="T285" s="495" t="s">
        <v>163</v>
      </c>
      <c r="U285" s="172">
        <v>1263.5999999999999</v>
      </c>
      <c r="V285" s="163">
        <v>213300</v>
      </c>
      <c r="X285" s="163">
        <v>742.4</v>
      </c>
      <c r="Z285" s="983"/>
      <c r="AA285" s="35"/>
      <c r="AB285" s="953"/>
      <c r="AC285" s="394" t="s">
        <v>749</v>
      </c>
      <c r="AD285" s="953"/>
      <c r="AE285" s="35"/>
      <c r="AF285" s="953"/>
      <c r="AG285" s="163" t="s">
        <v>289</v>
      </c>
      <c r="AH285" s="163"/>
      <c r="AI285" s="163"/>
      <c r="AJ285" s="104"/>
      <c r="AK285" s="697"/>
      <c r="AL285" s="953"/>
      <c r="AM285" s="41">
        <v>1419.1</v>
      </c>
      <c r="AN285" s="566"/>
      <c r="AO285" s="566">
        <v>1.123</v>
      </c>
      <c r="AP285" s="566">
        <f t="shared" si="142"/>
        <v>1.1230610952833175</v>
      </c>
      <c r="AQ285" s="566">
        <f t="shared" si="144"/>
        <v>0.31359465510973783</v>
      </c>
      <c r="AR285" s="554">
        <f t="shared" si="145"/>
        <v>7549.1952720931104</v>
      </c>
      <c r="AS285" s="576">
        <f t="shared" si="146"/>
        <v>12848.592174039668</v>
      </c>
      <c r="AT285" s="679">
        <f t="shared" si="147"/>
        <v>0.11044789816484829</v>
      </c>
      <c r="AU285" s="653">
        <f t="shared" si="133"/>
        <v>1.1230610952833175</v>
      </c>
      <c r="AW285" s="953"/>
      <c r="AX285" s="983"/>
      <c r="AY285" s="968"/>
      <c r="AZ285" s="543">
        <v>2020</v>
      </c>
      <c r="BA285" s="293"/>
    </row>
    <row r="286" spans="1:55">
      <c r="A286" s="219"/>
      <c r="B286" s="991"/>
      <c r="C286" s="873"/>
      <c r="D286" s="873"/>
      <c r="E286" s="938"/>
      <c r="F286" s="873"/>
      <c r="G286" s="873"/>
      <c r="H286" s="873"/>
      <c r="I286" s="917"/>
      <c r="J286" s="221"/>
      <c r="K286" s="114" t="s">
        <v>290</v>
      </c>
      <c r="L286" s="98" t="s">
        <v>291</v>
      </c>
      <c r="M286" s="41">
        <v>4.91</v>
      </c>
      <c r="N286" s="163">
        <v>67.754999999999995</v>
      </c>
      <c r="O286" s="41">
        <v>420.08</v>
      </c>
      <c r="P286" s="65">
        <f t="shared" si="121"/>
        <v>1.6690168718245313</v>
      </c>
      <c r="Q286" s="163">
        <v>13.799390000000001</v>
      </c>
      <c r="R286" s="35"/>
      <c r="S286" s="163" t="s">
        <v>292</v>
      </c>
      <c r="T286" s="495" t="s">
        <v>163</v>
      </c>
      <c r="U286" s="172">
        <v>1524.1</v>
      </c>
      <c r="V286" s="163">
        <v>212500</v>
      </c>
      <c r="X286" s="163">
        <v>729.7</v>
      </c>
      <c r="Z286" s="983"/>
      <c r="AA286" s="35"/>
      <c r="AB286" s="953"/>
      <c r="AC286" s="394" t="s">
        <v>749</v>
      </c>
      <c r="AD286" s="953"/>
      <c r="AE286" s="35"/>
      <c r="AF286" s="953"/>
      <c r="AG286" s="163" t="s">
        <v>293</v>
      </c>
      <c r="AH286" s="163"/>
      <c r="AI286" s="163"/>
      <c r="AJ286" s="104"/>
      <c r="AK286" s="697"/>
      <c r="AL286" s="953"/>
      <c r="AM286" s="41">
        <v>1798.5</v>
      </c>
      <c r="AN286" s="566"/>
      <c r="AO286" s="566">
        <v>1.18</v>
      </c>
      <c r="AP286" s="566">
        <f t="shared" si="142"/>
        <v>1.1800406797454237</v>
      </c>
      <c r="AQ286" s="566">
        <f t="shared" si="144"/>
        <v>0.27981004185148683</v>
      </c>
      <c r="AR286" s="554">
        <f t="shared" si="145"/>
        <v>9320.0395084984393</v>
      </c>
      <c r="AS286" s="576">
        <f t="shared" si="146"/>
        <v>19481.413453683683</v>
      </c>
      <c r="AT286" s="679">
        <f t="shared" si="147"/>
        <v>9.2318763434484113E-2</v>
      </c>
      <c r="AU286" s="653">
        <f t="shared" si="133"/>
        <v>1.1800406797454237</v>
      </c>
      <c r="AW286" s="953"/>
      <c r="AX286" s="983"/>
      <c r="AY286" s="968"/>
      <c r="AZ286" s="543">
        <v>2020</v>
      </c>
      <c r="BA286" s="293"/>
    </row>
    <row r="287" spans="1:55">
      <c r="A287" s="219"/>
      <c r="B287" s="991"/>
      <c r="C287" s="873"/>
      <c r="D287" s="873"/>
      <c r="E287" s="938"/>
      <c r="F287" s="873"/>
      <c r="G287" s="873"/>
      <c r="H287" s="873"/>
      <c r="I287" s="917"/>
      <c r="J287" s="221"/>
      <c r="K287" s="114" t="s">
        <v>294</v>
      </c>
      <c r="L287" s="98" t="s">
        <v>295</v>
      </c>
      <c r="M287" s="41">
        <v>6.04</v>
      </c>
      <c r="N287" s="163">
        <v>66.89</v>
      </c>
      <c r="O287" s="41">
        <v>420.02</v>
      </c>
      <c r="P287" s="65">
        <f t="shared" si="121"/>
        <v>1.8868902742964615</v>
      </c>
      <c r="Q287" s="163">
        <v>11.0745</v>
      </c>
      <c r="R287" s="35"/>
      <c r="S287" s="163" t="s">
        <v>292</v>
      </c>
      <c r="T287" s="495" t="s">
        <v>163</v>
      </c>
      <c r="U287" s="172">
        <v>1978.4</v>
      </c>
      <c r="V287" s="163">
        <v>207900</v>
      </c>
      <c r="X287" s="163">
        <v>779</v>
      </c>
      <c r="Z287" s="983"/>
      <c r="AA287" s="35"/>
      <c r="AB287" s="953"/>
      <c r="AC287" s="394" t="s">
        <v>749</v>
      </c>
      <c r="AD287" s="953"/>
      <c r="AE287" s="35"/>
      <c r="AF287" s="953"/>
      <c r="AG287" s="163" t="s">
        <v>296</v>
      </c>
      <c r="AH287" s="163"/>
      <c r="AI287" s="163"/>
      <c r="AJ287" s="104"/>
      <c r="AK287" s="697"/>
      <c r="AL287" s="953"/>
      <c r="AM287" s="41">
        <v>2261.5</v>
      </c>
      <c r="AN287" s="566"/>
      <c r="AO287" s="566">
        <v>1.143</v>
      </c>
      <c r="AP287" s="566">
        <f t="shared" si="142"/>
        <v>1.143095430651031</v>
      </c>
      <c r="AQ287" s="566">
        <f t="shared" si="144"/>
        <v>0.26184499351775142</v>
      </c>
      <c r="AR287" s="554">
        <f t="shared" si="145"/>
        <v>11361.846261215995</v>
      </c>
      <c r="AS287" s="576">
        <f t="shared" si="146"/>
        <v>28842.102200259542</v>
      </c>
      <c r="AT287" s="679">
        <f t="shared" si="147"/>
        <v>7.8409679859592532E-2</v>
      </c>
      <c r="AU287" s="653">
        <f t="shared" si="133"/>
        <v>1.143095430651031</v>
      </c>
      <c r="AW287" s="953"/>
      <c r="AX287" s="983"/>
      <c r="AY287" s="968"/>
      <c r="AZ287" s="543">
        <v>2020</v>
      </c>
      <c r="BA287" s="293"/>
    </row>
    <row r="288" spans="1:55">
      <c r="A288" s="219"/>
      <c r="B288" s="991"/>
      <c r="C288" s="873"/>
      <c r="D288" s="873"/>
      <c r="E288" s="938"/>
      <c r="F288" s="873"/>
      <c r="G288" s="873"/>
      <c r="H288" s="873"/>
      <c r="I288" s="917"/>
      <c r="J288" s="221"/>
      <c r="K288" s="114" t="s">
        <v>297</v>
      </c>
      <c r="L288" s="98" t="s">
        <v>298</v>
      </c>
      <c r="M288" s="41">
        <v>7.85</v>
      </c>
      <c r="N288" s="163">
        <v>66.105000000000004</v>
      </c>
      <c r="O288" s="41">
        <v>420.25</v>
      </c>
      <c r="P288" s="65">
        <f t="shared" si="121"/>
        <v>2.1907412518904033</v>
      </c>
      <c r="Q288" s="163">
        <v>8.4210189999999994</v>
      </c>
      <c r="R288" s="35"/>
      <c r="S288" s="163" t="s">
        <v>292</v>
      </c>
      <c r="T288" s="495" t="s">
        <v>163</v>
      </c>
      <c r="U288" s="172">
        <v>2557.4</v>
      </c>
      <c r="V288" s="163">
        <v>205700</v>
      </c>
      <c r="X288" s="163">
        <v>784.8</v>
      </c>
      <c r="Z288" s="983"/>
      <c r="AA288" s="35"/>
      <c r="AB288" s="953"/>
      <c r="AC288" s="394" t="s">
        <v>749</v>
      </c>
      <c r="AD288" s="953"/>
      <c r="AE288" s="35"/>
      <c r="AF288" s="953"/>
      <c r="AG288" s="163" t="s">
        <v>283</v>
      </c>
      <c r="AH288" s="163"/>
      <c r="AI288" s="163"/>
      <c r="AJ288" s="104"/>
      <c r="AK288" s="697"/>
      <c r="AL288" s="953"/>
      <c r="AM288" s="41">
        <v>2919.6</v>
      </c>
      <c r="AN288" s="566"/>
      <c r="AO288" s="566">
        <v>1.1419999999999999</v>
      </c>
      <c r="AP288" s="566">
        <f t="shared" si="142"/>
        <v>1.1416282161570344</v>
      </c>
      <c r="AQ288" s="566">
        <f t="shared" si="144"/>
        <v>0.23040151980371659</v>
      </c>
      <c r="AR288" s="554">
        <f t="shared" si="145"/>
        <v>14783.876140069364</v>
      </c>
      <c r="AS288" s="576">
        <f t="shared" si="146"/>
        <v>48202.787101929833</v>
      </c>
      <c r="AT288" s="679">
        <f t="shared" si="147"/>
        <v>6.0569111778250508E-2</v>
      </c>
      <c r="AU288" s="653">
        <f t="shared" si="133"/>
        <v>1.1419999999999999</v>
      </c>
      <c r="AW288" s="953"/>
      <c r="AX288" s="983"/>
      <c r="AY288" s="968"/>
      <c r="AZ288" s="543">
        <v>2020</v>
      </c>
      <c r="BA288" s="293"/>
    </row>
    <row r="289" spans="1:55" ht="16.5" thickBot="1">
      <c r="A289" s="219"/>
      <c r="B289" s="992"/>
      <c r="C289" s="874"/>
      <c r="D289" s="874"/>
      <c r="E289" s="939"/>
      <c r="F289" s="874"/>
      <c r="G289" s="874"/>
      <c r="H289" s="874"/>
      <c r="I289" s="918"/>
      <c r="J289" s="223"/>
      <c r="K289" s="205" t="s">
        <v>299</v>
      </c>
      <c r="L289" s="529" t="s">
        <v>300</v>
      </c>
      <c r="M289" s="111">
        <v>9.93</v>
      </c>
      <c r="N289" s="23">
        <v>65.180000000000007</v>
      </c>
      <c r="O289" s="111">
        <v>419.99</v>
      </c>
      <c r="P289" s="89">
        <f t="shared" si="121"/>
        <v>2.5150234570940531</v>
      </c>
      <c r="Q289" s="23">
        <v>6.5639479999999999</v>
      </c>
      <c r="R289" s="36"/>
      <c r="S289" s="23" t="s">
        <v>292</v>
      </c>
      <c r="T289" s="498" t="s">
        <v>163</v>
      </c>
      <c r="U289" s="173">
        <v>3202.4</v>
      </c>
      <c r="V289" s="23">
        <v>205600</v>
      </c>
      <c r="W289" s="173"/>
      <c r="X289" s="23">
        <v>787.6</v>
      </c>
      <c r="Y289" s="173"/>
      <c r="Z289" s="984"/>
      <c r="AA289" s="36"/>
      <c r="AB289" s="980"/>
      <c r="AC289" s="395" t="s">
        <v>749</v>
      </c>
      <c r="AD289" s="980"/>
      <c r="AE289" s="36"/>
      <c r="AF289" s="980"/>
      <c r="AG289" s="23" t="s">
        <v>289</v>
      </c>
      <c r="AH289" s="23"/>
      <c r="AI289" s="23"/>
      <c r="AJ289" s="203"/>
      <c r="AK289" s="698"/>
      <c r="AL289" s="980"/>
      <c r="AM289" s="111">
        <v>3760</v>
      </c>
      <c r="AN289" s="572"/>
      <c r="AO289" s="572">
        <v>1.1739999999999999</v>
      </c>
      <c r="AP289" s="572">
        <f t="shared" si="142"/>
        <v>1.1741194104421684</v>
      </c>
      <c r="AQ289" s="572">
        <f t="shared" si="144"/>
        <v>0.20382831493677156</v>
      </c>
      <c r="AR289" s="556">
        <f t="shared" si="145"/>
        <v>18957.30856883842</v>
      </c>
      <c r="AS289" s="577">
        <f t="shared" si="146"/>
        <v>77093.924139121009</v>
      </c>
      <c r="AT289" s="680">
        <f t="shared" si="147"/>
        <v>4.8771677430958567E-2</v>
      </c>
      <c r="AU289" s="654">
        <f t="shared" si="133"/>
        <v>1.1741194104421684</v>
      </c>
      <c r="AV289" s="91"/>
      <c r="AW289" s="980"/>
      <c r="AX289" s="984"/>
      <c r="AY289" s="969"/>
      <c r="AZ289" s="766">
        <v>2020</v>
      </c>
      <c r="BA289" s="295"/>
    </row>
    <row r="290" spans="1:55" ht="17.100000000000001" customHeight="1">
      <c r="A290" s="219"/>
      <c r="B290" s="990">
        <v>15</v>
      </c>
      <c r="C290" s="870" t="s">
        <v>301</v>
      </c>
      <c r="D290" s="870" t="s">
        <v>302</v>
      </c>
      <c r="E290" s="898">
        <v>2016</v>
      </c>
      <c r="F290" s="870" t="s">
        <v>40</v>
      </c>
      <c r="G290" s="870" t="s">
        <v>303</v>
      </c>
      <c r="H290" s="870" t="s">
        <v>304</v>
      </c>
      <c r="I290" s="910" t="s">
        <v>305</v>
      </c>
      <c r="J290" s="222"/>
      <c r="K290" s="34"/>
      <c r="L290" s="449" t="s">
        <v>306</v>
      </c>
      <c r="M290" s="14">
        <v>2</v>
      </c>
      <c r="N290" s="14">
        <f>150/2</f>
        <v>75</v>
      </c>
      <c r="O290" s="14">
        <v>450</v>
      </c>
      <c r="P290" s="72">
        <f t="shared" si="121"/>
        <v>0.97979589711327131</v>
      </c>
      <c r="Q290" s="14">
        <f t="shared" ref="Q290:Q305" si="148">N290/M290</f>
        <v>37.5</v>
      </c>
      <c r="R290" s="34"/>
      <c r="S290" s="62"/>
      <c r="T290" s="464" t="s">
        <v>163</v>
      </c>
      <c r="U290" s="870">
        <v>315</v>
      </c>
      <c r="V290" s="116">
        <f t="shared" ref="V290:V305" si="149">1.88*10^5</f>
        <v>188000</v>
      </c>
      <c r="W290" s="62">
        <v>190</v>
      </c>
      <c r="X290" s="62"/>
      <c r="Y290" s="62"/>
      <c r="Z290" s="881" t="s">
        <v>307</v>
      </c>
      <c r="AA290" s="35"/>
      <c r="AB290" s="871" t="s">
        <v>770</v>
      </c>
      <c r="AC290" s="380" t="s">
        <v>750</v>
      </c>
      <c r="AD290" s="882" t="s">
        <v>308</v>
      </c>
      <c r="AE290" s="35"/>
      <c r="AF290" s="871" t="s">
        <v>985</v>
      </c>
      <c r="AG290" s="5">
        <v>0.11799999999999999</v>
      </c>
      <c r="AK290" s="34"/>
      <c r="AL290" s="870" t="s">
        <v>986</v>
      </c>
      <c r="AM290" s="15"/>
      <c r="AN290" s="19">
        <v>210</v>
      </c>
      <c r="AO290" s="20"/>
      <c r="AP290" s="20">
        <f>AN290/$W$290</f>
        <v>1.1052631578947369</v>
      </c>
      <c r="AQ290" s="20">
        <f>SQRT($W$290/AR290)</f>
        <v>0.2502385249863856</v>
      </c>
      <c r="AR290" s="20">
        <f>1/SQRT(3*(1-0.3^2))*$V$290*1/Q290</f>
        <v>3034.2073637795966</v>
      </c>
      <c r="AS290" s="547">
        <f t="shared" si="146"/>
        <v>2859.67306905541</v>
      </c>
      <c r="AT290" s="272">
        <f>AN290/AR290</f>
        <v>6.9210826691294761E-2</v>
      </c>
      <c r="AU290" s="467">
        <f t="shared" si="133"/>
        <v>1.1052631578947369</v>
      </c>
      <c r="AV290" s="279"/>
      <c r="AW290" s="974" t="s">
        <v>309</v>
      </c>
      <c r="AX290" s="280" t="s">
        <v>310</v>
      </c>
      <c r="AY290" s="907" t="s">
        <v>988</v>
      </c>
      <c r="AZ290" s="759">
        <v>2016</v>
      </c>
      <c r="BA290" s="292"/>
      <c r="BB290" s="890" t="s">
        <v>311</v>
      </c>
      <c r="BC290" s="890"/>
    </row>
    <row r="291" spans="1:55">
      <c r="A291" s="219"/>
      <c r="B291" s="991"/>
      <c r="C291" s="871"/>
      <c r="D291" s="871"/>
      <c r="E291" s="899"/>
      <c r="F291" s="871"/>
      <c r="G291" s="871"/>
      <c r="H291" s="871"/>
      <c r="I291" s="871"/>
      <c r="J291" s="221"/>
      <c r="K291" s="35"/>
      <c r="L291" s="451" t="s">
        <v>312</v>
      </c>
      <c r="M291" s="6">
        <v>2</v>
      </c>
      <c r="N291" s="6">
        <f>150/2</f>
        <v>75</v>
      </c>
      <c r="O291" s="6">
        <v>450</v>
      </c>
      <c r="P291" s="65">
        <f t="shared" si="121"/>
        <v>0.97979589711327131</v>
      </c>
      <c r="Q291" s="6">
        <f t="shared" si="148"/>
        <v>37.5</v>
      </c>
      <c r="R291" s="35"/>
      <c r="S291" s="9"/>
      <c r="T291" s="465" t="s">
        <v>163</v>
      </c>
      <c r="U291" s="871"/>
      <c r="V291" s="83">
        <f t="shared" si="149"/>
        <v>188000</v>
      </c>
      <c r="W291" s="9">
        <v>190</v>
      </c>
      <c r="X291" s="9"/>
      <c r="Y291" s="9"/>
      <c r="Z291" s="882"/>
      <c r="AA291" s="35"/>
      <c r="AB291" s="871"/>
      <c r="AC291" s="380" t="s">
        <v>750</v>
      </c>
      <c r="AD291" s="882"/>
      <c r="AE291" s="35"/>
      <c r="AF291" s="871"/>
      <c r="AG291" s="5">
        <v>0.24199999999999999</v>
      </c>
      <c r="AK291" s="35"/>
      <c r="AL291" s="871"/>
      <c r="AN291" s="450"/>
      <c r="AT291" s="808"/>
      <c r="AU291" s="809"/>
      <c r="AV291" s="281"/>
      <c r="AW291" s="975"/>
      <c r="AX291" s="121"/>
      <c r="AY291" s="908"/>
      <c r="AZ291" s="760">
        <v>2016</v>
      </c>
      <c r="BA291" s="293"/>
      <c r="BB291" s="890"/>
      <c r="BC291" s="890"/>
    </row>
    <row r="292" spans="1:55">
      <c r="A292" s="219"/>
      <c r="B292" s="991"/>
      <c r="C292" s="871"/>
      <c r="D292" s="871"/>
      <c r="E292" s="899"/>
      <c r="F292" s="871"/>
      <c r="G292" s="871"/>
      <c r="H292" s="871"/>
      <c r="I292" s="871"/>
      <c r="J292" s="221"/>
      <c r="K292" s="35"/>
      <c r="L292" s="451" t="s">
        <v>313</v>
      </c>
      <c r="M292" s="6">
        <v>2</v>
      </c>
      <c r="N292" s="6">
        <f>150/2</f>
        <v>75</v>
      </c>
      <c r="O292" s="6">
        <v>450</v>
      </c>
      <c r="P292" s="65">
        <f t="shared" si="121"/>
        <v>0.97979589711327131</v>
      </c>
      <c r="Q292" s="6">
        <f t="shared" si="148"/>
        <v>37.5</v>
      </c>
      <c r="R292" s="35"/>
      <c r="S292" s="9"/>
      <c r="T292" s="465" t="s">
        <v>163</v>
      </c>
      <c r="U292" s="871"/>
      <c r="V292" s="83">
        <f t="shared" si="149"/>
        <v>188000</v>
      </c>
      <c r="W292" s="9">
        <v>190</v>
      </c>
      <c r="X292" s="9"/>
      <c r="Y292" s="9"/>
      <c r="Z292" s="882"/>
      <c r="AA292" s="35"/>
      <c r="AB292" s="871"/>
      <c r="AC292" s="380" t="s">
        <v>750</v>
      </c>
      <c r="AD292" s="882"/>
      <c r="AE292" s="35"/>
      <c r="AF292" s="871"/>
      <c r="AG292" s="5">
        <v>0.13400000000000001</v>
      </c>
      <c r="AK292" s="35"/>
      <c r="AL292" s="871"/>
      <c r="AN292" s="450"/>
      <c r="AT292" s="808"/>
      <c r="AU292" s="809"/>
      <c r="AV292" s="281"/>
      <c r="AW292" s="975"/>
      <c r="AX292" s="121"/>
      <c r="AY292" s="908"/>
      <c r="AZ292" s="760">
        <v>2016</v>
      </c>
      <c r="BA292" s="293"/>
      <c r="BB292" s="890"/>
      <c r="BC292" s="890"/>
    </row>
    <row r="293" spans="1:55">
      <c r="A293" s="219"/>
      <c r="B293" s="991"/>
      <c r="C293" s="871"/>
      <c r="D293" s="871"/>
      <c r="E293" s="899"/>
      <c r="F293" s="871"/>
      <c r="G293" s="871"/>
      <c r="H293" s="871"/>
      <c r="I293" s="871"/>
      <c r="J293" s="221"/>
      <c r="K293" s="35"/>
      <c r="L293" s="451" t="s">
        <v>314</v>
      </c>
      <c r="M293" s="6">
        <v>2</v>
      </c>
      <c r="N293" s="6">
        <v>100</v>
      </c>
      <c r="O293" s="6">
        <v>600</v>
      </c>
      <c r="P293" s="65">
        <f t="shared" si="121"/>
        <v>0.84852813742385702</v>
      </c>
      <c r="Q293" s="6">
        <f t="shared" si="148"/>
        <v>50</v>
      </c>
      <c r="R293" s="35"/>
      <c r="S293" s="9"/>
      <c r="T293" s="465" t="s">
        <v>163</v>
      </c>
      <c r="U293" s="871"/>
      <c r="V293" s="83">
        <f t="shared" si="149"/>
        <v>188000</v>
      </c>
      <c r="W293" s="9">
        <v>190</v>
      </c>
      <c r="X293" s="9"/>
      <c r="Y293" s="9"/>
      <c r="Z293" s="882"/>
      <c r="AA293" s="35"/>
      <c r="AB293" s="871"/>
      <c r="AC293" s="380" t="s">
        <v>750</v>
      </c>
      <c r="AD293" s="882"/>
      <c r="AE293" s="35"/>
      <c r="AF293" s="871"/>
      <c r="AG293" s="5">
        <v>0.58499999999999996</v>
      </c>
      <c r="AK293" s="35"/>
      <c r="AL293" s="871"/>
      <c r="AN293" s="554">
        <v>171</v>
      </c>
      <c r="AP293" s="554">
        <f t="shared" ref="AP293:AP304" si="150">AN293/$W$290</f>
        <v>0.9</v>
      </c>
      <c r="AQ293" s="554">
        <f t="shared" ref="AQ293:AQ304" si="151">SQRT($W$290/AR293)</f>
        <v>0.2889505595250092</v>
      </c>
      <c r="AR293" s="554">
        <f>1/SQRT(3*(1-0.3^2))*$V$290*1/Q293</f>
        <v>2275.6555228346974</v>
      </c>
      <c r="AS293" s="576">
        <f>2*PI()*N293*M293*AR293/1000</f>
        <v>2859.67306905541</v>
      </c>
      <c r="AT293" s="273">
        <f t="shared" ref="AT293:AT304" si="152">AN293/AR293</f>
        <v>7.514318326483431E-2</v>
      </c>
      <c r="AU293" s="479">
        <f t="shared" si="133"/>
        <v>0.9</v>
      </c>
      <c r="AV293" s="281"/>
      <c r="AW293" s="975"/>
      <c r="AX293" s="121" t="s">
        <v>315</v>
      </c>
      <c r="AY293" s="908"/>
      <c r="AZ293" s="760">
        <v>2016</v>
      </c>
      <c r="BA293" s="293"/>
      <c r="BB293" s="890"/>
      <c r="BC293" s="890"/>
    </row>
    <row r="294" spans="1:55">
      <c r="A294" s="219"/>
      <c r="B294" s="991"/>
      <c r="C294" s="871"/>
      <c r="D294" s="871"/>
      <c r="E294" s="899"/>
      <c r="F294" s="871"/>
      <c r="G294" s="871"/>
      <c r="H294" s="871"/>
      <c r="I294" s="871"/>
      <c r="J294" s="221"/>
      <c r="K294" s="35"/>
      <c r="L294" s="451" t="s">
        <v>316</v>
      </c>
      <c r="M294" s="6">
        <v>2</v>
      </c>
      <c r="N294" s="6">
        <v>100</v>
      </c>
      <c r="O294" s="6">
        <v>600</v>
      </c>
      <c r="P294" s="65">
        <f t="shared" si="121"/>
        <v>0.84852813742385702</v>
      </c>
      <c r="Q294" s="6">
        <f t="shared" si="148"/>
        <v>50</v>
      </c>
      <c r="R294" s="35"/>
      <c r="S294" s="9"/>
      <c r="T294" s="465" t="s">
        <v>163</v>
      </c>
      <c r="U294" s="871"/>
      <c r="V294" s="83">
        <f t="shared" si="149"/>
        <v>188000</v>
      </c>
      <c r="W294" s="9">
        <v>190</v>
      </c>
      <c r="X294" s="9"/>
      <c r="Y294" s="9"/>
      <c r="Z294" s="882"/>
      <c r="AA294" s="35"/>
      <c r="AB294" s="871"/>
      <c r="AC294" s="380" t="s">
        <v>750</v>
      </c>
      <c r="AD294" s="882"/>
      <c r="AE294" s="35"/>
      <c r="AF294" s="871"/>
      <c r="AG294" s="5">
        <v>0.55800000000000005</v>
      </c>
      <c r="AK294" s="35"/>
      <c r="AL294" s="871"/>
      <c r="AT294" s="810"/>
      <c r="AU294" s="811"/>
      <c r="AV294" s="281"/>
      <c r="AW294" s="975"/>
      <c r="AX294" s="121"/>
      <c r="AY294" s="908"/>
      <c r="AZ294" s="760">
        <v>2016</v>
      </c>
      <c r="BA294" s="293"/>
      <c r="BB294" s="890"/>
      <c r="BC294" s="890"/>
    </row>
    <row r="295" spans="1:55">
      <c r="A295" s="219"/>
      <c r="B295" s="991"/>
      <c r="C295" s="871"/>
      <c r="D295" s="871"/>
      <c r="E295" s="899"/>
      <c r="F295" s="871"/>
      <c r="G295" s="871"/>
      <c r="H295" s="871"/>
      <c r="I295" s="871"/>
      <c r="J295" s="221"/>
      <c r="K295" s="35"/>
      <c r="L295" s="451" t="s">
        <v>317</v>
      </c>
      <c r="M295" s="6">
        <v>2</v>
      </c>
      <c r="N295" s="6">
        <v>100</v>
      </c>
      <c r="O295" s="6">
        <v>600</v>
      </c>
      <c r="P295" s="65">
        <f t="shared" si="121"/>
        <v>0.84852813742385702</v>
      </c>
      <c r="Q295" s="6">
        <f t="shared" si="148"/>
        <v>50</v>
      </c>
      <c r="R295" s="35"/>
      <c r="S295" s="9"/>
      <c r="T295" s="465" t="s">
        <v>163</v>
      </c>
      <c r="U295" s="871"/>
      <c r="V295" s="83">
        <f t="shared" si="149"/>
        <v>188000</v>
      </c>
      <c r="W295" s="9">
        <v>190</v>
      </c>
      <c r="X295" s="9"/>
      <c r="Y295" s="9"/>
      <c r="Z295" s="882"/>
      <c r="AA295" s="35"/>
      <c r="AB295" s="871"/>
      <c r="AC295" s="380" t="s">
        <v>750</v>
      </c>
      <c r="AD295" s="882"/>
      <c r="AE295" s="35"/>
      <c r="AF295" s="871"/>
      <c r="AG295" s="5">
        <v>0.373</v>
      </c>
      <c r="AK295" s="35"/>
      <c r="AL295" s="871"/>
      <c r="AT295" s="810"/>
      <c r="AU295" s="811"/>
      <c r="AV295" s="281"/>
      <c r="AW295" s="975"/>
      <c r="AX295" s="121"/>
      <c r="AY295" s="908"/>
      <c r="AZ295" s="760">
        <v>2016</v>
      </c>
      <c r="BA295" s="293"/>
      <c r="BB295" s="890"/>
      <c r="BC295" s="890"/>
    </row>
    <row r="296" spans="1:55" ht="17.100000000000001" customHeight="1">
      <c r="A296" s="219"/>
      <c r="B296" s="991"/>
      <c r="C296" s="871"/>
      <c r="D296" s="871"/>
      <c r="E296" s="899"/>
      <c r="F296" s="871"/>
      <c r="G296" s="871"/>
      <c r="H296" s="871"/>
      <c r="I296" s="871"/>
      <c r="J296" s="221"/>
      <c r="K296" s="35"/>
      <c r="L296" s="451" t="s">
        <v>318</v>
      </c>
      <c r="M296" s="6">
        <v>2</v>
      </c>
      <c r="N296" s="6">
        <v>125</v>
      </c>
      <c r="O296" s="6">
        <v>750</v>
      </c>
      <c r="P296" s="65">
        <f t="shared" si="121"/>
        <v>0.75894663844041099</v>
      </c>
      <c r="Q296" s="6">
        <f t="shared" si="148"/>
        <v>62.5</v>
      </c>
      <c r="R296" s="35"/>
      <c r="S296" s="9"/>
      <c r="T296" s="465" t="s">
        <v>163</v>
      </c>
      <c r="U296" s="871"/>
      <c r="V296" s="83">
        <f t="shared" si="149"/>
        <v>188000</v>
      </c>
      <c r="W296" s="9">
        <v>190</v>
      </c>
      <c r="X296" s="9"/>
      <c r="Y296" s="9"/>
      <c r="Z296" s="882"/>
      <c r="AA296" s="35"/>
      <c r="AB296" s="871"/>
      <c r="AC296" s="380" t="s">
        <v>750</v>
      </c>
      <c r="AD296" s="882"/>
      <c r="AE296" s="35"/>
      <c r="AF296" s="871"/>
      <c r="AG296" s="5">
        <v>1.681</v>
      </c>
      <c r="AK296" s="35"/>
      <c r="AL296" s="871"/>
      <c r="AN296" s="450" t="s">
        <v>319</v>
      </c>
      <c r="AT296" s="808"/>
      <c r="AU296" s="809"/>
      <c r="AV296" s="281"/>
      <c r="AW296" s="975"/>
      <c r="AX296" s="121"/>
      <c r="AY296" s="908"/>
      <c r="AZ296" s="760">
        <v>2016</v>
      </c>
      <c r="BA296" s="293"/>
      <c r="BB296" s="890"/>
      <c r="BC296" s="890"/>
    </row>
    <row r="297" spans="1:55">
      <c r="A297" s="219"/>
      <c r="B297" s="991"/>
      <c r="C297" s="871"/>
      <c r="D297" s="871"/>
      <c r="E297" s="899"/>
      <c r="F297" s="871"/>
      <c r="G297" s="871"/>
      <c r="H297" s="871"/>
      <c r="I297" s="871"/>
      <c r="J297" s="221"/>
      <c r="K297" s="35"/>
      <c r="L297" s="451" t="s">
        <v>320</v>
      </c>
      <c r="M297" s="6">
        <v>2</v>
      </c>
      <c r="N297" s="6">
        <v>125</v>
      </c>
      <c r="O297" s="6">
        <v>750</v>
      </c>
      <c r="P297" s="65">
        <f t="shared" ref="P297:P358" si="153">O297/N297*SQRT(M297/N297)</f>
        <v>0.75894663844041099</v>
      </c>
      <c r="Q297" s="6">
        <f t="shared" si="148"/>
        <v>62.5</v>
      </c>
      <c r="R297" s="35"/>
      <c r="S297" s="9"/>
      <c r="T297" s="465" t="s">
        <v>163</v>
      </c>
      <c r="U297" s="871"/>
      <c r="V297" s="83">
        <f t="shared" si="149"/>
        <v>188000</v>
      </c>
      <c r="W297" s="9">
        <v>190</v>
      </c>
      <c r="X297" s="9"/>
      <c r="Y297" s="9"/>
      <c r="Z297" s="882"/>
      <c r="AA297" s="35"/>
      <c r="AB297" s="871"/>
      <c r="AC297" s="380" t="s">
        <v>750</v>
      </c>
      <c r="AD297" s="882"/>
      <c r="AE297" s="35"/>
      <c r="AF297" s="871"/>
      <c r="AG297" s="5">
        <v>0.53700000000000003</v>
      </c>
      <c r="AK297" s="35"/>
      <c r="AL297" s="871"/>
      <c r="AN297" s="450"/>
      <c r="AT297" s="808"/>
      <c r="AU297" s="809"/>
      <c r="AV297" s="281"/>
      <c r="AW297" s="975"/>
      <c r="AX297" s="121"/>
      <c r="AY297" s="908"/>
      <c r="AZ297" s="760">
        <v>2016</v>
      </c>
      <c r="BA297" s="293"/>
      <c r="BB297" s="890"/>
      <c r="BC297" s="890"/>
    </row>
    <row r="298" spans="1:55">
      <c r="A298" s="219"/>
      <c r="B298" s="991"/>
      <c r="C298" s="871"/>
      <c r="D298" s="871"/>
      <c r="E298" s="899"/>
      <c r="F298" s="871"/>
      <c r="G298" s="871"/>
      <c r="H298" s="871"/>
      <c r="I298" s="871"/>
      <c r="J298" s="221"/>
      <c r="K298" s="35"/>
      <c r="L298" s="451" t="s">
        <v>321</v>
      </c>
      <c r="M298" s="6">
        <v>2</v>
      </c>
      <c r="N298" s="6">
        <v>125</v>
      </c>
      <c r="O298" s="6">
        <v>750</v>
      </c>
      <c r="P298" s="65">
        <f t="shared" si="153"/>
        <v>0.75894663844041099</v>
      </c>
      <c r="Q298" s="6">
        <f t="shared" si="148"/>
        <v>62.5</v>
      </c>
      <c r="R298" s="35"/>
      <c r="S298" s="9"/>
      <c r="T298" s="465" t="s">
        <v>163</v>
      </c>
      <c r="U298" s="871"/>
      <c r="V298" s="83">
        <f t="shared" si="149"/>
        <v>188000</v>
      </c>
      <c r="W298" s="9">
        <v>190</v>
      </c>
      <c r="X298" s="9"/>
      <c r="Y298" s="9"/>
      <c r="Z298" s="882"/>
      <c r="AA298" s="35"/>
      <c r="AB298" s="871"/>
      <c r="AC298" s="380" t="s">
        <v>750</v>
      </c>
      <c r="AD298" s="882"/>
      <c r="AE298" s="35"/>
      <c r="AF298" s="871"/>
      <c r="AG298" s="5">
        <v>0.60599999999999998</v>
      </c>
      <c r="AK298" s="35"/>
      <c r="AL298" s="871"/>
      <c r="AN298" s="450"/>
      <c r="AT298" s="808"/>
      <c r="AU298" s="809"/>
      <c r="AV298" s="281"/>
      <c r="AW298" s="975"/>
      <c r="AX298" s="121"/>
      <c r="AY298" s="908"/>
      <c r="AZ298" s="760">
        <v>2016</v>
      </c>
      <c r="BA298" s="293"/>
      <c r="BB298" s="890"/>
      <c r="BC298" s="890"/>
    </row>
    <row r="299" spans="1:55" ht="17.100000000000001" customHeight="1">
      <c r="A299" s="219"/>
      <c r="B299" s="991"/>
      <c r="C299" s="871"/>
      <c r="D299" s="871"/>
      <c r="E299" s="899"/>
      <c r="F299" s="871"/>
      <c r="G299" s="871"/>
      <c r="H299" s="871"/>
      <c r="I299" s="871"/>
      <c r="J299" s="221"/>
      <c r="K299" s="35"/>
      <c r="L299" s="451" t="s">
        <v>322</v>
      </c>
      <c r="M299" s="6">
        <v>2</v>
      </c>
      <c r="N299" s="6">
        <v>150</v>
      </c>
      <c r="O299" s="6">
        <v>900</v>
      </c>
      <c r="P299" s="65">
        <f t="shared" si="153"/>
        <v>0.69282032302755092</v>
      </c>
      <c r="Q299" s="6">
        <f t="shared" si="148"/>
        <v>75</v>
      </c>
      <c r="R299" s="35"/>
      <c r="S299" s="9"/>
      <c r="T299" s="465" t="s">
        <v>163</v>
      </c>
      <c r="U299" s="871"/>
      <c r="V299" s="83">
        <f t="shared" si="149"/>
        <v>188000</v>
      </c>
      <c r="W299" s="9">
        <v>190</v>
      </c>
      <c r="X299" s="9"/>
      <c r="Y299" s="9"/>
      <c r="Z299" s="882"/>
      <c r="AA299" s="35"/>
      <c r="AB299" s="871"/>
      <c r="AC299" s="380" t="s">
        <v>750</v>
      </c>
      <c r="AD299" s="882"/>
      <c r="AE299" s="35"/>
      <c r="AF299" s="871"/>
      <c r="AG299" s="5">
        <v>1.5509999999999999</v>
      </c>
      <c r="AK299" s="35"/>
      <c r="AL299" s="871"/>
      <c r="AN299" s="450" t="s">
        <v>319</v>
      </c>
      <c r="AT299" s="808"/>
      <c r="AU299" s="809"/>
      <c r="AV299" s="281"/>
      <c r="AW299" s="975"/>
      <c r="AX299" s="121"/>
      <c r="AY299" s="908"/>
      <c r="AZ299" s="760">
        <v>2016</v>
      </c>
      <c r="BA299" s="293"/>
      <c r="BB299" s="890"/>
      <c r="BC299" s="890"/>
    </row>
    <row r="300" spans="1:55">
      <c r="A300" s="219"/>
      <c r="B300" s="991"/>
      <c r="C300" s="871"/>
      <c r="D300" s="871"/>
      <c r="E300" s="899"/>
      <c r="F300" s="871"/>
      <c r="G300" s="871"/>
      <c r="H300" s="871"/>
      <c r="I300" s="871"/>
      <c r="J300" s="221"/>
      <c r="K300" s="35"/>
      <c r="L300" s="451" t="s">
        <v>323</v>
      </c>
      <c r="M300" s="6">
        <v>2</v>
      </c>
      <c r="N300" s="6">
        <v>150</v>
      </c>
      <c r="O300" s="6">
        <v>900</v>
      </c>
      <c r="P300" s="65">
        <f t="shared" si="153"/>
        <v>0.69282032302755092</v>
      </c>
      <c r="Q300" s="6">
        <f t="shared" si="148"/>
        <v>75</v>
      </c>
      <c r="R300" s="35"/>
      <c r="S300" s="9"/>
      <c r="T300" s="465" t="s">
        <v>163</v>
      </c>
      <c r="U300" s="871"/>
      <c r="V300" s="83">
        <f t="shared" si="149"/>
        <v>188000</v>
      </c>
      <c r="W300" s="9">
        <v>190</v>
      </c>
      <c r="X300" s="9"/>
      <c r="Y300" s="9"/>
      <c r="Z300" s="882"/>
      <c r="AA300" s="35"/>
      <c r="AB300" s="871"/>
      <c r="AC300" s="380" t="s">
        <v>750</v>
      </c>
      <c r="AD300" s="882"/>
      <c r="AE300" s="35"/>
      <c r="AF300" s="871"/>
      <c r="AG300" s="5">
        <v>0.65100000000000002</v>
      </c>
      <c r="AK300" s="35"/>
      <c r="AL300" s="871"/>
      <c r="AN300" s="450"/>
      <c r="AT300" s="808"/>
      <c r="AU300" s="809"/>
      <c r="AV300" s="281"/>
      <c r="AW300" s="975"/>
      <c r="AX300" s="121"/>
      <c r="AY300" s="908"/>
      <c r="AZ300" s="760">
        <v>2016</v>
      </c>
      <c r="BA300" s="293"/>
      <c r="BB300" s="890"/>
      <c r="BC300" s="890"/>
    </row>
    <row r="301" spans="1:55">
      <c r="A301" s="219"/>
      <c r="B301" s="991"/>
      <c r="C301" s="871"/>
      <c r="D301" s="871"/>
      <c r="E301" s="899"/>
      <c r="F301" s="871"/>
      <c r="G301" s="871"/>
      <c r="H301" s="871"/>
      <c r="I301" s="871"/>
      <c r="J301" s="221"/>
      <c r="K301" s="35"/>
      <c r="L301" s="451" t="s">
        <v>324</v>
      </c>
      <c r="M301" s="6">
        <v>2</v>
      </c>
      <c r="N301" s="6">
        <v>150</v>
      </c>
      <c r="O301" s="6">
        <v>900</v>
      </c>
      <c r="P301" s="65">
        <f t="shared" si="153"/>
        <v>0.69282032302755092</v>
      </c>
      <c r="Q301" s="6">
        <f t="shared" si="148"/>
        <v>75</v>
      </c>
      <c r="R301" s="35"/>
      <c r="S301" s="9"/>
      <c r="T301" s="465" t="s">
        <v>163</v>
      </c>
      <c r="U301" s="871"/>
      <c r="V301" s="83">
        <f t="shared" si="149"/>
        <v>188000</v>
      </c>
      <c r="W301" s="9">
        <v>190</v>
      </c>
      <c r="X301" s="9"/>
      <c r="Y301" s="9"/>
      <c r="Z301" s="882"/>
      <c r="AA301" s="35"/>
      <c r="AB301" s="871"/>
      <c r="AC301" s="380" t="s">
        <v>750</v>
      </c>
      <c r="AD301" s="882"/>
      <c r="AE301" s="35"/>
      <c r="AF301" s="871"/>
      <c r="AG301" s="5">
        <v>0.371</v>
      </c>
      <c r="AK301" s="35"/>
      <c r="AL301" s="871"/>
      <c r="AN301" s="450"/>
      <c r="AT301" s="808"/>
      <c r="AU301" s="809"/>
      <c r="AV301" s="281"/>
      <c r="AW301" s="975"/>
      <c r="AX301" s="121"/>
      <c r="AY301" s="908"/>
      <c r="AZ301" s="760">
        <v>2016</v>
      </c>
      <c r="BA301" s="293"/>
      <c r="BB301" s="890"/>
      <c r="BC301" s="890"/>
    </row>
    <row r="302" spans="1:55" ht="17.100000000000001" customHeight="1">
      <c r="A302" s="219"/>
      <c r="B302" s="991"/>
      <c r="C302" s="871"/>
      <c r="D302" s="871"/>
      <c r="E302" s="899"/>
      <c r="F302" s="871"/>
      <c r="G302" s="871"/>
      <c r="H302" s="871"/>
      <c r="I302" s="871"/>
      <c r="J302" s="221"/>
      <c r="K302" s="35"/>
      <c r="L302" s="451" t="s">
        <v>325</v>
      </c>
      <c r="M302" s="6">
        <v>2</v>
      </c>
      <c r="N302" s="6">
        <v>200</v>
      </c>
      <c r="O302" s="6">
        <v>1200</v>
      </c>
      <c r="P302" s="65">
        <f t="shared" si="153"/>
        <v>0.60000000000000009</v>
      </c>
      <c r="Q302" s="6">
        <f t="shared" si="148"/>
        <v>100</v>
      </c>
      <c r="R302" s="35"/>
      <c r="S302" s="9"/>
      <c r="T302" s="465" t="s">
        <v>163</v>
      </c>
      <c r="U302" s="871"/>
      <c r="V302" s="83">
        <f t="shared" si="149"/>
        <v>188000</v>
      </c>
      <c r="W302" s="9">
        <v>190</v>
      </c>
      <c r="X302" s="9"/>
      <c r="Y302" s="9"/>
      <c r="Z302" s="882"/>
      <c r="AA302" s="35"/>
      <c r="AB302" s="871"/>
      <c r="AC302" s="380" t="s">
        <v>870</v>
      </c>
      <c r="AD302" s="882"/>
      <c r="AE302" s="35"/>
      <c r="AF302" s="871"/>
      <c r="AG302" s="5">
        <v>2.2120000000000002</v>
      </c>
      <c r="AK302" s="35"/>
      <c r="AL302" s="871"/>
      <c r="AN302" s="554">
        <v>143.30000000000001</v>
      </c>
      <c r="AO302" s="559"/>
      <c r="AP302" s="559">
        <f t="shared" si="150"/>
        <v>0.75421052631578955</v>
      </c>
      <c r="AQ302" s="559">
        <f t="shared" si="151"/>
        <v>0.40863780013556233</v>
      </c>
      <c r="AR302" s="559">
        <f>1/SQRT(3*(1-0.3^2))*$V$290*1/Q302</f>
        <v>1137.8277614173487</v>
      </c>
      <c r="AS302" s="609">
        <f>2*PI()*N302*M302*AR302/1000</f>
        <v>2859.67306905541</v>
      </c>
      <c r="AT302" s="273">
        <f t="shared" si="152"/>
        <v>0.12594173288714336</v>
      </c>
      <c r="AU302" s="479">
        <f t="shared" si="133"/>
        <v>0.75421052631578955</v>
      </c>
      <c r="AV302" s="281"/>
      <c r="AW302" s="975"/>
      <c r="AX302" s="119" t="s">
        <v>987</v>
      </c>
      <c r="AY302" s="908"/>
      <c r="AZ302" s="760">
        <v>2016</v>
      </c>
      <c r="BA302" s="293"/>
      <c r="BB302" s="890"/>
      <c r="BC302" s="890"/>
    </row>
    <row r="303" spans="1:55">
      <c r="A303" s="219"/>
      <c r="B303" s="991"/>
      <c r="C303" s="871"/>
      <c r="D303" s="871"/>
      <c r="E303" s="899"/>
      <c r="F303" s="871"/>
      <c r="G303" s="871"/>
      <c r="H303" s="871"/>
      <c r="I303" s="871"/>
      <c r="J303" s="221"/>
      <c r="K303" s="35"/>
      <c r="L303" s="451" t="s">
        <v>326</v>
      </c>
      <c r="M303" s="6">
        <v>2</v>
      </c>
      <c r="N303" s="6">
        <v>200</v>
      </c>
      <c r="O303" s="6">
        <v>1200</v>
      </c>
      <c r="P303" s="65">
        <f t="shared" si="153"/>
        <v>0.60000000000000009</v>
      </c>
      <c r="Q303" s="6">
        <f t="shared" si="148"/>
        <v>100</v>
      </c>
      <c r="R303" s="35"/>
      <c r="S303" s="9"/>
      <c r="T303" s="465" t="s">
        <v>163</v>
      </c>
      <c r="U303" s="871"/>
      <c r="V303" s="83">
        <f t="shared" si="149"/>
        <v>188000</v>
      </c>
      <c r="W303" s="9">
        <v>190</v>
      </c>
      <c r="X303" s="9"/>
      <c r="Y303" s="9"/>
      <c r="Z303" s="882"/>
      <c r="AA303" s="35"/>
      <c r="AB303" s="871"/>
      <c r="AC303" s="380" t="s">
        <v>870</v>
      </c>
      <c r="AD303" s="882"/>
      <c r="AE303" s="35"/>
      <c r="AF303" s="871"/>
      <c r="AG303" s="5">
        <v>2.3029999999999999</v>
      </c>
      <c r="AK303" s="35"/>
      <c r="AL303" s="871"/>
      <c r="AO303" s="559"/>
      <c r="AP303" s="559"/>
      <c r="AQ303" s="559"/>
      <c r="AR303" s="559"/>
      <c r="AS303" s="609"/>
      <c r="AT303" s="810"/>
      <c r="AU303" s="811"/>
      <c r="AV303" s="281"/>
      <c r="AW303" s="975"/>
      <c r="AX303" s="119"/>
      <c r="AY303" s="908"/>
      <c r="AZ303" s="760">
        <v>2016</v>
      </c>
      <c r="BA303" s="293"/>
      <c r="BB303" s="890"/>
      <c r="BC303" s="890"/>
    </row>
    <row r="304" spans="1:55">
      <c r="A304" s="219"/>
      <c r="B304" s="991"/>
      <c r="C304" s="871"/>
      <c r="D304" s="871"/>
      <c r="E304" s="899"/>
      <c r="F304" s="871"/>
      <c r="G304" s="871"/>
      <c r="H304" s="871"/>
      <c r="I304" s="871"/>
      <c r="J304" s="221"/>
      <c r="K304" s="35"/>
      <c r="L304" s="451" t="s">
        <v>327</v>
      </c>
      <c r="M304" s="6">
        <v>2</v>
      </c>
      <c r="N304" s="6">
        <v>300</v>
      </c>
      <c r="O304" s="6">
        <v>1800</v>
      </c>
      <c r="P304" s="65">
        <f t="shared" si="153"/>
        <v>0.48989794855663565</v>
      </c>
      <c r="Q304" s="6">
        <f t="shared" si="148"/>
        <v>150</v>
      </c>
      <c r="R304" s="35"/>
      <c r="S304" s="9"/>
      <c r="T304" s="465" t="s">
        <v>163</v>
      </c>
      <c r="U304" s="871"/>
      <c r="V304" s="83">
        <f t="shared" si="149"/>
        <v>188000</v>
      </c>
      <c r="W304" s="9">
        <v>190</v>
      </c>
      <c r="X304" s="9"/>
      <c r="Y304" s="9"/>
      <c r="Z304" s="882"/>
      <c r="AA304" s="35"/>
      <c r="AB304" s="871"/>
      <c r="AC304" s="380" t="s">
        <v>870</v>
      </c>
      <c r="AD304" s="882"/>
      <c r="AE304" s="35"/>
      <c r="AF304" s="871"/>
      <c r="AG304" s="5">
        <v>3.1240000000000001</v>
      </c>
      <c r="AK304" s="35"/>
      <c r="AL304" s="871"/>
      <c r="AN304" s="554">
        <v>111.5</v>
      </c>
      <c r="AO304" s="559"/>
      <c r="AP304" s="559">
        <f t="shared" si="150"/>
        <v>0.58684210526315794</v>
      </c>
      <c r="AQ304" s="559">
        <f t="shared" si="151"/>
        <v>0.5004770499727712</v>
      </c>
      <c r="AR304" s="559">
        <f>1/SQRT(3*(1-0.3^2))*$V$290*1/Q304</f>
        <v>758.55184094489914</v>
      </c>
      <c r="AS304" s="609">
        <f>2*PI()*N304*M304*AR304/1000</f>
        <v>2859.67306905541</v>
      </c>
      <c r="AT304" s="273">
        <f t="shared" si="152"/>
        <v>0.14699061287770221</v>
      </c>
      <c r="AU304" s="479">
        <f t="shared" si="133"/>
        <v>0.58684210526315794</v>
      </c>
      <c r="AV304" s="281"/>
      <c r="AW304" s="975"/>
      <c r="AX304" s="119"/>
      <c r="AY304" s="908"/>
      <c r="AZ304" s="760">
        <v>2016</v>
      </c>
      <c r="BA304" s="293"/>
      <c r="BB304" s="890"/>
      <c r="BC304" s="890"/>
    </row>
    <row r="305" spans="1:55" ht="16.5" thickBot="1">
      <c r="A305" s="219"/>
      <c r="B305" s="992"/>
      <c r="C305" s="872"/>
      <c r="D305" s="872"/>
      <c r="E305" s="900"/>
      <c r="F305" s="872"/>
      <c r="G305" s="872"/>
      <c r="H305" s="872"/>
      <c r="I305" s="872"/>
      <c r="J305" s="223"/>
      <c r="K305" s="36"/>
      <c r="L305" s="453" t="s">
        <v>328</v>
      </c>
      <c r="M305" s="16">
        <v>2</v>
      </c>
      <c r="N305" s="16">
        <v>300</v>
      </c>
      <c r="O305" s="16">
        <v>1800</v>
      </c>
      <c r="P305" s="89">
        <f t="shared" si="153"/>
        <v>0.48989794855663565</v>
      </c>
      <c r="Q305" s="16">
        <f t="shared" si="148"/>
        <v>150</v>
      </c>
      <c r="R305" s="36"/>
      <c r="S305" s="126"/>
      <c r="T305" s="466" t="s">
        <v>163</v>
      </c>
      <c r="U305" s="872"/>
      <c r="V305" s="118">
        <f t="shared" si="149"/>
        <v>188000</v>
      </c>
      <c r="W305" s="126">
        <v>190</v>
      </c>
      <c r="X305" s="126"/>
      <c r="Y305" s="126"/>
      <c r="Z305" s="883"/>
      <c r="AA305" s="35"/>
      <c r="AB305" s="871"/>
      <c r="AC305" s="380" t="s">
        <v>870</v>
      </c>
      <c r="AD305" s="882"/>
      <c r="AE305" s="36"/>
      <c r="AF305" s="872"/>
      <c r="AG305" s="18">
        <v>4.1680000000000001</v>
      </c>
      <c r="AH305" s="18"/>
      <c r="AI305" s="18"/>
      <c r="AJ305" s="31"/>
      <c r="AK305" s="36"/>
      <c r="AL305" s="872"/>
      <c r="AM305" s="18"/>
      <c r="AN305" s="556"/>
      <c r="AO305" s="561"/>
      <c r="AP305" s="561"/>
      <c r="AQ305" s="561"/>
      <c r="AR305" s="561"/>
      <c r="AS305" s="616"/>
      <c r="AT305" s="810"/>
      <c r="AU305" s="811"/>
      <c r="AV305" s="282"/>
      <c r="AW305" s="976"/>
      <c r="AX305" s="199"/>
      <c r="AY305" s="909"/>
      <c r="AZ305" s="770">
        <v>2016</v>
      </c>
      <c r="BA305" s="295"/>
      <c r="BB305" s="890"/>
      <c r="BC305" s="890"/>
    </row>
    <row r="306" spans="1:55" ht="176.1" customHeight="1">
      <c r="A306" s="219"/>
      <c r="B306" s="990">
        <v>16</v>
      </c>
      <c r="C306" s="922" t="s">
        <v>989</v>
      </c>
      <c r="D306" s="1034" t="s">
        <v>329</v>
      </c>
      <c r="E306" s="937">
        <v>2016</v>
      </c>
      <c r="F306" s="922" t="s">
        <v>40</v>
      </c>
      <c r="G306" s="922" t="s">
        <v>275</v>
      </c>
      <c r="H306" s="922" t="s">
        <v>330</v>
      </c>
      <c r="I306" s="910" t="s">
        <v>331</v>
      </c>
      <c r="J306" s="222"/>
      <c r="K306" s="113" t="s">
        <v>332</v>
      </c>
      <c r="L306" s="449"/>
      <c r="M306" s="108">
        <v>2.78</v>
      </c>
      <c r="N306" s="108">
        <v>28.81</v>
      </c>
      <c r="O306" s="108">
        <v>200.2</v>
      </c>
      <c r="P306" s="72">
        <f t="shared" si="153"/>
        <v>2.158597072246673</v>
      </c>
      <c r="Q306" s="108">
        <v>10.36331</v>
      </c>
      <c r="R306" s="933" t="s">
        <v>44</v>
      </c>
      <c r="S306" s="922" t="s">
        <v>333</v>
      </c>
      <c r="T306" s="487" t="s">
        <v>163</v>
      </c>
      <c r="U306" s="171">
        <f>2*PI()*N306*M306*X306/1000</f>
        <v>178.64722544987589</v>
      </c>
      <c r="V306" s="108">
        <v>190000</v>
      </c>
      <c r="W306" s="171"/>
      <c r="X306" s="108">
        <v>355</v>
      </c>
      <c r="Y306" s="171"/>
      <c r="Z306" s="934" t="s">
        <v>990</v>
      </c>
      <c r="AA306" s="34"/>
      <c r="AB306" s="15"/>
      <c r="AC306" s="61" t="s">
        <v>749</v>
      </c>
      <c r="AD306" s="934" t="s">
        <v>334</v>
      </c>
      <c r="AE306" s="34"/>
      <c r="AF306" s="15"/>
      <c r="AG306" s="15"/>
      <c r="AH306" s="15"/>
      <c r="AI306" s="15"/>
      <c r="AJ306" s="29"/>
      <c r="AK306" s="34"/>
      <c r="AL306" s="922" t="s">
        <v>991</v>
      </c>
      <c r="AM306" s="108">
        <v>283.60000000000002</v>
      </c>
      <c r="AN306" s="594"/>
      <c r="AO306" s="20"/>
      <c r="AP306" s="20">
        <f>AM306/U306</f>
        <v>1.5874861716202324</v>
      </c>
      <c r="AQ306" s="20">
        <f>SQRT(X306/AR306)</f>
        <v>0.17886578339328085</v>
      </c>
      <c r="AR306" s="20">
        <f t="shared" ref="AR306:AR320" si="154">V306*M306/N306/SQRT(3*(1-0.3^2))</f>
        <v>11096.188224771311</v>
      </c>
      <c r="AS306" s="20">
        <f>AR306*2*PI()*N306*M306/1000</f>
        <v>5583.9527871126156</v>
      </c>
      <c r="AT306" s="681">
        <f>AM306/AS306</f>
        <v>5.0788395033448272E-2</v>
      </c>
      <c r="AU306" s="29">
        <f t="shared" si="133"/>
        <v>1.5874861716202324</v>
      </c>
      <c r="AV306" s="15"/>
      <c r="AW306" s="922" t="s">
        <v>335</v>
      </c>
      <c r="AX306" s="934" t="s">
        <v>992</v>
      </c>
      <c r="AY306" s="216"/>
      <c r="AZ306" s="543">
        <v>2016</v>
      </c>
      <c r="BA306" s="292"/>
    </row>
    <row r="307" spans="1:55">
      <c r="A307" s="219"/>
      <c r="B307" s="991"/>
      <c r="C307" s="873"/>
      <c r="D307" s="1035"/>
      <c r="E307" s="938"/>
      <c r="F307" s="873"/>
      <c r="G307" s="873"/>
      <c r="H307" s="873"/>
      <c r="I307" s="1053"/>
      <c r="J307" s="221"/>
      <c r="K307" s="114" t="s">
        <v>336</v>
      </c>
      <c r="M307" s="41">
        <v>2.98</v>
      </c>
      <c r="N307" s="41">
        <v>36.72</v>
      </c>
      <c r="O307" s="41">
        <v>240</v>
      </c>
      <c r="P307" s="65">
        <f t="shared" si="153"/>
        <v>1.8619386408814995</v>
      </c>
      <c r="Q307" s="41">
        <v>12.322150000000001</v>
      </c>
      <c r="R307" s="954"/>
      <c r="S307" s="873"/>
      <c r="T307" s="488" t="s">
        <v>163</v>
      </c>
      <c r="U307" s="172">
        <f>2*PI()*N307*M307*X307/1000</f>
        <v>207.63747928909177</v>
      </c>
      <c r="V307" s="41">
        <v>195000</v>
      </c>
      <c r="X307" s="41">
        <v>302</v>
      </c>
      <c r="Z307" s="977"/>
      <c r="AA307" s="35"/>
      <c r="AC307" s="396" t="s">
        <v>749</v>
      </c>
      <c r="AD307" s="977"/>
      <c r="AE307" s="35"/>
      <c r="AK307" s="35"/>
      <c r="AL307" s="873"/>
      <c r="AM307" s="41">
        <v>329.5</v>
      </c>
      <c r="AN307" s="566"/>
      <c r="AP307" s="554">
        <f>AM307/U307</f>
        <v>1.5869004051105828</v>
      </c>
      <c r="AQ307" s="554">
        <f>SQRT(X307/AR307)</f>
        <v>0.17757017871410097</v>
      </c>
      <c r="AR307" s="554">
        <f t="shared" si="154"/>
        <v>9577.8245978714913</v>
      </c>
      <c r="AS307" s="554">
        <f>AR307*2*PI()*N307*M307/1000</f>
        <v>6585.1501873347524</v>
      </c>
      <c r="AT307" s="274">
        <f>AM307/AS307</f>
        <v>5.0036823857674308E-2</v>
      </c>
      <c r="AU307" s="30">
        <f t="shared" si="133"/>
        <v>1.5869004051105828</v>
      </c>
      <c r="AV307" s="5"/>
      <c r="AW307" s="873"/>
      <c r="AX307" s="977"/>
      <c r="AZ307" s="543">
        <v>2016</v>
      </c>
      <c r="BA307" s="293"/>
    </row>
    <row r="308" spans="1:55">
      <c r="A308" s="219"/>
      <c r="B308" s="991"/>
      <c r="C308" s="873"/>
      <c r="D308" s="1035"/>
      <c r="E308" s="938"/>
      <c r="F308" s="873"/>
      <c r="G308" s="873"/>
      <c r="H308" s="873"/>
      <c r="I308" s="1053"/>
      <c r="J308" s="221"/>
      <c r="K308" s="114" t="s">
        <v>337</v>
      </c>
      <c r="M308" s="41">
        <v>2.89</v>
      </c>
      <c r="N308" s="41">
        <v>55.814999999999998</v>
      </c>
      <c r="O308" s="41">
        <v>360.1</v>
      </c>
      <c r="P308" s="65">
        <f t="shared" si="153"/>
        <v>1.4680662315245949</v>
      </c>
      <c r="Q308" s="41">
        <v>19.31315</v>
      </c>
      <c r="R308" s="954"/>
      <c r="S308" s="873"/>
      <c r="T308" s="488" t="s">
        <v>163</v>
      </c>
      <c r="U308" s="172">
        <f>2*PI()*N308*M308*X308/1000</f>
        <v>293.91830747594361</v>
      </c>
      <c r="V308" s="41">
        <v>187000</v>
      </c>
      <c r="X308" s="41">
        <v>290</v>
      </c>
      <c r="Z308" s="977"/>
      <c r="AA308" s="35"/>
      <c r="AC308" s="396" t="s">
        <v>749</v>
      </c>
      <c r="AD308" s="977"/>
      <c r="AE308" s="35"/>
      <c r="AK308" s="35"/>
      <c r="AL308" s="873"/>
      <c r="AM308" s="41">
        <v>382.7</v>
      </c>
      <c r="AN308" s="566"/>
      <c r="AP308" s="554">
        <f>AM308/U308</f>
        <v>1.3020624788107931</v>
      </c>
      <c r="AQ308" s="554">
        <f>SQRT(X308/AR308)</f>
        <v>0.22245665397328121</v>
      </c>
      <c r="AR308" s="554">
        <f t="shared" si="154"/>
        <v>5860.1292749296945</v>
      </c>
      <c r="AS308" s="554">
        <f>AR308*2*PI()*N308*M308/1000</f>
        <v>5939.3078554398771</v>
      </c>
      <c r="AT308" s="274">
        <f>AM308/AS308</f>
        <v>6.4435117578470175E-2</v>
      </c>
      <c r="AU308" s="30">
        <f t="shared" si="133"/>
        <v>1.3020624788107931</v>
      </c>
      <c r="AV308" s="5"/>
      <c r="AW308" s="873"/>
      <c r="AX308" s="977"/>
      <c r="AZ308" s="543">
        <v>2016</v>
      </c>
      <c r="BA308" s="293"/>
    </row>
    <row r="309" spans="1:55" ht="16.5" thickBot="1">
      <c r="A309" s="219"/>
      <c r="B309" s="992"/>
      <c r="C309" s="874"/>
      <c r="D309" s="1036"/>
      <c r="E309" s="939"/>
      <c r="F309" s="874"/>
      <c r="G309" s="874"/>
      <c r="H309" s="874"/>
      <c r="I309" s="1054"/>
      <c r="J309" s="223"/>
      <c r="K309" s="205" t="s">
        <v>338</v>
      </c>
      <c r="L309" s="453"/>
      <c r="M309" s="111">
        <v>2.92</v>
      </c>
      <c r="N309" s="111">
        <v>68.44</v>
      </c>
      <c r="O309" s="111">
        <v>434.8</v>
      </c>
      <c r="P309" s="89">
        <f t="shared" si="153"/>
        <v>1.3122481217790849</v>
      </c>
      <c r="Q309" s="111">
        <v>23.438359999999999</v>
      </c>
      <c r="R309" s="935"/>
      <c r="S309" s="874"/>
      <c r="T309" s="489" t="s">
        <v>163</v>
      </c>
      <c r="U309" s="173">
        <f>2*PI()*N309*M309*X309/1000</f>
        <v>405.57879727762645</v>
      </c>
      <c r="V309" s="111">
        <v>188000</v>
      </c>
      <c r="W309" s="173"/>
      <c r="X309" s="111">
        <v>323</v>
      </c>
      <c r="Y309" s="173"/>
      <c r="Z309" s="936"/>
      <c r="AA309" s="36"/>
      <c r="AB309" s="18"/>
      <c r="AC309" s="178" t="s">
        <v>749</v>
      </c>
      <c r="AD309" s="936"/>
      <c r="AE309" s="35"/>
      <c r="AK309" s="36"/>
      <c r="AL309" s="874"/>
      <c r="AM309" s="111">
        <v>456.3</v>
      </c>
      <c r="AN309" s="572"/>
      <c r="AO309" s="556"/>
      <c r="AP309" s="556">
        <f>AM309/U309</f>
        <v>1.1250588124005259</v>
      </c>
      <c r="AQ309" s="556">
        <f>SQRT(X309/AR309)</f>
        <v>0.25794467871866744</v>
      </c>
      <c r="AR309" s="556">
        <f t="shared" si="154"/>
        <v>4854.5544467250993</v>
      </c>
      <c r="AS309" s="556">
        <f>AR309*2*PI()*N309*M309/1000</f>
        <v>6095.6791139985107</v>
      </c>
      <c r="AT309" s="275">
        <f>AM309/AS309</f>
        <v>7.4856302549148837E-2</v>
      </c>
      <c r="AU309" s="31">
        <f t="shared" si="133"/>
        <v>1.1250588124005259</v>
      </c>
      <c r="AV309" s="18"/>
      <c r="AW309" s="874"/>
      <c r="AX309" s="936"/>
      <c r="AY309" s="286"/>
      <c r="AZ309" s="543">
        <v>2016</v>
      </c>
      <c r="BA309" s="295"/>
    </row>
    <row r="310" spans="1:55" ht="17.100000000000001" customHeight="1">
      <c r="A310" s="219"/>
      <c r="B310" s="990">
        <v>17</v>
      </c>
      <c r="C310" s="870" t="s">
        <v>993</v>
      </c>
      <c r="D310" s="870" t="s">
        <v>339</v>
      </c>
      <c r="E310" s="898">
        <v>2019</v>
      </c>
      <c r="F310" s="870" t="s">
        <v>40</v>
      </c>
      <c r="G310" s="870" t="s">
        <v>262</v>
      </c>
      <c r="H310" s="870" t="s">
        <v>340</v>
      </c>
      <c r="I310" s="910" t="s">
        <v>994</v>
      </c>
      <c r="J310" s="222"/>
      <c r="K310" s="34"/>
      <c r="L310" s="449" t="s">
        <v>341</v>
      </c>
      <c r="M310" s="14">
        <v>1.7</v>
      </c>
      <c r="N310" s="14">
        <f>103/2</f>
        <v>51.5</v>
      </c>
      <c r="O310" s="14">
        <v>306</v>
      </c>
      <c r="P310" s="72">
        <f t="shared" si="153"/>
        <v>1.0795308147740004</v>
      </c>
      <c r="Q310" s="57">
        <f>N310/M310</f>
        <v>30.294117647058826</v>
      </c>
      <c r="R310" s="34"/>
      <c r="S310" s="171"/>
      <c r="T310" s="464" t="s">
        <v>163</v>
      </c>
      <c r="U310" s="171"/>
      <c r="V310" s="171">
        <v>195500</v>
      </c>
      <c r="W310" s="171"/>
      <c r="X310" s="171"/>
      <c r="Y310" s="171"/>
      <c r="Z310" s="881" t="s">
        <v>995</v>
      </c>
      <c r="AA310" s="35"/>
      <c r="AB310" s="411"/>
      <c r="AC310" s="396" t="s">
        <v>868</v>
      </c>
      <c r="AD310" s="882" t="s">
        <v>996</v>
      </c>
      <c r="AE310" s="34"/>
      <c r="AF310" s="887"/>
      <c r="AG310" s="925"/>
      <c r="AH310" s="475"/>
      <c r="AI310" s="475"/>
      <c r="AJ310" s="483"/>
      <c r="AK310" s="26"/>
      <c r="AL310" s="870" t="s">
        <v>997</v>
      </c>
      <c r="AM310" s="15">
        <v>160</v>
      </c>
      <c r="AN310" s="20"/>
      <c r="AO310" s="20"/>
      <c r="AP310" s="20"/>
      <c r="AQ310" s="578"/>
      <c r="AR310" s="20">
        <f t="shared" si="154"/>
        <v>3905.7741841257571</v>
      </c>
      <c r="AS310" s="547">
        <f t="shared" ref="AS310:AS317" si="155">2*PI()*N310*M310*AR310/1000</f>
        <v>2148.5385447486183</v>
      </c>
      <c r="AT310" s="274">
        <f>AM310/AS310</f>
        <v>7.4469224855689145E-2</v>
      </c>
      <c r="AU310" s="248"/>
      <c r="AV310" s="128"/>
      <c r="AW310" s="15"/>
      <c r="AX310" s="29"/>
      <c r="AY310" s="967" t="s">
        <v>342</v>
      </c>
      <c r="AZ310" s="765">
        <v>2019</v>
      </c>
      <c r="BA310" s="292"/>
    </row>
    <row r="311" spans="1:55">
      <c r="A311" s="219"/>
      <c r="B311" s="991"/>
      <c r="C311" s="871"/>
      <c r="D311" s="871"/>
      <c r="E311" s="899"/>
      <c r="F311" s="871"/>
      <c r="G311" s="871"/>
      <c r="H311" s="871"/>
      <c r="I311" s="917"/>
      <c r="J311" s="221"/>
      <c r="K311" s="35"/>
      <c r="L311" s="451" t="s">
        <v>343</v>
      </c>
      <c r="M311" s="6">
        <v>1.5</v>
      </c>
      <c r="N311" s="6">
        <f>103/2</f>
        <v>51.5</v>
      </c>
      <c r="O311" s="6">
        <v>1020</v>
      </c>
      <c r="P311" s="65">
        <f t="shared" si="153"/>
        <v>3.3801420959321113</v>
      </c>
      <c r="Q311" s="55">
        <f t="shared" ref="Q311:Q317" si="156">N311/M311</f>
        <v>34.333333333333336</v>
      </c>
      <c r="R311" s="35"/>
      <c r="T311" s="465" t="s">
        <v>163</v>
      </c>
      <c r="V311" s="172">
        <v>195500</v>
      </c>
      <c r="Z311" s="882"/>
      <c r="AA311" s="35"/>
      <c r="AB311" s="411"/>
      <c r="AC311" s="396" t="s">
        <v>868</v>
      </c>
      <c r="AD311" s="882"/>
      <c r="AE311" s="35"/>
      <c r="AF311" s="888"/>
      <c r="AG311" s="890"/>
      <c r="AH311" s="476"/>
      <c r="AI311" s="476"/>
      <c r="AJ311" s="484"/>
      <c r="AK311" s="697"/>
      <c r="AL311" s="871"/>
      <c r="AM311" s="5">
        <v>149</v>
      </c>
      <c r="AQ311" s="580"/>
      <c r="AR311" s="554">
        <f t="shared" si="154"/>
        <v>3446.2713389344913</v>
      </c>
      <c r="AS311" s="576">
        <f t="shared" si="155"/>
        <v>1672.7376213440803</v>
      </c>
      <c r="AT311" s="274">
        <f t="shared" ref="AT311:AT317" si="157">AM311/AS311</f>
        <v>8.9075535875300829E-2</v>
      </c>
      <c r="AU311" s="248"/>
      <c r="AY311" s="968"/>
      <c r="AZ311" s="543">
        <v>2019</v>
      </c>
      <c r="BA311" s="293"/>
    </row>
    <row r="312" spans="1:55">
      <c r="A312" s="219"/>
      <c r="B312" s="991"/>
      <c r="C312" s="871"/>
      <c r="D312" s="871"/>
      <c r="E312" s="899"/>
      <c r="F312" s="871"/>
      <c r="G312" s="871"/>
      <c r="H312" s="871"/>
      <c r="I312" s="917"/>
      <c r="J312" s="221"/>
      <c r="K312" s="35"/>
      <c r="L312" s="451" t="s">
        <v>344</v>
      </c>
      <c r="M312" s="6">
        <v>2.1</v>
      </c>
      <c r="N312" s="6">
        <f>153/2</f>
        <v>76.5</v>
      </c>
      <c r="O312" s="6">
        <v>456</v>
      </c>
      <c r="P312" s="65">
        <f t="shared" si="153"/>
        <v>0.98760285628302846</v>
      </c>
      <c r="Q312" s="55">
        <f t="shared" si="156"/>
        <v>36.428571428571423</v>
      </c>
      <c r="R312" s="35"/>
      <c r="T312" s="465" t="s">
        <v>163</v>
      </c>
      <c r="V312" s="172">
        <v>180500</v>
      </c>
      <c r="Z312" s="882"/>
      <c r="AA312" s="35"/>
      <c r="AB312" s="411"/>
      <c r="AC312" s="396" t="s">
        <v>868</v>
      </c>
      <c r="AD312" s="882"/>
      <c r="AE312" s="35"/>
      <c r="AF312" s="888"/>
      <c r="AG312" s="890"/>
      <c r="AH312" s="476"/>
      <c r="AI312" s="476"/>
      <c r="AJ312" s="484"/>
      <c r="AK312" s="697"/>
      <c r="AL312" s="871"/>
      <c r="AM312" s="5">
        <v>380</v>
      </c>
      <c r="AQ312" s="580"/>
      <c r="AR312" s="554">
        <f t="shared" si="154"/>
        <v>2998.8430883413016</v>
      </c>
      <c r="AS312" s="576">
        <f t="shared" si="155"/>
        <v>3027.0133794327817</v>
      </c>
      <c r="AT312" s="274">
        <f t="shared" si="157"/>
        <v>0.12553628027610716</v>
      </c>
      <c r="AU312" s="248"/>
      <c r="AY312" s="968"/>
      <c r="AZ312" s="543">
        <v>2019</v>
      </c>
      <c r="BA312" s="293"/>
    </row>
    <row r="313" spans="1:55">
      <c r="A313" s="219"/>
      <c r="B313" s="991"/>
      <c r="C313" s="871"/>
      <c r="D313" s="871"/>
      <c r="E313" s="899"/>
      <c r="F313" s="871"/>
      <c r="G313" s="871"/>
      <c r="H313" s="871"/>
      <c r="I313" s="917"/>
      <c r="J313" s="221"/>
      <c r="K313" s="35"/>
      <c r="L313" s="451" t="s">
        <v>345</v>
      </c>
      <c r="M313" s="6">
        <v>2.1</v>
      </c>
      <c r="N313" s="6">
        <f>154/2</f>
        <v>77</v>
      </c>
      <c r="O313" s="6">
        <v>1522</v>
      </c>
      <c r="P313" s="65">
        <f t="shared" si="153"/>
        <v>3.2642860724460796</v>
      </c>
      <c r="Q313" s="55">
        <f t="shared" si="156"/>
        <v>36.666666666666664</v>
      </c>
      <c r="R313" s="35"/>
      <c r="T313" s="465" t="s">
        <v>163</v>
      </c>
      <c r="V313" s="172">
        <v>180500</v>
      </c>
      <c r="Z313" s="882"/>
      <c r="AA313" s="35"/>
      <c r="AB313" s="411"/>
      <c r="AC313" s="396" t="s">
        <v>868</v>
      </c>
      <c r="AD313" s="882"/>
      <c r="AE313" s="35"/>
      <c r="AF313" s="888"/>
      <c r="AG313" s="890"/>
      <c r="AH313" s="476"/>
      <c r="AI313" s="476"/>
      <c r="AJ313" s="484"/>
      <c r="AK313" s="697"/>
      <c r="AL313" s="871"/>
      <c r="AM313" s="7">
        <v>274</v>
      </c>
      <c r="AN313" s="580"/>
      <c r="AQ313" s="580"/>
      <c r="AR313" s="554">
        <f t="shared" si="154"/>
        <v>2979.3700812741504</v>
      </c>
      <c r="AS313" s="576">
        <f t="shared" si="155"/>
        <v>3027.0133794327817</v>
      </c>
      <c r="AT313" s="274">
        <f t="shared" si="157"/>
        <v>9.0518265251719382E-2</v>
      </c>
      <c r="AU313" s="248"/>
      <c r="AY313" s="968"/>
      <c r="AZ313" s="543">
        <v>2019</v>
      </c>
      <c r="BA313" s="293"/>
    </row>
    <row r="314" spans="1:55">
      <c r="A314" s="219"/>
      <c r="B314" s="991"/>
      <c r="C314" s="871"/>
      <c r="D314" s="871"/>
      <c r="E314" s="899"/>
      <c r="F314" s="871"/>
      <c r="G314" s="871"/>
      <c r="H314" s="871"/>
      <c r="I314" s="917"/>
      <c r="J314" s="221"/>
      <c r="K314" s="35"/>
      <c r="L314" s="451" t="s">
        <v>346</v>
      </c>
      <c r="M314" s="6">
        <v>2.1</v>
      </c>
      <c r="N314" s="6">
        <f>203/2</f>
        <v>101.5</v>
      </c>
      <c r="O314" s="6">
        <v>608</v>
      </c>
      <c r="P314" s="65">
        <f t="shared" si="153"/>
        <v>0.86161680976289712</v>
      </c>
      <c r="Q314" s="55">
        <f t="shared" si="156"/>
        <v>48.333333333333329</v>
      </c>
      <c r="R314" s="35"/>
      <c r="T314" s="465" t="s">
        <v>163</v>
      </c>
      <c r="V314" s="172">
        <v>180500</v>
      </c>
      <c r="Z314" s="882"/>
      <c r="AA314" s="35"/>
      <c r="AB314" s="411"/>
      <c r="AC314" s="396" t="s">
        <v>868</v>
      </c>
      <c r="AD314" s="882"/>
      <c r="AE314" s="35"/>
      <c r="AF314" s="888"/>
      <c r="AG314" s="890"/>
      <c r="AH314" s="476"/>
      <c r="AI314" s="476"/>
      <c r="AJ314" s="484"/>
      <c r="AK314" s="697"/>
      <c r="AL314" s="871"/>
      <c r="AM314" s="7">
        <v>332</v>
      </c>
      <c r="AN314" s="580"/>
      <c r="AQ314" s="580"/>
      <c r="AR314" s="554">
        <f t="shared" si="154"/>
        <v>2260.211785794183</v>
      </c>
      <c r="AS314" s="576">
        <f t="shared" si="155"/>
        <v>3027.0133794327812</v>
      </c>
      <c r="AT314" s="274">
        <f t="shared" si="157"/>
        <v>0.10967906592544101</v>
      </c>
      <c r="AU314" s="248"/>
      <c r="AY314" s="968"/>
      <c r="AZ314" s="543">
        <v>2019</v>
      </c>
      <c r="BA314" s="293"/>
    </row>
    <row r="315" spans="1:55">
      <c r="A315" s="219"/>
      <c r="B315" s="991"/>
      <c r="C315" s="871"/>
      <c r="D315" s="871"/>
      <c r="E315" s="899"/>
      <c r="F315" s="871"/>
      <c r="G315" s="871"/>
      <c r="H315" s="871"/>
      <c r="I315" s="917"/>
      <c r="J315" s="221"/>
      <c r="K315" s="35"/>
      <c r="L315" s="451" t="s">
        <v>347</v>
      </c>
      <c r="M315" s="6">
        <v>2.1</v>
      </c>
      <c r="N315" s="6">
        <f>203/2</f>
        <v>101.5</v>
      </c>
      <c r="O315" s="6">
        <v>2030</v>
      </c>
      <c r="P315" s="65">
        <f t="shared" si="153"/>
        <v>2.8767798089123047</v>
      </c>
      <c r="Q315" s="55">
        <f t="shared" si="156"/>
        <v>48.333333333333329</v>
      </c>
      <c r="R315" s="35"/>
      <c r="T315" s="465" t="s">
        <v>163</v>
      </c>
      <c r="V315" s="172">
        <v>180500</v>
      </c>
      <c r="Z315" s="882"/>
      <c r="AA315" s="35"/>
      <c r="AB315" s="411"/>
      <c r="AC315" s="396" t="s">
        <v>868</v>
      </c>
      <c r="AD315" s="882"/>
      <c r="AE315" s="35"/>
      <c r="AF315" s="888"/>
      <c r="AG315" s="890"/>
      <c r="AH315" s="476"/>
      <c r="AI315" s="476"/>
      <c r="AJ315" s="484"/>
      <c r="AK315" s="697"/>
      <c r="AL315" s="871"/>
      <c r="AM315" s="7">
        <v>350</v>
      </c>
      <c r="AN315" s="580"/>
      <c r="AQ315" s="580"/>
      <c r="AR315" s="554">
        <f t="shared" si="154"/>
        <v>2260.211785794183</v>
      </c>
      <c r="AS315" s="576">
        <f t="shared" si="155"/>
        <v>3027.0133794327812</v>
      </c>
      <c r="AT315" s="274">
        <f t="shared" si="157"/>
        <v>0.11562552130694083</v>
      </c>
      <c r="AU315" s="248"/>
      <c r="AY315" s="968"/>
      <c r="AZ315" s="543">
        <v>2019</v>
      </c>
      <c r="BA315" s="293"/>
    </row>
    <row r="316" spans="1:55">
      <c r="A316" s="219"/>
      <c r="B316" s="991"/>
      <c r="C316" s="871"/>
      <c r="D316" s="871"/>
      <c r="E316" s="899"/>
      <c r="F316" s="871"/>
      <c r="G316" s="871"/>
      <c r="H316" s="871"/>
      <c r="I316" s="917"/>
      <c r="J316" s="221"/>
      <c r="K316" s="35"/>
      <c r="L316" s="451" t="s">
        <v>348</v>
      </c>
      <c r="M316" s="6">
        <v>2.1</v>
      </c>
      <c r="N316" s="6">
        <f>254/2</f>
        <v>127</v>
      </c>
      <c r="O316" s="6">
        <v>762</v>
      </c>
      <c r="P316" s="65">
        <f t="shared" si="153"/>
        <v>0.77154104916795008</v>
      </c>
      <c r="Q316" s="55">
        <f t="shared" si="156"/>
        <v>60.476190476190474</v>
      </c>
      <c r="R316" s="35"/>
      <c r="T316" s="465" t="s">
        <v>163</v>
      </c>
      <c r="V316" s="172">
        <v>180500</v>
      </c>
      <c r="Z316" s="882"/>
      <c r="AA316" s="35"/>
      <c r="AB316" s="411"/>
      <c r="AC316" s="396" t="s">
        <v>868</v>
      </c>
      <c r="AD316" s="882"/>
      <c r="AE316" s="35"/>
      <c r="AF316" s="888"/>
      <c r="AG316" s="890"/>
      <c r="AH316" s="476"/>
      <c r="AI316" s="476"/>
      <c r="AJ316" s="484"/>
      <c r="AK316" s="697"/>
      <c r="AL316" s="871"/>
      <c r="AM316" s="7">
        <v>405</v>
      </c>
      <c r="AN316" s="580"/>
      <c r="AQ316" s="580"/>
      <c r="AR316" s="554">
        <f t="shared" si="154"/>
        <v>1806.3897343158233</v>
      </c>
      <c r="AS316" s="576">
        <f t="shared" si="155"/>
        <v>3027.0133794327812</v>
      </c>
      <c r="AT316" s="274">
        <f t="shared" si="157"/>
        <v>0.13379524608374582</v>
      </c>
      <c r="AU316" s="248"/>
      <c r="AY316" s="968"/>
      <c r="AZ316" s="543">
        <v>2019</v>
      </c>
      <c r="BA316" s="293"/>
    </row>
    <row r="317" spans="1:55" ht="16.5" thickBot="1">
      <c r="A317" s="219"/>
      <c r="B317" s="992"/>
      <c r="C317" s="872"/>
      <c r="D317" s="872"/>
      <c r="E317" s="900"/>
      <c r="F317" s="872"/>
      <c r="G317" s="872"/>
      <c r="H317" s="872"/>
      <c r="I317" s="918"/>
      <c r="J317" s="223"/>
      <c r="K317" s="36"/>
      <c r="L317" s="453" t="s">
        <v>349</v>
      </c>
      <c r="M317" s="16">
        <v>2.1</v>
      </c>
      <c r="N317" s="16">
        <f>254/2</f>
        <v>127</v>
      </c>
      <c r="O317" s="16">
        <v>2537</v>
      </c>
      <c r="P317" s="89">
        <f t="shared" si="153"/>
        <v>2.5687659340407993</v>
      </c>
      <c r="Q317" s="238">
        <f t="shared" si="156"/>
        <v>60.476190476190474</v>
      </c>
      <c r="R317" s="36"/>
      <c r="S317" s="173"/>
      <c r="T317" s="466" t="s">
        <v>163</v>
      </c>
      <c r="U317" s="173"/>
      <c r="V317" s="173">
        <v>180500</v>
      </c>
      <c r="W317" s="173"/>
      <c r="X317" s="173"/>
      <c r="Y317" s="173"/>
      <c r="Z317" s="883"/>
      <c r="AA317" s="35"/>
      <c r="AB317" s="411"/>
      <c r="AC317" s="396" t="s">
        <v>868</v>
      </c>
      <c r="AD317" s="882"/>
      <c r="AE317" s="36"/>
      <c r="AF317" s="889"/>
      <c r="AG317" s="891"/>
      <c r="AH317" s="477"/>
      <c r="AI317" s="477"/>
      <c r="AJ317" s="485"/>
      <c r="AK317" s="698"/>
      <c r="AL317" s="872"/>
      <c r="AM317" s="17">
        <v>395</v>
      </c>
      <c r="AN317" s="587"/>
      <c r="AO317" s="556"/>
      <c r="AP317" s="556"/>
      <c r="AQ317" s="587"/>
      <c r="AR317" s="556">
        <f t="shared" si="154"/>
        <v>1806.3897343158233</v>
      </c>
      <c r="AS317" s="577">
        <f t="shared" si="155"/>
        <v>3027.0133794327812</v>
      </c>
      <c r="AT317" s="275">
        <f t="shared" si="157"/>
        <v>0.13049165976069035</v>
      </c>
      <c r="AU317" s="249"/>
      <c r="AV317" s="91"/>
      <c r="AW317" s="18"/>
      <c r="AX317" s="31"/>
      <c r="AY317" s="969"/>
      <c r="AZ317" s="766">
        <v>2019</v>
      </c>
      <c r="BA317" s="295"/>
    </row>
    <row r="318" spans="1:55" ht="117.75" customHeight="1">
      <c r="A318" s="145"/>
      <c r="B318" s="990">
        <v>18</v>
      </c>
      <c r="C318" s="981" t="s">
        <v>350</v>
      </c>
      <c r="D318" s="922" t="s">
        <v>351</v>
      </c>
      <c r="E318" s="937">
        <v>1937</v>
      </c>
      <c r="F318" s="870"/>
      <c r="G318" s="922" t="s">
        <v>352</v>
      </c>
      <c r="H318" s="922" t="s">
        <v>353</v>
      </c>
      <c r="I318" s="910" t="s">
        <v>354</v>
      </c>
      <c r="J318" s="222"/>
      <c r="K318" s="34"/>
      <c r="L318" s="528" t="s">
        <v>199</v>
      </c>
      <c r="M318" s="108">
        <v>3.0226000000000002</v>
      </c>
      <c r="N318" s="108">
        <v>154.30500000000001</v>
      </c>
      <c r="O318" s="108">
        <v>9144</v>
      </c>
      <c r="P318" s="72">
        <f t="shared" si="153"/>
        <v>8.2938572851319332</v>
      </c>
      <c r="Q318" s="108">
        <v>51.050420000000003</v>
      </c>
      <c r="R318" s="933" t="s">
        <v>44</v>
      </c>
      <c r="S318" s="922" t="s">
        <v>163</v>
      </c>
      <c r="T318" s="487" t="s">
        <v>163</v>
      </c>
      <c r="U318" s="341">
        <f t="shared" ref="U318:U333" si="158">2*PI()*N318*M318*W318/1000</f>
        <v>703.13522560403271</v>
      </c>
      <c r="V318" s="341">
        <v>197123.02584555556</v>
      </c>
      <c r="W318" s="22">
        <v>239.9376</v>
      </c>
      <c r="X318" s="171"/>
      <c r="Y318" s="171"/>
      <c r="Z318" s="934" t="s">
        <v>355</v>
      </c>
      <c r="AA318" s="34"/>
      <c r="AB318" s="922" t="s">
        <v>356</v>
      </c>
      <c r="AC318" s="389" t="s">
        <v>870</v>
      </c>
      <c r="AD318" s="964" t="s">
        <v>357</v>
      </c>
      <c r="AE318" s="35"/>
      <c r="AF318" s="873" t="s">
        <v>358</v>
      </c>
      <c r="AK318" s="34"/>
      <c r="AL318" s="922" t="s">
        <v>998</v>
      </c>
      <c r="AM318" s="108">
        <v>596.26520000000005</v>
      </c>
      <c r="AN318" s="575">
        <v>205.46379999999999</v>
      </c>
      <c r="AO318" s="20">
        <f t="shared" ref="AO318:AO333" si="159">AN318/W318</f>
        <v>0.85632181033735433</v>
      </c>
      <c r="AP318" s="20"/>
      <c r="AQ318" s="594">
        <f>SQRT(W318/AR318)</f>
        <v>0.3204208727095576</v>
      </c>
      <c r="AR318" s="20">
        <f t="shared" si="154"/>
        <v>2336.9892387162117</v>
      </c>
      <c r="AS318" s="547"/>
      <c r="AT318" s="678">
        <f>AN318/AR318</f>
        <v>8.7918162649678389E-2</v>
      </c>
      <c r="AU318" s="652">
        <f t="shared" ref="AU318:AU320" si="160">MAX(AO318:AP318)</f>
        <v>0.85632181033735433</v>
      </c>
      <c r="AV318" s="128"/>
      <c r="AW318" s="15"/>
      <c r="AX318" s="109" t="s">
        <v>359</v>
      </c>
      <c r="AY318" s="970" t="s">
        <v>360</v>
      </c>
      <c r="AZ318" s="763">
        <v>1937</v>
      </c>
      <c r="BA318" s="292"/>
    </row>
    <row r="319" spans="1:55">
      <c r="B319" s="991"/>
      <c r="C319" s="953"/>
      <c r="D319" s="873"/>
      <c r="E319" s="938"/>
      <c r="F319" s="871"/>
      <c r="G319" s="873"/>
      <c r="H319" s="873"/>
      <c r="I319" s="1053"/>
      <c r="J319" s="221"/>
      <c r="K319" s="35"/>
      <c r="L319" s="98" t="s">
        <v>207</v>
      </c>
      <c r="M319" s="41">
        <v>2.9971999999999999</v>
      </c>
      <c r="N319" s="41">
        <v>153.92400000000001</v>
      </c>
      <c r="O319" s="41">
        <v>9144</v>
      </c>
      <c r="P319" s="65">
        <f t="shared" si="153"/>
        <v>8.2896189582680577</v>
      </c>
      <c r="Q319" s="41">
        <v>51.355930000000001</v>
      </c>
      <c r="R319" s="954"/>
      <c r="S319" s="873"/>
      <c r="T319" s="488" t="s">
        <v>163</v>
      </c>
      <c r="U319" s="71">
        <f t="shared" si="158"/>
        <v>679.51608916006705</v>
      </c>
      <c r="V319" s="360">
        <v>197123.02584555556</v>
      </c>
      <c r="W319" s="163">
        <v>234.42169999999999</v>
      </c>
      <c r="Z319" s="977"/>
      <c r="AA319" s="35"/>
      <c r="AB319" s="873"/>
      <c r="AC319" s="390" t="s">
        <v>870</v>
      </c>
      <c r="AD319" s="965"/>
      <c r="AE319" s="35"/>
      <c r="AF319" s="873"/>
      <c r="AK319" s="35"/>
      <c r="AL319" s="873"/>
      <c r="AM319" s="41">
        <v>489.47149999999999</v>
      </c>
      <c r="AN319" s="563">
        <v>170.3005</v>
      </c>
      <c r="AO319" s="554">
        <f t="shared" si="159"/>
        <v>0.72647071495514282</v>
      </c>
      <c r="AQ319" s="566">
        <f>SQRT(W319/AR319)</f>
        <v>0.31766268123244462</v>
      </c>
      <c r="AR319" s="554">
        <f t="shared" si="154"/>
        <v>2323.0866902040052</v>
      </c>
      <c r="AT319" s="679">
        <f>AN319/AR319</f>
        <v>7.3307854036667397E-2</v>
      </c>
      <c r="AU319" s="653">
        <f t="shared" si="160"/>
        <v>0.72647071495514282</v>
      </c>
      <c r="AX319" s="110" t="s">
        <v>361</v>
      </c>
      <c r="AY319" s="971"/>
      <c r="AZ319" s="763">
        <v>1937</v>
      </c>
      <c r="BA319" s="293"/>
    </row>
    <row r="320" spans="1:55">
      <c r="B320" s="991"/>
      <c r="C320" s="953"/>
      <c r="D320" s="873"/>
      <c r="E320" s="938"/>
      <c r="F320" s="871"/>
      <c r="G320" s="873"/>
      <c r="H320" s="873"/>
      <c r="I320" s="1053"/>
      <c r="J320" s="221"/>
      <c r="K320" s="35"/>
      <c r="L320" s="98" t="s">
        <v>362</v>
      </c>
      <c r="M320" s="41">
        <v>2.794</v>
      </c>
      <c r="N320" s="41">
        <v>153.92400000000001</v>
      </c>
      <c r="O320" s="41">
        <v>9144</v>
      </c>
      <c r="P320" s="65">
        <f t="shared" si="153"/>
        <v>8.0036835121851571</v>
      </c>
      <c r="Q320" s="41">
        <v>55.090910000000001</v>
      </c>
      <c r="R320" s="954"/>
      <c r="S320" s="873"/>
      <c r="T320" s="488" t="s">
        <v>163</v>
      </c>
      <c r="U320" s="71">
        <f t="shared" si="158"/>
        <v>726.60125765102214</v>
      </c>
      <c r="V320" s="360">
        <v>197485.54780571428</v>
      </c>
      <c r="W320" s="163">
        <v>268.89550000000003</v>
      </c>
      <c r="Z320" s="977"/>
      <c r="AA320" s="35"/>
      <c r="AB320" s="873"/>
      <c r="AC320" s="390" t="s">
        <v>870</v>
      </c>
      <c r="AD320" s="965"/>
      <c r="AE320" s="35"/>
      <c r="AF320" s="873"/>
      <c r="AK320" s="35"/>
      <c r="AL320" s="873"/>
      <c r="AM320" s="41">
        <v>521.95460000000003</v>
      </c>
      <c r="AN320" s="563">
        <v>194.43219999999999</v>
      </c>
      <c r="AO320" s="554">
        <f t="shared" si="159"/>
        <v>0.72307718054039571</v>
      </c>
      <c r="AQ320" s="566">
        <f>SQRT(W320/AR320)</f>
        <v>0.35205031635472167</v>
      </c>
      <c r="AR320" s="554">
        <f t="shared" si="154"/>
        <v>2169.5719458716044</v>
      </c>
      <c r="AT320" s="679">
        <f>AN320/AR320</f>
        <v>8.9617770164284072E-2</v>
      </c>
      <c r="AU320" s="653">
        <f t="shared" si="160"/>
        <v>0.72307718054039571</v>
      </c>
      <c r="AX320" s="110" t="s">
        <v>363</v>
      </c>
      <c r="AY320" s="971"/>
      <c r="AZ320" s="763">
        <v>1937</v>
      </c>
      <c r="BA320" s="293"/>
    </row>
    <row r="321" spans="2:54">
      <c r="B321" s="991"/>
      <c r="C321" s="953"/>
      <c r="D321" s="873"/>
      <c r="E321" s="938"/>
      <c r="F321" s="871"/>
      <c r="G321" s="873"/>
      <c r="H321" s="873"/>
      <c r="I321" s="1053"/>
      <c r="J321" s="221"/>
      <c r="K321" s="35"/>
      <c r="L321" s="98" t="s">
        <v>364</v>
      </c>
      <c r="M321" s="41">
        <v>2.6924000000000001</v>
      </c>
      <c r="N321" s="41">
        <v>154.81299999999999</v>
      </c>
      <c r="O321" s="41">
        <v>9144</v>
      </c>
      <c r="P321" s="65">
        <f t="shared" si="153"/>
        <v>7.7892361090232445</v>
      </c>
      <c r="Q321" s="41">
        <v>57.5</v>
      </c>
      <c r="R321" s="954"/>
      <c r="S321" s="873"/>
      <c r="T321" s="488" t="s">
        <v>163</v>
      </c>
      <c r="U321" s="71">
        <f t="shared" si="158"/>
        <v>686.16647329741727</v>
      </c>
      <c r="V321" s="360">
        <v>197485.54780571428</v>
      </c>
      <c r="W321" s="163">
        <v>262.00080000000003</v>
      </c>
      <c r="Z321" s="977"/>
      <c r="AA321" s="35"/>
      <c r="AB321" s="873"/>
      <c r="AC321" s="390" t="s">
        <v>870</v>
      </c>
      <c r="AD321" s="965"/>
      <c r="AE321" s="35"/>
      <c r="AF321" s="873"/>
      <c r="AK321" s="35"/>
      <c r="AL321" s="873"/>
      <c r="AM321" s="41">
        <v>477.01220000000001</v>
      </c>
      <c r="AN321" s="563">
        <v>184.09</v>
      </c>
      <c r="AO321" s="554">
        <f t="shared" si="159"/>
        <v>0.70263144234674091</v>
      </c>
      <c r="AQ321" s="566">
        <f t="shared" ref="AQ321:AQ332" si="161">SQRT(W321/AR321)</f>
        <v>0.35502442548424701</v>
      </c>
      <c r="AR321" s="554">
        <f t="shared" ref="AR321:AR332" si="162">V321*M321/N321/SQRT(3*(1-0.3^2))</f>
        <v>2078.6728841078138</v>
      </c>
      <c r="AT321" s="679">
        <f t="shared" ref="AT321:AT332" si="163">AN321/AR321</f>
        <v>8.8561313041331746E-2</v>
      </c>
      <c r="AU321" s="653">
        <f t="shared" ref="AU321:AU332" si="164">MAX(AO321:AP321)</f>
        <v>0.70263144234674091</v>
      </c>
      <c r="AX321" s="110" t="s">
        <v>365</v>
      </c>
      <c r="AY321" s="971"/>
      <c r="AZ321" s="763">
        <v>1937</v>
      </c>
      <c r="BA321" s="293"/>
    </row>
    <row r="322" spans="2:54">
      <c r="B322" s="991"/>
      <c r="C322" s="953"/>
      <c r="D322" s="873"/>
      <c r="E322" s="938"/>
      <c r="F322" s="871"/>
      <c r="G322" s="873"/>
      <c r="H322" s="873"/>
      <c r="I322" s="1053"/>
      <c r="J322" s="221"/>
      <c r="K322" s="35"/>
      <c r="L322" s="98" t="s">
        <v>366</v>
      </c>
      <c r="M322" s="41">
        <v>1.5748</v>
      </c>
      <c r="N322" s="41">
        <v>153.16200000000001</v>
      </c>
      <c r="O322" s="41">
        <v>9144</v>
      </c>
      <c r="P322" s="65">
        <f t="shared" si="153"/>
        <v>6.0537206614052579</v>
      </c>
      <c r="Q322" s="41">
        <v>97.25806</v>
      </c>
      <c r="R322" s="954"/>
      <c r="S322" s="873"/>
      <c r="T322" s="488" t="s">
        <v>163</v>
      </c>
      <c r="U322" s="71">
        <f t="shared" si="158"/>
        <v>417.9605485476543</v>
      </c>
      <c r="V322" s="360">
        <v>198655.19413000002</v>
      </c>
      <c r="W322" s="163">
        <v>275.7903</v>
      </c>
      <c r="Z322" s="977"/>
      <c r="AA322" s="35"/>
      <c r="AB322" s="873"/>
      <c r="AC322" s="390" t="s">
        <v>870</v>
      </c>
      <c r="AD322" s="965"/>
      <c r="AE322" s="35"/>
      <c r="AF322" s="873"/>
      <c r="AK322" s="35"/>
      <c r="AL322" s="873"/>
      <c r="AM322" s="41">
        <v>222.48699999999999</v>
      </c>
      <c r="AN322" s="563">
        <v>147.5478</v>
      </c>
      <c r="AO322" s="554">
        <f t="shared" si="159"/>
        <v>0.53499996192759491</v>
      </c>
      <c r="AQ322" s="566">
        <f t="shared" si="161"/>
        <v>0.47232725242961432</v>
      </c>
      <c r="AR322" s="554">
        <f t="shared" si="162"/>
        <v>1236.2120672800659</v>
      </c>
      <c r="AT322" s="679">
        <f t="shared" si="163"/>
        <v>0.11935476436873577</v>
      </c>
      <c r="AU322" s="653">
        <f t="shared" si="164"/>
        <v>0.53499996192759491</v>
      </c>
      <c r="AX322" s="110" t="s">
        <v>367</v>
      </c>
      <c r="AY322" s="971"/>
      <c r="AZ322" s="763">
        <v>1937</v>
      </c>
      <c r="BA322" s="293"/>
    </row>
    <row r="323" spans="2:54">
      <c r="B323" s="991"/>
      <c r="C323" s="953"/>
      <c r="D323" s="873"/>
      <c r="E323" s="938"/>
      <c r="F323" s="871"/>
      <c r="G323" s="873"/>
      <c r="H323" s="873"/>
      <c r="I323" s="1053"/>
      <c r="J323" s="221"/>
      <c r="K323" s="35"/>
      <c r="L323" s="98" t="s">
        <v>368</v>
      </c>
      <c r="M323" s="41">
        <v>1.6002000000000001</v>
      </c>
      <c r="N323" s="41">
        <v>153.92400000000001</v>
      </c>
      <c r="O323" s="41">
        <v>9144</v>
      </c>
      <c r="P323" s="65">
        <f t="shared" si="153"/>
        <v>6.0570873851765556</v>
      </c>
      <c r="Q323" s="41">
        <v>96.190479999999994</v>
      </c>
      <c r="R323" s="954"/>
      <c r="S323" s="873"/>
      <c r="T323" s="488" t="s">
        <v>163</v>
      </c>
      <c r="U323" s="71">
        <f t="shared" si="158"/>
        <v>426.81479223378665</v>
      </c>
      <c r="V323" s="360">
        <v>198655.19413000002</v>
      </c>
      <c r="W323" s="163">
        <v>275.7903</v>
      </c>
      <c r="Z323" s="977"/>
      <c r="AA323" s="35"/>
      <c r="AB323" s="873"/>
      <c r="AC323" s="390" t="s">
        <v>870</v>
      </c>
      <c r="AD323" s="965"/>
      <c r="AE323" s="35"/>
      <c r="AF323" s="873"/>
      <c r="AK323" s="35"/>
      <c r="AL323" s="873"/>
      <c r="AM323" s="41">
        <v>231.38650000000001</v>
      </c>
      <c r="AN323" s="563">
        <v>150.3057</v>
      </c>
      <c r="AO323" s="554">
        <f t="shared" si="159"/>
        <v>0.54499995104976495</v>
      </c>
      <c r="AQ323" s="566">
        <f t="shared" si="161"/>
        <v>0.4697277637193889</v>
      </c>
      <c r="AR323" s="554">
        <f t="shared" si="162"/>
        <v>1249.9324024247421</v>
      </c>
      <c r="AT323" s="679">
        <f t="shared" si="163"/>
        <v>0.12025106294422178</v>
      </c>
      <c r="AU323" s="653">
        <f t="shared" si="164"/>
        <v>0.54499995104976495</v>
      </c>
      <c r="AX323" s="110" t="s">
        <v>369</v>
      </c>
      <c r="AY323" s="971"/>
      <c r="AZ323" s="763">
        <v>1937</v>
      </c>
      <c r="BA323" s="293"/>
    </row>
    <row r="324" spans="2:54">
      <c r="B324" s="991"/>
      <c r="C324" s="953"/>
      <c r="D324" s="873"/>
      <c r="E324" s="938"/>
      <c r="F324" s="871"/>
      <c r="G324" s="873"/>
      <c r="H324" s="873"/>
      <c r="I324" s="1053"/>
      <c r="J324" s="221"/>
      <c r="K324" s="35"/>
      <c r="L324" s="98" t="s">
        <v>214</v>
      </c>
      <c r="M324" s="41">
        <v>12.547599999999999</v>
      </c>
      <c r="N324" s="41">
        <v>609.6</v>
      </c>
      <c r="O324" s="41">
        <v>9144</v>
      </c>
      <c r="P324" s="65">
        <f t="shared" si="153"/>
        <v>2.1520339216657343</v>
      </c>
      <c r="Q324" s="41">
        <v>48.582999999999998</v>
      </c>
      <c r="R324" s="954"/>
      <c r="S324" s="873"/>
      <c r="T324" s="488" t="s">
        <v>163</v>
      </c>
      <c r="U324" s="71">
        <f t="shared" si="158"/>
        <v>11432.034373631646</v>
      </c>
      <c r="V324" s="360">
        <v>215461.16500000001</v>
      </c>
      <c r="W324" s="163">
        <v>237.8691</v>
      </c>
      <c r="Z324" s="977"/>
      <c r="AA324" s="35"/>
      <c r="AB324" s="873"/>
      <c r="AC324" s="390" t="s">
        <v>870</v>
      </c>
      <c r="AD324" s="965"/>
      <c r="AE324" s="35"/>
      <c r="AF324" s="873"/>
      <c r="AK324" s="35"/>
      <c r="AL324" s="873"/>
      <c r="AM324" s="41">
        <v>10990.86</v>
      </c>
      <c r="AN324" s="563">
        <v>230.9744</v>
      </c>
      <c r="AO324" s="554">
        <f t="shared" si="159"/>
        <v>0.97101473037061137</v>
      </c>
      <c r="AQ324" s="566">
        <f t="shared" si="161"/>
        <v>0.29769210771408505</v>
      </c>
      <c r="AR324" s="554">
        <f t="shared" si="162"/>
        <v>2684.1290193239374</v>
      </c>
      <c r="AT324" s="679">
        <f t="shared" si="163"/>
        <v>8.6051899270541202E-2</v>
      </c>
      <c r="AU324" s="653">
        <f t="shared" si="164"/>
        <v>0.97101473037061137</v>
      </c>
      <c r="AX324" s="110" t="s">
        <v>370</v>
      </c>
      <c r="AY324" s="971"/>
      <c r="AZ324" s="763">
        <v>1937</v>
      </c>
      <c r="BA324" s="293"/>
    </row>
    <row r="325" spans="2:54">
      <c r="B325" s="991"/>
      <c r="C325" s="953"/>
      <c r="D325" s="873"/>
      <c r="E325" s="938"/>
      <c r="F325" s="871"/>
      <c r="G325" s="873"/>
      <c r="H325" s="873"/>
      <c r="I325" s="1053"/>
      <c r="J325" s="221"/>
      <c r="K325" s="35"/>
      <c r="L325" s="98" t="s">
        <v>217</v>
      </c>
      <c r="M325" s="41">
        <v>12.5222</v>
      </c>
      <c r="N325" s="41">
        <v>609.6</v>
      </c>
      <c r="O325" s="41">
        <v>9144</v>
      </c>
      <c r="P325" s="65">
        <f t="shared" si="153"/>
        <v>2.1498546462493691</v>
      </c>
      <c r="Q325" s="41">
        <v>48.681539999999998</v>
      </c>
      <c r="R325" s="954"/>
      <c r="S325" s="873"/>
      <c r="T325" s="488" t="s">
        <v>163</v>
      </c>
      <c r="U325" s="71">
        <f t="shared" si="158"/>
        <v>11243.545291354694</v>
      </c>
      <c r="V325" s="360">
        <v>215461.16500000001</v>
      </c>
      <c r="W325" s="163">
        <v>234.42169999999999</v>
      </c>
      <c r="Z325" s="977"/>
      <c r="AA325" s="35"/>
      <c r="AB325" s="873"/>
      <c r="AC325" s="390" t="s">
        <v>870</v>
      </c>
      <c r="AD325" s="965"/>
      <c r="AE325" s="35"/>
      <c r="AF325" s="873"/>
      <c r="AK325" s="35"/>
      <c r="AL325" s="873"/>
      <c r="AM325" s="41">
        <v>10123.16</v>
      </c>
      <c r="AN325" s="563">
        <v>213.048</v>
      </c>
      <c r="AO325" s="554">
        <f t="shared" si="159"/>
        <v>0.9088237138456039</v>
      </c>
      <c r="AQ325" s="566">
        <f t="shared" si="161"/>
        <v>0.29582660308724873</v>
      </c>
      <c r="AR325" s="554">
        <f t="shared" si="162"/>
        <v>2678.6955597706497</v>
      </c>
      <c r="AT325" s="679">
        <f t="shared" si="163"/>
        <v>7.953423419951508E-2</v>
      </c>
      <c r="AU325" s="653">
        <f t="shared" si="164"/>
        <v>0.9088237138456039</v>
      </c>
      <c r="AX325" s="110" t="s">
        <v>371</v>
      </c>
      <c r="AY325" s="971"/>
      <c r="AZ325" s="763">
        <v>1937</v>
      </c>
      <c r="BA325" s="293"/>
    </row>
    <row r="326" spans="2:54">
      <c r="B326" s="991"/>
      <c r="C326" s="953"/>
      <c r="D326" s="873"/>
      <c r="E326" s="938"/>
      <c r="F326" s="871"/>
      <c r="G326" s="873"/>
      <c r="H326" s="873"/>
      <c r="I326" s="1053"/>
      <c r="J326" s="221"/>
      <c r="K326" s="35"/>
      <c r="L326" s="98" t="s">
        <v>372</v>
      </c>
      <c r="M326" s="41">
        <v>2.9464000000000001</v>
      </c>
      <c r="N326" s="41">
        <v>154.81299999999999</v>
      </c>
      <c r="O326" s="41">
        <v>2286</v>
      </c>
      <c r="P326" s="65">
        <f t="shared" si="153"/>
        <v>2.0370933878920425</v>
      </c>
      <c r="Q326" s="41">
        <v>52.543100000000003</v>
      </c>
      <c r="R326" s="954"/>
      <c r="S326" s="873"/>
      <c r="T326" s="488" t="s">
        <v>163</v>
      </c>
      <c r="U326" s="71">
        <f t="shared" si="158"/>
        <v>632.33598343696008</v>
      </c>
      <c r="V326" s="360">
        <v>193709.84739047621</v>
      </c>
      <c r="W326" s="163">
        <v>220.63220000000001</v>
      </c>
      <c r="Z326" s="977"/>
      <c r="AA326" s="35"/>
      <c r="AB326" s="873"/>
      <c r="AC326" s="390" t="s">
        <v>870</v>
      </c>
      <c r="AD326" s="965"/>
      <c r="AE326" s="35"/>
      <c r="AF326" s="873"/>
      <c r="AK326" s="35"/>
      <c r="AL326" s="873"/>
      <c r="AM326" s="41">
        <v>484.1318</v>
      </c>
      <c r="AN326" s="563">
        <v>170.3005</v>
      </c>
      <c r="AO326" s="554">
        <f t="shared" si="159"/>
        <v>0.77187509348136851</v>
      </c>
      <c r="AQ326" s="566">
        <f t="shared" si="161"/>
        <v>0.31445399772968119</v>
      </c>
      <c r="AR326" s="554">
        <f t="shared" si="162"/>
        <v>2231.2829904537211</v>
      </c>
      <c r="AT326" s="679">
        <f t="shared" si="163"/>
        <v>7.632402556224846E-2</v>
      </c>
      <c r="AU326" s="653">
        <f t="shared" si="164"/>
        <v>0.77187509348136851</v>
      </c>
      <c r="AX326" s="110" t="s">
        <v>373</v>
      </c>
      <c r="AY326" s="971"/>
      <c r="AZ326" s="763">
        <v>1937</v>
      </c>
      <c r="BA326" s="293"/>
    </row>
    <row r="327" spans="2:54">
      <c r="B327" s="991"/>
      <c r="C327" s="953"/>
      <c r="D327" s="873"/>
      <c r="E327" s="938"/>
      <c r="F327" s="871"/>
      <c r="G327" s="873"/>
      <c r="H327" s="873"/>
      <c r="I327" s="1053"/>
      <c r="J327" s="221"/>
      <c r="K327" s="35"/>
      <c r="L327" s="98" t="s">
        <v>374</v>
      </c>
      <c r="M327" s="41">
        <v>2.9464000000000001</v>
      </c>
      <c r="N327" s="41">
        <v>154.81299999999999</v>
      </c>
      <c r="O327" s="41">
        <v>2286</v>
      </c>
      <c r="P327" s="65">
        <f t="shared" si="153"/>
        <v>2.0370933878920425</v>
      </c>
      <c r="Q327" s="41">
        <v>52.543100000000003</v>
      </c>
      <c r="R327" s="954"/>
      <c r="S327" s="873"/>
      <c r="T327" s="488" t="s">
        <v>163</v>
      </c>
      <c r="U327" s="71">
        <f t="shared" si="158"/>
        <v>671.85694657653767</v>
      </c>
      <c r="V327" s="360">
        <v>193709.84739047621</v>
      </c>
      <c r="W327" s="163">
        <v>234.42169999999999</v>
      </c>
      <c r="Z327" s="977"/>
      <c r="AA327" s="35"/>
      <c r="AB327" s="873"/>
      <c r="AC327" s="390" t="s">
        <v>870</v>
      </c>
      <c r="AD327" s="965"/>
      <c r="AE327" s="35"/>
      <c r="AF327" s="873"/>
      <c r="AK327" s="35"/>
      <c r="AL327" s="873"/>
      <c r="AM327" s="41">
        <v>485.68920000000003</v>
      </c>
      <c r="AN327" s="563">
        <v>170.99</v>
      </c>
      <c r="AO327" s="554">
        <f t="shared" si="159"/>
        <v>0.72941199556184444</v>
      </c>
      <c r="AQ327" s="566">
        <f t="shared" si="161"/>
        <v>0.32413175311751147</v>
      </c>
      <c r="AR327" s="554">
        <f t="shared" si="162"/>
        <v>2231.2829904537211</v>
      </c>
      <c r="AT327" s="679">
        <f t="shared" si="163"/>
        <v>7.6633040601107247E-2</v>
      </c>
      <c r="AU327" s="653">
        <f t="shared" si="164"/>
        <v>0.72941199556184444</v>
      </c>
      <c r="AX327" s="110" t="s">
        <v>373</v>
      </c>
      <c r="AY327" s="971"/>
      <c r="AZ327" s="763">
        <v>1937</v>
      </c>
      <c r="BA327" s="293"/>
    </row>
    <row r="328" spans="2:54">
      <c r="B328" s="991"/>
      <c r="C328" s="953"/>
      <c r="D328" s="873"/>
      <c r="E328" s="938"/>
      <c r="F328" s="871"/>
      <c r="G328" s="873"/>
      <c r="H328" s="873"/>
      <c r="I328" s="1053"/>
      <c r="J328" s="221"/>
      <c r="K328" s="35"/>
      <c r="L328" s="98" t="s">
        <v>376</v>
      </c>
      <c r="M328" s="41">
        <v>12.2936</v>
      </c>
      <c r="N328" s="41">
        <v>431.8</v>
      </c>
      <c r="O328" s="41">
        <v>9144</v>
      </c>
      <c r="P328" s="65">
        <f t="shared" si="153"/>
        <v>3.5731545362771611</v>
      </c>
      <c r="Q328" s="41">
        <v>35.12397</v>
      </c>
      <c r="R328" s="954"/>
      <c r="S328" s="873"/>
      <c r="T328" s="488" t="s">
        <v>163</v>
      </c>
      <c r="U328" s="71">
        <f t="shared" si="158"/>
        <v>7358.8589738894325</v>
      </c>
      <c r="V328" s="360">
        <v>184407.39709206353</v>
      </c>
      <c r="W328" s="163">
        <v>220.63220000000001</v>
      </c>
      <c r="Z328" s="977"/>
      <c r="AA328" s="35"/>
      <c r="AB328" s="873"/>
      <c r="AC328" s="390" t="s">
        <v>870</v>
      </c>
      <c r="AD328" s="965"/>
      <c r="AE328" s="35"/>
      <c r="AF328" s="873"/>
      <c r="AK328" s="35"/>
      <c r="AL328" s="873"/>
      <c r="AM328" s="41">
        <v>7876.0410000000002</v>
      </c>
      <c r="AN328" s="563">
        <v>239.59280000000001</v>
      </c>
      <c r="AO328" s="554">
        <f t="shared" si="159"/>
        <v>1.0859375920649841</v>
      </c>
      <c r="AQ328" s="566">
        <f t="shared" si="161"/>
        <v>0.26350430838609257</v>
      </c>
      <c r="AR328" s="554">
        <f t="shared" si="162"/>
        <v>3177.5577665168444</v>
      </c>
      <c r="AT328" s="679">
        <f t="shared" si="163"/>
        <v>7.5401556039258216E-2</v>
      </c>
      <c r="AU328" s="653">
        <f t="shared" si="164"/>
        <v>1.0859375920649841</v>
      </c>
      <c r="AX328" s="110" t="s">
        <v>377</v>
      </c>
      <c r="AY328" s="971"/>
      <c r="AZ328" s="763">
        <v>1937</v>
      </c>
      <c r="BA328" s="293"/>
    </row>
    <row r="329" spans="2:54">
      <c r="B329" s="991"/>
      <c r="C329" s="953"/>
      <c r="D329" s="873"/>
      <c r="E329" s="938"/>
      <c r="F329" s="871"/>
      <c r="G329" s="873"/>
      <c r="H329" s="873"/>
      <c r="I329" s="1053"/>
      <c r="J329" s="221"/>
      <c r="K329" s="35"/>
      <c r="L329" s="98" t="s">
        <v>378</v>
      </c>
      <c r="M329" s="41">
        <v>12.471399999999999</v>
      </c>
      <c r="N329" s="41">
        <v>431.8</v>
      </c>
      <c r="O329" s="41">
        <v>9144</v>
      </c>
      <c r="P329" s="65">
        <f t="shared" si="153"/>
        <v>3.5989007073895056</v>
      </c>
      <c r="Q329" s="41">
        <v>34.623220000000003</v>
      </c>
      <c r="R329" s="954"/>
      <c r="S329" s="873"/>
      <c r="T329" s="488" t="s">
        <v>163</v>
      </c>
      <c r="U329" s="71">
        <f t="shared" si="158"/>
        <v>7581.9346293545368</v>
      </c>
      <c r="V329" s="360">
        <v>184407.39709206353</v>
      </c>
      <c r="W329" s="163">
        <v>224.0796</v>
      </c>
      <c r="Z329" s="977"/>
      <c r="AA329" s="35"/>
      <c r="AB329" s="873"/>
      <c r="AC329" s="390" t="s">
        <v>870</v>
      </c>
      <c r="AD329" s="965"/>
      <c r="AE329" s="35"/>
      <c r="AF329" s="873"/>
      <c r="AK329" s="35"/>
      <c r="AL329" s="873"/>
      <c r="AM329" s="41">
        <v>8401.11</v>
      </c>
      <c r="AN329" s="563">
        <v>251.93440000000001</v>
      </c>
      <c r="AO329" s="554">
        <f t="shared" si="159"/>
        <v>1.1243076121164086</v>
      </c>
      <c r="AQ329" s="566">
        <f t="shared" si="161"/>
        <v>0.26365521610911546</v>
      </c>
      <c r="AR329" s="554">
        <f t="shared" si="162"/>
        <v>3223.5141804953942</v>
      </c>
      <c r="AT329" s="679">
        <f t="shared" si="163"/>
        <v>7.8155201402365912E-2</v>
      </c>
      <c r="AU329" s="653">
        <f t="shared" si="164"/>
        <v>1.1243076121164086</v>
      </c>
      <c r="AX329" s="110" t="s">
        <v>379</v>
      </c>
      <c r="AY329" s="971"/>
      <c r="AZ329" s="763">
        <v>1937</v>
      </c>
      <c r="BA329" s="293"/>
    </row>
    <row r="330" spans="2:54">
      <c r="B330" s="991"/>
      <c r="C330" s="953"/>
      <c r="D330" s="873"/>
      <c r="E330" s="938"/>
      <c r="F330" s="871"/>
      <c r="G330" s="873"/>
      <c r="H330" s="873"/>
      <c r="I330" s="1053"/>
      <c r="J330" s="221"/>
      <c r="K330" s="35"/>
      <c r="L330" s="98" t="s">
        <v>380</v>
      </c>
      <c r="M330" s="41">
        <v>9.3726000000000003</v>
      </c>
      <c r="N330" s="41">
        <v>609.6</v>
      </c>
      <c r="O330" s="41">
        <v>9144</v>
      </c>
      <c r="P330" s="65">
        <f t="shared" si="153"/>
        <v>1.8599395151455866</v>
      </c>
      <c r="Q330" s="41">
        <v>65.040649999999999</v>
      </c>
      <c r="R330" s="954"/>
      <c r="S330" s="873"/>
      <c r="T330" s="488" t="s">
        <v>163</v>
      </c>
      <c r="U330" s="71">
        <f t="shared" si="158"/>
        <v>7920.522006898982</v>
      </c>
      <c r="V330" s="360">
        <v>179838.25238666666</v>
      </c>
      <c r="W330" s="163">
        <v>220.63220000000001</v>
      </c>
      <c r="Z330" s="977"/>
      <c r="AA330" s="35"/>
      <c r="AB330" s="873"/>
      <c r="AC330" s="390" t="s">
        <v>870</v>
      </c>
      <c r="AD330" s="965"/>
      <c r="AE330" s="35"/>
      <c r="AF330" s="873"/>
      <c r="AK330" s="35"/>
      <c r="AL330" s="873"/>
      <c r="AM330" s="41">
        <v>7631.3050000000003</v>
      </c>
      <c r="AN330" s="563">
        <v>210.91059999999999</v>
      </c>
      <c r="AO330" s="554">
        <f t="shared" si="159"/>
        <v>0.95593752861096426</v>
      </c>
      <c r="AQ330" s="566">
        <f t="shared" si="161"/>
        <v>0.36310021871121562</v>
      </c>
      <c r="AR330" s="554">
        <f t="shared" si="162"/>
        <v>1673.4620747360691</v>
      </c>
      <c r="AT330" s="679">
        <f t="shared" si="163"/>
        <v>0.12603249466126315</v>
      </c>
      <c r="AU330" s="653">
        <f t="shared" si="164"/>
        <v>0.95593752861096426</v>
      </c>
      <c r="AX330" s="110" t="s">
        <v>381</v>
      </c>
      <c r="AY330" s="971"/>
      <c r="AZ330" s="763">
        <v>1937</v>
      </c>
      <c r="BA330" s="293"/>
    </row>
    <row r="331" spans="2:54">
      <c r="B331" s="991"/>
      <c r="C331" s="953"/>
      <c r="D331" s="873"/>
      <c r="E331" s="938"/>
      <c r="F331" s="871"/>
      <c r="G331" s="873"/>
      <c r="H331" s="873"/>
      <c r="I331" s="1053"/>
      <c r="J331" s="221"/>
      <c r="K331" s="35"/>
      <c r="L331" s="98" t="s">
        <v>382</v>
      </c>
      <c r="M331" s="41">
        <v>9.3217999999999996</v>
      </c>
      <c r="N331" s="41">
        <v>609.6</v>
      </c>
      <c r="O331" s="41">
        <v>9144</v>
      </c>
      <c r="P331" s="65">
        <f t="shared" si="153"/>
        <v>1.8548921801549545</v>
      </c>
      <c r="Q331" s="41">
        <v>65.395099999999999</v>
      </c>
      <c r="R331" s="954"/>
      <c r="S331" s="873"/>
      <c r="T331" s="488" t="s">
        <v>163</v>
      </c>
      <c r="U331" s="71">
        <f t="shared" si="158"/>
        <v>8123.7686712879758</v>
      </c>
      <c r="V331" s="360">
        <v>179838.25238666666</v>
      </c>
      <c r="W331" s="163">
        <v>227.52699999999999</v>
      </c>
      <c r="Z331" s="977"/>
      <c r="AA331" s="35"/>
      <c r="AB331" s="873"/>
      <c r="AC331" s="390" t="s">
        <v>870</v>
      </c>
      <c r="AD331" s="965"/>
      <c r="AE331" s="35"/>
      <c r="AF331" s="873"/>
      <c r="AK331" s="35"/>
      <c r="AL331" s="873"/>
      <c r="AM331" s="41">
        <v>7831.5429999999997</v>
      </c>
      <c r="AN331" s="563">
        <v>217.25380000000001</v>
      </c>
      <c r="AO331" s="554">
        <f t="shared" si="159"/>
        <v>0.95484843557028409</v>
      </c>
      <c r="AQ331" s="566">
        <f t="shared" si="161"/>
        <v>0.36973339957465107</v>
      </c>
      <c r="AR331" s="554">
        <f t="shared" si="162"/>
        <v>1664.391819588448</v>
      </c>
      <c r="AT331" s="679">
        <f t="shared" si="163"/>
        <v>0.13053044207686629</v>
      </c>
      <c r="AU331" s="653">
        <f t="shared" si="164"/>
        <v>0.95484843557028409</v>
      </c>
      <c r="AX331" s="110" t="s">
        <v>383</v>
      </c>
      <c r="AY331" s="971"/>
      <c r="AZ331" s="763">
        <v>1937</v>
      </c>
      <c r="BA331" s="293"/>
    </row>
    <row r="332" spans="2:54" ht="60">
      <c r="B332" s="991"/>
      <c r="C332" s="953"/>
      <c r="D332" s="873"/>
      <c r="E332" s="938"/>
      <c r="F332" s="871"/>
      <c r="G332" s="873"/>
      <c r="H332" s="873"/>
      <c r="I332" s="1053"/>
      <c r="J332" s="221"/>
      <c r="K332" s="35"/>
      <c r="L332" s="98" t="s">
        <v>384</v>
      </c>
      <c r="M332" s="41">
        <v>6.2484000000000002</v>
      </c>
      <c r="N332" s="41">
        <v>609.6</v>
      </c>
      <c r="O332" s="41">
        <v>9144</v>
      </c>
      <c r="P332" s="65">
        <f t="shared" si="153"/>
        <v>1.5186342548487441</v>
      </c>
      <c r="Q332" s="41">
        <v>97.560980000000001</v>
      </c>
      <c r="R332" s="954"/>
      <c r="S332" s="873"/>
      <c r="T332" s="488" t="s">
        <v>163</v>
      </c>
      <c r="U332" s="71">
        <f t="shared" si="158"/>
        <v>6682.942163491567</v>
      </c>
      <c r="V332" s="360">
        <v>211439.22325333333</v>
      </c>
      <c r="W332" s="163">
        <v>279.23770000000002</v>
      </c>
      <c r="Z332" s="977"/>
      <c r="AA332" s="35"/>
      <c r="AB332" s="873"/>
      <c r="AC332" s="390" t="s">
        <v>870</v>
      </c>
      <c r="AD332" s="965"/>
      <c r="AE332" s="35"/>
      <c r="AF332" s="873"/>
      <c r="AK332" s="35"/>
      <c r="AL332" s="873"/>
      <c r="AM332" s="41">
        <v>4894.7150000000001</v>
      </c>
      <c r="AN332" s="563">
        <v>203.1885</v>
      </c>
      <c r="AO332" s="554">
        <f t="shared" si="159"/>
        <v>0.72765425298947806</v>
      </c>
      <c r="AQ332" s="566">
        <f t="shared" si="161"/>
        <v>0.46139509978243343</v>
      </c>
      <c r="AR332" s="554">
        <f t="shared" si="162"/>
        <v>1311.6806038399859</v>
      </c>
      <c r="AT332" s="679">
        <f t="shared" si="163"/>
        <v>0.15490699443535211</v>
      </c>
      <c r="AU332" s="653">
        <f t="shared" si="164"/>
        <v>0.72765425298947806</v>
      </c>
      <c r="AX332" s="110" t="s">
        <v>385</v>
      </c>
      <c r="AY332" s="971"/>
      <c r="AZ332" s="763">
        <v>1937</v>
      </c>
      <c r="BA332" s="293"/>
    </row>
    <row r="333" spans="2:54" ht="16.5" thickBot="1">
      <c r="B333" s="992"/>
      <c r="C333" s="980"/>
      <c r="D333" s="874"/>
      <c r="E333" s="939"/>
      <c r="F333" s="872"/>
      <c r="G333" s="874"/>
      <c r="H333" s="874"/>
      <c r="I333" s="1054"/>
      <c r="J333" s="223"/>
      <c r="K333" s="35"/>
      <c r="L333" s="98" t="s">
        <v>386</v>
      </c>
      <c r="M333" s="41">
        <v>6.35</v>
      </c>
      <c r="N333" s="41">
        <v>609.6</v>
      </c>
      <c r="O333" s="41">
        <v>9144</v>
      </c>
      <c r="P333" s="65">
        <f t="shared" si="153"/>
        <v>1.5309310892394863</v>
      </c>
      <c r="Q333" s="41">
        <v>96</v>
      </c>
      <c r="R333" s="935"/>
      <c r="S333" s="874"/>
      <c r="T333" s="489" t="s">
        <v>163</v>
      </c>
      <c r="U333" s="343">
        <f t="shared" si="158"/>
        <v>6640.682837565103</v>
      </c>
      <c r="V333" s="343">
        <v>211439.22325333333</v>
      </c>
      <c r="W333" s="23">
        <v>273.0324</v>
      </c>
      <c r="X333" s="173"/>
      <c r="Y333" s="173"/>
      <c r="Z333" s="936"/>
      <c r="AA333" s="36"/>
      <c r="AB333" s="874"/>
      <c r="AC333" s="391" t="s">
        <v>870</v>
      </c>
      <c r="AD333" s="966"/>
      <c r="AE333" s="36"/>
      <c r="AF333" s="874"/>
      <c r="AG333" s="18"/>
      <c r="AH333" s="18"/>
      <c r="AI333" s="18"/>
      <c r="AJ333" s="31"/>
      <c r="AK333" s="36"/>
      <c r="AL333" s="874"/>
      <c r="AM333" s="111">
        <v>5339.6890000000003</v>
      </c>
      <c r="AN333" s="571">
        <v>218.15010000000001</v>
      </c>
      <c r="AO333" s="556">
        <f t="shared" si="159"/>
        <v>0.79898979022269889</v>
      </c>
      <c r="AP333" s="556"/>
      <c r="AQ333" s="566">
        <f t="shared" ref="AQ333" si="165">SQRT(W333/AR333)</f>
        <v>0.45257503559500378</v>
      </c>
      <c r="AR333" s="554">
        <f t="shared" ref="AR333" si="166">V333*M333/N333/SQRT(3*(1-0.3^2))</f>
        <v>1333.0087437398229</v>
      </c>
      <c r="AT333" s="679">
        <f t="shared" ref="AT333" si="167">AN333/AR333</f>
        <v>0.16365241490312282</v>
      </c>
      <c r="AU333" s="112">
        <f t="shared" ref="AU333:AU378" si="168">MAX(AO333:AP333)</f>
        <v>0.79898979022269889</v>
      </c>
      <c r="AV333" s="91"/>
      <c r="AW333" s="18"/>
      <c r="AX333" s="112" t="s">
        <v>387</v>
      </c>
      <c r="AY333" s="972"/>
      <c r="AZ333" s="763">
        <v>1937</v>
      </c>
      <c r="BA333" s="295"/>
    </row>
    <row r="334" spans="2:54" ht="17.100000000000001" customHeight="1">
      <c r="B334" s="990">
        <v>19</v>
      </c>
      <c r="C334" s="944" t="s">
        <v>388</v>
      </c>
      <c r="D334" s="870" t="s">
        <v>389</v>
      </c>
      <c r="E334" s="898">
        <v>1933</v>
      </c>
      <c r="F334" s="870" t="s">
        <v>390</v>
      </c>
      <c r="G334" s="870" t="s">
        <v>177</v>
      </c>
      <c r="H334" s="870" t="s">
        <v>391</v>
      </c>
      <c r="I334" s="910" t="s">
        <v>392</v>
      </c>
      <c r="J334" s="222"/>
      <c r="K334" s="1050" t="s">
        <v>393</v>
      </c>
      <c r="L334" s="449">
        <v>1</v>
      </c>
      <c r="M334" s="72">
        <f>N334/Q334</f>
        <v>0.29436135826333432</v>
      </c>
      <c r="N334" s="14">
        <f>CONVERT(15,"in","mm")</f>
        <v>381</v>
      </c>
      <c r="O334" s="73">
        <f>0.25*N334</f>
        <v>95.25</v>
      </c>
      <c r="P334" s="72">
        <f t="shared" si="153"/>
        <v>6.9489297296079994E-3</v>
      </c>
      <c r="Q334" s="699">
        <f>((32.7/((3/4)*(1-0.3^2))^(1/4))^2)</f>
        <v>1294.3274968148473</v>
      </c>
      <c r="R334" s="26"/>
      <c r="S334" s="870" t="s">
        <v>394</v>
      </c>
      <c r="T334" s="464" t="s">
        <v>522</v>
      </c>
      <c r="U334" s="870"/>
      <c r="V334" s="116">
        <f t="shared" ref="V334:V339" si="169">CONVERT(AVERAGE(10520000,10570000),"psi","Pa")/(10^6)</f>
        <v>72705.215656460379</v>
      </c>
      <c r="W334" s="116">
        <f>CONVERT(AVERAGE(36500,37100),"psi","Pa")/(10^6)</f>
        <v>253.72706838859571</v>
      </c>
      <c r="X334" s="116"/>
      <c r="Y334" s="870"/>
      <c r="Z334" s="881" t="s">
        <v>395</v>
      </c>
      <c r="AA334" s="35"/>
      <c r="AB334" s="871" t="s">
        <v>396</v>
      </c>
      <c r="AC334" s="380" t="s">
        <v>750</v>
      </c>
      <c r="AD334" s="882" t="s">
        <v>397</v>
      </c>
      <c r="AE334" s="34"/>
      <c r="AF334" s="870" t="s">
        <v>398</v>
      </c>
      <c r="AG334" s="870"/>
      <c r="AH334" s="164"/>
      <c r="AI334" s="164"/>
      <c r="AJ334" s="174">
        <f t="shared" ref="AJ334:AJ378" si="170">CONVERT(1/2,"in","mm")/N334</f>
        <v>3.3333333333333333E-2</v>
      </c>
      <c r="AK334" s="34"/>
      <c r="AL334" s="870" t="s">
        <v>999</v>
      </c>
      <c r="AM334" s="15"/>
      <c r="AN334" s="617">
        <f>BB334*V334</f>
        <v>14.541043131292076</v>
      </c>
      <c r="AO334" s="20">
        <f t="shared" ref="AO334:AO339" si="171">AN334/$W$334</f>
        <v>5.730978260869566E-2</v>
      </c>
      <c r="AP334" s="20"/>
      <c r="AQ334" s="76">
        <f t="shared" ref="AQ334:AQ339" si="172">SQRT($W$334/AR334)</f>
        <v>2.7318910024929859</v>
      </c>
      <c r="AR334" s="76">
        <f t="shared" ref="AR334:AR339" si="173">$V$334*M334/N334/SQRT(3*(1-0.3^2))</f>
        <v>33.996958568985207</v>
      </c>
      <c r="AS334" s="547"/>
      <c r="AT334" s="682">
        <f t="shared" ref="AT334:AT378" si="174">AN334/AR334</f>
        <v>0.42771599999999999</v>
      </c>
      <c r="AU334" s="265">
        <f t="shared" si="168"/>
        <v>5.730978260869566E-2</v>
      </c>
      <c r="AV334" s="128"/>
      <c r="AW334" s="870" t="s">
        <v>399</v>
      </c>
      <c r="AX334" s="29"/>
      <c r="AY334" s="128"/>
      <c r="AZ334" s="765">
        <v>1933</v>
      </c>
      <c r="BA334" s="292"/>
      <c r="BB334" s="3">
        <v>2.0000000000000001E-4</v>
      </c>
    </row>
    <row r="335" spans="2:54">
      <c r="B335" s="991"/>
      <c r="C335" s="945"/>
      <c r="D335" s="871"/>
      <c r="E335" s="899"/>
      <c r="F335" s="871"/>
      <c r="G335" s="871"/>
      <c r="H335" s="871"/>
      <c r="I335" s="917"/>
      <c r="J335" s="221"/>
      <c r="K335" s="1051"/>
      <c r="L335" s="451">
        <v>2</v>
      </c>
      <c r="M335" s="65">
        <f>N335/Q335</f>
        <v>0.29436135826333432</v>
      </c>
      <c r="N335" s="6">
        <f>CONVERT(15,"in","mm")</f>
        <v>381</v>
      </c>
      <c r="O335" s="66">
        <f>0.5*N335</f>
        <v>190.5</v>
      </c>
      <c r="P335" s="65">
        <f t="shared" si="153"/>
        <v>1.3897859459215999E-2</v>
      </c>
      <c r="Q335" s="700">
        <f>((32.7/((3/4)*(1-0.3^2))^(1/4))^2)</f>
        <v>1294.3274968148473</v>
      </c>
      <c r="R335" s="697"/>
      <c r="S335" s="871"/>
      <c r="T335" s="465" t="s">
        <v>522</v>
      </c>
      <c r="U335" s="871"/>
      <c r="V335" s="83">
        <f t="shared" si="169"/>
        <v>72705.215656460379</v>
      </c>
      <c r="W335" s="83">
        <f t="shared" ref="W335:W339" si="175">CONVERT(AVERAGE(36500,37100),"psi","Pa")/(10^6)</f>
        <v>253.72706838859571</v>
      </c>
      <c r="X335" s="9"/>
      <c r="Y335" s="871"/>
      <c r="Z335" s="882"/>
      <c r="AA335" s="35"/>
      <c r="AB335" s="871"/>
      <c r="AC335" s="380" t="s">
        <v>750</v>
      </c>
      <c r="AD335" s="882"/>
      <c r="AE335" s="35"/>
      <c r="AF335" s="871"/>
      <c r="AG335" s="871"/>
      <c r="AH335" s="165"/>
      <c r="AI335" s="165"/>
      <c r="AJ335" s="175">
        <f t="shared" si="170"/>
        <v>3.3333333333333333E-2</v>
      </c>
      <c r="AK335" s="35"/>
      <c r="AL335" s="871"/>
      <c r="AN335" s="599">
        <f>BB335*V334</f>
        <v>9.2262918668048215</v>
      </c>
      <c r="AO335" s="554">
        <f t="shared" si="171"/>
        <v>3.6363057065217391E-2</v>
      </c>
      <c r="AQ335" s="558">
        <f t="shared" si="172"/>
        <v>2.7318910024929859</v>
      </c>
      <c r="AR335" s="558">
        <f t="shared" si="173"/>
        <v>33.996958568985207</v>
      </c>
      <c r="AT335" s="683">
        <f t="shared" si="174"/>
        <v>0.27138580199999995</v>
      </c>
      <c r="AU335" s="266">
        <f t="shared" si="168"/>
        <v>3.6363057065217391E-2</v>
      </c>
      <c r="AW335" s="871"/>
      <c r="AY335" s="90"/>
      <c r="AZ335" s="543">
        <v>1933</v>
      </c>
      <c r="BA335" s="293"/>
      <c r="BB335" s="130">
        <v>1.2689999999999999E-4</v>
      </c>
    </row>
    <row r="336" spans="2:54">
      <c r="B336" s="991"/>
      <c r="C336" s="945"/>
      <c r="D336" s="871"/>
      <c r="E336" s="899"/>
      <c r="F336" s="871"/>
      <c r="G336" s="871"/>
      <c r="H336" s="871"/>
      <c r="I336" s="917"/>
      <c r="J336" s="221"/>
      <c r="K336" s="1051"/>
      <c r="L336" s="451">
        <v>3</v>
      </c>
      <c r="M336" s="65">
        <f t="shared" ref="M336:M378" si="176">N336/Q336</f>
        <v>0.2644466765615634</v>
      </c>
      <c r="N336" s="6">
        <f t="shared" ref="N336:N339" si="177">CONVERT(15,"in","mm")</f>
        <v>381</v>
      </c>
      <c r="O336" s="66">
        <f>0.5*N336</f>
        <v>190.5</v>
      </c>
      <c r="P336" s="65">
        <f t="shared" si="153"/>
        <v>1.3172753748300384E-2</v>
      </c>
      <c r="Q336" s="700">
        <f>((34.5/((3/4)*(1-0.3^2))^(1/4))^2)</f>
        <v>1440.7441415180838</v>
      </c>
      <c r="R336" s="697"/>
      <c r="S336" s="871"/>
      <c r="T336" s="465" t="s">
        <v>522</v>
      </c>
      <c r="U336" s="871"/>
      <c r="V336" s="83">
        <f t="shared" si="169"/>
        <v>72705.215656460379</v>
      </c>
      <c r="W336" s="83">
        <f t="shared" si="175"/>
        <v>253.72706838859571</v>
      </c>
      <c r="X336" s="9"/>
      <c r="Y336" s="871"/>
      <c r="Z336" s="882"/>
      <c r="AA336" s="35"/>
      <c r="AB336" s="871"/>
      <c r="AC336" s="380" t="s">
        <v>750</v>
      </c>
      <c r="AD336" s="882"/>
      <c r="AE336" s="35"/>
      <c r="AF336" s="871"/>
      <c r="AG336" s="871"/>
      <c r="AH336" s="165"/>
      <c r="AI336" s="165"/>
      <c r="AJ336" s="175">
        <f t="shared" si="170"/>
        <v>3.3333333333333333E-2</v>
      </c>
      <c r="AK336" s="35"/>
      <c r="AL336" s="871"/>
      <c r="AN336" s="599">
        <f>BB336*V334</f>
        <v>8.9136594394820428</v>
      </c>
      <c r="AO336" s="554">
        <f t="shared" si="171"/>
        <v>3.5130896739130439E-2</v>
      </c>
      <c r="AQ336" s="558">
        <f t="shared" si="172"/>
        <v>2.8822703237311318</v>
      </c>
      <c r="AR336" s="558">
        <f t="shared" si="173"/>
        <v>30.541993554488727</v>
      </c>
      <c r="AT336" s="683">
        <f t="shared" si="174"/>
        <v>0.29184929999999987</v>
      </c>
      <c r="AU336" s="266">
        <f t="shared" si="168"/>
        <v>3.5130896739130439E-2</v>
      </c>
      <c r="AW336" s="871"/>
      <c r="AY336" s="90"/>
      <c r="AZ336" s="543">
        <v>1933</v>
      </c>
      <c r="BA336" s="293"/>
      <c r="BB336" s="130">
        <v>1.226E-4</v>
      </c>
    </row>
    <row r="337" spans="2:54">
      <c r="B337" s="991"/>
      <c r="C337" s="945"/>
      <c r="D337" s="871"/>
      <c r="E337" s="899"/>
      <c r="F337" s="871"/>
      <c r="G337" s="871"/>
      <c r="H337" s="871"/>
      <c r="I337" s="917"/>
      <c r="J337" s="221"/>
      <c r="K337" s="1051"/>
      <c r="L337" s="451">
        <v>4</v>
      </c>
      <c r="M337" s="65">
        <f t="shared" si="176"/>
        <v>0.2644466765615634</v>
      </c>
      <c r="N337" s="6">
        <f t="shared" si="177"/>
        <v>381</v>
      </c>
      <c r="O337" s="66">
        <f>0.65*N337</f>
        <v>247.65</v>
      </c>
      <c r="P337" s="65">
        <f t="shared" si="153"/>
        <v>1.71245798727905E-2</v>
      </c>
      <c r="Q337" s="700">
        <f>((34.5/((3/4)*(1-0.3^2))^(1/4))^2)</f>
        <v>1440.7441415180838</v>
      </c>
      <c r="R337" s="697"/>
      <c r="S337" s="871"/>
      <c r="T337" s="465" t="s">
        <v>522</v>
      </c>
      <c r="U337" s="871"/>
      <c r="V337" s="83">
        <f t="shared" si="169"/>
        <v>72705.215656460379</v>
      </c>
      <c r="W337" s="83">
        <f t="shared" si="175"/>
        <v>253.72706838859571</v>
      </c>
      <c r="X337" s="9"/>
      <c r="Y337" s="871"/>
      <c r="Z337" s="882"/>
      <c r="AA337" s="35"/>
      <c r="AB337" s="871"/>
      <c r="AC337" s="380" t="s">
        <v>750</v>
      </c>
      <c r="AD337" s="882"/>
      <c r="AE337" s="35"/>
      <c r="AF337" s="871"/>
      <c r="AG337" s="871"/>
      <c r="AH337" s="165"/>
      <c r="AI337" s="165"/>
      <c r="AJ337" s="175">
        <f t="shared" si="170"/>
        <v>3.3333333333333333E-2</v>
      </c>
      <c r="AK337" s="35"/>
      <c r="AL337" s="871"/>
      <c r="AN337" s="599">
        <f>BB337*V334</f>
        <v>7.3257775295449479</v>
      </c>
      <c r="AO337" s="554">
        <f t="shared" si="171"/>
        <v>2.8872668478260873E-2</v>
      </c>
      <c r="AQ337" s="558">
        <f t="shared" si="172"/>
        <v>2.8822703237311318</v>
      </c>
      <c r="AR337" s="558">
        <f t="shared" si="173"/>
        <v>30.541993554488727</v>
      </c>
      <c r="AT337" s="683">
        <f t="shared" si="174"/>
        <v>0.23985917999999989</v>
      </c>
      <c r="AU337" s="266">
        <f t="shared" si="168"/>
        <v>2.8872668478260873E-2</v>
      </c>
      <c r="AW337" s="871"/>
      <c r="AY337" s="90"/>
      <c r="AZ337" s="543">
        <v>1933</v>
      </c>
      <c r="BA337" s="293"/>
      <c r="BB337" s="130">
        <v>1.0076E-4</v>
      </c>
    </row>
    <row r="338" spans="2:54">
      <c r="B338" s="991"/>
      <c r="C338" s="945"/>
      <c r="D338" s="871"/>
      <c r="E338" s="899"/>
      <c r="F338" s="871"/>
      <c r="G338" s="871"/>
      <c r="H338" s="871"/>
      <c r="I338" s="917"/>
      <c r="J338" s="221"/>
      <c r="K338" s="1051"/>
      <c r="L338" s="451">
        <v>5</v>
      </c>
      <c r="M338" s="65">
        <f t="shared" si="176"/>
        <v>0.26910644025289893</v>
      </c>
      <c r="N338" s="6">
        <f t="shared" si="177"/>
        <v>381</v>
      </c>
      <c r="O338" s="66">
        <f>1*N338</f>
        <v>381</v>
      </c>
      <c r="P338" s="65">
        <f t="shared" si="153"/>
        <v>2.6576608439553402E-2</v>
      </c>
      <c r="Q338" s="700">
        <f>((34.2/((3/4)*(1-0.3^2))^(1/4))^2)</f>
        <v>1415.7966626214763</v>
      </c>
      <c r="R338" s="697"/>
      <c r="S338" s="871"/>
      <c r="T338" s="465" t="s">
        <v>522</v>
      </c>
      <c r="U338" s="871"/>
      <c r="V338" s="83">
        <f t="shared" si="169"/>
        <v>72705.215656460379</v>
      </c>
      <c r="W338" s="83">
        <f t="shared" si="175"/>
        <v>253.72706838859571</v>
      </c>
      <c r="X338" s="9"/>
      <c r="Y338" s="871"/>
      <c r="Z338" s="882"/>
      <c r="AA338" s="35"/>
      <c r="AB338" s="871"/>
      <c r="AC338" s="380" t="s">
        <v>750</v>
      </c>
      <c r="AD338" s="882"/>
      <c r="AE338" s="35"/>
      <c r="AF338" s="871"/>
      <c r="AG338" s="871"/>
      <c r="AH338" s="165"/>
      <c r="AI338" s="165"/>
      <c r="AJ338" s="175">
        <f t="shared" si="170"/>
        <v>3.3333333333333333E-2</v>
      </c>
      <c r="AK338" s="35"/>
      <c r="AL338" s="871"/>
      <c r="AN338" s="599">
        <f>BB338*V334</f>
        <v>7.3261774082310582</v>
      </c>
      <c r="AO338" s="554">
        <f t="shared" si="171"/>
        <v>2.8874244497282611E-2</v>
      </c>
      <c r="AQ338" s="558">
        <f t="shared" si="172"/>
        <v>2.8572071035247748</v>
      </c>
      <c r="AR338" s="558">
        <f t="shared" si="173"/>
        <v>31.080168110042568</v>
      </c>
      <c r="AT338" s="683">
        <f t="shared" si="174"/>
        <v>0.23571871884000001</v>
      </c>
      <c r="AU338" s="266">
        <f t="shared" si="168"/>
        <v>2.8874244497282611E-2</v>
      </c>
      <c r="AW338" s="871"/>
      <c r="AY338" s="90"/>
      <c r="AZ338" s="543">
        <v>1933</v>
      </c>
      <c r="BA338" s="293"/>
      <c r="BB338" s="130">
        <v>1.007655E-4</v>
      </c>
    </row>
    <row r="339" spans="2:54">
      <c r="B339" s="991"/>
      <c r="C339" s="945"/>
      <c r="D339" s="871"/>
      <c r="E339" s="899"/>
      <c r="F339" s="871"/>
      <c r="G339" s="871"/>
      <c r="H339" s="871"/>
      <c r="I339" s="917"/>
      <c r="J339" s="221"/>
      <c r="K339" s="1051"/>
      <c r="L339" s="451">
        <v>6</v>
      </c>
      <c r="M339" s="65">
        <f t="shared" si="176"/>
        <v>0.26598639194953422</v>
      </c>
      <c r="N339" s="6">
        <f t="shared" si="177"/>
        <v>381</v>
      </c>
      <c r="O339" s="66">
        <f>1*N339</f>
        <v>381</v>
      </c>
      <c r="P339" s="65">
        <f t="shared" si="153"/>
        <v>2.6422093274207165E-2</v>
      </c>
      <c r="Q339" s="700">
        <f>((34.4/((3/4)*(1-0.3^2))^(1/4))^2)</f>
        <v>1432.4041061179078</v>
      </c>
      <c r="R339" s="697"/>
      <c r="S339" s="871"/>
      <c r="T339" s="465" t="s">
        <v>522</v>
      </c>
      <c r="U339" s="871"/>
      <c r="V339" s="83">
        <f t="shared" si="169"/>
        <v>72705.215656460379</v>
      </c>
      <c r="W339" s="83">
        <f t="shared" si="175"/>
        <v>253.72706838859571</v>
      </c>
      <c r="X339" s="9"/>
      <c r="Y339" s="871"/>
      <c r="Z339" s="882"/>
      <c r="AA339" s="35"/>
      <c r="AB339" s="871"/>
      <c r="AC339" s="380" t="s">
        <v>750</v>
      </c>
      <c r="AD339" s="882"/>
      <c r="AE339" s="35"/>
      <c r="AF339" s="871"/>
      <c r="AG339" s="871"/>
      <c r="AH339" s="165"/>
      <c r="AI339" s="165"/>
      <c r="AJ339" s="175">
        <f t="shared" si="170"/>
        <v>3.3333333333333333E-2</v>
      </c>
      <c r="AK339" s="35"/>
      <c r="AL339" s="871"/>
      <c r="AN339" s="599">
        <f>BB339*V334</f>
        <v>7.476858967679072</v>
      </c>
      <c r="AO339" s="554">
        <f t="shared" si="171"/>
        <v>2.9468117119565217E-2</v>
      </c>
      <c r="AQ339" s="558">
        <f t="shared" si="172"/>
        <v>2.8739159169956792</v>
      </c>
      <c r="AR339" s="558">
        <f t="shared" si="173"/>
        <v>30.719821379994421</v>
      </c>
      <c r="AT339" s="683">
        <f t="shared" si="174"/>
        <v>0.24338875135999993</v>
      </c>
      <c r="AU339" s="266">
        <f t="shared" si="168"/>
        <v>2.9468117119565217E-2</v>
      </c>
      <c r="AW339" s="871"/>
      <c r="AY339" s="90"/>
      <c r="AZ339" s="543">
        <v>1933</v>
      </c>
      <c r="BA339" s="293"/>
      <c r="BB339" s="130">
        <v>1.0283799999999999E-4</v>
      </c>
    </row>
    <row r="340" spans="2:54">
      <c r="B340" s="991"/>
      <c r="C340" s="945"/>
      <c r="D340" s="871"/>
      <c r="E340" s="899"/>
      <c r="F340" s="871"/>
      <c r="G340" s="871"/>
      <c r="H340" s="871"/>
      <c r="I340" s="917"/>
      <c r="J340" s="221"/>
      <c r="K340" s="1051"/>
      <c r="L340" s="451">
        <v>7</v>
      </c>
      <c r="M340" s="65">
        <f t="shared" si="176"/>
        <v>0.41620847177176967</v>
      </c>
      <c r="N340" s="6">
        <f>CONVERT(15,"in","mm")</f>
        <v>381</v>
      </c>
      <c r="O340" s="66">
        <f>1*N340</f>
        <v>381</v>
      </c>
      <c r="P340" s="65">
        <f t="shared" si="153"/>
        <v>3.3051636677553689E-2</v>
      </c>
      <c r="Q340" s="700">
        <f>((27.5/((3/4)*(1-0.3^2))^(1/4))^2)</f>
        <v>915.40664316156347</v>
      </c>
      <c r="R340" s="697"/>
      <c r="S340" s="871"/>
      <c r="T340" s="465" t="s">
        <v>522</v>
      </c>
      <c r="U340" s="871"/>
      <c r="V340" s="83">
        <f>CONVERT(AVERAGE(10340000,10380000,10270000,10440000),"psi","Pa")/(10^6)</f>
        <v>71412.448663991308</v>
      </c>
      <c r="W340" s="83">
        <f>CONVERT(AVERAGE(36800,35800,36500,35800),"psi","Pa")/(10^6)</f>
        <v>249.76258294502389</v>
      </c>
      <c r="X340" s="9"/>
      <c r="Y340" s="871"/>
      <c r="Z340" s="882"/>
      <c r="AA340" s="35"/>
      <c r="AB340" s="871"/>
      <c r="AC340" s="380" t="s">
        <v>750</v>
      </c>
      <c r="AD340" s="882"/>
      <c r="AE340" s="35"/>
      <c r="AF340" s="871"/>
      <c r="AG340" s="871"/>
      <c r="AH340" s="165"/>
      <c r="AI340" s="165"/>
      <c r="AJ340" s="175">
        <f t="shared" si="170"/>
        <v>3.3333333333333333E-2</v>
      </c>
      <c r="AK340" s="35"/>
      <c r="AL340" s="871"/>
      <c r="AN340" s="599">
        <f>BB340*V340</f>
        <v>16.248331619620615</v>
      </c>
      <c r="AO340" s="554">
        <f>AN340/$W$340</f>
        <v>6.5055107246376823E-2</v>
      </c>
      <c r="AQ340" s="558">
        <f>SQRT($W$340/AR340)</f>
        <v>2.2999818971047166</v>
      </c>
      <c r="AR340" s="558">
        <f>$V$340*M340/N340/SQRT(3*(1-0.3^2))</f>
        <v>47.214842091895093</v>
      </c>
      <c r="AT340" s="683">
        <f t="shared" si="174"/>
        <v>0.34413609999999989</v>
      </c>
      <c r="AU340" s="266">
        <f t="shared" si="168"/>
        <v>6.5055107246376823E-2</v>
      </c>
      <c r="AW340" s="871"/>
      <c r="AY340" s="90"/>
      <c r="AZ340" s="543">
        <v>1933</v>
      </c>
      <c r="BA340" s="293"/>
      <c r="BB340" s="130">
        <v>2.2752800000000001E-4</v>
      </c>
    </row>
    <row r="341" spans="2:54">
      <c r="B341" s="991"/>
      <c r="C341" s="945"/>
      <c r="D341" s="871"/>
      <c r="E341" s="899"/>
      <c r="F341" s="871"/>
      <c r="G341" s="871"/>
      <c r="H341" s="871"/>
      <c r="I341" s="917"/>
      <c r="J341" s="221"/>
      <c r="K341" s="1051"/>
      <c r="L341" s="451">
        <v>8</v>
      </c>
      <c r="M341" s="65">
        <f t="shared" si="176"/>
        <v>0.41021993871600149</v>
      </c>
      <c r="N341" s="6">
        <f>CONVERT(15,"in","mm")</f>
        <v>381</v>
      </c>
      <c r="O341" s="66">
        <f>1*N341</f>
        <v>381</v>
      </c>
      <c r="P341" s="65">
        <f t="shared" si="153"/>
        <v>3.2812996701542467E-2</v>
      </c>
      <c r="Q341" s="700">
        <f>((27.7/((3/4)*(1-0.3^2))^(1/4))^2)</f>
        <v>928.77006708289071</v>
      </c>
      <c r="R341" s="697"/>
      <c r="S341" s="871"/>
      <c r="T341" s="465" t="s">
        <v>522</v>
      </c>
      <c r="U341" s="871"/>
      <c r="V341" s="83">
        <f>CONVERT(AVERAGE(10340000,10380000,10270000,10440000),"psi","Pa")/(10^6)</f>
        <v>71412.448663991308</v>
      </c>
      <c r="W341" s="83">
        <f>CONVERT(AVERAGE(36800,35800,36500,35800),"psi","Pa")/(10^6)</f>
        <v>249.76258294502389</v>
      </c>
      <c r="X341" s="9"/>
      <c r="Y341" s="871"/>
      <c r="Z341" s="882"/>
      <c r="AA341" s="35"/>
      <c r="AB341" s="871"/>
      <c r="AC341" s="380" t="s">
        <v>750</v>
      </c>
      <c r="AD341" s="882"/>
      <c r="AE341" s="35"/>
      <c r="AF341" s="871"/>
      <c r="AG341" s="871"/>
      <c r="AH341" s="165"/>
      <c r="AI341" s="165"/>
      <c r="AJ341" s="175">
        <f t="shared" si="170"/>
        <v>3.3333333333333333E-2</v>
      </c>
      <c r="AK341" s="35"/>
      <c r="AL341" s="871"/>
      <c r="AN341" s="599">
        <f>BB341*V340</f>
        <v>14.87521305670939</v>
      </c>
      <c r="AO341" s="554">
        <f>AN341/$W$340</f>
        <v>5.9557412008281581E-2</v>
      </c>
      <c r="AQ341" s="558">
        <f>SQRT($W$340/AR341)</f>
        <v>2.3167090381745692</v>
      </c>
      <c r="AR341" s="558">
        <f>$V$340*M341/N341/SQRT(3*(1-0.3^2))</f>
        <v>46.535500699860108</v>
      </c>
      <c r="AT341" s="683">
        <f t="shared" si="174"/>
        <v>0.3196530139999999</v>
      </c>
      <c r="AU341" s="266">
        <f t="shared" si="168"/>
        <v>5.9557412008281581E-2</v>
      </c>
      <c r="AW341" s="871"/>
      <c r="AY341" s="90"/>
      <c r="AZ341" s="543">
        <v>1933</v>
      </c>
      <c r="BA341" s="293"/>
      <c r="BB341" s="130">
        <v>2.0829999999999999E-4</v>
      </c>
    </row>
    <row r="342" spans="2:54">
      <c r="B342" s="991"/>
      <c r="C342" s="945"/>
      <c r="D342" s="871"/>
      <c r="E342" s="899"/>
      <c r="F342" s="871"/>
      <c r="G342" s="871"/>
      <c r="H342" s="871"/>
      <c r="I342" s="917"/>
      <c r="J342" s="221"/>
      <c r="K342" s="1051"/>
      <c r="L342" s="451">
        <v>9</v>
      </c>
      <c r="M342" s="65">
        <f t="shared" si="176"/>
        <v>0.52868458878225066</v>
      </c>
      <c r="N342" s="6">
        <f t="shared" ref="N342:N348" si="178">CONVERT(15,"in","mm")</f>
        <v>381</v>
      </c>
      <c r="O342" s="66">
        <f>0.5*N342</f>
        <v>190.5</v>
      </c>
      <c r="P342" s="65">
        <f t="shared" si="153"/>
        <v>1.8625410012965703E-2</v>
      </c>
      <c r="Q342" s="700">
        <f>((24.4/((3/4)*(1-0.3^2))^(1/4))^2)</f>
        <v>720.65652769939629</v>
      </c>
      <c r="R342" s="697"/>
      <c r="S342" s="871"/>
      <c r="T342" s="465" t="s">
        <v>522</v>
      </c>
      <c r="U342" s="871"/>
      <c r="V342" s="83">
        <f t="shared" ref="V342:V348" si="179">CONVERT(AVERAGE(10070000,10060000,10350000,10190000,10130000),"psi","Pa")/(10^6)</f>
        <v>70050.734098590561</v>
      </c>
      <c r="W342" s="83">
        <f>CONVERT(AVERAGE(37900,39050,38750,41000,33750),"psi","Pa")/(10^6)</f>
        <v>262.62130529678291</v>
      </c>
      <c r="X342" s="9"/>
      <c r="Y342" s="871"/>
      <c r="Z342" s="882"/>
      <c r="AA342" s="35"/>
      <c r="AB342" s="871"/>
      <c r="AC342" s="380" t="s">
        <v>750</v>
      </c>
      <c r="AD342" s="882"/>
      <c r="AE342" s="35"/>
      <c r="AF342" s="871"/>
      <c r="AG342" s="871"/>
      <c r="AH342" s="165"/>
      <c r="AI342" s="165"/>
      <c r="AJ342" s="175">
        <f t="shared" si="170"/>
        <v>3.3333333333333333E-2</v>
      </c>
      <c r="AK342" s="35"/>
      <c r="AL342" s="871"/>
      <c r="AN342" s="599">
        <f>BB342*V342</f>
        <v>29.960698973967183</v>
      </c>
      <c r="AO342" s="554">
        <f t="shared" ref="AO342:AO348" si="180">AN342/$W$342</f>
        <v>0.11408327645051196</v>
      </c>
      <c r="AQ342" s="558">
        <f t="shared" ref="AQ342:AQ348" si="181">SQRT($W$342/AR342)</f>
        <v>2.112824657063634</v>
      </c>
      <c r="AR342" s="558">
        <f t="shared" ref="AR342:AR348" si="182">$V$342*M342/N342/SQRT(3*(1-0.3^2))</f>
        <v>58.8305681424605</v>
      </c>
      <c r="AT342" s="683">
        <f t="shared" si="174"/>
        <v>0.50927094399999995</v>
      </c>
      <c r="AU342" s="266">
        <f t="shared" si="168"/>
        <v>0.11408327645051196</v>
      </c>
      <c r="AW342" s="871"/>
      <c r="AY342" s="90"/>
      <c r="AZ342" s="543">
        <v>1933</v>
      </c>
      <c r="BA342" s="293"/>
      <c r="BB342" s="130">
        <v>4.2769999999999999E-4</v>
      </c>
    </row>
    <row r="343" spans="2:54">
      <c r="B343" s="991"/>
      <c r="C343" s="945"/>
      <c r="D343" s="871"/>
      <c r="E343" s="899"/>
      <c r="F343" s="871"/>
      <c r="G343" s="871"/>
      <c r="H343" s="871"/>
      <c r="I343" s="917"/>
      <c r="J343" s="221"/>
      <c r="K343" s="1051"/>
      <c r="L343" s="451">
        <v>10</v>
      </c>
      <c r="M343" s="65">
        <f t="shared" si="176"/>
        <v>0.49565012720049251</v>
      </c>
      <c r="N343" s="6">
        <f t="shared" si="178"/>
        <v>381</v>
      </c>
      <c r="O343" s="66">
        <f t="shared" ref="O343:O344" si="183">0.5*N343</f>
        <v>190.5</v>
      </c>
      <c r="P343" s="65">
        <f t="shared" si="153"/>
        <v>1.8034127155411236E-2</v>
      </c>
      <c r="Q343" s="700">
        <f>((25.2/((3/4)*(1-0.3^2))^(1/4))^2)</f>
        <v>768.68738469199252</v>
      </c>
      <c r="R343" s="697"/>
      <c r="S343" s="871"/>
      <c r="T343" s="465" t="s">
        <v>522</v>
      </c>
      <c r="U343" s="871"/>
      <c r="V343" s="83">
        <f t="shared" si="179"/>
        <v>70050.734098590561</v>
      </c>
      <c r="W343" s="83">
        <f>CONVERT(AVERAGE(37900,39050,38750,41000,33750),"psi","Pa")/(10^6)</f>
        <v>262.62130529678291</v>
      </c>
      <c r="X343" s="9"/>
      <c r="Y343" s="871"/>
      <c r="Z343" s="882"/>
      <c r="AA343" s="35"/>
      <c r="AB343" s="871"/>
      <c r="AC343" s="380" t="s">
        <v>750</v>
      </c>
      <c r="AD343" s="882"/>
      <c r="AE343" s="35"/>
      <c r="AF343" s="871"/>
      <c r="AG343" s="871"/>
      <c r="AH343" s="165"/>
      <c r="AI343" s="165"/>
      <c r="AJ343" s="175">
        <f t="shared" si="170"/>
        <v>3.3333333333333333E-2</v>
      </c>
      <c r="AK343" s="35"/>
      <c r="AL343" s="871"/>
      <c r="AN343" s="599">
        <f>BB343*V342</f>
        <v>23.787828285199385</v>
      </c>
      <c r="AO343" s="554">
        <f t="shared" si="180"/>
        <v>9.0578440535573651E-2</v>
      </c>
      <c r="AQ343" s="558">
        <f t="shared" si="181"/>
        <v>2.1820975966394909</v>
      </c>
      <c r="AR343" s="558">
        <f t="shared" si="182"/>
        <v>55.154584040840398</v>
      </c>
      <c r="AT343" s="683">
        <f t="shared" si="174"/>
        <v>0.4312937664</v>
      </c>
      <c r="AU343" s="266">
        <f t="shared" si="168"/>
        <v>9.0578440535573651E-2</v>
      </c>
      <c r="AW343" s="871"/>
      <c r="AY343" s="90"/>
      <c r="AZ343" s="543">
        <v>1933</v>
      </c>
      <c r="BA343" s="293"/>
      <c r="BB343" s="71">
        <v>3.3958000000000003E-4</v>
      </c>
    </row>
    <row r="344" spans="2:54">
      <c r="B344" s="991"/>
      <c r="C344" s="945"/>
      <c r="D344" s="871"/>
      <c r="E344" s="899"/>
      <c r="F344" s="871"/>
      <c r="G344" s="871"/>
      <c r="H344" s="871"/>
      <c r="I344" s="917"/>
      <c r="J344" s="221"/>
      <c r="K344" s="1051"/>
      <c r="L344" s="451">
        <v>11</v>
      </c>
      <c r="M344" s="65">
        <f t="shared" si="176"/>
        <v>0.5036122508438412</v>
      </c>
      <c r="N344" s="6">
        <f t="shared" si="178"/>
        <v>381</v>
      </c>
      <c r="O344" s="66">
        <f t="shared" si="183"/>
        <v>190.5</v>
      </c>
      <c r="P344" s="65">
        <f t="shared" si="153"/>
        <v>1.8178400172654527E-2</v>
      </c>
      <c r="Q344" s="700">
        <f>((25/((3/4)*(1-0.3^2))^(1/4))^2)</f>
        <v>756.53441583600295</v>
      </c>
      <c r="R344" s="697"/>
      <c r="S344" s="871"/>
      <c r="T344" s="465" t="s">
        <v>522</v>
      </c>
      <c r="U344" s="871"/>
      <c r="V344" s="83">
        <f t="shared" si="179"/>
        <v>70050.734098590561</v>
      </c>
      <c r="W344" s="83">
        <f t="shared" ref="W344:W348" si="184">CONVERT(AVERAGE(37900,39050,38750,41000,33750),"psi","Pa")/(10^6)</f>
        <v>262.62130529678291</v>
      </c>
      <c r="X344" s="9"/>
      <c r="Y344" s="871"/>
      <c r="Z344" s="882"/>
      <c r="AA344" s="35"/>
      <c r="AB344" s="871"/>
      <c r="AC344" s="380" t="s">
        <v>750</v>
      </c>
      <c r="AD344" s="882"/>
      <c r="AE344" s="35"/>
      <c r="AF344" s="871"/>
      <c r="AG344" s="871"/>
      <c r="AH344" s="165"/>
      <c r="AI344" s="165"/>
      <c r="AJ344" s="175">
        <f t="shared" si="170"/>
        <v>3.3333333333333333E-2</v>
      </c>
      <c r="AK344" s="35"/>
      <c r="AL344" s="871"/>
      <c r="AN344" s="599">
        <f>BB344*V342</f>
        <v>29.358262660719305</v>
      </c>
      <c r="AO344" s="554">
        <f t="shared" si="180"/>
        <v>0.11178934103439224</v>
      </c>
      <c r="AQ344" s="558">
        <f t="shared" si="181"/>
        <v>2.1647793617455267</v>
      </c>
      <c r="AR344" s="558">
        <f t="shared" si="182"/>
        <v>56.040587278872451</v>
      </c>
      <c r="AT344" s="683">
        <f t="shared" si="174"/>
        <v>0.52387499999999998</v>
      </c>
      <c r="AU344" s="266">
        <f t="shared" si="168"/>
        <v>0.11178934103439224</v>
      </c>
      <c r="AW344" s="871"/>
      <c r="AY344" s="90"/>
      <c r="AZ344" s="543">
        <v>1933</v>
      </c>
      <c r="BA344" s="293"/>
      <c r="BB344" s="71">
        <v>4.191E-4</v>
      </c>
    </row>
    <row r="345" spans="2:54">
      <c r="B345" s="991"/>
      <c r="C345" s="945"/>
      <c r="D345" s="871"/>
      <c r="E345" s="899"/>
      <c r="F345" s="871"/>
      <c r="G345" s="871"/>
      <c r="H345" s="871"/>
      <c r="I345" s="917"/>
      <c r="J345" s="221"/>
      <c r="K345" s="1051"/>
      <c r="L345" s="451">
        <v>12</v>
      </c>
      <c r="M345" s="65">
        <f t="shared" si="176"/>
        <v>0.56513512061440796</v>
      </c>
      <c r="N345" s="6">
        <f t="shared" si="178"/>
        <v>381</v>
      </c>
      <c r="O345" s="66">
        <f>1*N345</f>
        <v>381</v>
      </c>
      <c r="P345" s="65">
        <f t="shared" si="153"/>
        <v>3.8513559687827381E-2</v>
      </c>
      <c r="Q345" s="700">
        <f>((23.6/((3/4)*(1-0.3^2))^(1/4))^2)</f>
        <v>674.17505319043255</v>
      </c>
      <c r="R345" s="697"/>
      <c r="S345" s="871"/>
      <c r="T345" s="465" t="s">
        <v>522</v>
      </c>
      <c r="U345" s="871"/>
      <c r="V345" s="83">
        <f t="shared" si="179"/>
        <v>70050.734098590561</v>
      </c>
      <c r="W345" s="83">
        <f t="shared" si="184"/>
        <v>262.62130529678291</v>
      </c>
      <c r="X345" s="9"/>
      <c r="Y345" s="871"/>
      <c r="Z345" s="882"/>
      <c r="AA345" s="35"/>
      <c r="AB345" s="871"/>
      <c r="AC345" s="380" t="s">
        <v>750</v>
      </c>
      <c r="AD345" s="882"/>
      <c r="AE345" s="35"/>
      <c r="AF345" s="871"/>
      <c r="AG345" s="871"/>
      <c r="AH345" s="165"/>
      <c r="AI345" s="165"/>
      <c r="AJ345" s="175">
        <f t="shared" si="170"/>
        <v>3.3333333333333333E-2</v>
      </c>
      <c r="AK345" s="35"/>
      <c r="AL345" s="871"/>
      <c r="AN345" s="599">
        <f>BB345*V342</f>
        <v>28.762831420881284</v>
      </c>
      <c r="AO345" s="554">
        <f t="shared" si="180"/>
        <v>0.10952207928590181</v>
      </c>
      <c r="AQ345" s="558">
        <f t="shared" si="181"/>
        <v>2.0435517174877771</v>
      </c>
      <c r="AR345" s="558">
        <f t="shared" si="182"/>
        <v>62.886683153718892</v>
      </c>
      <c r="AT345" s="683">
        <f t="shared" si="174"/>
        <v>0.45737555200000007</v>
      </c>
      <c r="AU345" s="266">
        <f t="shared" si="168"/>
        <v>0.10952207928590181</v>
      </c>
      <c r="AW345" s="871"/>
      <c r="AY345" s="90"/>
      <c r="AZ345" s="543">
        <v>1933</v>
      </c>
      <c r="BA345" s="293"/>
      <c r="BB345" s="71">
        <v>4.1060000000000001E-4</v>
      </c>
    </row>
    <row r="346" spans="2:54">
      <c r="B346" s="991"/>
      <c r="C346" s="945"/>
      <c r="D346" s="871"/>
      <c r="E346" s="899"/>
      <c r="F346" s="871"/>
      <c r="G346" s="871"/>
      <c r="H346" s="871"/>
      <c r="I346" s="917"/>
      <c r="J346" s="221"/>
      <c r="K346" s="1051"/>
      <c r="L346" s="451">
        <v>13</v>
      </c>
      <c r="M346" s="65">
        <f t="shared" si="176"/>
        <v>0.55103667088706576</v>
      </c>
      <c r="N346" s="6">
        <f t="shared" si="178"/>
        <v>381</v>
      </c>
      <c r="O346" s="66">
        <f>1*N346</f>
        <v>381</v>
      </c>
      <c r="P346" s="65">
        <f t="shared" si="153"/>
        <v>3.8030125884214498E-2</v>
      </c>
      <c r="Q346" s="700">
        <f>((23.9/((3/4)*(1-0.3^2))^(1/4))^2)</f>
        <v>691.42403787149306</v>
      </c>
      <c r="R346" s="697"/>
      <c r="S346" s="871"/>
      <c r="T346" s="465" t="s">
        <v>522</v>
      </c>
      <c r="U346" s="871"/>
      <c r="V346" s="83">
        <f t="shared" si="179"/>
        <v>70050.734098590561</v>
      </c>
      <c r="W346" s="83">
        <f t="shared" si="184"/>
        <v>262.62130529678291</v>
      </c>
      <c r="X346" s="9"/>
      <c r="Y346" s="871"/>
      <c r="Z346" s="882"/>
      <c r="AA346" s="35"/>
      <c r="AB346" s="871"/>
      <c r="AC346" s="380" t="s">
        <v>750</v>
      </c>
      <c r="AD346" s="882"/>
      <c r="AE346" s="35"/>
      <c r="AF346" s="871"/>
      <c r="AG346" s="871"/>
      <c r="AH346" s="165"/>
      <c r="AI346" s="165"/>
      <c r="AJ346" s="175">
        <f t="shared" si="170"/>
        <v>3.3333333333333333E-2</v>
      </c>
      <c r="AK346" s="35"/>
      <c r="AL346" s="871"/>
      <c r="AN346" s="599">
        <f>BB346*V342</f>
        <v>26.879167180970185</v>
      </c>
      <c r="AO346" s="554">
        <f t="shared" si="180"/>
        <v>0.10234953006038332</v>
      </c>
      <c r="AQ346" s="558">
        <f t="shared" si="181"/>
        <v>2.069529069828723</v>
      </c>
      <c r="AR346" s="558">
        <f t="shared" si="182"/>
        <v>61.317846412519557</v>
      </c>
      <c r="AT346" s="683">
        <f t="shared" si="174"/>
        <v>0.43835797819999983</v>
      </c>
      <c r="AU346" s="266">
        <f t="shared" si="168"/>
        <v>0.10234953006038332</v>
      </c>
      <c r="AW346" s="871"/>
      <c r="AY346" s="90"/>
      <c r="AZ346" s="543">
        <v>1933</v>
      </c>
      <c r="BA346" s="293"/>
      <c r="BB346" s="71">
        <v>3.8371E-4</v>
      </c>
    </row>
    <row r="347" spans="2:54">
      <c r="B347" s="991"/>
      <c r="C347" s="945"/>
      <c r="D347" s="871"/>
      <c r="E347" s="899"/>
      <c r="F347" s="871"/>
      <c r="G347" s="871"/>
      <c r="H347" s="871"/>
      <c r="I347" s="917"/>
      <c r="J347" s="221"/>
      <c r="K347" s="1051"/>
      <c r="L347" s="451">
        <v>14</v>
      </c>
      <c r="M347" s="65">
        <f t="shared" si="176"/>
        <v>0.55567695921439297</v>
      </c>
      <c r="N347" s="6">
        <f t="shared" si="178"/>
        <v>381</v>
      </c>
      <c r="O347" s="66">
        <f>1.5*N347</f>
        <v>571.5</v>
      </c>
      <c r="P347" s="65">
        <f t="shared" si="153"/>
        <v>5.7284874493659224E-2</v>
      </c>
      <c r="Q347" s="700">
        <f>((23.8/((3/4)*(1-0.3^2))^(1/4))^2)</f>
        <v>685.65016720983283</v>
      </c>
      <c r="R347" s="697"/>
      <c r="S347" s="871"/>
      <c r="T347" s="465" t="s">
        <v>522</v>
      </c>
      <c r="U347" s="871"/>
      <c r="V347" s="83">
        <f t="shared" si="179"/>
        <v>70050.734098590561</v>
      </c>
      <c r="W347" s="83">
        <f t="shared" si="184"/>
        <v>262.62130529678291</v>
      </c>
      <c r="X347" s="9"/>
      <c r="Y347" s="871"/>
      <c r="Z347" s="882"/>
      <c r="AA347" s="35"/>
      <c r="AB347" s="871"/>
      <c r="AC347" s="380" t="s">
        <v>750</v>
      </c>
      <c r="AD347" s="882"/>
      <c r="AE347" s="35"/>
      <c r="AF347" s="871"/>
      <c r="AG347" s="871"/>
      <c r="AH347" s="165"/>
      <c r="AI347" s="165"/>
      <c r="AJ347" s="175">
        <f t="shared" si="170"/>
        <v>3.3333333333333333E-2</v>
      </c>
      <c r="AK347" s="35"/>
      <c r="AL347" s="871"/>
      <c r="AN347" s="599">
        <f>BB347*V342</f>
        <v>29.558607760241273</v>
      </c>
      <c r="AO347" s="554">
        <f t="shared" si="180"/>
        <v>0.11255220792859019</v>
      </c>
      <c r="AQ347" s="558">
        <f t="shared" si="181"/>
        <v>2.0608699523817413</v>
      </c>
      <c r="AR347" s="558">
        <f t="shared" si="182"/>
        <v>61.83420494544044</v>
      </c>
      <c r="AT347" s="683">
        <f t="shared" si="174"/>
        <v>0.47803004479999994</v>
      </c>
      <c r="AU347" s="266">
        <f t="shared" si="168"/>
        <v>0.11255220792859019</v>
      </c>
      <c r="AW347" s="871"/>
      <c r="AY347" s="90"/>
      <c r="AZ347" s="543">
        <v>1933</v>
      </c>
      <c r="BA347" s="293"/>
      <c r="BB347" s="71">
        <v>4.2195999999999998E-4</v>
      </c>
    </row>
    <row r="348" spans="2:54">
      <c r="B348" s="991"/>
      <c r="C348" s="945"/>
      <c r="D348" s="871"/>
      <c r="E348" s="899"/>
      <c r="F348" s="871"/>
      <c r="G348" s="871"/>
      <c r="H348" s="871"/>
      <c r="I348" s="917"/>
      <c r="J348" s="221"/>
      <c r="K348" s="1051"/>
      <c r="L348" s="451">
        <v>15</v>
      </c>
      <c r="M348" s="65">
        <f t="shared" si="176"/>
        <v>0.55567695921439297</v>
      </c>
      <c r="N348" s="6">
        <f t="shared" si="178"/>
        <v>381</v>
      </c>
      <c r="O348" s="66">
        <f>1.5*N348</f>
        <v>571.5</v>
      </c>
      <c r="P348" s="65">
        <f t="shared" si="153"/>
        <v>5.7284874493659224E-2</v>
      </c>
      <c r="Q348" s="700">
        <f>((23.8/((3/4)*(1-0.3^2))^(1/4))^2)</f>
        <v>685.65016720983283</v>
      </c>
      <c r="R348" s="697"/>
      <c r="S348" s="871"/>
      <c r="T348" s="465" t="s">
        <v>522</v>
      </c>
      <c r="U348" s="871"/>
      <c r="V348" s="352">
        <f t="shared" si="179"/>
        <v>70050.734098590561</v>
      </c>
      <c r="W348" s="352">
        <f t="shared" si="184"/>
        <v>262.62130529678291</v>
      </c>
      <c r="X348" s="9"/>
      <c r="Y348" s="871"/>
      <c r="Z348" s="882"/>
      <c r="AA348" s="35"/>
      <c r="AB348" s="871"/>
      <c r="AC348" s="380" t="s">
        <v>750</v>
      </c>
      <c r="AD348" s="882"/>
      <c r="AE348" s="35"/>
      <c r="AF348" s="871"/>
      <c r="AG348" s="871"/>
      <c r="AH348" s="165"/>
      <c r="AI348" s="165"/>
      <c r="AJ348" s="175">
        <f t="shared" si="170"/>
        <v>3.3333333333333333E-2</v>
      </c>
      <c r="AK348" s="35"/>
      <c r="AL348" s="871"/>
      <c r="AN348" s="599">
        <f>BB348*V342</f>
        <v>32.949763797954041</v>
      </c>
      <c r="AO348" s="554">
        <f t="shared" si="180"/>
        <v>0.12546493042793386</v>
      </c>
      <c r="AQ348" s="558">
        <f t="shared" si="181"/>
        <v>2.0608699523817413</v>
      </c>
      <c r="AR348" s="558">
        <f t="shared" si="182"/>
        <v>61.83420494544044</v>
      </c>
      <c r="AT348" s="683">
        <f t="shared" si="174"/>
        <v>0.53287276559999996</v>
      </c>
      <c r="AU348" s="266">
        <f t="shared" si="168"/>
        <v>0.12546493042793386</v>
      </c>
      <c r="AW348" s="871"/>
      <c r="AY348" s="90"/>
      <c r="AZ348" s="543">
        <v>1933</v>
      </c>
      <c r="BA348" s="293"/>
      <c r="BB348" s="71">
        <v>4.7037000000000001E-4</v>
      </c>
    </row>
    <row r="349" spans="2:54">
      <c r="B349" s="991"/>
      <c r="C349" s="945"/>
      <c r="D349" s="871"/>
      <c r="E349" s="899"/>
      <c r="F349" s="871"/>
      <c r="G349" s="871"/>
      <c r="H349" s="871"/>
      <c r="I349" s="917"/>
      <c r="J349" s="221"/>
      <c r="K349" s="1051"/>
      <c r="L349" s="451">
        <v>16</v>
      </c>
      <c r="M349" s="65">
        <f t="shared" si="176"/>
        <v>0.29239526677448796</v>
      </c>
      <c r="N349" s="6">
        <f>CONVERT(7.5,"in","mm")</f>
        <v>190.5</v>
      </c>
      <c r="O349" s="66">
        <f>0.5*N349</f>
        <v>95.25</v>
      </c>
      <c r="P349" s="65">
        <f t="shared" si="153"/>
        <v>1.9588793289498415E-2</v>
      </c>
      <c r="Q349" s="700">
        <f>((23.2/((3/4)*(1-0.3^2))^(1/4))^2)</f>
        <v>651.51533436731233</v>
      </c>
      <c r="R349" s="697"/>
      <c r="S349" s="871"/>
      <c r="T349" s="465" t="s">
        <v>522</v>
      </c>
      <c r="U349" s="871"/>
      <c r="V349" s="83">
        <f>CONVERT(AVERAGE(10520000,10570000),"psi","Pa")/(10^6)</f>
        <v>72705.215656460379</v>
      </c>
      <c r="W349" s="83">
        <f>CONVERT(AVERAGE(36500,37100),"psi","Pa")/(10^6)</f>
        <v>253.72706838859571</v>
      </c>
      <c r="X349" s="9"/>
      <c r="Y349" s="871"/>
      <c r="Z349" s="882"/>
      <c r="AA349" s="35"/>
      <c r="AB349" s="871"/>
      <c r="AC349" s="380" t="s">
        <v>750</v>
      </c>
      <c r="AD349" s="882"/>
      <c r="AE349" s="35"/>
      <c r="AF349" s="871"/>
      <c r="AG349" s="871"/>
      <c r="AH349" s="165"/>
      <c r="AI349" s="165"/>
      <c r="AJ349" s="175">
        <f t="shared" si="170"/>
        <v>6.6666666666666666E-2</v>
      </c>
      <c r="AK349" s="35"/>
      <c r="AL349" s="871"/>
      <c r="AN349" s="599">
        <f t="shared" ref="AN349:AN369" si="185">BB349*$V$349</f>
        <v>41.637549954298301</v>
      </c>
      <c r="AO349" s="554">
        <f t="shared" ref="AO349:AO369" si="186">AN349/$W$349</f>
        <v>0.1641036970108696</v>
      </c>
      <c r="AQ349" s="558">
        <f t="shared" ref="AQ349:AQ369" si="187">SQRT($W$349/AR349)</f>
        <v>1.9382223626249933</v>
      </c>
      <c r="AR349" s="558">
        <f t="shared" ref="AR349:AR369" si="188">$V$349*M349/N349/SQRT(3*(1-0.3^2))</f>
        <v>67.539773759345636</v>
      </c>
      <c r="AT349" s="683">
        <f t="shared" si="174"/>
        <v>0.61648933120000005</v>
      </c>
      <c r="AU349" s="266">
        <f t="shared" si="168"/>
        <v>0.1641036970108696</v>
      </c>
      <c r="AW349" s="871"/>
      <c r="AY349" s="90"/>
      <c r="AZ349" s="543">
        <v>1933</v>
      </c>
      <c r="BA349" s="293"/>
      <c r="BB349" s="71">
        <v>5.7269000000000005E-4</v>
      </c>
    </row>
    <row r="350" spans="2:54">
      <c r="B350" s="991"/>
      <c r="C350" s="945"/>
      <c r="D350" s="871"/>
      <c r="E350" s="899"/>
      <c r="F350" s="871"/>
      <c r="G350" s="871"/>
      <c r="H350" s="871"/>
      <c r="I350" s="917"/>
      <c r="J350" s="221"/>
      <c r="K350" s="1051"/>
      <c r="L350" s="451">
        <v>17</v>
      </c>
      <c r="M350" s="65">
        <f t="shared" si="176"/>
        <v>0.28989082206100752</v>
      </c>
      <c r="N350" s="6">
        <f t="shared" ref="N350:N368" si="189">CONVERT(7.5,"in","mm")</f>
        <v>190.5</v>
      </c>
      <c r="O350" s="66">
        <f t="shared" ref="O350:O352" si="190">0.5*N350</f>
        <v>95.25</v>
      </c>
      <c r="P350" s="65">
        <f t="shared" si="153"/>
        <v>1.9504721215294556E-2</v>
      </c>
      <c r="Q350" s="700">
        <f>((23.3/((3/4)*(1-0.3^2))^(1/4))^2)</f>
        <v>657.14395042113222</v>
      </c>
      <c r="R350" s="697"/>
      <c r="S350" s="871"/>
      <c r="T350" s="465" t="s">
        <v>522</v>
      </c>
      <c r="U350" s="871"/>
      <c r="V350" s="83">
        <f>CONVERT(AVERAGE(10520000,10570000),"psi","Pa")/(10^6)</f>
        <v>72705.215656460379</v>
      </c>
      <c r="W350" s="83">
        <f>CONVERT(AVERAGE(36500,37100),"psi","Pa")/(10^6)</f>
        <v>253.72706838859571</v>
      </c>
      <c r="X350" s="9"/>
      <c r="Y350" s="871"/>
      <c r="Z350" s="882"/>
      <c r="AA350" s="35"/>
      <c r="AB350" s="871"/>
      <c r="AC350" s="380" t="s">
        <v>750</v>
      </c>
      <c r="AD350" s="882"/>
      <c r="AE350" s="35"/>
      <c r="AF350" s="871"/>
      <c r="AG350" s="871"/>
      <c r="AH350" s="165"/>
      <c r="AI350" s="165"/>
      <c r="AJ350" s="175">
        <f t="shared" si="170"/>
        <v>6.6666666666666666E-2</v>
      </c>
      <c r="AK350" s="35"/>
      <c r="AL350" s="871"/>
      <c r="AN350" s="599">
        <f t="shared" si="185"/>
        <v>37.863567620002748</v>
      </c>
      <c r="AO350" s="554">
        <f t="shared" si="186"/>
        <v>0.1492295160326087</v>
      </c>
      <c r="AQ350" s="558">
        <f t="shared" si="187"/>
        <v>1.9465767693604457</v>
      </c>
      <c r="AR350" s="558">
        <f t="shared" si="188"/>
        <v>66.961277290482784</v>
      </c>
      <c r="AT350" s="683">
        <f t="shared" si="174"/>
        <v>0.56545467995999987</v>
      </c>
      <c r="AU350" s="266">
        <f t="shared" si="168"/>
        <v>0.1492295160326087</v>
      </c>
      <c r="AW350" s="871"/>
      <c r="AY350" s="90"/>
      <c r="AZ350" s="543">
        <v>1933</v>
      </c>
      <c r="BA350" s="293"/>
      <c r="BB350" s="71">
        <v>5.2078200000000002E-4</v>
      </c>
    </row>
    <row r="351" spans="2:54">
      <c r="B351" s="991"/>
      <c r="C351" s="945"/>
      <c r="D351" s="871"/>
      <c r="E351" s="899"/>
      <c r="F351" s="871"/>
      <c r="G351" s="871"/>
      <c r="H351" s="871"/>
      <c r="I351" s="917"/>
      <c r="J351" s="221"/>
      <c r="K351" s="1051"/>
      <c r="L351" s="451">
        <v>18</v>
      </c>
      <c r="M351" s="65">
        <f t="shared" si="176"/>
        <v>0.27551833544353288</v>
      </c>
      <c r="N351" s="6">
        <f t="shared" si="189"/>
        <v>190.5</v>
      </c>
      <c r="O351" s="66">
        <f t="shared" si="190"/>
        <v>95.25</v>
      </c>
      <c r="P351" s="65">
        <f t="shared" si="153"/>
        <v>1.9015062942107249E-2</v>
      </c>
      <c r="Q351" s="700">
        <f>((23.9/((3/4)*(1-0.3^2))^(1/4))^2)</f>
        <v>691.42403787149306</v>
      </c>
      <c r="R351" s="697"/>
      <c r="S351" s="871"/>
      <c r="T351" s="465" t="s">
        <v>522</v>
      </c>
      <c r="U351" s="871"/>
      <c r="V351" s="83">
        <f>CONVERT(AVERAGE(10520000,10570000),"psi","Pa")/(10^6)</f>
        <v>72705.215656460379</v>
      </c>
      <c r="W351" s="83">
        <f>CONVERT(AVERAGE(36500,37100),"psi","Pa")/(10^6)</f>
        <v>253.72706838859571</v>
      </c>
      <c r="X351" s="9"/>
      <c r="Y351" s="871"/>
      <c r="Z351" s="882"/>
      <c r="AA351" s="35"/>
      <c r="AB351" s="871"/>
      <c r="AC351" s="380" t="s">
        <v>750</v>
      </c>
      <c r="AD351" s="882"/>
      <c r="AE351" s="35"/>
      <c r="AF351" s="871"/>
      <c r="AG351" s="871"/>
      <c r="AH351" s="165"/>
      <c r="AI351" s="165"/>
      <c r="AJ351" s="175">
        <f t="shared" si="170"/>
        <v>6.6666666666666666E-2</v>
      </c>
      <c r="AK351" s="35"/>
      <c r="AL351" s="871"/>
      <c r="AN351" s="599">
        <f t="shared" si="185"/>
        <v>24.028346722303592</v>
      </c>
      <c r="AO351" s="554">
        <f t="shared" si="186"/>
        <v>9.4701550271739141E-2</v>
      </c>
      <c r="AQ351" s="558">
        <f t="shared" si="187"/>
        <v>1.996703209773161</v>
      </c>
      <c r="AR351" s="558">
        <f t="shared" si="188"/>
        <v>63.641406537403412</v>
      </c>
      <c r="AT351" s="683">
        <f t="shared" si="174"/>
        <v>0.3775583857999999</v>
      </c>
      <c r="AU351" s="266">
        <f t="shared" si="168"/>
        <v>9.4701550271739141E-2</v>
      </c>
      <c r="AW351" s="871"/>
      <c r="AY351" s="90"/>
      <c r="AZ351" s="543">
        <v>1933</v>
      </c>
      <c r="BA351" s="293"/>
      <c r="BB351" s="71">
        <v>3.3049000000000002E-4</v>
      </c>
    </row>
    <row r="352" spans="2:54">
      <c r="B352" s="991"/>
      <c r="C352" s="945"/>
      <c r="D352" s="871"/>
      <c r="E352" s="899"/>
      <c r="F352" s="871"/>
      <c r="G352" s="871"/>
      <c r="H352" s="871"/>
      <c r="I352" s="917"/>
      <c r="J352" s="221"/>
      <c r="K352" s="1051"/>
      <c r="L352" s="451">
        <v>19</v>
      </c>
      <c r="M352" s="65">
        <f t="shared" si="176"/>
        <v>0.30274474528451134</v>
      </c>
      <c r="N352" s="6">
        <f t="shared" si="189"/>
        <v>190.5</v>
      </c>
      <c r="O352" s="66">
        <f t="shared" si="190"/>
        <v>95.25</v>
      </c>
      <c r="P352" s="65">
        <f t="shared" si="153"/>
        <v>1.9932456329665053E-2</v>
      </c>
      <c r="Q352" s="700">
        <f>((22.8/((3/4)*(1-0.3^2))^(1/4))^2)</f>
        <v>629.2429611651005</v>
      </c>
      <c r="R352" s="697"/>
      <c r="S352" s="871"/>
      <c r="T352" s="465" t="s">
        <v>522</v>
      </c>
      <c r="U352" s="871"/>
      <c r="V352" s="83">
        <f>CONVERT(AVERAGE(10520000,10570000),"psi","Pa")/(10^6)</f>
        <v>72705.215656460379</v>
      </c>
      <c r="W352" s="83">
        <f>CONVERT(AVERAGE(36500,37100),"psi","Pa")/(10^6)</f>
        <v>253.72706838859571</v>
      </c>
      <c r="X352" s="9"/>
      <c r="Y352" s="871"/>
      <c r="Z352" s="882"/>
      <c r="AA352" s="35"/>
      <c r="AB352" s="871"/>
      <c r="AC352" s="380" t="s">
        <v>750</v>
      </c>
      <c r="AD352" s="882"/>
      <c r="AE352" s="35"/>
      <c r="AF352" s="871"/>
      <c r="AG352" s="871"/>
      <c r="AH352" s="165"/>
      <c r="AI352" s="165"/>
      <c r="AJ352" s="175">
        <f t="shared" si="170"/>
        <v>6.6666666666666666E-2</v>
      </c>
      <c r="AK352" s="35"/>
      <c r="AL352" s="871"/>
      <c r="AN352" s="599">
        <f t="shared" si="185"/>
        <v>39.436763076377233</v>
      </c>
      <c r="AO352" s="554">
        <f t="shared" si="186"/>
        <v>0.15542986141304346</v>
      </c>
      <c r="AQ352" s="558">
        <f t="shared" si="187"/>
        <v>1.904804735683183</v>
      </c>
      <c r="AR352" s="558">
        <f t="shared" si="188"/>
        <v>69.930378247595783</v>
      </c>
      <c r="AT352" s="683">
        <f t="shared" si="174"/>
        <v>0.56394322559999988</v>
      </c>
      <c r="AU352" s="266">
        <f t="shared" si="168"/>
        <v>0.15542986141304346</v>
      </c>
      <c r="AW352" s="871"/>
      <c r="AY352" s="90"/>
      <c r="AZ352" s="543">
        <v>1933</v>
      </c>
      <c r="BA352" s="293"/>
      <c r="BB352" s="71">
        <v>5.4241999999999995E-4</v>
      </c>
    </row>
    <row r="353" spans="2:54">
      <c r="B353" s="991"/>
      <c r="C353" s="945"/>
      <c r="D353" s="871"/>
      <c r="E353" s="899"/>
      <c r="F353" s="871"/>
      <c r="G353" s="871"/>
      <c r="H353" s="871"/>
      <c r="I353" s="917"/>
      <c r="J353" s="221"/>
      <c r="K353" s="1051"/>
      <c r="L353" s="451">
        <v>20</v>
      </c>
      <c r="M353" s="65">
        <f t="shared" si="176"/>
        <v>0.28741841695649861</v>
      </c>
      <c r="N353" s="6">
        <f t="shared" si="189"/>
        <v>190.5</v>
      </c>
      <c r="O353" s="66">
        <f>0.65*N353</f>
        <v>123.825</v>
      </c>
      <c r="P353" s="65">
        <f t="shared" si="153"/>
        <v>2.5247778017575731E-2</v>
      </c>
      <c r="Q353" s="700">
        <f>((23.4/((3/4)*(1-0.3^2))^(1/4))^2)</f>
        <v>662.79677557625882</v>
      </c>
      <c r="R353" s="697"/>
      <c r="S353" s="871"/>
      <c r="T353" s="465" t="s">
        <v>522</v>
      </c>
      <c r="U353" s="871"/>
      <c r="V353" s="83">
        <f>CONVERT(AVERAGE(10520000,10570000),"psi","Pa")/(10^6)</f>
        <v>72705.215656460379</v>
      </c>
      <c r="W353" s="83">
        <f t="shared" ref="W353:W369" si="191">CONVERT(AVERAGE(36500,37100),"psi","Pa")/(10^6)</f>
        <v>253.72706838859571</v>
      </c>
      <c r="X353" s="9"/>
      <c r="Y353" s="871"/>
      <c r="Z353" s="882"/>
      <c r="AA353" s="35"/>
      <c r="AB353" s="871"/>
      <c r="AC353" s="380" t="s">
        <v>750</v>
      </c>
      <c r="AD353" s="882"/>
      <c r="AE353" s="35"/>
      <c r="AF353" s="871"/>
      <c r="AG353" s="871"/>
      <c r="AH353" s="165"/>
      <c r="AI353" s="165"/>
      <c r="AJ353" s="175">
        <f t="shared" si="170"/>
        <v>6.6666666666666666E-2</v>
      </c>
      <c r="AK353" s="35"/>
      <c r="AL353" s="871"/>
      <c r="AN353" s="599">
        <f t="shared" si="185"/>
        <v>28.087478912403775</v>
      </c>
      <c r="AO353" s="554">
        <f t="shared" si="186"/>
        <v>0.11069957608695653</v>
      </c>
      <c r="AQ353" s="558">
        <f t="shared" si="187"/>
        <v>1.9549311760958983</v>
      </c>
      <c r="AR353" s="558">
        <f t="shared" si="188"/>
        <v>66.390181584173774</v>
      </c>
      <c r="AT353" s="683">
        <f t="shared" si="174"/>
        <v>0.42306675839999996</v>
      </c>
      <c r="AU353" s="266">
        <f t="shared" si="168"/>
        <v>0.11069957608695653</v>
      </c>
      <c r="AW353" s="871"/>
      <c r="AY353" s="90"/>
      <c r="AZ353" s="543">
        <v>1933</v>
      </c>
      <c r="BA353" s="293"/>
      <c r="BB353" s="130">
        <v>3.8632E-4</v>
      </c>
    </row>
    <row r="354" spans="2:54">
      <c r="B354" s="991"/>
      <c r="C354" s="945"/>
      <c r="D354" s="871"/>
      <c r="E354" s="899"/>
      <c r="F354" s="871"/>
      <c r="G354" s="871"/>
      <c r="H354" s="871"/>
      <c r="I354" s="917"/>
      <c r="J354" s="221"/>
      <c r="K354" s="1051"/>
      <c r="L354" s="451">
        <v>21</v>
      </c>
      <c r="M354" s="65">
        <f t="shared" si="176"/>
        <v>0.28741841695649861</v>
      </c>
      <c r="N354" s="6">
        <f t="shared" si="189"/>
        <v>190.5</v>
      </c>
      <c r="O354" s="66">
        <f t="shared" ref="O354:O355" si="192">0.65*N354</f>
        <v>123.825</v>
      </c>
      <c r="P354" s="65">
        <f t="shared" si="153"/>
        <v>2.5247778017575731E-2</v>
      </c>
      <c r="Q354" s="700">
        <f>((23.4/((3/4)*(1-0.3^2))^(1/4))^2)</f>
        <v>662.79677557625882</v>
      </c>
      <c r="R354" s="697"/>
      <c r="S354" s="871"/>
      <c r="T354" s="465" t="s">
        <v>522</v>
      </c>
      <c r="U354" s="871"/>
      <c r="V354" s="83">
        <f t="shared" ref="V354:V369" si="193">CONVERT(AVERAGE(10520000,10570000),"psi","Pa")/(10^6)</f>
        <v>72705.215656460379</v>
      </c>
      <c r="W354" s="83">
        <f t="shared" si="191"/>
        <v>253.72706838859571</v>
      </c>
      <c r="X354" s="9"/>
      <c r="Y354" s="871"/>
      <c r="Z354" s="882"/>
      <c r="AA354" s="35"/>
      <c r="AB354" s="871"/>
      <c r="AC354" s="380" t="s">
        <v>750</v>
      </c>
      <c r="AD354" s="882"/>
      <c r="AE354" s="35"/>
      <c r="AF354" s="871"/>
      <c r="AG354" s="871"/>
      <c r="AH354" s="165"/>
      <c r="AI354" s="165"/>
      <c r="AJ354" s="175">
        <f t="shared" si="170"/>
        <v>6.6666666666666666E-2</v>
      </c>
      <c r="AK354" s="35"/>
      <c r="AL354" s="871"/>
      <c r="AN354" s="599">
        <f t="shared" si="185"/>
        <v>41.076571051336174</v>
      </c>
      <c r="AO354" s="554">
        <f t="shared" si="186"/>
        <v>0.16189274290760869</v>
      </c>
      <c r="AQ354" s="558">
        <f t="shared" si="187"/>
        <v>1.9549311760958983</v>
      </c>
      <c r="AR354" s="558">
        <f t="shared" si="188"/>
        <v>66.390181584173774</v>
      </c>
      <c r="AT354" s="683">
        <f t="shared" si="174"/>
        <v>0.61871454590399988</v>
      </c>
      <c r="AU354" s="266">
        <f t="shared" si="168"/>
        <v>0.16189274290760869</v>
      </c>
      <c r="AW354" s="871"/>
      <c r="AY354" s="90"/>
      <c r="AZ354" s="543">
        <v>1933</v>
      </c>
      <c r="BA354" s="293"/>
      <c r="BB354" s="130">
        <v>5.6497419999999995E-4</v>
      </c>
    </row>
    <row r="355" spans="2:54">
      <c r="B355" s="991"/>
      <c r="C355" s="945"/>
      <c r="D355" s="871"/>
      <c r="E355" s="899"/>
      <c r="F355" s="871"/>
      <c r="G355" s="871"/>
      <c r="H355" s="871"/>
      <c r="I355" s="917"/>
      <c r="J355" s="221"/>
      <c r="K355" s="1051"/>
      <c r="L355" s="451">
        <v>22</v>
      </c>
      <c r="M355" s="65">
        <f t="shared" si="176"/>
        <v>0.28497750726790472</v>
      </c>
      <c r="N355" s="6">
        <f t="shared" si="189"/>
        <v>190.5</v>
      </c>
      <c r="O355" s="66">
        <f t="shared" si="192"/>
        <v>123.825</v>
      </c>
      <c r="P355" s="65">
        <f t="shared" si="153"/>
        <v>2.5140340664309455E-2</v>
      </c>
      <c r="Q355" s="700">
        <f>((23.5/((3/4)*(1-0.3^2))^(1/4))^2)</f>
        <v>668.47380983269215</v>
      </c>
      <c r="R355" s="697"/>
      <c r="S355" s="871"/>
      <c r="T355" s="465" t="s">
        <v>522</v>
      </c>
      <c r="U355" s="871"/>
      <c r="V355" s="83">
        <f t="shared" si="193"/>
        <v>72705.215656460379</v>
      </c>
      <c r="W355" s="83">
        <f t="shared" si="191"/>
        <v>253.72706838859571</v>
      </c>
      <c r="X355" s="9"/>
      <c r="Y355" s="871"/>
      <c r="Z355" s="882"/>
      <c r="AA355" s="35"/>
      <c r="AB355" s="871"/>
      <c r="AC355" s="380" t="s">
        <v>750</v>
      </c>
      <c r="AD355" s="882"/>
      <c r="AE355" s="35"/>
      <c r="AF355" s="871"/>
      <c r="AG355" s="871"/>
      <c r="AH355" s="165"/>
      <c r="AI355" s="165"/>
      <c r="AJ355" s="175">
        <f t="shared" si="170"/>
        <v>6.6666666666666666E-2</v>
      </c>
      <c r="AK355" s="35"/>
      <c r="AL355" s="871"/>
      <c r="AN355" s="599">
        <f t="shared" si="185"/>
        <v>28.665485376872635</v>
      </c>
      <c r="AO355" s="554">
        <f t="shared" si="186"/>
        <v>0.11297763994565219</v>
      </c>
      <c r="AQ355" s="558">
        <f t="shared" si="187"/>
        <v>1.9632855828313509</v>
      </c>
      <c r="AR355" s="558">
        <f t="shared" si="188"/>
        <v>65.826360938397812</v>
      </c>
      <c r="AT355" s="683">
        <f t="shared" si="174"/>
        <v>0.43547121499999997</v>
      </c>
      <c r="AU355" s="266">
        <f t="shared" si="168"/>
        <v>0.11297763994565219</v>
      </c>
      <c r="AW355" s="871"/>
      <c r="AY355" s="90"/>
      <c r="AZ355" s="543">
        <v>1933</v>
      </c>
      <c r="BA355" s="293"/>
      <c r="BB355" s="130">
        <v>3.9427E-4</v>
      </c>
    </row>
    <row r="356" spans="2:54">
      <c r="B356" s="991"/>
      <c r="C356" s="945"/>
      <c r="D356" s="871"/>
      <c r="E356" s="899"/>
      <c r="F356" s="871"/>
      <c r="G356" s="871"/>
      <c r="H356" s="871"/>
      <c r="I356" s="917"/>
      <c r="J356" s="221"/>
      <c r="K356" s="1051"/>
      <c r="L356" s="451">
        <v>23</v>
      </c>
      <c r="M356" s="65">
        <f t="shared" si="176"/>
        <v>0.26434229439112533</v>
      </c>
      <c r="N356" s="6">
        <f t="shared" si="189"/>
        <v>190.5</v>
      </c>
      <c r="O356" s="66">
        <f>1*N356</f>
        <v>190.5</v>
      </c>
      <c r="P356" s="65">
        <f t="shared" si="153"/>
        <v>3.7250820025931407E-2</v>
      </c>
      <c r="Q356" s="700">
        <f>((24.4/((3/4)*(1-0.3^2))^(1/4))^2)</f>
        <v>720.65652769939629</v>
      </c>
      <c r="R356" s="697"/>
      <c r="S356" s="871"/>
      <c r="T356" s="465" t="s">
        <v>522</v>
      </c>
      <c r="U356" s="871"/>
      <c r="V356" s="83">
        <f t="shared" si="193"/>
        <v>72705.215656460379</v>
      </c>
      <c r="W356" s="83">
        <f t="shared" si="191"/>
        <v>253.72706838859571</v>
      </c>
      <c r="X356" s="9"/>
      <c r="Y356" s="871"/>
      <c r="Z356" s="882"/>
      <c r="AA356" s="35"/>
      <c r="AB356" s="871"/>
      <c r="AC356" s="380" t="s">
        <v>750</v>
      </c>
      <c r="AD356" s="882"/>
      <c r="AE356" s="35"/>
      <c r="AF356" s="871"/>
      <c r="AG356" s="871"/>
      <c r="AH356" s="165"/>
      <c r="AI356" s="165"/>
      <c r="AJ356" s="175">
        <f t="shared" si="170"/>
        <v>6.6666666666666666E-2</v>
      </c>
      <c r="AK356" s="35"/>
      <c r="AL356" s="871"/>
      <c r="AN356" s="599">
        <f t="shared" si="185"/>
        <v>28.087478912403775</v>
      </c>
      <c r="AO356" s="554">
        <f t="shared" si="186"/>
        <v>0.11069957608695653</v>
      </c>
      <c r="AQ356" s="558">
        <f t="shared" si="187"/>
        <v>2.0384752434504239</v>
      </c>
      <c r="AR356" s="558">
        <f t="shared" si="188"/>
        <v>61.059876088803733</v>
      </c>
      <c r="AT356" s="683">
        <f t="shared" si="174"/>
        <v>0.4599989504</v>
      </c>
      <c r="AU356" s="266">
        <f t="shared" si="168"/>
        <v>0.11069957608695653</v>
      </c>
      <c r="AW356" s="871"/>
      <c r="AY356" s="90"/>
      <c r="AZ356" s="543">
        <v>1933</v>
      </c>
      <c r="BA356" s="293"/>
      <c r="BB356" s="130">
        <v>3.8632E-4</v>
      </c>
    </row>
    <row r="357" spans="2:54">
      <c r="B357" s="991"/>
      <c r="C357" s="945"/>
      <c r="D357" s="871"/>
      <c r="E357" s="899"/>
      <c r="F357" s="871"/>
      <c r="G357" s="871"/>
      <c r="H357" s="871"/>
      <c r="I357" s="917"/>
      <c r="J357" s="221"/>
      <c r="K357" s="1051"/>
      <c r="L357" s="451">
        <v>24</v>
      </c>
      <c r="M357" s="65">
        <f t="shared" si="176"/>
        <v>0.28497750726790472</v>
      </c>
      <c r="N357" s="6">
        <f t="shared" si="189"/>
        <v>190.5</v>
      </c>
      <c r="O357" s="66">
        <f t="shared" ref="O357:O359" si="194">1*N357</f>
        <v>190.5</v>
      </c>
      <c r="P357" s="65">
        <f t="shared" si="153"/>
        <v>3.8677447175860698E-2</v>
      </c>
      <c r="Q357" s="700">
        <f>((23.5/((3/4)*(1-0.3^2))^(1/4))^2)</f>
        <v>668.47380983269215</v>
      </c>
      <c r="R357" s="697"/>
      <c r="S357" s="871"/>
      <c r="T357" s="465" t="s">
        <v>522</v>
      </c>
      <c r="U357" s="871"/>
      <c r="V357" s="83">
        <f t="shared" si="193"/>
        <v>72705.215656460379</v>
      </c>
      <c r="W357" s="83">
        <f t="shared" si="191"/>
        <v>253.72706838859571</v>
      </c>
      <c r="X357" s="9"/>
      <c r="Y357" s="871"/>
      <c r="Z357" s="882"/>
      <c r="AA357" s="35"/>
      <c r="AB357" s="871"/>
      <c r="AC357" s="380" t="s">
        <v>750</v>
      </c>
      <c r="AD357" s="882"/>
      <c r="AE357" s="35"/>
      <c r="AF357" s="871"/>
      <c r="AG357" s="871"/>
      <c r="AH357" s="165"/>
      <c r="AI357" s="165"/>
      <c r="AJ357" s="175">
        <f t="shared" si="170"/>
        <v>6.6666666666666666E-2</v>
      </c>
      <c r="AK357" s="35"/>
      <c r="AL357" s="871"/>
      <c r="AN357" s="599">
        <f t="shared" si="185"/>
        <v>24.189025248904368</v>
      </c>
      <c r="AO357" s="554">
        <f t="shared" si="186"/>
        <v>9.5334823369565225E-2</v>
      </c>
      <c r="AQ357" s="558">
        <f t="shared" si="187"/>
        <v>1.9632855828313509</v>
      </c>
      <c r="AR357" s="558">
        <f t="shared" si="188"/>
        <v>65.826360938397812</v>
      </c>
      <c r="AT357" s="683">
        <f t="shared" si="174"/>
        <v>0.36746714999999996</v>
      </c>
      <c r="AU357" s="266">
        <f t="shared" si="168"/>
        <v>9.5334823369565225E-2</v>
      </c>
      <c r="AW357" s="871"/>
      <c r="AY357" s="90"/>
      <c r="AZ357" s="543">
        <v>1933</v>
      </c>
      <c r="BA357" s="293"/>
      <c r="BB357" s="130">
        <v>3.3270000000000001E-4</v>
      </c>
    </row>
    <row r="358" spans="2:54">
      <c r="B358" s="991"/>
      <c r="C358" s="945"/>
      <c r="D358" s="871"/>
      <c r="E358" s="899"/>
      <c r="F358" s="871"/>
      <c r="G358" s="871"/>
      <c r="H358" s="871"/>
      <c r="I358" s="917"/>
      <c r="J358" s="221"/>
      <c r="K358" s="1051"/>
      <c r="L358" s="451">
        <v>25</v>
      </c>
      <c r="M358" s="65">
        <f t="shared" si="176"/>
        <v>0.29239526677448796</v>
      </c>
      <c r="N358" s="6">
        <f t="shared" si="189"/>
        <v>190.5</v>
      </c>
      <c r="O358" s="66">
        <f t="shared" si="194"/>
        <v>190.5</v>
      </c>
      <c r="P358" s="65">
        <f t="shared" si="153"/>
        <v>3.917758657899683E-2</v>
      </c>
      <c r="Q358" s="700">
        <f t="shared" ref="Q358" si="195">((23.2/((3/4)*(1-0.3^2))^(1/4))^2)</f>
        <v>651.51533436731233</v>
      </c>
      <c r="R358" s="697"/>
      <c r="S358" s="871"/>
      <c r="T358" s="465" t="s">
        <v>522</v>
      </c>
      <c r="U358" s="871"/>
      <c r="V358" s="83">
        <f t="shared" si="193"/>
        <v>72705.215656460379</v>
      </c>
      <c r="W358" s="83">
        <f t="shared" si="191"/>
        <v>253.72706838859571</v>
      </c>
      <c r="X358" s="9"/>
      <c r="Y358" s="871"/>
      <c r="Z358" s="882"/>
      <c r="AA358" s="35"/>
      <c r="AB358" s="871"/>
      <c r="AC358" s="380" t="s">
        <v>750</v>
      </c>
      <c r="AD358" s="882"/>
      <c r="AE358" s="35"/>
      <c r="AF358" s="871"/>
      <c r="AG358" s="871"/>
      <c r="AH358" s="165"/>
      <c r="AI358" s="165"/>
      <c r="AJ358" s="175">
        <f t="shared" si="170"/>
        <v>6.6666666666666666E-2</v>
      </c>
      <c r="AK358" s="35"/>
      <c r="AL358" s="871"/>
      <c r="AN358" s="599">
        <f t="shared" si="185"/>
        <v>38.381076074523868</v>
      </c>
      <c r="AO358" s="554">
        <f t="shared" si="186"/>
        <v>0.15126914254076088</v>
      </c>
      <c r="AQ358" s="558">
        <f t="shared" si="187"/>
        <v>1.9382223626249933</v>
      </c>
      <c r="AR358" s="558">
        <f t="shared" si="188"/>
        <v>67.539773759345636</v>
      </c>
      <c r="AT358" s="683">
        <f t="shared" si="174"/>
        <v>0.56827368435199987</v>
      </c>
      <c r="AU358" s="266">
        <f t="shared" si="168"/>
        <v>0.15126914254076088</v>
      </c>
      <c r="AW358" s="871"/>
      <c r="AY358" s="90"/>
      <c r="AZ358" s="543">
        <v>1933</v>
      </c>
      <c r="BA358" s="293"/>
      <c r="BB358" s="130">
        <v>5.2789989999999995E-4</v>
      </c>
    </row>
    <row r="359" spans="2:54">
      <c r="B359" s="991"/>
      <c r="C359" s="945"/>
      <c r="D359" s="871"/>
      <c r="E359" s="899"/>
      <c r="F359" s="871"/>
      <c r="G359" s="871"/>
      <c r="H359" s="871"/>
      <c r="I359" s="917"/>
      <c r="J359" s="221"/>
      <c r="K359" s="1051"/>
      <c r="L359" s="451">
        <v>26</v>
      </c>
      <c r="M359" s="65">
        <f t="shared" si="176"/>
        <v>0.29239526677448796</v>
      </c>
      <c r="N359" s="6">
        <f t="shared" si="189"/>
        <v>190.5</v>
      </c>
      <c r="O359" s="66">
        <f t="shared" si="194"/>
        <v>190.5</v>
      </c>
      <c r="P359" s="65">
        <f t="shared" ref="P359:P419" si="196">O359/N359*SQRT(M359/N359)</f>
        <v>3.917758657899683E-2</v>
      </c>
      <c r="Q359" s="700">
        <f>((23.2/((3/4)*(1-0.3^2))^(1/4))^2)</f>
        <v>651.51533436731233</v>
      </c>
      <c r="R359" s="697"/>
      <c r="S359" s="871"/>
      <c r="T359" s="465" t="s">
        <v>522</v>
      </c>
      <c r="U359" s="871"/>
      <c r="V359" s="83">
        <f t="shared" si="193"/>
        <v>72705.215656460379</v>
      </c>
      <c r="W359" s="83">
        <f t="shared" si="191"/>
        <v>253.72706838859571</v>
      </c>
      <c r="X359" s="9"/>
      <c r="Y359" s="871"/>
      <c r="Z359" s="882"/>
      <c r="AA359" s="35"/>
      <c r="AB359" s="871"/>
      <c r="AC359" s="380" t="s">
        <v>750</v>
      </c>
      <c r="AD359" s="882"/>
      <c r="AE359" s="35"/>
      <c r="AF359" s="871"/>
      <c r="AG359" s="871"/>
      <c r="AH359" s="165"/>
      <c r="AI359" s="165"/>
      <c r="AJ359" s="175">
        <f t="shared" si="170"/>
        <v>6.6666666666666666E-2</v>
      </c>
      <c r="AK359" s="35"/>
      <c r="AL359" s="871"/>
      <c r="AN359" s="599">
        <f t="shared" si="185"/>
        <v>34.198352288329268</v>
      </c>
      <c r="AO359" s="554">
        <f t="shared" si="186"/>
        <v>0.13478401222826086</v>
      </c>
      <c r="AQ359" s="558">
        <f t="shared" si="187"/>
        <v>1.9382223626249933</v>
      </c>
      <c r="AR359" s="558">
        <f t="shared" si="188"/>
        <v>67.539773759345636</v>
      </c>
      <c r="AT359" s="683">
        <f t="shared" si="174"/>
        <v>0.50634389759999987</v>
      </c>
      <c r="AU359" s="266">
        <f t="shared" si="168"/>
        <v>0.13478401222826086</v>
      </c>
      <c r="AW359" s="871"/>
      <c r="AY359" s="90"/>
      <c r="AZ359" s="543">
        <v>1933</v>
      </c>
      <c r="BA359" s="293"/>
      <c r="BB359" s="130">
        <v>4.7037000000000001E-4</v>
      </c>
    </row>
    <row r="360" spans="2:54">
      <c r="B360" s="991"/>
      <c r="C360" s="945"/>
      <c r="D360" s="871"/>
      <c r="E360" s="899"/>
      <c r="F360" s="871"/>
      <c r="G360" s="871"/>
      <c r="H360" s="871"/>
      <c r="I360" s="917"/>
      <c r="J360" s="221"/>
      <c r="K360" s="1051"/>
      <c r="L360" s="451">
        <v>27</v>
      </c>
      <c r="M360" s="65">
        <f t="shared" si="176"/>
        <v>0.27783847960719649</v>
      </c>
      <c r="N360" s="6">
        <f t="shared" si="189"/>
        <v>190.5</v>
      </c>
      <c r="O360" s="66">
        <f>1.5*N360</f>
        <v>285.75</v>
      </c>
      <c r="P360" s="65">
        <f t="shared" si="196"/>
        <v>5.7284874493659224E-2</v>
      </c>
      <c r="Q360" s="700">
        <f>((23.8/((3/4)*(1-0.3^2))^(1/4))^2)</f>
        <v>685.65016720983283</v>
      </c>
      <c r="R360" s="697"/>
      <c r="S360" s="871"/>
      <c r="T360" s="465" t="s">
        <v>522</v>
      </c>
      <c r="U360" s="871"/>
      <c r="V360" s="83">
        <f t="shared" si="193"/>
        <v>72705.215656460379</v>
      </c>
      <c r="W360" s="83">
        <f t="shared" si="191"/>
        <v>253.72706838859571</v>
      </c>
      <c r="X360" s="9"/>
      <c r="Y360" s="871"/>
      <c r="Z360" s="882"/>
      <c r="AA360" s="35"/>
      <c r="AB360" s="871"/>
      <c r="AC360" s="380" t="s">
        <v>750</v>
      </c>
      <c r="AD360" s="882"/>
      <c r="AE360" s="35"/>
      <c r="AF360" s="871"/>
      <c r="AG360" s="871"/>
      <c r="AH360" s="165"/>
      <c r="AI360" s="165"/>
      <c r="AJ360" s="175">
        <f t="shared" si="170"/>
        <v>6.6666666666666666E-2</v>
      </c>
      <c r="AK360" s="35"/>
      <c r="AL360" s="871"/>
      <c r="AN360" s="599">
        <f t="shared" si="185"/>
        <v>21.702506873453423</v>
      </c>
      <c r="AO360" s="554">
        <f t="shared" si="186"/>
        <v>8.5534850543478272E-2</v>
      </c>
      <c r="AQ360" s="558">
        <f t="shared" si="187"/>
        <v>1.9883488030377086</v>
      </c>
      <c r="AR360" s="558">
        <f t="shared" si="188"/>
        <v>64.17733180606983</v>
      </c>
      <c r="AT360" s="683">
        <f t="shared" si="174"/>
        <v>0.33816467999999994</v>
      </c>
      <c r="AU360" s="266">
        <f t="shared" si="168"/>
        <v>8.5534850543478272E-2</v>
      </c>
      <c r="AW360" s="871"/>
      <c r="AY360" s="90"/>
      <c r="AZ360" s="543">
        <v>1933</v>
      </c>
      <c r="BA360" s="293"/>
      <c r="BB360" s="3">
        <v>2.9849999999999999E-4</v>
      </c>
    </row>
    <row r="361" spans="2:54">
      <c r="B361" s="991"/>
      <c r="C361" s="945"/>
      <c r="D361" s="871"/>
      <c r="E361" s="899"/>
      <c r="F361" s="871"/>
      <c r="G361" s="871"/>
      <c r="H361" s="871"/>
      <c r="I361" s="917"/>
      <c r="J361" s="221"/>
      <c r="K361" s="1051"/>
      <c r="L361" s="451">
        <v>28</v>
      </c>
      <c r="M361" s="65">
        <f t="shared" si="176"/>
        <v>0.29493230709450785</v>
      </c>
      <c r="N361" s="6">
        <f t="shared" si="189"/>
        <v>190.5</v>
      </c>
      <c r="O361" s="66">
        <f t="shared" ref="O361:O363" si="197">1.5*N361</f>
        <v>285.75</v>
      </c>
      <c r="P361" s="65">
        <f t="shared" si="196"/>
        <v>5.9020779781345858E-2</v>
      </c>
      <c r="Q361" s="700">
        <f>((23.1/((3/4)*(1-0.3^2))^(1/4))^2)</f>
        <v>645.9109274147994</v>
      </c>
      <c r="R361" s="697"/>
      <c r="S361" s="871"/>
      <c r="T361" s="465" t="s">
        <v>522</v>
      </c>
      <c r="U361" s="871"/>
      <c r="V361" s="83">
        <f t="shared" si="193"/>
        <v>72705.215656460379</v>
      </c>
      <c r="W361" s="83">
        <f t="shared" si="191"/>
        <v>253.72706838859571</v>
      </c>
      <c r="X361" s="9"/>
      <c r="Y361" s="871"/>
      <c r="Z361" s="882"/>
      <c r="AA361" s="35"/>
      <c r="AB361" s="871"/>
      <c r="AC361" s="380" t="s">
        <v>750</v>
      </c>
      <c r="AD361" s="882"/>
      <c r="AE361" s="35"/>
      <c r="AF361" s="871"/>
      <c r="AG361" s="871"/>
      <c r="AH361" s="165"/>
      <c r="AI361" s="165"/>
      <c r="AJ361" s="175">
        <f t="shared" si="170"/>
        <v>6.6666666666666666E-2</v>
      </c>
      <c r="AK361" s="35"/>
      <c r="AL361" s="871"/>
      <c r="AN361" s="599">
        <f t="shared" si="185"/>
        <v>32.833675390457508</v>
      </c>
      <c r="AO361" s="554">
        <f t="shared" si="186"/>
        <v>0.12940548913043479</v>
      </c>
      <c r="AQ361" s="558">
        <f t="shared" si="187"/>
        <v>1.9298679558895411</v>
      </c>
      <c r="AR361" s="558">
        <f t="shared" si="188"/>
        <v>68.125799419482732</v>
      </c>
      <c r="AT361" s="683">
        <f t="shared" si="174"/>
        <v>0.48195655200000015</v>
      </c>
      <c r="AU361" s="266">
        <f t="shared" si="168"/>
        <v>0.12940548913043479</v>
      </c>
      <c r="AW361" s="871"/>
      <c r="AY361" s="90"/>
      <c r="AZ361" s="543">
        <v>1933</v>
      </c>
      <c r="BA361" s="293"/>
      <c r="BB361" s="130">
        <v>4.5160000000000003E-4</v>
      </c>
    </row>
    <row r="362" spans="2:54">
      <c r="B362" s="991"/>
      <c r="C362" s="945"/>
      <c r="D362" s="871"/>
      <c r="E362" s="899"/>
      <c r="F362" s="871"/>
      <c r="G362" s="871"/>
      <c r="H362" s="871"/>
      <c r="I362" s="917"/>
      <c r="J362" s="221"/>
      <c r="K362" s="1051"/>
      <c r="L362" s="451">
        <v>29</v>
      </c>
      <c r="M362" s="65">
        <f t="shared" si="176"/>
        <v>0.2975025111317588</v>
      </c>
      <c r="N362" s="6">
        <f t="shared" si="189"/>
        <v>190.5</v>
      </c>
      <c r="O362" s="66">
        <f t="shared" si="197"/>
        <v>285.75</v>
      </c>
      <c r="P362" s="65">
        <f t="shared" si="196"/>
        <v>5.9277391867351717E-2</v>
      </c>
      <c r="Q362" s="700">
        <f>((23/((3/4)*(1-0.3^2))^(1/4))^2)</f>
        <v>640.33072956359285</v>
      </c>
      <c r="R362" s="697"/>
      <c r="S362" s="871"/>
      <c r="T362" s="465" t="s">
        <v>522</v>
      </c>
      <c r="U362" s="871"/>
      <c r="V362" s="83">
        <f t="shared" si="193"/>
        <v>72705.215656460379</v>
      </c>
      <c r="W362" s="83">
        <f t="shared" si="191"/>
        <v>253.72706838859571</v>
      </c>
      <c r="X362" s="9"/>
      <c r="Y362" s="871"/>
      <c r="Z362" s="882"/>
      <c r="AA362" s="35"/>
      <c r="AB362" s="871"/>
      <c r="AC362" s="380" t="s">
        <v>750</v>
      </c>
      <c r="AD362" s="882"/>
      <c r="AE362" s="35"/>
      <c r="AF362" s="871"/>
      <c r="AG362" s="871"/>
      <c r="AH362" s="165"/>
      <c r="AI362" s="165"/>
      <c r="AJ362" s="175">
        <f t="shared" si="170"/>
        <v>6.6666666666666666E-2</v>
      </c>
      <c r="AK362" s="35"/>
      <c r="AL362" s="871"/>
      <c r="AN362" s="599">
        <f t="shared" si="185"/>
        <v>36.847003294694119</v>
      </c>
      <c r="AO362" s="554">
        <f t="shared" si="186"/>
        <v>0.1452229891304348</v>
      </c>
      <c r="AQ362" s="558">
        <f t="shared" si="187"/>
        <v>1.9215135491540878</v>
      </c>
      <c r="AR362" s="558">
        <f t="shared" si="188"/>
        <v>68.719485497599621</v>
      </c>
      <c r="AT362" s="683">
        <f t="shared" si="174"/>
        <v>0.53619439999999985</v>
      </c>
      <c r="AU362" s="266">
        <f t="shared" si="168"/>
        <v>0.1452229891304348</v>
      </c>
      <c r="AW362" s="871"/>
      <c r="AY362" s="90"/>
      <c r="AZ362" s="543">
        <v>1933</v>
      </c>
      <c r="BA362" s="293"/>
      <c r="BB362" s="130">
        <v>5.0679999999999996E-4</v>
      </c>
    </row>
    <row r="363" spans="2:54">
      <c r="B363" s="991"/>
      <c r="C363" s="945"/>
      <c r="D363" s="871"/>
      <c r="E363" s="899"/>
      <c r="F363" s="871"/>
      <c r="G363" s="871"/>
      <c r="H363" s="871"/>
      <c r="I363" s="917"/>
      <c r="J363" s="221"/>
      <c r="K363" s="1051"/>
      <c r="L363" s="451">
        <v>30</v>
      </c>
      <c r="M363" s="65">
        <f t="shared" si="176"/>
        <v>0.2975025111317588</v>
      </c>
      <c r="N363" s="6">
        <f t="shared" si="189"/>
        <v>190.5</v>
      </c>
      <c r="O363" s="66">
        <f t="shared" si="197"/>
        <v>285.75</v>
      </c>
      <c r="P363" s="65">
        <f t="shared" si="196"/>
        <v>5.9277391867351717E-2</v>
      </c>
      <c r="Q363" s="700">
        <f>((23/((3/4)*(1-0.3^2))^(1/4))^2)</f>
        <v>640.33072956359285</v>
      </c>
      <c r="R363" s="697"/>
      <c r="S363" s="871"/>
      <c r="T363" s="465" t="s">
        <v>522</v>
      </c>
      <c r="U363" s="871"/>
      <c r="V363" s="83">
        <f t="shared" si="193"/>
        <v>72705.215656460379</v>
      </c>
      <c r="W363" s="83">
        <f t="shared" si="191"/>
        <v>253.72706838859571</v>
      </c>
      <c r="X363" s="9"/>
      <c r="Y363" s="871"/>
      <c r="Z363" s="882"/>
      <c r="AA363" s="35"/>
      <c r="AB363" s="871"/>
      <c r="AC363" s="380" t="s">
        <v>750</v>
      </c>
      <c r="AD363" s="882"/>
      <c r="AE363" s="35"/>
      <c r="AF363" s="871"/>
      <c r="AG363" s="871"/>
      <c r="AH363" s="165"/>
      <c r="AI363" s="165"/>
      <c r="AJ363" s="175">
        <f t="shared" si="170"/>
        <v>6.6666666666666666E-2</v>
      </c>
      <c r="AK363" s="35"/>
      <c r="AL363" s="871"/>
      <c r="AN363" s="599">
        <f t="shared" si="185"/>
        <v>28.279420681736827</v>
      </c>
      <c r="AO363" s="554">
        <f t="shared" si="186"/>
        <v>0.11145606521739131</v>
      </c>
      <c r="AQ363" s="558">
        <f t="shared" si="187"/>
        <v>1.9215135491540878</v>
      </c>
      <c r="AR363" s="558">
        <f t="shared" si="188"/>
        <v>68.719485497599621</v>
      </c>
      <c r="AT363" s="683">
        <f t="shared" si="174"/>
        <v>0.41151967999999983</v>
      </c>
      <c r="AU363" s="266">
        <f t="shared" si="168"/>
        <v>0.11145606521739131</v>
      </c>
      <c r="AW363" s="871"/>
      <c r="AY363" s="90"/>
      <c r="AZ363" s="543">
        <v>1933</v>
      </c>
      <c r="BA363" s="293"/>
      <c r="BB363" s="130">
        <v>3.8895999999999999E-4</v>
      </c>
    </row>
    <row r="364" spans="2:54">
      <c r="B364" s="991"/>
      <c r="C364" s="945"/>
      <c r="D364" s="871"/>
      <c r="E364" s="899"/>
      <c r="F364" s="871"/>
      <c r="G364" s="871"/>
      <c r="H364" s="871"/>
      <c r="I364" s="917"/>
      <c r="J364" s="221"/>
      <c r="K364" s="1051"/>
      <c r="L364" s="451">
        <v>31</v>
      </c>
      <c r="M364" s="65">
        <f t="shared" si="176"/>
        <v>0.28741841695649861</v>
      </c>
      <c r="N364" s="6">
        <f t="shared" si="189"/>
        <v>190.5</v>
      </c>
      <c r="O364" s="66">
        <f>2*N364</f>
        <v>381</v>
      </c>
      <c r="P364" s="65">
        <f t="shared" si="196"/>
        <v>7.7685470823309941E-2</v>
      </c>
      <c r="Q364" s="700">
        <f>((23.4/((3/4)*(1-0.3^2))^(1/4))^2)</f>
        <v>662.79677557625882</v>
      </c>
      <c r="R364" s="697"/>
      <c r="S364" s="871"/>
      <c r="T364" s="465" t="s">
        <v>522</v>
      </c>
      <c r="U364" s="871"/>
      <c r="V364" s="83">
        <f t="shared" si="193"/>
        <v>72705.215656460379</v>
      </c>
      <c r="W364" s="83">
        <f t="shared" si="191"/>
        <v>253.72706838859571</v>
      </c>
      <c r="X364" s="9"/>
      <c r="Y364" s="871"/>
      <c r="Z364" s="882"/>
      <c r="AA364" s="35"/>
      <c r="AB364" s="871"/>
      <c r="AC364" s="380" t="s">
        <v>750</v>
      </c>
      <c r="AD364" s="882"/>
      <c r="AE364" s="35"/>
      <c r="AF364" s="871"/>
      <c r="AG364" s="871"/>
      <c r="AH364" s="165"/>
      <c r="AI364" s="165"/>
      <c r="AJ364" s="175">
        <f t="shared" si="170"/>
        <v>6.6666666666666666E-2</v>
      </c>
      <c r="AK364" s="35"/>
      <c r="AL364" s="871"/>
      <c r="AN364" s="599">
        <f t="shared" si="185"/>
        <v>33.056880402522843</v>
      </c>
      <c r="AO364" s="554">
        <f t="shared" si="186"/>
        <v>0.13028519429347829</v>
      </c>
      <c r="AQ364" s="558">
        <f t="shared" si="187"/>
        <v>1.9549311760958983</v>
      </c>
      <c r="AR364" s="558">
        <f t="shared" si="188"/>
        <v>66.390181584173774</v>
      </c>
      <c r="AT364" s="683">
        <f t="shared" si="174"/>
        <v>0.49791821040000001</v>
      </c>
      <c r="AU364" s="266">
        <f t="shared" si="168"/>
        <v>0.13028519429347829</v>
      </c>
      <c r="AW364" s="871"/>
      <c r="AY364" s="90"/>
      <c r="AZ364" s="543">
        <v>1933</v>
      </c>
      <c r="BA364" s="293"/>
      <c r="BB364" s="130">
        <v>4.5467000000000001E-4</v>
      </c>
    </row>
    <row r="365" spans="2:54">
      <c r="B365" s="991"/>
      <c r="C365" s="945"/>
      <c r="D365" s="871"/>
      <c r="E365" s="899"/>
      <c r="F365" s="871"/>
      <c r="G365" s="871"/>
      <c r="H365" s="871"/>
      <c r="I365" s="917"/>
      <c r="J365" s="221"/>
      <c r="K365" s="1051"/>
      <c r="L365" s="451">
        <v>32</v>
      </c>
      <c r="M365" s="65">
        <f t="shared" si="176"/>
        <v>0.28256756030720398</v>
      </c>
      <c r="N365" s="6">
        <f>CONVERT(7.5,"in","mm")</f>
        <v>190.5</v>
      </c>
      <c r="O365" s="66">
        <f t="shared" ref="O365:O366" si="198">2*N365</f>
        <v>381</v>
      </c>
      <c r="P365" s="65">
        <f t="shared" si="196"/>
        <v>7.7027119375654762E-2</v>
      </c>
      <c r="Q365" s="700">
        <f>((23.6/((3/4)*(1-0.3^2))^(1/4))^2)</f>
        <v>674.17505319043255</v>
      </c>
      <c r="R365" s="697"/>
      <c r="S365" s="871"/>
      <c r="T365" s="465" t="s">
        <v>522</v>
      </c>
      <c r="U365" s="871"/>
      <c r="V365" s="83">
        <f t="shared" si="193"/>
        <v>72705.215656460379</v>
      </c>
      <c r="W365" s="83">
        <f t="shared" si="191"/>
        <v>253.72706838859571</v>
      </c>
      <c r="X365" s="9"/>
      <c r="Y365" s="871"/>
      <c r="Z365" s="882"/>
      <c r="AA365" s="35"/>
      <c r="AB365" s="871"/>
      <c r="AC365" s="380" t="s">
        <v>750</v>
      </c>
      <c r="AD365" s="882"/>
      <c r="AE365" s="35"/>
      <c r="AF365" s="871"/>
      <c r="AG365" s="871"/>
      <c r="AH365" s="165"/>
      <c r="AI365" s="165"/>
      <c r="AJ365" s="175">
        <f t="shared" si="170"/>
        <v>6.6666666666666666E-2</v>
      </c>
      <c r="AK365" s="35"/>
      <c r="AL365" s="871"/>
      <c r="AN365" s="599">
        <f t="shared" si="185"/>
        <v>29.053004176321569</v>
      </c>
      <c r="AO365" s="554">
        <f t="shared" si="186"/>
        <v>0.11450494565217392</v>
      </c>
      <c r="AQ365" s="558">
        <f t="shared" si="187"/>
        <v>1.9716399895668035</v>
      </c>
      <c r="AR365" s="558">
        <f t="shared" si="188"/>
        <v>65.269692308658051</v>
      </c>
      <c r="AT365" s="683">
        <f t="shared" si="174"/>
        <v>0.44512243200000001</v>
      </c>
      <c r="AU365" s="266">
        <f t="shared" si="168"/>
        <v>0.11450494565217392</v>
      </c>
      <c r="AW365" s="871"/>
      <c r="AY365" s="90"/>
      <c r="AZ365" s="543">
        <v>1933</v>
      </c>
      <c r="BA365" s="293"/>
      <c r="BB365" s="130">
        <v>3.9960000000000001E-4</v>
      </c>
    </row>
    <row r="366" spans="2:54">
      <c r="B366" s="991"/>
      <c r="C366" s="945"/>
      <c r="D366" s="871"/>
      <c r="E366" s="899"/>
      <c r="F366" s="871"/>
      <c r="G366" s="871"/>
      <c r="H366" s="871"/>
      <c r="I366" s="917"/>
      <c r="J366" s="221"/>
      <c r="K366" s="1051"/>
      <c r="L366" s="451">
        <v>33</v>
      </c>
      <c r="M366" s="65">
        <f t="shared" si="176"/>
        <v>0.30274474528451134</v>
      </c>
      <c r="N366" s="6">
        <f>CONVERT(7.5,"in","mm")</f>
        <v>190.5</v>
      </c>
      <c r="O366" s="66">
        <f t="shared" si="198"/>
        <v>381</v>
      </c>
      <c r="P366" s="65">
        <f t="shared" si="196"/>
        <v>7.9729825318660213E-2</v>
      </c>
      <c r="Q366" s="700">
        <f>((22.8/((3/4)*(1-0.3^2))^(1/4))^2)</f>
        <v>629.2429611651005</v>
      </c>
      <c r="R366" s="697"/>
      <c r="S366" s="871"/>
      <c r="T366" s="465" t="s">
        <v>522</v>
      </c>
      <c r="U366" s="871"/>
      <c r="V366" s="83">
        <f t="shared" si="193"/>
        <v>72705.215656460379</v>
      </c>
      <c r="W366" s="83">
        <f t="shared" si="191"/>
        <v>253.72706838859571</v>
      </c>
      <c r="X366" s="9"/>
      <c r="Y366" s="871"/>
      <c r="Z366" s="882"/>
      <c r="AA366" s="35"/>
      <c r="AB366" s="871"/>
      <c r="AC366" s="380" t="s">
        <v>750</v>
      </c>
      <c r="AD366" s="882"/>
      <c r="AE366" s="35"/>
      <c r="AF366" s="871"/>
      <c r="AG366" s="871"/>
      <c r="AH366" s="165"/>
      <c r="AI366" s="165"/>
      <c r="AJ366" s="175">
        <f t="shared" si="170"/>
        <v>6.6666666666666666E-2</v>
      </c>
      <c r="AK366" s="35"/>
      <c r="AL366" s="871"/>
      <c r="AN366" s="599">
        <f t="shared" si="185"/>
        <v>32.611197430548735</v>
      </c>
      <c r="AO366" s="554">
        <f t="shared" si="186"/>
        <v>0.12852864945652173</v>
      </c>
      <c r="AQ366" s="558">
        <f t="shared" si="187"/>
        <v>1.904804735683183</v>
      </c>
      <c r="AR366" s="558">
        <f t="shared" si="188"/>
        <v>69.930378247595783</v>
      </c>
      <c r="AT366" s="683">
        <f t="shared" si="174"/>
        <v>0.46633806719999993</v>
      </c>
      <c r="AU366" s="266">
        <f t="shared" si="168"/>
        <v>0.12852864945652173</v>
      </c>
      <c r="AW366" s="871"/>
      <c r="AY366" s="90"/>
      <c r="AZ366" s="543">
        <v>1933</v>
      </c>
      <c r="BA366" s="293"/>
      <c r="BB366" s="130">
        <v>4.4853999999999998E-4</v>
      </c>
    </row>
    <row r="367" spans="2:54">
      <c r="B367" s="991"/>
      <c r="C367" s="945"/>
      <c r="D367" s="871"/>
      <c r="E367" s="899"/>
      <c r="F367" s="871"/>
      <c r="G367" s="871"/>
      <c r="H367" s="871"/>
      <c r="I367" s="917"/>
      <c r="J367" s="221"/>
      <c r="K367" s="1051"/>
      <c r="L367" s="451">
        <v>34</v>
      </c>
      <c r="M367" s="65">
        <f t="shared" si="176"/>
        <v>0.30010645942812003</v>
      </c>
      <c r="N367" s="6">
        <f t="shared" si="189"/>
        <v>190.5</v>
      </c>
      <c r="O367" s="66">
        <f>2.5*N367</f>
        <v>476.25</v>
      </c>
      <c r="P367" s="65">
        <f t="shared" si="196"/>
        <v>9.922707517824525E-2</v>
      </c>
      <c r="Q367" s="700">
        <f>((22.9/((3/4)*(1-0.3^2))^(1/4))^2)</f>
        <v>634.77474081369314</v>
      </c>
      <c r="R367" s="697"/>
      <c r="S367" s="871"/>
      <c r="T367" s="465" t="s">
        <v>522</v>
      </c>
      <c r="U367" s="871"/>
      <c r="V367" s="83">
        <f t="shared" si="193"/>
        <v>72705.215656460379</v>
      </c>
      <c r="W367" s="83">
        <f t="shared" si="191"/>
        <v>253.72706838859571</v>
      </c>
      <c r="X367" s="9"/>
      <c r="Y367" s="871"/>
      <c r="Z367" s="882"/>
      <c r="AA367" s="35"/>
      <c r="AB367" s="871"/>
      <c r="AC367" s="380" t="s">
        <v>750</v>
      </c>
      <c r="AD367" s="882"/>
      <c r="AE367" s="35"/>
      <c r="AF367" s="871"/>
      <c r="AG367" s="871"/>
      <c r="AH367" s="165"/>
      <c r="AI367" s="165"/>
      <c r="AJ367" s="175">
        <f t="shared" si="170"/>
        <v>6.6666666666666666E-2</v>
      </c>
      <c r="AK367" s="35"/>
      <c r="AL367" s="871"/>
      <c r="AN367" s="599">
        <f t="shared" si="185"/>
        <v>28.861062406988513</v>
      </c>
      <c r="AO367" s="554">
        <f t="shared" si="186"/>
        <v>0.11374845652173914</v>
      </c>
      <c r="AQ367" s="558">
        <f t="shared" si="187"/>
        <v>1.9131591424186352</v>
      </c>
      <c r="AR367" s="558">
        <f t="shared" si="188"/>
        <v>69.320966091856008</v>
      </c>
      <c r="AT367" s="683">
        <f t="shared" si="174"/>
        <v>0.41633958719999981</v>
      </c>
      <c r="AU367" s="266">
        <f t="shared" si="168"/>
        <v>0.11374845652173914</v>
      </c>
      <c r="AW367" s="871"/>
      <c r="AY367" s="90"/>
      <c r="AZ367" s="543">
        <v>1933</v>
      </c>
      <c r="BA367" s="293"/>
      <c r="BB367" s="130">
        <v>3.9696000000000002E-4</v>
      </c>
    </row>
    <row r="368" spans="2:54">
      <c r="B368" s="991"/>
      <c r="C368" s="945"/>
      <c r="D368" s="871"/>
      <c r="E368" s="899"/>
      <c r="F368" s="871"/>
      <c r="G368" s="871"/>
      <c r="H368" s="871"/>
      <c r="I368" s="917"/>
      <c r="J368" s="221"/>
      <c r="K368" s="1051"/>
      <c r="L368" s="451">
        <v>35</v>
      </c>
      <c r="M368" s="65">
        <f t="shared" si="176"/>
        <v>0.29239526677448796</v>
      </c>
      <c r="N368" s="6">
        <f t="shared" si="189"/>
        <v>190.5</v>
      </c>
      <c r="O368" s="66">
        <f>2.5*N368</f>
        <v>476.25</v>
      </c>
      <c r="P368" s="65">
        <f t="shared" si="196"/>
        <v>9.7943966447492078E-2</v>
      </c>
      <c r="Q368" s="700">
        <f>((23.2/((3/4)*(1-0.3^2))^(1/4))^2)</f>
        <v>651.51533436731233</v>
      </c>
      <c r="R368" s="697"/>
      <c r="S368" s="871"/>
      <c r="T368" s="465" t="s">
        <v>522</v>
      </c>
      <c r="U368" s="871"/>
      <c r="V368" s="83">
        <f t="shared" si="193"/>
        <v>72705.215656460379</v>
      </c>
      <c r="W368" s="83">
        <f t="shared" si="191"/>
        <v>253.72706838859571</v>
      </c>
      <c r="X368" s="9"/>
      <c r="Y368" s="871"/>
      <c r="Z368" s="882"/>
      <c r="AA368" s="35"/>
      <c r="AB368" s="871"/>
      <c r="AC368" s="380" t="s">
        <v>750</v>
      </c>
      <c r="AD368" s="882"/>
      <c r="AE368" s="35"/>
      <c r="AF368" s="871"/>
      <c r="AG368" s="871"/>
      <c r="AH368" s="165"/>
      <c r="AI368" s="165"/>
      <c r="AJ368" s="175">
        <f t="shared" si="170"/>
        <v>6.6666666666666666E-2</v>
      </c>
      <c r="AK368" s="35"/>
      <c r="AL368" s="871"/>
      <c r="AN368" s="599">
        <f t="shared" si="185"/>
        <v>33.056880402522843</v>
      </c>
      <c r="AO368" s="554">
        <f t="shared" si="186"/>
        <v>0.13028519429347829</v>
      </c>
      <c r="AQ368" s="558">
        <f t="shared" si="187"/>
        <v>1.9382223626249933</v>
      </c>
      <c r="AR368" s="558">
        <f t="shared" si="188"/>
        <v>67.539773759345636</v>
      </c>
      <c r="AT368" s="683">
        <f t="shared" si="174"/>
        <v>0.48944316159999995</v>
      </c>
      <c r="AU368" s="266">
        <f t="shared" si="168"/>
        <v>0.13028519429347829</v>
      </c>
      <c r="AW368" s="871"/>
      <c r="AY368" s="90"/>
      <c r="AZ368" s="543">
        <v>1933</v>
      </c>
      <c r="BA368" s="293"/>
      <c r="BB368" s="130">
        <v>4.5467000000000001E-4</v>
      </c>
    </row>
    <row r="369" spans="2:54">
      <c r="B369" s="991"/>
      <c r="C369" s="945"/>
      <c r="D369" s="871"/>
      <c r="E369" s="899"/>
      <c r="F369" s="871"/>
      <c r="G369" s="871"/>
      <c r="H369" s="871"/>
      <c r="I369" s="917"/>
      <c r="J369" s="221"/>
      <c r="K369" s="1051"/>
      <c r="L369" s="451">
        <v>36</v>
      </c>
      <c r="M369" s="65">
        <f t="shared" si="176"/>
        <v>0.2975025111317588</v>
      </c>
      <c r="N369" s="6">
        <f t="shared" ref="N369:N378" si="199">CONVERT(7.5,"in","mm")</f>
        <v>190.5</v>
      </c>
      <c r="O369" s="66">
        <f>3*N369</f>
        <v>571.5</v>
      </c>
      <c r="P369" s="65">
        <f t="shared" si="196"/>
        <v>0.11855478373470343</v>
      </c>
      <c r="Q369" s="700">
        <f>((23/((3/4)*(1-0.3^2))^(1/4))^2)</f>
        <v>640.33072956359285</v>
      </c>
      <c r="R369" s="697"/>
      <c r="S369" s="871"/>
      <c r="T369" s="465" t="s">
        <v>522</v>
      </c>
      <c r="U369" s="871"/>
      <c r="V369" s="83">
        <f t="shared" si="193"/>
        <v>72705.215656460379</v>
      </c>
      <c r="W369" s="83">
        <f t="shared" si="191"/>
        <v>253.72706838859571</v>
      </c>
      <c r="X369" s="9"/>
      <c r="Y369" s="871"/>
      <c r="Z369" s="882"/>
      <c r="AA369" s="35"/>
      <c r="AB369" s="871"/>
      <c r="AC369" s="380" t="s">
        <v>750</v>
      </c>
      <c r="AD369" s="882"/>
      <c r="AE369" s="35"/>
      <c r="AF369" s="871"/>
      <c r="AG369" s="871"/>
      <c r="AH369" s="165"/>
      <c r="AI369" s="165"/>
      <c r="AJ369" s="175">
        <f t="shared" si="170"/>
        <v>6.6666666666666666E-2</v>
      </c>
      <c r="AK369" s="35"/>
      <c r="AL369" s="871"/>
      <c r="AN369" s="599">
        <f t="shared" si="185"/>
        <v>35.139157778923867</v>
      </c>
      <c r="AO369" s="554">
        <f t="shared" si="186"/>
        <v>0.1384919551630435</v>
      </c>
      <c r="AQ369" s="558">
        <f t="shared" si="187"/>
        <v>1.9215135491540878</v>
      </c>
      <c r="AR369" s="558">
        <f t="shared" si="188"/>
        <v>68.719485497599621</v>
      </c>
      <c r="AT369" s="683">
        <f t="shared" si="174"/>
        <v>0.51134197999999986</v>
      </c>
      <c r="AU369" s="266">
        <f t="shared" si="168"/>
        <v>0.1384919551630435</v>
      </c>
      <c r="AW369" s="871"/>
      <c r="AY369" s="90"/>
      <c r="AZ369" s="543">
        <v>1933</v>
      </c>
      <c r="BA369" s="293"/>
      <c r="BB369" s="130">
        <v>4.8330999999999998E-4</v>
      </c>
    </row>
    <row r="370" spans="2:54">
      <c r="B370" s="991"/>
      <c r="C370" s="945"/>
      <c r="D370" s="871"/>
      <c r="E370" s="899"/>
      <c r="F370" s="871"/>
      <c r="G370" s="871"/>
      <c r="H370" s="871"/>
      <c r="I370" s="917"/>
      <c r="J370" s="221"/>
      <c r="K370" s="1051"/>
      <c r="L370" s="451">
        <v>37</v>
      </c>
      <c r="M370" s="65">
        <f t="shared" si="176"/>
        <v>0.41388252041735801</v>
      </c>
      <c r="N370" s="6">
        <f t="shared" si="199"/>
        <v>190.5</v>
      </c>
      <c r="O370" s="66">
        <f>1*N370</f>
        <v>190.5</v>
      </c>
      <c r="P370" s="65">
        <f t="shared" si="196"/>
        <v>4.6611282493985967E-2</v>
      </c>
      <c r="Q370" s="700">
        <f>((19.5/((3/4)*(1-0.3^2))^(1/4))^2)</f>
        <v>460.27553859462421</v>
      </c>
      <c r="R370" s="697"/>
      <c r="S370" s="871"/>
      <c r="T370" s="465" t="s">
        <v>522</v>
      </c>
      <c r="U370" s="871"/>
      <c r="V370" s="83">
        <f>CONVERT(AVERAGE(10340000,10380000,10270000,10440000),"psi","Pa")/(10^6)</f>
        <v>71412.448663991308</v>
      </c>
      <c r="W370" s="83">
        <f>CONVERT(AVERAGE(36800,35800,36500,35800),"psi","Pa")/(10^6)</f>
        <v>249.76258294502389</v>
      </c>
      <c r="X370" s="9"/>
      <c r="Y370" s="871"/>
      <c r="Z370" s="882"/>
      <c r="AA370" s="35"/>
      <c r="AB370" s="871"/>
      <c r="AC370" s="380" t="s">
        <v>750</v>
      </c>
      <c r="AD370" s="882"/>
      <c r="AE370" s="35"/>
      <c r="AF370" s="871"/>
      <c r="AG370" s="871"/>
      <c r="AH370" s="165"/>
      <c r="AI370" s="165"/>
      <c r="AJ370" s="175">
        <f t="shared" si="170"/>
        <v>6.6666666666666666E-2</v>
      </c>
      <c r="AK370" s="35"/>
      <c r="AL370" s="871"/>
      <c r="AN370" s="599">
        <f>BB370*$V$370</f>
        <v>51.864004966710326</v>
      </c>
      <c r="AO370" s="554">
        <f>AN370/$W$370</f>
        <v>0.20765322153209109</v>
      </c>
      <c r="AQ370" s="558">
        <f>SQRT($W$370/AR370)</f>
        <v>1.6308962543106174</v>
      </c>
      <c r="AR370" s="558">
        <f>$V$370*M370/N370/SQRT(3*(1-0.3^2))</f>
        <v>93.901970629837379</v>
      </c>
      <c r="AT370" s="683">
        <f t="shared" si="174"/>
        <v>0.55232072999999982</v>
      </c>
      <c r="AU370" s="266">
        <f t="shared" si="168"/>
        <v>0.20765322153209109</v>
      </c>
      <c r="AW370" s="871"/>
      <c r="AY370" s="90"/>
      <c r="AZ370" s="543">
        <v>1933</v>
      </c>
      <c r="BA370" s="293"/>
      <c r="BB370" s="130">
        <v>7.2625999999999995E-4</v>
      </c>
    </row>
    <row r="371" spans="2:54">
      <c r="B371" s="991"/>
      <c r="C371" s="945"/>
      <c r="D371" s="871"/>
      <c r="E371" s="899"/>
      <c r="F371" s="871"/>
      <c r="G371" s="871"/>
      <c r="H371" s="871"/>
      <c r="I371" s="917"/>
      <c r="J371" s="221"/>
      <c r="K371" s="1051"/>
      <c r="L371" s="451">
        <v>38</v>
      </c>
      <c r="M371" s="65">
        <f t="shared" si="176"/>
        <v>0.41388252041735801</v>
      </c>
      <c r="N371" s="6">
        <f t="shared" si="199"/>
        <v>190.5</v>
      </c>
      <c r="O371" s="66">
        <f t="shared" ref="O371:O373" si="200">1*N371</f>
        <v>190.5</v>
      </c>
      <c r="P371" s="65">
        <f t="shared" si="196"/>
        <v>4.6611282493985967E-2</v>
      </c>
      <c r="Q371" s="700">
        <f>((19.5/((3/4)*(1-0.3^2))^(1/4))^2)</f>
        <v>460.27553859462421</v>
      </c>
      <c r="R371" s="697"/>
      <c r="S371" s="871"/>
      <c r="T371" s="465" t="s">
        <v>522</v>
      </c>
      <c r="U371" s="871"/>
      <c r="V371" s="83">
        <f>CONVERT(AVERAGE(10340000,10380000,10270000,10440000),"psi","Pa")/(10^6)</f>
        <v>71412.448663991308</v>
      </c>
      <c r="W371" s="83">
        <f>CONVERT(AVERAGE(36800,35800,36500,35800),"psi","Pa")/(10^6)</f>
        <v>249.76258294502389</v>
      </c>
      <c r="X371" s="9"/>
      <c r="Y371" s="871"/>
      <c r="Z371" s="882"/>
      <c r="AA371" s="35"/>
      <c r="AB371" s="871"/>
      <c r="AC371" s="380" t="s">
        <v>750</v>
      </c>
      <c r="AD371" s="882"/>
      <c r="AE371" s="35"/>
      <c r="AF371" s="871"/>
      <c r="AG371" s="871"/>
      <c r="AH371" s="165"/>
      <c r="AI371" s="165"/>
      <c r="AJ371" s="175">
        <f t="shared" si="170"/>
        <v>6.6666666666666666E-2</v>
      </c>
      <c r="AK371" s="35"/>
      <c r="AL371" s="871"/>
      <c r="AN371" s="599">
        <f>BB371*$V$370</f>
        <v>47.483993840353087</v>
      </c>
      <c r="AO371" s="554">
        <f>AN371/$W$370</f>
        <v>0.19011652298136647</v>
      </c>
      <c r="AQ371" s="558">
        <f>SQRT($W$370/AR371)</f>
        <v>1.6308962543106174</v>
      </c>
      <c r="AR371" s="558">
        <f>$V$370*M371/N371/SQRT(3*(1-0.3^2))</f>
        <v>93.901970629837379</v>
      </c>
      <c r="AT371" s="683">
        <f t="shared" si="174"/>
        <v>0.50567622299999992</v>
      </c>
      <c r="AU371" s="266">
        <f t="shared" si="168"/>
        <v>0.19011652298136647</v>
      </c>
      <c r="AW371" s="871"/>
      <c r="AY371" s="90"/>
      <c r="AZ371" s="543">
        <v>1933</v>
      </c>
      <c r="BA371" s="293"/>
      <c r="BB371" s="130">
        <v>6.6492600000000004E-4</v>
      </c>
    </row>
    <row r="372" spans="2:54">
      <c r="B372" s="991"/>
      <c r="C372" s="945"/>
      <c r="D372" s="871"/>
      <c r="E372" s="899"/>
      <c r="F372" s="871"/>
      <c r="G372" s="871"/>
      <c r="H372" s="871"/>
      <c r="I372" s="917"/>
      <c r="J372" s="221"/>
      <c r="K372" s="1051"/>
      <c r="L372" s="451">
        <v>39</v>
      </c>
      <c r="M372" s="65">
        <f t="shared" si="176"/>
        <v>0.41388252041735801</v>
      </c>
      <c r="N372" s="6">
        <f t="shared" si="199"/>
        <v>190.5</v>
      </c>
      <c r="O372" s="66">
        <f t="shared" si="200"/>
        <v>190.5</v>
      </c>
      <c r="P372" s="65">
        <f t="shared" si="196"/>
        <v>4.6611282493985967E-2</v>
      </c>
      <c r="Q372" s="700">
        <f>((19.5/((3/4)*(1-0.3^2))^(1/4))^2)</f>
        <v>460.27553859462421</v>
      </c>
      <c r="R372" s="697"/>
      <c r="S372" s="871"/>
      <c r="T372" s="465" t="s">
        <v>522</v>
      </c>
      <c r="U372" s="871"/>
      <c r="V372" s="83">
        <f>CONVERT(AVERAGE(10340000,10380000,10270000,10440000),"psi","Pa")/(10^6)</f>
        <v>71412.448663991308</v>
      </c>
      <c r="W372" s="83">
        <f>CONVERT(AVERAGE(36800,35800,36500,35800),"psi","Pa")/(10^6)</f>
        <v>249.76258294502389</v>
      </c>
      <c r="X372" s="9"/>
      <c r="Y372" s="871"/>
      <c r="Z372" s="882"/>
      <c r="AA372" s="35"/>
      <c r="AB372" s="871"/>
      <c r="AC372" s="380" t="s">
        <v>750</v>
      </c>
      <c r="AD372" s="882"/>
      <c r="AE372" s="35"/>
      <c r="AF372" s="871"/>
      <c r="AG372" s="871"/>
      <c r="AH372" s="165"/>
      <c r="AI372" s="165"/>
      <c r="AJ372" s="175">
        <f t="shared" si="170"/>
        <v>6.6666666666666666E-2</v>
      </c>
      <c r="AK372" s="35"/>
      <c r="AL372" s="871"/>
      <c r="AN372" s="599">
        <f>BB372*$V$370</f>
        <v>41.454926449446951</v>
      </c>
      <c r="AO372" s="554">
        <f>AN372/$W$370</f>
        <v>0.16597732919254657</v>
      </c>
      <c r="AQ372" s="558">
        <f>SQRT($W$370/AR372)</f>
        <v>1.6308962543106174</v>
      </c>
      <c r="AR372" s="558">
        <f>$V$370*M372/N372/SQRT(3*(1-0.3^2))</f>
        <v>93.901970629837379</v>
      </c>
      <c r="AT372" s="683">
        <f t="shared" si="174"/>
        <v>0.44147024999999984</v>
      </c>
      <c r="AU372" s="266">
        <f t="shared" si="168"/>
        <v>0.16597732919254657</v>
      </c>
      <c r="AW372" s="871"/>
      <c r="AY372" s="90"/>
      <c r="AZ372" s="543">
        <v>1933</v>
      </c>
      <c r="BA372" s="293"/>
      <c r="BB372" s="130">
        <v>5.8049999999999996E-4</v>
      </c>
    </row>
    <row r="373" spans="2:54">
      <c r="B373" s="991"/>
      <c r="C373" s="945"/>
      <c r="D373" s="871"/>
      <c r="E373" s="899"/>
      <c r="F373" s="871"/>
      <c r="G373" s="871"/>
      <c r="H373" s="871"/>
      <c r="I373" s="917"/>
      <c r="J373" s="221"/>
      <c r="K373" s="1051"/>
      <c r="L373" s="451">
        <v>40</v>
      </c>
      <c r="M373" s="65">
        <f t="shared" si="176"/>
        <v>0.41816034750956643</v>
      </c>
      <c r="N373" s="6">
        <f t="shared" si="199"/>
        <v>190.5</v>
      </c>
      <c r="O373" s="66">
        <f t="shared" si="200"/>
        <v>190.5</v>
      </c>
      <c r="P373" s="65">
        <f t="shared" si="196"/>
        <v>4.6851546836738478E-2</v>
      </c>
      <c r="Q373" s="700">
        <f>((19.4/((3/4)*(1-0.3^2))^(1/4))^2)</f>
        <v>455.5668683904608</v>
      </c>
      <c r="R373" s="697"/>
      <c r="S373" s="871"/>
      <c r="T373" s="465" t="s">
        <v>522</v>
      </c>
      <c r="U373" s="871"/>
      <c r="V373" s="83">
        <f>CONVERT(AVERAGE(10340000,10380000,10270000,10440000),"psi","Pa")/(10^6)</f>
        <v>71412.448663991308</v>
      </c>
      <c r="W373" s="83">
        <f>CONVERT(AVERAGE(36800,35800,36500,35800),"psi","Pa")/(10^6)</f>
        <v>249.76258294502389</v>
      </c>
      <c r="X373" s="9"/>
      <c r="Y373" s="871"/>
      <c r="Z373" s="882"/>
      <c r="AA373" s="35"/>
      <c r="AB373" s="871"/>
      <c r="AC373" s="380" t="s">
        <v>750</v>
      </c>
      <c r="AD373" s="882"/>
      <c r="AE373" s="35"/>
      <c r="AF373" s="871"/>
      <c r="AG373" s="871"/>
      <c r="AH373" s="165"/>
      <c r="AI373" s="165"/>
      <c r="AJ373" s="175">
        <f t="shared" si="170"/>
        <v>6.6666666666666666E-2</v>
      </c>
      <c r="AK373" s="35"/>
      <c r="AL373" s="871"/>
      <c r="AN373" s="599">
        <f>BB373*$V$370</f>
        <v>40.345891121695175</v>
      </c>
      <c r="AO373" s="554">
        <f>AN373/$W$370</f>
        <v>0.1615369710144928</v>
      </c>
      <c r="AQ373" s="558">
        <f>SQRT($W$370/AR373)</f>
        <v>1.6225326837756908</v>
      </c>
      <c r="AR373" s="558">
        <f>$V$370*M373/N373/SQRT(3*(1-0.3^2))</f>
        <v>94.872527186724597</v>
      </c>
      <c r="AT373" s="683">
        <f t="shared" si="174"/>
        <v>0.42526421839999989</v>
      </c>
      <c r="AU373" s="266">
        <f t="shared" si="168"/>
        <v>0.1615369710144928</v>
      </c>
      <c r="AW373" s="871"/>
      <c r="AY373" s="90"/>
      <c r="AZ373" s="543">
        <v>1933</v>
      </c>
      <c r="BA373" s="293"/>
      <c r="BB373" s="130">
        <v>5.6497000000000003E-4</v>
      </c>
    </row>
    <row r="374" spans="2:54">
      <c r="B374" s="991"/>
      <c r="C374" s="945"/>
      <c r="D374" s="871"/>
      <c r="E374" s="899"/>
      <c r="F374" s="871"/>
      <c r="G374" s="871"/>
      <c r="H374" s="871"/>
      <c r="I374" s="917"/>
      <c r="J374" s="221"/>
      <c r="K374" s="1051"/>
      <c r="L374" s="451">
        <v>41</v>
      </c>
      <c r="M374" s="65">
        <f t="shared" si="176"/>
        <v>0.53197278389906844</v>
      </c>
      <c r="N374" s="6">
        <f t="shared" si="199"/>
        <v>190.5</v>
      </c>
      <c r="O374" s="66">
        <f>0.5*N374</f>
        <v>95.25</v>
      </c>
      <c r="P374" s="65">
        <f t="shared" si="196"/>
        <v>2.6422093274207165E-2</v>
      </c>
      <c r="Q374" s="700">
        <f>((17.2/((3/4)*(1-0.3^2))^(1/4))^2)</f>
        <v>358.10102652947694</v>
      </c>
      <c r="R374" s="697"/>
      <c r="S374" s="871"/>
      <c r="T374" s="465" t="s">
        <v>522</v>
      </c>
      <c r="U374" s="871"/>
      <c r="V374" s="83">
        <f>CONVERT(AVERAGE(10070000,10060000,10350000,10190000,10130000),"psi","Pa")/(10^6)</f>
        <v>70050.734098590561</v>
      </c>
      <c r="W374" s="83">
        <f>CONVERT(AVERAGE(37900,39050,38750,41000,33750),"psi","Pa")/(10^6)</f>
        <v>262.62130529678291</v>
      </c>
      <c r="X374" s="9"/>
      <c r="Y374" s="871"/>
      <c r="Z374" s="882"/>
      <c r="AA374" s="241" t="s">
        <v>400</v>
      </c>
      <c r="AB374" s="871"/>
      <c r="AC374" s="380" t="s">
        <v>750</v>
      </c>
      <c r="AD374" s="882"/>
      <c r="AE374" s="35"/>
      <c r="AF374" s="871"/>
      <c r="AG374" s="871"/>
      <c r="AH374" s="165"/>
      <c r="AI374" s="165"/>
      <c r="AJ374" s="175">
        <f t="shared" si="170"/>
        <v>6.6666666666666666E-2</v>
      </c>
      <c r="AK374" s="35"/>
      <c r="AL374" s="871"/>
      <c r="AN374" s="599">
        <f>BB374*$V$374</f>
        <v>63.647389489564986</v>
      </c>
      <c r="AO374" s="554">
        <f>AN374/$W$374</f>
        <v>0.24235425003938041</v>
      </c>
      <c r="AQ374" s="558">
        <f>SQRT($W$374/AR374)</f>
        <v>1.4893682008809219</v>
      </c>
      <c r="AR374" s="558">
        <f>$V$374*M374/N374/SQRT(3*(1-0.3^2))</f>
        <v>118.39293891730426</v>
      </c>
      <c r="AT374" s="683">
        <f t="shared" si="174"/>
        <v>0.53759447203199984</v>
      </c>
      <c r="AU374" s="266">
        <f t="shared" si="168"/>
        <v>0.24235425003938041</v>
      </c>
      <c r="AW374" s="871"/>
      <c r="AY374" s="90"/>
      <c r="AZ374" s="543">
        <v>1933</v>
      </c>
      <c r="BA374" s="293"/>
      <c r="BB374" s="130">
        <v>9.0858989999999999E-4</v>
      </c>
    </row>
    <row r="375" spans="2:54">
      <c r="B375" s="991"/>
      <c r="C375" s="945"/>
      <c r="D375" s="871"/>
      <c r="E375" s="899"/>
      <c r="F375" s="871"/>
      <c r="G375" s="871"/>
      <c r="H375" s="871"/>
      <c r="I375" s="917"/>
      <c r="J375" s="221"/>
      <c r="K375" s="1051"/>
      <c r="L375" s="451">
        <v>42</v>
      </c>
      <c r="M375" s="65">
        <f t="shared" si="176"/>
        <v>0.55102702422429328</v>
      </c>
      <c r="N375" s="6">
        <f t="shared" si="199"/>
        <v>190.5</v>
      </c>
      <c r="O375" s="66">
        <f>1*N375</f>
        <v>190.5</v>
      </c>
      <c r="P375" s="65">
        <f t="shared" si="196"/>
        <v>5.3782249031522275E-2</v>
      </c>
      <c r="Q375" s="700">
        <f>((16.9/((3/4)*(1-0.3^2))^(1/4))^2)</f>
        <v>345.71807121107321</v>
      </c>
      <c r="R375" s="697"/>
      <c r="S375" s="871"/>
      <c r="T375" s="465" t="s">
        <v>522</v>
      </c>
      <c r="U375" s="871"/>
      <c r="V375" s="83">
        <f>CONVERT(AVERAGE(10070000,10060000,10350000,10190000,10130000),"psi","Pa")/(10^6)</f>
        <v>70050.734098590561</v>
      </c>
      <c r="W375" s="83">
        <f t="shared" ref="W375:W377" si="201">CONVERT(AVERAGE(37900,39050,38750,41000,33750),"psi","Pa")/(10^6)</f>
        <v>262.62130529678291</v>
      </c>
      <c r="X375" s="9"/>
      <c r="Y375" s="871"/>
      <c r="Z375" s="882"/>
      <c r="AA375" s="241" t="s">
        <v>401</v>
      </c>
      <c r="AB375" s="871"/>
      <c r="AC375" s="380" t="s">
        <v>750</v>
      </c>
      <c r="AD375" s="882"/>
      <c r="AE375" s="35"/>
      <c r="AF375" s="871"/>
      <c r="AG375" s="871"/>
      <c r="AH375" s="165"/>
      <c r="AI375" s="165"/>
      <c r="AJ375" s="175">
        <f t="shared" si="170"/>
        <v>6.6666666666666666E-2</v>
      </c>
      <c r="AK375" s="35"/>
      <c r="AL375" s="871"/>
      <c r="AN375" s="599">
        <f>BB375*$V$374</f>
        <v>58.667489807569595</v>
      </c>
      <c r="AO375" s="554">
        <f>AN375/$W$374</f>
        <v>0.22339196639537937</v>
      </c>
      <c r="AQ375" s="558">
        <f>SQRT($W$374/AR375)</f>
        <v>1.4633908485399758</v>
      </c>
      <c r="AR375" s="558">
        <f>$V$374*M375/N375/SQRT(3*(1-0.3^2))</f>
        <v>122.63354591679315</v>
      </c>
      <c r="AT375" s="683">
        <f t="shared" si="174"/>
        <v>0.47839674999999982</v>
      </c>
      <c r="AU375" s="266">
        <f t="shared" si="168"/>
        <v>0.22339196639537937</v>
      </c>
      <c r="AW375" s="871"/>
      <c r="AY375" s="90"/>
      <c r="AZ375" s="543">
        <v>1933</v>
      </c>
      <c r="BA375" s="293"/>
      <c r="BB375" s="130">
        <v>8.3750000000000003E-4</v>
      </c>
    </row>
    <row r="376" spans="2:54">
      <c r="B376" s="991"/>
      <c r="C376" s="945"/>
      <c r="D376" s="871"/>
      <c r="E376" s="899"/>
      <c r="F376" s="871"/>
      <c r="G376" s="871"/>
      <c r="H376" s="871"/>
      <c r="I376" s="917"/>
      <c r="J376" s="221"/>
      <c r="K376" s="1051"/>
      <c r="L376" s="451">
        <v>43</v>
      </c>
      <c r="M376" s="65">
        <f t="shared" si="176"/>
        <v>0.53197278389906844</v>
      </c>
      <c r="N376" s="6">
        <f t="shared" si="199"/>
        <v>190.5</v>
      </c>
      <c r="O376" s="66">
        <f t="shared" ref="O376:O378" si="202">1*N376</f>
        <v>190.5</v>
      </c>
      <c r="P376" s="65">
        <f t="shared" si="196"/>
        <v>5.2844186548414329E-2</v>
      </c>
      <c r="Q376" s="700">
        <f>((17.2/((3/4)*(1-0.3^2))^(1/4))^2)</f>
        <v>358.10102652947694</v>
      </c>
      <c r="R376" s="697"/>
      <c r="S376" s="871"/>
      <c r="T376" s="465" t="s">
        <v>522</v>
      </c>
      <c r="U376" s="871"/>
      <c r="V376" s="83">
        <f>CONVERT(AVERAGE(10070000,10060000,10350000,10190000,10130000),"psi","Pa")/(10^6)</f>
        <v>70050.734098590561</v>
      </c>
      <c r="W376" s="83">
        <f t="shared" si="201"/>
        <v>262.62130529678291</v>
      </c>
      <c r="X376" s="9"/>
      <c r="Y376" s="871"/>
      <c r="Z376" s="882"/>
      <c r="AA376" s="241" t="s">
        <v>402</v>
      </c>
      <c r="AB376" s="871"/>
      <c r="AC376" s="380" t="s">
        <v>750</v>
      </c>
      <c r="AD376" s="882"/>
      <c r="AE376" s="35"/>
      <c r="AF376" s="871"/>
      <c r="AG376" s="871"/>
      <c r="AH376" s="165"/>
      <c r="AI376" s="165"/>
      <c r="AJ376" s="175">
        <f t="shared" si="170"/>
        <v>6.6666666666666666E-2</v>
      </c>
      <c r="AK376" s="35"/>
      <c r="AL376" s="871"/>
      <c r="AN376" s="599">
        <f>BB376*$V$374</f>
        <v>52.98917730153785</v>
      </c>
      <c r="AO376" s="554">
        <f>AN376/$W$374</f>
        <v>0.20177029141506961</v>
      </c>
      <c r="AQ376" s="558">
        <f>SQRT($W$374/AR376)</f>
        <v>1.4893682008809219</v>
      </c>
      <c r="AR376" s="558">
        <f>$V$374*M376/N376/SQRT(3*(1-0.3^2))</f>
        <v>118.39293891730426</v>
      </c>
      <c r="AT376" s="683">
        <f t="shared" si="174"/>
        <v>0.4475704191999999</v>
      </c>
      <c r="AU376" s="266">
        <f t="shared" si="168"/>
        <v>0.20177029141506961</v>
      </c>
      <c r="AW376" s="871"/>
      <c r="AY376" s="90"/>
      <c r="AZ376" s="543">
        <v>1933</v>
      </c>
      <c r="BA376" s="293"/>
      <c r="BB376" s="130">
        <v>7.5644000000000004E-4</v>
      </c>
    </row>
    <row r="377" spans="2:54">
      <c r="B377" s="991"/>
      <c r="C377" s="945"/>
      <c r="D377" s="871"/>
      <c r="E377" s="899"/>
      <c r="F377" s="871"/>
      <c r="G377" s="871"/>
      <c r="H377" s="871"/>
      <c r="I377" s="917"/>
      <c r="J377" s="221"/>
      <c r="K377" s="1051"/>
      <c r="L377" s="451">
        <v>44</v>
      </c>
      <c r="M377" s="65">
        <f t="shared" si="176"/>
        <v>0.52584058401116085</v>
      </c>
      <c r="N377" s="6">
        <f t="shared" si="199"/>
        <v>190.5</v>
      </c>
      <c r="O377" s="66">
        <f t="shared" si="202"/>
        <v>190.5</v>
      </c>
      <c r="P377" s="65">
        <f t="shared" si="196"/>
        <v>5.2538728822700942E-2</v>
      </c>
      <c r="Q377" s="700">
        <f>((17.3/((3/4)*(1-0.3^2))^(1/4))^2)</f>
        <v>362.2770965048918</v>
      </c>
      <c r="R377" s="697"/>
      <c r="S377" s="871"/>
      <c r="T377" s="465" t="s">
        <v>522</v>
      </c>
      <c r="U377" s="871"/>
      <c r="V377" s="83">
        <f>CONVERT(AVERAGE(10070000,10060000,10350000,10190000,10130000),"psi","Pa")/(10^6)</f>
        <v>70050.734098590561</v>
      </c>
      <c r="W377" s="83">
        <f t="shared" si="201"/>
        <v>262.62130529678291</v>
      </c>
      <c r="X377" s="9"/>
      <c r="Y377" s="871"/>
      <c r="Z377" s="882"/>
      <c r="AA377" s="35"/>
      <c r="AB377" s="871"/>
      <c r="AC377" s="380" t="s">
        <v>750</v>
      </c>
      <c r="AD377" s="882"/>
      <c r="AE377" s="35"/>
      <c r="AF377" s="871"/>
      <c r="AG377" s="871"/>
      <c r="AH377" s="165"/>
      <c r="AI377" s="165"/>
      <c r="AJ377" s="175">
        <f t="shared" si="170"/>
        <v>6.6666666666666666E-2</v>
      </c>
      <c r="AK377" s="35"/>
      <c r="AL377" s="871"/>
      <c r="AN377" s="599">
        <f>BB377*$V$374</f>
        <v>59.470271220339441</v>
      </c>
      <c r="AO377" s="554">
        <f>AN377/$W$374</f>
        <v>0.22644876870569705</v>
      </c>
      <c r="AQ377" s="558">
        <f>SQRT($W$374/AR377)</f>
        <v>1.4980273183279045</v>
      </c>
      <c r="AR377" s="558">
        <f>$V$374*M377/N377/SQRT(3*(1-0.3^2))</f>
        <v>117.02819021449189</v>
      </c>
      <c r="AT377" s="683">
        <f t="shared" si="174"/>
        <v>0.50817047680000005</v>
      </c>
      <c r="AU377" s="266">
        <f t="shared" si="168"/>
        <v>0.22644876870569705</v>
      </c>
      <c r="AW377" s="871"/>
      <c r="AY377" s="90"/>
      <c r="AZ377" s="543">
        <v>1933</v>
      </c>
      <c r="BA377" s="293"/>
      <c r="BB377" s="130">
        <v>8.4895999999999995E-4</v>
      </c>
    </row>
    <row r="378" spans="2:54" ht="16.5" thickBot="1">
      <c r="B378" s="992"/>
      <c r="C378" s="946"/>
      <c r="D378" s="872"/>
      <c r="E378" s="900"/>
      <c r="F378" s="872"/>
      <c r="G378" s="872"/>
      <c r="H378" s="872"/>
      <c r="I378" s="918"/>
      <c r="J378" s="223"/>
      <c r="K378" s="1052"/>
      <c r="L378" s="453">
        <v>45</v>
      </c>
      <c r="M378" s="89">
        <f t="shared" si="176"/>
        <v>0.52584058401116085</v>
      </c>
      <c r="N378" s="16">
        <f t="shared" si="199"/>
        <v>190.5</v>
      </c>
      <c r="O378" s="135">
        <f t="shared" si="202"/>
        <v>190.5</v>
      </c>
      <c r="P378" s="89">
        <f t="shared" si="196"/>
        <v>5.2538728822700942E-2</v>
      </c>
      <c r="Q378" s="701">
        <f>((17.3/((3/4)*(1-0.3^2))^(1/4))^2)</f>
        <v>362.2770965048918</v>
      </c>
      <c r="R378" s="698"/>
      <c r="S378" s="872"/>
      <c r="T378" s="466" t="s">
        <v>522</v>
      </c>
      <c r="U378" s="872"/>
      <c r="V378" s="118">
        <f>CONVERT(AVERAGE(10070000,10060000,10350000,10190000,10130000),"psi","Pa")/(10^6)</f>
        <v>70050.734098590561</v>
      </c>
      <c r="W378" s="118">
        <f>CONVERT(AVERAGE(37900,39050,38750,41000,33750),"psi","Pa")/(10^6)</f>
        <v>262.62130529678291</v>
      </c>
      <c r="X378" s="126"/>
      <c r="Y378" s="872"/>
      <c r="Z378" s="883"/>
      <c r="AA378" s="35"/>
      <c r="AB378" s="871"/>
      <c r="AC378" s="380" t="s">
        <v>750</v>
      </c>
      <c r="AD378" s="882"/>
      <c r="AE378" s="35"/>
      <c r="AF378" s="871"/>
      <c r="AG378" s="871"/>
      <c r="AH378" s="465"/>
      <c r="AI378" s="465"/>
      <c r="AJ378" s="468">
        <f t="shared" si="170"/>
        <v>6.6666666666666666E-2</v>
      </c>
      <c r="AK378" s="36"/>
      <c r="AL378" s="872"/>
      <c r="AM378" s="18"/>
      <c r="AN378" s="604">
        <f>BB378*$V$374</f>
        <v>64.080310031367688</v>
      </c>
      <c r="AO378" s="556">
        <f>AN378/$W$374</f>
        <v>0.24400270937253873</v>
      </c>
      <c r="AP378" s="556"/>
      <c r="AQ378" s="560">
        <f>SQRT($W$374/AR378)</f>
        <v>1.4980273183279045</v>
      </c>
      <c r="AR378" s="560">
        <f>$V$374*M378/N378/SQRT(3*(1-0.3^2))</f>
        <v>117.02819021449189</v>
      </c>
      <c r="AS378" s="577"/>
      <c r="AT378" s="684">
        <f t="shared" si="174"/>
        <v>0.54756302660000011</v>
      </c>
      <c r="AU378" s="655">
        <f t="shared" si="168"/>
        <v>0.24400270937253873</v>
      </c>
      <c r="AV378" s="91"/>
      <c r="AW378" s="872"/>
      <c r="AX378" s="31"/>
      <c r="AY378" s="91"/>
      <c r="AZ378" s="766">
        <v>1933</v>
      </c>
      <c r="BA378" s="295"/>
      <c r="BB378" s="130">
        <v>9.1476999999999997E-4</v>
      </c>
    </row>
    <row r="379" spans="2:54" ht="15.95" customHeight="1">
      <c r="B379" s="990">
        <v>20</v>
      </c>
      <c r="C379" s="895" t="s">
        <v>404</v>
      </c>
      <c r="D379" s="870" t="s">
        <v>405</v>
      </c>
      <c r="E379" s="898">
        <v>1977</v>
      </c>
      <c r="F379" s="870" t="s">
        <v>40</v>
      </c>
      <c r="G379" s="870" t="s">
        <v>406</v>
      </c>
      <c r="H379" s="870" t="s">
        <v>407</v>
      </c>
      <c r="I379" s="910" t="s">
        <v>408</v>
      </c>
      <c r="J379" s="222"/>
      <c r="K379" s="35"/>
      <c r="L379" s="451">
        <v>1</v>
      </c>
      <c r="M379" s="82">
        <f>N379/Q379</f>
        <v>7.916666666666667</v>
      </c>
      <c r="N379" s="83">
        <f>380/2</f>
        <v>190</v>
      </c>
      <c r="O379" s="5">
        <v>5500</v>
      </c>
      <c r="P379" s="65">
        <f t="shared" si="196"/>
        <v>5.908856835661175</v>
      </c>
      <c r="Q379" s="115">
        <f>48/2</f>
        <v>24</v>
      </c>
      <c r="R379" s="34"/>
      <c r="S379" s="171"/>
      <c r="T379" s="464" t="s">
        <v>163</v>
      </c>
      <c r="U379" s="60">
        <f>2*PI()*N379*M379*W379/10^3</f>
        <v>2561.2095907778589</v>
      </c>
      <c r="V379" s="171">
        <f>AVERAGE(211000,214000)</f>
        <v>212500</v>
      </c>
      <c r="W379" s="171">
        <v>271</v>
      </c>
      <c r="X379" s="15"/>
      <c r="Y379" s="171"/>
      <c r="Z379" s="881" t="s">
        <v>409</v>
      </c>
      <c r="AA379" s="34"/>
      <c r="AB379" s="870" t="s">
        <v>410</v>
      </c>
      <c r="AC379" s="386" t="s">
        <v>870</v>
      </c>
      <c r="AD379" s="881" t="s">
        <v>1000</v>
      </c>
      <c r="AE379" s="884" t="s">
        <v>411</v>
      </c>
      <c r="AF379" s="925"/>
      <c r="AG379" s="870" t="s">
        <v>412</v>
      </c>
      <c r="AH379" s="475"/>
      <c r="AI379" s="475"/>
      <c r="AJ379" s="483"/>
      <c r="AK379" s="34"/>
      <c r="AL379" s="870" t="s">
        <v>413</v>
      </c>
      <c r="AM379" s="15">
        <v>2476</v>
      </c>
      <c r="AN379" s="20"/>
      <c r="AO379" s="20"/>
      <c r="AP379" s="618">
        <f t="shared" ref="AP379:AP388" si="203">AM379/U379</f>
        <v>0.9667307232158302</v>
      </c>
      <c r="AQ379" s="76">
        <f t="shared" ref="AQ379:AQ388" si="204">SQRT(W379/AR379)</f>
        <v>0.22488032531694971</v>
      </c>
      <c r="AR379" s="76">
        <f t="shared" ref="AR379:AR388" si="205">1/SQRT(3*(1-0.3^2))*V379*1/Q379</f>
        <v>5358.7854455050219</v>
      </c>
      <c r="AS379" s="547"/>
      <c r="AT379" s="682">
        <f t="shared" ref="AT379:AT388" si="206">AP379*W379/AR379</f>
        <v>4.8888694771544478E-2</v>
      </c>
      <c r="AU379" s="265">
        <f t="shared" ref="AU379:AU442" si="207">MAX(AO379:AP379)</f>
        <v>0.9667307232158302</v>
      </c>
      <c r="AV379" s="128"/>
      <c r="AW379" s="206" t="s">
        <v>414</v>
      </c>
      <c r="AX379" s="29" t="s">
        <v>415</v>
      </c>
      <c r="AY379" s="961"/>
      <c r="AZ379" s="543">
        <v>1977</v>
      </c>
      <c r="BA379" s="292"/>
    </row>
    <row r="380" spans="2:54">
      <c r="B380" s="991"/>
      <c r="C380" s="896"/>
      <c r="D380" s="871"/>
      <c r="E380" s="899"/>
      <c r="F380" s="871"/>
      <c r="G380" s="871"/>
      <c r="H380" s="871"/>
      <c r="I380" s="1055"/>
      <c r="J380" s="221"/>
      <c r="K380" s="35"/>
      <c r="L380" s="451">
        <v>2</v>
      </c>
      <c r="M380" s="82">
        <f t="shared" ref="M380:M388" si="208">N380/Q380</f>
        <v>7.916666666666667</v>
      </c>
      <c r="N380" s="83">
        <f>380/2</f>
        <v>190</v>
      </c>
      <c r="O380" s="5">
        <v>5500</v>
      </c>
      <c r="P380" s="65">
        <f t="shared" si="196"/>
        <v>5.908856835661175</v>
      </c>
      <c r="Q380" s="115">
        <f>48/2</f>
        <v>24</v>
      </c>
      <c r="R380" s="35"/>
      <c r="T380" s="465" t="s">
        <v>163</v>
      </c>
      <c r="U380" s="27">
        <f t="shared" ref="U380:U388" si="209">2*PI()*N380*M380*W380/10^3</f>
        <v>2561.2095907778589</v>
      </c>
      <c r="V380" s="172">
        <f>AVERAGE(211000,214000)</f>
        <v>212500</v>
      </c>
      <c r="W380" s="172">
        <v>271</v>
      </c>
      <c r="X380" s="5"/>
      <c r="Z380" s="882"/>
      <c r="AA380" s="35"/>
      <c r="AB380" s="871"/>
      <c r="AC380" s="387" t="s">
        <v>870</v>
      </c>
      <c r="AD380" s="882"/>
      <c r="AE380" s="885"/>
      <c r="AF380" s="890"/>
      <c r="AG380" s="871"/>
      <c r="AH380" s="476"/>
      <c r="AI380" s="476"/>
      <c r="AJ380" s="484"/>
      <c r="AK380" s="35"/>
      <c r="AL380" s="871"/>
      <c r="AM380" s="5">
        <v>2492</v>
      </c>
      <c r="AP380" s="619">
        <f t="shared" si="203"/>
        <v>0.97297777150801645</v>
      </c>
      <c r="AQ380" s="558">
        <f t="shared" si="204"/>
        <v>0.22488032531694971</v>
      </c>
      <c r="AR380" s="558">
        <f t="shared" si="205"/>
        <v>5358.7854455050219</v>
      </c>
      <c r="AT380" s="683">
        <f t="shared" si="206"/>
        <v>4.9204615254720849E-2</v>
      </c>
      <c r="AU380" s="266">
        <f t="shared" si="207"/>
        <v>0.97297777150801645</v>
      </c>
      <c r="AW380" s="189"/>
      <c r="AX380" s="30" t="s">
        <v>415</v>
      </c>
      <c r="AY380" s="962"/>
      <c r="AZ380" s="543">
        <v>1977</v>
      </c>
      <c r="BA380" s="293"/>
    </row>
    <row r="381" spans="2:54">
      <c r="B381" s="991"/>
      <c r="C381" s="896"/>
      <c r="D381" s="871"/>
      <c r="E381" s="899"/>
      <c r="F381" s="871"/>
      <c r="G381" s="871"/>
      <c r="H381" s="871"/>
      <c r="I381" s="1055"/>
      <c r="J381" s="221"/>
      <c r="K381" s="35"/>
      <c r="L381" s="451">
        <v>3</v>
      </c>
      <c r="M381" s="82">
        <f t="shared" si="208"/>
        <v>7.916666666666667</v>
      </c>
      <c r="N381" s="83">
        <f t="shared" ref="N381:N382" si="210">380/2</f>
        <v>190</v>
      </c>
      <c r="O381" s="5">
        <v>7600</v>
      </c>
      <c r="P381" s="65">
        <f t="shared" si="196"/>
        <v>8.1649658092772608</v>
      </c>
      <c r="Q381" s="6">
        <f>48/2</f>
        <v>24</v>
      </c>
      <c r="R381" s="35"/>
      <c r="T381" s="465" t="s">
        <v>163</v>
      </c>
      <c r="U381" s="27">
        <f t="shared" si="209"/>
        <v>2910.8950330611829</v>
      </c>
      <c r="V381" s="172">
        <f>AVERAGE(212000,213000)</f>
        <v>212500</v>
      </c>
      <c r="W381" s="172">
        <v>308</v>
      </c>
      <c r="X381" s="5"/>
      <c r="Z381" s="882"/>
      <c r="AA381" s="35"/>
      <c r="AB381" s="871"/>
      <c r="AC381" s="387" t="s">
        <v>870</v>
      </c>
      <c r="AD381" s="882"/>
      <c r="AE381" s="885"/>
      <c r="AF381" s="890"/>
      <c r="AG381" s="871"/>
      <c r="AH381" s="476"/>
      <c r="AI381" s="476"/>
      <c r="AJ381" s="484"/>
      <c r="AK381" s="35"/>
      <c r="AL381" s="871"/>
      <c r="AM381" s="5">
        <v>2270</v>
      </c>
      <c r="AP381" s="619">
        <f t="shared" si="203"/>
        <v>0.77982887538641377</v>
      </c>
      <c r="AQ381" s="558">
        <f t="shared" si="204"/>
        <v>0.23974092335795624</v>
      </c>
      <c r="AR381" s="558">
        <f t="shared" si="205"/>
        <v>5358.7854455050219</v>
      </c>
      <c r="AT381" s="683">
        <f t="shared" si="206"/>
        <v>4.4821218550648606E-2</v>
      </c>
      <c r="AU381" s="266">
        <f t="shared" si="207"/>
        <v>0.77982887538641377</v>
      </c>
      <c r="AW381" s="189"/>
      <c r="AX381" s="30" t="s">
        <v>415</v>
      </c>
      <c r="AY381" s="962"/>
      <c r="AZ381" s="543">
        <v>1977</v>
      </c>
      <c r="BA381" s="293"/>
    </row>
    <row r="382" spans="2:54">
      <c r="B382" s="991"/>
      <c r="C382" s="896"/>
      <c r="D382" s="871"/>
      <c r="E382" s="899"/>
      <c r="F382" s="871"/>
      <c r="G382" s="871"/>
      <c r="H382" s="871"/>
      <c r="I382" s="1055"/>
      <c r="J382" s="221"/>
      <c r="K382" s="35"/>
      <c r="L382" s="451">
        <v>4</v>
      </c>
      <c r="M382" s="82">
        <f t="shared" si="208"/>
        <v>7.916666666666667</v>
      </c>
      <c r="N382" s="83">
        <f t="shared" si="210"/>
        <v>190</v>
      </c>
      <c r="O382" s="5">
        <v>7600</v>
      </c>
      <c r="P382" s="65">
        <f t="shared" si="196"/>
        <v>8.1649658092772608</v>
      </c>
      <c r="Q382" s="6">
        <f>48/2</f>
        <v>24</v>
      </c>
      <c r="R382" s="35"/>
      <c r="T382" s="465" t="s">
        <v>163</v>
      </c>
      <c r="U382" s="27">
        <f t="shared" si="209"/>
        <v>2910.8950330611829</v>
      </c>
      <c r="V382" s="172">
        <f>AVERAGE(212000,213000)</f>
        <v>212500</v>
      </c>
      <c r="W382" s="172">
        <v>308</v>
      </c>
      <c r="X382" s="5"/>
      <c r="Z382" s="882"/>
      <c r="AA382" s="35"/>
      <c r="AB382" s="871"/>
      <c r="AC382" s="387" t="s">
        <v>870</v>
      </c>
      <c r="AD382" s="882"/>
      <c r="AE382" s="885"/>
      <c r="AF382" s="890"/>
      <c r="AG382" s="871"/>
      <c r="AH382" s="476"/>
      <c r="AI382" s="476"/>
      <c r="AJ382" s="484"/>
      <c r="AK382" s="35"/>
      <c r="AL382" s="871"/>
      <c r="AM382" s="7">
        <v>2296</v>
      </c>
      <c r="AP382" s="619">
        <f t="shared" si="203"/>
        <v>0.7887608360736591</v>
      </c>
      <c r="AQ382" s="558">
        <f t="shared" si="204"/>
        <v>0.23974092335795624</v>
      </c>
      <c r="AR382" s="558">
        <f t="shared" si="205"/>
        <v>5358.7854455050219</v>
      </c>
      <c r="AT382" s="683">
        <f t="shared" si="206"/>
        <v>4.5334589335810221E-2</v>
      </c>
      <c r="AU382" s="266">
        <f t="shared" si="207"/>
        <v>0.7887608360736591</v>
      </c>
      <c r="AW382" s="189"/>
      <c r="AX382" s="30" t="s">
        <v>415</v>
      </c>
      <c r="AY382" s="962"/>
      <c r="AZ382" s="543">
        <v>1977</v>
      </c>
      <c r="BA382" s="293"/>
    </row>
    <row r="383" spans="2:54">
      <c r="B383" s="991"/>
      <c r="C383" s="896"/>
      <c r="D383" s="871"/>
      <c r="E383" s="899"/>
      <c r="F383" s="871"/>
      <c r="G383" s="871"/>
      <c r="H383" s="871"/>
      <c r="I383" s="1055"/>
      <c r="J383" s="221"/>
      <c r="K383" s="35"/>
      <c r="L383" s="451">
        <v>5</v>
      </c>
      <c r="M383" s="82">
        <f t="shared" si="208"/>
        <v>8</v>
      </c>
      <c r="N383" s="83">
        <f>560/2</f>
        <v>280</v>
      </c>
      <c r="O383" s="5">
        <v>7600</v>
      </c>
      <c r="P383" s="65">
        <f t="shared" si="196"/>
        <v>4.5879802399548035</v>
      </c>
      <c r="Q383" s="6">
        <f>70/2</f>
        <v>35</v>
      </c>
      <c r="R383" s="35"/>
      <c r="T383" s="465" t="s">
        <v>163</v>
      </c>
      <c r="U383" s="27">
        <f t="shared" si="209"/>
        <v>4334.8952071293397</v>
      </c>
      <c r="V383" s="172">
        <f>AVERAGE(212000,213000)</f>
        <v>212500</v>
      </c>
      <c r="W383" s="172">
        <v>308</v>
      </c>
      <c r="X383" s="5"/>
      <c r="Z383" s="882"/>
      <c r="AA383" s="35"/>
      <c r="AB383" s="871"/>
      <c r="AC383" s="387" t="s">
        <v>870</v>
      </c>
      <c r="AD383" s="882"/>
      <c r="AE383" s="885"/>
      <c r="AF383" s="890"/>
      <c r="AG383" s="871"/>
      <c r="AH383" s="476"/>
      <c r="AI383" s="476"/>
      <c r="AJ383" s="484"/>
      <c r="AK383" s="35"/>
      <c r="AL383" s="871"/>
      <c r="AM383" s="7">
        <v>4263</v>
      </c>
      <c r="AP383" s="619">
        <f t="shared" si="203"/>
        <v>0.98341477620702389</v>
      </c>
      <c r="AQ383" s="558">
        <f t="shared" si="204"/>
        <v>0.28951467015495597</v>
      </c>
      <c r="AR383" s="558">
        <f t="shared" si="205"/>
        <v>3674.5957340605864</v>
      </c>
      <c r="AT383" s="683">
        <f t="shared" si="206"/>
        <v>8.2428591603750365E-2</v>
      </c>
      <c r="AU383" s="266">
        <f t="shared" si="207"/>
        <v>0.98341477620702389</v>
      </c>
      <c r="AW383" s="189"/>
      <c r="AX383" s="30" t="s">
        <v>416</v>
      </c>
      <c r="AY383" s="962"/>
      <c r="AZ383" s="543">
        <v>1977</v>
      </c>
      <c r="BA383" s="293"/>
    </row>
    <row r="384" spans="2:54">
      <c r="B384" s="991"/>
      <c r="C384" s="896"/>
      <c r="D384" s="871"/>
      <c r="E384" s="899"/>
      <c r="F384" s="871"/>
      <c r="G384" s="871"/>
      <c r="H384" s="871"/>
      <c r="I384" s="1055"/>
      <c r="J384" s="221"/>
      <c r="K384" s="35"/>
      <c r="L384" s="451">
        <v>6</v>
      </c>
      <c r="M384" s="82">
        <f t="shared" si="208"/>
        <v>8</v>
      </c>
      <c r="N384" s="83">
        <f>560/2</f>
        <v>280</v>
      </c>
      <c r="O384" s="5">
        <v>7600</v>
      </c>
      <c r="P384" s="65">
        <f t="shared" si="196"/>
        <v>4.5879802399548035</v>
      </c>
      <c r="Q384" s="6">
        <f>70/2</f>
        <v>35</v>
      </c>
      <c r="R384" s="35"/>
      <c r="T384" s="465" t="s">
        <v>163</v>
      </c>
      <c r="U384" s="27">
        <f t="shared" si="209"/>
        <v>4334.8952071293397</v>
      </c>
      <c r="V384" s="172">
        <f>AVERAGE(212000,213000)</f>
        <v>212500</v>
      </c>
      <c r="W384" s="172">
        <v>308</v>
      </c>
      <c r="X384" s="5"/>
      <c r="Z384" s="882"/>
      <c r="AA384" s="35"/>
      <c r="AB384" s="871"/>
      <c r="AC384" s="387" t="s">
        <v>870</v>
      </c>
      <c r="AD384" s="882"/>
      <c r="AE384" s="885"/>
      <c r="AF384" s="890"/>
      <c r="AG384" s="871"/>
      <c r="AH384" s="476"/>
      <c r="AI384" s="476"/>
      <c r="AJ384" s="484"/>
      <c r="AK384" s="35"/>
      <c r="AL384" s="871"/>
      <c r="AM384" s="7">
        <v>4112</v>
      </c>
      <c r="AP384" s="619">
        <f t="shared" si="203"/>
        <v>0.94858117751894955</v>
      </c>
      <c r="AQ384" s="558">
        <f t="shared" si="204"/>
        <v>0.28951467015495597</v>
      </c>
      <c r="AR384" s="558">
        <f t="shared" si="205"/>
        <v>3674.5957340605864</v>
      </c>
      <c r="AT384" s="683">
        <f t="shared" si="206"/>
        <v>7.9508883104532371E-2</v>
      </c>
      <c r="AU384" s="266">
        <f t="shared" si="207"/>
        <v>0.94858117751894955</v>
      </c>
      <c r="AW384" s="189"/>
      <c r="AX384" s="30" t="s">
        <v>417</v>
      </c>
      <c r="AY384" s="962"/>
      <c r="AZ384" s="543">
        <v>1977</v>
      </c>
      <c r="BA384" s="293"/>
    </row>
    <row r="385" spans="1:53">
      <c r="B385" s="991"/>
      <c r="C385" s="896"/>
      <c r="D385" s="871"/>
      <c r="E385" s="899"/>
      <c r="F385" s="871"/>
      <c r="G385" s="871"/>
      <c r="H385" s="871"/>
      <c r="I385" s="1055"/>
      <c r="J385" s="221"/>
      <c r="K385" s="35"/>
      <c r="L385" s="451">
        <v>7</v>
      </c>
      <c r="M385" s="82">
        <f t="shared" si="208"/>
        <v>7.916666666666667</v>
      </c>
      <c r="N385" s="83">
        <f t="shared" ref="N385:N386" si="211">380/2</f>
        <v>190</v>
      </c>
      <c r="O385" s="5">
        <v>11000</v>
      </c>
      <c r="P385" s="65">
        <f t="shared" si="196"/>
        <v>11.81771367132235</v>
      </c>
      <c r="Q385" s="6">
        <f>48/2</f>
        <v>24</v>
      </c>
      <c r="R385" s="35"/>
      <c r="T385" s="465" t="s">
        <v>163</v>
      </c>
      <c r="U385" s="27">
        <f t="shared" si="209"/>
        <v>2910.8950330611829</v>
      </c>
      <c r="V385" s="172">
        <f>AVERAGE(212000,213000)</f>
        <v>212500</v>
      </c>
      <c r="W385" s="172">
        <v>308</v>
      </c>
      <c r="X385" s="5"/>
      <c r="Z385" s="882"/>
      <c r="AA385" s="35"/>
      <c r="AB385" s="871"/>
      <c r="AC385" s="387" t="s">
        <v>870</v>
      </c>
      <c r="AD385" s="882"/>
      <c r="AE385" s="885"/>
      <c r="AF385" s="890"/>
      <c r="AG385" s="871"/>
      <c r="AH385" s="476"/>
      <c r="AI385" s="476"/>
      <c r="AJ385" s="484"/>
      <c r="AK385" s="35"/>
      <c r="AL385" s="871"/>
      <c r="AM385" s="7">
        <v>2212</v>
      </c>
      <c r="AP385" s="619">
        <f t="shared" si="203"/>
        <v>0.75990373231486663</v>
      </c>
      <c r="AQ385" s="558">
        <f t="shared" si="204"/>
        <v>0.23974092335795624</v>
      </c>
      <c r="AR385" s="558">
        <f t="shared" si="205"/>
        <v>5358.7854455050219</v>
      </c>
      <c r="AT385" s="683">
        <f t="shared" si="206"/>
        <v>4.3676006799134234E-2</v>
      </c>
      <c r="AU385" s="266">
        <f t="shared" si="207"/>
        <v>0.75990373231486663</v>
      </c>
      <c r="AW385" s="189"/>
      <c r="AX385" s="30" t="s">
        <v>415</v>
      </c>
      <c r="AY385" s="962"/>
      <c r="AZ385" s="543">
        <v>1977</v>
      </c>
      <c r="BA385" s="293"/>
    </row>
    <row r="386" spans="1:53">
      <c r="B386" s="991"/>
      <c r="C386" s="896"/>
      <c r="D386" s="871"/>
      <c r="E386" s="899"/>
      <c r="F386" s="871"/>
      <c r="G386" s="871"/>
      <c r="H386" s="871"/>
      <c r="I386" s="1055"/>
      <c r="J386" s="221"/>
      <c r="K386" s="35"/>
      <c r="L386" s="451">
        <v>8</v>
      </c>
      <c r="M386" s="82">
        <f t="shared" si="208"/>
        <v>7.916666666666667</v>
      </c>
      <c r="N386" s="83">
        <f t="shared" si="211"/>
        <v>190</v>
      </c>
      <c r="O386" s="5">
        <v>11000</v>
      </c>
      <c r="P386" s="65">
        <f t="shared" si="196"/>
        <v>11.81771367132235</v>
      </c>
      <c r="Q386" s="6">
        <f>48/2</f>
        <v>24</v>
      </c>
      <c r="R386" s="35"/>
      <c r="T386" s="465" t="s">
        <v>163</v>
      </c>
      <c r="U386" s="27">
        <f t="shared" si="209"/>
        <v>2561.2095907778589</v>
      </c>
      <c r="V386" s="172">
        <f>AVERAGE(211000,214000)</f>
        <v>212500</v>
      </c>
      <c r="W386" s="172">
        <v>271</v>
      </c>
      <c r="X386" s="5"/>
      <c r="Z386" s="882"/>
      <c r="AA386" s="35"/>
      <c r="AB386" s="871"/>
      <c r="AC386" s="387" t="s">
        <v>870</v>
      </c>
      <c r="AD386" s="882"/>
      <c r="AE386" s="885"/>
      <c r="AF386" s="890"/>
      <c r="AG386" s="871"/>
      <c r="AH386" s="476"/>
      <c r="AI386" s="476"/>
      <c r="AJ386" s="484"/>
      <c r="AK386" s="35"/>
      <c r="AL386" s="871"/>
      <c r="AM386" s="7">
        <v>2367</v>
      </c>
      <c r="AP386" s="619">
        <f t="shared" si="203"/>
        <v>0.92417270672531104</v>
      </c>
      <c r="AQ386" s="558">
        <f t="shared" si="204"/>
        <v>0.22488032531694971</v>
      </c>
      <c r="AR386" s="558">
        <f t="shared" si="205"/>
        <v>5358.7854455050219</v>
      </c>
      <c r="AT386" s="683">
        <f t="shared" si="206"/>
        <v>4.6736486479905401E-2</v>
      </c>
      <c r="AU386" s="266">
        <f t="shared" si="207"/>
        <v>0.92417270672531104</v>
      </c>
      <c r="AW386" s="189"/>
      <c r="AX386" s="30" t="s">
        <v>415</v>
      </c>
      <c r="AY386" s="962"/>
      <c r="AZ386" s="543">
        <v>1977</v>
      </c>
      <c r="BA386" s="293"/>
    </row>
    <row r="387" spans="1:53">
      <c r="B387" s="991"/>
      <c r="C387" s="896"/>
      <c r="D387" s="871"/>
      <c r="E387" s="899"/>
      <c r="F387" s="871"/>
      <c r="G387" s="871"/>
      <c r="H387" s="871"/>
      <c r="I387" s="1055"/>
      <c r="J387" s="221"/>
      <c r="K387" s="35"/>
      <c r="L387" s="451">
        <v>9</v>
      </c>
      <c r="M387" s="82">
        <f t="shared" si="208"/>
        <v>8</v>
      </c>
      <c r="N387" s="83">
        <f>560/2</f>
        <v>280</v>
      </c>
      <c r="O387" s="5">
        <v>11000</v>
      </c>
      <c r="P387" s="65">
        <f t="shared" si="196"/>
        <v>6.6404977157240586</v>
      </c>
      <c r="Q387" s="6">
        <f>70/2</f>
        <v>35</v>
      </c>
      <c r="R387" s="35"/>
      <c r="T387" s="465" t="s">
        <v>163</v>
      </c>
      <c r="U387" s="27">
        <f t="shared" si="209"/>
        <v>4334.8952071293397</v>
      </c>
      <c r="V387" s="172">
        <f>AVERAGE(212000,213000)</f>
        <v>212500</v>
      </c>
      <c r="W387" s="172">
        <v>308</v>
      </c>
      <c r="X387" s="5"/>
      <c r="Z387" s="882"/>
      <c r="AA387" s="35"/>
      <c r="AB387" s="871"/>
      <c r="AC387" s="387" t="s">
        <v>870</v>
      </c>
      <c r="AD387" s="882"/>
      <c r="AE387" s="885"/>
      <c r="AF387" s="890"/>
      <c r="AG387" s="871"/>
      <c r="AH387" s="476"/>
      <c r="AI387" s="476"/>
      <c r="AJ387" s="484"/>
      <c r="AK387" s="35"/>
      <c r="AL387" s="871"/>
      <c r="AM387" s="7">
        <v>4183</v>
      </c>
      <c r="AP387" s="619">
        <f t="shared" si="203"/>
        <v>0.96495988948486533</v>
      </c>
      <c r="AQ387" s="558">
        <f t="shared" si="204"/>
        <v>0.28951467015495597</v>
      </c>
      <c r="AR387" s="558">
        <f t="shared" si="205"/>
        <v>3674.5957340605864</v>
      </c>
      <c r="AT387" s="683">
        <f t="shared" si="206"/>
        <v>8.0881726173701096E-2</v>
      </c>
      <c r="AU387" s="266">
        <f t="shared" si="207"/>
        <v>0.96495988948486533</v>
      </c>
      <c r="AW387" s="189"/>
      <c r="AX387" s="30" t="s">
        <v>417</v>
      </c>
      <c r="AY387" s="962"/>
      <c r="AZ387" s="543">
        <v>1977</v>
      </c>
      <c r="BA387" s="293"/>
    </row>
    <row r="388" spans="1:53" ht="16.5" thickBot="1">
      <c r="B388" s="992"/>
      <c r="C388" s="897"/>
      <c r="D388" s="872"/>
      <c r="E388" s="900"/>
      <c r="F388" s="872"/>
      <c r="G388" s="872"/>
      <c r="H388" s="872"/>
      <c r="I388" s="1056"/>
      <c r="J388" s="223"/>
      <c r="K388" s="36"/>
      <c r="L388" s="453">
        <v>10</v>
      </c>
      <c r="M388" s="117">
        <f t="shared" si="208"/>
        <v>8</v>
      </c>
      <c r="N388" s="118">
        <f>560/2</f>
        <v>280</v>
      </c>
      <c r="O388" s="18">
        <v>11000</v>
      </c>
      <c r="P388" s="89">
        <f t="shared" si="196"/>
        <v>6.6404977157240586</v>
      </c>
      <c r="Q388" s="16">
        <f>70/2</f>
        <v>35</v>
      </c>
      <c r="R388" s="36"/>
      <c r="S388" s="173"/>
      <c r="T388" s="466" t="s">
        <v>163</v>
      </c>
      <c r="U388" s="53">
        <f t="shared" si="209"/>
        <v>4334.8952071293397</v>
      </c>
      <c r="V388" s="173">
        <f>AVERAGE(212000,213000)</f>
        <v>212500</v>
      </c>
      <c r="W388" s="173">
        <v>308</v>
      </c>
      <c r="X388" s="18"/>
      <c r="Y388" s="173"/>
      <c r="Z388" s="883"/>
      <c r="AA388" s="36"/>
      <c r="AB388" s="872"/>
      <c r="AC388" s="388" t="s">
        <v>870</v>
      </c>
      <c r="AD388" s="883"/>
      <c r="AE388" s="886"/>
      <c r="AF388" s="891"/>
      <c r="AG388" s="872"/>
      <c r="AH388" s="477"/>
      <c r="AI388" s="477"/>
      <c r="AJ388" s="485"/>
      <c r="AK388" s="36"/>
      <c r="AL388" s="872"/>
      <c r="AM388" s="17">
        <v>4094</v>
      </c>
      <c r="AN388" s="556"/>
      <c r="AO388" s="556"/>
      <c r="AP388" s="620">
        <f t="shared" si="203"/>
        <v>0.94442882800646388</v>
      </c>
      <c r="AQ388" s="560">
        <f t="shared" si="204"/>
        <v>0.28951467015495597</v>
      </c>
      <c r="AR388" s="560">
        <f t="shared" si="205"/>
        <v>3674.5957340605864</v>
      </c>
      <c r="AS388" s="577"/>
      <c r="AT388" s="684">
        <f t="shared" si="206"/>
        <v>7.9160838382771284E-2</v>
      </c>
      <c r="AU388" s="655">
        <f t="shared" si="207"/>
        <v>0.94442882800646388</v>
      </c>
      <c r="AV388" s="91"/>
      <c r="AW388" s="207"/>
      <c r="AX388" s="31" t="s">
        <v>417</v>
      </c>
      <c r="AY388" s="963"/>
      <c r="AZ388" s="543">
        <v>1977</v>
      </c>
      <c r="BA388" s="295"/>
    </row>
    <row r="389" spans="1:53" ht="16.5" customHeight="1">
      <c r="B389" s="990">
        <v>21</v>
      </c>
      <c r="C389" s="922" t="s">
        <v>418</v>
      </c>
      <c r="D389" s="922" t="s">
        <v>419</v>
      </c>
      <c r="E389" s="937">
        <v>1977</v>
      </c>
      <c r="F389" s="922" t="s">
        <v>40</v>
      </c>
      <c r="G389" s="922" t="s">
        <v>420</v>
      </c>
      <c r="H389" s="922" t="s">
        <v>421</v>
      </c>
      <c r="I389" s="910" t="s">
        <v>422</v>
      </c>
      <c r="J389" s="222"/>
      <c r="K389" s="34"/>
      <c r="L389" s="528">
        <v>1</v>
      </c>
      <c r="M389" s="108">
        <v>0.38100000000000001</v>
      </c>
      <c r="N389" s="108">
        <v>190.69049999999999</v>
      </c>
      <c r="O389" s="108">
        <v>202.86349999999999</v>
      </c>
      <c r="P389" s="72">
        <f t="shared" si="196"/>
        <v>4.755244103193778E-2</v>
      </c>
      <c r="Q389" s="108">
        <v>500</v>
      </c>
      <c r="R389" s="34"/>
      <c r="S389" s="108" t="s">
        <v>423</v>
      </c>
      <c r="T389" s="487" t="s">
        <v>163</v>
      </c>
      <c r="U389" s="15">
        <f>2*PI()*N389*M389*X389/1000</f>
        <v>90.330560669415036</v>
      </c>
      <c r="V389" s="108">
        <v>197190.1</v>
      </c>
      <c r="W389" s="108"/>
      <c r="X389" s="108">
        <v>197.87950000000001</v>
      </c>
      <c r="Y389" s="171"/>
      <c r="Z389" s="881" t="s">
        <v>424</v>
      </c>
      <c r="AA389" s="35"/>
      <c r="AB389" s="871" t="s">
        <v>425</v>
      </c>
      <c r="AC389" s="380" t="s">
        <v>751</v>
      </c>
      <c r="AE389" s="35"/>
      <c r="AK389" s="34"/>
      <c r="AL389" s="870" t="s">
        <v>426</v>
      </c>
      <c r="AM389" s="15"/>
      <c r="AN389" s="594">
        <v>94.389229999999998</v>
      </c>
      <c r="AO389" s="20">
        <f>AN389/X389</f>
        <v>0.47700358046184671</v>
      </c>
      <c r="AP389" s="20"/>
      <c r="AQ389" s="20">
        <f>SQRT(X389/AR389)</f>
        <v>0.91096260846253096</v>
      </c>
      <c r="AR389" s="20">
        <f t="shared" ref="AR389:AR396" si="212">V389*M389/N389/SQRT(3*(1-0.3^2))</f>
        <v>238.45130407535353</v>
      </c>
      <c r="AS389" s="547"/>
      <c r="AT389" s="685">
        <f t="shared" ref="AT389:AT412" si="213">AN389/AR389</f>
        <v>0.39584279216259538</v>
      </c>
      <c r="AU389" s="656">
        <f t="shared" si="207"/>
        <v>0.47700358046184671</v>
      </c>
      <c r="AV389" s="128"/>
      <c r="AW389" s="15"/>
      <c r="AX389" s="29"/>
      <c r="AY389" s="933" t="s">
        <v>1001</v>
      </c>
      <c r="AZ389" s="762">
        <v>1977</v>
      </c>
      <c r="BA389" s="292"/>
    </row>
    <row r="390" spans="1:53">
      <c r="B390" s="991"/>
      <c r="C390" s="873"/>
      <c r="D390" s="873"/>
      <c r="E390" s="938"/>
      <c r="F390" s="873"/>
      <c r="G390" s="873"/>
      <c r="H390" s="873"/>
      <c r="I390" s="917"/>
      <c r="J390" s="221"/>
      <c r="K390" s="35"/>
      <c r="L390" s="98">
        <v>1.1000000000000001</v>
      </c>
      <c r="M390" s="41">
        <v>0.38100000000000001</v>
      </c>
      <c r="N390" s="41">
        <v>190.69049999999999</v>
      </c>
      <c r="O390" s="41">
        <v>177.29249999999999</v>
      </c>
      <c r="P390" s="65">
        <f t="shared" si="196"/>
        <v>4.1558442754141722E-2</v>
      </c>
      <c r="Q390" s="41">
        <v>500</v>
      </c>
      <c r="R390" s="35"/>
      <c r="S390" s="41" t="s">
        <v>423</v>
      </c>
      <c r="T390" s="488" t="s">
        <v>163</v>
      </c>
      <c r="U390" s="5">
        <f>2*PI()*N390*M390*X390/1000</f>
        <v>90.330560669415036</v>
      </c>
      <c r="V390" s="41">
        <v>197190.1</v>
      </c>
      <c r="W390" s="41"/>
      <c r="X390" s="41">
        <v>197.87950000000001</v>
      </c>
      <c r="Z390" s="882"/>
      <c r="AA390" s="35"/>
      <c r="AB390" s="871"/>
      <c r="AC390" s="380" t="s">
        <v>751</v>
      </c>
      <c r="AE390" s="35"/>
      <c r="AK390" s="35"/>
      <c r="AL390" s="871"/>
      <c r="AN390" s="566">
        <v>82.530240000000006</v>
      </c>
      <c r="AO390" s="554">
        <f>AN390/X390</f>
        <v>0.41707321880235193</v>
      </c>
      <c r="AQ390" s="554">
        <f>SQRT(X390/AR390)</f>
        <v>0.91096260846253096</v>
      </c>
      <c r="AR390" s="554">
        <f t="shared" si="212"/>
        <v>238.45130407535353</v>
      </c>
      <c r="AT390" s="686">
        <f t="shared" si="213"/>
        <v>0.34610940929859391</v>
      </c>
      <c r="AU390" s="657">
        <f t="shared" si="207"/>
        <v>0.41707321880235193</v>
      </c>
      <c r="AY390" s="954"/>
      <c r="AZ390" s="763">
        <v>1977</v>
      </c>
      <c r="BA390" s="293"/>
    </row>
    <row r="391" spans="1:53">
      <c r="B391" s="991"/>
      <c r="C391" s="873"/>
      <c r="D391" s="873"/>
      <c r="E391" s="938"/>
      <c r="F391" s="873"/>
      <c r="G391" s="873"/>
      <c r="H391" s="873"/>
      <c r="I391" s="917"/>
      <c r="J391" s="221"/>
      <c r="K391" s="35"/>
      <c r="L391" s="98">
        <v>1.2</v>
      </c>
      <c r="M391" s="41">
        <v>0.38607999999999998</v>
      </c>
      <c r="N391" s="41">
        <v>190.69300000000001</v>
      </c>
      <c r="O391" s="41">
        <v>177.61369999999999</v>
      </c>
      <c r="P391" s="65">
        <f t="shared" si="196"/>
        <v>4.1909548972044644E-2</v>
      </c>
      <c r="Q391" s="41">
        <v>494</v>
      </c>
      <c r="R391" s="35"/>
      <c r="S391" s="41" t="s">
        <v>423</v>
      </c>
      <c r="T391" s="488" t="s">
        <v>163</v>
      </c>
      <c r="U391" s="5">
        <f>2*PI()*N391*M391*W391/1000</f>
        <v>111.94844296298795</v>
      </c>
      <c r="V391" s="41">
        <v>206842.7</v>
      </c>
      <c r="W391" s="41">
        <v>242.006</v>
      </c>
      <c r="X391" s="41"/>
      <c r="Z391" s="882"/>
      <c r="AA391" s="35"/>
      <c r="AB391" s="871"/>
      <c r="AC391" s="380" t="s">
        <v>751</v>
      </c>
      <c r="AE391" s="35"/>
      <c r="AK391" s="35"/>
      <c r="AL391" s="871"/>
      <c r="AN391" s="566">
        <v>121.8993</v>
      </c>
      <c r="AO391" s="554">
        <f>AN391/W391</f>
        <v>0.50370362718279715</v>
      </c>
      <c r="AQ391" s="554">
        <f>SQRT(W391/AR391)</f>
        <v>0.97715251177903528</v>
      </c>
      <c r="AR391" s="554">
        <f t="shared" si="212"/>
        <v>253.45532968057191</v>
      </c>
      <c r="AT391" s="686">
        <f t="shared" si="213"/>
        <v>0.48094983898594235</v>
      </c>
      <c r="AU391" s="657">
        <f t="shared" si="207"/>
        <v>0.50370362718279715</v>
      </c>
      <c r="AY391" s="954"/>
      <c r="AZ391" s="763">
        <v>1977</v>
      </c>
      <c r="BA391" s="293"/>
    </row>
    <row r="392" spans="1:53">
      <c r="B392" s="991"/>
      <c r="C392" s="873"/>
      <c r="D392" s="873"/>
      <c r="E392" s="938"/>
      <c r="F392" s="873"/>
      <c r="G392" s="873"/>
      <c r="H392" s="873"/>
      <c r="I392" s="917"/>
      <c r="J392" s="221"/>
      <c r="K392" s="35"/>
      <c r="L392" s="98">
        <v>13.2</v>
      </c>
      <c r="M392" s="41">
        <v>0.74168000000000001</v>
      </c>
      <c r="N392" s="41">
        <v>190.8708</v>
      </c>
      <c r="O392" s="41">
        <v>222.49469999999999</v>
      </c>
      <c r="P392" s="65">
        <f t="shared" si="196"/>
        <v>7.2663901684747248E-2</v>
      </c>
      <c r="Q392" s="41">
        <v>257</v>
      </c>
      <c r="R392" s="35"/>
      <c r="S392" s="41" t="s">
        <v>423</v>
      </c>
      <c r="T392" s="488" t="s">
        <v>163</v>
      </c>
      <c r="U392" s="5">
        <f>2*PI()*N392*M392*W392/1000</f>
        <v>217.71246483875126</v>
      </c>
      <c r="V392" s="41">
        <v>204084.8</v>
      </c>
      <c r="W392" s="41">
        <v>244.76390000000001</v>
      </c>
      <c r="X392" s="41"/>
      <c r="Z392" s="882"/>
      <c r="AA392" s="35"/>
      <c r="AB392" s="871"/>
      <c r="AC392" s="380" t="s">
        <v>751</v>
      </c>
      <c r="AE392" s="35"/>
      <c r="AK392" s="35"/>
      <c r="AL392" s="871"/>
      <c r="AN392" s="566">
        <v>163.75049999999999</v>
      </c>
      <c r="AO392" s="554">
        <f>AN392/W392</f>
        <v>0.66901409889285135</v>
      </c>
      <c r="AQ392" s="554">
        <f>SQRT(W392/AR392)</f>
        <v>0.7141188168613557</v>
      </c>
      <c r="AR392" s="554">
        <f t="shared" si="212"/>
        <v>479.96150994779663</v>
      </c>
      <c r="AT392" s="686">
        <f t="shared" si="213"/>
        <v>0.34117423294590943</v>
      </c>
      <c r="AU392" s="657">
        <f t="shared" si="207"/>
        <v>0.66901409889285135</v>
      </c>
      <c r="AY392" s="954"/>
      <c r="AZ392" s="763">
        <v>1977</v>
      </c>
      <c r="BA392" s="293"/>
    </row>
    <row r="393" spans="1:53">
      <c r="B393" s="991"/>
      <c r="C393" s="873"/>
      <c r="D393" s="873"/>
      <c r="E393" s="938"/>
      <c r="F393" s="873"/>
      <c r="G393" s="873"/>
      <c r="H393" s="873"/>
      <c r="I393" s="917"/>
      <c r="J393" s="221"/>
      <c r="K393" s="35"/>
      <c r="L393" s="98">
        <v>13.3</v>
      </c>
      <c r="M393" s="41">
        <v>0.74421999999999999</v>
      </c>
      <c r="N393" s="41">
        <v>190.87209999999999</v>
      </c>
      <c r="O393" s="41">
        <v>221.68430000000001</v>
      </c>
      <c r="P393" s="65">
        <f t="shared" si="196"/>
        <v>7.2522359909764259E-2</v>
      </c>
      <c r="Q393" s="41">
        <v>256</v>
      </c>
      <c r="R393" s="35"/>
      <c r="S393" s="41" t="s">
        <v>423</v>
      </c>
      <c r="T393" s="488" t="s">
        <v>163</v>
      </c>
      <c r="U393" s="5">
        <f>2*PI()*N393*M393*W393/1000</f>
        <v>254.7669302412817</v>
      </c>
      <c r="V393" s="41">
        <v>204084.8</v>
      </c>
      <c r="W393" s="41">
        <v>285.44299999999998</v>
      </c>
      <c r="X393" s="41"/>
      <c r="Z393" s="882"/>
      <c r="AA393" s="35"/>
      <c r="AB393" s="871"/>
      <c r="AC393" s="380" t="s">
        <v>751</v>
      </c>
      <c r="AE393" s="35"/>
      <c r="AK393" s="35"/>
      <c r="AL393" s="871"/>
      <c r="AN393" s="566">
        <v>189.399</v>
      </c>
      <c r="AO393" s="554">
        <f>AN393/W393</f>
        <v>0.66352651842924859</v>
      </c>
      <c r="AQ393" s="554">
        <f>SQRT(W393/AR393)</f>
        <v>0.76986679333632768</v>
      </c>
      <c r="AR393" s="554">
        <f t="shared" si="212"/>
        <v>481.60193361125226</v>
      </c>
      <c r="AT393" s="686">
        <f t="shared" si="213"/>
        <v>0.3932687698735079</v>
      </c>
      <c r="AU393" s="657">
        <f t="shared" si="207"/>
        <v>0.66352651842924859</v>
      </c>
      <c r="AY393" s="954"/>
      <c r="AZ393" s="763">
        <v>1977</v>
      </c>
      <c r="BA393" s="293"/>
    </row>
    <row r="394" spans="1:53" ht="51.75" customHeight="1">
      <c r="B394" s="991"/>
      <c r="C394" s="873"/>
      <c r="D394" s="873"/>
      <c r="E394" s="938"/>
      <c r="F394" s="873"/>
      <c r="G394" s="873"/>
      <c r="H394" s="873"/>
      <c r="I394" s="917"/>
      <c r="J394" s="221"/>
      <c r="K394" s="35"/>
      <c r="L394" s="98">
        <v>13.5</v>
      </c>
      <c r="M394" s="41">
        <v>0.78739999999999999</v>
      </c>
      <c r="N394" s="41">
        <v>190.8937</v>
      </c>
      <c r="O394" s="41">
        <v>214.5515</v>
      </c>
      <c r="P394" s="65">
        <f t="shared" si="196"/>
        <v>7.2184153313249635E-2</v>
      </c>
      <c r="Q394" s="41">
        <v>243</v>
      </c>
      <c r="R394" s="35"/>
      <c r="S394" s="41" t="s">
        <v>427</v>
      </c>
      <c r="T394" s="488" t="s">
        <v>163</v>
      </c>
      <c r="U394" s="5">
        <f>2*PI()*N394*M394*X394/1000</f>
        <v>514.41417567082749</v>
      </c>
      <c r="V394" s="41">
        <v>204084.8</v>
      </c>
      <c r="W394" s="41"/>
      <c r="X394" s="41">
        <v>544.68579999999997</v>
      </c>
      <c r="Z394" s="882"/>
      <c r="AA394" s="35"/>
      <c r="AB394" s="871"/>
      <c r="AC394" s="380" t="s">
        <v>751</v>
      </c>
      <c r="AE394" s="35"/>
      <c r="AK394" s="35"/>
      <c r="AL394" s="871"/>
      <c r="AN394" s="566">
        <v>313.7115</v>
      </c>
      <c r="AO394" s="554">
        <f>AN394/X394</f>
        <v>0.57594947399032614</v>
      </c>
      <c r="AQ394" s="554">
        <f>SQRT(X394/AR394)</f>
        <v>1.0339664593628208</v>
      </c>
      <c r="AR394" s="554">
        <f t="shared" si="212"/>
        <v>509.48705192407505</v>
      </c>
      <c r="AT394" s="686">
        <f t="shared" si="213"/>
        <v>0.61573988743240926</v>
      </c>
      <c r="AU394" s="657">
        <f t="shared" si="207"/>
        <v>0.57594947399032614</v>
      </c>
      <c r="AY394" s="954"/>
      <c r="AZ394" s="763">
        <v>1977</v>
      </c>
      <c r="BA394" s="293"/>
    </row>
    <row r="395" spans="1:53">
      <c r="B395" s="991"/>
      <c r="C395" s="873"/>
      <c r="D395" s="873"/>
      <c r="E395" s="938"/>
      <c r="F395" s="873"/>
      <c r="G395" s="873"/>
      <c r="H395" s="873"/>
      <c r="I395" s="917"/>
      <c r="J395" s="221"/>
      <c r="K395" s="35"/>
      <c r="L395" s="98">
        <v>19</v>
      </c>
      <c r="M395" s="41">
        <v>0.51307999999999998</v>
      </c>
      <c r="N395" s="41">
        <v>190.75649999999999</v>
      </c>
      <c r="O395" s="41">
        <v>236.44499999999999</v>
      </c>
      <c r="P395" s="65">
        <f t="shared" si="196"/>
        <v>6.4284113549243321E-2</v>
      </c>
      <c r="Q395" s="41">
        <v>372</v>
      </c>
      <c r="R395" s="35"/>
      <c r="S395" s="41" t="s">
        <v>428</v>
      </c>
      <c r="T395" s="488" t="s">
        <v>163</v>
      </c>
      <c r="U395" s="5">
        <f>2*PI()*N395*M395*W395/1000</f>
        <v>280.26236540053651</v>
      </c>
      <c r="V395" s="41">
        <v>201326.9</v>
      </c>
      <c r="W395" s="41">
        <v>455.74349999999998</v>
      </c>
      <c r="X395" s="41"/>
      <c r="Z395" s="882"/>
      <c r="AA395" s="35"/>
      <c r="AB395" s="871"/>
      <c r="AC395" s="380" t="s">
        <v>751</v>
      </c>
      <c r="AE395" s="35"/>
      <c r="AK395" s="35"/>
      <c r="AL395" s="871"/>
      <c r="AN395" s="566">
        <v>133.5514</v>
      </c>
      <c r="AO395" s="554">
        <f t="shared" ref="AO395:AO402" si="214">AN395/W395</f>
        <v>0.29304071259381648</v>
      </c>
      <c r="AQ395" s="554">
        <f t="shared" ref="AQ395:AQ412" si="215">SQRT(W395/AR395)</f>
        <v>1.1792262274677314</v>
      </c>
      <c r="AR395" s="554">
        <f t="shared" si="212"/>
        <v>327.73756563144258</v>
      </c>
      <c r="AT395" s="686">
        <f t="shared" si="213"/>
        <v>0.4074949410901077</v>
      </c>
      <c r="AU395" s="657">
        <f t="shared" si="207"/>
        <v>0.29304071259381648</v>
      </c>
      <c r="AY395" s="954"/>
      <c r="AZ395" s="763">
        <v>1977</v>
      </c>
      <c r="BA395" s="293"/>
    </row>
    <row r="396" spans="1:53" ht="16.5" thickBot="1">
      <c r="B396" s="992"/>
      <c r="C396" s="874"/>
      <c r="D396" s="874"/>
      <c r="E396" s="939"/>
      <c r="F396" s="874"/>
      <c r="G396" s="874"/>
      <c r="H396" s="874"/>
      <c r="I396" s="918"/>
      <c r="J396" s="223"/>
      <c r="K396" s="36"/>
      <c r="L396" s="529">
        <v>19.2</v>
      </c>
      <c r="M396" s="111">
        <v>0.51307999999999998</v>
      </c>
      <c r="N396" s="111">
        <v>190.75649999999999</v>
      </c>
      <c r="O396" s="111">
        <v>236.44499999999999</v>
      </c>
      <c r="P396" s="89">
        <f t="shared" si="196"/>
        <v>6.4284113549243321E-2</v>
      </c>
      <c r="Q396" s="111">
        <v>372</v>
      </c>
      <c r="R396" s="36"/>
      <c r="S396" s="111" t="s">
        <v>428</v>
      </c>
      <c r="T396" s="489" t="s">
        <v>163</v>
      </c>
      <c r="U396" s="18">
        <f>2*PI()*N396*M396*W396/1000</f>
        <v>280.26236540053651</v>
      </c>
      <c r="V396" s="111">
        <v>201326.9</v>
      </c>
      <c r="W396" s="111">
        <v>455.74349999999998</v>
      </c>
      <c r="X396" s="111"/>
      <c r="Y396" s="173"/>
      <c r="Z396" s="883"/>
      <c r="AA396" s="35"/>
      <c r="AB396" s="871"/>
      <c r="AC396" s="380" t="s">
        <v>751</v>
      </c>
      <c r="AE396" s="35"/>
      <c r="AK396" s="36"/>
      <c r="AL396" s="872"/>
      <c r="AM396" s="18"/>
      <c r="AN396" s="572">
        <v>195.1216</v>
      </c>
      <c r="AO396" s="556">
        <f t="shared" si="214"/>
        <v>0.42813907384307182</v>
      </c>
      <c r="AP396" s="556"/>
      <c r="AQ396" s="556">
        <f t="shared" si="215"/>
        <v>1.1792262274677314</v>
      </c>
      <c r="AR396" s="556">
        <f t="shared" si="212"/>
        <v>327.73756563144258</v>
      </c>
      <c r="AS396" s="577"/>
      <c r="AT396" s="687">
        <f t="shared" si="213"/>
        <v>0.59535927663362243</v>
      </c>
      <c r="AU396" s="658">
        <f t="shared" si="207"/>
        <v>0.42813907384307182</v>
      </c>
      <c r="AV396" s="91"/>
      <c r="AW396" s="18"/>
      <c r="AX396" s="31"/>
      <c r="AY396" s="935"/>
      <c r="AZ396" s="771">
        <v>1977</v>
      </c>
      <c r="BA396" s="295"/>
    </row>
    <row r="397" spans="1:53" s="1" customFormat="1" ht="68.099999999999994" customHeight="1">
      <c r="A397" s="1040" t="s">
        <v>429</v>
      </c>
      <c r="B397" s="1001">
        <v>22</v>
      </c>
      <c r="C397" s="870" t="s">
        <v>430</v>
      </c>
      <c r="D397" s="870" t="s">
        <v>431</v>
      </c>
      <c r="E397" s="898">
        <v>1980</v>
      </c>
      <c r="F397" s="870" t="s">
        <v>432</v>
      </c>
      <c r="G397" s="870" t="s">
        <v>433</v>
      </c>
      <c r="H397" s="870" t="s">
        <v>434</v>
      </c>
      <c r="I397" s="910" t="s">
        <v>435</v>
      </c>
      <c r="J397" s="225"/>
      <c r="K397" s="232"/>
      <c r="L397" s="449" t="s">
        <v>188</v>
      </c>
      <c r="M397" s="14">
        <v>9.94</v>
      </c>
      <c r="N397" s="14">
        <f>770/2</f>
        <v>385</v>
      </c>
      <c r="O397" s="22">
        <v>2030</v>
      </c>
      <c r="P397" s="72">
        <f t="shared" si="196"/>
        <v>0.84722377753822842</v>
      </c>
      <c r="Q397" s="47">
        <f>N397/M397</f>
        <v>38.732394366197184</v>
      </c>
      <c r="R397" s="232"/>
      <c r="S397" s="870" t="s">
        <v>436</v>
      </c>
      <c r="T397" s="464" t="s">
        <v>163</v>
      </c>
      <c r="U397" s="57"/>
      <c r="V397" s="171">
        <v>203400</v>
      </c>
      <c r="W397" s="171">
        <v>239</v>
      </c>
      <c r="X397" s="171"/>
      <c r="Y397" s="171"/>
      <c r="Z397" s="881" t="s">
        <v>437</v>
      </c>
      <c r="AA397" s="232"/>
      <c r="AB397" s="870" t="s">
        <v>438</v>
      </c>
      <c r="AC397" s="379" t="s">
        <v>751</v>
      </c>
      <c r="AD397" s="881" t="s">
        <v>439</v>
      </c>
      <c r="AE397" s="232"/>
      <c r="AF397" s="870" t="s">
        <v>440</v>
      </c>
      <c r="AG397" s="925"/>
      <c r="AH397" s="475"/>
      <c r="AI397" s="475"/>
      <c r="AJ397" s="483"/>
      <c r="AK397" s="232"/>
      <c r="AL397" s="464" t="s">
        <v>441</v>
      </c>
      <c r="AM397" s="14"/>
      <c r="AN397" s="19">
        <f>1.056*W397</f>
        <v>252.38400000000001</v>
      </c>
      <c r="AO397" s="621">
        <f t="shared" si="214"/>
        <v>1.056</v>
      </c>
      <c r="AP397" s="19"/>
      <c r="AQ397" s="597">
        <f t="shared" si="215"/>
        <v>0.27422137900921711</v>
      </c>
      <c r="AR397" s="76">
        <f t="shared" ref="AR397:AR412" si="216">1/SQRT(3*(1-0.3^2))*V397*1/Q397</f>
        <v>3178.3028691939071</v>
      </c>
      <c r="AS397" s="614"/>
      <c r="AT397" s="685">
        <f t="shared" si="213"/>
        <v>7.9408417129236825E-2</v>
      </c>
      <c r="AU397" s="656">
        <f t="shared" si="207"/>
        <v>1.056</v>
      </c>
      <c r="AV397" s="283"/>
      <c r="AW397" s="464" t="s">
        <v>442</v>
      </c>
      <c r="AX397" s="106"/>
      <c r="AY397" s="911" t="s">
        <v>1128</v>
      </c>
      <c r="AZ397" s="760">
        <v>1980</v>
      </c>
      <c r="BA397" s="298"/>
    </row>
    <row r="398" spans="1:53">
      <c r="A398" s="1040"/>
      <c r="B398" s="994"/>
      <c r="C398" s="871"/>
      <c r="D398" s="871"/>
      <c r="E398" s="899"/>
      <c r="F398" s="871"/>
      <c r="G398" s="871"/>
      <c r="H398" s="871"/>
      <c r="I398" s="871"/>
      <c r="J398" s="221"/>
      <c r="K398" s="35"/>
      <c r="L398" s="451" t="s">
        <v>189</v>
      </c>
      <c r="M398" s="6">
        <v>6.73</v>
      </c>
      <c r="N398" s="6">
        <f>780/2</f>
        <v>390</v>
      </c>
      <c r="O398" s="163">
        <v>2030</v>
      </c>
      <c r="P398" s="65">
        <f t="shared" si="196"/>
        <v>0.68376467372274397</v>
      </c>
      <c r="Q398" s="46">
        <f t="shared" ref="Q398:Q402" si="217">N398/M398</f>
        <v>57.949479940564629</v>
      </c>
      <c r="R398" s="35"/>
      <c r="S398" s="871"/>
      <c r="T398" s="465" t="s">
        <v>163</v>
      </c>
      <c r="U398" s="55"/>
      <c r="V398" s="172">
        <v>203400</v>
      </c>
      <c r="W398" s="172">
        <v>203.8</v>
      </c>
      <c r="Z398" s="882"/>
      <c r="AA398" s="35"/>
      <c r="AB398" s="871"/>
      <c r="AC398" s="380" t="s">
        <v>751</v>
      </c>
      <c r="AD398" s="882"/>
      <c r="AE398" s="35"/>
      <c r="AF398" s="871"/>
      <c r="AG398" s="890"/>
      <c r="AH398" s="476"/>
      <c r="AI398" s="476"/>
      <c r="AJ398" s="484"/>
      <c r="AK398" s="35"/>
      <c r="AL398" s="80"/>
      <c r="AN398" s="450">
        <f>1.004*W398</f>
        <v>204.61520000000002</v>
      </c>
      <c r="AO398" s="622">
        <f t="shared" si="214"/>
        <v>1.004</v>
      </c>
      <c r="AQ398" s="599">
        <f t="shared" si="215"/>
        <v>0.30973625905190222</v>
      </c>
      <c r="AR398" s="558">
        <f t="shared" si="216"/>
        <v>2124.3207060890659</v>
      </c>
      <c r="AT398" s="686">
        <f t="shared" si="213"/>
        <v>9.6320296372152933E-2</v>
      </c>
      <c r="AU398" s="657">
        <f t="shared" si="207"/>
        <v>1.004</v>
      </c>
      <c r="AW398" s="80"/>
      <c r="AY398" s="912"/>
      <c r="AZ398" s="760">
        <v>1980</v>
      </c>
      <c r="BA398" s="293"/>
    </row>
    <row r="399" spans="1:53">
      <c r="A399" s="1040"/>
      <c r="B399" s="994"/>
      <c r="C399" s="871"/>
      <c r="D399" s="871"/>
      <c r="E399" s="899"/>
      <c r="F399" s="871"/>
      <c r="G399" s="871"/>
      <c r="H399" s="871"/>
      <c r="I399" s="871"/>
      <c r="J399" s="221"/>
      <c r="K399" s="35"/>
      <c r="L399" s="451" t="s">
        <v>190</v>
      </c>
      <c r="M399" s="6">
        <v>6.73</v>
      </c>
      <c r="N399" s="6">
        <f>1020/2</f>
        <v>510</v>
      </c>
      <c r="O399" s="163">
        <v>3050</v>
      </c>
      <c r="P399" s="65">
        <f t="shared" si="196"/>
        <v>0.68699267635248473</v>
      </c>
      <c r="Q399" s="46">
        <f t="shared" si="217"/>
        <v>75.780089153046063</v>
      </c>
      <c r="R399" s="35"/>
      <c r="S399" s="871"/>
      <c r="T399" s="465" t="s">
        <v>163</v>
      </c>
      <c r="U399" s="55"/>
      <c r="V399" s="172">
        <v>203400</v>
      </c>
      <c r="W399" s="172">
        <v>203.8</v>
      </c>
      <c r="Z399" s="882"/>
      <c r="AA399" s="35"/>
      <c r="AB399" s="871"/>
      <c r="AC399" s="380" t="s">
        <v>751</v>
      </c>
      <c r="AD399" s="882"/>
      <c r="AE399" s="35"/>
      <c r="AF399" s="871"/>
      <c r="AG399" s="890"/>
      <c r="AH399" s="476"/>
      <c r="AI399" s="476"/>
      <c r="AJ399" s="484"/>
      <c r="AK399" s="35"/>
      <c r="AL399" s="80"/>
      <c r="AN399" s="450">
        <f>0.999*W399</f>
        <v>203.59620000000001</v>
      </c>
      <c r="AO399" s="622">
        <f t="shared" si="214"/>
        <v>0.999</v>
      </c>
      <c r="AQ399" s="599">
        <f t="shared" si="215"/>
        <v>0.35419696312329474</v>
      </c>
      <c r="AR399" s="558">
        <f t="shared" si="216"/>
        <v>1624.4805399504621</v>
      </c>
      <c r="AT399" s="686">
        <f t="shared" si="213"/>
        <v>0.12533003319707886</v>
      </c>
      <c r="AU399" s="657">
        <f t="shared" si="207"/>
        <v>0.999</v>
      </c>
      <c r="AW399" s="80"/>
      <c r="AY399" s="912"/>
      <c r="AZ399" s="760">
        <v>1980</v>
      </c>
      <c r="BA399" s="293"/>
    </row>
    <row r="400" spans="1:53">
      <c r="A400" s="1040"/>
      <c r="B400" s="994"/>
      <c r="C400" s="871"/>
      <c r="D400" s="871"/>
      <c r="E400" s="899"/>
      <c r="F400" s="871"/>
      <c r="G400" s="871"/>
      <c r="H400" s="871"/>
      <c r="I400" s="871"/>
      <c r="J400" s="221"/>
      <c r="K400" s="35"/>
      <c r="L400" s="451" t="s">
        <v>191</v>
      </c>
      <c r="M400" s="6">
        <v>6.73</v>
      </c>
      <c r="N400" s="6">
        <f>1530/2</f>
        <v>765</v>
      </c>
      <c r="O400" s="163">
        <v>3050</v>
      </c>
      <c r="P400" s="65">
        <f t="shared" si="196"/>
        <v>0.37395144757612775</v>
      </c>
      <c r="Q400" s="46">
        <f t="shared" si="217"/>
        <v>113.67013372956909</v>
      </c>
      <c r="R400" s="35"/>
      <c r="S400" s="871"/>
      <c r="T400" s="465" t="s">
        <v>163</v>
      </c>
      <c r="U400" s="55"/>
      <c r="V400" s="172">
        <v>203400</v>
      </c>
      <c r="W400" s="172">
        <v>203.8</v>
      </c>
      <c r="Z400" s="882"/>
      <c r="AA400" s="35"/>
      <c r="AB400" s="871"/>
      <c r="AC400" s="380" t="s">
        <v>751</v>
      </c>
      <c r="AD400" s="882"/>
      <c r="AE400" s="35"/>
      <c r="AF400" s="871"/>
      <c r="AG400" s="890"/>
      <c r="AH400" s="476"/>
      <c r="AI400" s="476"/>
      <c r="AJ400" s="484"/>
      <c r="AK400" s="35"/>
      <c r="AL400" s="80"/>
      <c r="AN400" s="450">
        <f>0.88*W400</f>
        <v>179.34400000000002</v>
      </c>
      <c r="AO400" s="622">
        <f t="shared" si="214"/>
        <v>0.88000000000000012</v>
      </c>
      <c r="AQ400" s="599">
        <f t="shared" si="215"/>
        <v>0.43380091404773102</v>
      </c>
      <c r="AR400" s="558">
        <f t="shared" si="216"/>
        <v>1082.9870266336416</v>
      </c>
      <c r="AT400" s="686">
        <f t="shared" si="213"/>
        <v>0.16560124506520929</v>
      </c>
      <c r="AU400" s="657">
        <f t="shared" si="207"/>
        <v>0.88000000000000012</v>
      </c>
      <c r="AW400" s="80"/>
      <c r="AY400" s="912"/>
      <c r="AZ400" s="760">
        <v>1980</v>
      </c>
      <c r="BA400" s="293"/>
    </row>
    <row r="401" spans="1:53">
      <c r="A401" s="1040"/>
      <c r="B401" s="994"/>
      <c r="C401" s="871"/>
      <c r="D401" s="871"/>
      <c r="E401" s="899"/>
      <c r="F401" s="871"/>
      <c r="G401" s="871"/>
      <c r="H401" s="871"/>
      <c r="I401" s="871"/>
      <c r="J401" s="221"/>
      <c r="K401" s="35"/>
      <c r="L401" s="451" t="s">
        <v>192</v>
      </c>
      <c r="M401" s="6">
        <v>9.73</v>
      </c>
      <c r="N401" s="6">
        <f>580/2</f>
        <v>290</v>
      </c>
      <c r="O401" s="163">
        <v>1220</v>
      </c>
      <c r="P401" s="65">
        <f t="shared" si="196"/>
        <v>0.77058269879519081</v>
      </c>
      <c r="Q401" s="46">
        <f t="shared" si="217"/>
        <v>29.804727646454264</v>
      </c>
      <c r="R401" s="35"/>
      <c r="S401" s="871"/>
      <c r="T401" s="465" t="s">
        <v>163</v>
      </c>
      <c r="U401" s="55"/>
      <c r="V401" s="172">
        <v>203400</v>
      </c>
      <c r="W401" s="172">
        <v>335.6</v>
      </c>
      <c r="Z401" s="882"/>
      <c r="AA401" s="35"/>
      <c r="AB401" s="871"/>
      <c r="AC401" s="380" t="s">
        <v>751</v>
      </c>
      <c r="AD401" s="882"/>
      <c r="AE401" s="35"/>
      <c r="AF401" s="871"/>
      <c r="AG401" s="890"/>
      <c r="AH401" s="476"/>
      <c r="AI401" s="476"/>
      <c r="AJ401" s="484"/>
      <c r="AK401" s="35"/>
      <c r="AL401" s="80"/>
      <c r="AN401" s="450">
        <f>1.009*W401</f>
        <v>338.62039999999996</v>
      </c>
      <c r="AO401" s="622">
        <f t="shared" si="214"/>
        <v>1.0089999999999999</v>
      </c>
      <c r="AQ401" s="599">
        <f t="shared" si="215"/>
        <v>0.28504848843895608</v>
      </c>
      <c r="AR401" s="558">
        <f t="shared" si="216"/>
        <v>4130.3272958939278</v>
      </c>
      <c r="AT401" s="686">
        <f t="shared" si="213"/>
        <v>8.1983914528185653E-2</v>
      </c>
      <c r="AU401" s="657">
        <f t="shared" si="207"/>
        <v>1.0089999999999999</v>
      </c>
      <c r="AW401" s="80"/>
      <c r="AY401" s="912"/>
      <c r="AZ401" s="760">
        <v>1980</v>
      </c>
      <c r="BA401" s="293"/>
    </row>
    <row r="402" spans="1:53" ht="16.5" thickBot="1">
      <c r="A402" s="1040"/>
      <c r="B402" s="994"/>
      <c r="C402" s="892"/>
      <c r="D402" s="892"/>
      <c r="E402" s="1043"/>
      <c r="F402" s="892"/>
      <c r="G402" s="892"/>
      <c r="H402" s="892"/>
      <c r="I402" s="892"/>
      <c r="J402" s="226"/>
      <c r="K402" s="231"/>
      <c r="L402" s="524" t="s">
        <v>443</v>
      </c>
      <c r="M402" s="69">
        <v>6.55</v>
      </c>
      <c r="N402" s="69">
        <f>1530/2</f>
        <v>765</v>
      </c>
      <c r="O402" s="87">
        <v>1960</v>
      </c>
      <c r="P402" s="70">
        <f t="shared" si="196"/>
        <v>0.23707435006468233</v>
      </c>
      <c r="Q402" s="64">
        <f t="shared" si="217"/>
        <v>116.79389312977099</v>
      </c>
      <c r="R402" s="231"/>
      <c r="S402" s="39" t="s">
        <v>444</v>
      </c>
      <c r="T402" s="497" t="s">
        <v>163</v>
      </c>
      <c r="U402" s="88"/>
      <c r="V402" s="39">
        <v>203400</v>
      </c>
      <c r="W402" s="39">
        <v>622.79999999999995</v>
      </c>
      <c r="X402" s="39"/>
      <c r="Y402" s="39"/>
      <c r="Z402" s="893"/>
      <c r="AA402" s="231"/>
      <c r="AB402" s="892"/>
      <c r="AC402" s="380" t="s">
        <v>751</v>
      </c>
      <c r="AD402" s="893"/>
      <c r="AE402" s="231"/>
      <c r="AF402" s="892"/>
      <c r="AG402" s="926"/>
      <c r="AH402" s="486"/>
      <c r="AI402" s="486"/>
      <c r="AJ402" s="507"/>
      <c r="AK402" s="231"/>
      <c r="AL402" s="190"/>
      <c r="AM402" s="40"/>
      <c r="AN402" s="623">
        <f>0.829*W402</f>
        <v>516.30119999999988</v>
      </c>
      <c r="AO402" s="624">
        <f t="shared" si="214"/>
        <v>0.82899999999999985</v>
      </c>
      <c r="AP402" s="583"/>
      <c r="AQ402" s="625">
        <f t="shared" si="215"/>
        <v>0.768687036520039</v>
      </c>
      <c r="AR402" s="584">
        <f t="shared" si="216"/>
        <v>1054.021548952504</v>
      </c>
      <c r="AS402" s="626"/>
      <c r="AT402" s="702">
        <f t="shared" si="213"/>
        <v>0.48983932113447265</v>
      </c>
      <c r="AU402" s="703">
        <f t="shared" si="207"/>
        <v>0.82899999999999985</v>
      </c>
      <c r="AV402" s="129"/>
      <c r="AW402" s="190"/>
      <c r="AX402" s="97"/>
      <c r="AY402" s="912"/>
      <c r="AZ402" s="772">
        <v>1980</v>
      </c>
      <c r="BA402" s="295"/>
    </row>
    <row r="403" spans="1:53" s="1" customFormat="1">
      <c r="A403" s="1040"/>
      <c r="B403" s="994"/>
      <c r="C403" s="1041" t="s">
        <v>445</v>
      </c>
      <c r="D403" s="1041" t="s">
        <v>446</v>
      </c>
      <c r="E403" s="1042">
        <v>1978</v>
      </c>
      <c r="F403" s="1041" t="s">
        <v>447</v>
      </c>
      <c r="G403" s="1041" t="s">
        <v>448</v>
      </c>
      <c r="H403" s="1041">
        <v>7</v>
      </c>
      <c r="I403" s="1045" t="s">
        <v>449</v>
      </c>
      <c r="J403" s="227"/>
      <c r="K403" s="233"/>
      <c r="L403" s="530" t="s">
        <v>450</v>
      </c>
      <c r="M403" s="85">
        <f>CONVERT(0.2821,"in","mm")</f>
        <v>7.1653400000000005</v>
      </c>
      <c r="N403" s="85">
        <f>CONVERT(70.35,"in","mm")/2</f>
        <v>893.44500000000005</v>
      </c>
      <c r="O403" s="85">
        <f>CONVERT(119.38,"in","mm")</f>
        <v>3032.252</v>
      </c>
      <c r="P403" s="86">
        <f t="shared" si="196"/>
        <v>0.30393587046500026</v>
      </c>
      <c r="Q403" s="85">
        <f>N403/M403</f>
        <v>124.68982630272953</v>
      </c>
      <c r="R403" s="233"/>
      <c r="S403" s="38" t="s">
        <v>451</v>
      </c>
      <c r="T403" s="402" t="s">
        <v>163</v>
      </c>
      <c r="U403" s="85"/>
      <c r="V403" s="37">
        <v>203403</v>
      </c>
      <c r="W403" s="93">
        <f>CONVERT(54.7,"psi","Pa")/10^3</f>
        <v>377.14322393630943</v>
      </c>
      <c r="X403" s="37"/>
      <c r="Y403" s="37"/>
      <c r="Z403" s="234"/>
      <c r="AA403" s="233"/>
      <c r="AB403" s="85"/>
      <c r="AC403" s="380" t="s">
        <v>751</v>
      </c>
      <c r="AD403" s="234"/>
      <c r="AE403" s="233"/>
      <c r="AF403" s="85"/>
      <c r="AG403" s="6"/>
      <c r="AH403" s="85"/>
      <c r="AI403" s="85"/>
      <c r="AJ403" s="234"/>
      <c r="AK403" s="233"/>
      <c r="AL403" s="85"/>
      <c r="AM403" s="85"/>
      <c r="AN403" s="627">
        <f>AO403*W403</f>
        <v>306.99458428415585</v>
      </c>
      <c r="AO403" s="628">
        <v>0.81399999999999995</v>
      </c>
      <c r="AP403" s="628"/>
      <c r="AQ403" s="627">
        <f t="shared" si="215"/>
        <v>0.61806001674406175</v>
      </c>
      <c r="AR403" s="627">
        <f t="shared" si="216"/>
        <v>987.29061927274165</v>
      </c>
      <c r="AS403" s="629"/>
      <c r="AT403" s="686">
        <f t="shared" si="213"/>
        <v>0.31094652201830331</v>
      </c>
      <c r="AU403" s="657">
        <f t="shared" si="207"/>
        <v>0.81399999999999995</v>
      </c>
      <c r="AV403" s="284"/>
      <c r="AW403" s="85"/>
      <c r="AX403" s="234"/>
      <c r="AY403" s="912"/>
      <c r="AZ403" s="760">
        <v>1978</v>
      </c>
      <c r="BA403" s="298"/>
    </row>
    <row r="404" spans="1:53">
      <c r="A404" s="1040"/>
      <c r="B404" s="994"/>
      <c r="C404" s="871"/>
      <c r="D404" s="871"/>
      <c r="E404" s="899"/>
      <c r="F404" s="871"/>
      <c r="G404" s="871"/>
      <c r="H404" s="871"/>
      <c r="I404" s="917"/>
      <c r="J404" s="221"/>
      <c r="K404" s="35"/>
      <c r="L404" s="451" t="s">
        <v>452</v>
      </c>
      <c r="M404" s="6">
        <f>CONVERT(0.2859,"in","mm")</f>
        <v>7.2618600000000004</v>
      </c>
      <c r="N404" s="6">
        <f>CONVERT(60.34,"in","mm")/2</f>
        <v>766.3180000000001</v>
      </c>
      <c r="O404" s="5">
        <f>CONVERT(119.38,"in","mm")</f>
        <v>3032.252</v>
      </c>
      <c r="P404" s="65">
        <f t="shared" si="196"/>
        <v>0.38519060593987653</v>
      </c>
      <c r="Q404" s="6">
        <f>N404/M404</f>
        <v>105.52640783490732</v>
      </c>
      <c r="R404" s="35"/>
      <c r="S404" s="6" t="s">
        <v>451</v>
      </c>
      <c r="T404" s="465" t="s">
        <v>163</v>
      </c>
      <c r="U404" s="5"/>
      <c r="V404" s="172">
        <v>203403</v>
      </c>
      <c r="W404" s="81">
        <f>CONVERT(53.96,"psi","Pa")/10^3</f>
        <v>372.04110353936483</v>
      </c>
      <c r="AA404" s="35"/>
      <c r="AC404" s="380" t="s">
        <v>751</v>
      </c>
      <c r="AE404" s="35"/>
      <c r="AK404" s="35"/>
      <c r="AN404" s="599">
        <f t="shared" ref="AN404:AN412" si="218">AO404*W404</f>
        <v>330.74454104649533</v>
      </c>
      <c r="AO404" s="554">
        <v>0.88900000000000001</v>
      </c>
      <c r="AQ404" s="599">
        <f t="shared" si="215"/>
        <v>0.56472631332742684</v>
      </c>
      <c r="AR404" s="599">
        <f t="shared" si="216"/>
        <v>1166.5809379205477</v>
      </c>
      <c r="AT404" s="686">
        <f t="shared" si="213"/>
        <v>0.28351615416934006</v>
      </c>
      <c r="AU404" s="657">
        <f t="shared" si="207"/>
        <v>0.88900000000000001</v>
      </c>
      <c r="AY404" s="912"/>
      <c r="AZ404" s="760">
        <v>1978</v>
      </c>
      <c r="BA404" s="293"/>
    </row>
    <row r="405" spans="1:53" ht="16.5" thickBot="1">
      <c r="A405" s="1040"/>
      <c r="B405" s="994"/>
      <c r="C405" s="892"/>
      <c r="D405" s="892"/>
      <c r="E405" s="1043"/>
      <c r="F405" s="892"/>
      <c r="G405" s="892"/>
      <c r="H405" s="892"/>
      <c r="I405" s="1046"/>
      <c r="J405" s="226"/>
      <c r="K405" s="231"/>
      <c r="L405" s="524" t="s">
        <v>453</v>
      </c>
      <c r="M405" s="69">
        <f>CONVERT(0.2859,"in","mm")</f>
        <v>7.2618600000000004</v>
      </c>
      <c r="N405" s="69">
        <f>CONVERT(47.35,"in","mm")/2</f>
        <v>601.34500000000003</v>
      </c>
      <c r="O405" s="40">
        <f>CONVERT(119.38,"in","mm")</f>
        <v>3032.252</v>
      </c>
      <c r="P405" s="70">
        <f t="shared" si="196"/>
        <v>0.554119802455044</v>
      </c>
      <c r="Q405" s="69">
        <f>N405/M405</f>
        <v>82.808674361664913</v>
      </c>
      <c r="R405" s="231"/>
      <c r="S405" s="94" t="s">
        <v>451</v>
      </c>
      <c r="T405" s="460" t="s">
        <v>163</v>
      </c>
      <c r="U405" s="40"/>
      <c r="V405" s="39">
        <v>203403</v>
      </c>
      <c r="W405" s="95">
        <f>CONVERT(53.96,"psi","Pa")/10^3</f>
        <v>372.04110353936483</v>
      </c>
      <c r="X405" s="39"/>
      <c r="Y405" s="39"/>
      <c r="Z405" s="97"/>
      <c r="AA405" s="231"/>
      <c r="AB405" s="40"/>
      <c r="AC405" s="380" t="s">
        <v>751</v>
      </c>
      <c r="AD405" s="97"/>
      <c r="AE405" s="231"/>
      <c r="AF405" s="40"/>
      <c r="AG405" s="40"/>
      <c r="AH405" s="40"/>
      <c r="AI405" s="40"/>
      <c r="AJ405" s="97"/>
      <c r="AK405" s="231"/>
      <c r="AL405" s="40"/>
      <c r="AM405" s="40"/>
      <c r="AN405" s="625">
        <f t="shared" si="218"/>
        <v>350.09067843054225</v>
      </c>
      <c r="AO405" s="583">
        <v>0.94099999999999995</v>
      </c>
      <c r="AP405" s="583"/>
      <c r="AQ405" s="625">
        <f t="shared" si="215"/>
        <v>0.50025952088993719</v>
      </c>
      <c r="AR405" s="625">
        <f t="shared" si="216"/>
        <v>1486.6207770670721</v>
      </c>
      <c r="AS405" s="626"/>
      <c r="AT405" s="702">
        <f t="shared" si="213"/>
        <v>0.23549427253480876</v>
      </c>
      <c r="AU405" s="703">
        <f t="shared" si="207"/>
        <v>0.94099999999999995</v>
      </c>
      <c r="AV405" s="129"/>
      <c r="AW405" s="40"/>
      <c r="AX405" s="97"/>
      <c r="AY405" s="912"/>
      <c r="AZ405" s="772">
        <v>1978</v>
      </c>
      <c r="BA405" s="293"/>
    </row>
    <row r="406" spans="1:53" s="1" customFormat="1" ht="31.5">
      <c r="A406" s="1040"/>
      <c r="B406" s="994"/>
      <c r="C406" s="6" t="s">
        <v>454</v>
      </c>
      <c r="D406" s="6" t="s">
        <v>455</v>
      </c>
      <c r="E406" s="160">
        <v>1977</v>
      </c>
      <c r="F406" s="185"/>
      <c r="G406" s="185"/>
      <c r="H406" s="185"/>
      <c r="I406" s="1044" t="s">
        <v>456</v>
      </c>
      <c r="J406" s="228"/>
      <c r="K406" s="235"/>
      <c r="L406" s="451" t="s">
        <v>457</v>
      </c>
      <c r="M406" s="6">
        <v>8.3490000000000002</v>
      </c>
      <c r="N406" s="6">
        <f>717/2</f>
        <v>358.5</v>
      </c>
      <c r="O406" s="6">
        <v>2050</v>
      </c>
      <c r="P406" s="65">
        <f t="shared" si="196"/>
        <v>0.8726444914929431</v>
      </c>
      <c r="Q406" s="65">
        <f>N406/M406</f>
        <v>42.939274164570605</v>
      </c>
      <c r="R406" s="235"/>
      <c r="S406" s="461" t="s">
        <v>451</v>
      </c>
      <c r="T406" s="491" t="s">
        <v>163</v>
      </c>
      <c r="U406" s="6"/>
      <c r="V406" s="172">
        <v>203400</v>
      </c>
      <c r="W406" s="172">
        <v>319.17</v>
      </c>
      <c r="X406" s="172"/>
      <c r="Y406" s="172"/>
      <c r="Z406" s="107"/>
      <c r="AA406" s="235"/>
      <c r="AB406" s="6"/>
      <c r="AC406" s="380" t="s">
        <v>751</v>
      </c>
      <c r="AD406" s="107"/>
      <c r="AE406" s="235"/>
      <c r="AF406" s="6"/>
      <c r="AG406" s="6"/>
      <c r="AH406" s="6"/>
      <c r="AI406" s="6"/>
      <c r="AJ406" s="107"/>
      <c r="AK406" s="235"/>
      <c r="AL406" s="6"/>
      <c r="AM406" s="6"/>
      <c r="AN406" s="599">
        <f t="shared" si="218"/>
        <v>300.33897000000002</v>
      </c>
      <c r="AO406" s="450">
        <v>0.94099999999999995</v>
      </c>
      <c r="AP406" s="450"/>
      <c r="AQ406" s="599">
        <f t="shared" si="215"/>
        <v>0.33365955692237836</v>
      </c>
      <c r="AR406" s="599">
        <f t="shared" si="216"/>
        <v>2866.9157208625456</v>
      </c>
      <c r="AS406" s="608"/>
      <c r="AT406" s="686">
        <f t="shared" si="213"/>
        <v>0.1047603066300252</v>
      </c>
      <c r="AU406" s="657">
        <f t="shared" si="207"/>
        <v>0.94099999999999995</v>
      </c>
      <c r="AV406" s="92"/>
      <c r="AW406" s="6"/>
      <c r="AX406" s="107"/>
      <c r="AY406" s="912"/>
      <c r="AZ406" s="760">
        <v>1977</v>
      </c>
      <c r="BA406" s="298"/>
    </row>
    <row r="407" spans="1:53">
      <c r="A407" s="1040"/>
      <c r="B407" s="994"/>
      <c r="C407" s="208" t="s">
        <v>458</v>
      </c>
      <c r="D407" s="5"/>
      <c r="E407" s="160"/>
      <c r="F407" s="185"/>
      <c r="G407" s="185"/>
      <c r="H407" s="185"/>
      <c r="I407" s="905"/>
      <c r="J407" s="221"/>
      <c r="K407" s="35"/>
      <c r="L407" s="451" t="s">
        <v>459</v>
      </c>
      <c r="M407" s="6">
        <v>8.0370000000000008</v>
      </c>
      <c r="N407" s="6">
        <f>741/2</f>
        <v>370.5</v>
      </c>
      <c r="O407" s="5">
        <v>2050</v>
      </c>
      <c r="P407" s="65">
        <f t="shared" si="196"/>
        <v>0.8149266617635067</v>
      </c>
      <c r="Q407" s="65">
        <f t="shared" ref="Q407:Q412" si="219">N407/M407</f>
        <v>46.099290780141843</v>
      </c>
      <c r="R407" s="35"/>
      <c r="S407" s="367" t="s">
        <v>460</v>
      </c>
      <c r="T407" s="465" t="s">
        <v>163</v>
      </c>
      <c r="U407" s="5"/>
      <c r="V407" s="172">
        <v>203400</v>
      </c>
      <c r="W407" s="172">
        <v>346.68</v>
      </c>
      <c r="AA407" s="35"/>
      <c r="AC407" s="380" t="s">
        <v>751</v>
      </c>
      <c r="AE407" s="35"/>
      <c r="AK407" s="35"/>
      <c r="AN407" s="599">
        <f t="shared" si="218"/>
        <v>349.45344</v>
      </c>
      <c r="AO407" s="554">
        <v>1.008</v>
      </c>
      <c r="AQ407" s="599">
        <f t="shared" si="215"/>
        <v>0.360310321703327</v>
      </c>
      <c r="AR407" s="599">
        <f t="shared" si="216"/>
        <v>2670.3942308341007</v>
      </c>
      <c r="AT407" s="686">
        <f t="shared" si="213"/>
        <v>0.13086211614936263</v>
      </c>
      <c r="AU407" s="657">
        <f t="shared" si="207"/>
        <v>1.008</v>
      </c>
      <c r="AY407" s="912"/>
      <c r="AZ407" s="760">
        <v>1977</v>
      </c>
      <c r="BA407" s="293"/>
    </row>
    <row r="408" spans="1:53">
      <c r="A408" s="1040"/>
      <c r="B408" s="994"/>
      <c r="C408" s="208" t="s">
        <v>461</v>
      </c>
      <c r="D408" s="5"/>
      <c r="E408" s="160"/>
      <c r="F408" s="185"/>
      <c r="G408" s="185"/>
      <c r="H408" s="185"/>
      <c r="I408" s="905"/>
      <c r="J408" s="221"/>
      <c r="K408" s="35"/>
      <c r="L408" s="451" t="s">
        <v>462</v>
      </c>
      <c r="M408" s="6">
        <v>8.3490000000000002</v>
      </c>
      <c r="N408" s="6">
        <f>1190/2</f>
        <v>595</v>
      </c>
      <c r="O408" s="5">
        <v>3050</v>
      </c>
      <c r="P408" s="65">
        <f t="shared" si="196"/>
        <v>0.60721378346872268</v>
      </c>
      <c r="Q408" s="65">
        <f t="shared" si="219"/>
        <v>71.266019882620668</v>
      </c>
      <c r="R408" s="35"/>
      <c r="S408" s="367" t="s">
        <v>451</v>
      </c>
      <c r="T408" s="465" t="s">
        <v>163</v>
      </c>
      <c r="U408" s="5"/>
      <c r="V408" s="172">
        <v>203400</v>
      </c>
      <c r="W408" s="172">
        <v>319.17</v>
      </c>
      <c r="AA408" s="35"/>
      <c r="AC408" s="380" t="s">
        <v>751</v>
      </c>
      <c r="AE408" s="35"/>
      <c r="AK408" s="35"/>
      <c r="AN408" s="599">
        <f t="shared" si="218"/>
        <v>315.65913</v>
      </c>
      <c r="AO408" s="580">
        <v>0.98899999999999999</v>
      </c>
      <c r="AQ408" s="599">
        <f t="shared" si="215"/>
        <v>0.42985053500354037</v>
      </c>
      <c r="AR408" s="599">
        <f t="shared" si="216"/>
        <v>1727.3769511415508</v>
      </c>
      <c r="AT408" s="686">
        <f t="shared" si="213"/>
        <v>0.18273899613595873</v>
      </c>
      <c r="AU408" s="657">
        <f t="shared" si="207"/>
        <v>0.98899999999999999</v>
      </c>
      <c r="AY408" s="912"/>
      <c r="AZ408" s="856">
        <v>1977</v>
      </c>
      <c r="BA408" s="293"/>
    </row>
    <row r="409" spans="1:53">
      <c r="A409" s="1040"/>
      <c r="B409" s="994"/>
      <c r="C409" s="208" t="s">
        <v>463</v>
      </c>
      <c r="D409" s="5"/>
      <c r="E409" s="160"/>
      <c r="F409" s="185"/>
      <c r="G409" s="185"/>
      <c r="H409" s="185"/>
      <c r="I409" s="905"/>
      <c r="J409" s="221"/>
      <c r="K409" s="35"/>
      <c r="L409" s="451" t="s">
        <v>464</v>
      </c>
      <c r="M409" s="6">
        <v>8.3490000000000002</v>
      </c>
      <c r="N409" s="6">
        <f>1190/2</f>
        <v>595</v>
      </c>
      <c r="O409" s="5">
        <v>2030</v>
      </c>
      <c r="P409" s="65">
        <f t="shared" si="196"/>
        <v>0.40414556735787116</v>
      </c>
      <c r="Q409" s="65">
        <f t="shared" si="219"/>
        <v>71.266019882620668</v>
      </c>
      <c r="R409" s="35"/>
      <c r="S409" s="367" t="s">
        <v>451</v>
      </c>
      <c r="T409" s="465" t="s">
        <v>163</v>
      </c>
      <c r="U409" s="5"/>
      <c r="V409" s="172">
        <v>203400</v>
      </c>
      <c r="W409" s="172">
        <v>319.17</v>
      </c>
      <c r="AA409" s="35"/>
      <c r="AC409" s="380" t="s">
        <v>751</v>
      </c>
      <c r="AE409" s="35"/>
      <c r="AK409" s="35"/>
      <c r="AN409" s="599">
        <f t="shared" si="218"/>
        <v>322.04253</v>
      </c>
      <c r="AO409" s="580">
        <v>1.0089999999999999</v>
      </c>
      <c r="AQ409" s="599">
        <f t="shared" si="215"/>
        <v>0.42985053500354037</v>
      </c>
      <c r="AR409" s="599">
        <f t="shared" si="216"/>
        <v>1727.3769511415508</v>
      </c>
      <c r="AT409" s="686">
        <f t="shared" si="213"/>
        <v>0.18643442578481531</v>
      </c>
      <c r="AU409" s="657">
        <f t="shared" si="207"/>
        <v>1.0089999999999999</v>
      </c>
      <c r="AY409" s="912"/>
      <c r="AZ409" s="856">
        <v>1977</v>
      </c>
      <c r="BA409" s="293"/>
    </row>
    <row r="410" spans="1:53">
      <c r="A410" s="1040"/>
      <c r="B410" s="994"/>
      <c r="C410" s="5"/>
      <c r="D410" s="5"/>
      <c r="E410" s="160"/>
      <c r="F410" s="185"/>
      <c r="G410" s="185"/>
      <c r="H410" s="185"/>
      <c r="I410" s="905"/>
      <c r="J410" s="221"/>
      <c r="K410" s="35"/>
      <c r="L410" s="451" t="s">
        <v>465</v>
      </c>
      <c r="M410" s="6">
        <v>8.0370000000000008</v>
      </c>
      <c r="N410" s="6">
        <f>1217/2</f>
        <v>608.5</v>
      </c>
      <c r="O410" s="5">
        <v>3050</v>
      </c>
      <c r="P410" s="65">
        <f t="shared" si="196"/>
        <v>0.57604438761450127</v>
      </c>
      <c r="Q410" s="65">
        <f t="shared" si="219"/>
        <v>75.71233047156899</v>
      </c>
      <c r="R410" s="35"/>
      <c r="S410" s="367" t="s">
        <v>460</v>
      </c>
      <c r="T410" s="465" t="s">
        <v>163</v>
      </c>
      <c r="U410" s="5"/>
      <c r="V410" s="172">
        <v>203400</v>
      </c>
      <c r="W410" s="172">
        <v>346.68</v>
      </c>
      <c r="AA410" s="35"/>
      <c r="AC410" s="380" t="s">
        <v>751</v>
      </c>
      <c r="AE410" s="35"/>
      <c r="AK410" s="35"/>
      <c r="AN410" s="599">
        <f t="shared" si="218"/>
        <v>329.69268</v>
      </c>
      <c r="AO410" s="580">
        <v>0.95099999999999996</v>
      </c>
      <c r="AQ410" s="599">
        <f t="shared" si="215"/>
        <v>0.46175636279042831</v>
      </c>
      <c r="AR410" s="599">
        <f t="shared" si="216"/>
        <v>1625.9343673361286</v>
      </c>
      <c r="AT410" s="686">
        <f t="shared" si="213"/>
        <v>0.20277121058715084</v>
      </c>
      <c r="AU410" s="657">
        <f t="shared" si="207"/>
        <v>0.95099999999999996</v>
      </c>
      <c r="AY410" s="912"/>
      <c r="AZ410" s="856">
        <v>1977</v>
      </c>
      <c r="BA410" s="293"/>
    </row>
    <row r="411" spans="1:53">
      <c r="A411" s="1040"/>
      <c r="B411" s="994"/>
      <c r="C411" s="5"/>
      <c r="D411" s="5"/>
      <c r="E411" s="160"/>
      <c r="F411" s="185"/>
      <c r="G411" s="185"/>
      <c r="H411" s="185"/>
      <c r="I411" s="905"/>
      <c r="J411" s="221"/>
      <c r="K411" s="35"/>
      <c r="L411" s="451" t="s">
        <v>466</v>
      </c>
      <c r="M411" s="6">
        <v>7.2619999999999996</v>
      </c>
      <c r="N411" s="6">
        <f>1533/2</f>
        <v>766.5</v>
      </c>
      <c r="O411" s="5">
        <v>2440</v>
      </c>
      <c r="P411" s="65">
        <f t="shared" si="196"/>
        <v>0.30984872245685674</v>
      </c>
      <c r="Q411" s="65">
        <f t="shared" si="219"/>
        <v>105.54943541724043</v>
      </c>
      <c r="R411" s="35"/>
      <c r="S411" s="367" t="s">
        <v>451</v>
      </c>
      <c r="T411" s="465" t="s">
        <v>163</v>
      </c>
      <c r="U411" s="5"/>
      <c r="V411" s="172">
        <v>203400</v>
      </c>
      <c r="W411" s="172">
        <v>372.05</v>
      </c>
      <c r="AA411" s="35"/>
      <c r="AC411" s="380" t="s">
        <v>751</v>
      </c>
      <c r="AE411" s="35"/>
      <c r="AK411" s="35"/>
      <c r="AN411" s="599">
        <f t="shared" si="218"/>
        <v>324.42759999999998</v>
      </c>
      <c r="AO411" s="580">
        <v>0.872</v>
      </c>
      <c r="AQ411" s="599">
        <f t="shared" si="215"/>
        <v>0.56479884407332515</v>
      </c>
      <c r="AR411" s="599">
        <f t="shared" si="216"/>
        <v>1166.3092242815233</v>
      </c>
      <c r="AT411" s="686">
        <f t="shared" si="213"/>
        <v>0.27816602428044396</v>
      </c>
      <c r="AU411" s="657">
        <f t="shared" si="207"/>
        <v>0.872</v>
      </c>
      <c r="AY411" s="912"/>
      <c r="AZ411" s="856">
        <v>1977</v>
      </c>
      <c r="BA411" s="293"/>
    </row>
    <row r="412" spans="1:53" ht="16.5" thickBot="1">
      <c r="A412" s="1040"/>
      <c r="B412" s="1002"/>
      <c r="C412" s="18"/>
      <c r="D412" s="18"/>
      <c r="E412" s="161"/>
      <c r="F412" s="74"/>
      <c r="G412" s="74"/>
      <c r="H412" s="74"/>
      <c r="I412" s="906"/>
      <c r="J412" s="223"/>
      <c r="K412" s="36"/>
      <c r="L412" s="453" t="s">
        <v>467</v>
      </c>
      <c r="M412" s="16">
        <v>6.5529999999999999</v>
      </c>
      <c r="N412" s="16">
        <f>1532/2</f>
        <v>766</v>
      </c>
      <c r="O412" s="18">
        <v>2440</v>
      </c>
      <c r="P412" s="89">
        <f t="shared" si="196"/>
        <v>0.29462307358037176</v>
      </c>
      <c r="Q412" s="89">
        <f t="shared" si="219"/>
        <v>116.89302609491835</v>
      </c>
      <c r="R412" s="36"/>
      <c r="S412" s="74" t="s">
        <v>468</v>
      </c>
      <c r="T412" s="466" t="s">
        <v>163</v>
      </c>
      <c r="U412" s="18"/>
      <c r="V412" s="173">
        <v>203400</v>
      </c>
      <c r="W412" s="173">
        <v>622.76</v>
      </c>
      <c r="X412" s="173"/>
      <c r="Y412" s="173"/>
      <c r="Z412" s="31"/>
      <c r="AA412" s="36"/>
      <c r="AB412" s="18"/>
      <c r="AC412" s="381" t="s">
        <v>751</v>
      </c>
      <c r="AD412" s="31"/>
      <c r="AE412" s="36"/>
      <c r="AF412" s="18"/>
      <c r="AG412" s="18"/>
      <c r="AH412" s="18"/>
      <c r="AI412" s="18"/>
      <c r="AJ412" s="31"/>
      <c r="AK412" s="36"/>
      <c r="AL412" s="18"/>
      <c r="AM412" s="18"/>
      <c r="AN412" s="604">
        <f t="shared" si="218"/>
        <v>567.95712000000003</v>
      </c>
      <c r="AO412" s="587">
        <v>0.91200000000000003</v>
      </c>
      <c r="AP412" s="556"/>
      <c r="AQ412" s="604">
        <f t="shared" si="215"/>
        <v>0.76898849679172598</v>
      </c>
      <c r="AR412" s="604">
        <f t="shared" si="216"/>
        <v>1053.1276694374674</v>
      </c>
      <c r="AS412" s="577"/>
      <c r="AT412" s="687">
        <f t="shared" si="213"/>
        <v>0.53930509707657448</v>
      </c>
      <c r="AU412" s="658">
        <f t="shared" si="207"/>
        <v>0.91200000000000003</v>
      </c>
      <c r="AV412" s="91"/>
      <c r="AW412" s="18"/>
      <c r="AX412" s="31"/>
      <c r="AY412" s="913"/>
      <c r="AZ412" s="856">
        <v>1977</v>
      </c>
      <c r="BA412" s="295"/>
    </row>
    <row r="413" spans="1:53" ht="33.950000000000003" customHeight="1">
      <c r="B413" s="990">
        <v>23</v>
      </c>
      <c r="C413" s="933" t="s">
        <v>469</v>
      </c>
      <c r="D413" s="922" t="s">
        <v>470</v>
      </c>
      <c r="E413" s="1016">
        <v>1971</v>
      </c>
      <c r="F413" s="922" t="s">
        <v>471</v>
      </c>
      <c r="G413" s="922" t="s">
        <v>472</v>
      </c>
      <c r="H413" s="922"/>
      <c r="I413" s="904" t="s">
        <v>473</v>
      </c>
      <c r="J413" s="222"/>
      <c r="K413" s="34" t="s">
        <v>474</v>
      </c>
      <c r="L413" s="528" t="s">
        <v>199</v>
      </c>
      <c r="M413" s="108">
        <v>9.5000000000000001E-2</v>
      </c>
      <c r="N413" s="108">
        <v>49.1</v>
      </c>
      <c r="O413" s="108">
        <v>36.799999999999997</v>
      </c>
      <c r="P413" s="209">
        <f t="shared" si="196"/>
        <v>3.2967603866441451E-2</v>
      </c>
      <c r="Q413" s="108">
        <v>501</v>
      </c>
      <c r="R413" s="34"/>
      <c r="S413" t="s">
        <v>803</v>
      </c>
      <c r="T413" s="494" t="s">
        <v>175</v>
      </c>
      <c r="U413" s="127"/>
      <c r="V413" s="335">
        <v>92182.51</v>
      </c>
      <c r="W413" s="341"/>
      <c r="X413" s="335"/>
      <c r="Y413" s="341"/>
      <c r="Z413" s="252"/>
      <c r="AA413" s="277"/>
      <c r="AB413" s="973" t="s">
        <v>806</v>
      </c>
      <c r="AC413" s="392" t="s">
        <v>751</v>
      </c>
      <c r="AD413" s="894" t="s">
        <v>808</v>
      </c>
      <c r="AE413" s="342"/>
      <c r="AF413" s="127"/>
      <c r="AG413" s="127"/>
      <c r="AH413" s="127"/>
      <c r="AI413" s="127"/>
      <c r="AJ413" s="252"/>
      <c r="AK413" s="342"/>
      <c r="AL413" s="127"/>
      <c r="AM413" s="22">
        <v>1.2552509999999999</v>
      </c>
      <c r="AN413" s="578"/>
      <c r="AO413" s="578"/>
      <c r="AP413" s="578"/>
      <c r="AQ413" s="578"/>
      <c r="AR413" s="630">
        <f t="shared" ref="AR413:AR418" si="220">$V$413*M413/N413/SQRT(3*(1-0.3^2))</f>
        <v>107.94668722686627</v>
      </c>
      <c r="AS413" s="631">
        <f t="shared" ref="AS413:AS443" si="221">2*PI()*N413*M413*AR413/1000</f>
        <v>3.1636926430804548</v>
      </c>
      <c r="AT413" s="688">
        <f t="shared" ref="AT413:AT443" si="222">AM413/AS413</f>
        <v>0.39676768308876392</v>
      </c>
      <c r="AU413" s="348"/>
      <c r="AV413" s="128"/>
      <c r="AW413" s="15"/>
      <c r="AX413" s="29"/>
      <c r="AY413" s="462"/>
      <c r="AZ413" s="540">
        <v>1971</v>
      </c>
      <c r="BA413" s="292"/>
    </row>
    <row r="414" spans="1:53">
      <c r="B414" s="991"/>
      <c r="C414" s="954"/>
      <c r="D414" s="873"/>
      <c r="E414" s="1017"/>
      <c r="F414" s="873"/>
      <c r="G414" s="873"/>
      <c r="H414" s="873"/>
      <c r="I414" s="923"/>
      <c r="J414" s="221"/>
      <c r="K414" s="35"/>
      <c r="L414" s="98" t="s">
        <v>207</v>
      </c>
      <c r="M414" s="41">
        <v>9.6000000000000002E-2</v>
      </c>
      <c r="N414" s="41">
        <v>49.1</v>
      </c>
      <c r="O414" s="41">
        <v>36.799999999999997</v>
      </c>
      <c r="P414" s="210">
        <f t="shared" si="196"/>
        <v>3.3140663343531399E-2</v>
      </c>
      <c r="Q414" s="41">
        <v>496</v>
      </c>
      <c r="R414" s="35"/>
      <c r="S414" t="s">
        <v>803</v>
      </c>
      <c r="T414" s="494" t="s">
        <v>175</v>
      </c>
      <c r="U414" s="7"/>
      <c r="V414" s="336">
        <v>92182.51</v>
      </c>
      <c r="W414" s="71"/>
      <c r="X414" s="336"/>
      <c r="Y414" s="71"/>
      <c r="Z414" s="248"/>
      <c r="AA414" s="277"/>
      <c r="AB414" s="973"/>
      <c r="AC414" s="392" t="s">
        <v>751</v>
      </c>
      <c r="AD414" s="894"/>
      <c r="AE414" s="277"/>
      <c r="AF414" s="7"/>
      <c r="AG414" s="7"/>
      <c r="AH414" s="7"/>
      <c r="AI414" s="7"/>
      <c r="AJ414" s="248"/>
      <c r="AK414" s="277"/>
      <c r="AL414" s="7"/>
      <c r="AM414" s="163">
        <v>1.1964109999999999</v>
      </c>
      <c r="AN414" s="580"/>
      <c r="AO414" s="580"/>
      <c r="AP414" s="580"/>
      <c r="AQ414" s="580"/>
      <c r="AR414" s="632">
        <f t="shared" si="220"/>
        <v>109.08296814504382</v>
      </c>
      <c r="AS414" s="582">
        <f t="shared" si="221"/>
        <v>3.2306472463855371</v>
      </c>
      <c r="AT414" s="689">
        <f t="shared" si="222"/>
        <v>0.37033167311551884</v>
      </c>
      <c r="AU414" s="349"/>
      <c r="AY414" s="90"/>
      <c r="AZ414" s="541">
        <v>1971</v>
      </c>
      <c r="BA414" s="293"/>
    </row>
    <row r="415" spans="1:53">
      <c r="B415" s="991"/>
      <c r="C415" s="954"/>
      <c r="D415" s="873"/>
      <c r="E415" s="1017"/>
      <c r="F415" s="873"/>
      <c r="G415" s="873"/>
      <c r="H415" s="873"/>
      <c r="I415" s="923"/>
      <c r="J415" s="221"/>
      <c r="K415" s="35"/>
      <c r="L415" s="98" t="s">
        <v>208</v>
      </c>
      <c r="M415" s="41">
        <v>9.5000000000000001E-2</v>
      </c>
      <c r="N415" s="41">
        <v>49.1</v>
      </c>
      <c r="O415" s="41">
        <v>17.2</v>
      </c>
      <c r="P415" s="210">
        <f t="shared" si="196"/>
        <v>1.5408771372358503E-2</v>
      </c>
      <c r="Q415" s="41">
        <v>501</v>
      </c>
      <c r="R415" s="35"/>
      <c r="S415" t="s">
        <v>803</v>
      </c>
      <c r="T415" s="494" t="s">
        <v>175</v>
      </c>
      <c r="U415" s="7"/>
      <c r="V415" s="336">
        <v>92182.51</v>
      </c>
      <c r="W415" s="71"/>
      <c r="X415" s="336"/>
      <c r="Y415" s="71"/>
      <c r="Z415" s="248"/>
      <c r="AA415" s="277"/>
      <c r="AB415" s="973"/>
      <c r="AC415" s="392" t="s">
        <v>751</v>
      </c>
      <c r="AD415" s="894"/>
      <c r="AE415" s="277"/>
      <c r="AF415" s="7"/>
      <c r="AG415" s="7"/>
      <c r="AH415" s="7"/>
      <c r="AI415" s="7"/>
      <c r="AJ415" s="248"/>
      <c r="AK415" s="277"/>
      <c r="AL415" s="7"/>
      <c r="AM415" s="163">
        <v>1.7651969999999999</v>
      </c>
      <c r="AN415" s="580"/>
      <c r="AO415" s="580"/>
      <c r="AP415" s="580"/>
      <c r="AQ415" s="580"/>
      <c r="AR415" s="632">
        <f t="shared" si="220"/>
        <v>107.94668722686627</v>
      </c>
      <c r="AS415" s="582">
        <f t="shared" si="221"/>
        <v>3.1636926430804548</v>
      </c>
      <c r="AT415" s="689">
        <f t="shared" si="222"/>
        <v>0.55795464324285493</v>
      </c>
      <c r="AU415" s="349"/>
      <c r="AY415" s="90"/>
      <c r="AZ415" s="541">
        <v>1971</v>
      </c>
      <c r="BA415" s="293"/>
    </row>
    <row r="416" spans="1:53">
      <c r="B416" s="991"/>
      <c r="C416" s="954"/>
      <c r="D416" s="873"/>
      <c r="E416" s="1017"/>
      <c r="F416" s="873"/>
      <c r="G416" s="873"/>
      <c r="H416" s="873"/>
      <c r="I416" s="923"/>
      <c r="J416" s="221"/>
      <c r="K416" s="35"/>
      <c r="L416" s="98" t="s">
        <v>475</v>
      </c>
      <c r="M416" s="41">
        <v>9.5000000000000001E-2</v>
      </c>
      <c r="N416" s="41">
        <v>49.1</v>
      </c>
      <c r="O416" s="41">
        <v>17.2</v>
      </c>
      <c r="P416" s="210">
        <f t="shared" si="196"/>
        <v>1.5408771372358503E-2</v>
      </c>
      <c r="Q416" s="41">
        <v>511</v>
      </c>
      <c r="R416" s="35"/>
      <c r="S416" t="s">
        <v>803</v>
      </c>
      <c r="T416" s="494" t="s">
        <v>175</v>
      </c>
      <c r="U416" s="7"/>
      <c r="V416" s="336">
        <v>92182.51</v>
      </c>
      <c r="W416" s="71"/>
      <c r="X416" s="336"/>
      <c r="Y416" s="71"/>
      <c r="Z416" s="248"/>
      <c r="AA416" s="277"/>
      <c r="AB416" s="973"/>
      <c r="AC416" s="392" t="s">
        <v>751</v>
      </c>
      <c r="AD416" s="894"/>
      <c r="AE416" s="277"/>
      <c r="AF416" s="7"/>
      <c r="AG416" s="7"/>
      <c r="AH416" s="7"/>
      <c r="AI416" s="7"/>
      <c r="AJ416" s="248"/>
      <c r="AK416" s="277"/>
      <c r="AL416" s="7"/>
      <c r="AM416" s="163">
        <v>1.4906109999999999</v>
      </c>
      <c r="AN416" s="580"/>
      <c r="AO416" s="580"/>
      <c r="AP416" s="580"/>
      <c r="AQ416" s="580"/>
      <c r="AR416" s="632">
        <f t="shared" si="220"/>
        <v>107.94668722686627</v>
      </c>
      <c r="AS416" s="582">
        <f t="shared" si="221"/>
        <v>3.1636926430804548</v>
      </c>
      <c r="AT416" s="689">
        <f t="shared" si="222"/>
        <v>0.47116176195567699</v>
      </c>
      <c r="AU416" s="349"/>
      <c r="AY416" s="90"/>
      <c r="AZ416" s="541">
        <v>1971</v>
      </c>
      <c r="BA416" s="293"/>
    </row>
    <row r="417" spans="2:53">
      <c r="B417" s="991"/>
      <c r="C417" s="954"/>
      <c r="D417" s="873"/>
      <c r="E417" s="1017"/>
      <c r="F417" s="873"/>
      <c r="G417" s="873"/>
      <c r="H417" s="873"/>
      <c r="I417" s="923"/>
      <c r="J417" s="221"/>
      <c r="K417" s="35"/>
      <c r="L417" s="98" t="s">
        <v>209</v>
      </c>
      <c r="M417" s="41">
        <v>9.4E-2</v>
      </c>
      <c r="N417" s="41">
        <v>49.1</v>
      </c>
      <c r="O417" s="41">
        <v>7.4</v>
      </c>
      <c r="P417" s="210">
        <f t="shared" si="196"/>
        <v>6.5943714767665931E-3</v>
      </c>
      <c r="Q417" s="41">
        <v>496</v>
      </c>
      <c r="R417" s="35"/>
      <c r="S417" t="s">
        <v>803</v>
      </c>
      <c r="T417" s="494" t="s">
        <v>175</v>
      </c>
      <c r="U417" s="7"/>
      <c r="V417" s="336">
        <v>92182.51</v>
      </c>
      <c r="W417" s="71"/>
      <c r="X417" s="336"/>
      <c r="Y417" s="71"/>
      <c r="Z417" s="248"/>
      <c r="AA417" s="277"/>
      <c r="AB417" s="973"/>
      <c r="AC417" s="392" t="s">
        <v>751</v>
      </c>
      <c r="AD417" s="894"/>
      <c r="AE417" s="277"/>
      <c r="AF417" s="7"/>
      <c r="AG417" s="7"/>
      <c r="AH417" s="7"/>
      <c r="AI417" s="7"/>
      <c r="AJ417" s="248"/>
      <c r="AK417" s="277"/>
      <c r="AL417" s="7"/>
      <c r="AM417" s="163">
        <v>2.5987619999999998</v>
      </c>
      <c r="AN417" s="580"/>
      <c r="AO417" s="580"/>
      <c r="AP417" s="580"/>
      <c r="AQ417" s="580"/>
      <c r="AR417" s="632">
        <f t="shared" si="220"/>
        <v>106.81040630868873</v>
      </c>
      <c r="AS417" s="582">
        <f t="shared" si="221"/>
        <v>3.0974391350979391</v>
      </c>
      <c r="AT417" s="689">
        <f t="shared" si="222"/>
        <v>0.83900341109296039</v>
      </c>
      <c r="AU417" s="349"/>
      <c r="AY417" s="90"/>
      <c r="AZ417" s="541">
        <v>1971</v>
      </c>
      <c r="BA417" s="293"/>
    </row>
    <row r="418" spans="2:53">
      <c r="B418" s="991"/>
      <c r="C418" s="954"/>
      <c r="D418" s="873"/>
      <c r="E418" s="1017"/>
      <c r="F418" s="873"/>
      <c r="G418" s="873"/>
      <c r="H418" s="873"/>
      <c r="I418" s="923"/>
      <c r="J418" s="221"/>
      <c r="K418" s="35"/>
      <c r="L418" s="98" t="s">
        <v>210</v>
      </c>
      <c r="M418" s="41">
        <v>9.4E-2</v>
      </c>
      <c r="N418" s="41">
        <v>49.1</v>
      </c>
      <c r="O418" s="41">
        <v>7.4</v>
      </c>
      <c r="P418" s="210">
        <f t="shared" si="196"/>
        <v>6.5943714767665931E-3</v>
      </c>
      <c r="Q418" s="41">
        <v>496</v>
      </c>
      <c r="R418" s="35"/>
      <c r="S418" t="s">
        <v>803</v>
      </c>
      <c r="T418" s="494" t="s">
        <v>175</v>
      </c>
      <c r="U418" s="7"/>
      <c r="V418" s="336">
        <v>92182.51</v>
      </c>
      <c r="W418" s="71"/>
      <c r="X418" s="336"/>
      <c r="Y418" s="71"/>
      <c r="Z418" s="248"/>
      <c r="AA418" s="277"/>
      <c r="AB418" s="973"/>
      <c r="AC418" s="392" t="s">
        <v>751</v>
      </c>
      <c r="AD418" s="894"/>
      <c r="AE418" s="277"/>
      <c r="AF418" s="7"/>
      <c r="AG418" s="7"/>
      <c r="AH418" s="7"/>
      <c r="AI418" s="7"/>
      <c r="AJ418" s="248"/>
      <c r="AK418" s="277"/>
      <c r="AL418" s="7"/>
      <c r="AM418" s="163">
        <v>2.500696</v>
      </c>
      <c r="AN418" s="580"/>
      <c r="AO418" s="580"/>
      <c r="AP418" s="580"/>
      <c r="AQ418" s="580"/>
      <c r="AR418" s="632">
        <f t="shared" si="220"/>
        <v>106.81040630868873</v>
      </c>
      <c r="AS418" s="582">
        <f t="shared" si="221"/>
        <v>3.0974391350979391</v>
      </c>
      <c r="AT418" s="689">
        <f t="shared" si="222"/>
        <v>0.80734306339192341</v>
      </c>
      <c r="AU418" s="349"/>
      <c r="AY418" s="90"/>
      <c r="AZ418" s="541">
        <v>1971</v>
      </c>
      <c r="BA418" s="293"/>
    </row>
    <row r="419" spans="2:53" ht="48" customHeight="1">
      <c r="B419" s="991"/>
      <c r="C419" s="954"/>
      <c r="D419" s="873"/>
      <c r="E419" s="1017"/>
      <c r="F419" s="873"/>
      <c r="G419" s="873"/>
      <c r="H419" s="873"/>
      <c r="I419" s="923"/>
      <c r="J419" s="221"/>
      <c r="K419" s="35" t="s">
        <v>476</v>
      </c>
      <c r="L419" s="98" t="s">
        <v>362</v>
      </c>
      <c r="M419" s="41">
        <v>2</v>
      </c>
      <c r="N419" s="41">
        <v>49</v>
      </c>
      <c r="O419" s="41">
        <v>200</v>
      </c>
      <c r="P419" s="210">
        <f t="shared" si="196"/>
        <v>0.82461432208343732</v>
      </c>
      <c r="Q419" s="41">
        <v>24.5</v>
      </c>
      <c r="R419" s="35"/>
      <c r="S419" t="s">
        <v>804</v>
      </c>
      <c r="T419" s="494" t="s">
        <v>163</v>
      </c>
      <c r="U419" s="145">
        <f>2*PI()*N419*M419*X419/1000</f>
        <v>217.38477315167867</v>
      </c>
      <c r="V419" s="336">
        <v>205939.65</v>
      </c>
      <c r="W419" s="71"/>
      <c r="X419" s="336">
        <v>353.0394</v>
      </c>
      <c r="Y419" s="71"/>
      <c r="Z419" s="248"/>
      <c r="AA419" s="277"/>
      <c r="AB419" s="866" t="s">
        <v>807</v>
      </c>
      <c r="AC419" s="392" t="s">
        <v>751</v>
      </c>
      <c r="AD419" s="894"/>
      <c r="AE419" s="277"/>
      <c r="AF419" s="7"/>
      <c r="AG419" s="7"/>
      <c r="AH419" s="7"/>
      <c r="AI419" s="7"/>
      <c r="AJ419" s="248"/>
      <c r="AK419" s="277"/>
      <c r="AL419" s="7"/>
      <c r="AM419" s="163">
        <v>203.97829999999999</v>
      </c>
      <c r="AN419" s="580"/>
      <c r="AO419" s="580"/>
      <c r="AP419" s="580">
        <f t="shared" ref="AP419:AP443" si="223">AM419/U419</f>
        <v>0.93832837067054176</v>
      </c>
      <c r="AQ419" s="633">
        <f>SQRT(X419/AR419)</f>
        <v>0.26343004554493188</v>
      </c>
      <c r="AR419" s="634">
        <f>V419*M419/N419/SQRT(3*(1-0.3^2))</f>
        <v>5087.361071354152</v>
      </c>
      <c r="AS419" s="582">
        <f t="shared" si="221"/>
        <v>3132.5535689132807</v>
      </c>
      <c r="AT419" s="689">
        <f t="shared" si="222"/>
        <v>6.5115662194649218E-2</v>
      </c>
      <c r="AU419" s="349">
        <f t="shared" si="207"/>
        <v>0.93832837067054176</v>
      </c>
      <c r="AY419" s="90"/>
      <c r="AZ419" s="541">
        <v>1971</v>
      </c>
      <c r="BA419" s="293"/>
    </row>
    <row r="420" spans="2:53">
      <c r="B420" s="991"/>
      <c r="C420" s="954"/>
      <c r="D420" s="873"/>
      <c r="E420" s="1017"/>
      <c r="F420" s="873"/>
      <c r="G420" s="873"/>
      <c r="H420" s="873"/>
      <c r="I420" s="923"/>
      <c r="J420" s="221"/>
      <c r="K420" s="35"/>
      <c r="L420" s="98" t="s">
        <v>364</v>
      </c>
      <c r="M420" s="41">
        <v>1.1499999999999999</v>
      </c>
      <c r="N420" s="41">
        <v>49.1</v>
      </c>
      <c r="O420" s="41">
        <v>87</v>
      </c>
      <c r="P420" s="210">
        <f t="shared" ref="P420:P460" si="224">O420/N420*SQRT(M420/N420)</f>
        <v>0.27117268083923418</v>
      </c>
      <c r="Q420" s="41">
        <v>42.7</v>
      </c>
      <c r="R420" s="35"/>
      <c r="S420" t="s">
        <v>804</v>
      </c>
      <c r="T420" s="494" t="s">
        <v>163</v>
      </c>
      <c r="U420" s="145">
        <f t="shared" ref="U420:U427" si="225">2*PI()*N420*M420*X420/1000</f>
        <v>125.25133893887281</v>
      </c>
      <c r="V420" s="336">
        <v>205939.65</v>
      </c>
      <c r="W420" s="71"/>
      <c r="X420" s="336">
        <v>353.0394</v>
      </c>
      <c r="Y420" s="71"/>
      <c r="Z420" s="248"/>
      <c r="AA420" s="277"/>
      <c r="AB420" s="866"/>
      <c r="AC420" s="392" t="s">
        <v>751</v>
      </c>
      <c r="AD420" s="894"/>
      <c r="AE420" s="277"/>
      <c r="AF420" s="7"/>
      <c r="AG420" s="7"/>
      <c r="AH420" s="7"/>
      <c r="AI420" s="7"/>
      <c r="AJ420" s="248"/>
      <c r="AK420" s="277"/>
      <c r="AL420" s="7"/>
      <c r="AM420" s="163">
        <v>98.556830000000005</v>
      </c>
      <c r="AN420" s="580"/>
      <c r="AO420" s="580"/>
      <c r="AP420" s="580">
        <f t="shared" si="223"/>
        <v>0.78687246647398568</v>
      </c>
      <c r="AQ420" s="633">
        <f t="shared" ref="AQ420:AQ427" si="226">SQRT(X420/AR420)</f>
        <v>0.3477555666755387</v>
      </c>
      <c r="AR420" s="634">
        <f t="shared" ref="AR420:AR427" si="227">V420*M420/N420/SQRT(3*(1-0.3^2))</f>
        <v>2919.2749121263387</v>
      </c>
      <c r="AS420" s="582">
        <f t="shared" si="221"/>
        <v>1035.7005237219535</v>
      </c>
      <c r="AT420" s="689">
        <f t="shared" si="222"/>
        <v>9.5159583048022869E-2</v>
      </c>
      <c r="AU420" s="349">
        <f t="shared" si="207"/>
        <v>0.78687246647398568</v>
      </c>
      <c r="AY420" s="90"/>
      <c r="AZ420" s="541">
        <v>1971</v>
      </c>
      <c r="BA420" s="293"/>
    </row>
    <row r="421" spans="2:53">
      <c r="B421" s="991"/>
      <c r="C421" s="954"/>
      <c r="D421" s="873"/>
      <c r="E421" s="1017"/>
      <c r="F421" s="873"/>
      <c r="G421" s="873"/>
      <c r="H421" s="873"/>
      <c r="I421" s="923"/>
      <c r="J421" s="221"/>
      <c r="K421" s="35"/>
      <c r="L421" s="98" t="s">
        <v>477</v>
      </c>
      <c r="M421" s="41">
        <v>0.5</v>
      </c>
      <c r="N421" s="41">
        <v>48.7</v>
      </c>
      <c r="O421" s="41">
        <v>87</v>
      </c>
      <c r="P421" s="210">
        <f t="shared" si="224"/>
        <v>0.18101343630210584</v>
      </c>
      <c r="Q421" s="41">
        <v>97.3</v>
      </c>
      <c r="R421" s="35"/>
      <c r="S421" t="s">
        <v>804</v>
      </c>
      <c r="T421" s="494" t="s">
        <v>163</v>
      </c>
      <c r="U421" s="145">
        <f t="shared" si="225"/>
        <v>54.013461492279347</v>
      </c>
      <c r="V421" s="336">
        <v>205939.65</v>
      </c>
      <c r="W421" s="71"/>
      <c r="X421" s="336">
        <v>353.0394</v>
      </c>
      <c r="Y421" s="71"/>
      <c r="Z421" s="248"/>
      <c r="AA421" s="277"/>
      <c r="AB421" s="866"/>
      <c r="AC421" s="392" t="s">
        <v>751</v>
      </c>
      <c r="AD421" s="894"/>
      <c r="AE421" s="277"/>
      <c r="AF421" s="7"/>
      <c r="AG421" s="7"/>
      <c r="AH421" s="7"/>
      <c r="AI421" s="7"/>
      <c r="AJ421" s="248"/>
      <c r="AK421" s="277"/>
      <c r="AL421" s="7"/>
      <c r="AM421" s="163">
        <v>37.265270000000001</v>
      </c>
      <c r="AN421" s="580"/>
      <c r="AO421" s="580"/>
      <c r="AP421" s="580">
        <f t="shared" si="223"/>
        <v>0.6899256031818416</v>
      </c>
      <c r="AQ421" s="633">
        <f t="shared" si="226"/>
        <v>0.52524477786217494</v>
      </c>
      <c r="AR421" s="634">
        <f t="shared" si="227"/>
        <v>1279.6750128149563</v>
      </c>
      <c r="AS421" s="582">
        <f t="shared" si="221"/>
        <v>195.7845980570801</v>
      </c>
      <c r="AT421" s="689">
        <f t="shared" si="222"/>
        <v>0.1903381081546337</v>
      </c>
      <c r="AU421" s="349">
        <f t="shared" si="207"/>
        <v>0.6899256031818416</v>
      </c>
      <c r="AY421" s="90"/>
      <c r="AZ421" s="541">
        <v>1971</v>
      </c>
      <c r="BA421" s="293"/>
    </row>
    <row r="422" spans="2:53">
      <c r="B422" s="991"/>
      <c r="C422" s="954"/>
      <c r="D422" s="873"/>
      <c r="E422" s="1017"/>
      <c r="F422" s="873"/>
      <c r="G422" s="873"/>
      <c r="H422" s="873"/>
      <c r="I422" s="923"/>
      <c r="J422" s="221"/>
      <c r="K422" s="35"/>
      <c r="L422" s="98" t="s">
        <v>478</v>
      </c>
      <c r="M422" s="41">
        <v>0.53</v>
      </c>
      <c r="N422" s="41">
        <v>48.5</v>
      </c>
      <c r="O422" s="41">
        <v>90</v>
      </c>
      <c r="P422" s="210">
        <f t="shared" si="224"/>
        <v>0.19398486027127274</v>
      </c>
      <c r="Q422" s="41">
        <v>91.5</v>
      </c>
      <c r="R422" s="35"/>
      <c r="S422" t="s">
        <v>804</v>
      </c>
      <c r="T422" s="494" t="s">
        <v>163</v>
      </c>
      <c r="U422" s="145">
        <f t="shared" si="225"/>
        <v>57.019138712896947</v>
      </c>
      <c r="V422" s="336">
        <v>205939.65</v>
      </c>
      <c r="W422" s="71"/>
      <c r="X422" s="336">
        <v>353.0394</v>
      </c>
      <c r="Y422" s="71"/>
      <c r="Z422" s="248"/>
      <c r="AA422" s="277"/>
      <c r="AB422" s="866"/>
      <c r="AC422" s="392" t="s">
        <v>751</v>
      </c>
      <c r="AD422" s="894"/>
      <c r="AE422" s="277"/>
      <c r="AF422" s="7"/>
      <c r="AG422" s="7"/>
      <c r="AH422" s="7"/>
      <c r="AI422" s="7"/>
      <c r="AJ422" s="248"/>
      <c r="AK422" s="277"/>
      <c r="AL422" s="7"/>
      <c r="AM422" s="163">
        <v>58.34957</v>
      </c>
      <c r="AN422" s="580"/>
      <c r="AO422" s="580"/>
      <c r="AP422" s="580">
        <f t="shared" si="223"/>
        <v>1.0233330653028985</v>
      </c>
      <c r="AQ422" s="633">
        <f t="shared" si="226"/>
        <v>0.50911418700127697</v>
      </c>
      <c r="AR422" s="634">
        <f t="shared" si="227"/>
        <v>1362.0491445677048</v>
      </c>
      <c r="AS422" s="582">
        <f t="shared" si="221"/>
        <v>219.98357437693522</v>
      </c>
      <c r="AT422" s="689">
        <f t="shared" si="222"/>
        <v>0.26524512189269084</v>
      </c>
      <c r="AU422" s="349">
        <f t="shared" si="207"/>
        <v>1.0233330653028985</v>
      </c>
      <c r="AY422" s="90"/>
      <c r="AZ422" s="541">
        <v>1971</v>
      </c>
      <c r="BA422" s="293"/>
    </row>
    <row r="423" spans="2:53">
      <c r="B423" s="991"/>
      <c r="C423" s="954"/>
      <c r="D423" s="873"/>
      <c r="E423" s="1017"/>
      <c r="F423" s="873"/>
      <c r="G423" s="873"/>
      <c r="H423" s="873"/>
      <c r="I423" s="923"/>
      <c r="J423" s="221"/>
      <c r="K423" s="35"/>
      <c r="L423" s="98" t="s">
        <v>479</v>
      </c>
      <c r="M423" s="41">
        <v>0.5</v>
      </c>
      <c r="N423" s="41">
        <v>49.8</v>
      </c>
      <c r="O423" s="41">
        <v>87</v>
      </c>
      <c r="P423" s="210">
        <f t="shared" si="224"/>
        <v>0.17504924447010445</v>
      </c>
      <c r="Q423" s="41">
        <v>99</v>
      </c>
      <c r="R423" s="35"/>
      <c r="S423" t="s">
        <v>804</v>
      </c>
      <c r="T423" s="494" t="s">
        <v>163</v>
      </c>
      <c r="U423" s="145">
        <f t="shared" si="225"/>
        <v>55.233478076293878</v>
      </c>
      <c r="V423" s="336">
        <v>205939.65</v>
      </c>
      <c r="W423" s="71"/>
      <c r="X423" s="336">
        <v>353.0394</v>
      </c>
      <c r="Y423" s="71"/>
      <c r="Z423" s="248"/>
      <c r="AA423" s="277"/>
      <c r="AB423" s="866"/>
      <c r="AC423" s="392" t="s">
        <v>751</v>
      </c>
      <c r="AD423" s="894"/>
      <c r="AE423" s="277"/>
      <c r="AF423" s="7"/>
      <c r="AG423" s="7"/>
      <c r="AH423" s="7"/>
      <c r="AI423" s="7"/>
      <c r="AJ423" s="248"/>
      <c r="AK423" s="277"/>
      <c r="AL423" s="7"/>
      <c r="AM423" s="163">
        <v>47.071919999999999</v>
      </c>
      <c r="AN423" s="580"/>
      <c r="AO423" s="580"/>
      <c r="AP423" s="580">
        <f t="shared" si="223"/>
        <v>0.85223530437427208</v>
      </c>
      <c r="AQ423" s="633">
        <f t="shared" si="226"/>
        <v>0.53114357696186398</v>
      </c>
      <c r="AR423" s="634">
        <f t="shared" si="227"/>
        <v>1251.4090988772766</v>
      </c>
      <c r="AS423" s="582">
        <f t="shared" si="221"/>
        <v>195.78459805708013</v>
      </c>
      <c r="AT423" s="689">
        <f t="shared" si="222"/>
        <v>0.24042708398480042</v>
      </c>
      <c r="AU423" s="349">
        <f t="shared" si="207"/>
        <v>0.85223530437427208</v>
      </c>
      <c r="AY423" s="90"/>
      <c r="AZ423" s="541">
        <v>1971</v>
      </c>
      <c r="BA423" s="293"/>
    </row>
    <row r="424" spans="2:53">
      <c r="B424" s="991"/>
      <c r="C424" s="954"/>
      <c r="D424" s="873"/>
      <c r="E424" s="1017"/>
      <c r="F424" s="873"/>
      <c r="G424" s="873"/>
      <c r="H424" s="873"/>
      <c r="I424" s="923"/>
      <c r="J424" s="221"/>
      <c r="K424" s="35"/>
      <c r="L424" s="98" t="s">
        <v>480</v>
      </c>
      <c r="M424" s="41">
        <v>0.3</v>
      </c>
      <c r="N424" s="41">
        <v>48.5</v>
      </c>
      <c r="O424" s="41">
        <v>90</v>
      </c>
      <c r="P424" s="210">
        <f t="shared" si="224"/>
        <v>0.1459454395619903</v>
      </c>
      <c r="Q424" s="41">
        <v>162</v>
      </c>
      <c r="R424" s="35"/>
      <c r="S424" t="s">
        <v>804</v>
      </c>
      <c r="T424" s="494" t="s">
        <v>163</v>
      </c>
      <c r="U424" s="145">
        <f t="shared" si="225"/>
        <v>32.274984177111477</v>
      </c>
      <c r="V424" s="336">
        <v>205939.65</v>
      </c>
      <c r="W424" s="71"/>
      <c r="X424" s="336">
        <v>353.0394</v>
      </c>
      <c r="Y424" s="71"/>
      <c r="Z424" s="248"/>
      <c r="AA424" s="277"/>
      <c r="AB424" s="866"/>
      <c r="AC424" s="392" t="s">
        <v>751</v>
      </c>
      <c r="AD424" s="894"/>
      <c r="AE424" s="277"/>
      <c r="AF424" s="7"/>
      <c r="AG424" s="7"/>
      <c r="AH424" s="7"/>
      <c r="AI424" s="7"/>
      <c r="AJ424" s="248"/>
      <c r="AK424" s="277"/>
      <c r="AL424" s="7"/>
      <c r="AM424" s="163">
        <v>25.69342</v>
      </c>
      <c r="AN424" s="580"/>
      <c r="AO424" s="580"/>
      <c r="AP424" s="580">
        <f t="shared" si="223"/>
        <v>0.79607846928771109</v>
      </c>
      <c r="AQ424" s="633">
        <f t="shared" si="226"/>
        <v>0.67669428194511583</v>
      </c>
      <c r="AR424" s="634">
        <f t="shared" si="227"/>
        <v>770.97121390624784</v>
      </c>
      <c r="AS424" s="582">
        <f t="shared" si="221"/>
        <v>70.482455300548821</v>
      </c>
      <c r="AT424" s="689">
        <f t="shared" si="222"/>
        <v>0.36453639264465204</v>
      </c>
      <c r="AU424" s="349">
        <f t="shared" si="207"/>
        <v>0.79607846928771109</v>
      </c>
      <c r="AY424" s="90"/>
      <c r="AZ424" s="541">
        <v>1971</v>
      </c>
      <c r="BA424" s="293"/>
    </row>
    <row r="425" spans="2:53">
      <c r="B425" s="991"/>
      <c r="C425" s="954"/>
      <c r="D425" s="873"/>
      <c r="E425" s="1017"/>
      <c r="F425" s="873"/>
      <c r="G425" s="873"/>
      <c r="H425" s="873"/>
      <c r="I425" s="923"/>
      <c r="J425" s="221"/>
      <c r="K425" s="35"/>
      <c r="L425" s="98" t="s">
        <v>481</v>
      </c>
      <c r="M425" s="41">
        <v>3</v>
      </c>
      <c r="N425" s="41">
        <v>350</v>
      </c>
      <c r="O425" s="41">
        <v>800</v>
      </c>
      <c r="P425" s="210">
        <f t="shared" si="224"/>
        <v>0.2116160228051546</v>
      </c>
      <c r="Q425" s="41">
        <v>117</v>
      </c>
      <c r="R425" s="35"/>
      <c r="S425" t="s">
        <v>805</v>
      </c>
      <c r="T425" s="494" t="s">
        <v>163</v>
      </c>
      <c r="U425" s="145">
        <f t="shared" si="225"/>
        <v>1552.7483796548474</v>
      </c>
      <c r="V425" s="336">
        <v>205939.65</v>
      </c>
      <c r="W425" s="71"/>
      <c r="X425" s="336">
        <v>235.3596</v>
      </c>
      <c r="Y425" s="71"/>
      <c r="Z425" s="248"/>
      <c r="AA425" s="277"/>
      <c r="AB425" s="866"/>
      <c r="AC425" s="392" t="s">
        <v>751</v>
      </c>
      <c r="AD425" s="894"/>
      <c r="AE425" s="277"/>
      <c r="AF425" s="7"/>
      <c r="AG425" s="7"/>
      <c r="AH425" s="7"/>
      <c r="AI425" s="7"/>
      <c r="AJ425" s="248"/>
      <c r="AK425" s="277"/>
      <c r="AL425" s="7"/>
      <c r="AM425" s="163">
        <v>1784.81</v>
      </c>
      <c r="AN425" s="580"/>
      <c r="AO425" s="580"/>
      <c r="AP425" s="580">
        <f t="shared" si="223"/>
        <v>1.1494521735689953</v>
      </c>
      <c r="AQ425" s="633">
        <f t="shared" si="226"/>
        <v>0.4693642741959001</v>
      </c>
      <c r="AR425" s="634">
        <f t="shared" si="227"/>
        <v>1068.345824984372</v>
      </c>
      <c r="AS425" s="582">
        <f t="shared" si="221"/>
        <v>7048.2455300548818</v>
      </c>
      <c r="AT425" s="689">
        <f t="shared" si="222"/>
        <v>0.25322755746650366</v>
      </c>
      <c r="AU425" s="349">
        <f t="shared" si="207"/>
        <v>1.1494521735689953</v>
      </c>
      <c r="AY425" s="90"/>
      <c r="AZ425" s="541">
        <v>1971</v>
      </c>
      <c r="BA425" s="293"/>
    </row>
    <row r="426" spans="2:53">
      <c r="B426" s="991"/>
      <c r="C426" s="954"/>
      <c r="D426" s="873"/>
      <c r="E426" s="1017"/>
      <c r="F426" s="873"/>
      <c r="G426" s="873"/>
      <c r="H426" s="873"/>
      <c r="I426" s="923"/>
      <c r="J426" s="221"/>
      <c r="K426" s="35"/>
      <c r="L426" s="98" t="s">
        <v>482</v>
      </c>
      <c r="M426" s="41">
        <v>2</v>
      </c>
      <c r="N426" s="41">
        <v>350</v>
      </c>
      <c r="O426" s="41">
        <v>800</v>
      </c>
      <c r="P426" s="210">
        <f t="shared" si="224"/>
        <v>0.17278375908993243</v>
      </c>
      <c r="Q426" s="41">
        <v>150</v>
      </c>
      <c r="R426" s="35"/>
      <c r="S426" t="s">
        <v>805</v>
      </c>
      <c r="T426" s="494" t="s">
        <v>163</v>
      </c>
      <c r="U426" s="145">
        <f t="shared" si="225"/>
        <v>1035.1655864365653</v>
      </c>
      <c r="V426" s="336">
        <v>205939.65</v>
      </c>
      <c r="W426" s="71"/>
      <c r="X426" s="336">
        <v>235.3596</v>
      </c>
      <c r="Y426" s="71"/>
      <c r="Z426" s="248"/>
      <c r="AA426" s="277"/>
      <c r="AB426" s="866"/>
      <c r="AC426" s="392" t="s">
        <v>751</v>
      </c>
      <c r="AD426" s="894"/>
      <c r="AE426" s="277"/>
      <c r="AF426" s="7"/>
      <c r="AG426" s="7"/>
      <c r="AH426" s="7"/>
      <c r="AI426" s="7"/>
      <c r="AJ426" s="248"/>
      <c r="AK426" s="277"/>
      <c r="AL426" s="7"/>
      <c r="AM426" s="163">
        <v>874.75319999999999</v>
      </c>
      <c r="AN426" s="580"/>
      <c r="AO426" s="580"/>
      <c r="AP426" s="580">
        <f t="shared" si="223"/>
        <v>0.84503697907040565</v>
      </c>
      <c r="AQ426" s="633">
        <f t="shared" si="226"/>
        <v>0.57485148763586424</v>
      </c>
      <c r="AR426" s="634">
        <f t="shared" si="227"/>
        <v>712.23054998958139</v>
      </c>
      <c r="AS426" s="582">
        <f t="shared" si="221"/>
        <v>3132.5535689132817</v>
      </c>
      <c r="AT426" s="689">
        <f t="shared" si="222"/>
        <v>0.27924604663774732</v>
      </c>
      <c r="AU426" s="349">
        <f t="shared" si="207"/>
        <v>0.84503697907040565</v>
      </c>
      <c r="AY426" s="90"/>
      <c r="AZ426" s="541">
        <v>1971</v>
      </c>
      <c r="BA426" s="293"/>
    </row>
    <row r="427" spans="2:53" ht="16.5" thickBot="1">
      <c r="B427" s="992"/>
      <c r="C427" s="935"/>
      <c r="D427" s="874"/>
      <c r="E427" s="1018"/>
      <c r="F427" s="874"/>
      <c r="G427" s="874"/>
      <c r="H427" s="874"/>
      <c r="I427" s="924"/>
      <c r="J427" s="223"/>
      <c r="K427" s="35"/>
      <c r="L427" s="98" t="s">
        <v>483</v>
      </c>
      <c r="M427" s="41">
        <v>2.5</v>
      </c>
      <c r="N427" s="41">
        <v>350</v>
      </c>
      <c r="O427" s="41">
        <v>3000</v>
      </c>
      <c r="P427" s="210">
        <f t="shared" si="224"/>
        <v>0.72441793262444276</v>
      </c>
      <c r="Q427" s="41">
        <v>140</v>
      </c>
      <c r="R427" s="35"/>
      <c r="S427" t="s">
        <v>805</v>
      </c>
      <c r="T427" s="494" t="s">
        <v>163</v>
      </c>
      <c r="U427" s="145">
        <f t="shared" si="225"/>
        <v>1293.9569830457065</v>
      </c>
      <c r="V427" s="500">
        <v>205939.65</v>
      </c>
      <c r="W427" s="71"/>
      <c r="X427" s="500">
        <v>235.3596</v>
      </c>
      <c r="Y427" s="71"/>
      <c r="Z427" s="248"/>
      <c r="AA427" s="277"/>
      <c r="AB427" s="866"/>
      <c r="AC427" s="392" t="s">
        <v>751</v>
      </c>
      <c r="AD427" s="894"/>
      <c r="AE427" s="277"/>
      <c r="AF427" s="7"/>
      <c r="AG427" s="7"/>
      <c r="AH427" s="7"/>
      <c r="AI427" s="7"/>
      <c r="AJ427" s="248"/>
      <c r="AK427" s="277"/>
      <c r="AL427" s="7"/>
      <c r="AM427" s="163">
        <v>1138.5519999999999</v>
      </c>
      <c r="AN427" s="580"/>
      <c r="AO427" s="580"/>
      <c r="AP427" s="580">
        <f t="shared" si="223"/>
        <v>0.87989942086025497</v>
      </c>
      <c r="AQ427" s="633">
        <f t="shared" si="226"/>
        <v>0.51416280132826886</v>
      </c>
      <c r="AR427" s="634">
        <f t="shared" si="227"/>
        <v>890.28818748697665</v>
      </c>
      <c r="AS427" s="582">
        <f t="shared" si="221"/>
        <v>4894.6149514270019</v>
      </c>
      <c r="AT427" s="689">
        <f t="shared" si="222"/>
        <v>0.23261319047539386</v>
      </c>
      <c r="AU427" s="349">
        <f t="shared" si="207"/>
        <v>0.87989942086025497</v>
      </c>
      <c r="AY427" s="90"/>
      <c r="AZ427" s="542">
        <v>1971</v>
      </c>
      <c r="BA427" s="295"/>
    </row>
    <row r="428" spans="2:53" s="1" customFormat="1">
      <c r="B428" s="1001">
        <v>24</v>
      </c>
      <c r="C428" s="870" t="s">
        <v>484</v>
      </c>
      <c r="D428" s="870" t="s">
        <v>485</v>
      </c>
      <c r="E428" s="898">
        <v>1934</v>
      </c>
      <c r="F428" s="870" t="s">
        <v>471</v>
      </c>
      <c r="G428" s="870" t="s">
        <v>486</v>
      </c>
      <c r="H428" s="870" t="s">
        <v>487</v>
      </c>
      <c r="I428" s="910" t="s">
        <v>488</v>
      </c>
      <c r="J428" s="225"/>
      <c r="K428" s="232"/>
      <c r="L428" s="449" t="s">
        <v>199</v>
      </c>
      <c r="M428" s="138">
        <f>CONVERT(0.00204,"in","mm")</f>
        <v>5.1816000000000008E-2</v>
      </c>
      <c r="N428" s="47">
        <f>CONVERT(1.88,"in","mm")/2</f>
        <v>23.876000000000001</v>
      </c>
      <c r="O428" s="73">
        <f>CONVERT(5.315,"in","mm")</f>
        <v>135.001</v>
      </c>
      <c r="P428" s="72">
        <f t="shared" si="224"/>
        <v>0.26340655122956258</v>
      </c>
      <c r="Q428" s="708">
        <f>N428/M428</f>
        <v>460.78431372549016</v>
      </c>
      <c r="R428" s="232"/>
      <c r="S428" s="480" t="s">
        <v>163</v>
      </c>
      <c r="T428" s="464" t="s">
        <v>163</v>
      </c>
      <c r="U428" s="72">
        <f>2*PI()*N428*M428*W428/10^3</f>
        <v>3.0924317154985128</v>
      </c>
      <c r="V428" s="48">
        <f>CONVERT(31.4*10^6,"psi","Pa")/10^6</f>
        <v>216495.37900548655</v>
      </c>
      <c r="W428" s="48">
        <f>CONVERT(57.7*10^3,"psi","Pa")/10^6</f>
        <v>397.82749581581447</v>
      </c>
      <c r="X428" s="14"/>
      <c r="Y428" s="14"/>
      <c r="Z428" s="950" t="s">
        <v>489</v>
      </c>
      <c r="AA428" s="878"/>
      <c r="AB428" s="870" t="s">
        <v>1002</v>
      </c>
      <c r="AC428" s="464" t="s">
        <v>750</v>
      </c>
      <c r="AD428" s="867" t="s">
        <v>490</v>
      </c>
      <c r="AE428" s="878"/>
      <c r="AF428" s="870" t="s">
        <v>491</v>
      </c>
      <c r="AG428" s="875"/>
      <c r="AH428" s="211"/>
      <c r="AI428" s="211"/>
      <c r="AJ428" s="711">
        <f t="shared" ref="AJ428:AJ443" si="228">CONVERT(1/8/2,"in","mm")/N428</f>
        <v>6.6489361702127658E-2</v>
      </c>
      <c r="AK428" s="232"/>
      <c r="AL428" s="14"/>
      <c r="AM428" s="47">
        <f>CONVERT(192,"lbm","kg")*9.81/10^3</f>
        <v>0.85435030074240015</v>
      </c>
      <c r="AN428" s="19"/>
      <c r="AO428" s="19"/>
      <c r="AP428" s="597">
        <f t="shared" si="223"/>
        <v>0.27627135514766743</v>
      </c>
      <c r="AQ428" s="597">
        <f t="shared" ref="AQ428:AQ466" si="229">SQRT(W428/AR428)</f>
        <v>1.1828034630256554</v>
      </c>
      <c r="AR428" s="597">
        <f t="shared" ref="AR428:AR443" si="230">1/SQRT(3*(1-0.3^2))*V428*1/Q428</f>
        <v>284.36073053421632</v>
      </c>
      <c r="AS428" s="547">
        <f t="shared" si="221"/>
        <v>2.2104207250508003</v>
      </c>
      <c r="AT428" s="688">
        <f t="shared" si="222"/>
        <v>0.3865102652449865</v>
      </c>
      <c r="AU428" s="348">
        <f t="shared" si="207"/>
        <v>0.27627135514766743</v>
      </c>
      <c r="AV428" s="283"/>
      <c r="AW428" s="14"/>
      <c r="AX428" s="106"/>
      <c r="AY428" s="106"/>
      <c r="AZ428" s="773">
        <v>1934</v>
      </c>
      <c r="BA428" s="298"/>
    </row>
    <row r="429" spans="2:53">
      <c r="B429" s="994"/>
      <c r="C429" s="871"/>
      <c r="D429" s="871"/>
      <c r="E429" s="899"/>
      <c r="F429" s="871"/>
      <c r="G429" s="871"/>
      <c r="H429" s="871"/>
      <c r="I429" s="871"/>
      <c r="J429" s="221"/>
      <c r="K429" s="35"/>
      <c r="L429" s="451" t="s">
        <v>207</v>
      </c>
      <c r="M429" s="84">
        <f t="shared" ref="M429:M430" si="231">CONVERT(0.00204,"in","mm")</f>
        <v>5.1816000000000008E-2</v>
      </c>
      <c r="N429" s="46">
        <f t="shared" ref="N429:N431" si="232">CONVERT(1.88,"in","mm")/2</f>
        <v>23.876000000000001</v>
      </c>
      <c r="O429" s="66">
        <f t="shared" ref="O429:O433" si="233">CONVERT(5.315,"in","mm")</f>
        <v>135.001</v>
      </c>
      <c r="P429" s="65">
        <f t="shared" si="224"/>
        <v>0.26340655122956258</v>
      </c>
      <c r="Q429" s="709">
        <f t="shared" ref="Q429:Q433" si="234">N429/M429</f>
        <v>460.78431372549016</v>
      </c>
      <c r="R429" s="35"/>
      <c r="S429" s="481"/>
      <c r="T429" s="465" t="s">
        <v>163</v>
      </c>
      <c r="U429" s="65">
        <f t="shared" ref="U429:U433" si="235">2*PI()*N429*M429*W429/10^3</f>
        <v>3.0924317154985128</v>
      </c>
      <c r="V429" s="49">
        <f t="shared" ref="V429" si="236">CONVERT(31.4*10^6,"psi","Pa")/10^6</f>
        <v>216495.37900548655</v>
      </c>
      <c r="W429" s="49">
        <f t="shared" ref="W429:W430" si="237">CONVERT(57.7*10^3,"psi","Pa")/10^6</f>
        <v>397.82749581581447</v>
      </c>
      <c r="X429" s="481"/>
      <c r="Y429" s="481"/>
      <c r="Z429" s="951"/>
      <c r="AA429" s="879"/>
      <c r="AB429" s="871"/>
      <c r="AC429" s="465" t="s">
        <v>750</v>
      </c>
      <c r="AD429" s="868"/>
      <c r="AE429" s="879"/>
      <c r="AF429" s="871"/>
      <c r="AG429" s="876"/>
      <c r="AH429" s="508"/>
      <c r="AI429" s="508"/>
      <c r="AJ429" s="712">
        <f t="shared" si="228"/>
        <v>6.6489361702127658E-2</v>
      </c>
      <c r="AK429" s="235"/>
      <c r="AM429" s="52">
        <f>CONVERT(218,"lbm","kg")*9.81/10^3</f>
        <v>0.97004357063460012</v>
      </c>
      <c r="AP429" s="599">
        <f t="shared" si="223"/>
        <v>0.3136831011572474</v>
      </c>
      <c r="AQ429" s="599">
        <f t="shared" si="229"/>
        <v>1.1828034630256554</v>
      </c>
      <c r="AR429" s="599">
        <f t="shared" si="230"/>
        <v>284.36073053421632</v>
      </c>
      <c r="AS429" s="576">
        <f t="shared" si="221"/>
        <v>2.2104207250508003</v>
      </c>
      <c r="AT429" s="689">
        <f t="shared" si="222"/>
        <v>0.43885019699691169</v>
      </c>
      <c r="AU429" s="349">
        <f t="shared" si="207"/>
        <v>0.3136831011572474</v>
      </c>
      <c r="AY429" s="30"/>
      <c r="AZ429" s="774">
        <v>1934</v>
      </c>
      <c r="BA429" s="293"/>
    </row>
    <row r="430" spans="2:53">
      <c r="B430" s="994"/>
      <c r="C430" s="871"/>
      <c r="D430" s="871"/>
      <c r="E430" s="899"/>
      <c r="F430" s="871"/>
      <c r="G430" s="871"/>
      <c r="H430" s="871"/>
      <c r="I430" s="871"/>
      <c r="J430" s="221"/>
      <c r="K430" s="35"/>
      <c r="L430" s="451" t="s">
        <v>208</v>
      </c>
      <c r="M430" s="84">
        <f t="shared" si="231"/>
        <v>5.1816000000000008E-2</v>
      </c>
      <c r="N430" s="46">
        <f t="shared" si="232"/>
        <v>23.876000000000001</v>
      </c>
      <c r="O430" s="66">
        <f t="shared" si="233"/>
        <v>135.001</v>
      </c>
      <c r="P430" s="65">
        <f t="shared" si="224"/>
        <v>0.26340655122956258</v>
      </c>
      <c r="Q430" s="709">
        <f t="shared" si="234"/>
        <v>460.78431372549016</v>
      </c>
      <c r="R430" s="35"/>
      <c r="S430" s="481"/>
      <c r="T430" s="465" t="s">
        <v>163</v>
      </c>
      <c r="U430" s="65">
        <f t="shared" si="235"/>
        <v>3.0924317154985128</v>
      </c>
      <c r="V430" s="49">
        <f>CONVERT(31.4*10^6,"psi","Pa")/10^6</f>
        <v>216495.37900548655</v>
      </c>
      <c r="W430" s="49">
        <f t="shared" si="237"/>
        <v>397.82749581581447</v>
      </c>
      <c r="X430" s="481"/>
      <c r="Y430" s="481"/>
      <c r="Z430" s="951"/>
      <c r="AA430" s="879"/>
      <c r="AB430" s="871"/>
      <c r="AC430" s="465" t="s">
        <v>750</v>
      </c>
      <c r="AD430" s="868"/>
      <c r="AE430" s="879"/>
      <c r="AF430" s="871"/>
      <c r="AG430" s="876"/>
      <c r="AH430" s="508"/>
      <c r="AI430" s="508"/>
      <c r="AJ430" s="712">
        <f t="shared" si="228"/>
        <v>6.6489361702127658E-2</v>
      </c>
      <c r="AK430" s="235"/>
      <c r="AM430" s="52">
        <f>CONVERT(231,"lbm","kg")*9.81/10^3</f>
        <v>1.0278902055807</v>
      </c>
      <c r="AP430" s="599">
        <f t="shared" si="223"/>
        <v>0.33238897416203733</v>
      </c>
      <c r="AQ430" s="599">
        <f t="shared" si="229"/>
        <v>1.1828034630256554</v>
      </c>
      <c r="AR430" s="599">
        <f t="shared" si="230"/>
        <v>284.36073053421632</v>
      </c>
      <c r="AS430" s="576">
        <f t="shared" si="221"/>
        <v>2.2104207250508003</v>
      </c>
      <c r="AT430" s="689">
        <f t="shared" si="222"/>
        <v>0.46502016287287429</v>
      </c>
      <c r="AU430" s="349">
        <f t="shared" si="207"/>
        <v>0.33238897416203733</v>
      </c>
      <c r="AY430" s="30"/>
      <c r="AZ430" s="773">
        <v>1934</v>
      </c>
      <c r="BA430" s="293"/>
    </row>
    <row r="431" spans="2:53">
      <c r="B431" s="994"/>
      <c r="C431" s="871"/>
      <c r="D431" s="871"/>
      <c r="E431" s="899"/>
      <c r="F431" s="871"/>
      <c r="G431" s="871"/>
      <c r="H431" s="871"/>
      <c r="I431" s="871"/>
      <c r="J431" s="221"/>
      <c r="K431" s="35"/>
      <c r="L431" s="451" t="s">
        <v>362</v>
      </c>
      <c r="M431" s="84">
        <f>CONVERT(0.0032,"in","mm")</f>
        <v>8.1279999999999991E-2</v>
      </c>
      <c r="N431" s="46">
        <f t="shared" si="232"/>
        <v>23.876000000000001</v>
      </c>
      <c r="O431" s="66">
        <f t="shared" si="233"/>
        <v>135.001</v>
      </c>
      <c r="P431" s="65">
        <f t="shared" si="224"/>
        <v>0.32990316162183381</v>
      </c>
      <c r="Q431" s="709">
        <f t="shared" si="234"/>
        <v>293.75000000000006</v>
      </c>
      <c r="R431" s="35"/>
      <c r="S431" s="481" t="s">
        <v>175</v>
      </c>
      <c r="T431" s="465" t="s">
        <v>175</v>
      </c>
      <c r="U431" s="65">
        <f t="shared" si="235"/>
        <v>2.2699060405331113</v>
      </c>
      <c r="V431" s="49">
        <f>CONVERT(16.5*10^6,"psi","Pa")/10^6</f>
        <v>113763.49533727797</v>
      </c>
      <c r="W431" s="49">
        <f>CONVERT(27*10^3,"psi","Pa")/10^6</f>
        <v>186.15844691554577</v>
      </c>
      <c r="X431" s="5"/>
      <c r="Y431" s="481"/>
      <c r="Z431" s="951"/>
      <c r="AA431" s="879"/>
      <c r="AB431" s="871"/>
      <c r="AC431" s="465" t="s">
        <v>750</v>
      </c>
      <c r="AD431" s="868"/>
      <c r="AE431" s="879"/>
      <c r="AF431" s="871"/>
      <c r="AG431" s="876"/>
      <c r="AH431" s="508"/>
      <c r="AI431" s="508"/>
      <c r="AJ431" s="712">
        <f t="shared" si="228"/>
        <v>6.6489361702127658E-2</v>
      </c>
      <c r="AK431" s="235"/>
      <c r="AM431" s="52">
        <f>CONVERT(250,"lbm","kg")*9.81/10^3</f>
        <v>1.1124352874250001</v>
      </c>
      <c r="AP431" s="599">
        <f t="shared" si="223"/>
        <v>0.49007988329055813</v>
      </c>
      <c r="AQ431" s="599">
        <f t="shared" si="229"/>
        <v>0.89118836804024459</v>
      </c>
      <c r="AR431" s="599">
        <f t="shared" si="230"/>
        <v>234.39250924513888</v>
      </c>
      <c r="AS431" s="576">
        <f t="shared" si="221"/>
        <v>2.858043679493242</v>
      </c>
      <c r="AT431" s="689">
        <f t="shared" si="222"/>
        <v>0.38922963123581278</v>
      </c>
      <c r="AU431" s="349">
        <f t="shared" si="207"/>
        <v>0.49007988329055813</v>
      </c>
      <c r="AY431" s="30"/>
      <c r="AZ431" s="774">
        <v>1934</v>
      </c>
      <c r="BA431" s="293"/>
    </row>
    <row r="432" spans="2:53">
      <c r="B432" s="994"/>
      <c r="C432" s="871"/>
      <c r="D432" s="871"/>
      <c r="E432" s="899"/>
      <c r="F432" s="871"/>
      <c r="G432" s="871"/>
      <c r="H432" s="871"/>
      <c r="I432" s="871"/>
      <c r="J432" s="221"/>
      <c r="K432" s="35"/>
      <c r="L432" s="451" t="s">
        <v>366</v>
      </c>
      <c r="M432" s="84">
        <f>CONVERT(0.00295,"in","mm")</f>
        <v>7.4929999999999997E-2</v>
      </c>
      <c r="N432" s="46">
        <f>CONVERT(3.75,"in","mm")/2</f>
        <v>47.625</v>
      </c>
      <c r="O432" s="66">
        <f>CONVERT(5.315,"in","mm")</f>
        <v>135.001</v>
      </c>
      <c r="P432" s="65">
        <f t="shared" si="224"/>
        <v>0.11243780758630441</v>
      </c>
      <c r="Q432" s="709">
        <f>N432/M432</f>
        <v>635.59322033898309</v>
      </c>
      <c r="R432" s="35"/>
      <c r="S432" s="481" t="s">
        <v>163</v>
      </c>
      <c r="T432" s="465" t="s">
        <v>163</v>
      </c>
      <c r="U432" s="65">
        <f>2*PI()*N432*M432*W432/10^3</f>
        <v>7.5132154308702743</v>
      </c>
      <c r="V432" s="49">
        <f>CONVERT(30.6*10^6,"psi","Pa")/10^6</f>
        <v>210979.57317095189</v>
      </c>
      <c r="W432" s="49">
        <f>CONVERT(48.6*10^3,"psi","Pa")/10^6</f>
        <v>335.08520444798239</v>
      </c>
      <c r="X432" s="5"/>
      <c r="Y432" s="481"/>
      <c r="Z432" s="951"/>
      <c r="AA432" s="879"/>
      <c r="AB432" s="871"/>
      <c r="AC432" s="465" t="s">
        <v>750</v>
      </c>
      <c r="AD432" s="868"/>
      <c r="AE432" s="879"/>
      <c r="AF432" s="871"/>
      <c r="AG432" s="876"/>
      <c r="AH432" s="508"/>
      <c r="AI432" s="508"/>
      <c r="AJ432" s="712">
        <f t="shared" si="228"/>
        <v>3.3333333333333333E-2</v>
      </c>
      <c r="AK432" s="235"/>
      <c r="AM432" s="46">
        <f>CONVERT(287,"lbm","kg")*9.81/10^3</f>
        <v>1.2770757099638999</v>
      </c>
      <c r="AP432" s="599">
        <f t="shared" si="223"/>
        <v>0.16997725164603367</v>
      </c>
      <c r="AQ432" s="599">
        <f t="shared" si="229"/>
        <v>1.2914800778037814</v>
      </c>
      <c r="AR432" s="599">
        <f t="shared" si="230"/>
        <v>200.89995051500171</v>
      </c>
      <c r="AS432" s="576">
        <f t="shared" si="221"/>
        <v>4.5045397058248824</v>
      </c>
      <c r="AT432" s="689">
        <f t="shared" si="222"/>
        <v>0.2835085920793407</v>
      </c>
      <c r="AU432" s="349">
        <f t="shared" si="207"/>
        <v>0.16997725164603367</v>
      </c>
      <c r="AY432" s="30"/>
      <c r="AZ432" s="773">
        <v>1934</v>
      </c>
      <c r="BA432" s="293"/>
    </row>
    <row r="433" spans="2:53">
      <c r="B433" s="994"/>
      <c r="C433" s="871"/>
      <c r="D433" s="871"/>
      <c r="E433" s="899"/>
      <c r="F433" s="871"/>
      <c r="G433" s="871"/>
      <c r="H433" s="871"/>
      <c r="I433" s="871"/>
      <c r="J433" s="221"/>
      <c r="K433" s="35"/>
      <c r="L433" s="451" t="s">
        <v>368</v>
      </c>
      <c r="M433" s="6">
        <f>CONVERT(0.00295,"in","mm")</f>
        <v>7.4929999999999997E-2</v>
      </c>
      <c r="N433" s="46">
        <f>CONVERT(3.75,"in","mm")/2</f>
        <v>47.625</v>
      </c>
      <c r="O433" s="66">
        <f t="shared" si="233"/>
        <v>135.001</v>
      </c>
      <c r="P433" s="65">
        <f t="shared" si="224"/>
        <v>0.11243780758630441</v>
      </c>
      <c r="Q433" s="709">
        <f t="shared" si="234"/>
        <v>635.59322033898309</v>
      </c>
      <c r="R433" s="35"/>
      <c r="S433" s="481"/>
      <c r="T433" s="465" t="s">
        <v>163</v>
      </c>
      <c r="U433" s="65">
        <f t="shared" si="235"/>
        <v>7.5132154308702743</v>
      </c>
      <c r="V433" s="49">
        <f>CONVERT(30.6*10^6,"psi","Pa")/10^6</f>
        <v>210979.57317095189</v>
      </c>
      <c r="W433" s="49">
        <f>CONVERT(48.6*10^3,"psi","Pa")/10^6</f>
        <v>335.08520444798239</v>
      </c>
      <c r="X433" s="5"/>
      <c r="Y433" s="481"/>
      <c r="Z433" s="951"/>
      <c r="AA433" s="879"/>
      <c r="AB433" s="871"/>
      <c r="AC433" s="465" t="s">
        <v>750</v>
      </c>
      <c r="AD433" s="868"/>
      <c r="AE433" s="879"/>
      <c r="AF433" s="871"/>
      <c r="AG433" s="876"/>
      <c r="AH433" s="508"/>
      <c r="AI433" s="508"/>
      <c r="AJ433" s="712">
        <f t="shared" si="228"/>
        <v>3.3333333333333333E-2</v>
      </c>
      <c r="AK433" s="235"/>
      <c r="AM433" s="52">
        <f>CONVERT(287,"lbm","kg")*9.81/10^3</f>
        <v>1.2770757099638999</v>
      </c>
      <c r="AP433" s="599">
        <f t="shared" si="223"/>
        <v>0.16997725164603367</v>
      </c>
      <c r="AQ433" s="599">
        <f t="shared" si="229"/>
        <v>1.2914800778037814</v>
      </c>
      <c r="AR433" s="599">
        <f t="shared" si="230"/>
        <v>200.89995051500171</v>
      </c>
      <c r="AS433" s="576">
        <f t="shared" si="221"/>
        <v>4.5045397058248824</v>
      </c>
      <c r="AT433" s="689">
        <f t="shared" si="222"/>
        <v>0.2835085920793407</v>
      </c>
      <c r="AU433" s="349">
        <f t="shared" si="207"/>
        <v>0.16997725164603367</v>
      </c>
      <c r="AY433" s="30"/>
      <c r="AZ433" s="774">
        <v>1934</v>
      </c>
      <c r="BA433" s="293"/>
    </row>
    <row r="434" spans="2:53">
      <c r="B434" s="994"/>
      <c r="C434" s="871"/>
      <c r="D434" s="871"/>
      <c r="E434" s="899"/>
      <c r="F434" s="871"/>
      <c r="G434" s="871"/>
      <c r="H434" s="871"/>
      <c r="I434" s="871"/>
      <c r="J434" s="221"/>
      <c r="K434" s="35"/>
      <c r="L434" s="451" t="s">
        <v>214</v>
      </c>
      <c r="M434" s="84">
        <f>CONVERT(0.00204,"in","mm")</f>
        <v>5.1816000000000008E-2</v>
      </c>
      <c r="N434" s="46">
        <f>CONVERT(1.88,"in","mm")/2</f>
        <v>23.876000000000001</v>
      </c>
      <c r="O434" s="66">
        <f>CONVERT(11.315,"in","mm")</f>
        <v>287.40100000000001</v>
      </c>
      <c r="P434" s="65">
        <f t="shared" si="224"/>
        <v>0.56076107754703686</v>
      </c>
      <c r="Q434" s="709">
        <f>N434/M434</f>
        <v>460.78431372549016</v>
      </c>
      <c r="R434" s="35"/>
      <c r="S434" s="481" t="s">
        <v>163</v>
      </c>
      <c r="T434" s="465" t="s">
        <v>163</v>
      </c>
      <c r="U434" s="65">
        <f>2*PI()*N434*M434*W434/10^3</f>
        <v>2.8566136990653503</v>
      </c>
      <c r="V434" s="49">
        <f>CONVERT(27.06*10^6,"psi","Pa")/10^6</f>
        <v>186572.13235313585</v>
      </c>
      <c r="W434" s="49">
        <f>CONVERT(53.3*10^3,"psi","Pa")/10^6</f>
        <v>367.49056372587364</v>
      </c>
      <c r="X434" s="5"/>
      <c r="Y434" s="481"/>
      <c r="Z434" s="951"/>
      <c r="AA434" s="879"/>
      <c r="AB434" s="871"/>
      <c r="AC434" s="465" t="s">
        <v>750</v>
      </c>
      <c r="AD434" s="868"/>
      <c r="AE434" s="879"/>
      <c r="AF434" s="871"/>
      <c r="AG434" s="876"/>
      <c r="AH434" s="508"/>
      <c r="AI434" s="508"/>
      <c r="AJ434" s="712">
        <f t="shared" si="228"/>
        <v>6.6489361702127658E-2</v>
      </c>
      <c r="AK434" s="235"/>
      <c r="AM434" s="46">
        <f>CONVERT(125,"lbm","kg")*9.81/10^3</f>
        <v>0.55621764371250004</v>
      </c>
      <c r="AP434" s="599">
        <f t="shared" si="223"/>
        <v>0.19471223704293225</v>
      </c>
      <c r="AQ434" s="599">
        <f t="shared" si="229"/>
        <v>1.2245857832908482</v>
      </c>
      <c r="AR434" s="599">
        <f t="shared" si="230"/>
        <v>245.05736841579272</v>
      </c>
      <c r="AS434" s="576">
        <f t="shared" si="221"/>
        <v>1.9049039751552435</v>
      </c>
      <c r="AT434" s="689">
        <f t="shared" si="222"/>
        <v>0.29199248411835044</v>
      </c>
      <c r="AU434" s="349">
        <f t="shared" si="207"/>
        <v>0.19471223704293225</v>
      </c>
      <c r="AY434" s="30"/>
      <c r="AZ434" s="773">
        <v>1934</v>
      </c>
      <c r="BA434" s="293"/>
    </row>
    <row r="435" spans="2:53">
      <c r="B435" s="994"/>
      <c r="C435" s="871"/>
      <c r="D435" s="871"/>
      <c r="E435" s="899"/>
      <c r="F435" s="871"/>
      <c r="G435" s="871"/>
      <c r="H435" s="871"/>
      <c r="I435" s="871"/>
      <c r="J435" s="221"/>
      <c r="K435" s="35"/>
      <c r="L435" s="451" t="s">
        <v>217</v>
      </c>
      <c r="M435" s="84">
        <f t="shared" ref="M435:M436" si="238">CONVERT(0.00204,"in","mm")</f>
        <v>5.1816000000000008E-2</v>
      </c>
      <c r="N435" s="46">
        <f t="shared" ref="N435:N436" si="239">CONVERT(1.88,"in","mm")/2</f>
        <v>23.876000000000001</v>
      </c>
      <c r="O435" s="66">
        <f t="shared" ref="O435:O436" si="240">CONVERT(11.315,"in","mm")</f>
        <v>287.40100000000001</v>
      </c>
      <c r="P435" s="65">
        <f t="shared" si="224"/>
        <v>0.56076107754703686</v>
      </c>
      <c r="Q435" s="709">
        <f t="shared" ref="Q435:Q436" si="241">N435/M435</f>
        <v>460.78431372549016</v>
      </c>
      <c r="R435" s="35"/>
      <c r="S435" s="481"/>
      <c r="T435" s="465" t="s">
        <v>163</v>
      </c>
      <c r="U435" s="65">
        <f t="shared" ref="U435:U438" si="242">2*PI()*N435*M435*W435/10^3</f>
        <v>2.8566136990653503</v>
      </c>
      <c r="V435" s="49">
        <f t="shared" ref="V435" si="243">CONVERT(27.06*10^6,"psi","Pa")/10^6</f>
        <v>186572.13235313585</v>
      </c>
      <c r="W435" s="49">
        <f t="shared" ref="W435:W436" si="244">CONVERT(53.3*10^3,"psi","Pa")/10^6</f>
        <v>367.49056372587364</v>
      </c>
      <c r="X435" s="5"/>
      <c r="Y435" s="481"/>
      <c r="Z435" s="951"/>
      <c r="AA435" s="879"/>
      <c r="AB435" s="871"/>
      <c r="AC435" s="465" t="s">
        <v>750</v>
      </c>
      <c r="AD435" s="868"/>
      <c r="AE435" s="879"/>
      <c r="AF435" s="871"/>
      <c r="AG435" s="876"/>
      <c r="AH435" s="508"/>
      <c r="AI435" s="508"/>
      <c r="AJ435" s="712">
        <f t="shared" si="228"/>
        <v>6.6489361702127658E-2</v>
      </c>
      <c r="AK435" s="235"/>
      <c r="AM435" s="52">
        <f>CONVERT(130,"lbm","kg")*9.81/10^3</f>
        <v>0.57846634946100006</v>
      </c>
      <c r="AP435" s="599">
        <f t="shared" si="223"/>
        <v>0.20250072652464954</v>
      </c>
      <c r="AQ435" s="599">
        <f t="shared" si="229"/>
        <v>1.2245857832908482</v>
      </c>
      <c r="AR435" s="599">
        <f t="shared" si="230"/>
        <v>245.05736841579272</v>
      </c>
      <c r="AS435" s="576">
        <f t="shared" si="221"/>
        <v>1.9049039751552435</v>
      </c>
      <c r="AT435" s="689">
        <f t="shared" si="222"/>
        <v>0.30367218348308445</v>
      </c>
      <c r="AU435" s="349">
        <f t="shared" si="207"/>
        <v>0.20250072652464954</v>
      </c>
      <c r="AY435" s="30"/>
      <c r="AZ435" s="774">
        <v>1934</v>
      </c>
      <c r="BA435" s="293"/>
    </row>
    <row r="436" spans="2:53">
      <c r="B436" s="994"/>
      <c r="C436" s="871"/>
      <c r="D436" s="871"/>
      <c r="E436" s="899"/>
      <c r="F436" s="871"/>
      <c r="G436" s="871"/>
      <c r="H436" s="871"/>
      <c r="I436" s="871"/>
      <c r="J436" s="221"/>
      <c r="K436" s="35"/>
      <c r="L436" s="451" t="s">
        <v>218</v>
      </c>
      <c r="M436" s="84">
        <f t="shared" si="238"/>
        <v>5.1816000000000008E-2</v>
      </c>
      <c r="N436" s="46">
        <f t="shared" si="239"/>
        <v>23.876000000000001</v>
      </c>
      <c r="O436" s="66">
        <f t="shared" si="240"/>
        <v>287.40100000000001</v>
      </c>
      <c r="P436" s="65">
        <f t="shared" si="224"/>
        <v>0.56076107754703686</v>
      </c>
      <c r="Q436" s="709">
        <f t="shared" si="241"/>
        <v>460.78431372549016</v>
      </c>
      <c r="R436" s="35"/>
      <c r="S436" s="481"/>
      <c r="T436" s="465" t="s">
        <v>163</v>
      </c>
      <c r="U436" s="65">
        <f t="shared" si="242"/>
        <v>2.8566136990653503</v>
      </c>
      <c r="V436" s="49">
        <f>CONVERT(27.06*10^6,"psi","Pa")/10^6</f>
        <v>186572.13235313585</v>
      </c>
      <c r="W436" s="49">
        <f t="shared" si="244"/>
        <v>367.49056372587364</v>
      </c>
      <c r="X436" s="5"/>
      <c r="Y436" s="481"/>
      <c r="Z436" s="951"/>
      <c r="AA436" s="879"/>
      <c r="AB436" s="871"/>
      <c r="AC436" s="465" t="s">
        <v>750</v>
      </c>
      <c r="AD436" s="868"/>
      <c r="AE436" s="879"/>
      <c r="AF436" s="871"/>
      <c r="AG436" s="876"/>
      <c r="AH436" s="508"/>
      <c r="AI436" s="508"/>
      <c r="AJ436" s="712">
        <f t="shared" si="228"/>
        <v>6.6489361702127658E-2</v>
      </c>
      <c r="AK436" s="235"/>
      <c r="AM436" s="52">
        <f>CONVERT(140,"lbm","kg")*9.81/10^3</f>
        <v>0.6229637609580001</v>
      </c>
      <c r="AP436" s="599">
        <f t="shared" si="223"/>
        <v>0.21807770548808414</v>
      </c>
      <c r="AQ436" s="599">
        <f t="shared" si="229"/>
        <v>1.2245857832908482</v>
      </c>
      <c r="AR436" s="599">
        <f t="shared" si="230"/>
        <v>245.05736841579272</v>
      </c>
      <c r="AS436" s="576">
        <f t="shared" si="221"/>
        <v>1.9049039751552435</v>
      </c>
      <c r="AT436" s="689">
        <f t="shared" si="222"/>
        <v>0.32703158221255252</v>
      </c>
      <c r="AU436" s="349">
        <f t="shared" si="207"/>
        <v>0.21807770548808414</v>
      </c>
      <c r="AY436" s="30"/>
      <c r="AZ436" s="773">
        <v>1934</v>
      </c>
      <c r="BA436" s="293"/>
    </row>
    <row r="437" spans="2:53">
      <c r="B437" s="994"/>
      <c r="C437" s="871"/>
      <c r="D437" s="871"/>
      <c r="E437" s="899"/>
      <c r="F437" s="871"/>
      <c r="G437" s="871"/>
      <c r="H437" s="871"/>
      <c r="I437" s="871"/>
      <c r="J437" s="221"/>
      <c r="K437" s="35"/>
      <c r="L437" s="451" t="s">
        <v>372</v>
      </c>
      <c r="M437" s="84">
        <f>CONVERT(0.00295,"in","mm")</f>
        <v>7.4929999999999997E-2</v>
      </c>
      <c r="N437" s="46">
        <f>CONVERT(1.88,"in","mm")/2</f>
        <v>23.876000000000001</v>
      </c>
      <c r="O437" s="66">
        <f>CONVERT(5.315,"in","mm")</f>
        <v>135.001</v>
      </c>
      <c r="P437" s="65">
        <f t="shared" si="224"/>
        <v>0.31675428338749489</v>
      </c>
      <c r="Q437" s="709">
        <f>N437/M437</f>
        <v>318.64406779661022</v>
      </c>
      <c r="R437" s="35"/>
      <c r="S437" s="481" t="s">
        <v>163</v>
      </c>
      <c r="T437" s="465" t="s">
        <v>163</v>
      </c>
      <c r="U437" s="65">
        <f>2*PI()*N437*M437*W437/10^3</f>
        <v>3.7666253360096316</v>
      </c>
      <c r="V437" s="49">
        <f>CONVERT(30.6*10^6,"psi","Pa")/10^6</f>
        <v>210979.57317095189</v>
      </c>
      <c r="W437" s="49">
        <f>CONVERT(48.6*10^3,"psi","Pa")/10^6</f>
        <v>335.08520444798239</v>
      </c>
      <c r="X437" s="5"/>
      <c r="Y437" s="481"/>
      <c r="Z437" s="951"/>
      <c r="AA437" s="879"/>
      <c r="AB437" s="871"/>
      <c r="AC437" s="465" t="s">
        <v>750</v>
      </c>
      <c r="AD437" s="868"/>
      <c r="AE437" s="879"/>
      <c r="AF437" s="871"/>
      <c r="AG437" s="876"/>
      <c r="AH437" s="508"/>
      <c r="AI437" s="508"/>
      <c r="AJ437" s="712">
        <f t="shared" si="228"/>
        <v>6.6489361702127658E-2</v>
      </c>
      <c r="AK437" s="235"/>
      <c r="AM437" s="46">
        <f>CONVERT(490,"lbm","kg")*9.81/10^3</f>
        <v>2.1803731633530004</v>
      </c>
      <c r="AP437" s="599">
        <f t="shared" si="223"/>
        <v>0.57886648361551429</v>
      </c>
      <c r="AQ437" s="599">
        <f t="shared" si="229"/>
        <v>0.91443112921122494</v>
      </c>
      <c r="AR437" s="599">
        <f t="shared" si="230"/>
        <v>400.7312842719449</v>
      </c>
      <c r="AS437" s="576">
        <f t="shared" si="221"/>
        <v>4.5045397058248833</v>
      </c>
      <c r="AT437" s="689">
        <f t="shared" si="222"/>
        <v>0.48403905964765487</v>
      </c>
      <c r="AU437" s="349">
        <f t="shared" si="207"/>
        <v>0.57886648361551429</v>
      </c>
      <c r="AY437" s="30"/>
      <c r="AZ437" s="774">
        <v>1934</v>
      </c>
      <c r="BA437" s="293"/>
    </row>
    <row r="438" spans="2:53">
      <c r="B438" s="994"/>
      <c r="C438" s="871"/>
      <c r="D438" s="871"/>
      <c r="E438" s="899"/>
      <c r="F438" s="871"/>
      <c r="G438" s="871"/>
      <c r="H438" s="871"/>
      <c r="I438" s="871"/>
      <c r="J438" s="221"/>
      <c r="K438" s="35"/>
      <c r="L438" s="451" t="s">
        <v>374</v>
      </c>
      <c r="M438" s="6">
        <f>CONVERT(0.00295,"in","mm")</f>
        <v>7.4929999999999997E-2</v>
      </c>
      <c r="N438" s="46">
        <f>CONVERT(1.88,"in","mm")/2</f>
        <v>23.876000000000001</v>
      </c>
      <c r="O438" s="63">
        <f>CONVERT(5.315,"in","mm")</f>
        <v>135.001</v>
      </c>
      <c r="P438" s="65">
        <f t="shared" si="224"/>
        <v>0.31675428338749489</v>
      </c>
      <c r="Q438" s="700">
        <f>N438/M438</f>
        <v>318.64406779661022</v>
      </c>
      <c r="R438" s="35"/>
      <c r="S438" s="481"/>
      <c r="T438" s="465" t="s">
        <v>163</v>
      </c>
      <c r="U438" s="65">
        <f t="shared" si="242"/>
        <v>3.7666253360096316</v>
      </c>
      <c r="V438" s="49">
        <f>CONVERT(30.6*10^6,"psi","Pa")/10^6</f>
        <v>210979.57317095189</v>
      </c>
      <c r="W438" s="49">
        <f>CONVERT(48.6*10^3,"psi","Pa")/10^6</f>
        <v>335.08520444798239</v>
      </c>
      <c r="X438" s="5"/>
      <c r="Y438" s="481"/>
      <c r="Z438" s="951"/>
      <c r="AA438" s="879"/>
      <c r="AB438" s="871"/>
      <c r="AC438" s="465" t="s">
        <v>750</v>
      </c>
      <c r="AD438" s="868"/>
      <c r="AE438" s="879"/>
      <c r="AF438" s="871"/>
      <c r="AG438" s="876"/>
      <c r="AH438" s="508"/>
      <c r="AI438" s="508"/>
      <c r="AJ438" s="712">
        <f t="shared" si="228"/>
        <v>6.6489361702127658E-2</v>
      </c>
      <c r="AK438" s="235"/>
      <c r="AM438" s="52">
        <f>CONVERT(520,"lbm","kg")*9.81/10^3</f>
        <v>2.3138653978440002</v>
      </c>
      <c r="AP438" s="599">
        <f t="shared" si="223"/>
        <v>0.61430728873483142</v>
      </c>
      <c r="AQ438" s="599">
        <f t="shared" si="229"/>
        <v>0.91443112921122494</v>
      </c>
      <c r="AR438" s="599">
        <f t="shared" si="230"/>
        <v>400.7312842719449</v>
      </c>
      <c r="AS438" s="576">
        <f t="shared" si="221"/>
        <v>4.5045397058248833</v>
      </c>
      <c r="AT438" s="689">
        <f t="shared" si="222"/>
        <v>0.51367410411587855</v>
      </c>
      <c r="AU438" s="349">
        <f t="shared" si="207"/>
        <v>0.61430728873483142</v>
      </c>
      <c r="AY438" s="30"/>
      <c r="AZ438" s="773">
        <v>1934</v>
      </c>
      <c r="BA438" s="293"/>
    </row>
    <row r="439" spans="2:53">
      <c r="B439" s="994"/>
      <c r="C439" s="871"/>
      <c r="D439" s="871"/>
      <c r="E439" s="899"/>
      <c r="F439" s="871"/>
      <c r="G439" s="871"/>
      <c r="H439" s="871"/>
      <c r="I439" s="871"/>
      <c r="J439" s="221"/>
      <c r="K439" s="35"/>
      <c r="L439" s="451" t="s">
        <v>375</v>
      </c>
      <c r="M439" s="84">
        <f>CONVERT(0.00204,"in","mm")</f>
        <v>5.1816000000000008E-2</v>
      </c>
      <c r="N439" s="46">
        <f>CONVERT(3.75,"in","mm")/2</f>
        <v>47.625</v>
      </c>
      <c r="O439" s="66">
        <f>CONVERT(1.32,"in","mm")</f>
        <v>33.528000000000006</v>
      </c>
      <c r="P439" s="65">
        <f t="shared" si="224"/>
        <v>2.3221330883478671E-2</v>
      </c>
      <c r="Q439" s="709">
        <f>N439/M439</f>
        <v>919.11764705882342</v>
      </c>
      <c r="R439" s="35"/>
      <c r="S439" s="481" t="s">
        <v>163</v>
      </c>
      <c r="T439" s="465" t="s">
        <v>163</v>
      </c>
      <c r="U439" s="65">
        <f>2*PI()*N439*M439*W439/10^3</f>
        <v>6.1684143261273521</v>
      </c>
      <c r="V439" s="49">
        <f>CONVERT(31.4*10^6,"psi","Pa")/10^6</f>
        <v>216495.37900548655</v>
      </c>
      <c r="W439" s="49">
        <f>CONVERT(57.7*10^3,"psi","Pa")/10^6</f>
        <v>397.82749581581447</v>
      </c>
      <c r="X439" s="5"/>
      <c r="Y439" s="481"/>
      <c r="Z439" s="951"/>
      <c r="AA439" s="879"/>
      <c r="AB439" s="871"/>
      <c r="AC439" s="465" t="s">
        <v>750</v>
      </c>
      <c r="AD439" s="868"/>
      <c r="AE439" s="879"/>
      <c r="AF439" s="871"/>
      <c r="AG439" s="876"/>
      <c r="AH439" s="508"/>
      <c r="AI439" s="508"/>
      <c r="AJ439" s="712">
        <f t="shared" si="228"/>
        <v>3.3333333333333333E-2</v>
      </c>
      <c r="AK439" s="235"/>
      <c r="AM439" s="46">
        <f>CONVERT(132,"lbm","kg")*9.81/10^3</f>
        <v>0.58736583176040003</v>
      </c>
      <c r="AP439" s="599">
        <f t="shared" si="223"/>
        <v>9.5221527074229373E-2</v>
      </c>
      <c r="AQ439" s="599">
        <f t="shared" si="229"/>
        <v>1.6705108341757928</v>
      </c>
      <c r="AR439" s="599">
        <f t="shared" si="230"/>
        <v>142.55951290782045</v>
      </c>
      <c r="AS439" s="576">
        <f t="shared" si="221"/>
        <v>2.2104207250508003</v>
      </c>
      <c r="AT439" s="689">
        <f t="shared" si="222"/>
        <v>0.26572580735592816</v>
      </c>
      <c r="AU439" s="349">
        <f t="shared" si="207"/>
        <v>9.5221527074229373E-2</v>
      </c>
      <c r="AY439" s="30"/>
      <c r="AZ439" s="774">
        <v>1934</v>
      </c>
      <c r="BA439" s="293"/>
    </row>
    <row r="440" spans="2:53">
      <c r="B440" s="994"/>
      <c r="C440" s="871"/>
      <c r="D440" s="871"/>
      <c r="E440" s="899"/>
      <c r="F440" s="871"/>
      <c r="G440" s="871"/>
      <c r="H440" s="871"/>
      <c r="I440" s="871"/>
      <c r="J440" s="221"/>
      <c r="K440" s="35"/>
      <c r="L440" s="451" t="s">
        <v>492</v>
      </c>
      <c r="M440" s="84">
        <f>CONVERT(0.00395,"in","mm")</f>
        <v>0.10033000000000002</v>
      </c>
      <c r="N440" s="46">
        <f>CONVERT(1.88,"in","mm")/2</f>
        <v>23.876000000000001</v>
      </c>
      <c r="O440" s="66">
        <f>CONVERT(5.315,"in","mm")</f>
        <v>135.001</v>
      </c>
      <c r="P440" s="65">
        <f t="shared" si="224"/>
        <v>0.36653042992274332</v>
      </c>
      <c r="Q440" s="709">
        <f>N440/M440</f>
        <v>237.97468354430376</v>
      </c>
      <c r="R440" s="35"/>
      <c r="S440" s="481" t="s">
        <v>163</v>
      </c>
      <c r="T440" s="465" t="s">
        <v>163</v>
      </c>
      <c r="U440" s="65">
        <f>2*PI()*N440*M440*W440/10^3</f>
        <v>3.7358870250440797</v>
      </c>
      <c r="V440" s="49">
        <f>CONVERT(29.6*10^6,"psi","Pa")/10^6</f>
        <v>204084.81587778352</v>
      </c>
      <c r="W440" s="49">
        <f>CONVERT(36*10^3,"psi","Pa")/10^6</f>
        <v>248.21126255406102</v>
      </c>
      <c r="X440" s="5"/>
      <c r="Y440" s="481"/>
      <c r="Z440" s="951"/>
      <c r="AA440" s="879"/>
      <c r="AB440" s="871"/>
      <c r="AC440" s="465" t="s">
        <v>750</v>
      </c>
      <c r="AD440" s="868"/>
      <c r="AE440" s="879"/>
      <c r="AF440" s="871"/>
      <c r="AG440" s="876"/>
      <c r="AH440" s="508"/>
      <c r="AI440" s="508"/>
      <c r="AJ440" s="712">
        <f t="shared" si="228"/>
        <v>6.6489361702127658E-2</v>
      </c>
      <c r="AK440" s="235"/>
      <c r="AM440" s="46">
        <f>CONVERT(500,"lbm","kg")*9.81/10^3</f>
        <v>2.2248705748500002</v>
      </c>
      <c r="AP440" s="599">
        <f t="shared" si="223"/>
        <v>0.59554011134042495</v>
      </c>
      <c r="AQ440" s="599">
        <f t="shared" si="229"/>
        <v>0.69153065309309791</v>
      </c>
      <c r="AR440" s="599">
        <f t="shared" si="230"/>
        <v>519.03735191177361</v>
      </c>
      <c r="AS440" s="576">
        <f t="shared" si="221"/>
        <v>7.812155212328852</v>
      </c>
      <c r="AT440" s="689">
        <f t="shared" si="222"/>
        <v>0.28479600243205516</v>
      </c>
      <c r="AU440" s="349">
        <f t="shared" si="207"/>
        <v>0.59554011134042495</v>
      </c>
      <c r="AY440" s="30"/>
      <c r="AZ440" s="773">
        <v>1934</v>
      </c>
      <c r="BA440" s="293"/>
    </row>
    <row r="441" spans="2:53">
      <c r="B441" s="994"/>
      <c r="C441" s="871"/>
      <c r="D441" s="871"/>
      <c r="E441" s="899"/>
      <c r="F441" s="871"/>
      <c r="G441" s="871"/>
      <c r="H441" s="871"/>
      <c r="I441" s="871"/>
      <c r="J441" s="221"/>
      <c r="K441" s="35"/>
      <c r="L441" s="451" t="s">
        <v>493</v>
      </c>
      <c r="M441" s="84">
        <f t="shared" ref="M441:M443" si="245">CONVERT(0.00395,"in","mm")</f>
        <v>0.10033000000000002</v>
      </c>
      <c r="N441" s="46">
        <f t="shared" ref="N441:N443" si="246">CONVERT(1.88,"in","mm")/2</f>
        <v>23.876000000000001</v>
      </c>
      <c r="O441" s="66">
        <f t="shared" ref="O441:O443" si="247">CONVERT(5.315,"in","mm")</f>
        <v>135.001</v>
      </c>
      <c r="P441" s="65">
        <f t="shared" si="224"/>
        <v>0.36653042992274332</v>
      </c>
      <c r="Q441" s="709">
        <f t="shared" ref="Q441:Q443" si="248">N441/M441</f>
        <v>237.97468354430376</v>
      </c>
      <c r="R441" s="35"/>
      <c r="S441" s="481"/>
      <c r="T441" s="465" t="s">
        <v>163</v>
      </c>
      <c r="U441" s="65">
        <f>2*PI()*N441*M441*W441/10^3</f>
        <v>3.7358870250440797</v>
      </c>
      <c r="V441" s="49">
        <f t="shared" ref="V441:V443" si="249">CONVERT(29.6*10^6,"psi","Pa")/10^6</f>
        <v>204084.81587778352</v>
      </c>
      <c r="W441" s="49">
        <f t="shared" ref="W441:W443" si="250">CONVERT(36*10^3,"psi","Pa")/10^6</f>
        <v>248.21126255406102</v>
      </c>
      <c r="X441" s="5"/>
      <c r="Y441" s="481"/>
      <c r="Z441" s="951"/>
      <c r="AA441" s="879"/>
      <c r="AB441" s="871"/>
      <c r="AC441" s="465" t="s">
        <v>750</v>
      </c>
      <c r="AD441" s="868"/>
      <c r="AE441" s="879"/>
      <c r="AF441" s="871"/>
      <c r="AG441" s="876"/>
      <c r="AH441" s="508"/>
      <c r="AI441" s="508"/>
      <c r="AJ441" s="712">
        <f t="shared" si="228"/>
        <v>6.6489361702127658E-2</v>
      </c>
      <c r="AK441" s="235"/>
      <c r="AM441" s="52">
        <f>CONVERT(613,"lbm","kg")*9.81/10^3</f>
        <v>2.7276913247661003</v>
      </c>
      <c r="AP441" s="599">
        <f t="shared" si="223"/>
        <v>0.73013217650336104</v>
      </c>
      <c r="AQ441" s="599">
        <f t="shared" si="229"/>
        <v>0.69153065309309791</v>
      </c>
      <c r="AR441" s="599">
        <f t="shared" si="230"/>
        <v>519.03735191177361</v>
      </c>
      <c r="AS441" s="576">
        <f t="shared" si="221"/>
        <v>7.812155212328852</v>
      </c>
      <c r="AT441" s="689">
        <f t="shared" si="222"/>
        <v>0.34915989898169963</v>
      </c>
      <c r="AU441" s="349">
        <f t="shared" si="207"/>
        <v>0.73013217650336104</v>
      </c>
      <c r="AY441" s="30"/>
      <c r="AZ441" s="774">
        <v>1934</v>
      </c>
      <c r="BA441" s="293"/>
    </row>
    <row r="442" spans="2:53">
      <c r="B442" s="994"/>
      <c r="C442" s="871"/>
      <c r="D442" s="871"/>
      <c r="E442" s="899"/>
      <c r="F442" s="871"/>
      <c r="G442" s="871"/>
      <c r="H442" s="871"/>
      <c r="I442" s="871"/>
      <c r="J442" s="221"/>
      <c r="K442" s="35"/>
      <c r="L442" s="451" t="s">
        <v>494</v>
      </c>
      <c r="M442" s="84">
        <f t="shared" si="245"/>
        <v>0.10033000000000002</v>
      </c>
      <c r="N442" s="46">
        <f t="shared" si="246"/>
        <v>23.876000000000001</v>
      </c>
      <c r="O442" s="66">
        <f t="shared" si="247"/>
        <v>135.001</v>
      </c>
      <c r="P442" s="65">
        <f t="shared" si="224"/>
        <v>0.36653042992274332</v>
      </c>
      <c r="Q442" s="709">
        <f t="shared" si="248"/>
        <v>237.97468354430376</v>
      </c>
      <c r="R442" s="35"/>
      <c r="S442" s="481"/>
      <c r="T442" s="465" t="s">
        <v>163</v>
      </c>
      <c r="U442" s="65">
        <f t="shared" ref="U442:U443" si="251">2*PI()*N442*M442*W442/10^3</f>
        <v>3.7358870250440797</v>
      </c>
      <c r="V442" s="49">
        <f t="shared" si="249"/>
        <v>204084.81587778352</v>
      </c>
      <c r="W442" s="49">
        <f t="shared" si="250"/>
        <v>248.21126255406102</v>
      </c>
      <c r="X442" s="5"/>
      <c r="Y442" s="481"/>
      <c r="Z442" s="951"/>
      <c r="AA442" s="879"/>
      <c r="AB442" s="871"/>
      <c r="AC442" s="465" t="s">
        <v>750</v>
      </c>
      <c r="AD442" s="868"/>
      <c r="AE442" s="879"/>
      <c r="AF442" s="871"/>
      <c r="AG442" s="876"/>
      <c r="AH442" s="508"/>
      <c r="AI442" s="508"/>
      <c r="AJ442" s="712">
        <f t="shared" si="228"/>
        <v>6.6489361702127658E-2</v>
      </c>
      <c r="AK442" s="235"/>
      <c r="AM442" s="52">
        <f>CONVERT(610,"lbm","kg")*9.81/10^3</f>
        <v>2.7143421013169999</v>
      </c>
      <c r="AP442" s="599">
        <f t="shared" si="223"/>
        <v>0.72655893583531839</v>
      </c>
      <c r="AQ442" s="599">
        <f t="shared" si="229"/>
        <v>0.69153065309309791</v>
      </c>
      <c r="AR442" s="599">
        <f t="shared" si="230"/>
        <v>519.03735191177361</v>
      </c>
      <c r="AS442" s="576">
        <f t="shared" si="221"/>
        <v>7.812155212328852</v>
      </c>
      <c r="AT442" s="689">
        <f t="shared" si="222"/>
        <v>0.34745112296710728</v>
      </c>
      <c r="AU442" s="349">
        <f t="shared" si="207"/>
        <v>0.72655893583531839</v>
      </c>
      <c r="AY442" s="30"/>
      <c r="AZ442" s="773">
        <v>1934</v>
      </c>
      <c r="BA442" s="293"/>
    </row>
    <row r="443" spans="2:53" ht="16.5" thickBot="1">
      <c r="B443" s="1002"/>
      <c r="C443" s="872"/>
      <c r="D443" s="872"/>
      <c r="E443" s="900"/>
      <c r="F443" s="872"/>
      <c r="G443" s="872"/>
      <c r="H443" s="872"/>
      <c r="I443" s="872"/>
      <c r="J443" s="223"/>
      <c r="K443" s="36"/>
      <c r="L443" s="453" t="s">
        <v>495</v>
      </c>
      <c r="M443" s="140">
        <f t="shared" si="245"/>
        <v>0.10033000000000002</v>
      </c>
      <c r="N443" s="135">
        <f t="shared" si="246"/>
        <v>23.876000000000001</v>
      </c>
      <c r="O443" s="135">
        <f t="shared" si="247"/>
        <v>135.001</v>
      </c>
      <c r="P443" s="89">
        <f t="shared" si="224"/>
        <v>0.36653042992274332</v>
      </c>
      <c r="Q443" s="710">
        <f t="shared" si="248"/>
        <v>237.97468354430376</v>
      </c>
      <c r="R443" s="36"/>
      <c r="S443" s="482"/>
      <c r="T443" s="466" t="s">
        <v>163</v>
      </c>
      <c r="U443" s="89">
        <f t="shared" si="251"/>
        <v>3.7358870250440797</v>
      </c>
      <c r="V443" s="51">
        <f t="shared" si="249"/>
        <v>204084.81587778352</v>
      </c>
      <c r="W443" s="51">
        <f t="shared" si="250"/>
        <v>248.21126255406102</v>
      </c>
      <c r="X443" s="18"/>
      <c r="Y443" s="482"/>
      <c r="Z443" s="952"/>
      <c r="AA443" s="880"/>
      <c r="AB443" s="872"/>
      <c r="AC443" s="466" t="s">
        <v>750</v>
      </c>
      <c r="AD443" s="869"/>
      <c r="AE443" s="880"/>
      <c r="AF443" s="872"/>
      <c r="AG443" s="877"/>
      <c r="AH443" s="509"/>
      <c r="AI443" s="509"/>
      <c r="AJ443" s="713">
        <f t="shared" si="228"/>
        <v>6.6489361702127658E-2</v>
      </c>
      <c r="AK443" s="267"/>
      <c r="AL443" s="18"/>
      <c r="AM443" s="54">
        <f>CONVERT(660,"lbm","kg")*9.81/10^3</f>
        <v>2.9368291588020004</v>
      </c>
      <c r="AN443" s="556"/>
      <c r="AO443" s="556"/>
      <c r="AP443" s="604">
        <f t="shared" si="223"/>
        <v>0.78611294696936096</v>
      </c>
      <c r="AQ443" s="604">
        <f t="shared" si="229"/>
        <v>0.69153065309309791</v>
      </c>
      <c r="AR443" s="604">
        <f t="shared" si="230"/>
        <v>519.03735191177361</v>
      </c>
      <c r="AS443" s="577">
        <f t="shared" si="221"/>
        <v>7.812155212328852</v>
      </c>
      <c r="AT443" s="690">
        <f t="shared" si="222"/>
        <v>0.37593072321031284</v>
      </c>
      <c r="AU443" s="350">
        <f t="shared" ref="AU443:AU506" si="252">MAX(AO443:AP443)</f>
        <v>0.78611294696936096</v>
      </c>
      <c r="AV443" s="91"/>
      <c r="AW443" s="18"/>
      <c r="AX443" s="31"/>
      <c r="AY443" s="31"/>
      <c r="AZ443" s="774">
        <v>1934</v>
      </c>
      <c r="BA443" s="295"/>
    </row>
    <row r="444" spans="2:53" ht="96" customHeight="1">
      <c r="B444" s="990">
        <v>25</v>
      </c>
      <c r="C444" s="947" t="s">
        <v>496</v>
      </c>
      <c r="D444" s="922" t="s">
        <v>497</v>
      </c>
      <c r="E444" s="937">
        <v>1967</v>
      </c>
      <c r="F444" s="922" t="s">
        <v>40</v>
      </c>
      <c r="G444" s="922" t="s">
        <v>498</v>
      </c>
      <c r="H444" s="922" t="s">
        <v>499</v>
      </c>
      <c r="I444" s="904" t="s">
        <v>500</v>
      </c>
      <c r="J444" s="222"/>
      <c r="K444" s="35"/>
      <c r="L444" s="98">
        <v>1</v>
      </c>
      <c r="M444" s="41">
        <v>0.50800000000000001</v>
      </c>
      <c r="N444" s="41">
        <v>60.325000000000003</v>
      </c>
      <c r="O444" s="41">
        <v>276.86</v>
      </c>
      <c r="P444" s="41">
        <f t="shared" si="224"/>
        <v>0.42115898933711549</v>
      </c>
      <c r="Q444" s="41">
        <v>119</v>
      </c>
      <c r="R444" s="35"/>
      <c r="S444" s="41" t="s">
        <v>175</v>
      </c>
      <c r="T444" s="488" t="s">
        <v>175</v>
      </c>
      <c r="U444" s="65">
        <f t="shared" ref="U444:U461" si="253">2*PI()*N444*M444*W444/1000</f>
        <v>78.990871122683927</v>
      </c>
      <c r="V444" s="41">
        <v>105489.8</v>
      </c>
      <c r="W444" s="41">
        <v>410.23809999999997</v>
      </c>
      <c r="X444" s="5"/>
      <c r="Y444" s="481"/>
      <c r="Z444" s="9" t="s">
        <v>501</v>
      </c>
      <c r="AA444" s="35" t="s">
        <v>525</v>
      </c>
      <c r="AB444" s="495" t="s">
        <v>502</v>
      </c>
      <c r="AC444" s="495" t="s">
        <v>750</v>
      </c>
      <c r="AD444" s="503" t="s">
        <v>1003</v>
      </c>
      <c r="AE444" s="35"/>
      <c r="AJ444" s="250">
        <f t="shared" ref="AJ444:AJ451" si="254">CONVERT(3/8/2,"in","mm")/N444</f>
        <v>7.8947368421052627E-2</v>
      </c>
      <c r="AK444" s="35"/>
      <c r="AL444" s="873" t="s">
        <v>1004</v>
      </c>
      <c r="AM444" s="46"/>
      <c r="AN444" s="554">
        <v>174.11366847380214</v>
      </c>
      <c r="AO444" s="596">
        <f>AN444/W444</f>
        <v>0.42442100934506605</v>
      </c>
      <c r="AP444" s="599"/>
      <c r="AQ444" s="599">
        <f t="shared" si="229"/>
        <v>0.87351472926276308</v>
      </c>
      <c r="AR444" s="599">
        <f t="shared" ref="AR444:AR475" si="255">V444*M444/N444/SQRT(3*(1-0.3^2))</f>
        <v>537.64489579558267</v>
      </c>
      <c r="AT444" s="689">
        <f>AN444/AR444</f>
        <v>0.32384510638040481</v>
      </c>
      <c r="AU444" s="349">
        <f t="shared" si="252"/>
        <v>0.42442100934506605</v>
      </c>
      <c r="AV444" s="281"/>
      <c r="AW444" s="488" t="s">
        <v>504</v>
      </c>
      <c r="AX444" s="503" t="s">
        <v>1005</v>
      </c>
      <c r="AY444" s="90"/>
      <c r="AZ444" s="765">
        <v>1967</v>
      </c>
      <c r="BA444" s="292"/>
    </row>
    <row r="445" spans="2:53" ht="15.95" customHeight="1">
      <c r="B445" s="991"/>
      <c r="C445" s="948"/>
      <c r="D445" s="873"/>
      <c r="E445" s="938"/>
      <c r="F445" s="873"/>
      <c r="G445" s="873"/>
      <c r="H445" s="873"/>
      <c r="I445" s="923"/>
      <c r="J445" s="221"/>
      <c r="K445" s="35"/>
      <c r="L445" s="98">
        <v>2</v>
      </c>
      <c r="M445" s="41">
        <v>0.50800000000000001</v>
      </c>
      <c r="N445" s="41">
        <v>60.325000000000003</v>
      </c>
      <c r="O445" s="41">
        <v>276.86</v>
      </c>
      <c r="P445" s="41">
        <f t="shared" si="224"/>
        <v>0.42115898933711549</v>
      </c>
      <c r="Q445" s="41">
        <v>119</v>
      </c>
      <c r="R445" s="35"/>
      <c r="S445" s="41" t="s">
        <v>175</v>
      </c>
      <c r="T445" s="488" t="s">
        <v>175</v>
      </c>
      <c r="U445" s="65">
        <f t="shared" si="253"/>
        <v>78.990871122683927</v>
      </c>
      <c r="V445" s="41">
        <v>105489.8</v>
      </c>
      <c r="W445" s="41">
        <v>410.23809999999997</v>
      </c>
      <c r="X445" s="5"/>
      <c r="Z445" s="9"/>
      <c r="AA445" s="35" t="s">
        <v>525</v>
      </c>
      <c r="AB445" s="953" t="s">
        <v>505</v>
      </c>
      <c r="AC445" s="458" t="s">
        <v>750</v>
      </c>
      <c r="AD445" s="195"/>
      <c r="AE445" s="35"/>
      <c r="AJ445" s="250">
        <f t="shared" si="254"/>
        <v>7.8947368421052627E-2</v>
      </c>
      <c r="AK445" s="35"/>
      <c r="AL445" s="873"/>
      <c r="AM445" s="46"/>
      <c r="AN445" s="596">
        <v>199.87538472757896</v>
      </c>
      <c r="AO445" s="596">
        <f t="shared" ref="AO445:AO466" si="256">AN445/W445</f>
        <v>0.48721799542163191</v>
      </c>
      <c r="AP445" s="635"/>
      <c r="AQ445" s="635">
        <f t="shared" si="229"/>
        <v>0.87351472926276308</v>
      </c>
      <c r="AR445" s="599">
        <f t="shared" si="255"/>
        <v>537.64489579558267</v>
      </c>
      <c r="AT445" s="689">
        <f t="shared" ref="AT445:AT466" si="257">AN445/AR445</f>
        <v>0.37176096395709735</v>
      </c>
      <c r="AU445" s="349">
        <f t="shared" si="252"/>
        <v>0.48721799542163191</v>
      </c>
      <c r="AV445" s="281"/>
      <c r="AW445" s="488"/>
      <c r="AX445" s="195"/>
      <c r="AY445" s="90"/>
      <c r="AZ445" s="543">
        <v>1967</v>
      </c>
      <c r="BA445" s="293"/>
    </row>
    <row r="446" spans="2:53" ht="15.75" customHeight="1">
      <c r="B446" s="991"/>
      <c r="C446" s="948"/>
      <c r="D446" s="873"/>
      <c r="E446" s="938"/>
      <c r="F446" s="873"/>
      <c r="G446" s="873"/>
      <c r="H446" s="873"/>
      <c r="I446" s="923"/>
      <c r="J446" s="221"/>
      <c r="K446" s="35"/>
      <c r="L446" s="98">
        <v>3</v>
      </c>
      <c r="M446" s="41">
        <v>0.2286</v>
      </c>
      <c r="N446" s="41">
        <v>60.325000000000003</v>
      </c>
      <c r="O446" s="41">
        <v>276.86</v>
      </c>
      <c r="P446" s="41">
        <f t="shared" si="224"/>
        <v>0.28252203884786981</v>
      </c>
      <c r="Q446" s="41">
        <v>263</v>
      </c>
      <c r="R446" s="35"/>
      <c r="S446" s="41" t="s">
        <v>175</v>
      </c>
      <c r="T446" s="488" t="s">
        <v>175</v>
      </c>
      <c r="U446" s="65">
        <f t="shared" si="253"/>
        <v>35.545892005207769</v>
      </c>
      <c r="V446" s="41">
        <v>105489.8</v>
      </c>
      <c r="W446" s="41">
        <v>410.23809999999997</v>
      </c>
      <c r="X446" s="5"/>
      <c r="Z446" s="9"/>
      <c r="AA446" s="35" t="s">
        <v>525</v>
      </c>
      <c r="AB446" s="953"/>
      <c r="AC446" s="458" t="s">
        <v>750</v>
      </c>
      <c r="AD446" s="195"/>
      <c r="AE446" s="35"/>
      <c r="AJ446" s="250">
        <f t="shared" si="254"/>
        <v>7.8947368421052627E-2</v>
      </c>
      <c r="AK446" s="35"/>
      <c r="AL446" s="873"/>
      <c r="AM446" s="46"/>
      <c r="AN446" s="596">
        <v>135.91526161475369</v>
      </c>
      <c r="AO446" s="596">
        <f t="shared" si="256"/>
        <v>0.33130823688670968</v>
      </c>
      <c r="AP446" s="635"/>
      <c r="AQ446" s="635">
        <f t="shared" si="229"/>
        <v>1.3021588759859088</v>
      </c>
      <c r="AR446" s="599">
        <f t="shared" si="255"/>
        <v>241.94020310801218</v>
      </c>
      <c r="AT446" s="689">
        <f t="shared" si="257"/>
        <v>0.56177212331294712</v>
      </c>
      <c r="AU446" s="349">
        <f t="shared" si="252"/>
        <v>0.33130823688670968</v>
      </c>
      <c r="AV446" s="281"/>
      <c r="AW446" s="488"/>
      <c r="AX446" s="195"/>
      <c r="AY446" s="90"/>
      <c r="AZ446" s="543">
        <v>1967</v>
      </c>
      <c r="BA446" s="293"/>
    </row>
    <row r="447" spans="2:53" ht="15.75" customHeight="1">
      <c r="B447" s="991"/>
      <c r="C447" s="948"/>
      <c r="D447" s="873"/>
      <c r="E447" s="938"/>
      <c r="F447" s="873"/>
      <c r="G447" s="873"/>
      <c r="H447" s="873"/>
      <c r="I447" s="923"/>
      <c r="J447" s="221"/>
      <c r="K447" s="35"/>
      <c r="L447" s="98">
        <v>4</v>
      </c>
      <c r="M447" s="41">
        <v>0.2286</v>
      </c>
      <c r="N447" s="41">
        <v>60.325000000000003</v>
      </c>
      <c r="O447" s="41">
        <v>276.86</v>
      </c>
      <c r="P447" s="41">
        <f t="shared" si="224"/>
        <v>0.28252203884786981</v>
      </c>
      <c r="Q447" s="41">
        <v>263</v>
      </c>
      <c r="R447" s="35"/>
      <c r="S447" s="41" t="s">
        <v>175</v>
      </c>
      <c r="T447" s="488" t="s">
        <v>175</v>
      </c>
      <c r="U447" s="65">
        <f t="shared" si="253"/>
        <v>35.545892005207769</v>
      </c>
      <c r="V447" s="41">
        <v>105489.8</v>
      </c>
      <c r="W447" s="41">
        <v>410.23809999999997</v>
      </c>
      <c r="X447" s="5"/>
      <c r="Z447" s="9"/>
      <c r="AA447" s="35" t="s">
        <v>525</v>
      </c>
      <c r="AB447" s="953"/>
      <c r="AC447" s="458" t="s">
        <v>750</v>
      </c>
      <c r="AD447" s="195"/>
      <c r="AE447" s="35"/>
      <c r="AJ447" s="250">
        <f t="shared" si="254"/>
        <v>7.8947368421052627E-2</v>
      </c>
      <c r="AK447" s="35"/>
      <c r="AL447" s="873"/>
      <c r="AM447" s="46"/>
      <c r="AN447" s="596">
        <v>101.93644621106526</v>
      </c>
      <c r="AO447" s="596">
        <f t="shared" si="256"/>
        <v>0.24848117766503225</v>
      </c>
      <c r="AP447" s="635"/>
      <c r="AQ447" s="635">
        <f t="shared" si="229"/>
        <v>1.3021588759859088</v>
      </c>
      <c r="AR447" s="599">
        <f t="shared" si="255"/>
        <v>241.94020310801218</v>
      </c>
      <c r="AT447" s="689">
        <f t="shared" si="257"/>
        <v>0.42132909248471029</v>
      </c>
      <c r="AU447" s="349">
        <f t="shared" si="252"/>
        <v>0.24848117766503225</v>
      </c>
      <c r="AV447" s="281"/>
      <c r="AW447" s="488"/>
      <c r="AX447" s="195"/>
      <c r="AY447" s="90"/>
      <c r="AZ447" s="543">
        <v>1967</v>
      </c>
      <c r="BA447" s="293"/>
    </row>
    <row r="448" spans="2:53" ht="15.75" customHeight="1">
      <c r="B448" s="991"/>
      <c r="C448" s="948"/>
      <c r="D448" s="873"/>
      <c r="E448" s="938"/>
      <c r="F448" s="873"/>
      <c r="G448" s="873"/>
      <c r="H448" s="873"/>
      <c r="I448" s="923"/>
      <c r="J448" s="221"/>
      <c r="K448" s="35"/>
      <c r="L448" s="98">
        <v>5</v>
      </c>
      <c r="M448" s="41">
        <v>0.127</v>
      </c>
      <c r="N448" s="41">
        <v>60.325000000000003</v>
      </c>
      <c r="O448" s="41">
        <v>276.86</v>
      </c>
      <c r="P448" s="41">
        <f t="shared" si="224"/>
        <v>0.21057949466855774</v>
      </c>
      <c r="Q448" s="41">
        <v>475</v>
      </c>
      <c r="R448" s="35"/>
      <c r="S448" s="41" t="s">
        <v>175</v>
      </c>
      <c r="T448" s="488" t="s">
        <v>175</v>
      </c>
      <c r="U448" s="65">
        <f t="shared" si="253"/>
        <v>19.747717780670982</v>
      </c>
      <c r="V448" s="41">
        <v>105489.8</v>
      </c>
      <c r="W448" s="41">
        <v>410.23809999999997</v>
      </c>
      <c r="X448" s="5"/>
      <c r="Z448" s="9"/>
      <c r="AA448" s="35" t="s">
        <v>525</v>
      </c>
      <c r="AB448" s="953"/>
      <c r="AC448" s="458" t="s">
        <v>750</v>
      </c>
      <c r="AD448" s="195"/>
      <c r="AE448" s="35"/>
      <c r="AJ448" s="250">
        <f t="shared" si="254"/>
        <v>7.8947368421052627E-2</v>
      </c>
      <c r="AK448" s="35"/>
      <c r="AL448" s="873"/>
      <c r="AM448" s="46"/>
      <c r="AN448" s="596">
        <v>42.195914553600012</v>
      </c>
      <c r="AO448" s="596">
        <f t="shared" si="256"/>
        <v>0.10285713236678898</v>
      </c>
      <c r="AP448" s="635"/>
      <c r="AQ448" s="635">
        <f t="shared" si="229"/>
        <v>1.7470294585255262</v>
      </c>
      <c r="AR448" s="599">
        <f t="shared" si="255"/>
        <v>134.41122394889567</v>
      </c>
      <c r="AT448" s="689">
        <f t="shared" si="257"/>
        <v>0.31393148067488225</v>
      </c>
      <c r="AU448" s="349">
        <f t="shared" si="252"/>
        <v>0.10285713236678898</v>
      </c>
      <c r="AV448" s="281"/>
      <c r="AW448" s="488"/>
      <c r="AX448" s="195"/>
      <c r="AY448" s="90"/>
      <c r="AZ448" s="543">
        <v>1967</v>
      </c>
      <c r="BA448" s="293"/>
    </row>
    <row r="449" spans="2:53" ht="15.75" customHeight="1">
      <c r="B449" s="991"/>
      <c r="C449" s="948"/>
      <c r="D449" s="873"/>
      <c r="E449" s="938"/>
      <c r="F449" s="873"/>
      <c r="G449" s="873"/>
      <c r="H449" s="873"/>
      <c r="I449" s="923"/>
      <c r="J449" s="221"/>
      <c r="K449" s="35"/>
      <c r="L449" s="98">
        <v>6</v>
      </c>
      <c r="M449" s="41">
        <v>0.127</v>
      </c>
      <c r="N449" s="41">
        <v>60.325000000000003</v>
      </c>
      <c r="O449" s="41">
        <v>276.86</v>
      </c>
      <c r="P449" s="41">
        <f t="shared" si="224"/>
        <v>0.21057949466855774</v>
      </c>
      <c r="Q449" s="41">
        <v>475</v>
      </c>
      <c r="R449" s="35"/>
      <c r="S449" s="41" t="s">
        <v>175</v>
      </c>
      <c r="T449" s="488" t="s">
        <v>175</v>
      </c>
      <c r="U449" s="65">
        <f t="shared" si="253"/>
        <v>19.747717780670982</v>
      </c>
      <c r="V449" s="41">
        <v>105489.8</v>
      </c>
      <c r="W449" s="41">
        <v>410.23809999999997</v>
      </c>
      <c r="X449" s="5"/>
      <c r="Z449" s="9"/>
      <c r="AA449" s="35" t="s">
        <v>525</v>
      </c>
      <c r="AB449" s="953"/>
      <c r="AC449" s="458" t="s">
        <v>750</v>
      </c>
      <c r="AD449" s="195"/>
      <c r="AE449" s="35"/>
      <c r="AJ449" s="250">
        <f t="shared" si="254"/>
        <v>7.8947368421052627E-2</v>
      </c>
      <c r="AK449" s="35"/>
      <c r="AL449" s="873"/>
      <c r="AM449" s="46"/>
      <c r="AN449" s="596">
        <v>77.729316282947366</v>
      </c>
      <c r="AO449" s="596">
        <f t="shared" si="256"/>
        <v>0.18947366488619016</v>
      </c>
      <c r="AP449" s="635"/>
      <c r="AQ449" s="635">
        <f t="shared" si="229"/>
        <v>1.7470294585255262</v>
      </c>
      <c r="AR449" s="599">
        <f t="shared" si="255"/>
        <v>134.41122394889567</v>
      </c>
      <c r="AT449" s="689">
        <f t="shared" si="257"/>
        <v>0.57829483282215133</v>
      </c>
      <c r="AU449" s="349">
        <f t="shared" si="252"/>
        <v>0.18947366488619016</v>
      </c>
      <c r="AV449" s="281"/>
      <c r="AW449" s="488"/>
      <c r="AX449" s="195"/>
      <c r="AY449" s="90"/>
      <c r="AZ449" s="543">
        <v>1967</v>
      </c>
      <c r="BA449" s="293"/>
    </row>
    <row r="450" spans="2:53" ht="15.75" customHeight="1">
      <c r="B450" s="991"/>
      <c r="C450" s="948"/>
      <c r="D450" s="873"/>
      <c r="E450" s="938"/>
      <c r="F450" s="873"/>
      <c r="G450" s="873"/>
      <c r="H450" s="873"/>
      <c r="I450" s="923"/>
      <c r="J450" s="221"/>
      <c r="K450" s="35"/>
      <c r="L450" s="98">
        <v>7</v>
      </c>
      <c r="M450" s="41">
        <v>0.1016</v>
      </c>
      <c r="N450" s="41">
        <v>60.325000000000003</v>
      </c>
      <c r="O450" s="41">
        <v>276.86</v>
      </c>
      <c r="P450" s="41">
        <f t="shared" si="224"/>
        <v>0.18834802589857985</v>
      </c>
      <c r="Q450" s="41">
        <v>594</v>
      </c>
      <c r="R450" s="35"/>
      <c r="S450" s="41" t="s">
        <v>175</v>
      </c>
      <c r="T450" s="488" t="s">
        <v>175</v>
      </c>
      <c r="U450" s="65">
        <f t="shared" si="253"/>
        <v>15.798174224536785</v>
      </c>
      <c r="V450" s="41">
        <v>105489.8</v>
      </c>
      <c r="W450" s="41">
        <v>410.23809999999997</v>
      </c>
      <c r="X450" s="5"/>
      <c r="Z450" s="9"/>
      <c r="AA450" s="35" t="s">
        <v>525</v>
      </c>
      <c r="AB450" s="953"/>
      <c r="AC450" s="458" t="s">
        <v>750</v>
      </c>
      <c r="AD450" s="195"/>
      <c r="AE450" s="35"/>
      <c r="AJ450" s="250">
        <f t="shared" si="254"/>
        <v>7.8947368421052627E-2</v>
      </c>
      <c r="AK450" s="35"/>
      <c r="AL450" s="873"/>
      <c r="AM450" s="46"/>
      <c r="AN450" s="596">
        <v>31.62472753911916</v>
      </c>
      <c r="AO450" s="596">
        <f t="shared" si="256"/>
        <v>7.7088713942267087E-2</v>
      </c>
      <c r="AP450" s="635"/>
      <c r="AQ450" s="635">
        <f t="shared" si="229"/>
        <v>1.9532383139788632</v>
      </c>
      <c r="AR450" s="599">
        <f t="shared" si="255"/>
        <v>107.52897915911652</v>
      </c>
      <c r="AT450" s="689">
        <f t="shared" si="257"/>
        <v>0.29410422926383706</v>
      </c>
      <c r="AU450" s="349">
        <f t="shared" si="252"/>
        <v>7.7088713942267087E-2</v>
      </c>
      <c r="AV450" s="281"/>
      <c r="AW450" s="488"/>
      <c r="AX450" s="195"/>
      <c r="AY450" s="90"/>
      <c r="AZ450" s="543">
        <v>1967</v>
      </c>
      <c r="BA450" s="293"/>
    </row>
    <row r="451" spans="2:53" ht="30">
      <c r="B451" s="991"/>
      <c r="C451" s="948"/>
      <c r="D451" s="873"/>
      <c r="E451" s="938"/>
      <c r="F451" s="873"/>
      <c r="G451" s="873"/>
      <c r="H451" s="873"/>
      <c r="I451" s="923"/>
      <c r="J451" s="221"/>
      <c r="K451" s="35"/>
      <c r="L451" s="98" t="s">
        <v>506</v>
      </c>
      <c r="M451" s="41">
        <v>0.1016</v>
      </c>
      <c r="N451" s="41">
        <v>60.325000000000003</v>
      </c>
      <c r="O451" s="41">
        <v>276.86</v>
      </c>
      <c r="P451" s="41">
        <f t="shared" si="224"/>
        <v>0.18834802589857985</v>
      </c>
      <c r="Q451" s="41">
        <v>594</v>
      </c>
      <c r="R451" s="35"/>
      <c r="S451" s="41" t="s">
        <v>507</v>
      </c>
      <c r="T451" s="488" t="s">
        <v>175</v>
      </c>
      <c r="U451" s="65">
        <f t="shared" si="253"/>
        <v>15.798174224536785</v>
      </c>
      <c r="V451" s="41">
        <v>105489.8</v>
      </c>
      <c r="W451" s="41">
        <v>410.23809999999997</v>
      </c>
      <c r="X451" s="5"/>
      <c r="Z451" s="9"/>
      <c r="AA451" s="35" t="s">
        <v>525</v>
      </c>
      <c r="AB451" s="953"/>
      <c r="AC451" s="458" t="s">
        <v>750</v>
      </c>
      <c r="AD451" s="195"/>
      <c r="AE451" s="35"/>
      <c r="AJ451" s="250">
        <f t="shared" si="254"/>
        <v>7.8947368421052627E-2</v>
      </c>
      <c r="AK451" s="35"/>
      <c r="AL451" s="873"/>
      <c r="AM451" s="46"/>
      <c r="AN451" s="596">
        <v>50.635097464320005</v>
      </c>
      <c r="AO451" s="596">
        <f t="shared" si="256"/>
        <v>0.12342855884014675</v>
      </c>
      <c r="AP451" s="635"/>
      <c r="AQ451" s="635">
        <f t="shared" si="229"/>
        <v>1.9532383139788632</v>
      </c>
      <c r="AR451" s="599">
        <f t="shared" si="255"/>
        <v>107.52897915911652</v>
      </c>
      <c r="AT451" s="689">
        <f t="shared" si="257"/>
        <v>0.4708972210123234</v>
      </c>
      <c r="AU451" s="349">
        <f t="shared" si="252"/>
        <v>0.12342855884014675</v>
      </c>
      <c r="AV451" s="281"/>
      <c r="AW451" s="488"/>
      <c r="AX451" s="195"/>
      <c r="AY451" s="90"/>
      <c r="AZ451" s="543">
        <v>1967</v>
      </c>
      <c r="BA451" s="293"/>
    </row>
    <row r="452" spans="2:53" ht="32.1" customHeight="1">
      <c r="B452" s="991"/>
      <c r="C452" s="948"/>
      <c r="D452" s="873"/>
      <c r="E452" s="938"/>
      <c r="F452" s="873"/>
      <c r="G452" s="873"/>
      <c r="H452" s="873"/>
      <c r="I452" s="923"/>
      <c r="J452" s="221"/>
      <c r="K452" s="35"/>
      <c r="L452" s="98">
        <v>8</v>
      </c>
      <c r="M452" s="41">
        <v>1.016</v>
      </c>
      <c r="N452" s="41">
        <v>137.16</v>
      </c>
      <c r="O452" s="41">
        <v>609.6</v>
      </c>
      <c r="P452" s="41">
        <f t="shared" si="224"/>
        <v>0.38251687369949799</v>
      </c>
      <c r="Q452" s="41">
        <v>135</v>
      </c>
      <c r="R452" s="35"/>
      <c r="S452" s="41" t="s">
        <v>508</v>
      </c>
      <c r="T452" s="488" t="s">
        <v>522</v>
      </c>
      <c r="U452" s="65">
        <f t="shared" si="253"/>
        <v>123.1544339553606</v>
      </c>
      <c r="V452" s="41">
        <v>70326.52</v>
      </c>
      <c r="W452" s="41">
        <v>140.65299999999999</v>
      </c>
      <c r="X452" s="5"/>
      <c r="Z452" s="9"/>
      <c r="AA452" s="35" t="s">
        <v>525</v>
      </c>
      <c r="AB452" s="953" t="s">
        <v>509</v>
      </c>
      <c r="AC452" s="458" t="s">
        <v>750</v>
      </c>
      <c r="AD452" s="195"/>
      <c r="AE452" s="35"/>
      <c r="AJ452" s="250">
        <f>CONVERT(0.5/2,"in","mm")/N452</f>
        <v>4.6296296296296294E-2</v>
      </c>
      <c r="AK452" s="35"/>
      <c r="AL452" s="873"/>
      <c r="AM452" s="46"/>
      <c r="AN452" s="596">
        <v>125.02493201066667</v>
      </c>
      <c r="AO452" s="596">
        <f t="shared" si="256"/>
        <v>0.88888919547159806</v>
      </c>
      <c r="AP452" s="635"/>
      <c r="AQ452" s="635">
        <f t="shared" si="229"/>
        <v>0.66791697647315873</v>
      </c>
      <c r="AR452" s="599">
        <f t="shared" si="255"/>
        <v>315.28552726506064</v>
      </c>
      <c r="AT452" s="689">
        <f t="shared" si="257"/>
        <v>0.3965451034025998</v>
      </c>
      <c r="AU452" s="349">
        <f t="shared" si="252"/>
        <v>0.88888919547159806</v>
      </c>
      <c r="AV452" s="281"/>
      <c r="AW452" s="488" t="s">
        <v>510</v>
      </c>
      <c r="AX452" s="195"/>
      <c r="AY452" s="90"/>
      <c r="AZ452" s="543">
        <v>1967</v>
      </c>
      <c r="BA452" s="293"/>
    </row>
    <row r="453" spans="2:53" ht="30">
      <c r="B453" s="991"/>
      <c r="C453" s="948"/>
      <c r="D453" s="873"/>
      <c r="E453" s="938"/>
      <c r="F453" s="873"/>
      <c r="G453" s="873"/>
      <c r="H453" s="873"/>
      <c r="I453" s="923"/>
      <c r="J453" s="221"/>
      <c r="K453" s="35"/>
      <c r="L453" s="98">
        <v>9</v>
      </c>
      <c r="M453" s="41">
        <v>1.016</v>
      </c>
      <c r="N453" s="41">
        <v>137.16</v>
      </c>
      <c r="O453" s="41">
        <v>609.6</v>
      </c>
      <c r="P453" s="41">
        <f t="shared" si="224"/>
        <v>0.38251687369949799</v>
      </c>
      <c r="Q453" s="41">
        <v>135</v>
      </c>
      <c r="R453" s="35"/>
      <c r="S453" s="41" t="s">
        <v>511</v>
      </c>
      <c r="T453" s="488" t="s">
        <v>522</v>
      </c>
      <c r="U453" s="65">
        <f t="shared" si="253"/>
        <v>268.64579508827887</v>
      </c>
      <c r="V453" s="41">
        <v>70671.259999999995</v>
      </c>
      <c r="W453" s="41">
        <v>306.81670000000003</v>
      </c>
      <c r="X453" s="5"/>
      <c r="Z453" s="9"/>
      <c r="AA453" s="35" t="s">
        <v>525</v>
      </c>
      <c r="AB453" s="953"/>
      <c r="AC453" s="458" t="s">
        <v>750</v>
      </c>
      <c r="AD453" s="195"/>
      <c r="AE453" s="35"/>
      <c r="AJ453" s="250">
        <f>CONVERT(0.5/2,"in","mm")/N453</f>
        <v>4.6296296296296294E-2</v>
      </c>
      <c r="AK453" s="35"/>
      <c r="AL453" s="873"/>
      <c r="AM453" s="46"/>
      <c r="AN453" s="596">
        <v>125.63779932444446</v>
      </c>
      <c r="AO453" s="596">
        <f t="shared" si="256"/>
        <v>0.40948813843719867</v>
      </c>
      <c r="AP453" s="635"/>
      <c r="AQ453" s="635">
        <f t="shared" si="229"/>
        <v>0.98406917019690632</v>
      </c>
      <c r="AR453" s="599">
        <f t="shared" si="255"/>
        <v>316.83105422515138</v>
      </c>
      <c r="AT453" s="689">
        <f t="shared" si="257"/>
        <v>0.39654509130017851</v>
      </c>
      <c r="AU453" s="349">
        <f t="shared" si="252"/>
        <v>0.40948813843719867</v>
      </c>
      <c r="AV453" s="281"/>
      <c r="AW453" s="488"/>
      <c r="AX453" s="195"/>
      <c r="AY453" s="90"/>
      <c r="AZ453" s="543">
        <v>1967</v>
      </c>
      <c r="BA453" s="293"/>
    </row>
    <row r="454" spans="2:53" ht="30">
      <c r="B454" s="991"/>
      <c r="C454" s="948"/>
      <c r="D454" s="873"/>
      <c r="E454" s="938"/>
      <c r="F454" s="873"/>
      <c r="G454" s="873"/>
      <c r="H454" s="873"/>
      <c r="I454" s="923"/>
      <c r="J454" s="221"/>
      <c r="K454" s="35"/>
      <c r="L454" s="98">
        <v>10</v>
      </c>
      <c r="M454" s="41">
        <v>0.81279999999999997</v>
      </c>
      <c r="N454" s="41">
        <v>137.16</v>
      </c>
      <c r="O454" s="41">
        <v>609.6</v>
      </c>
      <c r="P454" s="41">
        <f t="shared" si="224"/>
        <v>0.34213349285311156</v>
      </c>
      <c r="Q454" s="41">
        <v>169</v>
      </c>
      <c r="R454" s="35"/>
      <c r="S454" s="41" t="s">
        <v>508</v>
      </c>
      <c r="T454" s="488" t="s">
        <v>522</v>
      </c>
      <c r="U454" s="65">
        <f t="shared" si="253"/>
        <v>98.523547164288459</v>
      </c>
      <c r="V454" s="41">
        <v>70326.52</v>
      </c>
      <c r="W454" s="41">
        <v>140.65299999999999</v>
      </c>
      <c r="X454" s="5"/>
      <c r="Z454" s="9"/>
      <c r="AA454" s="35" t="s">
        <v>525</v>
      </c>
      <c r="AB454" s="953"/>
      <c r="AC454" s="458" t="s">
        <v>750</v>
      </c>
      <c r="AD454" s="195"/>
      <c r="AE454" s="35"/>
      <c r="AJ454" s="250">
        <f>CONVERT(0.5/2,"in","mm")/N454</f>
        <v>4.6296296296296294E-2</v>
      </c>
      <c r="AK454" s="35"/>
      <c r="AL454" s="873"/>
      <c r="AM454" s="46"/>
      <c r="AN454" s="596">
        <v>97.936196741688889</v>
      </c>
      <c r="AO454" s="596">
        <f t="shared" si="256"/>
        <v>0.6962965364527518</v>
      </c>
      <c r="AP454" s="635"/>
      <c r="AQ454" s="635">
        <f t="shared" si="229"/>
        <v>0.74675388136005527</v>
      </c>
      <c r="AR454" s="599">
        <f t="shared" si="255"/>
        <v>252.22842181204854</v>
      </c>
      <c r="AT454" s="689">
        <f t="shared" si="257"/>
        <v>0.38828374708171226</v>
      </c>
      <c r="AU454" s="349">
        <f t="shared" si="252"/>
        <v>0.6962965364527518</v>
      </c>
      <c r="AV454" s="281"/>
      <c r="AW454" s="488"/>
      <c r="AX454" s="195"/>
      <c r="AY454" s="90"/>
      <c r="AZ454" s="543">
        <v>1967</v>
      </c>
      <c r="BA454" s="293"/>
    </row>
    <row r="455" spans="2:53" ht="30">
      <c r="B455" s="991"/>
      <c r="C455" s="948"/>
      <c r="D455" s="873"/>
      <c r="E455" s="938"/>
      <c r="F455" s="873"/>
      <c r="G455" s="873"/>
      <c r="H455" s="873"/>
      <c r="I455" s="923"/>
      <c r="J455" s="221"/>
      <c r="K455" s="35"/>
      <c r="L455" s="98">
        <v>11</v>
      </c>
      <c r="M455" s="41">
        <v>0.81279999999999997</v>
      </c>
      <c r="N455" s="41">
        <v>137.16</v>
      </c>
      <c r="O455" s="41">
        <v>609.6</v>
      </c>
      <c r="P455" s="41">
        <f t="shared" si="224"/>
        <v>0.34213349285311156</v>
      </c>
      <c r="Q455" s="41">
        <v>169</v>
      </c>
      <c r="R455" s="35"/>
      <c r="S455" s="41" t="s">
        <v>511</v>
      </c>
      <c r="T455" s="488" t="s">
        <v>522</v>
      </c>
      <c r="U455" s="65">
        <f t="shared" si="253"/>
        <v>214.9166360706231</v>
      </c>
      <c r="V455" s="41">
        <v>70671.259999999995</v>
      </c>
      <c r="W455" s="41">
        <v>306.81670000000003</v>
      </c>
      <c r="X455" s="5"/>
      <c r="Z455" s="9"/>
      <c r="AA455" s="35" t="s">
        <v>525</v>
      </c>
      <c r="AB455" s="953"/>
      <c r="AC455" s="458" t="s">
        <v>750</v>
      </c>
      <c r="AD455" s="195"/>
      <c r="AE455" s="35"/>
      <c r="AJ455" s="250">
        <f>CONVERT(0.5/2,"in","mm")/N455</f>
        <v>4.6296296296296294E-2</v>
      </c>
      <c r="AK455" s="35"/>
      <c r="AL455" s="873"/>
      <c r="AM455" s="46"/>
      <c r="AN455" s="596">
        <v>150.76535918933334</v>
      </c>
      <c r="AO455" s="596">
        <f t="shared" si="256"/>
        <v>0.49138576612463836</v>
      </c>
      <c r="AP455" s="635"/>
      <c r="AQ455" s="635">
        <f t="shared" si="229"/>
        <v>1.1002227795610464</v>
      </c>
      <c r="AR455" s="599">
        <f t="shared" si="255"/>
        <v>253.46484338012107</v>
      </c>
      <c r="AT455" s="689">
        <f t="shared" si="257"/>
        <v>0.59481763695026779</v>
      </c>
      <c r="AU455" s="349">
        <f t="shared" si="252"/>
        <v>0.49138576612463836</v>
      </c>
      <c r="AV455" s="281"/>
      <c r="AW455" s="488"/>
      <c r="AX455" s="195"/>
      <c r="AY455" s="90"/>
      <c r="AZ455" s="543">
        <v>1967</v>
      </c>
      <c r="BA455" s="293"/>
    </row>
    <row r="456" spans="2:53" ht="32.1" customHeight="1">
      <c r="B456" s="991"/>
      <c r="C456" s="948"/>
      <c r="D456" s="873"/>
      <c r="E456" s="938"/>
      <c r="F456" s="873"/>
      <c r="G456" s="873"/>
      <c r="H456" s="873"/>
      <c r="I456" s="923"/>
      <c r="J456" s="221"/>
      <c r="K456" s="35"/>
      <c r="L456" s="98">
        <v>12</v>
      </c>
      <c r="M456" s="41">
        <v>0.50800000000000001</v>
      </c>
      <c r="N456" s="41">
        <v>137.16</v>
      </c>
      <c r="O456" s="41">
        <v>609.6</v>
      </c>
      <c r="P456" s="41">
        <f t="shared" si="224"/>
        <v>0.27048027531119317</v>
      </c>
      <c r="Q456" s="41">
        <v>270</v>
      </c>
      <c r="R456" s="35"/>
      <c r="S456" s="41" t="s">
        <v>511</v>
      </c>
      <c r="T456" s="488" t="s">
        <v>522</v>
      </c>
      <c r="U456" s="65">
        <f t="shared" si="253"/>
        <v>134.32289754413944</v>
      </c>
      <c r="V456" s="41">
        <v>70671.259999999995</v>
      </c>
      <c r="W456" s="41">
        <v>306.81670000000003</v>
      </c>
      <c r="X456" s="5"/>
      <c r="Z456" s="9"/>
      <c r="AA456" s="35" t="s">
        <v>525</v>
      </c>
      <c r="AB456" s="953" t="s">
        <v>512</v>
      </c>
      <c r="AC456" s="458" t="s">
        <v>750</v>
      </c>
      <c r="AD456" s="195"/>
      <c r="AE456" s="35"/>
      <c r="AJ456" s="250">
        <f>CONVERT(0.375/2,"in","mm")/N456</f>
        <v>3.4722222222222224E-2</v>
      </c>
      <c r="AK456" s="35"/>
      <c r="AL456" s="873"/>
      <c r="AM456" s="46"/>
      <c r="AN456" s="596">
        <v>78.523624577777781</v>
      </c>
      <c r="AO456" s="596">
        <f t="shared" si="256"/>
        <v>0.25593008652324917</v>
      </c>
      <c r="AP456" s="635"/>
      <c r="AQ456" s="635">
        <f t="shared" si="229"/>
        <v>1.3916839668057024</v>
      </c>
      <c r="AR456" s="599">
        <f t="shared" si="255"/>
        <v>158.41552711257569</v>
      </c>
      <c r="AT456" s="689">
        <f t="shared" si="257"/>
        <v>0.49568136412522307</v>
      </c>
      <c r="AU456" s="349">
        <f t="shared" si="252"/>
        <v>0.25593008652324917</v>
      </c>
      <c r="AV456" s="281"/>
      <c r="AW456" s="488"/>
      <c r="AX456" s="195"/>
      <c r="AY456" s="90"/>
      <c r="AZ456" s="543">
        <v>1967</v>
      </c>
      <c r="BA456" s="293"/>
    </row>
    <row r="457" spans="2:53" ht="30">
      <c r="B457" s="991"/>
      <c r="C457" s="948"/>
      <c r="D457" s="873"/>
      <c r="E457" s="938"/>
      <c r="F457" s="873"/>
      <c r="G457" s="873"/>
      <c r="H457" s="873"/>
      <c r="I457" s="923"/>
      <c r="J457" s="221"/>
      <c r="K457" s="35"/>
      <c r="L457" s="98">
        <v>13</v>
      </c>
      <c r="M457" s="41">
        <v>0.50800000000000001</v>
      </c>
      <c r="N457" s="41">
        <v>137.16</v>
      </c>
      <c r="O457" s="41">
        <v>609.6</v>
      </c>
      <c r="P457" s="41">
        <f t="shared" si="224"/>
        <v>0.27048027531119317</v>
      </c>
      <c r="Q457" s="41">
        <v>270</v>
      </c>
      <c r="R457" s="35"/>
      <c r="S457" s="41" t="s">
        <v>511</v>
      </c>
      <c r="T457" s="488" t="s">
        <v>522</v>
      </c>
      <c r="U457" s="65">
        <f t="shared" si="253"/>
        <v>134.32289754413944</v>
      </c>
      <c r="V457" s="41">
        <v>70671.259999999995</v>
      </c>
      <c r="W457" s="41">
        <v>306.81670000000003</v>
      </c>
      <c r="X457" s="5"/>
      <c r="Z457" s="9"/>
      <c r="AA457" s="35" t="s">
        <v>525</v>
      </c>
      <c r="AB457" s="953"/>
      <c r="AC457" s="458" t="s">
        <v>750</v>
      </c>
      <c r="AD457" s="195"/>
      <c r="AE457" s="35"/>
      <c r="AJ457" s="250">
        <f>CONVERT(0.375/2,"in","mm")/N457</f>
        <v>3.4722222222222224E-2</v>
      </c>
      <c r="AK457" s="35"/>
      <c r="AL457" s="873"/>
      <c r="AM457" s="46"/>
      <c r="AN457" s="596">
        <v>115.16798271407409</v>
      </c>
      <c r="AO457" s="596">
        <f t="shared" si="256"/>
        <v>0.37536412690076543</v>
      </c>
      <c r="AP457" s="635"/>
      <c r="AQ457" s="635">
        <f t="shared" si="229"/>
        <v>1.3916839668057024</v>
      </c>
      <c r="AR457" s="599">
        <f t="shared" si="255"/>
        <v>158.41552711257569</v>
      </c>
      <c r="AT457" s="689">
        <f t="shared" si="257"/>
        <v>0.72699933405032724</v>
      </c>
      <c r="AU457" s="349">
        <f t="shared" si="252"/>
        <v>0.37536412690076543</v>
      </c>
      <c r="AV457" s="281"/>
      <c r="AW457" s="488"/>
      <c r="AX457" s="195"/>
      <c r="AY457" s="90"/>
      <c r="AZ457" s="543">
        <v>1967</v>
      </c>
      <c r="BA457" s="293"/>
    </row>
    <row r="458" spans="2:53" ht="30">
      <c r="B458" s="991"/>
      <c r="C458" s="948"/>
      <c r="D458" s="873"/>
      <c r="E458" s="938"/>
      <c r="F458" s="873"/>
      <c r="G458" s="873"/>
      <c r="H458" s="873"/>
      <c r="I458" s="923"/>
      <c r="J458" s="221"/>
      <c r="K458" s="35"/>
      <c r="L458" s="98">
        <v>16</v>
      </c>
      <c r="M458" s="41">
        <v>5.0799999999999998E-2</v>
      </c>
      <c r="N458" s="41">
        <v>60.325000000000003</v>
      </c>
      <c r="O458" s="41">
        <v>241.3</v>
      </c>
      <c r="P458" s="41">
        <f t="shared" si="224"/>
        <v>0.11607620001760187</v>
      </c>
      <c r="Q458" s="41">
        <v>1185</v>
      </c>
      <c r="R458" s="35"/>
      <c r="S458" s="41" t="s">
        <v>516</v>
      </c>
      <c r="T458" s="488" t="s">
        <v>522</v>
      </c>
      <c r="U458" s="65">
        <f t="shared" si="253"/>
        <v>5.3103102915566209</v>
      </c>
      <c r="V458" s="41">
        <v>68947.570000000007</v>
      </c>
      <c r="W458" s="41">
        <v>275.7903</v>
      </c>
      <c r="X458" s="5"/>
      <c r="Z458" s="9"/>
      <c r="AA458" s="35" t="s">
        <v>525</v>
      </c>
      <c r="AB458" s="458" t="s">
        <v>517</v>
      </c>
      <c r="AC458" s="458" t="s">
        <v>750</v>
      </c>
      <c r="AD458" s="242" t="s">
        <v>515</v>
      </c>
      <c r="AE458" s="35"/>
      <c r="AJ458" s="250">
        <f>CONVERT(0.375/2,"in","mm")/N458</f>
        <v>7.8947368421052627E-2</v>
      </c>
      <c r="AK458" s="35"/>
      <c r="AL458" s="873"/>
      <c r="AM458" s="46"/>
      <c r="AN458" s="596">
        <v>10.160694938947369</v>
      </c>
      <c r="AO458" s="596">
        <f t="shared" si="256"/>
        <v>3.6842104087588902E-2</v>
      </c>
      <c r="AP458" s="635"/>
      <c r="AQ458" s="635">
        <f t="shared" si="229"/>
        <v>2.8014797159771994</v>
      </c>
      <c r="AR458" s="599">
        <f t="shared" si="255"/>
        <v>35.140183304934354</v>
      </c>
      <c r="AT458" s="689">
        <f t="shared" si="257"/>
        <v>0.28914746547496278</v>
      </c>
      <c r="AU458" s="349">
        <f t="shared" si="252"/>
        <v>3.6842104087588902E-2</v>
      </c>
      <c r="AV458" s="281"/>
      <c r="AW458" s="488" t="s">
        <v>504</v>
      </c>
      <c r="AX458" s="195"/>
      <c r="AY458" s="90"/>
      <c r="AZ458" s="543">
        <v>1967</v>
      </c>
      <c r="BA458" s="293"/>
    </row>
    <row r="459" spans="2:53">
      <c r="B459" s="991"/>
      <c r="C459" s="948"/>
      <c r="D459" s="873"/>
      <c r="E459" s="938"/>
      <c r="F459" s="873"/>
      <c r="G459" s="873"/>
      <c r="H459" s="873"/>
      <c r="I459" s="923"/>
      <c r="J459" s="221"/>
      <c r="K459" s="35"/>
      <c r="L459" s="98">
        <v>17</v>
      </c>
      <c r="M459" s="41">
        <v>5.0799999999999998E-2</v>
      </c>
      <c r="N459" s="41">
        <v>60.325000000000003</v>
      </c>
      <c r="O459" s="41">
        <v>241.3</v>
      </c>
      <c r="P459" s="41">
        <f t="shared" si="224"/>
        <v>0.11607620001760187</v>
      </c>
      <c r="Q459" s="41">
        <v>1185</v>
      </c>
      <c r="R459" s="35"/>
      <c r="S459" s="41" t="s">
        <v>518</v>
      </c>
      <c r="T459" s="488" t="s">
        <v>522</v>
      </c>
      <c r="U459" s="65">
        <f t="shared" si="253"/>
        <v>5.3103102915566209</v>
      </c>
      <c r="V459" s="41">
        <v>68947.570000000007</v>
      </c>
      <c r="W459" s="41">
        <v>275.7903</v>
      </c>
      <c r="X459" s="5"/>
      <c r="Z459" s="9"/>
      <c r="AA459" s="35" t="s">
        <v>525</v>
      </c>
      <c r="AB459" s="458" t="s">
        <v>517</v>
      </c>
      <c r="AC459" s="458" t="s">
        <v>750</v>
      </c>
      <c r="AD459" s="242" t="s">
        <v>515</v>
      </c>
      <c r="AE459" s="35"/>
      <c r="AJ459" s="250">
        <f>CONVERT(0.375/2,"in","mm")/N459</f>
        <v>7.8947368421052627E-2</v>
      </c>
      <c r="AK459" s="35"/>
      <c r="AL459" s="873"/>
      <c r="AM459" s="46"/>
      <c r="AN459" s="596">
        <v>15.966806332631583</v>
      </c>
      <c r="AO459" s="596">
        <f t="shared" si="256"/>
        <v>5.7894734994782565E-2</v>
      </c>
      <c r="AP459" s="635"/>
      <c r="AQ459" s="635">
        <f t="shared" si="229"/>
        <v>2.8014797159771994</v>
      </c>
      <c r="AR459" s="599">
        <f t="shared" si="255"/>
        <v>35.140183304934354</v>
      </c>
      <c r="AT459" s="689">
        <f t="shared" si="257"/>
        <v>0.45437458860351299</v>
      </c>
      <c r="AU459" s="349">
        <f t="shared" si="252"/>
        <v>5.7894734994782565E-2</v>
      </c>
      <c r="AV459" s="281"/>
      <c r="AW459" s="488"/>
      <c r="AX459" s="195"/>
      <c r="AY459" s="90"/>
      <c r="AZ459" s="543">
        <v>1967</v>
      </c>
      <c r="BA459" s="293"/>
    </row>
    <row r="460" spans="2:53" ht="105">
      <c r="B460" s="991"/>
      <c r="C460" s="948"/>
      <c r="D460" s="873"/>
      <c r="E460" s="938"/>
      <c r="F460" s="873"/>
      <c r="G460" s="873"/>
      <c r="H460" s="873"/>
      <c r="I460" s="923"/>
      <c r="J460" s="221"/>
      <c r="K460" s="35"/>
      <c r="L460" s="98">
        <v>18</v>
      </c>
      <c r="M460" s="41">
        <v>1.016</v>
      </c>
      <c r="N460" s="41">
        <v>137.16</v>
      </c>
      <c r="O460" s="41">
        <v>609.6</v>
      </c>
      <c r="P460" s="41">
        <f t="shared" si="224"/>
        <v>0.38251687369949799</v>
      </c>
      <c r="Q460" s="41">
        <v>135</v>
      </c>
      <c r="R460" s="35"/>
      <c r="S460" s="41" t="s">
        <v>511</v>
      </c>
      <c r="T460" s="488" t="s">
        <v>522</v>
      </c>
      <c r="U460" s="65">
        <f t="shared" si="253"/>
        <v>268.64579508827887</v>
      </c>
      <c r="V460" s="41">
        <v>70671.259999999995</v>
      </c>
      <c r="W460" s="41">
        <v>306.81670000000003</v>
      </c>
      <c r="X460" s="5"/>
      <c r="Z460" s="9"/>
      <c r="AA460" s="35" t="s">
        <v>525</v>
      </c>
      <c r="AB460" s="458" t="s">
        <v>509</v>
      </c>
      <c r="AC460" s="458" t="s">
        <v>750</v>
      </c>
      <c r="AD460" s="242" t="s">
        <v>503</v>
      </c>
      <c r="AE460" s="35"/>
      <c r="AJ460" s="250">
        <f>CONVERT(0.5/2,"in","mm")/N460</f>
        <v>4.6296296296296294E-2</v>
      </c>
      <c r="AK460" s="35"/>
      <c r="AL460" s="873"/>
      <c r="AM460" s="46"/>
      <c r="AN460" s="596">
        <v>183.22179068148148</v>
      </c>
      <c r="AO460" s="596">
        <f t="shared" si="256"/>
        <v>0.5971702018875813</v>
      </c>
      <c r="AP460" s="635"/>
      <c r="AQ460" s="635">
        <f t="shared" si="229"/>
        <v>0.98406917019690632</v>
      </c>
      <c r="AR460" s="599">
        <f t="shared" si="255"/>
        <v>316.83105422515138</v>
      </c>
      <c r="AT460" s="689">
        <f t="shared" si="257"/>
        <v>0.57829492481276024</v>
      </c>
      <c r="AU460" s="349">
        <f t="shared" si="252"/>
        <v>0.5971702018875813</v>
      </c>
      <c r="AW460" s="488" t="s">
        <v>510</v>
      </c>
      <c r="AX460" s="195"/>
      <c r="AY460" s="90"/>
      <c r="AZ460" s="543">
        <v>1967</v>
      </c>
      <c r="BA460" s="293"/>
    </row>
    <row r="461" spans="2:53" ht="75.75" thickBot="1">
      <c r="B461" s="991"/>
      <c r="C461" s="949"/>
      <c r="D461" s="874"/>
      <c r="E461" s="939"/>
      <c r="F461" s="874"/>
      <c r="G461" s="874"/>
      <c r="H461" s="874"/>
      <c r="I461" s="924"/>
      <c r="J461" s="223"/>
      <c r="K461" s="36"/>
      <c r="L461" s="529">
        <v>22</v>
      </c>
      <c r="M461" s="111">
        <v>0.50800000000000001</v>
      </c>
      <c r="N461" s="111">
        <v>137.16</v>
      </c>
      <c r="O461" s="111">
        <v>609.6</v>
      </c>
      <c r="P461" s="111">
        <f t="shared" ref="P461:P475" si="258">O461/N461*SQRT(M461/N461)</f>
        <v>0.27048027531119317</v>
      </c>
      <c r="Q461" s="111">
        <v>270</v>
      </c>
      <c r="R461" s="36"/>
      <c r="S461" s="111" t="s">
        <v>508</v>
      </c>
      <c r="T461" s="489" t="s">
        <v>522</v>
      </c>
      <c r="U461" s="89">
        <f t="shared" si="253"/>
        <v>61.577216977680301</v>
      </c>
      <c r="V461" s="111">
        <v>70326.52</v>
      </c>
      <c r="W461" s="111">
        <v>140.65299999999999</v>
      </c>
      <c r="X461" s="18"/>
      <c r="Y461" s="173"/>
      <c r="Z461" s="126"/>
      <c r="AA461" s="36" t="s">
        <v>525</v>
      </c>
      <c r="AB461" s="459" t="s">
        <v>521</v>
      </c>
      <c r="AC461" s="459" t="s">
        <v>750</v>
      </c>
      <c r="AD461" s="243" t="s">
        <v>503</v>
      </c>
      <c r="AE461" s="36"/>
      <c r="AF461" s="18"/>
      <c r="AG461" s="18"/>
      <c r="AH461" s="18"/>
      <c r="AI461" s="18"/>
      <c r="AJ461" s="251">
        <f>CONVERT(0.375/2,"in","mm")/N461</f>
        <v>3.4722222222222224E-2</v>
      </c>
      <c r="AK461" s="36"/>
      <c r="AL461" s="874"/>
      <c r="AM461" s="50"/>
      <c r="AN461" s="556">
        <v>59.907779921777781</v>
      </c>
      <c r="AO461" s="556">
        <f t="shared" si="256"/>
        <v>0.42592607283014072</v>
      </c>
      <c r="AP461" s="604"/>
      <c r="AQ461" s="604">
        <f t="shared" si="229"/>
        <v>0.94457724666757248</v>
      </c>
      <c r="AR461" s="604">
        <f t="shared" si="255"/>
        <v>157.64276363253032</v>
      </c>
      <c r="AS461" s="577"/>
      <c r="AT461" s="690">
        <f t="shared" si="257"/>
        <v>0.38002239076082484</v>
      </c>
      <c r="AU461" s="350">
        <f t="shared" si="252"/>
        <v>0.42592607283014072</v>
      </c>
      <c r="AV461" s="91"/>
      <c r="AW461" s="489" t="s">
        <v>510</v>
      </c>
      <c r="AX461" s="196"/>
      <c r="AY461" s="91"/>
      <c r="AZ461" s="543">
        <v>1967</v>
      </c>
      <c r="BA461" s="295"/>
    </row>
    <row r="462" spans="2:53" ht="66.75" customHeight="1">
      <c r="B462" s="991"/>
      <c r="C462" s="947" t="s">
        <v>496</v>
      </c>
      <c r="D462" s="922" t="s">
        <v>497</v>
      </c>
      <c r="E462" s="937">
        <v>1967</v>
      </c>
      <c r="F462" s="922" t="s">
        <v>40</v>
      </c>
      <c r="G462" s="922" t="s">
        <v>498</v>
      </c>
      <c r="H462" s="922" t="s">
        <v>499</v>
      </c>
      <c r="I462" s="904" t="s">
        <v>500</v>
      </c>
      <c r="J462" s="222"/>
      <c r="K462" s="34"/>
      <c r="L462" s="528">
        <v>14</v>
      </c>
      <c r="M462" s="108">
        <v>0.1651</v>
      </c>
      <c r="N462" s="108">
        <v>31.75</v>
      </c>
      <c r="O462" s="108">
        <v>101.6</v>
      </c>
      <c r="P462" s="108">
        <f>O462/N462*SQRT(M462/N462)</f>
        <v>0.23075528162969527</v>
      </c>
      <c r="Q462" s="108">
        <v>192</v>
      </c>
      <c r="R462" s="34"/>
      <c r="S462" s="108" t="s">
        <v>513</v>
      </c>
      <c r="T462" s="487" t="s">
        <v>522</v>
      </c>
      <c r="U462" s="72">
        <f>2*PI()*N462*M462*W462/1000</f>
        <v>8.6292547178193004</v>
      </c>
      <c r="V462" s="108">
        <v>68947.570000000007</v>
      </c>
      <c r="W462" s="108">
        <v>262.00080000000003</v>
      </c>
      <c r="X462" s="15"/>
      <c r="Y462" s="171"/>
      <c r="Z462" s="198"/>
      <c r="AA462" s="35" t="s">
        <v>524</v>
      </c>
      <c r="AB462" s="163" t="s">
        <v>514</v>
      </c>
      <c r="AC462" s="163" t="s">
        <v>868</v>
      </c>
      <c r="AD462" s="195" t="s">
        <v>515</v>
      </c>
      <c r="AE462" s="34"/>
      <c r="AF462" s="15"/>
      <c r="AG462" s="15"/>
      <c r="AH462" s="15"/>
      <c r="AI462" s="15"/>
      <c r="AJ462" s="29"/>
      <c r="AK462" s="34"/>
      <c r="AL462" s="187"/>
      <c r="AM462" s="47"/>
      <c r="AN462" s="20">
        <v>91.424481532800002</v>
      </c>
      <c r="AO462" s="596">
        <f t="shared" si="256"/>
        <v>0.34894733730889366</v>
      </c>
      <c r="AP462" s="597"/>
      <c r="AQ462" s="597">
        <f t="shared" si="229"/>
        <v>1.0988307805859157</v>
      </c>
      <c r="AR462" s="597">
        <f t="shared" si="255"/>
        <v>216.99063190796966</v>
      </c>
      <c r="AS462" s="547"/>
      <c r="AT462" s="689">
        <f t="shared" si="257"/>
        <v>0.42132916397780285</v>
      </c>
      <c r="AU462" s="348">
        <f>MAX(AO462:AP462)</f>
        <v>0.34894733730889366</v>
      </c>
      <c r="AV462" s="279"/>
      <c r="AW462" s="487" t="s">
        <v>504</v>
      </c>
      <c r="AX462" s="194"/>
      <c r="AY462" s="128"/>
      <c r="AZ462" s="765">
        <v>1967</v>
      </c>
      <c r="BA462" s="292"/>
    </row>
    <row r="463" spans="2:53" ht="35.25" customHeight="1">
      <c r="B463" s="991"/>
      <c r="C463" s="948"/>
      <c r="D463" s="873"/>
      <c r="E463" s="938"/>
      <c r="F463" s="873"/>
      <c r="G463" s="873"/>
      <c r="H463" s="873"/>
      <c r="I463" s="923"/>
      <c r="J463" s="221"/>
      <c r="K463" s="35"/>
      <c r="L463" s="98">
        <v>15</v>
      </c>
      <c r="M463" s="41">
        <v>0.1651</v>
      </c>
      <c r="N463" s="41">
        <v>31.75</v>
      </c>
      <c r="O463" s="41">
        <v>101.6</v>
      </c>
      <c r="P463" s="41">
        <f>O463/N463*SQRT(M463/N463)</f>
        <v>0.23075528162969527</v>
      </c>
      <c r="Q463" s="41">
        <v>192</v>
      </c>
      <c r="R463" s="35"/>
      <c r="S463" s="41" t="s">
        <v>513</v>
      </c>
      <c r="T463" s="488" t="s">
        <v>522</v>
      </c>
      <c r="U463" s="65">
        <f>2*PI()*N463*M463*W463/1000</f>
        <v>8.6292547178193004</v>
      </c>
      <c r="V463" s="41">
        <v>68947.570000000007</v>
      </c>
      <c r="W463" s="41">
        <v>262.00080000000003</v>
      </c>
      <c r="X463" s="5"/>
      <c r="Z463" s="119"/>
      <c r="AA463" s="35" t="s">
        <v>524</v>
      </c>
      <c r="AB463" s="163"/>
      <c r="AC463" s="163" t="s">
        <v>868</v>
      </c>
      <c r="AD463" s="195" t="s">
        <v>515</v>
      </c>
      <c r="AE463" s="35"/>
      <c r="AK463" s="35"/>
      <c r="AL463" s="188"/>
      <c r="AM463" s="46"/>
      <c r="AN463" s="596">
        <v>130.86249317440004</v>
      </c>
      <c r="AO463" s="596">
        <f t="shared" si="256"/>
        <v>0.49947363967743619</v>
      </c>
      <c r="AP463" s="599"/>
      <c r="AQ463" s="635">
        <f t="shared" si="229"/>
        <v>1.0988307805859157</v>
      </c>
      <c r="AR463" s="599">
        <f t="shared" si="255"/>
        <v>216.99063190796966</v>
      </c>
      <c r="AT463" s="689">
        <f t="shared" si="257"/>
        <v>0.60307899941920817</v>
      </c>
      <c r="AU463" s="349">
        <f>MAX(AO463:AP463)</f>
        <v>0.49947363967743619</v>
      </c>
      <c r="AV463" s="281"/>
      <c r="AW463" s="488"/>
      <c r="AX463" s="195"/>
      <c r="AY463" s="90"/>
      <c r="AZ463" s="543">
        <v>1967</v>
      </c>
      <c r="BA463" s="293"/>
    </row>
    <row r="464" spans="2:53" ht="90">
      <c r="B464" s="991"/>
      <c r="C464" s="948"/>
      <c r="D464" s="873"/>
      <c r="E464" s="938"/>
      <c r="F464" s="873"/>
      <c r="G464" s="873"/>
      <c r="H464" s="873"/>
      <c r="I464" s="923"/>
      <c r="J464" s="221"/>
      <c r="K464" s="35"/>
      <c r="L464" s="98">
        <v>19</v>
      </c>
      <c r="M464" s="41">
        <v>0.17780000000000001</v>
      </c>
      <c r="N464" s="41">
        <v>31.75</v>
      </c>
      <c r="O464" s="41">
        <v>101.6</v>
      </c>
      <c r="P464" s="41">
        <f>O464/N464*SQRT(M464/N464)</f>
        <v>0.23946607275353224</v>
      </c>
      <c r="Q464" s="41">
        <v>179</v>
      </c>
      <c r="R464" s="35"/>
      <c r="S464" s="41" t="s">
        <v>513</v>
      </c>
      <c r="T464" s="488" t="s">
        <v>522</v>
      </c>
      <c r="U464" s="65">
        <f>2*PI()*N464*M464*W464/1000</f>
        <v>9.2930435422669397</v>
      </c>
      <c r="V464" s="41">
        <v>68947.570000000007</v>
      </c>
      <c r="W464" s="41">
        <v>262.00080000000003</v>
      </c>
      <c r="X464" s="5"/>
      <c r="Z464" s="119"/>
      <c r="AA464" s="35" t="s">
        <v>524</v>
      </c>
      <c r="AB464" s="163" t="s">
        <v>519</v>
      </c>
      <c r="AC464" s="163" t="s">
        <v>868</v>
      </c>
      <c r="AD464" s="242" t="s">
        <v>515</v>
      </c>
      <c r="AE464" s="35"/>
      <c r="AK464" s="35"/>
      <c r="AL464" s="188"/>
      <c r="AM464" s="46"/>
      <c r="AN464" s="596">
        <v>154.44256307200001</v>
      </c>
      <c r="AO464" s="596">
        <f t="shared" si="256"/>
        <v>0.58947363165303313</v>
      </c>
      <c r="AP464" s="599"/>
      <c r="AQ464" s="635">
        <f t="shared" si="229"/>
        <v>1.0588598348061427</v>
      </c>
      <c r="AR464" s="599">
        <f t="shared" si="255"/>
        <v>233.68221897781351</v>
      </c>
      <c r="AT464" s="689">
        <f t="shared" si="257"/>
        <v>0.66090849251420047</v>
      </c>
      <c r="AU464" s="349">
        <f>MAX(AO464:AP464)</f>
        <v>0.58947363165303313</v>
      </c>
      <c r="AV464" s="281"/>
      <c r="AW464" s="488" t="s">
        <v>504</v>
      </c>
      <c r="AX464" s="195"/>
      <c r="AY464" s="90"/>
      <c r="AZ464" s="543">
        <v>1967</v>
      </c>
      <c r="BA464" s="293"/>
    </row>
    <row r="465" spans="1:53">
      <c r="B465" s="991"/>
      <c r="C465" s="948"/>
      <c r="D465" s="873"/>
      <c r="E465" s="938"/>
      <c r="F465" s="873"/>
      <c r="G465" s="873"/>
      <c r="H465" s="873"/>
      <c r="I465" s="923"/>
      <c r="J465" s="221"/>
      <c r="K465" s="35"/>
      <c r="L465" s="98">
        <v>20</v>
      </c>
      <c r="M465" s="41">
        <v>0.1651</v>
      </c>
      <c r="N465" s="41">
        <v>31.75</v>
      </c>
      <c r="O465" s="41">
        <v>101.6</v>
      </c>
      <c r="P465" s="41">
        <f>O465/N465*SQRT(M465/N465)</f>
        <v>0.23075528162969527</v>
      </c>
      <c r="Q465" s="41">
        <v>192</v>
      </c>
      <c r="R465" s="35"/>
      <c r="S465" s="41" t="s">
        <v>513</v>
      </c>
      <c r="T465" s="488" t="s">
        <v>522</v>
      </c>
      <c r="U465" s="65">
        <f>2*PI()*N465*M465*W465/1000</f>
        <v>8.6292547178193004</v>
      </c>
      <c r="V465" s="41">
        <v>68947.570000000007</v>
      </c>
      <c r="W465" s="41">
        <v>262.00080000000003</v>
      </c>
      <c r="X465" s="5"/>
      <c r="Z465" s="119"/>
      <c r="AA465" s="35" t="s">
        <v>524</v>
      </c>
      <c r="AB465" s="163" t="s">
        <v>520</v>
      </c>
      <c r="AC465" s="163" t="s">
        <v>868</v>
      </c>
      <c r="AD465" s="242" t="s">
        <v>515</v>
      </c>
      <c r="AE465" s="35"/>
      <c r="AK465" s="35"/>
      <c r="AL465" s="188"/>
      <c r="AM465" s="46"/>
      <c r="AN465" s="596">
        <v>64.893455519359989</v>
      </c>
      <c r="AO465" s="596">
        <f t="shared" si="256"/>
        <v>0.24768418844278331</v>
      </c>
      <c r="AP465" s="599"/>
      <c r="AQ465" s="635">
        <f t="shared" si="229"/>
        <v>1.0988307805859157</v>
      </c>
      <c r="AR465" s="599">
        <f t="shared" si="255"/>
        <v>216.99063190796966</v>
      </c>
      <c r="AT465" s="689">
        <f t="shared" si="257"/>
        <v>0.29906109286267568</v>
      </c>
      <c r="AU465" s="349">
        <f>MAX(AO465:AP465)</f>
        <v>0.24768418844278331</v>
      </c>
      <c r="AV465" s="281"/>
      <c r="AW465" s="188"/>
      <c r="AX465" s="195"/>
      <c r="AY465" s="90"/>
      <c r="AZ465" s="543">
        <v>1967</v>
      </c>
      <c r="BA465" s="293"/>
    </row>
    <row r="466" spans="1:53" ht="90.75" thickBot="1">
      <c r="B466" s="992"/>
      <c r="C466" s="949"/>
      <c r="D466" s="874"/>
      <c r="E466" s="939"/>
      <c r="F466" s="874"/>
      <c r="G466" s="874"/>
      <c r="H466" s="874"/>
      <c r="I466" s="924"/>
      <c r="J466" s="223"/>
      <c r="K466" s="36"/>
      <c r="L466" s="529">
        <v>21</v>
      </c>
      <c r="M466" s="111">
        <v>0.15240000000000001</v>
      </c>
      <c r="N466" s="111">
        <v>31.75</v>
      </c>
      <c r="O466" s="111">
        <v>101.6</v>
      </c>
      <c r="P466" s="111">
        <f>O466/N466*SQRT(M466/N466)</f>
        <v>0.22170250336881628</v>
      </c>
      <c r="Q466" s="111">
        <v>209</v>
      </c>
      <c r="R466" s="36"/>
      <c r="S466" s="111" t="s">
        <v>513</v>
      </c>
      <c r="T466" s="489" t="s">
        <v>522</v>
      </c>
      <c r="U466" s="89">
        <f>2*PI()*N466*M466*W466/1000</f>
        <v>7.9654658933716629</v>
      </c>
      <c r="V466" s="111">
        <v>68947.570000000007</v>
      </c>
      <c r="W466" s="111">
        <v>262.00080000000003</v>
      </c>
      <c r="X466" s="18"/>
      <c r="Y466" s="173"/>
      <c r="Z466" s="199"/>
      <c r="AA466" s="36" t="s">
        <v>524</v>
      </c>
      <c r="AB466" s="23" t="s">
        <v>519</v>
      </c>
      <c r="AC466" s="23" t="s">
        <v>868</v>
      </c>
      <c r="AD466" s="243" t="s">
        <v>515</v>
      </c>
      <c r="AE466" s="36"/>
      <c r="AF466" s="18"/>
      <c r="AG466" s="18"/>
      <c r="AH466" s="18"/>
      <c r="AI466" s="18"/>
      <c r="AJ466" s="31"/>
      <c r="AK466" s="36"/>
      <c r="AL466" s="197"/>
      <c r="AM466" s="50"/>
      <c r="AN466" s="556">
        <v>138.99830676480002</v>
      </c>
      <c r="AO466" s="556">
        <f t="shared" si="256"/>
        <v>0.53052626848772988</v>
      </c>
      <c r="AP466" s="604"/>
      <c r="AQ466" s="604">
        <f t="shared" si="229"/>
        <v>1.1436993375562656</v>
      </c>
      <c r="AR466" s="604">
        <f t="shared" si="255"/>
        <v>200.29904483812584</v>
      </c>
      <c r="AS466" s="577"/>
      <c r="AT466" s="690">
        <f t="shared" si="257"/>
        <v>0.69395391713991061</v>
      </c>
      <c r="AU466" s="350">
        <f>MAX(AO466:AP466)</f>
        <v>0.53052626848772988</v>
      </c>
      <c r="AV466" s="282"/>
      <c r="AW466" s="197"/>
      <c r="AX466" s="196"/>
      <c r="AY466" s="91"/>
      <c r="AZ466" s="766">
        <v>1967</v>
      </c>
      <c r="BA466" s="295"/>
    </row>
    <row r="467" spans="1:53" ht="143.25" customHeight="1">
      <c r="B467" s="990">
        <v>26</v>
      </c>
      <c r="C467" s="944" t="s">
        <v>527</v>
      </c>
      <c r="D467" s="870" t="s">
        <v>531</v>
      </c>
      <c r="E467" s="932">
        <v>1964</v>
      </c>
      <c r="F467" s="870" t="s">
        <v>40</v>
      </c>
      <c r="G467" s="870" t="s">
        <v>532</v>
      </c>
      <c r="H467" s="870" t="s">
        <v>533</v>
      </c>
      <c r="I467" s="910" t="s">
        <v>528</v>
      </c>
      <c r="J467" s="222"/>
      <c r="K467" s="34"/>
      <c r="L467" s="132">
        <v>1</v>
      </c>
      <c r="M467" s="14">
        <v>9.1439999999999994E-2</v>
      </c>
      <c r="N467" s="73">
        <v>75.564999999999998</v>
      </c>
      <c r="O467" s="73">
        <v>254</v>
      </c>
      <c r="P467" s="108">
        <f t="shared" si="258"/>
        <v>0.11692861223242657</v>
      </c>
      <c r="Q467" s="57">
        <f t="shared" ref="Q467:Q475" si="259">N467/M467</f>
        <v>826.38888888888891</v>
      </c>
      <c r="R467" s="34"/>
      <c r="S467" s="15" t="s">
        <v>534</v>
      </c>
      <c r="T467" s="490" t="s">
        <v>534</v>
      </c>
      <c r="U467" s="72">
        <f>2*PI()*N467*M467*X467/1000</f>
        <v>43.403400548086189</v>
      </c>
      <c r="V467" s="48">
        <v>180642.640736</v>
      </c>
      <c r="W467" s="48"/>
      <c r="X467" s="15">
        <v>999.73980560000007</v>
      </c>
      <c r="Y467" s="171"/>
      <c r="Z467" s="881" t="s">
        <v>535</v>
      </c>
      <c r="AA467" s="35"/>
      <c r="AB467" s="871" t="s">
        <v>536</v>
      </c>
      <c r="AC467" s="380" t="s">
        <v>523</v>
      </c>
      <c r="AD467" s="882" t="s">
        <v>537</v>
      </c>
      <c r="AE467" s="907" t="s">
        <v>538</v>
      </c>
      <c r="AF467" s="15"/>
      <c r="AG467" s="870" t="s">
        <v>539</v>
      </c>
      <c r="AH467" s="164"/>
      <c r="AI467" s="164"/>
      <c r="AJ467" s="174"/>
      <c r="AK467" s="34"/>
      <c r="AL467" s="464" t="s">
        <v>540</v>
      </c>
      <c r="AM467" s="47">
        <v>2.5541510257620001</v>
      </c>
      <c r="AN467" s="20"/>
      <c r="AO467" s="20"/>
      <c r="AP467" s="597">
        <f t="shared" ref="AP467:AP475" si="260">AM467/U467</f>
        <v>5.8846795262787806E-2</v>
      </c>
      <c r="AQ467" s="597">
        <f t="shared" ref="AQ467:AQ475" si="261">SQRT(X467/AR467)</f>
        <v>2.7489462732735608</v>
      </c>
      <c r="AR467" s="597">
        <f t="shared" si="255"/>
        <v>132.2983660809191</v>
      </c>
      <c r="AS467" s="547">
        <f t="shared" ref="AS467:AS475" si="262">2*PI()*N467*M467*AR467/1000</f>
        <v>5.7436934517389302</v>
      </c>
      <c r="AT467" s="688">
        <f t="shared" ref="AT467:AT475" si="263">AM467/AS467</f>
        <v>0.44468790808964898</v>
      </c>
      <c r="AU467" s="348">
        <f t="shared" si="252"/>
        <v>5.8846795262787806E-2</v>
      </c>
      <c r="AV467" s="128"/>
      <c r="AW467" s="62" t="s">
        <v>1006</v>
      </c>
      <c r="AX467" s="467" t="s">
        <v>541</v>
      </c>
      <c r="AY467" s="216"/>
      <c r="AZ467" s="543">
        <v>1964</v>
      </c>
      <c r="BA467" s="292"/>
    </row>
    <row r="468" spans="1:53">
      <c r="B468" s="991"/>
      <c r="C468" s="945"/>
      <c r="D468" s="871"/>
      <c r="E468" s="927"/>
      <c r="F468" s="871"/>
      <c r="G468" s="871"/>
      <c r="H468" s="871"/>
      <c r="I468" s="871"/>
      <c r="J468" s="221"/>
      <c r="K468" s="35"/>
      <c r="L468" s="133">
        <v>2</v>
      </c>
      <c r="M468" s="102">
        <v>9.3979999999999994E-2</v>
      </c>
      <c r="N468" s="66">
        <v>75.564999999999998</v>
      </c>
      <c r="O468" s="66">
        <v>254</v>
      </c>
      <c r="P468" s="41">
        <f t="shared" si="258"/>
        <v>0.1185414968678624</v>
      </c>
      <c r="Q468" s="55">
        <f t="shared" si="259"/>
        <v>804.05405405405406</v>
      </c>
      <c r="R468" s="35"/>
      <c r="S468" s="5" t="s">
        <v>534</v>
      </c>
      <c r="T468" s="495" t="s">
        <v>534</v>
      </c>
      <c r="U468" s="65">
        <f t="shared" ref="U468:U475" si="264">2*PI()*N468*M468*X468/1000</f>
        <v>44.609050563310802</v>
      </c>
      <c r="V468" s="49">
        <v>179263.68927999999</v>
      </c>
      <c r="W468" s="49"/>
      <c r="X468" s="5">
        <v>999.73980560000007</v>
      </c>
      <c r="Z468" s="882"/>
      <c r="AA468" s="35"/>
      <c r="AB468" s="871"/>
      <c r="AC468" s="380" t="s">
        <v>523</v>
      </c>
      <c r="AD468" s="882"/>
      <c r="AE468" s="908"/>
      <c r="AG468" s="871"/>
      <c r="AH468" s="165"/>
      <c r="AI468" s="165"/>
      <c r="AJ468" s="175"/>
      <c r="AK468" s="35"/>
      <c r="AL468" s="9"/>
      <c r="AM468" s="46">
        <v>4.6410793029090005</v>
      </c>
      <c r="AP468" s="599">
        <f t="shared" si="260"/>
        <v>0.10403896169729526</v>
      </c>
      <c r="AQ468" s="599">
        <f t="shared" si="261"/>
        <v>2.7219529368722433</v>
      </c>
      <c r="AR468" s="599">
        <f t="shared" si="255"/>
        <v>134.93535641416895</v>
      </c>
      <c r="AS468" s="576">
        <f t="shared" si="262"/>
        <v>6.0209047427550253</v>
      </c>
      <c r="AT468" s="689">
        <f t="shared" si="263"/>
        <v>0.77082755851496021</v>
      </c>
      <c r="AU468" s="349">
        <f t="shared" si="252"/>
        <v>0.10403896169729526</v>
      </c>
      <c r="AW468" s="9"/>
      <c r="AX468" s="119"/>
      <c r="AZ468" s="543">
        <v>1964</v>
      </c>
      <c r="BA468" s="293"/>
    </row>
    <row r="469" spans="1:53">
      <c r="B469" s="991"/>
      <c r="C469" s="945"/>
      <c r="D469" s="871"/>
      <c r="E469" s="927"/>
      <c r="F469" s="871"/>
      <c r="G469" s="871"/>
      <c r="H469" s="871"/>
      <c r="I469" s="871"/>
      <c r="J469" s="221"/>
      <c r="K469" s="35"/>
      <c r="L469" s="133">
        <v>3</v>
      </c>
      <c r="M469" s="102">
        <v>8.763E-2</v>
      </c>
      <c r="N469" s="66">
        <v>75.564999999999998</v>
      </c>
      <c r="O469" s="66">
        <v>254</v>
      </c>
      <c r="P469" s="41">
        <f t="shared" si="258"/>
        <v>0.11446668151472199</v>
      </c>
      <c r="Q469" s="55">
        <f t="shared" si="259"/>
        <v>862.31884057971013</v>
      </c>
      <c r="R469" s="35"/>
      <c r="S469" s="5" t="s">
        <v>534</v>
      </c>
      <c r="T469" s="495" t="s">
        <v>534</v>
      </c>
      <c r="U469" s="65">
        <f t="shared" si="264"/>
        <v>41.594925525249266</v>
      </c>
      <c r="V469" s="49">
        <v>193742.67956800002</v>
      </c>
      <c r="W469" s="49"/>
      <c r="X469" s="5">
        <v>999.73980560000007</v>
      </c>
      <c r="Z469" s="882"/>
      <c r="AA469" s="35"/>
      <c r="AB469" s="871"/>
      <c r="AC469" s="380" t="s">
        <v>523</v>
      </c>
      <c r="AD469" s="882"/>
      <c r="AE469" s="908"/>
      <c r="AG469" s="871"/>
      <c r="AH469" s="165"/>
      <c r="AI469" s="165"/>
      <c r="AJ469" s="175"/>
      <c r="AK469" s="35"/>
      <c r="AL469" s="9"/>
      <c r="AM469" s="46">
        <v>2.4117593309459999</v>
      </c>
      <c r="AP469" s="599">
        <f t="shared" si="260"/>
        <v>5.7982056717038606E-2</v>
      </c>
      <c r="AQ469" s="599">
        <f t="shared" si="261"/>
        <v>2.7114739751962613</v>
      </c>
      <c r="AR469" s="599">
        <f t="shared" si="255"/>
        <v>135.98033396644087</v>
      </c>
      <c r="AS469" s="576">
        <f t="shared" si="262"/>
        <v>5.6575639306850363</v>
      </c>
      <c r="AT469" s="689">
        <f t="shared" si="263"/>
        <v>0.42628936420237257</v>
      </c>
      <c r="AU469" s="349">
        <f t="shared" si="252"/>
        <v>5.7982056717038606E-2</v>
      </c>
      <c r="AW469" s="9"/>
      <c r="AX469" s="119"/>
      <c r="AZ469" s="543">
        <v>1964</v>
      </c>
      <c r="BA469" s="293"/>
    </row>
    <row r="470" spans="1:53">
      <c r="B470" s="991"/>
      <c r="C470" s="945"/>
      <c r="D470" s="871"/>
      <c r="E470" s="927"/>
      <c r="F470" s="871"/>
      <c r="G470" s="871"/>
      <c r="H470" s="871"/>
      <c r="I470" s="871"/>
      <c r="J470" s="221"/>
      <c r="K470" s="35"/>
      <c r="L470" s="133">
        <v>4</v>
      </c>
      <c r="M470" s="102">
        <v>8.8899999999999993E-2</v>
      </c>
      <c r="N470" s="66">
        <v>75.564999999999998</v>
      </c>
      <c r="O470" s="66">
        <v>254</v>
      </c>
      <c r="P470" s="41">
        <f t="shared" si="258"/>
        <v>0.11529316648235888</v>
      </c>
      <c r="Q470" s="55">
        <f t="shared" si="259"/>
        <v>850</v>
      </c>
      <c r="R470" s="35"/>
      <c r="S470" s="5" t="s">
        <v>534</v>
      </c>
      <c r="T470" s="495" t="s">
        <v>534</v>
      </c>
      <c r="U470" s="65">
        <f t="shared" si="264"/>
        <v>42.197750532861569</v>
      </c>
      <c r="V470" s="49">
        <v>184779.49510400003</v>
      </c>
      <c r="W470" s="49"/>
      <c r="X470" s="5">
        <v>999.73980560000007</v>
      </c>
      <c r="Z470" s="882"/>
      <c r="AA470" s="35"/>
      <c r="AB470" s="871"/>
      <c r="AC470" s="380" t="s">
        <v>523</v>
      </c>
      <c r="AD470" s="882"/>
      <c r="AE470" s="908"/>
      <c r="AG470" s="871"/>
      <c r="AH470" s="165"/>
      <c r="AI470" s="165"/>
      <c r="AJ470" s="175"/>
      <c r="AK470" s="35"/>
      <c r="AL470" s="9"/>
      <c r="AM470" s="46">
        <v>2.4206588118720003</v>
      </c>
      <c r="AP470" s="599">
        <f t="shared" si="260"/>
        <v>5.7364641036656873E-2</v>
      </c>
      <c r="AQ470" s="599">
        <f t="shared" si="261"/>
        <v>2.7565554226210427</v>
      </c>
      <c r="AR470" s="599">
        <f t="shared" si="255"/>
        <v>131.56898577597767</v>
      </c>
      <c r="AS470" s="576">
        <f t="shared" si="262"/>
        <v>5.5533601928596816</v>
      </c>
      <c r="AT470" s="689">
        <f t="shared" si="263"/>
        <v>0.4358908350631388</v>
      </c>
      <c r="AU470" s="349">
        <f t="shared" si="252"/>
        <v>5.7364641036656873E-2</v>
      </c>
      <c r="AW470" s="9"/>
      <c r="AX470" s="119"/>
      <c r="AZ470" s="543">
        <v>1964</v>
      </c>
      <c r="BA470" s="293"/>
    </row>
    <row r="471" spans="1:53">
      <c r="B471" s="991"/>
      <c r="C471" s="945"/>
      <c r="D471" s="871"/>
      <c r="E471" s="927"/>
      <c r="F471" s="871"/>
      <c r="G471" s="871"/>
      <c r="H471" s="871"/>
      <c r="I471" s="871"/>
      <c r="J471" s="221"/>
      <c r="K471" s="35"/>
      <c r="L471" s="133">
        <v>5</v>
      </c>
      <c r="M471" s="102">
        <v>8.2549999999999998E-2</v>
      </c>
      <c r="N471" s="66">
        <v>75.564999999999998</v>
      </c>
      <c r="O471" s="66">
        <v>254</v>
      </c>
      <c r="P471" s="41">
        <f t="shared" si="258"/>
        <v>0.11109927513196603</v>
      </c>
      <c r="Q471" s="55">
        <f t="shared" si="259"/>
        <v>915.38461538461536</v>
      </c>
      <c r="R471" s="35"/>
      <c r="S471" s="5" t="s">
        <v>534</v>
      </c>
      <c r="T471" s="495" t="s">
        <v>534</v>
      </c>
      <c r="U471" s="65">
        <f t="shared" si="264"/>
        <v>39.183625494800033</v>
      </c>
      <c r="V471" s="49">
        <v>176505.78636800003</v>
      </c>
      <c r="W471" s="49"/>
      <c r="X471" s="5">
        <v>999.73980560000007</v>
      </c>
      <c r="Z471" s="882"/>
      <c r="AA471" s="35"/>
      <c r="AB471" s="871"/>
      <c r="AC471" s="380" t="s">
        <v>523</v>
      </c>
      <c r="AD471" s="882"/>
      <c r="AE471" s="908"/>
      <c r="AG471" s="871"/>
      <c r="AH471" s="165"/>
      <c r="AI471" s="165"/>
      <c r="AJ471" s="175"/>
      <c r="AK471" s="35"/>
      <c r="AL471" s="9"/>
      <c r="AM471" s="46">
        <v>3.1326172859520001</v>
      </c>
      <c r="AP471" s="599">
        <f t="shared" si="260"/>
        <v>7.9947101535250295E-2</v>
      </c>
      <c r="AQ471" s="599">
        <f t="shared" si="261"/>
        <v>2.926890565569622</v>
      </c>
      <c r="AR471" s="599">
        <f t="shared" si="255"/>
        <v>116.70084879063263</v>
      </c>
      <c r="AS471" s="576">
        <f t="shared" si="262"/>
        <v>4.5739524707561934</v>
      </c>
      <c r="AT471" s="689">
        <f t="shared" si="263"/>
        <v>0.68488190596219656</v>
      </c>
      <c r="AU471" s="349">
        <f t="shared" si="252"/>
        <v>7.9947101535250295E-2</v>
      </c>
      <c r="AW471" s="9"/>
      <c r="AX471" s="119"/>
      <c r="AZ471" s="543">
        <v>1964</v>
      </c>
      <c r="BA471" s="293"/>
    </row>
    <row r="472" spans="1:53">
      <c r="B472" s="991"/>
      <c r="C472" s="945"/>
      <c r="D472" s="871"/>
      <c r="E472" s="927"/>
      <c r="F472" s="871"/>
      <c r="G472" s="871"/>
      <c r="H472" s="871"/>
      <c r="I472" s="871"/>
      <c r="J472" s="221"/>
      <c r="K472" s="35"/>
      <c r="L472" s="133">
        <v>6</v>
      </c>
      <c r="M472" s="331">
        <v>9.6519999999999995E-2</v>
      </c>
      <c r="N472" s="66">
        <v>75.564999999999998</v>
      </c>
      <c r="O472" s="66">
        <v>254</v>
      </c>
      <c r="P472" s="41">
        <f t="shared" si="258"/>
        <v>0.12013272909888331</v>
      </c>
      <c r="Q472" s="55">
        <f t="shared" si="259"/>
        <v>782.89473684210532</v>
      </c>
      <c r="R472" s="35"/>
      <c r="S472" s="5" t="s">
        <v>534</v>
      </c>
      <c r="T472" s="495" t="s">
        <v>534</v>
      </c>
      <c r="U472" s="65">
        <f t="shared" si="264"/>
        <v>45.814700578535422</v>
      </c>
      <c r="V472" s="49">
        <v>189605.82519999999</v>
      </c>
      <c r="W472" s="49"/>
      <c r="X472" s="5">
        <v>999.73980560000007</v>
      </c>
      <c r="Z472" s="882"/>
      <c r="AA472" s="35"/>
      <c r="AB472" s="871"/>
      <c r="AC472" s="380" t="s">
        <v>523</v>
      </c>
      <c r="AD472" s="882"/>
      <c r="AE472" s="908"/>
      <c r="AG472" s="871"/>
      <c r="AH472" s="165"/>
      <c r="AI472" s="165"/>
      <c r="AJ472" s="175"/>
      <c r="AK472" s="35"/>
      <c r="AL472" s="9"/>
      <c r="AM472" s="46">
        <v>3.9602690120699999</v>
      </c>
      <c r="AP472" s="599">
        <f t="shared" si="260"/>
        <v>8.6441010463035081E-2</v>
      </c>
      <c r="AQ472" s="599">
        <f t="shared" si="261"/>
        <v>2.6116201014986458</v>
      </c>
      <c r="AR472" s="599">
        <f t="shared" si="255"/>
        <v>146.57738820458061</v>
      </c>
      <c r="AS472" s="576">
        <f t="shared" si="262"/>
        <v>6.7171469161881783</v>
      </c>
      <c r="AT472" s="689">
        <f t="shared" si="263"/>
        <v>0.58957605981876582</v>
      </c>
      <c r="AU472" s="349">
        <f t="shared" si="252"/>
        <v>8.6441010463035081E-2</v>
      </c>
      <c r="AW472" s="9"/>
      <c r="AX472" s="119"/>
      <c r="AZ472" s="543">
        <v>1964</v>
      </c>
      <c r="BA472" s="293"/>
    </row>
    <row r="473" spans="1:53">
      <c r="B473" s="991"/>
      <c r="C473" s="945"/>
      <c r="D473" s="871"/>
      <c r="E473" s="927"/>
      <c r="F473" s="871"/>
      <c r="G473" s="871"/>
      <c r="H473" s="871"/>
      <c r="I473" s="871"/>
      <c r="J473" s="221"/>
      <c r="K473" s="35"/>
      <c r="L473" s="133">
        <v>7</v>
      </c>
      <c r="M473" s="331">
        <v>9.1439999999999994E-2</v>
      </c>
      <c r="N473" s="66">
        <v>75.564999999999998</v>
      </c>
      <c r="O473" s="66">
        <v>254</v>
      </c>
      <c r="P473" s="41">
        <f t="shared" si="258"/>
        <v>0.11692861223242657</v>
      </c>
      <c r="Q473" s="55">
        <f t="shared" si="259"/>
        <v>826.38888888888891</v>
      </c>
      <c r="R473" s="35"/>
      <c r="S473" s="5" t="s">
        <v>534</v>
      </c>
      <c r="T473" s="495" t="s">
        <v>534</v>
      </c>
      <c r="U473" s="65">
        <f t="shared" si="264"/>
        <v>43.403400548086189</v>
      </c>
      <c r="V473" s="49">
        <v>174437.35918400003</v>
      </c>
      <c r="W473" s="49"/>
      <c r="X473" s="5">
        <v>999.73980560000007</v>
      </c>
      <c r="Z473" s="882"/>
      <c r="AA473" s="35"/>
      <c r="AB473" s="871"/>
      <c r="AC473" s="380" t="s">
        <v>523</v>
      </c>
      <c r="AD473" s="882"/>
      <c r="AE473" s="908"/>
      <c r="AG473" s="871"/>
      <c r="AH473" s="165"/>
      <c r="AI473" s="165"/>
      <c r="AJ473" s="175"/>
      <c r="AK473" s="35"/>
      <c r="AL473" s="9"/>
      <c r="AM473" s="46">
        <v>3.3951519732689999</v>
      </c>
      <c r="AP473" s="599">
        <f t="shared" si="260"/>
        <v>7.8223179068827683E-2</v>
      </c>
      <c r="AQ473" s="599">
        <f t="shared" si="261"/>
        <v>2.7974133101936434</v>
      </c>
      <c r="AR473" s="599">
        <f t="shared" si="255"/>
        <v>127.7537657193608</v>
      </c>
      <c r="AS473" s="576">
        <f t="shared" si="262"/>
        <v>5.5463910049234704</v>
      </c>
      <c r="AT473" s="689">
        <f t="shared" si="263"/>
        <v>0.6121371483285547</v>
      </c>
      <c r="AU473" s="349">
        <f t="shared" si="252"/>
        <v>7.8223179068827683E-2</v>
      </c>
      <c r="AW473" s="9"/>
      <c r="AX473" s="119"/>
      <c r="AZ473" s="543">
        <v>1964</v>
      </c>
      <c r="BA473" s="293"/>
    </row>
    <row r="474" spans="1:53">
      <c r="B474" s="991"/>
      <c r="C474" s="945"/>
      <c r="D474" s="871"/>
      <c r="E474" s="927"/>
      <c r="F474" s="871"/>
      <c r="G474" s="871"/>
      <c r="H474" s="871"/>
      <c r="I474" s="871"/>
      <c r="J474" s="221"/>
      <c r="K474" s="35"/>
      <c r="L474" s="133">
        <v>8</v>
      </c>
      <c r="M474" s="331">
        <v>9.3979999999999994E-2</v>
      </c>
      <c r="N474" s="66">
        <v>75.564999999999998</v>
      </c>
      <c r="O474" s="66">
        <v>254</v>
      </c>
      <c r="P474" s="41">
        <f t="shared" si="258"/>
        <v>0.1185414968678624</v>
      </c>
      <c r="Q474" s="55">
        <f t="shared" si="259"/>
        <v>804.05405405405406</v>
      </c>
      <c r="R474" s="35"/>
      <c r="S474" s="5" t="s">
        <v>534</v>
      </c>
      <c r="T474" s="495" t="s">
        <v>534</v>
      </c>
      <c r="U474" s="65">
        <f t="shared" si="264"/>
        <v>44.609050563310802</v>
      </c>
      <c r="V474" s="49">
        <v>173747.88345600001</v>
      </c>
      <c r="W474" s="49"/>
      <c r="X474" s="5">
        <v>999.73980560000007</v>
      </c>
      <c r="Z474" s="882"/>
      <c r="AA474" s="35"/>
      <c r="AB474" s="871"/>
      <c r="AC474" s="380" t="s">
        <v>523</v>
      </c>
      <c r="AD474" s="882"/>
      <c r="AE474" s="908"/>
      <c r="AG474" s="871"/>
      <c r="AH474" s="165"/>
      <c r="AI474" s="165"/>
      <c r="AJ474" s="175"/>
      <c r="AK474" s="35"/>
      <c r="AL474" s="9"/>
      <c r="AM474" s="46">
        <v>3.3729032709540001</v>
      </c>
      <c r="AP474" s="599">
        <f t="shared" si="260"/>
        <v>7.5610290476078437E-2</v>
      </c>
      <c r="AQ474" s="599">
        <f t="shared" si="261"/>
        <v>2.764820974673293</v>
      </c>
      <c r="AR474" s="599">
        <f t="shared" si="255"/>
        <v>130.783499293733</v>
      </c>
      <c r="AS474" s="576">
        <f t="shared" si="262"/>
        <v>5.8356461352856401</v>
      </c>
      <c r="AT474" s="689">
        <f t="shared" si="263"/>
        <v>0.57798283048033117</v>
      </c>
      <c r="AU474" s="349">
        <f t="shared" si="252"/>
        <v>7.5610290476078437E-2</v>
      </c>
      <c r="AW474" s="9"/>
      <c r="AX474" s="119"/>
      <c r="AZ474" s="543">
        <v>1964</v>
      </c>
      <c r="BA474" s="293"/>
    </row>
    <row r="475" spans="1:53" ht="16.5" thickBot="1">
      <c r="B475" s="992"/>
      <c r="C475" s="946"/>
      <c r="D475" s="872"/>
      <c r="E475" s="928"/>
      <c r="F475" s="872"/>
      <c r="G475" s="872"/>
      <c r="H475" s="872"/>
      <c r="I475" s="872"/>
      <c r="J475" s="223"/>
      <c r="K475" s="36"/>
      <c r="L475" s="134">
        <v>9</v>
      </c>
      <c r="M475" s="340">
        <v>8.2549999999999998E-2</v>
      </c>
      <c r="N475" s="135">
        <v>75.564999999999998</v>
      </c>
      <c r="O475" s="135">
        <v>254</v>
      </c>
      <c r="P475" s="111">
        <f t="shared" si="258"/>
        <v>0.11109927513196603</v>
      </c>
      <c r="Q475" s="238">
        <f t="shared" si="259"/>
        <v>915.38461538461536</v>
      </c>
      <c r="R475" s="36"/>
      <c r="S475" s="18" t="s">
        <v>534</v>
      </c>
      <c r="T475" s="492" t="s">
        <v>534</v>
      </c>
      <c r="U475" s="89">
        <f t="shared" si="264"/>
        <v>39.183625494800033</v>
      </c>
      <c r="V475" s="51">
        <v>194432.15529600001</v>
      </c>
      <c r="W475" s="51"/>
      <c r="X475" s="18">
        <v>999.73980560000007</v>
      </c>
      <c r="Y475" s="173"/>
      <c r="Z475" s="883"/>
      <c r="AA475" s="35"/>
      <c r="AB475" s="871"/>
      <c r="AC475" s="380" t="s">
        <v>523</v>
      </c>
      <c r="AD475" s="882"/>
      <c r="AE475" s="908"/>
      <c r="AG475" s="871"/>
      <c r="AH475" s="465"/>
      <c r="AI475" s="465"/>
      <c r="AJ475" s="468"/>
      <c r="AK475" s="36"/>
      <c r="AL475" s="126"/>
      <c r="AM475" s="50">
        <v>3.0925696217850001</v>
      </c>
      <c r="AN475" s="556"/>
      <c r="AO475" s="556"/>
      <c r="AP475" s="604">
        <f t="shared" si="260"/>
        <v>7.8925050521305329E-2</v>
      </c>
      <c r="AQ475" s="604">
        <f t="shared" si="261"/>
        <v>2.7887007486023769</v>
      </c>
      <c r="AR475" s="604">
        <f t="shared" si="255"/>
        <v>128.55327874593124</v>
      </c>
      <c r="AS475" s="577">
        <f t="shared" si="262"/>
        <v>5.0384945185673677</v>
      </c>
      <c r="AT475" s="690">
        <f t="shared" si="263"/>
        <v>0.6137884263619946</v>
      </c>
      <c r="AU475" s="350">
        <f t="shared" si="252"/>
        <v>7.8925050521305329E-2</v>
      </c>
      <c r="AV475" s="91"/>
      <c r="AW475" s="126"/>
      <c r="AX475" s="199"/>
      <c r="AY475" s="286"/>
      <c r="AZ475" s="543">
        <v>1964</v>
      </c>
      <c r="BA475" s="295"/>
    </row>
    <row r="476" spans="1:53" ht="240" customHeight="1">
      <c r="A476" s="151"/>
      <c r="B476" s="990">
        <v>27</v>
      </c>
      <c r="C476" s="944" t="s">
        <v>542</v>
      </c>
      <c r="D476" s="870" t="s">
        <v>543</v>
      </c>
      <c r="E476" s="932">
        <v>1968</v>
      </c>
      <c r="F476" s="870" t="s">
        <v>544</v>
      </c>
      <c r="G476" s="870"/>
      <c r="H476" s="870" t="s">
        <v>183</v>
      </c>
      <c r="I476" s="910" t="s">
        <v>545</v>
      </c>
      <c r="J476" s="222"/>
      <c r="K476" s="34"/>
      <c r="L476" s="132" t="s">
        <v>211</v>
      </c>
      <c r="M476" s="138">
        <v>0.11414759999999999</v>
      </c>
      <c r="N476" s="73">
        <v>101.67619999999999</v>
      </c>
      <c r="O476" s="73">
        <v>203.2</v>
      </c>
      <c r="P476" s="139">
        <f>O476/N476*SQRT(M476/N476)</f>
        <v>6.6961956724040289E-2</v>
      </c>
      <c r="Q476" s="57">
        <f>N476/M476</f>
        <v>890.74321317311978</v>
      </c>
      <c r="R476" s="34"/>
      <c r="S476" s="15" t="s">
        <v>403</v>
      </c>
      <c r="T476" s="490" t="s">
        <v>403</v>
      </c>
      <c r="U476" s="72"/>
      <c r="V476" s="48">
        <v>104110.834928</v>
      </c>
      <c r="W476" s="48"/>
      <c r="X476" s="15"/>
      <c r="Y476" s="171"/>
      <c r="Z476" s="881" t="s">
        <v>1007</v>
      </c>
      <c r="AA476" s="34"/>
      <c r="AB476" s="870" t="s">
        <v>552</v>
      </c>
      <c r="AC476" s="379" t="s">
        <v>523</v>
      </c>
      <c r="AD476" s="881" t="s">
        <v>550</v>
      </c>
      <c r="AE476" s="128"/>
      <c r="AF476" s="919" t="s">
        <v>551</v>
      </c>
      <c r="AG476" s="870" t="s">
        <v>1008</v>
      </c>
      <c r="AH476" s="464"/>
      <c r="AI476" s="464"/>
      <c r="AJ476" s="467"/>
      <c r="AK476" s="34"/>
      <c r="AL476" s="870" t="s">
        <v>553</v>
      </c>
      <c r="AM476" s="47"/>
      <c r="AN476" s="20">
        <v>40.675221678962934</v>
      </c>
      <c r="AO476" s="20"/>
      <c r="AP476" s="597"/>
      <c r="AQ476" s="630"/>
      <c r="AR476" s="597">
        <f t="shared" ref="AR476:AR507" si="265">V476*M476/N476/SQRT(3*(1-0.3^2))</f>
        <v>70.739515963413808</v>
      </c>
      <c r="AS476" s="547"/>
      <c r="AT476" s="688">
        <f>AN476/AR476</f>
        <v>0.57499999999999996</v>
      </c>
      <c r="AU476" s="659"/>
      <c r="AV476" s="128"/>
      <c r="AW476" s="870" t="s">
        <v>554</v>
      </c>
      <c r="AX476" s="881" t="s">
        <v>1009</v>
      </c>
      <c r="AY476" s="911" t="s">
        <v>1010</v>
      </c>
      <c r="AZ476" s="759">
        <v>1968</v>
      </c>
      <c r="BA476" s="292"/>
    </row>
    <row r="477" spans="1:53">
      <c r="B477" s="991"/>
      <c r="C477" s="945"/>
      <c r="D477" s="871"/>
      <c r="E477" s="927"/>
      <c r="F477" s="871"/>
      <c r="G477" s="871"/>
      <c r="H477" s="871"/>
      <c r="I477" s="917"/>
      <c r="J477" s="221"/>
      <c r="K477" s="35"/>
      <c r="L477" s="133" t="s">
        <v>546</v>
      </c>
      <c r="M477" s="84">
        <v>0.11785599999999997</v>
      </c>
      <c r="N477" s="66">
        <v>101.67619999999999</v>
      </c>
      <c r="O477" s="66">
        <v>203.2</v>
      </c>
      <c r="P477" s="137">
        <f>O477/N477*SQRT(M477/N477)</f>
        <v>6.804098500497327E-2</v>
      </c>
      <c r="Q477" s="55">
        <f>N477/M477</f>
        <v>862.71551724137942</v>
      </c>
      <c r="R477" s="35"/>
      <c r="S477" s="5" t="s">
        <v>403</v>
      </c>
      <c r="T477" s="495" t="s">
        <v>403</v>
      </c>
      <c r="U477" s="65"/>
      <c r="V477" s="49">
        <v>104800.310656</v>
      </c>
      <c r="W477" s="49"/>
      <c r="X477" s="5"/>
      <c r="Z477" s="882"/>
      <c r="AA477" s="35"/>
      <c r="AB477" s="871"/>
      <c r="AC477" s="380" t="s">
        <v>523</v>
      </c>
      <c r="AD477" s="882"/>
      <c r="AF477" s="920"/>
      <c r="AG477" s="871"/>
      <c r="AH477" s="465"/>
      <c r="AI477" s="465"/>
      <c r="AJ477" s="468"/>
      <c r="AK477" s="35"/>
      <c r="AL477" s="871"/>
      <c r="AM477" s="46"/>
      <c r="AN477" s="554">
        <v>48.37706656511719</v>
      </c>
      <c r="AP477" s="599"/>
      <c r="AQ477" s="632"/>
      <c r="AR477" s="599">
        <f t="shared" si="265"/>
        <v>73.521377758536758</v>
      </c>
      <c r="AT477" s="689">
        <f>AN477/AR477</f>
        <v>0.65800000000000003</v>
      </c>
      <c r="AU477" s="660"/>
      <c r="AW477" s="871"/>
      <c r="AX477" s="882"/>
      <c r="AY477" s="912"/>
      <c r="AZ477" s="760">
        <v>1968</v>
      </c>
      <c r="BA477" s="293"/>
    </row>
    <row r="478" spans="1:53">
      <c r="B478" s="991"/>
      <c r="C478" s="945"/>
      <c r="D478" s="871"/>
      <c r="E478" s="927"/>
      <c r="F478" s="871"/>
      <c r="G478" s="871"/>
      <c r="H478" s="871"/>
      <c r="I478" s="917"/>
      <c r="J478" s="221"/>
      <c r="K478" s="35"/>
      <c r="L478" s="133" t="s">
        <v>547</v>
      </c>
      <c r="M478" s="84">
        <v>0.11531599999999999</v>
      </c>
      <c r="N478" s="66">
        <v>101.67619999999999</v>
      </c>
      <c r="O478" s="66">
        <v>203.2</v>
      </c>
      <c r="P478" s="137">
        <f>O478/N478*SQRT(M478/N478)</f>
        <v>6.7303791151527279E-2</v>
      </c>
      <c r="Q478" s="55">
        <f>N478/M478</f>
        <v>881.71806167400882</v>
      </c>
      <c r="R478" s="35"/>
      <c r="S478" s="5" t="s">
        <v>403</v>
      </c>
      <c r="T478" s="495" t="s">
        <v>403</v>
      </c>
      <c r="U478" s="65"/>
      <c r="V478" s="49">
        <v>101352.93201600001</v>
      </c>
      <c r="W478" s="49"/>
      <c r="X478" s="5"/>
      <c r="Z478" s="882"/>
      <c r="AA478" s="35"/>
      <c r="AB478" s="871"/>
      <c r="AC478" s="380" t="s">
        <v>523</v>
      </c>
      <c r="AD478" s="882"/>
      <c r="AF478" s="920"/>
      <c r="AG478" s="871"/>
      <c r="AH478" s="465"/>
      <c r="AI478" s="465"/>
      <c r="AJ478" s="468"/>
      <c r="AK478" s="35"/>
      <c r="AL478" s="871"/>
      <c r="AM478" s="46"/>
      <c r="AN478" s="554">
        <v>51.20390349525055</v>
      </c>
      <c r="AP478" s="599"/>
      <c r="AQ478" s="632"/>
      <c r="AR478" s="599">
        <f t="shared" si="265"/>
        <v>69.570521053329557</v>
      </c>
      <c r="AT478" s="689">
        <f>AN478/AR478</f>
        <v>0.73599999999999999</v>
      </c>
      <c r="AU478" s="660"/>
      <c r="AW478" s="871"/>
      <c r="AX478" s="882"/>
      <c r="AY478" s="912"/>
      <c r="AZ478" s="760">
        <v>1968</v>
      </c>
      <c r="BA478" s="293"/>
    </row>
    <row r="479" spans="1:53">
      <c r="B479" s="991"/>
      <c r="C479" s="945"/>
      <c r="D479" s="871"/>
      <c r="E479" s="927"/>
      <c r="F479" s="871"/>
      <c r="G479" s="871"/>
      <c r="H479" s="871"/>
      <c r="I479" s="917"/>
      <c r="J479" s="221"/>
      <c r="K479" s="35"/>
      <c r="L479" s="133" t="s">
        <v>548</v>
      </c>
      <c r="M479" s="84">
        <v>0.120396</v>
      </c>
      <c r="N479" s="66">
        <v>101.67619999999999</v>
      </c>
      <c r="O479" s="66">
        <v>203.2</v>
      </c>
      <c r="P479" s="137">
        <f>O479/N479*SQRT(M479/N479)</f>
        <v>6.8770276846364373E-2</v>
      </c>
      <c r="Q479" s="55">
        <f>N479/M479</f>
        <v>844.51476793248935</v>
      </c>
      <c r="R479" s="35"/>
      <c r="S479" s="5" t="s">
        <v>403</v>
      </c>
      <c r="T479" s="403" t="s">
        <v>403</v>
      </c>
      <c r="U479" s="65"/>
      <c r="V479" s="49">
        <v>102731.883472</v>
      </c>
      <c r="W479" s="49"/>
      <c r="X479" s="5"/>
      <c r="Z479" s="882"/>
      <c r="AA479" s="35"/>
      <c r="AB479" s="871"/>
      <c r="AC479" s="380" t="s">
        <v>523</v>
      </c>
      <c r="AD479" s="882"/>
      <c r="AF479" s="920"/>
      <c r="AG479" s="871"/>
      <c r="AH479" s="465"/>
      <c r="AI479" s="465"/>
      <c r="AJ479" s="468"/>
      <c r="AK479" s="35"/>
      <c r="AL479" s="871"/>
      <c r="AM479" s="46"/>
      <c r="AN479" s="554">
        <v>41.302804320939899</v>
      </c>
      <c r="AP479" s="599"/>
      <c r="AQ479" s="632"/>
      <c r="AR479" s="599">
        <f t="shared" si="265"/>
        <v>73.623537113974862</v>
      </c>
      <c r="AT479" s="689">
        <f>AN479/AR479</f>
        <v>0.56100000000000005</v>
      </c>
      <c r="AU479" s="660"/>
      <c r="AW479" s="871"/>
      <c r="AX479" s="882"/>
      <c r="AY479" s="912"/>
      <c r="AZ479" s="760">
        <v>1968</v>
      </c>
      <c r="BA479" s="293"/>
    </row>
    <row r="480" spans="1:53" ht="16.5" thickBot="1">
      <c r="B480" s="992"/>
      <c r="C480" s="946"/>
      <c r="D480" s="872"/>
      <c r="E480" s="928"/>
      <c r="F480" s="872"/>
      <c r="G480" s="872"/>
      <c r="H480" s="872"/>
      <c r="I480" s="918"/>
      <c r="J480" s="223"/>
      <c r="K480" s="36"/>
      <c r="L480" s="134" t="s">
        <v>549</v>
      </c>
      <c r="M480" s="140">
        <v>0.120396</v>
      </c>
      <c r="N480" s="135">
        <v>101.67619999999999</v>
      </c>
      <c r="O480" s="135">
        <v>208.27999999999997</v>
      </c>
      <c r="P480" s="136">
        <f>O480/N480*SQRT(M480/N480)</f>
        <v>7.0489533767523482E-2</v>
      </c>
      <c r="Q480" s="238">
        <f>N480/M480</f>
        <v>844.51476793248935</v>
      </c>
      <c r="R480" s="36"/>
      <c r="S480" s="18" t="s">
        <v>403</v>
      </c>
      <c r="T480" s="492" t="s">
        <v>403</v>
      </c>
      <c r="U480" s="89"/>
      <c r="V480" s="51">
        <v>104800.310656</v>
      </c>
      <c r="W480" s="51"/>
      <c r="X480" s="18"/>
      <c r="Y480" s="173"/>
      <c r="Z480" s="883"/>
      <c r="AA480" s="36"/>
      <c r="AB480" s="872"/>
      <c r="AC480" s="381" t="s">
        <v>523</v>
      </c>
      <c r="AD480" s="883"/>
      <c r="AE480" s="91"/>
      <c r="AF480" s="921"/>
      <c r="AG480" s="872"/>
      <c r="AH480" s="466"/>
      <c r="AI480" s="466"/>
      <c r="AJ480" s="469"/>
      <c r="AK480" s="36"/>
      <c r="AL480" s="872"/>
      <c r="AM480" s="50"/>
      <c r="AN480" s="556">
        <v>50.546264111484376</v>
      </c>
      <c r="AO480" s="556"/>
      <c r="AP480" s="604"/>
      <c r="AQ480" s="636"/>
      <c r="AR480" s="604">
        <f t="shared" si="265"/>
        <v>75.105890210229376</v>
      </c>
      <c r="AS480" s="577"/>
      <c r="AT480" s="690">
        <f>AN480/AR480</f>
        <v>0.67300000000000004</v>
      </c>
      <c r="AU480" s="661"/>
      <c r="AV480" s="91"/>
      <c r="AW480" s="872"/>
      <c r="AX480" s="883"/>
      <c r="AY480" s="913"/>
      <c r="AZ480" s="760">
        <v>1968</v>
      </c>
      <c r="BA480" s="295"/>
    </row>
    <row r="481" spans="1:53" ht="291" customHeight="1">
      <c r="A481" s="151"/>
      <c r="B481" s="990">
        <v>28</v>
      </c>
      <c r="C481" s="870" t="s">
        <v>557</v>
      </c>
      <c r="D481" s="870" t="s">
        <v>558</v>
      </c>
      <c r="E481" s="932">
        <v>1972</v>
      </c>
      <c r="F481" s="870" t="s">
        <v>559</v>
      </c>
      <c r="G481" s="870" t="s">
        <v>532</v>
      </c>
      <c r="H481" s="870" t="s">
        <v>560</v>
      </c>
      <c r="I481" s="910" t="s">
        <v>555</v>
      </c>
      <c r="J481" s="222"/>
      <c r="K481" s="34"/>
      <c r="L481" s="132" t="s">
        <v>561</v>
      </c>
      <c r="M481" s="138">
        <f>N481/Q481</f>
        <v>3.8364583333333334E-2</v>
      </c>
      <c r="N481" s="73">
        <v>36.83</v>
      </c>
      <c r="O481" s="73">
        <v>180.84799999999998</v>
      </c>
      <c r="P481" s="139">
        <f t="shared" ref="P481:P495" si="266">O481/N481*SQRT(M481/N481)</f>
        <v>0.15848069784480923</v>
      </c>
      <c r="Q481" s="57">
        <v>960</v>
      </c>
      <c r="R481" s="34"/>
      <c r="S481" s="15" t="s">
        <v>534</v>
      </c>
      <c r="T481" s="490" t="s">
        <v>534</v>
      </c>
      <c r="U481" s="72"/>
      <c r="V481" s="48">
        <v>168921.55335999999</v>
      </c>
      <c r="W481" s="48"/>
      <c r="X481" s="15"/>
      <c r="Y481" s="171"/>
      <c r="Z481" s="881" t="s">
        <v>1011</v>
      </c>
      <c r="AA481" s="34"/>
      <c r="AB481" s="870" t="s">
        <v>576</v>
      </c>
      <c r="AC481" s="380" t="s">
        <v>523</v>
      </c>
      <c r="AD481" s="198" t="s">
        <v>577</v>
      </c>
      <c r="AE481" s="35"/>
      <c r="AF481" s="871" t="s">
        <v>579</v>
      </c>
      <c r="AG481" s="871" t="s">
        <v>580</v>
      </c>
      <c r="AH481" s="465"/>
      <c r="AI481" s="465"/>
      <c r="AJ481" s="468"/>
      <c r="AK481" s="34"/>
      <c r="AL481" s="870" t="s">
        <v>1012</v>
      </c>
      <c r="AM481" s="47"/>
      <c r="AN481" s="20">
        <f>AR481*AT481</f>
        <v>96.911184592432676</v>
      </c>
      <c r="AO481" s="20"/>
      <c r="AP481" s="597"/>
      <c r="AQ481" s="630"/>
      <c r="AR481" s="597">
        <f t="shared" si="265"/>
        <v>106.4958072444315</v>
      </c>
      <c r="AS481" s="547"/>
      <c r="AT481" s="681">
        <v>0.91</v>
      </c>
      <c r="AU481" s="252"/>
      <c r="AV481" s="128"/>
      <c r="AW481" s="870" t="s">
        <v>1013</v>
      </c>
      <c r="AX481" s="29"/>
      <c r="AY481" s="907" t="s">
        <v>1014</v>
      </c>
      <c r="AZ481" s="759">
        <v>1972</v>
      </c>
      <c r="BA481" s="292"/>
    </row>
    <row r="482" spans="1:53">
      <c r="B482" s="991"/>
      <c r="C482" s="871"/>
      <c r="D482" s="871"/>
      <c r="E482" s="927"/>
      <c r="F482" s="871"/>
      <c r="G482" s="871"/>
      <c r="H482" s="871"/>
      <c r="I482" s="871"/>
      <c r="J482" s="221"/>
      <c r="K482" s="35"/>
      <c r="L482" s="133" t="s">
        <v>562</v>
      </c>
      <c r="M482" s="84">
        <f t="shared" ref="M482:M495" si="267">N482/Q482</f>
        <v>3.8768421052631577E-2</v>
      </c>
      <c r="N482" s="66">
        <v>36.83</v>
      </c>
      <c r="O482" s="66">
        <v>180.84799999999998</v>
      </c>
      <c r="P482" s="137">
        <f t="shared" si="266"/>
        <v>0.15931262323462475</v>
      </c>
      <c r="Q482" s="55">
        <v>950</v>
      </c>
      <c r="R482" s="35"/>
      <c r="S482" s="5" t="s">
        <v>534</v>
      </c>
      <c r="T482" s="403" t="s">
        <v>534</v>
      </c>
      <c r="U482" s="65"/>
      <c r="V482" s="49">
        <v>168921.55335999999</v>
      </c>
      <c r="W482" s="49"/>
      <c r="X482" s="5"/>
      <c r="Z482" s="882"/>
      <c r="AA482" s="35"/>
      <c r="AB482" s="871"/>
      <c r="AC482" s="380" t="s">
        <v>523</v>
      </c>
      <c r="AD482" s="119" t="s">
        <v>577</v>
      </c>
      <c r="AE482" s="35"/>
      <c r="AF482" s="871"/>
      <c r="AG482" s="871"/>
      <c r="AH482" s="465"/>
      <c r="AI482" s="465"/>
      <c r="AJ482" s="468"/>
      <c r="AK482" s="35"/>
      <c r="AL482" s="871"/>
      <c r="AM482" s="46"/>
      <c r="AN482" s="554">
        <f t="shared" ref="AN482:AN495" si="268">AR482*AT482</f>
        <v>103.31214311207167</v>
      </c>
      <c r="AP482" s="599"/>
      <c r="AQ482" s="632"/>
      <c r="AR482" s="599">
        <f t="shared" si="265"/>
        <v>107.61681574174132</v>
      </c>
      <c r="AT482" s="274">
        <v>0.96</v>
      </c>
      <c r="AU482" s="248"/>
      <c r="AW482" s="871"/>
      <c r="AY482" s="908"/>
      <c r="AZ482" s="760">
        <v>1972</v>
      </c>
      <c r="BA482" s="293"/>
    </row>
    <row r="483" spans="1:53">
      <c r="B483" s="991"/>
      <c r="C483" s="871"/>
      <c r="D483" s="871"/>
      <c r="E483" s="927"/>
      <c r="F483" s="871"/>
      <c r="G483" s="871"/>
      <c r="H483" s="871"/>
      <c r="I483" s="871"/>
      <c r="J483" s="221"/>
      <c r="K483" s="35"/>
      <c r="L483" s="133" t="s">
        <v>563</v>
      </c>
      <c r="M483" s="84">
        <f t="shared" si="267"/>
        <v>6.6963636363636364E-2</v>
      </c>
      <c r="N483" s="66">
        <v>36.83</v>
      </c>
      <c r="O483" s="66">
        <v>180.84799999999998</v>
      </c>
      <c r="P483" s="137">
        <f t="shared" si="266"/>
        <v>0.20937780695888916</v>
      </c>
      <c r="Q483" s="55">
        <v>550</v>
      </c>
      <c r="R483" s="35"/>
      <c r="S483" s="5" t="s">
        <v>534</v>
      </c>
      <c r="T483" s="403" t="s">
        <v>534</v>
      </c>
      <c r="U483" s="65"/>
      <c r="V483" s="49">
        <v>168921.55335999999</v>
      </c>
      <c r="W483" s="49"/>
      <c r="X483" s="5"/>
      <c r="Z483" s="882"/>
      <c r="AA483" s="35"/>
      <c r="AB483" s="871"/>
      <c r="AC483" s="380" t="s">
        <v>523</v>
      </c>
      <c r="AD483" s="119" t="s">
        <v>577</v>
      </c>
      <c r="AE483" s="35"/>
      <c r="AF483" s="871"/>
      <c r="AG483" s="871"/>
      <c r="AH483" s="465"/>
      <c r="AI483" s="465"/>
      <c r="AJ483" s="468"/>
      <c r="AK483" s="35"/>
      <c r="AL483" s="871"/>
      <c r="AM483" s="46"/>
      <c r="AN483" s="554">
        <f t="shared" si="268"/>
        <v>154.28338038611457</v>
      </c>
      <c r="AP483" s="599"/>
      <c r="AQ483" s="632"/>
      <c r="AR483" s="599">
        <f t="shared" si="265"/>
        <v>185.88359082664408</v>
      </c>
      <c r="AT483" s="274">
        <v>0.83</v>
      </c>
      <c r="AU483" s="248"/>
      <c r="AW483" s="871"/>
      <c r="AY483" s="908"/>
      <c r="AZ483" s="760">
        <v>1972</v>
      </c>
      <c r="BA483" s="293"/>
    </row>
    <row r="484" spans="1:53">
      <c r="B484" s="991"/>
      <c r="C484" s="871"/>
      <c r="D484" s="871"/>
      <c r="E484" s="927"/>
      <c r="F484" s="871"/>
      <c r="G484" s="871"/>
      <c r="H484" s="871"/>
      <c r="I484" s="871"/>
      <c r="J484" s="221"/>
      <c r="K484" s="35"/>
      <c r="L484" s="133" t="s">
        <v>564</v>
      </c>
      <c r="M484" s="84">
        <f t="shared" si="267"/>
        <v>4.8460526315789475E-2</v>
      </c>
      <c r="N484" s="66">
        <v>36.83</v>
      </c>
      <c r="O484" s="66">
        <v>180.84799999999998</v>
      </c>
      <c r="P484" s="137">
        <f t="shared" si="266"/>
        <v>0.17811692761321668</v>
      </c>
      <c r="Q484" s="55">
        <v>760</v>
      </c>
      <c r="R484" s="35"/>
      <c r="S484" s="5" t="s">
        <v>534</v>
      </c>
      <c r="T484" s="403" t="s">
        <v>534</v>
      </c>
      <c r="U484" s="65"/>
      <c r="V484" s="49">
        <v>168921.55335999999</v>
      </c>
      <c r="W484" s="49"/>
      <c r="X484" s="5"/>
      <c r="Z484" s="882"/>
      <c r="AA484" s="35"/>
      <c r="AB484" s="871"/>
      <c r="AC484" s="380" t="s">
        <v>523</v>
      </c>
      <c r="AD484" s="119" t="s">
        <v>577</v>
      </c>
      <c r="AE484" s="35"/>
      <c r="AF484" s="871"/>
      <c r="AG484" s="871"/>
      <c r="AH484" s="465"/>
      <c r="AI484" s="465"/>
      <c r="AJ484" s="468"/>
      <c r="AK484" s="35"/>
      <c r="AL484" s="871"/>
      <c r="AM484" s="46"/>
      <c r="AN484" s="554">
        <f t="shared" si="268"/>
        <v>114.34286672560016</v>
      </c>
      <c r="AP484" s="599"/>
      <c r="AQ484" s="632"/>
      <c r="AR484" s="599">
        <f t="shared" si="265"/>
        <v>134.52101967717667</v>
      </c>
      <c r="AT484" s="274">
        <v>0.85</v>
      </c>
      <c r="AU484" s="248"/>
      <c r="AW484" s="871"/>
      <c r="AY484" s="908"/>
      <c r="AZ484" s="760">
        <v>1972</v>
      </c>
      <c r="BA484" s="293"/>
    </row>
    <row r="485" spans="1:53">
      <c r="B485" s="991"/>
      <c r="C485" s="871"/>
      <c r="D485" s="871"/>
      <c r="E485" s="927"/>
      <c r="F485" s="871"/>
      <c r="G485" s="871"/>
      <c r="H485" s="871"/>
      <c r="I485" s="871"/>
      <c r="J485" s="221"/>
      <c r="K485" s="35"/>
      <c r="L485" s="133" t="s">
        <v>565</v>
      </c>
      <c r="M485" s="84">
        <f t="shared" si="267"/>
        <v>7.8361702127659569E-2</v>
      </c>
      <c r="N485" s="66">
        <v>36.83</v>
      </c>
      <c r="O485" s="66">
        <v>180.84799999999998</v>
      </c>
      <c r="P485" s="137">
        <f t="shared" si="266"/>
        <v>0.22649731728157457</v>
      </c>
      <c r="Q485" s="55">
        <v>470</v>
      </c>
      <c r="R485" s="35"/>
      <c r="S485" s="5" t="s">
        <v>534</v>
      </c>
      <c r="T485" s="403" t="s">
        <v>534</v>
      </c>
      <c r="U485" s="65"/>
      <c r="V485" s="49">
        <v>168921.55335999999</v>
      </c>
      <c r="W485" s="49"/>
      <c r="X485" s="5"/>
      <c r="Z485" s="882"/>
      <c r="AA485" s="35"/>
      <c r="AB485" s="871"/>
      <c r="AC485" s="380" t="s">
        <v>523</v>
      </c>
      <c r="AD485" s="119" t="s">
        <v>577</v>
      </c>
      <c r="AE485" s="35"/>
      <c r="AF485" s="871"/>
      <c r="AG485" s="871"/>
      <c r="AH485" s="465"/>
      <c r="AI485" s="465"/>
      <c r="AJ485" s="468"/>
      <c r="AK485" s="35"/>
      <c r="AL485" s="871"/>
      <c r="AM485" s="46"/>
      <c r="AN485" s="554">
        <f t="shared" si="268"/>
        <v>176.19391428355308</v>
      </c>
      <c r="AP485" s="599"/>
      <c r="AQ485" s="632"/>
      <c r="AR485" s="599">
        <f t="shared" si="265"/>
        <v>217.52335096734947</v>
      </c>
      <c r="AT485" s="274">
        <v>0.81</v>
      </c>
      <c r="AU485" s="248"/>
      <c r="AW485" s="871"/>
      <c r="AY485" s="908"/>
      <c r="AZ485" s="760">
        <v>1972</v>
      </c>
      <c r="BA485" s="293"/>
    </row>
    <row r="486" spans="1:53">
      <c r="B486" s="991"/>
      <c r="C486" s="871"/>
      <c r="D486" s="871"/>
      <c r="E486" s="927"/>
      <c r="F486" s="871"/>
      <c r="G486" s="871"/>
      <c r="H486" s="871"/>
      <c r="I486" s="871"/>
      <c r="J486" s="221"/>
      <c r="K486" s="35"/>
      <c r="L486" s="133" t="s">
        <v>566</v>
      </c>
      <c r="M486" s="84">
        <f t="shared" si="267"/>
        <v>5.8740031897926634E-2</v>
      </c>
      <c r="N486" s="66">
        <v>36.83</v>
      </c>
      <c r="O486" s="66">
        <v>180.84799999999998</v>
      </c>
      <c r="P486" s="137">
        <f t="shared" si="266"/>
        <v>0.19610028325778645</v>
      </c>
      <c r="Q486" s="55">
        <v>627</v>
      </c>
      <c r="R486" s="35"/>
      <c r="S486" s="5" t="s">
        <v>534</v>
      </c>
      <c r="T486" s="403" t="s">
        <v>534</v>
      </c>
      <c r="U486" s="65"/>
      <c r="V486" s="49">
        <v>168921.55335999999</v>
      </c>
      <c r="W486" s="49"/>
      <c r="X486" s="5"/>
      <c r="Z486" s="882"/>
      <c r="AA486" s="35"/>
      <c r="AB486" s="871"/>
      <c r="AC486" s="380" t="s">
        <v>523</v>
      </c>
      <c r="AD486" s="119" t="s">
        <v>577</v>
      </c>
      <c r="AE486" s="35"/>
      <c r="AF486" s="871"/>
      <c r="AG486" s="871"/>
      <c r="AH486" s="465"/>
      <c r="AI486" s="465"/>
      <c r="AJ486" s="468"/>
      <c r="AK486" s="35"/>
      <c r="AL486" s="871"/>
      <c r="AM486" s="46"/>
      <c r="AN486" s="554">
        <f t="shared" si="268"/>
        <v>130.44462514150464</v>
      </c>
      <c r="AP486" s="599"/>
      <c r="AQ486" s="632"/>
      <c r="AR486" s="599">
        <f t="shared" si="265"/>
        <v>163.0557814268808</v>
      </c>
      <c r="AT486" s="274">
        <v>0.8</v>
      </c>
      <c r="AU486" s="248"/>
      <c r="AW486" s="871"/>
      <c r="AY486" s="908"/>
      <c r="AZ486" s="760">
        <v>1972</v>
      </c>
      <c r="BA486" s="293"/>
    </row>
    <row r="487" spans="1:53">
      <c r="B487" s="991"/>
      <c r="C487" s="871"/>
      <c r="D487" s="871"/>
      <c r="E487" s="927"/>
      <c r="F487" s="871"/>
      <c r="G487" s="871"/>
      <c r="H487" s="871"/>
      <c r="I487" s="871"/>
      <c r="J487" s="221"/>
      <c r="K487" s="35"/>
      <c r="L487" s="133" t="s">
        <v>567</v>
      </c>
      <c r="M487" s="84">
        <f t="shared" si="267"/>
        <v>5.2614285714285711E-2</v>
      </c>
      <c r="N487" s="66">
        <v>36.83</v>
      </c>
      <c r="O487" s="66">
        <v>180.84799999999998</v>
      </c>
      <c r="P487" s="137">
        <f t="shared" si="266"/>
        <v>0.18559358950522054</v>
      </c>
      <c r="Q487" s="55">
        <v>700</v>
      </c>
      <c r="R487" s="35"/>
      <c r="S487" s="5" t="s">
        <v>534</v>
      </c>
      <c r="T487" s="403" t="s">
        <v>534</v>
      </c>
      <c r="U487" s="65"/>
      <c r="V487" s="49">
        <v>168921.55335999999</v>
      </c>
      <c r="W487" s="49"/>
      <c r="X487" s="5"/>
      <c r="Z487" s="882"/>
      <c r="AA487" s="35"/>
      <c r="AB487" s="871"/>
      <c r="AC487" s="380" t="s">
        <v>523</v>
      </c>
      <c r="AD487" s="119" t="s">
        <v>577</v>
      </c>
      <c r="AE487" s="35"/>
      <c r="AF487" s="871"/>
      <c r="AG487" s="871"/>
      <c r="AH487" s="465"/>
      <c r="AI487" s="465"/>
      <c r="AJ487" s="468"/>
      <c r="AK487" s="35"/>
      <c r="AL487" s="871"/>
      <c r="AM487" s="46"/>
      <c r="AN487" s="554">
        <f t="shared" si="268"/>
        <v>125.60419780143235</v>
      </c>
      <c r="AP487" s="599"/>
      <c r="AQ487" s="632"/>
      <c r="AR487" s="599">
        <f t="shared" si="265"/>
        <v>146.0513927923632</v>
      </c>
      <c r="AT487" s="274">
        <v>0.86</v>
      </c>
      <c r="AU487" s="248"/>
      <c r="AW487" s="871"/>
      <c r="AY487" s="908"/>
      <c r="AZ487" s="760">
        <v>1972</v>
      </c>
      <c r="BA487" s="293"/>
    </row>
    <row r="488" spans="1:53">
      <c r="B488" s="991"/>
      <c r="C488" s="871"/>
      <c r="D488" s="871"/>
      <c r="E488" s="927"/>
      <c r="F488" s="871"/>
      <c r="G488" s="871"/>
      <c r="H488" s="871"/>
      <c r="I488" s="871"/>
      <c r="J488" s="221"/>
      <c r="K488" s="35"/>
      <c r="L488" s="133" t="s">
        <v>568</v>
      </c>
      <c r="M488" s="84">
        <f t="shared" si="267"/>
        <v>3.9602150537634405E-2</v>
      </c>
      <c r="N488" s="66">
        <v>36.83</v>
      </c>
      <c r="O488" s="66">
        <v>180.84799999999998</v>
      </c>
      <c r="P488" s="137">
        <f t="shared" si="266"/>
        <v>0.16101655002695672</v>
      </c>
      <c r="Q488" s="55">
        <v>930</v>
      </c>
      <c r="R488" s="35"/>
      <c r="S488" s="5" t="s">
        <v>534</v>
      </c>
      <c r="T488" s="403" t="s">
        <v>534</v>
      </c>
      <c r="U488" s="65"/>
      <c r="V488" s="49">
        <v>168921.55335999999</v>
      </c>
      <c r="W488" s="49"/>
      <c r="X488" s="5"/>
      <c r="Z488" s="882"/>
      <c r="AA488" s="35"/>
      <c r="AB488" s="871"/>
      <c r="AC488" s="380" t="s">
        <v>523</v>
      </c>
      <c r="AD488" s="119" t="s">
        <v>577</v>
      </c>
      <c r="AE488" s="35"/>
      <c r="AF488" s="871"/>
      <c r="AG488" s="871"/>
      <c r="AH488" s="465"/>
      <c r="AI488" s="465"/>
      <c r="AJ488" s="468"/>
      <c r="AK488" s="35"/>
      <c r="AL488" s="871"/>
      <c r="AM488" s="46"/>
      <c r="AN488" s="554">
        <f t="shared" si="268"/>
        <v>92.342170926784476</v>
      </c>
      <c r="AP488" s="599"/>
      <c r="AQ488" s="632"/>
      <c r="AR488" s="599">
        <f t="shared" si="265"/>
        <v>109.93115586521962</v>
      </c>
      <c r="AT488" s="274">
        <v>0.84</v>
      </c>
      <c r="AU488" s="248"/>
      <c r="AW488" s="871"/>
      <c r="AY488" s="908"/>
      <c r="AZ488" s="760">
        <v>1972</v>
      </c>
      <c r="BA488" s="293"/>
    </row>
    <row r="489" spans="1:53">
      <c r="B489" s="991"/>
      <c r="C489" s="871"/>
      <c r="D489" s="871"/>
      <c r="E489" s="927"/>
      <c r="F489" s="871"/>
      <c r="G489" s="871"/>
      <c r="H489" s="871"/>
      <c r="I489" s="871"/>
      <c r="J489" s="221"/>
      <c r="K489" s="35"/>
      <c r="L489" s="133" t="s">
        <v>569</v>
      </c>
      <c r="M489" s="84">
        <f t="shared" si="267"/>
        <v>4.977027027027027E-2</v>
      </c>
      <c r="N489" s="66">
        <v>36.83</v>
      </c>
      <c r="O489" s="66">
        <v>180.84799999999998</v>
      </c>
      <c r="P489" s="137">
        <f t="shared" si="266"/>
        <v>0.18050786583820383</v>
      </c>
      <c r="Q489" s="55">
        <v>740</v>
      </c>
      <c r="R489" s="35"/>
      <c r="S489" s="5" t="s">
        <v>534</v>
      </c>
      <c r="T489" s="403" t="s">
        <v>534</v>
      </c>
      <c r="U489" s="65"/>
      <c r="V489" s="49">
        <v>168921.55335999999</v>
      </c>
      <c r="W489" s="49"/>
      <c r="X489" s="5"/>
      <c r="Z489" s="882"/>
      <c r="AA489" s="35"/>
      <c r="AB489" s="871"/>
      <c r="AC489" s="380" t="s">
        <v>523</v>
      </c>
      <c r="AD489" s="119" t="s">
        <v>577</v>
      </c>
      <c r="AE489" s="35"/>
      <c r="AF489" s="871"/>
      <c r="AG489" s="871"/>
      <c r="AH489" s="465"/>
      <c r="AI489" s="465"/>
      <c r="AJ489" s="468"/>
      <c r="AK489" s="35"/>
      <c r="AL489" s="871"/>
      <c r="AM489" s="46"/>
      <c r="AN489" s="554">
        <f t="shared" si="268"/>
        <v>116.05164724582374</v>
      </c>
      <c r="AP489" s="599"/>
      <c r="AQ489" s="632"/>
      <c r="AR489" s="599">
        <f t="shared" si="265"/>
        <v>138.15672291169494</v>
      </c>
      <c r="AT489" s="274">
        <v>0.84</v>
      </c>
      <c r="AU489" s="248"/>
      <c r="AW489" s="871"/>
      <c r="AY489" s="908"/>
      <c r="AZ489" s="760">
        <v>1972</v>
      </c>
      <c r="BA489" s="293"/>
    </row>
    <row r="490" spans="1:53">
      <c r="B490" s="991"/>
      <c r="C490" s="871"/>
      <c r="D490" s="871"/>
      <c r="E490" s="927"/>
      <c r="F490" s="871"/>
      <c r="G490" s="871"/>
      <c r="H490" s="871"/>
      <c r="I490" s="871"/>
      <c r="J490" s="221"/>
      <c r="K490" s="35"/>
      <c r="L490" s="133" t="s">
        <v>570</v>
      </c>
      <c r="M490" s="84">
        <f t="shared" si="267"/>
        <v>6.0775577557755769E-2</v>
      </c>
      <c r="N490" s="66">
        <v>36.83</v>
      </c>
      <c r="O490" s="66">
        <v>180.84799999999998</v>
      </c>
      <c r="P490" s="137">
        <f t="shared" si="266"/>
        <v>0.19946912350210338</v>
      </c>
      <c r="Q490" s="55">
        <v>606</v>
      </c>
      <c r="R490" s="35"/>
      <c r="S490" s="5" t="s">
        <v>534</v>
      </c>
      <c r="T490" s="403" t="s">
        <v>534</v>
      </c>
      <c r="U490" s="65"/>
      <c r="V490" s="49">
        <v>168921.55335999999</v>
      </c>
      <c r="W490" s="49"/>
      <c r="X490" s="5"/>
      <c r="Z490" s="882"/>
      <c r="AA490" s="35"/>
      <c r="AB490" s="871"/>
      <c r="AC490" s="380" t="s">
        <v>523</v>
      </c>
      <c r="AD490" s="119" t="s">
        <v>577</v>
      </c>
      <c r="AE490" s="35"/>
      <c r="AF490" s="871"/>
      <c r="AG490" s="871"/>
      <c r="AH490" s="465"/>
      <c r="AI490" s="465"/>
      <c r="AJ490" s="468"/>
      <c r="AK490" s="35"/>
      <c r="AL490" s="871"/>
      <c r="AM490" s="46"/>
      <c r="AN490" s="554">
        <f t="shared" si="268"/>
        <v>153.52266866127945</v>
      </c>
      <c r="AP490" s="599"/>
      <c r="AQ490" s="632"/>
      <c r="AR490" s="599">
        <f t="shared" si="265"/>
        <v>168.70622929810929</v>
      </c>
      <c r="AT490" s="274">
        <v>0.91</v>
      </c>
      <c r="AU490" s="248"/>
      <c r="AW490" s="871"/>
      <c r="AY490" s="908"/>
      <c r="AZ490" s="760">
        <v>1972</v>
      </c>
      <c r="BA490" s="293"/>
    </row>
    <row r="491" spans="1:53">
      <c r="B491" s="991"/>
      <c r="C491" s="871"/>
      <c r="D491" s="871"/>
      <c r="E491" s="927"/>
      <c r="F491" s="871"/>
      <c r="G491" s="871"/>
      <c r="H491" s="871"/>
      <c r="I491" s="871"/>
      <c r="J491" s="221"/>
      <c r="K491" s="35"/>
      <c r="L491" s="133" t="s">
        <v>571</v>
      </c>
      <c r="M491" s="84">
        <f t="shared" si="267"/>
        <v>7.7050209205020911E-2</v>
      </c>
      <c r="N491" s="66">
        <v>36.83</v>
      </c>
      <c r="O491" s="66">
        <v>180.84799999999998</v>
      </c>
      <c r="P491" s="137">
        <f t="shared" si="266"/>
        <v>0.22459394473613789</v>
      </c>
      <c r="Q491" s="55">
        <v>478</v>
      </c>
      <c r="R491" s="35"/>
      <c r="S491" s="5" t="s">
        <v>534</v>
      </c>
      <c r="T491" s="403" t="s">
        <v>534</v>
      </c>
      <c r="U491" s="65"/>
      <c r="V491" s="49">
        <v>168921.55335999999</v>
      </c>
      <c r="W491" s="49"/>
      <c r="X491" s="5"/>
      <c r="Z491" s="882"/>
      <c r="AA491" s="35"/>
      <c r="AB491" s="871"/>
      <c r="AC491" s="380" t="s">
        <v>523</v>
      </c>
      <c r="AD491" s="119" t="s">
        <v>577</v>
      </c>
      <c r="AE491" s="35"/>
      <c r="AF491" s="871"/>
      <c r="AG491" s="871"/>
      <c r="AH491" s="465"/>
      <c r="AI491" s="465"/>
      <c r="AJ491" s="468"/>
      <c r="AK491" s="35"/>
      <c r="AL491" s="871"/>
      <c r="AM491" s="46"/>
      <c r="AN491" s="554">
        <f t="shared" si="268"/>
        <v>183.93920180126077</v>
      </c>
      <c r="AP491" s="599"/>
      <c r="AQ491" s="632"/>
      <c r="AR491" s="599">
        <f t="shared" si="265"/>
        <v>213.88279279216368</v>
      </c>
      <c r="AT491" s="274">
        <v>0.86</v>
      </c>
      <c r="AU491" s="248"/>
      <c r="AW491" s="871"/>
      <c r="AY491" s="908"/>
      <c r="AZ491" s="760">
        <v>1972</v>
      </c>
      <c r="BA491" s="293"/>
    </row>
    <row r="492" spans="1:53">
      <c r="B492" s="991"/>
      <c r="C492" s="871"/>
      <c r="D492" s="871"/>
      <c r="E492" s="927"/>
      <c r="F492" s="871"/>
      <c r="G492" s="871"/>
      <c r="H492" s="871"/>
      <c r="I492" s="871"/>
      <c r="J492" s="221"/>
      <c r="K492" s="35"/>
      <c r="L492" s="133" t="s">
        <v>572</v>
      </c>
      <c r="M492" s="84">
        <f t="shared" si="267"/>
        <v>3.9902491874322855E-2</v>
      </c>
      <c r="N492" s="66">
        <v>36.83</v>
      </c>
      <c r="O492" s="66">
        <v>180.84799999999998</v>
      </c>
      <c r="P492" s="137">
        <f t="shared" si="266"/>
        <v>0.16162596872336651</v>
      </c>
      <c r="Q492" s="55">
        <v>923</v>
      </c>
      <c r="R492" s="35"/>
      <c r="S492" s="5" t="s">
        <v>534</v>
      </c>
      <c r="T492" s="403" t="s">
        <v>534</v>
      </c>
      <c r="U492" s="65"/>
      <c r="V492" s="49">
        <v>168921.55335999999</v>
      </c>
      <c r="W492" s="49"/>
      <c r="X492" s="5"/>
      <c r="Z492" s="882"/>
      <c r="AA492" s="35"/>
      <c r="AB492" s="871"/>
      <c r="AC492" s="380" t="s">
        <v>523</v>
      </c>
      <c r="AD492" s="30" t="s">
        <v>578</v>
      </c>
      <c r="AE492" s="35"/>
      <c r="AF492" s="871"/>
      <c r="AG492" s="871"/>
      <c r="AH492" s="465"/>
      <c r="AI492" s="465"/>
      <c r="AJ492" s="468"/>
      <c r="AK492" s="35"/>
      <c r="AL492" s="871"/>
      <c r="AM492" s="46"/>
      <c r="AN492" s="554">
        <f t="shared" si="268"/>
        <v>88.611895952029684</v>
      </c>
      <c r="AP492" s="599"/>
      <c r="AQ492" s="632"/>
      <c r="AR492" s="599">
        <f t="shared" si="265"/>
        <v>110.7648699400371</v>
      </c>
      <c r="AT492" s="274">
        <v>0.8</v>
      </c>
      <c r="AU492" s="248"/>
      <c r="AW492" s="871"/>
      <c r="AY492" s="908"/>
      <c r="AZ492" s="760">
        <v>1972</v>
      </c>
      <c r="BA492" s="293"/>
    </row>
    <row r="493" spans="1:53">
      <c r="B493" s="991"/>
      <c r="C493" s="871"/>
      <c r="D493" s="871"/>
      <c r="E493" s="927"/>
      <c r="F493" s="871"/>
      <c r="G493" s="871"/>
      <c r="H493" s="871"/>
      <c r="I493" s="871"/>
      <c r="J493" s="221"/>
      <c r="K493" s="35"/>
      <c r="L493" s="133" t="s">
        <v>573</v>
      </c>
      <c r="M493" s="84">
        <f t="shared" si="267"/>
        <v>6.9886148007590132E-2</v>
      </c>
      <c r="N493" s="66">
        <v>36.83</v>
      </c>
      <c r="O493" s="66">
        <v>180.84799999999998</v>
      </c>
      <c r="P493" s="137">
        <f t="shared" si="266"/>
        <v>0.21389798028327645</v>
      </c>
      <c r="Q493" s="55">
        <v>527</v>
      </c>
      <c r="R493" s="35"/>
      <c r="S493" s="5" t="s">
        <v>534</v>
      </c>
      <c r="T493" s="403" t="s">
        <v>534</v>
      </c>
      <c r="U493" s="65"/>
      <c r="V493" s="49">
        <v>168921.55335999999</v>
      </c>
      <c r="W493" s="49"/>
      <c r="X493" s="5"/>
      <c r="Z493" s="882"/>
      <c r="AA493" s="35"/>
      <c r="AB493" s="871"/>
      <c r="AC493" s="380" t="s">
        <v>523</v>
      </c>
      <c r="AD493" s="30" t="s">
        <v>578</v>
      </c>
      <c r="AE493" s="35"/>
      <c r="AF493" s="871"/>
      <c r="AG493" s="871"/>
      <c r="AH493" s="465"/>
      <c r="AI493" s="465"/>
      <c r="AJ493" s="468"/>
      <c r="AK493" s="35"/>
      <c r="AL493" s="871"/>
      <c r="AM493" s="46"/>
      <c r="AN493" s="554">
        <f t="shared" si="268"/>
        <v>174.59654166829</v>
      </c>
      <c r="AP493" s="599"/>
      <c r="AQ493" s="632"/>
      <c r="AR493" s="599">
        <f t="shared" si="265"/>
        <v>193.99615740921109</v>
      </c>
      <c r="AT493" s="274">
        <v>0.9</v>
      </c>
      <c r="AU493" s="248"/>
      <c r="AW493" s="871"/>
      <c r="AY493" s="908"/>
      <c r="AZ493" s="760">
        <v>1972</v>
      </c>
      <c r="BA493" s="293"/>
    </row>
    <row r="494" spans="1:53">
      <c r="B494" s="991"/>
      <c r="C494" s="871"/>
      <c r="D494" s="871"/>
      <c r="E494" s="927"/>
      <c r="F494" s="871"/>
      <c r="G494" s="871"/>
      <c r="H494" s="871"/>
      <c r="I494" s="871"/>
      <c r="J494" s="221"/>
      <c r="K494" s="35"/>
      <c r="L494" s="133" t="s">
        <v>574</v>
      </c>
      <c r="M494" s="84">
        <f t="shared" si="267"/>
        <v>4.332941176470588E-2</v>
      </c>
      <c r="N494" s="66">
        <v>36.83</v>
      </c>
      <c r="O494" s="66">
        <v>180.84799999999998</v>
      </c>
      <c r="P494" s="137">
        <f t="shared" si="266"/>
        <v>0.16842343809857419</v>
      </c>
      <c r="Q494" s="55">
        <v>850</v>
      </c>
      <c r="R494" s="35"/>
      <c r="S494" s="5" t="s">
        <v>534</v>
      </c>
      <c r="T494" s="403" t="s">
        <v>534</v>
      </c>
      <c r="U494" s="65"/>
      <c r="V494" s="49">
        <v>168921.55335999999</v>
      </c>
      <c r="W494" s="49"/>
      <c r="X494" s="5"/>
      <c r="Z494" s="882"/>
      <c r="AA494" s="35"/>
      <c r="AB494" s="871"/>
      <c r="AC494" s="380" t="s">
        <v>523</v>
      </c>
      <c r="AD494" s="30" t="s">
        <v>578</v>
      </c>
      <c r="AE494" s="35"/>
      <c r="AF494" s="871"/>
      <c r="AG494" s="871"/>
      <c r="AH494" s="465"/>
      <c r="AI494" s="465"/>
      <c r="AJ494" s="468"/>
      <c r="AK494" s="35"/>
      <c r="AL494" s="871"/>
      <c r="AM494" s="46"/>
      <c r="AN494" s="554">
        <f t="shared" si="268"/>
        <v>97.424870250905826</v>
      </c>
      <c r="AP494" s="599"/>
      <c r="AQ494" s="632"/>
      <c r="AR494" s="599">
        <f t="shared" si="265"/>
        <v>120.27761759371089</v>
      </c>
      <c r="AT494" s="274">
        <v>0.81</v>
      </c>
      <c r="AU494" s="248"/>
      <c r="AW494" s="871"/>
      <c r="AY494" s="908"/>
      <c r="AZ494" s="760">
        <v>1972</v>
      </c>
      <c r="BA494" s="293"/>
    </row>
    <row r="495" spans="1:53" ht="16.5" thickBot="1">
      <c r="B495" s="992"/>
      <c r="C495" s="872"/>
      <c r="D495" s="872"/>
      <c r="E495" s="928"/>
      <c r="F495" s="872"/>
      <c r="G495" s="872"/>
      <c r="H495" s="872"/>
      <c r="I495" s="872"/>
      <c r="J495" s="223"/>
      <c r="K495" s="36"/>
      <c r="L495" s="134" t="s">
        <v>575</v>
      </c>
      <c r="M495" s="140">
        <f t="shared" si="267"/>
        <v>6.5301418439716305E-2</v>
      </c>
      <c r="N495" s="135">
        <v>36.83</v>
      </c>
      <c r="O495" s="135">
        <v>180.84799999999998</v>
      </c>
      <c r="P495" s="136">
        <f t="shared" si="266"/>
        <v>0.20676281648253844</v>
      </c>
      <c r="Q495" s="238">
        <v>564</v>
      </c>
      <c r="R495" s="36"/>
      <c r="S495" s="18" t="s">
        <v>534</v>
      </c>
      <c r="T495" s="492" t="s">
        <v>534</v>
      </c>
      <c r="U495" s="89"/>
      <c r="V495" s="51">
        <v>168921.55335999999</v>
      </c>
      <c r="W495" s="51"/>
      <c r="X495" s="18"/>
      <c r="Y495" s="173"/>
      <c r="Z495" s="883"/>
      <c r="AA495" s="35"/>
      <c r="AB495" s="871"/>
      <c r="AC495" s="380" t="s">
        <v>523</v>
      </c>
      <c r="AD495" s="30" t="s">
        <v>578</v>
      </c>
      <c r="AE495" s="36"/>
      <c r="AF495" s="872"/>
      <c r="AG495" s="872"/>
      <c r="AH495" s="466"/>
      <c r="AI495" s="466"/>
      <c r="AJ495" s="469"/>
      <c r="AK495" s="36"/>
      <c r="AL495" s="872"/>
      <c r="AM495" s="50"/>
      <c r="AN495" s="556">
        <f t="shared" si="268"/>
        <v>154.07904026853922</v>
      </c>
      <c r="AO495" s="556"/>
      <c r="AP495" s="604"/>
      <c r="AQ495" s="636"/>
      <c r="AR495" s="604">
        <f t="shared" si="265"/>
        <v>181.26945913945789</v>
      </c>
      <c r="AS495" s="577"/>
      <c r="AT495" s="275">
        <v>0.85</v>
      </c>
      <c r="AU495" s="249"/>
      <c r="AV495" s="91"/>
      <c r="AW495" s="872"/>
      <c r="AX495" s="31"/>
      <c r="AY495" s="909"/>
      <c r="AZ495" s="770">
        <v>1972</v>
      </c>
      <c r="BA495" s="295"/>
    </row>
    <row r="496" spans="1:53" ht="15.95" customHeight="1">
      <c r="B496" s="990">
        <v>29</v>
      </c>
      <c r="C496" s="870" t="s">
        <v>581</v>
      </c>
      <c r="D496" s="870" t="s">
        <v>582</v>
      </c>
      <c r="E496" s="932">
        <v>1985</v>
      </c>
      <c r="F496" s="870" t="s">
        <v>559</v>
      </c>
      <c r="G496" s="870" t="s">
        <v>583</v>
      </c>
      <c r="H496" s="870" t="s">
        <v>584</v>
      </c>
      <c r="I496" s="910" t="s">
        <v>585</v>
      </c>
      <c r="J496" s="222"/>
      <c r="K496" s="34"/>
      <c r="L496" s="132" t="s">
        <v>362</v>
      </c>
      <c r="M496" s="337">
        <f>N496/Q496</f>
        <v>0.76</v>
      </c>
      <c r="N496" s="338">
        <v>76</v>
      </c>
      <c r="O496" s="73">
        <v>25.46</v>
      </c>
      <c r="P496" s="108">
        <f t="shared" ref="P496:P507" si="269">O496/N496*SQRT(M496/N496)</f>
        <v>3.3500000000000002E-2</v>
      </c>
      <c r="Q496" s="57">
        <v>100</v>
      </c>
      <c r="R496" s="128" t="s">
        <v>593</v>
      </c>
      <c r="S496" s="15" t="s">
        <v>163</v>
      </c>
      <c r="T496" s="490" t="s">
        <v>163</v>
      </c>
      <c r="U496" s="72"/>
      <c r="V496" s="15">
        <v>207000</v>
      </c>
      <c r="W496" s="15">
        <v>270</v>
      </c>
      <c r="X496" s="15"/>
      <c r="Y496" s="171"/>
      <c r="Z496" s="881" t="s">
        <v>1015</v>
      </c>
      <c r="AA496" s="34"/>
      <c r="AB496" s="870" t="s">
        <v>1016</v>
      </c>
      <c r="AC496" s="379" t="s">
        <v>751</v>
      </c>
      <c r="AD496" s="881" t="s">
        <v>618</v>
      </c>
      <c r="AE496" s="908" t="s">
        <v>619</v>
      </c>
      <c r="AF496" s="871" t="s">
        <v>620</v>
      </c>
      <c r="AK496" s="34"/>
      <c r="AL496" s="62" t="s">
        <v>621</v>
      </c>
      <c r="AM496" s="47"/>
      <c r="AN496" s="20">
        <v>224</v>
      </c>
      <c r="AO496" s="20">
        <f t="shared" ref="AO496:AO520" si="270">AN496/W496</f>
        <v>0.82962962962962961</v>
      </c>
      <c r="AP496" s="597"/>
      <c r="AQ496" s="597">
        <f t="shared" ref="AQ496:AQ520" si="271">SQRT(W496/AR496)</f>
        <v>0.46423445597154384</v>
      </c>
      <c r="AR496" s="597">
        <f t="shared" si="265"/>
        <v>1252.820992624421</v>
      </c>
      <c r="AS496" s="547"/>
      <c r="AT496" s="681">
        <f t="shared" ref="AT496:AT521" si="272">AN496/AR496</f>
        <v>0.17879649312928794</v>
      </c>
      <c r="AU496" s="29">
        <f t="shared" si="252"/>
        <v>0.82962962962962961</v>
      </c>
      <c r="AV496" s="128"/>
      <c r="AW496" s="15"/>
      <c r="AX496" s="29"/>
      <c r="AY496" s="216"/>
      <c r="AZ496" s="543">
        <v>1985</v>
      </c>
      <c r="BA496" s="292"/>
    </row>
    <row r="497" spans="2:53">
      <c r="B497" s="991"/>
      <c r="C497" s="871"/>
      <c r="D497" s="871"/>
      <c r="E497" s="927"/>
      <c r="F497" s="871"/>
      <c r="G497" s="871"/>
      <c r="H497" s="871"/>
      <c r="I497" s="871"/>
      <c r="J497" s="221"/>
      <c r="K497" s="35"/>
      <c r="L497" s="133" t="s">
        <v>586</v>
      </c>
      <c r="M497" s="337">
        <f t="shared" ref="M497:M506" si="273">N497/Q497</f>
        <v>0.8</v>
      </c>
      <c r="N497" s="338">
        <v>76</v>
      </c>
      <c r="O497" s="338">
        <v>24.7</v>
      </c>
      <c r="P497" s="41">
        <f t="shared" si="269"/>
        <v>3.3344296442767513E-2</v>
      </c>
      <c r="Q497" s="55">
        <v>95</v>
      </c>
      <c r="R497" s="90" t="s">
        <v>593</v>
      </c>
      <c r="S497" s="5" t="s">
        <v>163</v>
      </c>
      <c r="T497" s="403" t="s">
        <v>163</v>
      </c>
      <c r="U497" s="65"/>
      <c r="V497" s="5">
        <v>207000</v>
      </c>
      <c r="W497" s="5">
        <v>400</v>
      </c>
      <c r="X497" s="5"/>
      <c r="Z497" s="882"/>
      <c r="AA497" s="35"/>
      <c r="AB497" s="871"/>
      <c r="AC497" s="380" t="s">
        <v>751</v>
      </c>
      <c r="AD497" s="882"/>
      <c r="AE497" s="908"/>
      <c r="AF497" s="871"/>
      <c r="AK497" s="35"/>
      <c r="AL497" s="9"/>
      <c r="AM497" s="46"/>
      <c r="AN497" s="554">
        <v>360</v>
      </c>
      <c r="AO497" s="554">
        <f t="shared" si="270"/>
        <v>0.9</v>
      </c>
      <c r="AP497" s="599"/>
      <c r="AQ497" s="599">
        <f t="shared" si="271"/>
        <v>0.55074084596637307</v>
      </c>
      <c r="AR497" s="599">
        <f t="shared" si="265"/>
        <v>1318.7589396046537</v>
      </c>
      <c r="AT497" s="274">
        <f t="shared" si="272"/>
        <v>0.27298393147418071</v>
      </c>
      <c r="AU497" s="30">
        <f t="shared" si="252"/>
        <v>0.9</v>
      </c>
      <c r="AZ497" s="543">
        <v>1985</v>
      </c>
      <c r="BA497" s="293"/>
    </row>
    <row r="498" spans="2:53">
      <c r="B498" s="991"/>
      <c r="C498" s="871"/>
      <c r="D498" s="871"/>
      <c r="E498" s="927"/>
      <c r="F498" s="871"/>
      <c r="G498" s="871"/>
      <c r="H498" s="871"/>
      <c r="I498" s="871"/>
      <c r="J498" s="221"/>
      <c r="K498" s="35"/>
      <c r="L498" s="133" t="s">
        <v>372</v>
      </c>
      <c r="M498" s="337">
        <f t="shared" si="273"/>
        <v>0.76</v>
      </c>
      <c r="N498" s="338">
        <v>76</v>
      </c>
      <c r="O498" s="338">
        <v>54.72</v>
      </c>
      <c r="P498" s="41">
        <f t="shared" si="269"/>
        <v>7.1999999999999995E-2</v>
      </c>
      <c r="Q498" s="55">
        <v>100</v>
      </c>
      <c r="R498" s="90" t="s">
        <v>593</v>
      </c>
      <c r="S498" s="5" t="s">
        <v>163</v>
      </c>
      <c r="T498" s="403" t="s">
        <v>163</v>
      </c>
      <c r="U498" s="65"/>
      <c r="V498" s="5">
        <v>207000</v>
      </c>
      <c r="W498" s="5">
        <v>270</v>
      </c>
      <c r="X498" s="5"/>
      <c r="Z498" s="882"/>
      <c r="AA498" s="35"/>
      <c r="AB498" s="871"/>
      <c r="AC498" s="380" t="s">
        <v>751</v>
      </c>
      <c r="AD498" s="882"/>
      <c r="AE498" s="908"/>
      <c r="AF498" s="871"/>
      <c r="AK498" s="35"/>
      <c r="AL498" s="9"/>
      <c r="AM498" s="46"/>
      <c r="AN498" s="554">
        <v>220</v>
      </c>
      <c r="AO498" s="554">
        <f t="shared" si="270"/>
        <v>0.81481481481481477</v>
      </c>
      <c r="AP498" s="599"/>
      <c r="AQ498" s="599">
        <f t="shared" si="271"/>
        <v>0.46423445597154384</v>
      </c>
      <c r="AR498" s="599">
        <f t="shared" si="265"/>
        <v>1252.820992624421</v>
      </c>
      <c r="AT498" s="274">
        <f t="shared" si="272"/>
        <v>0.17560369860912209</v>
      </c>
      <c r="AU498" s="30">
        <f t="shared" si="252"/>
        <v>0.81481481481481477</v>
      </c>
      <c r="AZ498" s="543">
        <v>1985</v>
      </c>
      <c r="BA498" s="293"/>
    </row>
    <row r="499" spans="2:53">
      <c r="B499" s="991"/>
      <c r="C499" s="871"/>
      <c r="D499" s="871"/>
      <c r="E499" s="927"/>
      <c r="F499" s="871"/>
      <c r="G499" s="871"/>
      <c r="H499" s="871"/>
      <c r="I499" s="871"/>
      <c r="J499" s="221"/>
      <c r="K499" s="35"/>
      <c r="L499" s="133" t="s">
        <v>587</v>
      </c>
      <c r="M499" s="337">
        <f t="shared" si="273"/>
        <v>0.8</v>
      </c>
      <c r="N499" s="338">
        <v>76</v>
      </c>
      <c r="O499" s="338">
        <v>55.1</v>
      </c>
      <c r="P499" s="41">
        <f t="shared" si="269"/>
        <v>7.4383430526173674E-2</v>
      </c>
      <c r="Q499" s="55">
        <v>95</v>
      </c>
      <c r="R499" s="90" t="s">
        <v>593</v>
      </c>
      <c r="S499" s="5" t="s">
        <v>163</v>
      </c>
      <c r="T499" s="403" t="s">
        <v>163</v>
      </c>
      <c r="U499" s="65"/>
      <c r="V499" s="5">
        <v>207000</v>
      </c>
      <c r="W499" s="5">
        <v>400</v>
      </c>
      <c r="X499" s="5"/>
      <c r="Z499" s="882"/>
      <c r="AA499" s="35"/>
      <c r="AB499" s="871"/>
      <c r="AC499" s="380" t="s">
        <v>751</v>
      </c>
      <c r="AD499" s="882"/>
      <c r="AE499" s="908"/>
      <c r="AF499" s="871"/>
      <c r="AK499" s="35"/>
      <c r="AL499" s="9"/>
      <c r="AM499" s="46"/>
      <c r="AN499" s="554">
        <v>354</v>
      </c>
      <c r="AO499" s="554">
        <f t="shared" si="270"/>
        <v>0.88500000000000001</v>
      </c>
      <c r="AP499" s="599"/>
      <c r="AQ499" s="599">
        <f t="shared" si="271"/>
        <v>0.55074084596637307</v>
      </c>
      <c r="AR499" s="599">
        <f t="shared" si="265"/>
        <v>1318.7589396046537</v>
      </c>
      <c r="AT499" s="274">
        <f t="shared" si="272"/>
        <v>0.26843419928294437</v>
      </c>
      <c r="AU499" s="30">
        <f t="shared" si="252"/>
        <v>0.88500000000000001</v>
      </c>
      <c r="AZ499" s="543">
        <v>1985</v>
      </c>
      <c r="BA499" s="293"/>
    </row>
    <row r="500" spans="2:53">
      <c r="B500" s="991"/>
      <c r="C500" s="871"/>
      <c r="D500" s="871"/>
      <c r="E500" s="927"/>
      <c r="F500" s="871"/>
      <c r="G500" s="871"/>
      <c r="H500" s="871"/>
      <c r="I500" s="871"/>
      <c r="J500" s="221"/>
      <c r="K500" s="35"/>
      <c r="L500" s="133" t="s">
        <v>588</v>
      </c>
      <c r="M500" s="337">
        <f t="shared" si="273"/>
        <v>0.76</v>
      </c>
      <c r="N500" s="338">
        <v>76</v>
      </c>
      <c r="O500" s="338">
        <v>109.82000000000001</v>
      </c>
      <c r="P500" s="41">
        <f t="shared" si="269"/>
        <v>0.14450000000000002</v>
      </c>
      <c r="Q500" s="55">
        <v>100</v>
      </c>
      <c r="R500" s="90" t="s">
        <v>593</v>
      </c>
      <c r="S500" s="5" t="s">
        <v>163</v>
      </c>
      <c r="T500" s="403" t="s">
        <v>163</v>
      </c>
      <c r="U500" s="65"/>
      <c r="V500" s="5">
        <v>207000</v>
      </c>
      <c r="W500" s="5">
        <v>225</v>
      </c>
      <c r="X500" s="5"/>
      <c r="Z500" s="882"/>
      <c r="AA500" s="35"/>
      <c r="AB500" s="871"/>
      <c r="AC500" s="380" t="s">
        <v>751</v>
      </c>
      <c r="AD500" s="882"/>
      <c r="AE500" s="908"/>
      <c r="AF500" s="871"/>
      <c r="AK500" s="35"/>
      <c r="AL500" s="9"/>
      <c r="AM500" s="46"/>
      <c r="AN500" s="554">
        <v>182</v>
      </c>
      <c r="AO500" s="554">
        <f t="shared" si="270"/>
        <v>0.80888888888888888</v>
      </c>
      <c r="AP500" s="599"/>
      <c r="AQ500" s="599">
        <f t="shared" si="271"/>
        <v>0.42378613917792241</v>
      </c>
      <c r="AR500" s="599">
        <f t="shared" si="265"/>
        <v>1252.820992624421</v>
      </c>
      <c r="AT500" s="274">
        <f t="shared" si="272"/>
        <v>0.14527215066754645</v>
      </c>
      <c r="AU500" s="30">
        <f t="shared" si="252"/>
        <v>0.80888888888888888</v>
      </c>
      <c r="AZ500" s="543">
        <v>1985</v>
      </c>
      <c r="BA500" s="293"/>
    </row>
    <row r="501" spans="2:53">
      <c r="B501" s="991"/>
      <c r="C501" s="892"/>
      <c r="D501" s="892"/>
      <c r="E501" s="943"/>
      <c r="F501" s="892"/>
      <c r="G501" s="892"/>
      <c r="H501" s="892"/>
      <c r="I501" s="892"/>
      <c r="J501" s="226"/>
      <c r="K501" s="231"/>
      <c r="L501" s="531" t="s">
        <v>589</v>
      </c>
      <c r="M501" s="96">
        <f t="shared" si="273"/>
        <v>0.80851063829787229</v>
      </c>
      <c r="N501" s="67">
        <v>76</v>
      </c>
      <c r="O501" s="67">
        <v>110.2</v>
      </c>
      <c r="P501" s="105">
        <f t="shared" si="269"/>
        <v>0.14955608070752505</v>
      </c>
      <c r="Q501" s="88">
        <v>94</v>
      </c>
      <c r="R501" s="129" t="s">
        <v>593</v>
      </c>
      <c r="S501" s="40" t="s">
        <v>163</v>
      </c>
      <c r="T501" s="397" t="s">
        <v>163</v>
      </c>
      <c r="U501" s="70"/>
      <c r="V501" s="40">
        <v>207000</v>
      </c>
      <c r="W501" s="40">
        <v>400</v>
      </c>
      <c r="X501" s="40"/>
      <c r="Y501" s="39"/>
      <c r="Z501" s="882"/>
      <c r="AA501" s="35"/>
      <c r="AB501" s="871"/>
      <c r="AC501" s="497" t="s">
        <v>751</v>
      </c>
      <c r="AD501" s="882"/>
      <c r="AE501" s="908"/>
      <c r="AF501" s="871"/>
      <c r="AG501" s="40"/>
      <c r="AH501" s="40"/>
      <c r="AI501" s="40"/>
      <c r="AJ501" s="97"/>
      <c r="AK501" s="231"/>
      <c r="AL501" s="545"/>
      <c r="AM501" s="64"/>
      <c r="AN501" s="583">
        <v>365</v>
      </c>
      <c r="AO501" s="583">
        <f t="shared" si="270"/>
        <v>0.91249999999999998</v>
      </c>
      <c r="AP501" s="625"/>
      <c r="AQ501" s="625">
        <f t="shared" si="271"/>
        <v>0.54783454153201261</v>
      </c>
      <c r="AR501" s="625">
        <f t="shared" si="265"/>
        <v>1332.7882900259799</v>
      </c>
      <c r="AS501" s="626"/>
      <c r="AT501" s="704">
        <f t="shared" si="272"/>
        <v>0.27386194996722629</v>
      </c>
      <c r="AU501" s="97">
        <f t="shared" si="252"/>
        <v>0.91249999999999998</v>
      </c>
      <c r="AV501" s="129"/>
      <c r="AW501" s="40"/>
      <c r="AX501" s="97"/>
      <c r="AY501" s="288"/>
      <c r="AZ501" s="705">
        <v>1985</v>
      </c>
      <c r="BA501" s="293"/>
    </row>
    <row r="502" spans="2:53" ht="68.099999999999994" customHeight="1">
      <c r="B502" s="991"/>
      <c r="C502" s="871" t="s">
        <v>581</v>
      </c>
      <c r="D502" s="871" t="s">
        <v>582</v>
      </c>
      <c r="E502" s="927">
        <v>1985</v>
      </c>
      <c r="F502" s="871" t="s">
        <v>559</v>
      </c>
      <c r="G502" s="871" t="s">
        <v>583</v>
      </c>
      <c r="H502" s="871" t="s">
        <v>584</v>
      </c>
      <c r="I502" s="917" t="s">
        <v>585</v>
      </c>
      <c r="J502" s="221"/>
      <c r="K502" s="35"/>
      <c r="L502" s="133" t="s">
        <v>590</v>
      </c>
      <c r="M502" s="337">
        <f t="shared" si="273"/>
        <v>0.76</v>
      </c>
      <c r="N502" s="338">
        <v>76</v>
      </c>
      <c r="O502" s="338">
        <v>24.7</v>
      </c>
      <c r="P502" s="339">
        <f t="shared" si="269"/>
        <v>3.2500000000000001E-2</v>
      </c>
      <c r="Q502" s="55">
        <v>100</v>
      </c>
      <c r="R502" s="90" t="s">
        <v>524</v>
      </c>
      <c r="S502" s="5" t="s">
        <v>163</v>
      </c>
      <c r="T502" s="403" t="s">
        <v>163</v>
      </c>
      <c r="U502" s="65"/>
      <c r="V502" s="5">
        <v>207000</v>
      </c>
      <c r="W502" s="5">
        <v>425</v>
      </c>
      <c r="X502" s="5"/>
      <c r="Z502" s="882"/>
      <c r="AA502" s="35"/>
      <c r="AB502" s="871"/>
      <c r="AC502" s="380" t="s">
        <v>524</v>
      </c>
      <c r="AD502" s="882"/>
      <c r="AE502" s="908"/>
      <c r="AF502" s="871"/>
      <c r="AK502" s="35"/>
      <c r="AL502" s="9"/>
      <c r="AM502" s="46"/>
      <c r="AN502" s="554">
        <v>370</v>
      </c>
      <c r="AO502" s="554">
        <f t="shared" si="270"/>
        <v>0.87058823529411766</v>
      </c>
      <c r="AP502" s="599"/>
      <c r="AQ502" s="599">
        <f t="shared" si="271"/>
        <v>0.58243833816776025</v>
      </c>
      <c r="AR502" s="599">
        <f t="shared" si="265"/>
        <v>1252.820992624421</v>
      </c>
      <c r="AT502" s="274">
        <f t="shared" si="272"/>
        <v>0.29533349311534168</v>
      </c>
      <c r="AU502" s="30">
        <f t="shared" si="252"/>
        <v>0.87058823529411766</v>
      </c>
      <c r="AZ502" s="543">
        <v>1985</v>
      </c>
      <c r="BA502" s="293"/>
    </row>
    <row r="503" spans="2:53">
      <c r="B503" s="991"/>
      <c r="C503" s="871"/>
      <c r="D503" s="871"/>
      <c r="E503" s="927"/>
      <c r="F503" s="871"/>
      <c r="G503" s="871"/>
      <c r="H503" s="871"/>
      <c r="I503" s="871"/>
      <c r="J503" s="221"/>
      <c r="K503" s="35"/>
      <c r="L503" s="133" t="s">
        <v>591</v>
      </c>
      <c r="M503" s="337">
        <f t="shared" si="273"/>
        <v>0.64406779661016944</v>
      </c>
      <c r="N503" s="338">
        <v>76</v>
      </c>
      <c r="O503" s="338">
        <v>24.7</v>
      </c>
      <c r="P503" s="339">
        <f t="shared" si="269"/>
        <v>2.991867508169551E-2</v>
      </c>
      <c r="Q503" s="55">
        <v>118</v>
      </c>
      <c r="R503" s="90" t="s">
        <v>524</v>
      </c>
      <c r="S503" s="5" t="s">
        <v>163</v>
      </c>
      <c r="T503" s="403" t="s">
        <v>163</v>
      </c>
      <c r="U503" s="65"/>
      <c r="V503" s="5">
        <v>207000</v>
      </c>
      <c r="W503" s="5">
        <v>340</v>
      </c>
      <c r="X503" s="5"/>
      <c r="Z503" s="882"/>
      <c r="AA503" s="35"/>
      <c r="AB503" s="871"/>
      <c r="AC503" s="380" t="s">
        <v>524</v>
      </c>
      <c r="AD503" s="882"/>
      <c r="AE503" s="908"/>
      <c r="AF503" s="871"/>
      <c r="AK503" s="35"/>
      <c r="AL503" s="9"/>
      <c r="AM503" s="46"/>
      <c r="AN503" s="554">
        <v>310</v>
      </c>
      <c r="AO503" s="554">
        <f t="shared" si="270"/>
        <v>0.91176470588235292</v>
      </c>
      <c r="AP503" s="599"/>
      <c r="AQ503" s="599">
        <f t="shared" si="271"/>
        <v>0.56589512312144497</v>
      </c>
      <c r="AR503" s="599">
        <f t="shared" si="265"/>
        <v>1061.7127056139161</v>
      </c>
      <c r="AT503" s="274">
        <f t="shared" si="272"/>
        <v>0.29198105886916753</v>
      </c>
      <c r="AU503" s="30">
        <f t="shared" si="252"/>
        <v>0.91176470588235292</v>
      </c>
      <c r="AZ503" s="543">
        <v>1985</v>
      </c>
      <c r="BA503" s="293"/>
    </row>
    <row r="504" spans="2:53">
      <c r="B504" s="991"/>
      <c r="C504" s="871"/>
      <c r="D504" s="871"/>
      <c r="E504" s="927"/>
      <c r="F504" s="871"/>
      <c r="G504" s="871"/>
      <c r="H504" s="871"/>
      <c r="I504" s="871"/>
      <c r="J504" s="221"/>
      <c r="K504" s="35"/>
      <c r="L504" s="133" t="s">
        <v>366</v>
      </c>
      <c r="M504" s="337">
        <f t="shared" si="273"/>
        <v>0.76</v>
      </c>
      <c r="N504" s="338">
        <v>76</v>
      </c>
      <c r="O504" s="338">
        <v>54.72</v>
      </c>
      <c r="P504" s="339">
        <f t="shared" si="269"/>
        <v>7.1999999999999995E-2</v>
      </c>
      <c r="Q504" s="55">
        <v>100</v>
      </c>
      <c r="R504" s="90" t="s">
        <v>524</v>
      </c>
      <c r="S504" s="5" t="s">
        <v>163</v>
      </c>
      <c r="T504" s="403" t="s">
        <v>163</v>
      </c>
      <c r="U504" s="65"/>
      <c r="V504" s="5">
        <v>207000</v>
      </c>
      <c r="W504" s="5">
        <v>425</v>
      </c>
      <c r="X504" s="5"/>
      <c r="Z504" s="882"/>
      <c r="AA504" s="35"/>
      <c r="AB504" s="871"/>
      <c r="AC504" s="380" t="s">
        <v>524</v>
      </c>
      <c r="AD504" s="882"/>
      <c r="AE504" s="908"/>
      <c r="AF504" s="871"/>
      <c r="AK504" s="35"/>
      <c r="AL504" s="9"/>
      <c r="AM504" s="46"/>
      <c r="AN504" s="554">
        <v>384</v>
      </c>
      <c r="AO504" s="554">
        <f t="shared" si="270"/>
        <v>0.90352941176470591</v>
      </c>
      <c r="AP504" s="599"/>
      <c r="AQ504" s="599">
        <f t="shared" si="271"/>
        <v>0.58243833816776025</v>
      </c>
      <c r="AR504" s="599">
        <f t="shared" si="265"/>
        <v>1252.820992624421</v>
      </c>
      <c r="AT504" s="274">
        <f t="shared" si="272"/>
        <v>0.30650827393592217</v>
      </c>
      <c r="AU504" s="30">
        <f t="shared" si="252"/>
        <v>0.90352941176470591</v>
      </c>
      <c r="AZ504" s="543">
        <v>1985</v>
      </c>
      <c r="BA504" s="293"/>
    </row>
    <row r="505" spans="2:53">
      <c r="B505" s="991"/>
      <c r="C505" s="871"/>
      <c r="D505" s="871"/>
      <c r="E505" s="927"/>
      <c r="F505" s="871"/>
      <c r="G505" s="871"/>
      <c r="H505" s="871"/>
      <c r="I505" s="871"/>
      <c r="J505" s="221"/>
      <c r="K505" s="35"/>
      <c r="L505" s="133" t="s">
        <v>592</v>
      </c>
      <c r="M505" s="337">
        <f t="shared" si="273"/>
        <v>0.8</v>
      </c>
      <c r="N505" s="338">
        <v>76</v>
      </c>
      <c r="O505" s="338">
        <v>54.72</v>
      </c>
      <c r="P505" s="339">
        <f t="shared" si="269"/>
        <v>7.38704413501311E-2</v>
      </c>
      <c r="Q505" s="55">
        <v>95</v>
      </c>
      <c r="R505" s="90" t="s">
        <v>524</v>
      </c>
      <c r="S505" s="5" t="s">
        <v>163</v>
      </c>
      <c r="T505" s="403" t="s">
        <v>163</v>
      </c>
      <c r="U505" s="65"/>
      <c r="V505" s="5">
        <v>207000</v>
      </c>
      <c r="W505" s="5">
        <v>340</v>
      </c>
      <c r="X505" s="5"/>
      <c r="Z505" s="882"/>
      <c r="AA505" s="35"/>
      <c r="AB505" s="871"/>
      <c r="AC505" s="380" t="s">
        <v>524</v>
      </c>
      <c r="AD505" s="882"/>
      <c r="AE505" s="908"/>
      <c r="AF505" s="871"/>
      <c r="AK505" s="35"/>
      <c r="AL505" s="9"/>
      <c r="AM505" s="46"/>
      <c r="AN505" s="554">
        <v>302</v>
      </c>
      <c r="AO505" s="554">
        <f t="shared" si="270"/>
        <v>0.88823529411764701</v>
      </c>
      <c r="AP505" s="599"/>
      <c r="AQ505" s="599">
        <f t="shared" si="271"/>
        <v>0.50775797138340706</v>
      </c>
      <c r="AR505" s="599">
        <f t="shared" si="265"/>
        <v>1318.7589396046537</v>
      </c>
      <c r="AT505" s="274">
        <f t="shared" si="272"/>
        <v>0.22900318695889604</v>
      </c>
      <c r="AU505" s="30">
        <f t="shared" si="252"/>
        <v>0.88823529411764701</v>
      </c>
      <c r="AZ505" s="543">
        <v>1985</v>
      </c>
      <c r="BA505" s="293"/>
    </row>
    <row r="506" spans="2:53" ht="16.5" thickBot="1">
      <c r="B506" s="992"/>
      <c r="C506" s="872"/>
      <c r="D506" s="872"/>
      <c r="E506" s="928"/>
      <c r="F506" s="872"/>
      <c r="G506" s="872"/>
      <c r="H506" s="872"/>
      <c r="I506" s="872"/>
      <c r="J506" s="223"/>
      <c r="K506" s="36"/>
      <c r="L506" s="134" t="s">
        <v>375</v>
      </c>
      <c r="M506" s="140">
        <f t="shared" si="273"/>
        <v>0.76</v>
      </c>
      <c r="N506" s="135">
        <v>76</v>
      </c>
      <c r="O506" s="135">
        <v>110.2</v>
      </c>
      <c r="P506" s="111">
        <f t="shared" si="269"/>
        <v>0.14499999999999999</v>
      </c>
      <c r="Q506" s="238">
        <v>100</v>
      </c>
      <c r="R506" s="91" t="s">
        <v>524</v>
      </c>
      <c r="S506" s="18" t="s">
        <v>163</v>
      </c>
      <c r="T506" s="492" t="s">
        <v>163</v>
      </c>
      <c r="U506" s="89"/>
      <c r="V506" s="18">
        <v>207000</v>
      </c>
      <c r="W506" s="18">
        <v>340</v>
      </c>
      <c r="X506" s="18"/>
      <c r="Y506" s="173"/>
      <c r="Z506" s="883"/>
      <c r="AA506" s="36"/>
      <c r="AB506" s="872"/>
      <c r="AC506" s="381" t="s">
        <v>524</v>
      </c>
      <c r="AD506" s="883"/>
      <c r="AE506" s="909"/>
      <c r="AF506" s="872"/>
      <c r="AG506" s="18"/>
      <c r="AH506" s="18"/>
      <c r="AI506" s="18"/>
      <c r="AJ506" s="31"/>
      <c r="AK506" s="36"/>
      <c r="AL506" s="126"/>
      <c r="AM506" s="50"/>
      <c r="AN506" s="556">
        <v>290</v>
      </c>
      <c r="AO506" s="556">
        <f>AN506/W506</f>
        <v>0.8529411764705882</v>
      </c>
      <c r="AP506" s="604"/>
      <c r="AQ506" s="604">
        <f t="shared" si="271"/>
        <v>0.52094868673804884</v>
      </c>
      <c r="AR506" s="604">
        <f t="shared" si="265"/>
        <v>1252.820992624421</v>
      </c>
      <c r="AS506" s="577"/>
      <c r="AT506" s="275">
        <f t="shared" si="272"/>
        <v>0.23147760271202458</v>
      </c>
      <c r="AU506" s="31">
        <f t="shared" si="252"/>
        <v>0.8529411764705882</v>
      </c>
      <c r="AV506" s="91"/>
      <c r="AW506" s="18"/>
      <c r="AX506" s="31"/>
      <c r="AY506" s="286"/>
      <c r="AZ506" s="543">
        <v>1985</v>
      </c>
      <c r="BA506" s="295"/>
    </row>
    <row r="507" spans="2:53" ht="94.5">
      <c r="B507" s="990">
        <v>30</v>
      </c>
      <c r="C507" s="870" t="s">
        <v>595</v>
      </c>
      <c r="D507" s="895" t="s">
        <v>596</v>
      </c>
      <c r="E507" s="898">
        <v>1909</v>
      </c>
      <c r="F507" s="870"/>
      <c r="G507" s="870" t="s">
        <v>597</v>
      </c>
      <c r="H507" s="870" t="s">
        <v>598</v>
      </c>
      <c r="I507" s="910" t="s">
        <v>594</v>
      </c>
      <c r="J507" s="222"/>
      <c r="K507" s="34"/>
      <c r="L507" s="449" t="s">
        <v>599</v>
      </c>
      <c r="M507" s="149">
        <f>CONVERT(0.08,"in","mm")</f>
        <v>2.032</v>
      </c>
      <c r="N507" s="73">
        <f>CONVERT(3,"in","mm")</f>
        <v>76.2</v>
      </c>
      <c r="O507" s="73">
        <f>CONVERT(3,"in","mm")</f>
        <v>76.2</v>
      </c>
      <c r="P507" s="108">
        <f t="shared" si="269"/>
        <v>0.16329931618554519</v>
      </c>
      <c r="Q507" s="57">
        <f>N507/M507</f>
        <v>37.5</v>
      </c>
      <c r="R507" s="34"/>
      <c r="S507" s="865" t="s">
        <v>600</v>
      </c>
      <c r="T507" s="859" t="s">
        <v>163</v>
      </c>
      <c r="U507" s="72"/>
      <c r="V507" s="48">
        <f>CONVERT(29.2*10^6,"psi","Pa")/10^6</f>
        <v>201326.91296051617</v>
      </c>
      <c r="W507" s="48">
        <f>CONVERT(13.72*2000,"psi","Pa")/10^6</f>
        <v>189.19214012453986</v>
      </c>
      <c r="X507" s="15"/>
      <c r="Y507" s="865"/>
      <c r="Z507" s="29"/>
      <c r="AA507" s="34"/>
      <c r="AB507" s="859" t="s">
        <v>1017</v>
      </c>
      <c r="AC507" s="859" t="s">
        <v>749</v>
      </c>
      <c r="AD507" s="29"/>
      <c r="AE507" s="34"/>
      <c r="AF507" s="464" t="s">
        <v>601</v>
      </c>
      <c r="AG507" s="464" t="s">
        <v>602</v>
      </c>
      <c r="AH507" s="14"/>
      <c r="AI507" s="14"/>
      <c r="AJ507" s="106"/>
      <c r="AK507" s="34"/>
      <c r="AL507" s="490" t="s">
        <v>603</v>
      </c>
      <c r="AM507" s="47"/>
      <c r="AN507" s="20">
        <f>CONVERT(18.8*2000,"psi","Pa")/10^6</f>
        <v>259.2428742231304</v>
      </c>
      <c r="AO507" s="20">
        <f t="shared" si="270"/>
        <v>1.3702623906705538</v>
      </c>
      <c r="AP507" s="20"/>
      <c r="AQ507" s="637">
        <f t="shared" si="271"/>
        <v>0.24129977859268206</v>
      </c>
      <c r="AR507" s="20">
        <f t="shared" si="265"/>
        <v>3249.2957544245319</v>
      </c>
      <c r="AS507" s="547"/>
      <c r="AT507" s="681">
        <f t="shared" si="272"/>
        <v>7.9784326763767843E-2</v>
      </c>
      <c r="AU507" s="29">
        <f t="shared" ref="AU507:AU564" si="274">MAX(AO507:AP507)</f>
        <v>1.3702623906705538</v>
      </c>
      <c r="AV507" s="128"/>
      <c r="AW507" s="15"/>
      <c r="AX507" s="478" t="s">
        <v>604</v>
      </c>
      <c r="AY507" s="128"/>
      <c r="AZ507" s="765">
        <v>1909</v>
      </c>
      <c r="BA507" s="292"/>
    </row>
    <row r="508" spans="2:53">
      <c r="B508" s="991"/>
      <c r="C508" s="871"/>
      <c r="D508" s="896"/>
      <c r="E508" s="899"/>
      <c r="F508" s="871"/>
      <c r="G508" s="871"/>
      <c r="H508" s="871"/>
      <c r="I508" s="917"/>
      <c r="J508" s="221"/>
      <c r="K508" s="35"/>
      <c r="L508" s="451" t="s">
        <v>605</v>
      </c>
      <c r="M508" s="147">
        <f t="shared" ref="M508:M520" si="275">CONVERT(0.08,"in","mm")</f>
        <v>2.032</v>
      </c>
      <c r="N508" s="66">
        <f t="shared" ref="N508:N520" si="276">CONVERT(3,"in","mm")</f>
        <v>76.2</v>
      </c>
      <c r="O508" s="66">
        <f>CONVERT(4,"in","mm")</f>
        <v>101.6</v>
      </c>
      <c r="P508" s="41">
        <f t="shared" ref="P508:P512" si="277">O508/N508*SQRT(M508/N508)</f>
        <v>0.21773242158072692</v>
      </c>
      <c r="Q508" s="55">
        <f t="shared" ref="Q508:Q512" si="278">N508/M508</f>
        <v>37.5</v>
      </c>
      <c r="R508" s="35"/>
      <c r="S508" s="863"/>
      <c r="T508" s="860" t="s">
        <v>163</v>
      </c>
      <c r="U508" s="65"/>
      <c r="V508" s="49">
        <f t="shared" ref="V508:V520" si="279">CONVERT(29.2*10^6,"psi","Pa")/10^6</f>
        <v>201326.91296051617</v>
      </c>
      <c r="W508" s="49">
        <f>CONVERT(15.5*2000,"psi","Pa")/10^6</f>
        <v>213.73747608821924</v>
      </c>
      <c r="X508" s="863"/>
      <c r="Y508" s="863"/>
      <c r="AA508" s="35"/>
      <c r="AC508" s="860" t="s">
        <v>749</v>
      </c>
      <c r="AE508" s="35"/>
      <c r="AK508" s="35"/>
      <c r="AM508" s="46"/>
      <c r="AN508" s="554">
        <f>CONVERT(20.1*2000,"psi","Pa")/10^6</f>
        <v>277.16924318536815</v>
      </c>
      <c r="AO508" s="554">
        <f t="shared" si="270"/>
        <v>1.296774193548387</v>
      </c>
      <c r="AQ508" s="638">
        <f t="shared" si="271"/>
        <v>0.25647540059121776</v>
      </c>
      <c r="AR508" s="554">
        <f t="shared" ref="AR508:AR520" si="280">V508*M508/N508/SQRT(3*(1-0.3^2))</f>
        <v>3249.2957544245319</v>
      </c>
      <c r="AT508" s="274">
        <f t="shared" si="272"/>
        <v>8.5301328082539027E-2</v>
      </c>
      <c r="AU508" s="30">
        <f t="shared" si="274"/>
        <v>1.296774193548387</v>
      </c>
      <c r="AY508" s="90"/>
      <c r="AZ508" s="543">
        <v>1909</v>
      </c>
      <c r="BA508" s="293"/>
    </row>
    <row r="509" spans="2:53">
      <c r="B509" s="991"/>
      <c r="C509" s="871"/>
      <c r="D509" s="896"/>
      <c r="E509" s="899"/>
      <c r="F509" s="871"/>
      <c r="G509" s="871"/>
      <c r="H509" s="871"/>
      <c r="I509" s="917"/>
      <c r="J509" s="221"/>
      <c r="K509" s="35"/>
      <c r="L509" s="451" t="s">
        <v>606</v>
      </c>
      <c r="M509" s="147">
        <f t="shared" si="275"/>
        <v>2.032</v>
      </c>
      <c r="N509" s="66">
        <f t="shared" si="276"/>
        <v>76.2</v>
      </c>
      <c r="O509" s="66">
        <f>CONVERT(7,"in","mm")</f>
        <v>177.8</v>
      </c>
      <c r="P509" s="41">
        <f t="shared" si="277"/>
        <v>0.38103173776627214</v>
      </c>
      <c r="Q509" s="55">
        <f t="shared" si="278"/>
        <v>37.5</v>
      </c>
      <c r="R509" s="35"/>
      <c r="S509" s="863"/>
      <c r="T509" s="860" t="s">
        <v>163</v>
      </c>
      <c r="U509" s="65"/>
      <c r="V509" s="49">
        <f t="shared" si="279"/>
        <v>201326.91296051617</v>
      </c>
      <c r="W509" s="49">
        <f>CONVERT(16.35*2000,"psi","Pa")/10^6</f>
        <v>225.45856348660547</v>
      </c>
      <c r="X509" s="863"/>
      <c r="Y509" s="863"/>
      <c r="AA509" s="35"/>
      <c r="AC509" s="860" t="s">
        <v>749</v>
      </c>
      <c r="AE509" s="35"/>
      <c r="AK509" s="35"/>
      <c r="AM509" s="46"/>
      <c r="AN509" s="554">
        <f>CONVERT(18.9*2000,"psi","Pa")/10^6</f>
        <v>260.62182568176405</v>
      </c>
      <c r="AO509" s="554">
        <f t="shared" si="270"/>
        <v>1.1559633027522933</v>
      </c>
      <c r="AQ509" s="638">
        <f t="shared" si="271"/>
        <v>0.26341393509354877</v>
      </c>
      <c r="AR509" s="554">
        <f t="shared" si="280"/>
        <v>3249.2957544245319</v>
      </c>
      <c r="AT509" s="274">
        <f t="shared" si="272"/>
        <v>8.0208711480596384E-2</v>
      </c>
      <c r="AU509" s="30">
        <f t="shared" si="274"/>
        <v>1.1559633027522933</v>
      </c>
      <c r="AY509" s="90"/>
      <c r="AZ509" s="543">
        <v>1909</v>
      </c>
      <c r="BA509" s="293"/>
    </row>
    <row r="510" spans="2:53">
      <c r="B510" s="991"/>
      <c r="C510" s="871"/>
      <c r="D510" s="896"/>
      <c r="E510" s="899"/>
      <c r="F510" s="871"/>
      <c r="G510" s="871"/>
      <c r="H510" s="871"/>
      <c r="I510" s="917"/>
      <c r="J510" s="221"/>
      <c r="K510" s="35"/>
      <c r="L510" s="451" t="s">
        <v>607</v>
      </c>
      <c r="M510" s="147">
        <f t="shared" si="275"/>
        <v>2.032</v>
      </c>
      <c r="N510" s="66">
        <f t="shared" si="276"/>
        <v>76.2</v>
      </c>
      <c r="O510" s="66">
        <f>CONVERT(4,"in","mm")</f>
        <v>101.6</v>
      </c>
      <c r="P510" s="41">
        <f t="shared" si="277"/>
        <v>0.21773242158072692</v>
      </c>
      <c r="Q510" s="55">
        <f t="shared" si="278"/>
        <v>37.5</v>
      </c>
      <c r="R510" s="35"/>
      <c r="S510" s="863"/>
      <c r="T510" s="860" t="s">
        <v>163</v>
      </c>
      <c r="U510" s="65"/>
      <c r="V510" s="49">
        <f t="shared" si="279"/>
        <v>201326.91296051617</v>
      </c>
      <c r="W510" s="49">
        <f>CONVERT(12.25*2000,"psi","Pa")/10^6</f>
        <v>168.92155368262485</v>
      </c>
      <c r="X510" s="863"/>
      <c r="Y510" s="863"/>
      <c r="AA510" s="35"/>
      <c r="AC510" s="860" t="s">
        <v>749</v>
      </c>
      <c r="AE510" s="35"/>
      <c r="AK510" s="35"/>
      <c r="AM510" s="46"/>
      <c r="AN510" s="554">
        <f>CONVERT(18.95*2000,"psi","Pa")/10^6</f>
        <v>261.31130141108088</v>
      </c>
      <c r="AO510" s="554">
        <f t="shared" si="270"/>
        <v>1.546938775510204</v>
      </c>
      <c r="AQ510" s="638">
        <f t="shared" si="271"/>
        <v>0.22800685913256571</v>
      </c>
      <c r="AR510" s="554">
        <f t="shared" si="280"/>
        <v>3249.2957544245319</v>
      </c>
      <c r="AT510" s="274">
        <f t="shared" si="272"/>
        <v>8.0420903839010655E-2</v>
      </c>
      <c r="AU510" s="30">
        <f t="shared" si="274"/>
        <v>1.546938775510204</v>
      </c>
      <c r="AY510" s="90"/>
      <c r="AZ510" s="543">
        <v>1909</v>
      </c>
      <c r="BA510" s="293"/>
    </row>
    <row r="511" spans="2:53">
      <c r="B511" s="991"/>
      <c r="C511" s="871"/>
      <c r="D511" s="896"/>
      <c r="E511" s="899"/>
      <c r="F511" s="871"/>
      <c r="G511" s="871"/>
      <c r="H511" s="871"/>
      <c r="I511" s="917"/>
      <c r="J511" s="221"/>
      <c r="K511" s="35"/>
      <c r="L511" s="451" t="s">
        <v>608</v>
      </c>
      <c r="M511" s="147">
        <f t="shared" si="275"/>
        <v>2.032</v>
      </c>
      <c r="N511" s="66">
        <f t="shared" si="276"/>
        <v>76.2</v>
      </c>
      <c r="O511" s="66">
        <f>CONVERT(7,"in","mm")</f>
        <v>177.8</v>
      </c>
      <c r="P511" s="41">
        <f t="shared" si="277"/>
        <v>0.38103173776627214</v>
      </c>
      <c r="Q511" s="55">
        <f t="shared" si="278"/>
        <v>37.5</v>
      </c>
      <c r="R511" s="35"/>
      <c r="S511" s="863"/>
      <c r="T511" s="860" t="s">
        <v>163</v>
      </c>
      <c r="U511" s="65"/>
      <c r="V511" s="49">
        <f t="shared" si="279"/>
        <v>201326.91296051617</v>
      </c>
      <c r="W511" s="49">
        <f>CONVERT(15.8*2000,"psi","Pa")/10^6</f>
        <v>217.87433046412025</v>
      </c>
      <c r="X511" s="863"/>
      <c r="Y511" s="863"/>
      <c r="AA511" s="35"/>
      <c r="AC511" s="860" t="s">
        <v>749</v>
      </c>
      <c r="AE511" s="35"/>
      <c r="AK511" s="35"/>
      <c r="AM511" s="46"/>
      <c r="AN511" s="554">
        <f>CONVERT(19.3*2000,"psi","Pa")/10^6</f>
        <v>266.13763151629877</v>
      </c>
      <c r="AO511" s="554">
        <f t="shared" si="270"/>
        <v>1.221518987341772</v>
      </c>
      <c r="AQ511" s="638">
        <f t="shared" si="271"/>
        <v>0.25894552565918427</v>
      </c>
      <c r="AR511" s="554">
        <f t="shared" si="280"/>
        <v>3249.2957544245319</v>
      </c>
      <c r="AT511" s="274">
        <f t="shared" si="272"/>
        <v>8.1906250347910603E-2</v>
      </c>
      <c r="AU511" s="30">
        <f t="shared" si="274"/>
        <v>1.221518987341772</v>
      </c>
      <c r="AY511" s="90"/>
      <c r="AZ511" s="543">
        <v>1909</v>
      </c>
      <c r="BA511" s="293"/>
    </row>
    <row r="512" spans="2:53">
      <c r="B512" s="991"/>
      <c r="C512" s="871"/>
      <c r="D512" s="896"/>
      <c r="E512" s="899"/>
      <c r="F512" s="871"/>
      <c r="G512" s="871"/>
      <c r="H512" s="871"/>
      <c r="I512" s="917"/>
      <c r="J512" s="221"/>
      <c r="K512" s="35"/>
      <c r="L512" s="451" t="s">
        <v>609</v>
      </c>
      <c r="M512" s="147">
        <f t="shared" si="275"/>
        <v>2.032</v>
      </c>
      <c r="N512" s="66">
        <f t="shared" si="276"/>
        <v>76.2</v>
      </c>
      <c r="O512" s="66">
        <f>CONVERT(4.25,"in","mm")</f>
        <v>107.95</v>
      </c>
      <c r="P512" s="41">
        <f t="shared" si="277"/>
        <v>0.23134069792952236</v>
      </c>
      <c r="Q512" s="55">
        <f t="shared" si="278"/>
        <v>37.5</v>
      </c>
      <c r="R512" s="35"/>
      <c r="S512" s="863"/>
      <c r="T512" s="860" t="s">
        <v>163</v>
      </c>
      <c r="U512" s="65"/>
      <c r="V512" s="49">
        <f t="shared" si="279"/>
        <v>201326.91296051617</v>
      </c>
      <c r="W512" s="49">
        <f>CONVERT(11.03*2000,"psi","Pa")/10^6</f>
        <v>152.09834588729404</v>
      </c>
      <c r="X512" s="863"/>
      <c r="Y512" s="863"/>
      <c r="AA512" s="35"/>
      <c r="AC512" s="860" t="s">
        <v>749</v>
      </c>
      <c r="AE512" s="35"/>
      <c r="AK512" s="35"/>
      <c r="AM512" s="46"/>
      <c r="AN512" s="554">
        <f>CONVERT(16.25*2000,"psi","Pa")/10^6</f>
        <v>224.07961202797173</v>
      </c>
      <c r="AO512" s="554">
        <f t="shared" si="270"/>
        <v>1.4732547597461469</v>
      </c>
      <c r="AQ512" s="638">
        <f t="shared" si="271"/>
        <v>0.21635534258758049</v>
      </c>
      <c r="AR512" s="554">
        <f t="shared" si="280"/>
        <v>3249.2957544245319</v>
      </c>
      <c r="AT512" s="274">
        <f t="shared" si="272"/>
        <v>6.8962516484639746E-2</v>
      </c>
      <c r="AU512" s="30">
        <f t="shared" si="274"/>
        <v>1.4732547597461469</v>
      </c>
      <c r="AY512" s="90"/>
      <c r="AZ512" s="543">
        <v>1909</v>
      </c>
      <c r="BA512" s="293"/>
    </row>
    <row r="513" spans="2:53">
      <c r="B513" s="991"/>
      <c r="C513" s="871"/>
      <c r="D513" s="896"/>
      <c r="E513" s="899"/>
      <c r="F513" s="871"/>
      <c r="G513" s="871"/>
      <c r="H513" s="871"/>
      <c r="I513" s="917"/>
      <c r="J513" s="221"/>
      <c r="K513" s="35"/>
      <c r="L513" s="532" t="s">
        <v>610</v>
      </c>
      <c r="M513" s="147">
        <f t="shared" si="275"/>
        <v>2.032</v>
      </c>
      <c r="N513" s="66">
        <f t="shared" si="276"/>
        <v>76.2</v>
      </c>
      <c r="O513" s="66">
        <f>CONVERT(4,"in","mm")</f>
        <v>101.6</v>
      </c>
      <c r="P513" s="41">
        <f t="shared" ref="P513" si="281">O513/N513*SQRT(M513/N513)</f>
        <v>0.21773242158072692</v>
      </c>
      <c r="Q513" s="55">
        <f t="shared" ref="Q513" si="282">N513/M513</f>
        <v>37.5</v>
      </c>
      <c r="R513" s="35"/>
      <c r="S513" s="863"/>
      <c r="T513" s="860" t="s">
        <v>163</v>
      </c>
      <c r="U513" s="65"/>
      <c r="V513" s="49">
        <f t="shared" si="279"/>
        <v>201326.91296051617</v>
      </c>
      <c r="W513" s="49">
        <f>CONVERT(11.05*2000,"psi","Pa")/10^6</f>
        <v>152.37413617902078</v>
      </c>
      <c r="X513" s="863"/>
      <c r="Y513" s="863"/>
      <c r="AA513" s="35"/>
      <c r="AC513" s="860" t="s">
        <v>749</v>
      </c>
      <c r="AE513" s="35"/>
      <c r="AK513" s="35"/>
      <c r="AM513" s="46"/>
      <c r="AN513" s="554">
        <f>CONVERT(17.55*2000,"psi","Pa")/10^6</f>
        <v>242.00598099020948</v>
      </c>
      <c r="AO513" s="554">
        <f t="shared" si="270"/>
        <v>1.5882352941176472</v>
      </c>
      <c r="AQ513" s="638">
        <f t="shared" si="271"/>
        <v>0.21655140546658899</v>
      </c>
      <c r="AR513" s="554">
        <f t="shared" si="280"/>
        <v>3249.2957544245319</v>
      </c>
      <c r="AT513" s="274">
        <f t="shared" si="272"/>
        <v>7.447951780341093E-2</v>
      </c>
      <c r="AU513" s="30">
        <f t="shared" si="274"/>
        <v>1.5882352941176472</v>
      </c>
      <c r="AY513" s="90"/>
      <c r="AZ513" s="543">
        <v>1909</v>
      </c>
      <c r="BA513" s="293"/>
    </row>
    <row r="514" spans="2:53">
      <c r="B514" s="991"/>
      <c r="C514" s="871"/>
      <c r="D514" s="896"/>
      <c r="E514" s="899"/>
      <c r="F514" s="871"/>
      <c r="G514" s="871"/>
      <c r="H514" s="871"/>
      <c r="I514" s="917"/>
      <c r="J514" s="221"/>
      <c r="K514" s="35"/>
      <c r="L514" s="451" t="s">
        <v>611</v>
      </c>
      <c r="M514" s="147">
        <f>CONVERT(0.127,"in","mm")</f>
        <v>3.2258</v>
      </c>
      <c r="N514" s="66">
        <f>CONVERT(2.75,"in","mm")</f>
        <v>69.849999999999994</v>
      </c>
      <c r="O514" s="66">
        <f>CONVERT(4.5,"in","mm")</f>
        <v>114.3</v>
      </c>
      <c r="P514" s="41">
        <f t="shared" ref="P514:P515" si="283">O514/N514*SQRT(M514/N514)</f>
        <v>0.35165381515062866</v>
      </c>
      <c r="Q514" s="55">
        <f t="shared" ref="Q514:Q515" si="284">N514/M514</f>
        <v>21.653543307086611</v>
      </c>
      <c r="R514" s="35"/>
      <c r="S514" s="863"/>
      <c r="T514" s="860" t="s">
        <v>163</v>
      </c>
      <c r="U514" s="65"/>
      <c r="V514" s="49">
        <f t="shared" si="279"/>
        <v>201326.91296051617</v>
      </c>
      <c r="W514" s="49">
        <f>CONVERT(16.3*2000,"psi","Pa")/10^6</f>
        <v>224.76908775728862</v>
      </c>
      <c r="X514" s="863"/>
      <c r="Y514" s="863"/>
      <c r="AA514" s="35"/>
      <c r="AC514" s="860" t="s">
        <v>749</v>
      </c>
      <c r="AE514" s="35"/>
      <c r="AK514" s="35"/>
      <c r="AM514" s="46"/>
      <c r="AN514" s="554">
        <f>CONVERT(24.8*2000,"psi","Pa")/10^6</f>
        <v>341.97996174115076</v>
      </c>
      <c r="AO514" s="554">
        <f t="shared" si="270"/>
        <v>1.5214723926380367</v>
      </c>
      <c r="AQ514" s="638">
        <f t="shared" si="271"/>
        <v>0.1998584534906761</v>
      </c>
      <c r="AR514" s="554">
        <f t="shared" si="280"/>
        <v>5627.1894656170307</v>
      </c>
      <c r="AT514" s="274">
        <f t="shared" si="272"/>
        <v>6.077278254636697E-2</v>
      </c>
      <c r="AU514" s="30">
        <f t="shared" si="274"/>
        <v>1.5214723926380367</v>
      </c>
      <c r="AY514" s="90"/>
      <c r="AZ514" s="543">
        <v>1909</v>
      </c>
      <c r="BA514" s="293"/>
    </row>
    <row r="515" spans="2:53">
      <c r="B515" s="991"/>
      <c r="C515" s="871"/>
      <c r="D515" s="896"/>
      <c r="E515" s="899"/>
      <c r="F515" s="871"/>
      <c r="G515" s="871"/>
      <c r="H515" s="871"/>
      <c r="I515" s="917"/>
      <c r="J515" s="221"/>
      <c r="K515" s="35"/>
      <c r="L515" s="451" t="s">
        <v>612</v>
      </c>
      <c r="M515" s="147">
        <f t="shared" si="275"/>
        <v>2.032</v>
      </c>
      <c r="N515" s="66">
        <f t="shared" si="276"/>
        <v>76.2</v>
      </c>
      <c r="O515" s="66">
        <f>CONVERT(4,"in","mm")</f>
        <v>101.6</v>
      </c>
      <c r="P515" s="41">
        <f t="shared" si="283"/>
        <v>0.21773242158072692</v>
      </c>
      <c r="Q515" s="55">
        <f t="shared" si="284"/>
        <v>37.5</v>
      </c>
      <c r="R515" s="35"/>
      <c r="S515" s="863"/>
      <c r="T515" s="860" t="s">
        <v>163</v>
      </c>
      <c r="U515" s="65"/>
      <c r="V515" s="49">
        <f t="shared" si="279"/>
        <v>201326.91296051617</v>
      </c>
      <c r="W515" s="49">
        <f>CONVERT(19.1*2000,"psi","Pa")/10^6</f>
        <v>263.37972859903141</v>
      </c>
      <c r="X515" s="863"/>
      <c r="Y515" s="863"/>
      <c r="AA515" s="35"/>
      <c r="AC515" s="860" t="s">
        <v>749</v>
      </c>
      <c r="AE515" s="35"/>
      <c r="AK515" s="35"/>
      <c r="AM515" s="46"/>
      <c r="AN515" s="554">
        <f>CONVERT(23*2000,"psi","Pa")/10^6</f>
        <v>317.15883548574465</v>
      </c>
      <c r="AO515" s="554">
        <f t="shared" si="270"/>
        <v>1.2041884816753927</v>
      </c>
      <c r="AQ515" s="638">
        <f t="shared" si="271"/>
        <v>0.28470595517876596</v>
      </c>
      <c r="AR515" s="554">
        <f t="shared" si="280"/>
        <v>3249.2957544245319</v>
      </c>
      <c r="AT515" s="274">
        <f t="shared" si="272"/>
        <v>9.7608484870567044E-2</v>
      </c>
      <c r="AU515" s="30">
        <f t="shared" si="274"/>
        <v>1.2041884816753927</v>
      </c>
      <c r="AY515" s="90"/>
      <c r="AZ515" s="543">
        <v>1909</v>
      </c>
      <c r="BA515" s="293"/>
    </row>
    <row r="516" spans="2:53">
      <c r="B516" s="991"/>
      <c r="C516" s="871"/>
      <c r="D516" s="896"/>
      <c r="E516" s="899"/>
      <c r="F516" s="871"/>
      <c r="G516" s="871"/>
      <c r="H516" s="871"/>
      <c r="I516" s="917"/>
      <c r="J516" s="221"/>
      <c r="K516" s="35"/>
      <c r="L516" s="451" t="s">
        <v>613</v>
      </c>
      <c r="M516" s="147">
        <f t="shared" si="275"/>
        <v>2.032</v>
      </c>
      <c r="N516" s="66">
        <f t="shared" si="276"/>
        <v>76.2</v>
      </c>
      <c r="O516" s="66">
        <f>CONVERT(2,"in","mm")</f>
        <v>50.8</v>
      </c>
      <c r="P516" s="41">
        <f t="shared" ref="P516:P517" si="285">O516/N516*SQRT(M516/N516)</f>
        <v>0.10886621079036346</v>
      </c>
      <c r="Q516" s="55">
        <f t="shared" ref="Q516:Q517" si="286">N516/M516</f>
        <v>37.5</v>
      </c>
      <c r="R516" s="35"/>
      <c r="S516" s="863"/>
      <c r="T516" s="860" t="s">
        <v>163</v>
      </c>
      <c r="U516" s="65"/>
      <c r="V516" s="49">
        <f t="shared" si="279"/>
        <v>201326.91296051617</v>
      </c>
      <c r="W516" s="49">
        <f>CONVERT(17.3*2000,"psi","Pa")/10^6</f>
        <v>238.5586023436253</v>
      </c>
      <c r="X516" s="863"/>
      <c r="Y516" s="863"/>
      <c r="AA516" s="35"/>
      <c r="AC516" s="860" t="s">
        <v>749</v>
      </c>
      <c r="AE516" s="35"/>
      <c r="AK516" s="35"/>
      <c r="AM516" s="46"/>
      <c r="AN516" s="554">
        <f>CONVERT(22.8*2000,"psi","Pa")/10^6</f>
        <v>314.40093256847729</v>
      </c>
      <c r="AO516" s="554">
        <f t="shared" si="270"/>
        <v>1.3179190751445087</v>
      </c>
      <c r="AQ516" s="638">
        <f t="shared" si="271"/>
        <v>0.27095858726259175</v>
      </c>
      <c r="AR516" s="554">
        <f t="shared" si="280"/>
        <v>3249.2957544245319</v>
      </c>
      <c r="AT516" s="274">
        <f t="shared" si="272"/>
        <v>9.6759715436909935E-2</v>
      </c>
      <c r="AU516" s="30">
        <f t="shared" si="274"/>
        <v>1.3179190751445087</v>
      </c>
      <c r="AY516" s="90"/>
      <c r="AZ516" s="543">
        <v>1909</v>
      </c>
      <c r="BA516" s="293"/>
    </row>
    <row r="517" spans="2:53">
      <c r="B517" s="991"/>
      <c r="C517" s="871"/>
      <c r="D517" s="896"/>
      <c r="E517" s="899"/>
      <c r="F517" s="871"/>
      <c r="G517" s="871"/>
      <c r="H517" s="871"/>
      <c r="I517" s="917"/>
      <c r="J517" s="221"/>
      <c r="K517" s="35"/>
      <c r="L517" s="451" t="s">
        <v>614</v>
      </c>
      <c r="M517" s="147">
        <f t="shared" si="275"/>
        <v>2.032</v>
      </c>
      <c r="N517" s="66">
        <f t="shared" si="276"/>
        <v>76.2</v>
      </c>
      <c r="O517" s="66">
        <f>CONVERT(3,"in","mm")</f>
        <v>76.2</v>
      </c>
      <c r="P517" s="41">
        <f t="shared" si="285"/>
        <v>0.16329931618554519</v>
      </c>
      <c r="Q517" s="55">
        <f t="shared" si="286"/>
        <v>37.5</v>
      </c>
      <c r="R517" s="35"/>
      <c r="S517" s="863"/>
      <c r="T517" s="860" t="s">
        <v>163</v>
      </c>
      <c r="U517" s="65"/>
      <c r="V517" s="49">
        <f t="shared" si="279"/>
        <v>201326.91296051617</v>
      </c>
      <c r="W517" s="49">
        <f>CONVERT(16.75*2000,"psi","Pa")/10^6</f>
        <v>230.9743693211401</v>
      </c>
      <c r="X517" s="863"/>
      <c r="Y517" s="863"/>
      <c r="AA517" s="35"/>
      <c r="AC517" s="860" t="s">
        <v>749</v>
      </c>
      <c r="AE517" s="35"/>
      <c r="AK517" s="35"/>
      <c r="AM517" s="46"/>
      <c r="AN517" s="554">
        <f>CONVERT(22*2000,"psi","Pa")/10^6</f>
        <v>303.36932089940791</v>
      </c>
      <c r="AO517" s="554">
        <f t="shared" si="270"/>
        <v>1.3134328358208955</v>
      </c>
      <c r="AQ517" s="638">
        <f t="shared" si="271"/>
        <v>0.26661665377238258</v>
      </c>
      <c r="AR517" s="554">
        <f t="shared" si="280"/>
        <v>3249.2957544245319</v>
      </c>
      <c r="AT517" s="274">
        <f t="shared" si="272"/>
        <v>9.3364637702281511E-2</v>
      </c>
      <c r="AU517" s="30">
        <f t="shared" si="274"/>
        <v>1.3134328358208955</v>
      </c>
      <c r="AY517" s="90"/>
      <c r="AZ517" s="543">
        <v>1909</v>
      </c>
      <c r="BA517" s="293"/>
    </row>
    <row r="518" spans="2:53">
      <c r="B518" s="991"/>
      <c r="C518" s="871"/>
      <c r="D518" s="896"/>
      <c r="E518" s="899"/>
      <c r="F518" s="871"/>
      <c r="G518" s="871"/>
      <c r="H518" s="871"/>
      <c r="I518" s="917"/>
      <c r="J518" s="221"/>
      <c r="K518" s="35"/>
      <c r="L518" s="451" t="s">
        <v>615</v>
      </c>
      <c r="M518" s="147">
        <f t="shared" si="275"/>
        <v>2.032</v>
      </c>
      <c r="N518" s="66">
        <f t="shared" si="276"/>
        <v>76.2</v>
      </c>
      <c r="O518" s="66">
        <f>CONVERT(4,"in","mm")</f>
        <v>101.6</v>
      </c>
      <c r="P518" s="41">
        <f t="shared" ref="P518:P519" si="287">O518/N518*SQRT(M518/N518)</f>
        <v>0.21773242158072692</v>
      </c>
      <c r="Q518" s="55">
        <f t="shared" ref="Q518:Q519" si="288">N518/M518</f>
        <v>37.5</v>
      </c>
      <c r="R518" s="35"/>
      <c r="S518" s="863"/>
      <c r="T518" s="860" t="s">
        <v>163</v>
      </c>
      <c r="U518" s="65"/>
      <c r="V518" s="49">
        <f t="shared" si="279"/>
        <v>201326.91296051617</v>
      </c>
      <c r="W518" s="49">
        <f>CONVERT(20.5*2000,"psi","Pa")/10^6</f>
        <v>282.68504901990281</v>
      </c>
      <c r="X518" s="863"/>
      <c r="Y518" s="863"/>
      <c r="AA518" s="35"/>
      <c r="AC518" s="860" t="s">
        <v>749</v>
      </c>
      <c r="AE518" s="35"/>
      <c r="AK518" s="35"/>
      <c r="AM518" s="46"/>
      <c r="AN518" s="554">
        <f>CONVERT(22.1*2000,"psi","Pa")/10^6</f>
        <v>304.74827235804156</v>
      </c>
      <c r="AO518" s="554">
        <f t="shared" si="270"/>
        <v>1.0780487804878049</v>
      </c>
      <c r="AQ518" s="638">
        <f t="shared" si="271"/>
        <v>0.29495570336891813</v>
      </c>
      <c r="AR518" s="554">
        <f t="shared" si="280"/>
        <v>3249.2957544245319</v>
      </c>
      <c r="AT518" s="274">
        <f t="shared" si="272"/>
        <v>9.3789022419110066E-2</v>
      </c>
      <c r="AU518" s="30">
        <f t="shared" si="274"/>
        <v>1.0780487804878049</v>
      </c>
      <c r="AY518" s="90"/>
      <c r="AZ518" s="543">
        <v>1909</v>
      </c>
      <c r="BA518" s="293"/>
    </row>
    <row r="519" spans="2:53">
      <c r="B519" s="991"/>
      <c r="C519" s="871"/>
      <c r="D519" s="896"/>
      <c r="E519" s="899"/>
      <c r="F519" s="871"/>
      <c r="G519" s="871"/>
      <c r="H519" s="871"/>
      <c r="I519" s="917"/>
      <c r="J519" s="221"/>
      <c r="K519" s="35"/>
      <c r="L519" s="451" t="s">
        <v>616</v>
      </c>
      <c r="M519" s="147">
        <f t="shared" si="275"/>
        <v>2.032</v>
      </c>
      <c r="N519" s="66">
        <f t="shared" si="276"/>
        <v>76.2</v>
      </c>
      <c r="O519" s="66">
        <f>CONVERT(4,"in","mm")</f>
        <v>101.6</v>
      </c>
      <c r="P519" s="41">
        <f t="shared" si="287"/>
        <v>0.21773242158072692</v>
      </c>
      <c r="Q519" s="55">
        <f t="shared" si="288"/>
        <v>37.5</v>
      </c>
      <c r="R519" s="35"/>
      <c r="S519" s="863"/>
      <c r="T519" s="860" t="s">
        <v>163</v>
      </c>
      <c r="U519" s="65"/>
      <c r="V519" s="49">
        <f t="shared" si="279"/>
        <v>201326.91296051617</v>
      </c>
      <c r="W519" s="49">
        <f>CONVERT(20.5*2000,"psi","Pa")/10^6</f>
        <v>282.68504901990281</v>
      </c>
      <c r="X519" s="863"/>
      <c r="Y519" s="863"/>
      <c r="AA519" s="35"/>
      <c r="AC519" s="860" t="s">
        <v>749</v>
      </c>
      <c r="AE519" s="35"/>
      <c r="AK519" s="35"/>
      <c r="AM519" s="46"/>
      <c r="AN519" s="554">
        <f>CONVERT(23*2000,"psi","Pa")/10^6</f>
        <v>317.15883548574465</v>
      </c>
      <c r="AO519" s="554">
        <f t="shared" si="270"/>
        <v>1.1219512195121952</v>
      </c>
      <c r="AQ519" s="638">
        <f t="shared" si="271"/>
        <v>0.29495570336891813</v>
      </c>
      <c r="AR519" s="554">
        <f t="shared" si="280"/>
        <v>3249.2957544245319</v>
      </c>
      <c r="AT519" s="274">
        <f t="shared" si="272"/>
        <v>9.7608484870567044E-2</v>
      </c>
      <c r="AU519" s="30">
        <f t="shared" si="274"/>
        <v>1.1219512195121952</v>
      </c>
      <c r="AY519" s="90"/>
      <c r="AZ519" s="543">
        <v>1909</v>
      </c>
      <c r="BA519" s="293"/>
    </row>
    <row r="520" spans="2:53" ht="16.5" thickBot="1">
      <c r="B520" s="992"/>
      <c r="C520" s="872"/>
      <c r="D520" s="897"/>
      <c r="E520" s="900"/>
      <c r="F520" s="872"/>
      <c r="G520" s="872"/>
      <c r="H520" s="872"/>
      <c r="I520" s="918"/>
      <c r="J520" s="223"/>
      <c r="K520" s="36"/>
      <c r="L520" s="453" t="s">
        <v>617</v>
      </c>
      <c r="M520" s="150">
        <f t="shared" si="275"/>
        <v>2.032</v>
      </c>
      <c r="N520" s="135">
        <f t="shared" si="276"/>
        <v>76.2</v>
      </c>
      <c r="O520" s="135">
        <f>CONVERT(6,"in","mm")</f>
        <v>152.4</v>
      </c>
      <c r="P520" s="111">
        <f t="shared" ref="P520" si="289">O520/N520*SQRT(M520/N520)</f>
        <v>0.32659863237109038</v>
      </c>
      <c r="Q520" s="238">
        <f t="shared" ref="Q520" si="290">N520/M520</f>
        <v>37.5</v>
      </c>
      <c r="R520" s="36"/>
      <c r="S520" s="864"/>
      <c r="T520" s="861" t="s">
        <v>163</v>
      </c>
      <c r="U520" s="89"/>
      <c r="V520" s="51">
        <f t="shared" si="279"/>
        <v>201326.91296051617</v>
      </c>
      <c r="W520" s="51">
        <f>CONVERT(17.9*2000,"psi","Pa")/10^6</f>
        <v>246.83231109542734</v>
      </c>
      <c r="X520" s="89"/>
      <c r="Y520" s="864"/>
      <c r="Z520" s="31"/>
      <c r="AA520" s="36"/>
      <c r="AB520" s="18"/>
      <c r="AC520" s="861" t="s">
        <v>749</v>
      </c>
      <c r="AD520" s="31"/>
      <c r="AE520" s="36"/>
      <c r="AF520" s="18"/>
      <c r="AG520" s="18"/>
      <c r="AH520" s="18"/>
      <c r="AI520" s="18"/>
      <c r="AJ520" s="31"/>
      <c r="AK520" s="36"/>
      <c r="AL520" s="18"/>
      <c r="AM520" s="50"/>
      <c r="AN520" s="556">
        <f>CONVERT(22.2*2000,"psi","Pa")/10^6</f>
        <v>306.12722381667527</v>
      </c>
      <c r="AO520" s="556">
        <f t="shared" si="270"/>
        <v>1.240223463687151</v>
      </c>
      <c r="AP520" s="556"/>
      <c r="AQ520" s="639">
        <f t="shared" si="271"/>
        <v>0.27561724240749319</v>
      </c>
      <c r="AR520" s="556">
        <f t="shared" si="280"/>
        <v>3249.2957544245319</v>
      </c>
      <c r="AS520" s="577"/>
      <c r="AT520" s="275">
        <f t="shared" si="272"/>
        <v>9.421340713593862E-2</v>
      </c>
      <c r="AU520" s="31">
        <f t="shared" si="274"/>
        <v>1.240223463687151</v>
      </c>
      <c r="AV520" s="91"/>
      <c r="AW520" s="18"/>
      <c r="AX520" s="31"/>
      <c r="AY520" s="91"/>
      <c r="AZ520" s="766">
        <v>1909</v>
      </c>
      <c r="BA520" s="295"/>
    </row>
    <row r="521" spans="2:53" ht="17.100000000000001" customHeight="1">
      <c r="B521" s="990">
        <v>31</v>
      </c>
      <c r="C521" s="870" t="s">
        <v>622</v>
      </c>
      <c r="D521" s="870" t="s">
        <v>623</v>
      </c>
      <c r="E521" s="932">
        <v>1938</v>
      </c>
      <c r="F521" s="870"/>
      <c r="G521" s="870" t="s">
        <v>624</v>
      </c>
      <c r="H521" s="870" t="s">
        <v>625</v>
      </c>
      <c r="I521" s="910" t="s">
        <v>1018</v>
      </c>
      <c r="J521" s="222"/>
      <c r="K521" s="34"/>
      <c r="L521" s="132" t="s">
        <v>626</v>
      </c>
      <c r="M521" s="361">
        <v>1.651</v>
      </c>
      <c r="N521" s="362">
        <v>12.7</v>
      </c>
      <c r="O521" s="362"/>
      <c r="P521" s="22"/>
      <c r="Q521" s="320">
        <v>7.75</v>
      </c>
      <c r="R521" s="34"/>
      <c r="S521" s="870" t="s">
        <v>676</v>
      </c>
      <c r="T521" s="859" t="s">
        <v>163</v>
      </c>
      <c r="U521" s="72"/>
      <c r="V521" s="48">
        <v>205463.766944</v>
      </c>
      <c r="W521" s="48">
        <f>AN521/AO521</f>
        <v>619.04245331205118</v>
      </c>
      <c r="X521" s="15"/>
      <c r="Y521" s="865"/>
      <c r="Z521" s="881" t="s">
        <v>1019</v>
      </c>
      <c r="AA521" s="35"/>
      <c r="AB521" s="871" t="s">
        <v>1020</v>
      </c>
      <c r="AC521" s="380" t="s">
        <v>749</v>
      </c>
      <c r="AD521" s="882" t="s">
        <v>678</v>
      </c>
      <c r="AE521" s="34"/>
      <c r="AF521" s="15"/>
      <c r="AG521" s="15"/>
      <c r="AH521" s="15"/>
      <c r="AI521" s="15"/>
      <c r="AJ521" s="29"/>
      <c r="AK521" s="34"/>
      <c r="AL521" s="870" t="s">
        <v>1021</v>
      </c>
      <c r="AM521" s="47"/>
      <c r="AN521" s="578">
        <v>775.66019400000005</v>
      </c>
      <c r="AO521" s="633">
        <v>1.2529999999999999</v>
      </c>
      <c r="AP521" s="597"/>
      <c r="AQ521" s="578">
        <f t="shared" ref="AQ521:AQ552" si="291">SQRT(1/(AO521/AN521*AR521))</f>
        <v>0.19641927636115525</v>
      </c>
      <c r="AR521" s="597">
        <f t="shared" ref="AR521:AR552" si="292">V521/SQRT(3*(1-0.3^2))/Q521</f>
        <v>16045.461770368383</v>
      </c>
      <c r="AS521" s="547"/>
      <c r="AT521" s="693">
        <f t="shared" si="272"/>
        <v>4.8341406754178563E-2</v>
      </c>
      <c r="AU521" s="662">
        <f t="shared" si="274"/>
        <v>1.2529999999999999</v>
      </c>
      <c r="AV521" s="128"/>
      <c r="AW521" s="870" t="s">
        <v>679</v>
      </c>
      <c r="AX521" s="29"/>
      <c r="AY521" s="907" t="s">
        <v>1022</v>
      </c>
      <c r="AZ521" s="759">
        <v>1938</v>
      </c>
      <c r="BA521" s="292"/>
    </row>
    <row r="522" spans="2:53">
      <c r="B522" s="991"/>
      <c r="C522" s="871"/>
      <c r="D522" s="871"/>
      <c r="E522" s="927"/>
      <c r="F522" s="871"/>
      <c r="G522" s="871"/>
      <c r="H522" s="871"/>
      <c r="I522" s="871"/>
      <c r="J522" s="221"/>
      <c r="K522" s="35"/>
      <c r="L522" s="533" t="s">
        <v>627</v>
      </c>
      <c r="M522" s="363">
        <v>1.651</v>
      </c>
      <c r="N522" s="364">
        <v>12.7</v>
      </c>
      <c r="O522" s="364"/>
      <c r="P522" s="365"/>
      <c r="Q522" s="331">
        <v>7.8</v>
      </c>
      <c r="R522" s="35"/>
      <c r="S522" s="871"/>
      <c r="T522" s="860" t="s">
        <v>163</v>
      </c>
      <c r="U522" s="65"/>
      <c r="V522" s="49">
        <v>205463.766944</v>
      </c>
      <c r="W522" s="49">
        <f t="shared" ref="W522:W570" si="293">AN522/AO522</f>
        <v>619.26658465552907</v>
      </c>
      <c r="X522" s="5"/>
      <c r="Y522" s="863"/>
      <c r="Z522" s="882"/>
      <c r="AA522" s="35"/>
      <c r="AB522" s="871"/>
      <c r="AC522" s="380" t="s">
        <v>749</v>
      </c>
      <c r="AD522" s="882"/>
      <c r="AE522" s="35"/>
      <c r="AK522" s="35"/>
      <c r="AL522" s="871"/>
      <c r="AM522" s="46"/>
      <c r="AN522" s="633">
        <v>778.41809691200001</v>
      </c>
      <c r="AO522" s="633">
        <v>1.2569999999999999</v>
      </c>
      <c r="AP522" s="599"/>
      <c r="AQ522" s="580">
        <f t="shared" si="291"/>
        <v>0.19708753746486549</v>
      </c>
      <c r="AR522" s="599">
        <f t="shared" si="292"/>
        <v>15942.606246199355</v>
      </c>
      <c r="AT522" s="694">
        <f t="shared" ref="AT522:AT553" si="294">AN522/AR522</f>
        <v>4.8826276261923693E-2</v>
      </c>
      <c r="AU522" s="663">
        <f t="shared" si="274"/>
        <v>1.2569999999999999</v>
      </c>
      <c r="AW522" s="871"/>
      <c r="AY522" s="908"/>
      <c r="AZ522" s="760">
        <v>1938</v>
      </c>
      <c r="BA522" s="293"/>
    </row>
    <row r="523" spans="2:53">
      <c r="B523" s="991"/>
      <c r="C523" s="871"/>
      <c r="D523" s="871"/>
      <c r="E523" s="927"/>
      <c r="F523" s="871"/>
      <c r="G523" s="871"/>
      <c r="H523" s="871"/>
      <c r="I523" s="871"/>
      <c r="J523" s="221"/>
      <c r="K523" s="35"/>
      <c r="L523" s="533" t="s">
        <v>628</v>
      </c>
      <c r="M523" s="363">
        <v>1.4732000000000001</v>
      </c>
      <c r="N523" s="364">
        <v>19.049999999999997</v>
      </c>
      <c r="O523" s="364"/>
      <c r="P523" s="365"/>
      <c r="Q523" s="331">
        <v>12</v>
      </c>
      <c r="R523" s="35"/>
      <c r="S523" s="871"/>
      <c r="T523" s="860" t="s">
        <v>163</v>
      </c>
      <c r="U523" s="65"/>
      <c r="V523" s="49">
        <v>205463.766944</v>
      </c>
      <c r="W523" s="49">
        <f t="shared" si="293"/>
        <v>665.78449153127758</v>
      </c>
      <c r="X523" s="5"/>
      <c r="Y523" s="863"/>
      <c r="Z523" s="882"/>
      <c r="AA523" s="35"/>
      <c r="AB523" s="871"/>
      <c r="AC523" s="380" t="s">
        <v>749</v>
      </c>
      <c r="AD523" s="882"/>
      <c r="AE523" s="35"/>
      <c r="AK523" s="35"/>
      <c r="AL523" s="871"/>
      <c r="AM523" s="46"/>
      <c r="AN523" s="633">
        <v>755.66539788800003</v>
      </c>
      <c r="AO523" s="633">
        <v>1.135</v>
      </c>
      <c r="AP523" s="599"/>
      <c r="AQ523" s="580">
        <f t="shared" si="291"/>
        <v>0.25347229616623929</v>
      </c>
      <c r="AR523" s="599">
        <f t="shared" si="292"/>
        <v>10362.69406002958</v>
      </c>
      <c r="AT523" s="694">
        <f t="shared" si="294"/>
        <v>7.2921712588496793E-2</v>
      </c>
      <c r="AU523" s="663">
        <f>MAX(AO523:AP523)</f>
        <v>1.135</v>
      </c>
      <c r="AW523" s="871"/>
      <c r="AY523" s="908"/>
      <c r="AZ523" s="760">
        <v>1938</v>
      </c>
      <c r="BA523" s="293"/>
    </row>
    <row r="524" spans="2:53">
      <c r="B524" s="991"/>
      <c r="C524" s="871"/>
      <c r="D524" s="871"/>
      <c r="E524" s="927"/>
      <c r="F524" s="871"/>
      <c r="G524" s="871"/>
      <c r="H524" s="871"/>
      <c r="I524" s="871"/>
      <c r="J524" s="221"/>
      <c r="K524" s="35"/>
      <c r="L524" s="533" t="s">
        <v>629</v>
      </c>
      <c r="M524" s="363">
        <v>1.4732000000000001</v>
      </c>
      <c r="N524" s="364">
        <v>19.049999999999997</v>
      </c>
      <c r="O524" s="364"/>
      <c r="P524" s="365"/>
      <c r="Q524" s="331">
        <v>12</v>
      </c>
      <c r="R524" s="35"/>
      <c r="S524" s="871"/>
      <c r="T524" s="860" t="s">
        <v>163</v>
      </c>
      <c r="U524" s="65"/>
      <c r="V524" s="49">
        <v>205463.766944</v>
      </c>
      <c r="W524" s="49">
        <f t="shared" si="293"/>
        <v>666.2280991943212</v>
      </c>
      <c r="X524" s="5"/>
      <c r="Y524" s="863"/>
      <c r="Z524" s="882"/>
      <c r="AA524" s="35"/>
      <c r="AB524" s="871"/>
      <c r="AC524" s="380" t="s">
        <v>749</v>
      </c>
      <c r="AD524" s="882"/>
      <c r="AE524" s="35"/>
      <c r="AK524" s="35"/>
      <c r="AL524" s="871"/>
      <c r="AM524" s="46"/>
      <c r="AN524" s="633">
        <v>750.83906779200004</v>
      </c>
      <c r="AO524" s="633">
        <v>1.127</v>
      </c>
      <c r="AP524" s="599"/>
      <c r="AQ524" s="580">
        <f t="shared" si="291"/>
        <v>0.25355672553545666</v>
      </c>
      <c r="AR524" s="599">
        <f t="shared" si="292"/>
        <v>10362.69406002958</v>
      </c>
      <c r="AT524" s="694">
        <f t="shared" si="294"/>
        <v>7.2455971723424287E-2</v>
      </c>
      <c r="AU524" s="663">
        <f t="shared" si="274"/>
        <v>1.127</v>
      </c>
      <c r="AW524" s="871"/>
      <c r="AY524" s="908"/>
      <c r="AZ524" s="760">
        <v>1938</v>
      </c>
      <c r="BA524" s="293"/>
    </row>
    <row r="525" spans="2:53">
      <c r="B525" s="991"/>
      <c r="C525" s="871"/>
      <c r="D525" s="871"/>
      <c r="E525" s="927"/>
      <c r="F525" s="871"/>
      <c r="G525" s="871"/>
      <c r="H525" s="871"/>
      <c r="I525" s="871"/>
      <c r="J525" s="221"/>
      <c r="K525" s="35"/>
      <c r="L525" s="533" t="s">
        <v>630</v>
      </c>
      <c r="M525" s="363">
        <v>1.4732000000000001</v>
      </c>
      <c r="N525" s="364">
        <v>19.049999999999997</v>
      </c>
      <c r="O525" s="364"/>
      <c r="P525" s="365"/>
      <c r="Q525" s="331">
        <v>12.3</v>
      </c>
      <c r="R525" s="35"/>
      <c r="S525" s="871"/>
      <c r="T525" s="860" t="s">
        <v>163</v>
      </c>
      <c r="U525" s="65"/>
      <c r="V525" s="49">
        <v>205463.766944</v>
      </c>
      <c r="W525" s="49">
        <f t="shared" si="293"/>
        <v>631.60457032490967</v>
      </c>
      <c r="X525" s="5"/>
      <c r="Y525" s="863"/>
      <c r="Z525" s="882"/>
      <c r="AA525" s="35"/>
      <c r="AB525" s="871"/>
      <c r="AC525" s="380" t="s">
        <v>749</v>
      </c>
      <c r="AD525" s="882"/>
      <c r="AE525" s="35"/>
      <c r="AK525" s="35"/>
      <c r="AL525" s="871"/>
      <c r="AM525" s="46"/>
      <c r="AN525" s="633">
        <v>699.81786392000004</v>
      </c>
      <c r="AO525" s="633">
        <v>1.1080000000000001</v>
      </c>
      <c r="AP525" s="599"/>
      <c r="AQ525" s="580">
        <f t="shared" si="291"/>
        <v>0.24994717144247963</v>
      </c>
      <c r="AR525" s="599">
        <f t="shared" si="292"/>
        <v>10109.945424419102</v>
      </c>
      <c r="AT525" s="694">
        <f t="shared" si="294"/>
        <v>6.9220736071402708E-2</v>
      </c>
      <c r="AU525" s="663">
        <f t="shared" si="274"/>
        <v>1.1080000000000001</v>
      </c>
      <c r="AW525" s="871"/>
      <c r="AY525" s="908"/>
      <c r="AZ525" s="760">
        <v>1938</v>
      </c>
      <c r="BA525" s="293"/>
    </row>
    <row r="526" spans="2:53">
      <c r="B526" s="991"/>
      <c r="C526" s="871"/>
      <c r="D526" s="871"/>
      <c r="E526" s="927"/>
      <c r="F526" s="871"/>
      <c r="G526" s="871"/>
      <c r="H526" s="871"/>
      <c r="I526" s="871"/>
      <c r="J526" s="221"/>
      <c r="K526" s="35"/>
      <c r="L526" s="533" t="s">
        <v>631</v>
      </c>
      <c r="M526" s="363">
        <v>0.71119999999999994</v>
      </c>
      <c r="N526" s="364">
        <v>12.7</v>
      </c>
      <c r="O526" s="364"/>
      <c r="P526" s="365"/>
      <c r="Q526" s="331">
        <v>17</v>
      </c>
      <c r="R526" s="35"/>
      <c r="S526" s="871"/>
      <c r="T526" s="860" t="s">
        <v>163</v>
      </c>
      <c r="U526" s="65"/>
      <c r="V526" s="49">
        <v>205463.766944</v>
      </c>
      <c r="W526" s="49">
        <f t="shared" si="293"/>
        <v>651.13716733991032</v>
      </c>
      <c r="X526" s="5"/>
      <c r="Y526" s="863"/>
      <c r="Z526" s="882"/>
      <c r="AA526" s="35"/>
      <c r="AB526" s="871"/>
      <c r="AC526" s="380" t="s">
        <v>749</v>
      </c>
      <c r="AD526" s="882"/>
      <c r="AE526" s="35"/>
      <c r="AK526" s="35"/>
      <c r="AL526" s="871"/>
      <c r="AM526" s="46"/>
      <c r="AN526" s="633">
        <v>726.01794158400003</v>
      </c>
      <c r="AO526" s="633">
        <v>1.115</v>
      </c>
      <c r="AP526" s="599"/>
      <c r="AQ526" s="580">
        <f t="shared" si="291"/>
        <v>0.29835528985461507</v>
      </c>
      <c r="AR526" s="599">
        <f t="shared" si="292"/>
        <v>7314.8428659032334</v>
      </c>
      <c r="AT526" s="694">
        <f t="shared" si="294"/>
        <v>9.9252705067417971E-2</v>
      </c>
      <c r="AU526" s="663">
        <f t="shared" si="274"/>
        <v>1.115</v>
      </c>
      <c r="AW526" s="871"/>
      <c r="AY526" s="908"/>
      <c r="AZ526" s="760">
        <v>1938</v>
      </c>
      <c r="BA526" s="293"/>
    </row>
    <row r="527" spans="2:53">
      <c r="B527" s="991"/>
      <c r="C527" s="871"/>
      <c r="D527" s="871"/>
      <c r="E527" s="927"/>
      <c r="F527" s="871"/>
      <c r="G527" s="871"/>
      <c r="H527" s="871"/>
      <c r="I527" s="871"/>
      <c r="J527" s="221"/>
      <c r="K527" s="35"/>
      <c r="L527" s="533" t="s">
        <v>632</v>
      </c>
      <c r="M527" s="363">
        <v>0.71119999999999994</v>
      </c>
      <c r="N527" s="364">
        <v>12.7</v>
      </c>
      <c r="O527" s="364"/>
      <c r="P527" s="365"/>
      <c r="Q527" s="331">
        <v>17</v>
      </c>
      <c r="R527" s="35"/>
      <c r="S527" s="871"/>
      <c r="T527" s="860" t="s">
        <v>163</v>
      </c>
      <c r="U527" s="65"/>
      <c r="V527" s="49">
        <v>205463.766944</v>
      </c>
      <c r="W527" s="49">
        <f t="shared" si="293"/>
        <v>650.96447112072065</v>
      </c>
      <c r="X527" s="5"/>
      <c r="Y527" s="863"/>
      <c r="Z527" s="882"/>
      <c r="AA527" s="35"/>
      <c r="AB527" s="871"/>
      <c r="AC527" s="380" t="s">
        <v>749</v>
      </c>
      <c r="AD527" s="882"/>
      <c r="AE527" s="35"/>
      <c r="AK527" s="35"/>
      <c r="AL527" s="871"/>
      <c r="AM527" s="46"/>
      <c r="AN527" s="633">
        <v>722.57056294400002</v>
      </c>
      <c r="AO527" s="633">
        <v>1.1100000000000001</v>
      </c>
      <c r="AP527" s="599"/>
      <c r="AQ527" s="580">
        <f t="shared" si="291"/>
        <v>0.29831572196480871</v>
      </c>
      <c r="AR527" s="599">
        <f t="shared" si="292"/>
        <v>7314.8428659032334</v>
      </c>
      <c r="AT527" s="694">
        <f t="shared" si="294"/>
        <v>9.8781419668237447E-2</v>
      </c>
      <c r="AU527" s="663">
        <f t="shared" si="274"/>
        <v>1.1100000000000001</v>
      </c>
      <c r="AW527" s="871"/>
      <c r="AY527" s="908"/>
      <c r="AZ527" s="760">
        <v>1938</v>
      </c>
      <c r="BA527" s="293"/>
    </row>
    <row r="528" spans="2:53">
      <c r="B528" s="991"/>
      <c r="C528" s="871"/>
      <c r="D528" s="871"/>
      <c r="E528" s="927"/>
      <c r="F528" s="871"/>
      <c r="G528" s="871"/>
      <c r="H528" s="871"/>
      <c r="I528" s="871"/>
      <c r="J528" s="221"/>
      <c r="K528" s="35"/>
      <c r="L528" s="533" t="s">
        <v>633</v>
      </c>
      <c r="M528" s="363">
        <v>0.88900000000000001</v>
      </c>
      <c r="N528" s="364">
        <v>19.049999999999997</v>
      </c>
      <c r="O528" s="364"/>
      <c r="P528" s="365"/>
      <c r="Q528" s="331">
        <v>21.35</v>
      </c>
      <c r="R528" s="35"/>
      <c r="S528" s="871"/>
      <c r="T528" s="860" t="s">
        <v>163</v>
      </c>
      <c r="U528" s="65"/>
      <c r="V528" s="49">
        <v>205463.766944</v>
      </c>
      <c r="W528" s="49">
        <f t="shared" si="293"/>
        <v>635.07792816730034</v>
      </c>
      <c r="X528" s="5"/>
      <c r="Y528" s="863"/>
      <c r="Z528" s="882"/>
      <c r="AA528" s="35"/>
      <c r="AB528" s="871"/>
      <c r="AC528" s="380" t="s">
        <v>749</v>
      </c>
      <c r="AD528" s="882"/>
      <c r="AE528" s="35"/>
      <c r="AK528" s="35"/>
      <c r="AL528" s="871"/>
      <c r="AM528" s="46"/>
      <c r="AN528" s="633">
        <v>668.101980432</v>
      </c>
      <c r="AO528" s="633">
        <v>1.052</v>
      </c>
      <c r="AP528" s="599"/>
      <c r="AQ528" s="580">
        <f t="shared" si="291"/>
        <v>0.33020640121242489</v>
      </c>
      <c r="AR528" s="599">
        <f t="shared" si="292"/>
        <v>5824.4650454498815</v>
      </c>
      <c r="AT528" s="694">
        <f t="shared" si="294"/>
        <v>0.11470615330654728</v>
      </c>
      <c r="AU528" s="663">
        <f t="shared" si="274"/>
        <v>1.052</v>
      </c>
      <c r="AW528" s="871"/>
      <c r="AY528" s="908"/>
      <c r="AZ528" s="760">
        <v>1938</v>
      </c>
      <c r="BA528" s="293"/>
    </row>
    <row r="529" spans="2:53">
      <c r="B529" s="991"/>
      <c r="C529" s="871"/>
      <c r="D529" s="871"/>
      <c r="E529" s="927"/>
      <c r="F529" s="871"/>
      <c r="G529" s="871"/>
      <c r="H529" s="871"/>
      <c r="I529" s="871"/>
      <c r="J529" s="221"/>
      <c r="K529" s="35"/>
      <c r="L529" s="533" t="s">
        <v>634</v>
      </c>
      <c r="M529" s="363">
        <v>0.88900000000000001</v>
      </c>
      <c r="N529" s="364">
        <v>20.637499999999999</v>
      </c>
      <c r="O529" s="364"/>
      <c r="P529" s="365"/>
      <c r="Q529" s="331">
        <v>22.6</v>
      </c>
      <c r="R529" s="35"/>
      <c r="S529" s="871"/>
      <c r="T529" s="860" t="s">
        <v>163</v>
      </c>
      <c r="U529" s="65"/>
      <c r="V529" s="49">
        <v>205463.766944</v>
      </c>
      <c r="W529" s="49">
        <f t="shared" si="293"/>
        <v>646.54368917472118</v>
      </c>
      <c r="X529" s="5"/>
      <c r="Y529" s="863"/>
      <c r="Z529" s="882"/>
      <c r="AA529" s="35"/>
      <c r="AB529" s="871"/>
      <c r="AC529" s="380" t="s">
        <v>749</v>
      </c>
      <c r="AD529" s="882"/>
      <c r="AE529" s="35"/>
      <c r="AK529" s="35"/>
      <c r="AL529" s="871"/>
      <c r="AM529" s="46"/>
      <c r="AN529" s="633">
        <v>695.68100955199998</v>
      </c>
      <c r="AO529" s="633">
        <v>1.0760000000000001</v>
      </c>
      <c r="AP529" s="599"/>
      <c r="AQ529" s="580">
        <f t="shared" si="291"/>
        <v>0.3427884630065019</v>
      </c>
      <c r="AR529" s="599">
        <f t="shared" si="292"/>
        <v>5502.3154301042023</v>
      </c>
      <c r="AT529" s="694">
        <f t="shared" si="294"/>
        <v>0.12643422907850727</v>
      </c>
      <c r="AU529" s="663">
        <f t="shared" si="274"/>
        <v>1.0760000000000001</v>
      </c>
      <c r="AW529" s="871"/>
      <c r="AY529" s="908"/>
      <c r="AZ529" s="760">
        <v>1938</v>
      </c>
      <c r="BA529" s="293"/>
    </row>
    <row r="530" spans="2:53">
      <c r="B530" s="991"/>
      <c r="C530" s="871"/>
      <c r="D530" s="871"/>
      <c r="E530" s="927"/>
      <c r="F530" s="871"/>
      <c r="G530" s="871"/>
      <c r="H530" s="871"/>
      <c r="I530" s="871"/>
      <c r="J530" s="221"/>
      <c r="K530" s="35"/>
      <c r="L530" s="533" t="s">
        <v>635</v>
      </c>
      <c r="M530" s="363">
        <v>0.88900000000000001</v>
      </c>
      <c r="N530" s="364">
        <v>20.637499999999999</v>
      </c>
      <c r="O530" s="364"/>
      <c r="P530" s="365"/>
      <c r="Q530" s="331">
        <v>22.6</v>
      </c>
      <c r="R530" s="35"/>
      <c r="S530" s="871"/>
      <c r="T530" s="860" t="s">
        <v>163</v>
      </c>
      <c r="U530" s="65"/>
      <c r="V530" s="49">
        <v>205463.766944</v>
      </c>
      <c r="W530" s="49">
        <f t="shared" si="293"/>
        <v>646.90753525163711</v>
      </c>
      <c r="X530" s="5"/>
      <c r="Y530" s="863"/>
      <c r="Z530" s="882"/>
      <c r="AA530" s="35"/>
      <c r="AB530" s="871"/>
      <c r="AC530" s="380" t="s">
        <v>749</v>
      </c>
      <c r="AD530" s="882"/>
      <c r="AE530" s="35"/>
      <c r="AK530" s="35"/>
      <c r="AL530" s="871"/>
      <c r="AM530" s="46"/>
      <c r="AN530" s="633">
        <v>691.54415518400003</v>
      </c>
      <c r="AO530" s="633">
        <v>1.069</v>
      </c>
      <c r="AP530" s="599"/>
      <c r="AQ530" s="580">
        <f t="shared" si="291"/>
        <v>0.34288490250275433</v>
      </c>
      <c r="AR530" s="599">
        <f t="shared" si="292"/>
        <v>5502.3154301042023</v>
      </c>
      <c r="AT530" s="694">
        <f t="shared" si="294"/>
        <v>0.12568239025346165</v>
      </c>
      <c r="AU530" s="663">
        <f t="shared" si="274"/>
        <v>1.069</v>
      </c>
      <c r="AW530" s="871"/>
      <c r="AY530" s="908"/>
      <c r="AZ530" s="760">
        <v>1938</v>
      </c>
      <c r="BA530" s="293"/>
    </row>
    <row r="531" spans="2:53">
      <c r="B531" s="991"/>
      <c r="C531" s="871"/>
      <c r="D531" s="871"/>
      <c r="E531" s="927"/>
      <c r="F531" s="871"/>
      <c r="G531" s="871"/>
      <c r="H531" s="871"/>
      <c r="I531" s="871"/>
      <c r="J531" s="221"/>
      <c r="K531" s="35"/>
      <c r="L531" s="533" t="s">
        <v>636</v>
      </c>
      <c r="M531" s="363">
        <v>0.71119999999999994</v>
      </c>
      <c r="N531" s="364">
        <v>19.049999999999997</v>
      </c>
      <c r="O531" s="364"/>
      <c r="P531" s="365"/>
      <c r="Q531" s="331">
        <v>26.35</v>
      </c>
      <c r="R531" s="35"/>
      <c r="S531" s="871"/>
      <c r="T531" s="860" t="s">
        <v>163</v>
      </c>
      <c r="U531" s="65"/>
      <c r="V531" s="49">
        <v>205463.766944</v>
      </c>
      <c r="W531" s="49">
        <f t="shared" si="293"/>
        <v>594.74893514425912</v>
      </c>
      <c r="X531" s="5"/>
      <c r="Y531" s="863"/>
      <c r="Z531" s="882"/>
      <c r="AA531" s="35"/>
      <c r="AB531" s="871"/>
      <c r="AC531" s="380" t="s">
        <v>749</v>
      </c>
      <c r="AD531" s="882"/>
      <c r="AE531" s="35"/>
      <c r="AK531" s="35"/>
      <c r="AL531" s="871"/>
      <c r="AM531" s="46"/>
      <c r="AN531" s="633">
        <v>606.04916491200004</v>
      </c>
      <c r="AO531" s="633">
        <v>1.0189999999999999</v>
      </c>
      <c r="AP531" s="599"/>
      <c r="AQ531" s="580">
        <f t="shared" si="291"/>
        <v>0.35500149749190096</v>
      </c>
      <c r="AR531" s="599">
        <f t="shared" si="292"/>
        <v>4719.2534618730533</v>
      </c>
      <c r="AT531" s="694">
        <f t="shared" si="294"/>
        <v>0.1284205584227005</v>
      </c>
      <c r="AU531" s="663">
        <f t="shared" si="274"/>
        <v>1.0189999999999999</v>
      </c>
      <c r="AW531" s="871"/>
      <c r="AY531" s="908"/>
      <c r="AZ531" s="760">
        <v>1938</v>
      </c>
      <c r="BA531" s="293"/>
    </row>
    <row r="532" spans="2:53">
      <c r="B532" s="991"/>
      <c r="C532" s="871"/>
      <c r="D532" s="871"/>
      <c r="E532" s="927"/>
      <c r="F532" s="871"/>
      <c r="G532" s="871"/>
      <c r="H532" s="871"/>
      <c r="I532" s="871"/>
      <c r="J532" s="221"/>
      <c r="K532" s="35"/>
      <c r="L532" s="533" t="s">
        <v>637</v>
      </c>
      <c r="M532" s="363">
        <v>0.71119999999999994</v>
      </c>
      <c r="N532" s="364">
        <v>19.049999999999997</v>
      </c>
      <c r="O532" s="364"/>
      <c r="P532" s="365"/>
      <c r="Q532" s="331">
        <v>27.05</v>
      </c>
      <c r="R532" s="35"/>
      <c r="S532" s="871"/>
      <c r="T532" s="860" t="s">
        <v>163</v>
      </c>
      <c r="U532" s="65"/>
      <c r="V532" s="49">
        <v>205463.766944</v>
      </c>
      <c r="W532" s="49">
        <f t="shared" si="293"/>
        <v>636.64752880157164</v>
      </c>
      <c r="X532" s="5"/>
      <c r="Y532" s="863"/>
      <c r="Z532" s="882"/>
      <c r="AA532" s="35"/>
      <c r="AB532" s="871"/>
      <c r="AC532" s="380" t="s">
        <v>749</v>
      </c>
      <c r="AD532" s="882"/>
      <c r="AE532" s="35"/>
      <c r="AK532" s="35"/>
      <c r="AL532" s="871"/>
      <c r="AM532" s="46"/>
      <c r="AN532" s="633">
        <v>648.10718431999999</v>
      </c>
      <c r="AO532" s="633">
        <v>1.018</v>
      </c>
      <c r="AP532" s="599"/>
      <c r="AQ532" s="580">
        <f t="shared" si="291"/>
        <v>0.37213987056682507</v>
      </c>
      <c r="AR532" s="599">
        <f t="shared" si="292"/>
        <v>4597.1286033402948</v>
      </c>
      <c r="AT532" s="694">
        <f t="shared" si="294"/>
        <v>0.14098086876427218</v>
      </c>
      <c r="AU532" s="663">
        <f t="shared" si="274"/>
        <v>1.018</v>
      </c>
      <c r="AW532" s="871"/>
      <c r="AY532" s="908"/>
      <c r="AZ532" s="760">
        <v>1938</v>
      </c>
      <c r="BA532" s="293"/>
    </row>
    <row r="533" spans="2:53">
      <c r="B533" s="991"/>
      <c r="C533" s="871"/>
      <c r="D533" s="871"/>
      <c r="E533" s="927"/>
      <c r="F533" s="871"/>
      <c r="G533" s="871"/>
      <c r="H533" s="871"/>
      <c r="I533" s="871"/>
      <c r="J533" s="221"/>
      <c r="K533" s="35"/>
      <c r="L533" s="533" t="s">
        <v>638</v>
      </c>
      <c r="M533" s="363">
        <v>0.88900000000000001</v>
      </c>
      <c r="N533" s="364">
        <v>25.4</v>
      </c>
      <c r="O533" s="364"/>
      <c r="P533" s="365"/>
      <c r="Q533" s="331">
        <v>28.35</v>
      </c>
      <c r="R533" s="35"/>
      <c r="S533" s="871"/>
      <c r="T533" s="860" t="s">
        <v>163</v>
      </c>
      <c r="U533" s="65"/>
      <c r="V533" s="49">
        <v>205463.766944</v>
      </c>
      <c r="W533" s="49">
        <f t="shared" si="293"/>
        <v>643.51067946666672</v>
      </c>
      <c r="X533" s="5"/>
      <c r="Y533" s="863"/>
      <c r="Z533" s="882"/>
      <c r="AA533" s="35"/>
      <c r="AB533" s="871"/>
      <c r="AC533" s="380" t="s">
        <v>749</v>
      </c>
      <c r="AD533" s="882"/>
      <c r="AE533" s="35"/>
      <c r="AK533" s="35"/>
      <c r="AL533" s="871"/>
      <c r="AM533" s="46"/>
      <c r="AN533" s="633">
        <v>608.11759209600007</v>
      </c>
      <c r="AO533" s="633">
        <v>0.94499999999999995</v>
      </c>
      <c r="AP533" s="599"/>
      <c r="AQ533" s="580">
        <f t="shared" si="291"/>
        <v>0.38302528963221549</v>
      </c>
      <c r="AR533" s="599">
        <f t="shared" si="292"/>
        <v>4386.3255280548492</v>
      </c>
      <c r="AT533" s="694">
        <f t="shared" si="294"/>
        <v>0.1386394120104612</v>
      </c>
      <c r="AU533" s="663">
        <f t="shared" si="274"/>
        <v>0.94499999999999995</v>
      </c>
      <c r="AW533" s="871"/>
      <c r="AY533" s="908"/>
      <c r="AZ533" s="760">
        <v>1938</v>
      </c>
      <c r="BA533" s="293"/>
    </row>
    <row r="534" spans="2:53">
      <c r="B534" s="991"/>
      <c r="C534" s="871"/>
      <c r="D534" s="871"/>
      <c r="E534" s="927"/>
      <c r="F534" s="871"/>
      <c r="G534" s="871"/>
      <c r="H534" s="871"/>
      <c r="I534" s="871"/>
      <c r="J534" s="221"/>
      <c r="K534" s="35"/>
      <c r="L534" s="533" t="s">
        <v>639</v>
      </c>
      <c r="M534" s="363">
        <v>0.88900000000000001</v>
      </c>
      <c r="N534" s="364">
        <v>25.4</v>
      </c>
      <c r="O534" s="364"/>
      <c r="P534" s="365"/>
      <c r="Q534" s="331">
        <v>28.45</v>
      </c>
      <c r="R534" s="35"/>
      <c r="S534" s="871"/>
      <c r="T534" s="860" t="s">
        <v>163</v>
      </c>
      <c r="U534" s="65"/>
      <c r="V534" s="49">
        <v>205463.766944</v>
      </c>
      <c r="W534" s="49">
        <f t="shared" si="293"/>
        <v>643.46274928050059</v>
      </c>
      <c r="X534" s="5"/>
      <c r="Y534" s="863"/>
      <c r="Z534" s="882"/>
      <c r="AA534" s="35"/>
      <c r="AB534" s="871"/>
      <c r="AC534" s="380" t="s">
        <v>749</v>
      </c>
      <c r="AD534" s="882"/>
      <c r="AE534" s="35"/>
      <c r="AK534" s="35"/>
      <c r="AL534" s="871"/>
      <c r="AM534" s="46"/>
      <c r="AN534" s="633">
        <v>617.08077656</v>
      </c>
      <c r="AO534" s="633">
        <v>0.95899999999999996</v>
      </c>
      <c r="AP534" s="599"/>
      <c r="AQ534" s="580">
        <f t="shared" si="291"/>
        <v>0.38368593487389618</v>
      </c>
      <c r="AR534" s="599">
        <f t="shared" si="292"/>
        <v>4370.9078636328641</v>
      </c>
      <c r="AT534" s="694">
        <f t="shared" si="294"/>
        <v>0.1411790858586334</v>
      </c>
      <c r="AU534" s="663">
        <f t="shared" si="274"/>
        <v>0.95899999999999996</v>
      </c>
      <c r="AW534" s="871"/>
      <c r="AY534" s="908"/>
      <c r="AZ534" s="760">
        <v>1938</v>
      </c>
      <c r="BA534" s="293"/>
    </row>
    <row r="535" spans="2:53">
      <c r="B535" s="991"/>
      <c r="C535" s="871"/>
      <c r="D535" s="871"/>
      <c r="E535" s="927"/>
      <c r="F535" s="871"/>
      <c r="G535" s="871"/>
      <c r="H535" s="871"/>
      <c r="I535" s="871"/>
      <c r="J535" s="221"/>
      <c r="K535" s="35"/>
      <c r="L535" s="533" t="s">
        <v>640</v>
      </c>
      <c r="M535" s="363">
        <v>0.88900000000000001</v>
      </c>
      <c r="N535" s="364">
        <v>25.4</v>
      </c>
      <c r="O535" s="364"/>
      <c r="P535" s="365"/>
      <c r="Q535" s="331">
        <v>30.9</v>
      </c>
      <c r="R535" s="35"/>
      <c r="S535" s="871"/>
      <c r="T535" s="860" t="s">
        <v>163</v>
      </c>
      <c r="U535" s="65"/>
      <c r="V535" s="49">
        <v>205463.766944</v>
      </c>
      <c r="W535" s="49">
        <f t="shared" si="293"/>
        <v>666.88191450317129</v>
      </c>
      <c r="X535" s="5"/>
      <c r="Y535" s="863"/>
      <c r="Z535" s="882"/>
      <c r="AA535" s="35"/>
      <c r="AB535" s="871"/>
      <c r="AC535" s="380" t="s">
        <v>749</v>
      </c>
      <c r="AD535" s="882"/>
      <c r="AE535" s="35"/>
      <c r="AK535" s="35"/>
      <c r="AL535" s="871"/>
      <c r="AM535" s="46"/>
      <c r="AN535" s="633">
        <v>630.87029112000005</v>
      </c>
      <c r="AO535" s="633">
        <v>0.94599999999999995</v>
      </c>
      <c r="AP535" s="599"/>
      <c r="AQ535" s="580">
        <f t="shared" si="291"/>
        <v>0.40707717152378514</v>
      </c>
      <c r="AR535" s="599">
        <f t="shared" si="292"/>
        <v>4024.3472077784782</v>
      </c>
      <c r="AT535" s="694">
        <f t="shared" si="294"/>
        <v>0.15676338510271168</v>
      </c>
      <c r="AU535" s="663">
        <f t="shared" si="274"/>
        <v>0.94599999999999995</v>
      </c>
      <c r="AW535" s="871"/>
      <c r="AY535" s="908"/>
      <c r="AZ535" s="760">
        <v>1938</v>
      </c>
      <c r="BA535" s="293"/>
    </row>
    <row r="536" spans="2:53">
      <c r="B536" s="991"/>
      <c r="C536" s="871"/>
      <c r="D536" s="871"/>
      <c r="E536" s="927"/>
      <c r="F536" s="871"/>
      <c r="G536" s="871"/>
      <c r="H536" s="871"/>
      <c r="I536" s="871"/>
      <c r="J536" s="221"/>
      <c r="K536" s="35"/>
      <c r="L536" s="533" t="s">
        <v>641</v>
      </c>
      <c r="M536" s="363">
        <v>0.88900000000000001</v>
      </c>
      <c r="N536" s="364">
        <v>25.4</v>
      </c>
      <c r="O536" s="364"/>
      <c r="P536" s="365"/>
      <c r="Q536" s="331">
        <v>30.9</v>
      </c>
      <c r="R536" s="35"/>
      <c r="S536" s="871"/>
      <c r="T536" s="860" t="s">
        <v>163</v>
      </c>
      <c r="U536" s="65"/>
      <c r="V536" s="49">
        <v>205463.766944</v>
      </c>
      <c r="W536" s="49">
        <f t="shared" si="293"/>
        <v>655.64104123882225</v>
      </c>
      <c r="X536" s="5"/>
      <c r="Y536" s="863"/>
      <c r="Z536" s="882"/>
      <c r="AA536" s="35"/>
      <c r="AB536" s="871"/>
      <c r="AC536" s="380" t="s">
        <v>749</v>
      </c>
      <c r="AD536" s="882"/>
      <c r="AE536" s="35"/>
      <c r="AK536" s="35"/>
      <c r="AL536" s="871"/>
      <c r="AM536" s="46"/>
      <c r="AN536" s="633">
        <v>601.22283481600005</v>
      </c>
      <c r="AO536" s="633">
        <v>0.91700000000000004</v>
      </c>
      <c r="AP536" s="599"/>
      <c r="AQ536" s="580">
        <f t="shared" si="291"/>
        <v>0.40363177156377028</v>
      </c>
      <c r="AR536" s="599">
        <f t="shared" si="292"/>
        <v>4024.3472077784782</v>
      </c>
      <c r="AT536" s="694">
        <f t="shared" si="294"/>
        <v>0.14939636263340392</v>
      </c>
      <c r="AU536" s="663">
        <f t="shared" si="274"/>
        <v>0.91700000000000004</v>
      </c>
      <c r="AW536" s="871"/>
      <c r="AY536" s="908"/>
      <c r="AZ536" s="760">
        <v>1938</v>
      </c>
      <c r="BA536" s="293"/>
    </row>
    <row r="537" spans="2:53">
      <c r="B537" s="991"/>
      <c r="C537" s="871"/>
      <c r="D537" s="871"/>
      <c r="E537" s="927"/>
      <c r="F537" s="871"/>
      <c r="G537" s="871"/>
      <c r="H537" s="871"/>
      <c r="I537" s="871"/>
      <c r="J537" s="221"/>
      <c r="K537" s="35"/>
      <c r="L537" s="533" t="s">
        <v>642</v>
      </c>
      <c r="M537" s="363">
        <v>0.3175</v>
      </c>
      <c r="N537" s="364">
        <v>12.7</v>
      </c>
      <c r="O537" s="364"/>
      <c r="P537" s="365"/>
      <c r="Q537" s="331">
        <v>39.200000000000003</v>
      </c>
      <c r="R537" s="35"/>
      <c r="S537" s="871"/>
      <c r="T537" s="860" t="s">
        <v>163</v>
      </c>
      <c r="U537" s="65"/>
      <c r="V537" s="49">
        <v>205463.766944</v>
      </c>
      <c r="W537" s="49">
        <f t="shared" si="293"/>
        <v>461.31991808878126</v>
      </c>
      <c r="X537" s="5"/>
      <c r="Y537" s="863"/>
      <c r="Z537" s="882"/>
      <c r="AA537" s="35"/>
      <c r="AB537" s="871"/>
      <c r="AC537" s="380" t="s">
        <v>749</v>
      </c>
      <c r="AD537" s="882"/>
      <c r="AE537" s="35"/>
      <c r="AK537" s="35"/>
      <c r="AL537" s="871"/>
      <c r="AM537" s="46"/>
      <c r="AN537" s="633">
        <v>571.57537851200004</v>
      </c>
      <c r="AO537" s="633">
        <v>1.2390000000000001</v>
      </c>
      <c r="AP537" s="599"/>
      <c r="AQ537" s="580">
        <f t="shared" si="291"/>
        <v>0.38134422624060965</v>
      </c>
      <c r="AR537" s="599">
        <f t="shared" si="292"/>
        <v>3172.2532836825244</v>
      </c>
      <c r="AT537" s="694">
        <f t="shared" si="294"/>
        <v>0.18017961600105406</v>
      </c>
      <c r="AU537" s="663">
        <f t="shared" si="274"/>
        <v>1.2390000000000001</v>
      </c>
      <c r="AW537" s="871"/>
      <c r="AY537" s="908"/>
      <c r="AZ537" s="760">
        <v>1938</v>
      </c>
      <c r="BA537" s="293"/>
    </row>
    <row r="538" spans="2:53">
      <c r="B538" s="991"/>
      <c r="C538" s="871"/>
      <c r="D538" s="871"/>
      <c r="E538" s="927"/>
      <c r="F538" s="871"/>
      <c r="G538" s="871"/>
      <c r="H538" s="871"/>
      <c r="I538" s="871"/>
      <c r="J538" s="221"/>
      <c r="K538" s="35"/>
      <c r="L538" s="533" t="s">
        <v>643</v>
      </c>
      <c r="M538" s="363">
        <v>0.3175</v>
      </c>
      <c r="N538" s="364">
        <v>12.7</v>
      </c>
      <c r="O538" s="364"/>
      <c r="P538" s="365"/>
      <c r="Q538" s="331">
        <v>39.549999999999997</v>
      </c>
      <c r="R538" s="35"/>
      <c r="S538" s="871"/>
      <c r="T538" s="860" t="s">
        <v>163</v>
      </c>
      <c r="U538" s="65"/>
      <c r="V538" s="49">
        <v>205463.766944</v>
      </c>
      <c r="W538" s="49">
        <f t="shared" si="293"/>
        <v>461.5129265218801</v>
      </c>
      <c r="X538" s="5"/>
      <c r="Y538" s="863"/>
      <c r="Z538" s="882"/>
      <c r="AA538" s="35"/>
      <c r="AB538" s="871"/>
      <c r="AC538" s="380" t="s">
        <v>749</v>
      </c>
      <c r="AD538" s="882"/>
      <c r="AE538" s="35"/>
      <c r="AK538" s="35"/>
      <c r="AL538" s="871"/>
      <c r="AM538" s="46"/>
      <c r="AN538" s="633">
        <v>569.50695132800001</v>
      </c>
      <c r="AO538" s="633">
        <v>1.234</v>
      </c>
      <c r="AP538" s="599"/>
      <c r="AQ538" s="580">
        <f t="shared" si="291"/>
        <v>0.38312299356921936</v>
      </c>
      <c r="AR538" s="599">
        <f t="shared" si="292"/>
        <v>3144.1802457738299</v>
      </c>
      <c r="AT538" s="694">
        <f t="shared" si="294"/>
        <v>0.18113050360057709</v>
      </c>
      <c r="AU538" s="663">
        <f t="shared" si="274"/>
        <v>1.234</v>
      </c>
      <c r="AW538" s="871"/>
      <c r="AY538" s="908"/>
      <c r="AZ538" s="760">
        <v>1938</v>
      </c>
      <c r="BA538" s="293"/>
    </row>
    <row r="539" spans="2:53">
      <c r="B539" s="991"/>
      <c r="C539" s="871"/>
      <c r="D539" s="871"/>
      <c r="E539" s="927"/>
      <c r="F539" s="871"/>
      <c r="G539" s="871"/>
      <c r="H539" s="871"/>
      <c r="I539" s="871"/>
      <c r="J539" s="221"/>
      <c r="K539" s="35"/>
      <c r="L539" s="533" t="s">
        <v>644</v>
      </c>
      <c r="M539" s="363">
        <v>0.56388000000000005</v>
      </c>
      <c r="N539" s="364">
        <v>25.4</v>
      </c>
      <c r="O539" s="364"/>
      <c r="P539" s="365"/>
      <c r="Q539" s="331">
        <v>44.9</v>
      </c>
      <c r="R539" s="35"/>
      <c r="S539" s="871"/>
      <c r="T539" s="860" t="s">
        <v>163</v>
      </c>
      <c r="U539" s="65"/>
      <c r="V539" s="49">
        <v>205463.766944</v>
      </c>
      <c r="W539" s="49">
        <f t="shared" si="293"/>
        <v>530.1650484242424</v>
      </c>
      <c r="X539" s="5"/>
      <c r="Y539" s="863"/>
      <c r="Z539" s="882"/>
      <c r="AA539" s="35"/>
      <c r="AB539" s="871"/>
      <c r="AC539" s="380" t="s">
        <v>749</v>
      </c>
      <c r="AD539" s="882"/>
      <c r="AE539" s="35"/>
      <c r="AK539" s="35"/>
      <c r="AL539" s="871"/>
      <c r="AM539" s="46"/>
      <c r="AN539" s="633">
        <v>559.85429113600003</v>
      </c>
      <c r="AO539" s="633">
        <v>1.056</v>
      </c>
      <c r="AP539" s="599"/>
      <c r="AQ539" s="580">
        <f t="shared" si="291"/>
        <v>0.43752387395572567</v>
      </c>
      <c r="AR539" s="599">
        <f t="shared" si="292"/>
        <v>2769.539615152672</v>
      </c>
      <c r="AT539" s="694">
        <f t="shared" si="294"/>
        <v>0.20214706013697437</v>
      </c>
      <c r="AU539" s="663">
        <f t="shared" si="274"/>
        <v>1.056</v>
      </c>
      <c r="AW539" s="871"/>
      <c r="AY539" s="908"/>
      <c r="AZ539" s="760">
        <v>1938</v>
      </c>
      <c r="BA539" s="293"/>
    </row>
    <row r="540" spans="2:53">
      <c r="B540" s="991"/>
      <c r="C540" s="871"/>
      <c r="D540" s="871"/>
      <c r="E540" s="927"/>
      <c r="F540" s="871"/>
      <c r="G540" s="871"/>
      <c r="H540" s="871"/>
      <c r="I540" s="871"/>
      <c r="J540" s="221"/>
      <c r="K540" s="35"/>
      <c r="L540" s="533" t="s">
        <v>645</v>
      </c>
      <c r="M540" s="363">
        <v>0.56388000000000005</v>
      </c>
      <c r="N540" s="364">
        <v>25.4</v>
      </c>
      <c r="O540" s="364"/>
      <c r="P540" s="365"/>
      <c r="Q540" s="331">
        <v>44.9</v>
      </c>
      <c r="R540" s="35"/>
      <c r="S540" s="871"/>
      <c r="T540" s="860" t="s">
        <v>163</v>
      </c>
      <c r="U540" s="65"/>
      <c r="V540" s="49">
        <v>205463.766944</v>
      </c>
      <c r="W540" s="49">
        <f t="shared" si="293"/>
        <v>530.51690266413664</v>
      </c>
      <c r="X540" s="5"/>
      <c r="Y540" s="863"/>
      <c r="Z540" s="882"/>
      <c r="AA540" s="35"/>
      <c r="AB540" s="871"/>
      <c r="AC540" s="380" t="s">
        <v>749</v>
      </c>
      <c r="AD540" s="882"/>
      <c r="AE540" s="35"/>
      <c r="AK540" s="35"/>
      <c r="AL540" s="871"/>
      <c r="AM540" s="46"/>
      <c r="AN540" s="633">
        <v>559.16481540799998</v>
      </c>
      <c r="AO540" s="633">
        <v>1.054</v>
      </c>
      <c r="AP540" s="599"/>
      <c r="AQ540" s="580">
        <f t="shared" si="291"/>
        <v>0.43766903544548874</v>
      </c>
      <c r="AR540" s="599">
        <f t="shared" si="292"/>
        <v>2769.539615152672</v>
      </c>
      <c r="AT540" s="694">
        <f t="shared" si="294"/>
        <v>0.20189811055552487</v>
      </c>
      <c r="AU540" s="663">
        <f t="shared" si="274"/>
        <v>1.054</v>
      </c>
      <c r="AW540" s="871"/>
      <c r="AY540" s="908"/>
      <c r="AZ540" s="760">
        <v>1938</v>
      </c>
      <c r="BA540" s="293"/>
    </row>
    <row r="541" spans="2:53">
      <c r="B541" s="991"/>
      <c r="C541" s="871"/>
      <c r="D541" s="871"/>
      <c r="E541" s="927"/>
      <c r="F541" s="871"/>
      <c r="G541" s="871"/>
      <c r="H541" s="871"/>
      <c r="I541" s="871"/>
      <c r="J541" s="221"/>
      <c r="K541" s="35"/>
      <c r="L541" s="533" t="s">
        <v>646</v>
      </c>
      <c r="M541" s="363">
        <v>0.38099999999999995</v>
      </c>
      <c r="N541" s="364">
        <v>19.049999999999997</v>
      </c>
      <c r="O541" s="364"/>
      <c r="P541" s="365"/>
      <c r="Q541" s="331">
        <v>49.65</v>
      </c>
      <c r="R541" s="35"/>
      <c r="S541" s="871"/>
      <c r="T541" s="860" t="s">
        <v>163</v>
      </c>
      <c r="U541" s="65"/>
      <c r="V541" s="49">
        <v>205463.766944</v>
      </c>
      <c r="W541" s="49">
        <f t="shared" si="293"/>
        <v>509.18878852296825</v>
      </c>
      <c r="X541" s="5"/>
      <c r="Y541" s="863"/>
      <c r="Z541" s="882"/>
      <c r="AA541" s="35"/>
      <c r="AB541" s="871"/>
      <c r="AC541" s="380" t="s">
        <v>749</v>
      </c>
      <c r="AD541" s="882"/>
      <c r="AE541" s="35"/>
      <c r="AK541" s="35"/>
      <c r="AL541" s="871"/>
      <c r="AM541" s="46"/>
      <c r="AN541" s="633">
        <v>576.40170860800004</v>
      </c>
      <c r="AO541" s="633">
        <v>1.1319999999999999</v>
      </c>
      <c r="AP541" s="599"/>
      <c r="AQ541" s="580">
        <f t="shared" si="291"/>
        <v>0.45089153443557384</v>
      </c>
      <c r="AR541" s="599">
        <f t="shared" si="292"/>
        <v>2504.5786247805636</v>
      </c>
      <c r="AT541" s="694">
        <f t="shared" si="294"/>
        <v>0.23013919503465416</v>
      </c>
      <c r="AU541" s="663">
        <f t="shared" si="274"/>
        <v>1.1319999999999999</v>
      </c>
      <c r="AW541" s="871"/>
      <c r="AY541" s="908"/>
      <c r="AZ541" s="760">
        <v>1938</v>
      </c>
      <c r="BA541" s="293"/>
    </row>
    <row r="542" spans="2:53">
      <c r="B542" s="991"/>
      <c r="C542" s="871"/>
      <c r="D542" s="871"/>
      <c r="E542" s="927"/>
      <c r="F542" s="871"/>
      <c r="G542" s="871"/>
      <c r="H542" s="871"/>
      <c r="I542" s="871"/>
      <c r="J542" s="221"/>
      <c r="K542" s="35"/>
      <c r="L542" s="533" t="s">
        <v>647</v>
      </c>
      <c r="M542" s="363">
        <v>0.38099999999999995</v>
      </c>
      <c r="N542" s="364">
        <v>19.049999999999997</v>
      </c>
      <c r="O542" s="364"/>
      <c r="P542" s="365"/>
      <c r="Q542" s="331">
        <v>49.7</v>
      </c>
      <c r="R542" s="35"/>
      <c r="S542" s="871"/>
      <c r="T542" s="860" t="s">
        <v>163</v>
      </c>
      <c r="U542" s="65"/>
      <c r="V542" s="49">
        <v>205463.766944</v>
      </c>
      <c r="W542" s="49">
        <f t="shared" si="293"/>
        <v>509.79786602120146</v>
      </c>
      <c r="X542" s="5"/>
      <c r="Y542" s="863"/>
      <c r="Z542" s="882"/>
      <c r="AA542" s="35"/>
      <c r="AB542" s="871"/>
      <c r="AC542" s="380" t="s">
        <v>749</v>
      </c>
      <c r="AD542" s="882"/>
      <c r="AE542" s="35"/>
      <c r="AK542" s="35"/>
      <c r="AL542" s="871"/>
      <c r="AM542" s="46"/>
      <c r="AN542" s="633">
        <v>577.09118433599997</v>
      </c>
      <c r="AO542" s="633">
        <v>1.1319999999999999</v>
      </c>
      <c r="AP542" s="599"/>
      <c r="AQ542" s="580">
        <f t="shared" si="291"/>
        <v>0.45138823940454592</v>
      </c>
      <c r="AR542" s="599">
        <f t="shared" si="292"/>
        <v>2502.0589279749488</v>
      </c>
      <c r="AT542" s="694">
        <f t="shared" si="294"/>
        <v>0.23064651990553675</v>
      </c>
      <c r="AU542" s="663">
        <f t="shared" si="274"/>
        <v>1.1319999999999999</v>
      </c>
      <c r="AW542" s="871"/>
      <c r="AY542" s="908"/>
      <c r="AZ542" s="760">
        <v>1938</v>
      </c>
      <c r="BA542" s="293"/>
    </row>
    <row r="543" spans="2:53">
      <c r="B543" s="991"/>
      <c r="C543" s="871"/>
      <c r="D543" s="871"/>
      <c r="E543" s="927"/>
      <c r="F543" s="871"/>
      <c r="G543" s="871"/>
      <c r="H543" s="871"/>
      <c r="I543" s="871"/>
      <c r="J543" s="221"/>
      <c r="K543" s="35"/>
      <c r="L543" s="533" t="s">
        <v>648</v>
      </c>
      <c r="M543" s="363">
        <v>2.7685999999999997</v>
      </c>
      <c r="N543" s="364">
        <v>19.049999999999997</v>
      </c>
      <c r="O543" s="364"/>
      <c r="P543" s="365"/>
      <c r="Q543" s="331">
        <v>6.75</v>
      </c>
      <c r="R543" s="35"/>
      <c r="S543" s="871" t="s">
        <v>677</v>
      </c>
      <c r="T543" s="860" t="s">
        <v>522</v>
      </c>
      <c r="U543" s="65"/>
      <c r="V543" s="49">
        <v>73153.374740800005</v>
      </c>
      <c r="W543" s="49">
        <f t="shared" si="293"/>
        <v>284.66395375854216</v>
      </c>
      <c r="X543" s="5"/>
      <c r="Y543" s="863"/>
      <c r="Z543" s="882"/>
      <c r="AA543" s="35"/>
      <c r="AB543" s="871"/>
      <c r="AC543" s="380" t="s">
        <v>749</v>
      </c>
      <c r="AD543" s="882"/>
      <c r="AE543" s="35"/>
      <c r="AK543" s="35"/>
      <c r="AL543" s="871"/>
      <c r="AM543" s="46"/>
      <c r="AN543" s="633">
        <v>499.86990280000003</v>
      </c>
      <c r="AO543" s="633">
        <v>1.756</v>
      </c>
      <c r="AP543" s="599"/>
      <c r="AQ543" s="580">
        <f t="shared" si="291"/>
        <v>0.20832510228242127</v>
      </c>
      <c r="AR543" s="599">
        <f t="shared" si="292"/>
        <v>6559.1757778919527</v>
      </c>
      <c r="AT543" s="694">
        <f t="shared" si="294"/>
        <v>7.6209255511163129E-2</v>
      </c>
      <c r="AU543" s="663">
        <f t="shared" si="274"/>
        <v>1.756</v>
      </c>
      <c r="AW543" s="871"/>
      <c r="AY543" s="908"/>
      <c r="AZ543" s="760">
        <v>1938</v>
      </c>
      <c r="BA543" s="293"/>
    </row>
    <row r="544" spans="2:53">
      <c r="B544" s="991"/>
      <c r="C544" s="871"/>
      <c r="D544" s="871"/>
      <c r="E544" s="927"/>
      <c r="F544" s="871"/>
      <c r="G544" s="871"/>
      <c r="H544" s="871"/>
      <c r="I544" s="871"/>
      <c r="J544" s="221"/>
      <c r="K544" s="35"/>
      <c r="L544" s="533" t="s">
        <v>649</v>
      </c>
      <c r="M544" s="363">
        <v>2.7685999999999997</v>
      </c>
      <c r="N544" s="364">
        <v>19.049999999999997</v>
      </c>
      <c r="O544" s="364"/>
      <c r="P544" s="365"/>
      <c r="Q544" s="331">
        <v>6.75</v>
      </c>
      <c r="R544" s="35"/>
      <c r="S544" s="871"/>
      <c r="T544" s="860" t="s">
        <v>522</v>
      </c>
      <c r="U544" s="65"/>
      <c r="V544" s="49">
        <v>73153.374740800005</v>
      </c>
      <c r="W544" s="49">
        <f t="shared" si="293"/>
        <v>281.44374636720147</v>
      </c>
      <c r="X544" s="5"/>
      <c r="Y544" s="863"/>
      <c r="Z544" s="882"/>
      <c r="AA544" s="35"/>
      <c r="AB544" s="871"/>
      <c r="AC544" s="380" t="s">
        <v>749</v>
      </c>
      <c r="AD544" s="882"/>
      <c r="AE544" s="35"/>
      <c r="AK544" s="35"/>
      <c r="AL544" s="871"/>
      <c r="AM544" s="46"/>
      <c r="AN544" s="633">
        <v>473.66982513600004</v>
      </c>
      <c r="AO544" s="633">
        <v>1.6830000000000001</v>
      </c>
      <c r="AP544" s="599"/>
      <c r="AQ544" s="580">
        <f t="shared" si="291"/>
        <v>0.20714343166888258</v>
      </c>
      <c r="AR544" s="599">
        <f t="shared" si="292"/>
        <v>6559.1757778919527</v>
      </c>
      <c r="AT544" s="694">
        <f t="shared" si="294"/>
        <v>7.2214839360233207E-2</v>
      </c>
      <c r="AU544" s="663">
        <f t="shared" si="274"/>
        <v>1.6830000000000001</v>
      </c>
      <c r="AW544" s="871"/>
      <c r="AY544" s="908"/>
      <c r="AZ544" s="760">
        <v>1938</v>
      </c>
      <c r="BA544" s="293"/>
    </row>
    <row r="545" spans="2:53">
      <c r="B545" s="991"/>
      <c r="C545" s="871"/>
      <c r="D545" s="871"/>
      <c r="E545" s="927"/>
      <c r="F545" s="871"/>
      <c r="G545" s="871"/>
      <c r="H545" s="871"/>
      <c r="I545" s="871"/>
      <c r="J545" s="221"/>
      <c r="K545" s="35"/>
      <c r="L545" s="533" t="s">
        <v>650</v>
      </c>
      <c r="M545" s="363">
        <v>1.651</v>
      </c>
      <c r="N545" s="364">
        <v>12.7</v>
      </c>
      <c r="O545" s="364"/>
      <c r="P545" s="365"/>
      <c r="Q545" s="331">
        <v>7.85</v>
      </c>
      <c r="R545" s="35"/>
      <c r="S545" s="871"/>
      <c r="T545" s="860" t="s">
        <v>522</v>
      </c>
      <c r="U545" s="65"/>
      <c r="V545" s="49">
        <v>73153.374740800005</v>
      </c>
      <c r="W545" s="49">
        <f t="shared" si="293"/>
        <v>301.8186921767068</v>
      </c>
      <c r="X545" s="5"/>
      <c r="Y545" s="863"/>
      <c r="Z545" s="882"/>
      <c r="AA545" s="35"/>
      <c r="AB545" s="871"/>
      <c r="AC545" s="380" t="s">
        <v>749</v>
      </c>
      <c r="AD545" s="882"/>
      <c r="AE545" s="35"/>
      <c r="AK545" s="35"/>
      <c r="AL545" s="871"/>
      <c r="AM545" s="46"/>
      <c r="AN545" s="633">
        <v>450.91712611200001</v>
      </c>
      <c r="AO545" s="633">
        <v>1.494</v>
      </c>
      <c r="AP545" s="599"/>
      <c r="AQ545" s="580">
        <f t="shared" si="291"/>
        <v>0.23132968880070068</v>
      </c>
      <c r="AR545" s="599">
        <f t="shared" si="292"/>
        <v>5640.0556051937174</v>
      </c>
      <c r="AT545" s="694">
        <f t="shared" si="294"/>
        <v>7.9949056831419743E-2</v>
      </c>
      <c r="AU545" s="663">
        <f t="shared" si="274"/>
        <v>1.494</v>
      </c>
      <c r="AW545" s="871"/>
      <c r="AY545" s="908"/>
      <c r="AZ545" s="760">
        <v>1938</v>
      </c>
      <c r="BA545" s="293"/>
    </row>
    <row r="546" spans="2:53">
      <c r="B546" s="991"/>
      <c r="C546" s="871"/>
      <c r="D546" s="871"/>
      <c r="E546" s="927"/>
      <c r="F546" s="871"/>
      <c r="G546" s="871"/>
      <c r="H546" s="871"/>
      <c r="I546" s="871"/>
      <c r="J546" s="221"/>
      <c r="K546" s="35"/>
      <c r="L546" s="533" t="s">
        <v>651</v>
      </c>
      <c r="M546" s="363">
        <v>1.2445999999999999</v>
      </c>
      <c r="N546" s="364">
        <v>12.7</v>
      </c>
      <c r="O546" s="364"/>
      <c r="P546" s="365"/>
      <c r="Q546" s="331">
        <v>10.050000000000001</v>
      </c>
      <c r="R546" s="35"/>
      <c r="S546" s="871"/>
      <c r="T546" s="860" t="s">
        <v>522</v>
      </c>
      <c r="U546" s="65"/>
      <c r="V546" s="49">
        <v>73153.374740800005</v>
      </c>
      <c r="W546" s="49">
        <f t="shared" si="293"/>
        <v>297.01991107344634</v>
      </c>
      <c r="X546" s="5"/>
      <c r="Y546" s="863"/>
      <c r="Z546" s="882"/>
      <c r="AA546" s="35"/>
      <c r="AB546" s="871"/>
      <c r="AC546" s="380" t="s">
        <v>749</v>
      </c>
      <c r="AD546" s="882"/>
      <c r="AE546" s="35"/>
      <c r="AK546" s="35"/>
      <c r="AL546" s="871"/>
      <c r="AM546" s="46"/>
      <c r="AN546" s="633">
        <v>420.58019408000001</v>
      </c>
      <c r="AO546" s="633">
        <v>1.4159999999999999</v>
      </c>
      <c r="AP546" s="599"/>
      <c r="AQ546" s="580">
        <f t="shared" si="291"/>
        <v>0.25965655543785615</v>
      </c>
      <c r="AR546" s="599">
        <f t="shared" si="292"/>
        <v>4405.4165672408635</v>
      </c>
      <c r="AT546" s="694">
        <f t="shared" si="294"/>
        <v>9.5468881923103058E-2</v>
      </c>
      <c r="AU546" s="663">
        <f t="shared" si="274"/>
        <v>1.4159999999999999</v>
      </c>
      <c r="AW546" s="871"/>
      <c r="AY546" s="908"/>
      <c r="AZ546" s="760">
        <v>1938</v>
      </c>
      <c r="BA546" s="293"/>
    </row>
    <row r="547" spans="2:53">
      <c r="B547" s="991"/>
      <c r="C547" s="871"/>
      <c r="D547" s="871"/>
      <c r="E547" s="927"/>
      <c r="F547" s="871"/>
      <c r="G547" s="871"/>
      <c r="H547" s="871"/>
      <c r="I547" s="871"/>
      <c r="J547" s="221"/>
      <c r="K547" s="35"/>
      <c r="L547" s="533" t="s">
        <v>652</v>
      </c>
      <c r="M547" s="363">
        <v>1.2445999999999999</v>
      </c>
      <c r="N547" s="364">
        <v>12.7</v>
      </c>
      <c r="O547" s="364"/>
      <c r="P547" s="365"/>
      <c r="Q547" s="331">
        <v>10.1</v>
      </c>
      <c r="R547" s="35"/>
      <c r="S547" s="871"/>
      <c r="T547" s="860" t="s">
        <v>522</v>
      </c>
      <c r="U547" s="65"/>
      <c r="V547" s="49">
        <v>73153.374740800005</v>
      </c>
      <c r="W547" s="49">
        <f t="shared" si="293"/>
        <v>297.01238317919888</v>
      </c>
      <c r="X547" s="5"/>
      <c r="Y547" s="863"/>
      <c r="Z547" s="882"/>
      <c r="AA547" s="35"/>
      <c r="AB547" s="871"/>
      <c r="AC547" s="380" t="s">
        <v>749</v>
      </c>
      <c r="AD547" s="882"/>
      <c r="AE547" s="35"/>
      <c r="AK547" s="35"/>
      <c r="AL547" s="871"/>
      <c r="AM547" s="46"/>
      <c r="AN547" s="633">
        <v>422.64862126400004</v>
      </c>
      <c r="AO547" s="633">
        <v>1.423</v>
      </c>
      <c r="AP547" s="599"/>
      <c r="AQ547" s="580">
        <f t="shared" si="291"/>
        <v>0.26029836722590582</v>
      </c>
      <c r="AR547" s="599">
        <f t="shared" si="292"/>
        <v>4383.6075743337306</v>
      </c>
      <c r="AT547" s="694">
        <f t="shared" si="294"/>
        <v>9.6415706492212386E-2</v>
      </c>
      <c r="AU547" s="663">
        <f t="shared" si="274"/>
        <v>1.423</v>
      </c>
      <c r="AW547" s="871"/>
      <c r="AY547" s="908"/>
      <c r="AZ547" s="760">
        <v>1938</v>
      </c>
      <c r="BA547" s="293"/>
    </row>
    <row r="548" spans="2:53">
      <c r="B548" s="991"/>
      <c r="C548" s="871"/>
      <c r="D548" s="871"/>
      <c r="E548" s="927"/>
      <c r="F548" s="871"/>
      <c r="G548" s="871"/>
      <c r="H548" s="871"/>
      <c r="I548" s="871"/>
      <c r="J548" s="221"/>
      <c r="K548" s="35"/>
      <c r="L548" s="533" t="s">
        <v>653</v>
      </c>
      <c r="M548" s="363">
        <v>1.4732000000000001</v>
      </c>
      <c r="N548" s="364">
        <v>19.049999999999997</v>
      </c>
      <c r="O548" s="364"/>
      <c r="P548" s="365"/>
      <c r="Q548" s="331">
        <v>12.8</v>
      </c>
      <c r="R548" s="35"/>
      <c r="S548" s="871"/>
      <c r="T548" s="860" t="s">
        <v>522</v>
      </c>
      <c r="U548" s="65"/>
      <c r="V548" s="49">
        <v>73153.374740800005</v>
      </c>
      <c r="W548" s="49">
        <f t="shared" si="293"/>
        <v>286.93438529305132</v>
      </c>
      <c r="X548" s="5"/>
      <c r="Y548" s="863"/>
      <c r="Z548" s="882"/>
      <c r="AA548" s="35"/>
      <c r="AB548" s="871"/>
      <c r="AC548" s="380" t="s">
        <v>749</v>
      </c>
      <c r="AD548" s="882"/>
      <c r="AE548" s="35"/>
      <c r="AK548" s="35"/>
      <c r="AL548" s="871"/>
      <c r="AM548" s="46"/>
      <c r="AN548" s="633">
        <v>379.90112612799999</v>
      </c>
      <c r="AO548" s="633">
        <v>1.3240000000000001</v>
      </c>
      <c r="AP548" s="599"/>
      <c r="AQ548" s="580">
        <f t="shared" si="291"/>
        <v>0.28801808700427434</v>
      </c>
      <c r="AR548" s="599">
        <f t="shared" si="292"/>
        <v>3458.9403516227094</v>
      </c>
      <c r="AT548" s="694">
        <f t="shared" si="294"/>
        <v>0.10983165001668073</v>
      </c>
      <c r="AU548" s="663">
        <f t="shared" si="274"/>
        <v>1.3240000000000001</v>
      </c>
      <c r="AW548" s="871"/>
      <c r="AY548" s="908"/>
      <c r="AZ548" s="760">
        <v>1938</v>
      </c>
      <c r="BA548" s="293"/>
    </row>
    <row r="549" spans="2:53">
      <c r="B549" s="991"/>
      <c r="C549" s="871"/>
      <c r="D549" s="871"/>
      <c r="E549" s="927"/>
      <c r="F549" s="871"/>
      <c r="G549" s="871"/>
      <c r="H549" s="871"/>
      <c r="I549" s="871"/>
      <c r="J549" s="221"/>
      <c r="K549" s="35"/>
      <c r="L549" s="533" t="s">
        <v>654</v>
      </c>
      <c r="M549" s="363">
        <v>1.4732000000000001</v>
      </c>
      <c r="N549" s="364">
        <v>19.049999999999997</v>
      </c>
      <c r="O549" s="364"/>
      <c r="P549" s="365"/>
      <c r="Q549" s="331">
        <v>12.9</v>
      </c>
      <c r="R549" s="35"/>
      <c r="S549" s="871"/>
      <c r="T549" s="860" t="s">
        <v>522</v>
      </c>
      <c r="U549" s="65"/>
      <c r="V549" s="49">
        <v>73153.374740800005</v>
      </c>
      <c r="W549" s="49">
        <f t="shared" si="293"/>
        <v>265.47947318518516</v>
      </c>
      <c r="X549" s="5"/>
      <c r="Y549" s="863"/>
      <c r="Z549" s="882"/>
      <c r="AA549" s="35"/>
      <c r="AB549" s="871"/>
      <c r="AC549" s="380" t="s">
        <v>749</v>
      </c>
      <c r="AD549" s="882"/>
      <c r="AE549" s="35"/>
      <c r="AK549" s="35"/>
      <c r="AL549" s="871"/>
      <c r="AM549" s="46"/>
      <c r="AN549" s="633">
        <v>379.90112612799999</v>
      </c>
      <c r="AO549" s="633">
        <v>1.431</v>
      </c>
      <c r="AP549" s="599"/>
      <c r="AQ549" s="580">
        <f t="shared" si="291"/>
        <v>0.27812101617518964</v>
      </c>
      <c r="AR549" s="599">
        <f t="shared" si="292"/>
        <v>3432.1268605248588</v>
      </c>
      <c r="AT549" s="694">
        <f t="shared" si="294"/>
        <v>0.11068970978243604</v>
      </c>
      <c r="AU549" s="663">
        <f t="shared" si="274"/>
        <v>1.431</v>
      </c>
      <c r="AW549" s="871"/>
      <c r="AY549" s="908"/>
      <c r="AZ549" s="760">
        <v>1938</v>
      </c>
      <c r="BA549" s="293"/>
    </row>
    <row r="550" spans="2:53">
      <c r="B550" s="991"/>
      <c r="C550" s="871"/>
      <c r="D550" s="871"/>
      <c r="E550" s="927"/>
      <c r="F550" s="871"/>
      <c r="G550" s="871"/>
      <c r="H550" s="871"/>
      <c r="I550" s="871"/>
      <c r="J550" s="221"/>
      <c r="K550" s="35"/>
      <c r="L550" s="533" t="s">
        <v>655</v>
      </c>
      <c r="M550" s="363">
        <v>1.4732000000000001</v>
      </c>
      <c r="N550" s="364">
        <v>19.049999999999997</v>
      </c>
      <c r="O550" s="364"/>
      <c r="P550" s="365"/>
      <c r="Q550" s="331">
        <v>12.95</v>
      </c>
      <c r="R550" s="35"/>
      <c r="S550" s="871"/>
      <c r="T550" s="860" t="s">
        <v>522</v>
      </c>
      <c r="U550" s="65"/>
      <c r="V550" s="49">
        <v>73153.374740800005</v>
      </c>
      <c r="W550" s="49">
        <f t="shared" si="293"/>
        <v>286.51546919111109</v>
      </c>
      <c r="X550" s="5"/>
      <c r="Y550" s="863"/>
      <c r="Z550" s="882"/>
      <c r="AA550" s="35"/>
      <c r="AB550" s="871"/>
      <c r="AC550" s="380" t="s">
        <v>749</v>
      </c>
      <c r="AD550" s="882"/>
      <c r="AE550" s="35"/>
      <c r="AK550" s="35"/>
      <c r="AL550" s="871"/>
      <c r="AM550" s="46"/>
      <c r="AN550" s="633">
        <v>386.79588340800001</v>
      </c>
      <c r="AO550" s="633">
        <v>1.35</v>
      </c>
      <c r="AP550" s="599"/>
      <c r="AQ550" s="580">
        <f t="shared" si="291"/>
        <v>0.28948922286141932</v>
      </c>
      <c r="AR550" s="599">
        <f t="shared" si="292"/>
        <v>3418.8754054649175</v>
      </c>
      <c r="AT550" s="694">
        <f t="shared" si="294"/>
        <v>0.11313541370642648</v>
      </c>
      <c r="AU550" s="663">
        <f t="shared" si="274"/>
        <v>1.35</v>
      </c>
      <c r="AW550" s="871"/>
      <c r="AY550" s="908"/>
      <c r="AZ550" s="760">
        <v>1938</v>
      </c>
      <c r="BA550" s="293"/>
    </row>
    <row r="551" spans="2:53">
      <c r="B551" s="991"/>
      <c r="C551" s="871"/>
      <c r="D551" s="871"/>
      <c r="E551" s="927"/>
      <c r="F551" s="871"/>
      <c r="G551" s="871"/>
      <c r="H551" s="871"/>
      <c r="I551" s="871"/>
      <c r="J551" s="221"/>
      <c r="K551" s="35"/>
      <c r="L551" s="533" t="s">
        <v>656</v>
      </c>
      <c r="M551" s="363">
        <v>1.4732000000000001</v>
      </c>
      <c r="N551" s="364">
        <v>19.049999999999997</v>
      </c>
      <c r="O551" s="364"/>
      <c r="P551" s="365"/>
      <c r="Q551" s="331">
        <v>12.95</v>
      </c>
      <c r="R551" s="35"/>
      <c r="S551" s="871"/>
      <c r="T551" s="860" t="s">
        <v>522</v>
      </c>
      <c r="U551" s="65"/>
      <c r="V551" s="49">
        <v>73153.374740800005</v>
      </c>
      <c r="W551" s="49">
        <f t="shared" si="293"/>
        <v>265.44571552158527</v>
      </c>
      <c r="X551" s="5"/>
      <c r="Y551" s="863"/>
      <c r="Z551" s="882"/>
      <c r="AA551" s="35"/>
      <c r="AB551" s="871"/>
      <c r="AC551" s="380" t="s">
        <v>749</v>
      </c>
      <c r="AD551" s="882"/>
      <c r="AE551" s="35"/>
      <c r="AK551" s="35"/>
      <c r="AL551" s="871"/>
      <c r="AM551" s="46"/>
      <c r="AN551" s="633">
        <v>375.07479603199999</v>
      </c>
      <c r="AO551" s="633">
        <v>1.413</v>
      </c>
      <c r="AP551" s="599"/>
      <c r="AQ551" s="580">
        <f t="shared" si="291"/>
        <v>0.27864177175816857</v>
      </c>
      <c r="AR551" s="599">
        <f t="shared" si="292"/>
        <v>3418.8754054649175</v>
      </c>
      <c r="AT551" s="694">
        <f t="shared" si="294"/>
        <v>0.10970706783653476</v>
      </c>
      <c r="AU551" s="663">
        <f t="shared" si="274"/>
        <v>1.413</v>
      </c>
      <c r="AW551" s="871"/>
      <c r="AY551" s="908"/>
      <c r="AZ551" s="760">
        <v>1938</v>
      </c>
      <c r="BA551" s="293"/>
    </row>
    <row r="552" spans="2:53">
      <c r="B552" s="991"/>
      <c r="C552" s="871"/>
      <c r="D552" s="871"/>
      <c r="E552" s="927"/>
      <c r="F552" s="871"/>
      <c r="G552" s="871"/>
      <c r="H552" s="871"/>
      <c r="I552" s="871"/>
      <c r="J552" s="221"/>
      <c r="K552" s="35"/>
      <c r="L552" s="533" t="s">
        <v>657</v>
      </c>
      <c r="M552" s="363">
        <v>0.71119999999999994</v>
      </c>
      <c r="N552" s="364">
        <v>12.7</v>
      </c>
      <c r="O552" s="364"/>
      <c r="P552" s="365"/>
      <c r="Q552" s="331">
        <v>17.649999999999999</v>
      </c>
      <c r="R552" s="35"/>
      <c r="S552" s="871"/>
      <c r="T552" s="860" t="s">
        <v>522</v>
      </c>
      <c r="U552" s="65"/>
      <c r="V552" s="49">
        <v>73153.374740800005</v>
      </c>
      <c r="W552" s="49">
        <f t="shared" si="293"/>
        <v>262.18768271084338</v>
      </c>
      <c r="X552" s="5"/>
      <c r="Y552" s="863"/>
      <c r="Z552" s="882"/>
      <c r="AA552" s="35"/>
      <c r="AB552" s="871"/>
      <c r="AC552" s="380" t="s">
        <v>749</v>
      </c>
      <c r="AD552" s="882"/>
      <c r="AE552" s="35"/>
      <c r="AK552" s="35"/>
      <c r="AL552" s="871"/>
      <c r="AM552" s="46"/>
      <c r="AN552" s="633">
        <v>348.18524264000001</v>
      </c>
      <c r="AO552" s="633">
        <v>1.3280000000000001</v>
      </c>
      <c r="AP552" s="599"/>
      <c r="AQ552" s="580">
        <f t="shared" si="291"/>
        <v>0.32329722449730114</v>
      </c>
      <c r="AR552" s="599">
        <f t="shared" si="292"/>
        <v>2508.466657267461</v>
      </c>
      <c r="AT552" s="694">
        <f t="shared" si="294"/>
        <v>0.13880401464825026</v>
      </c>
      <c r="AU552" s="663">
        <f t="shared" si="274"/>
        <v>1.3280000000000001</v>
      </c>
      <c r="AW552" s="871"/>
      <c r="AY552" s="908"/>
      <c r="AZ552" s="760">
        <v>1938</v>
      </c>
      <c r="BA552" s="293"/>
    </row>
    <row r="553" spans="2:53">
      <c r="B553" s="991"/>
      <c r="C553" s="871"/>
      <c r="D553" s="871"/>
      <c r="E553" s="927"/>
      <c r="F553" s="871"/>
      <c r="G553" s="871"/>
      <c r="H553" s="871"/>
      <c r="I553" s="871"/>
      <c r="J553" s="221"/>
      <c r="K553" s="35"/>
      <c r="L553" s="533" t="s">
        <v>658</v>
      </c>
      <c r="M553" s="331">
        <v>0.71119999999999994</v>
      </c>
      <c r="N553" s="364">
        <v>12.7</v>
      </c>
      <c r="O553" s="366"/>
      <c r="P553" s="365"/>
      <c r="Q553" s="331">
        <v>17.649999999999999</v>
      </c>
      <c r="R553" s="35"/>
      <c r="S553" s="871"/>
      <c r="T553" s="860" t="s">
        <v>522</v>
      </c>
      <c r="U553" s="5"/>
      <c r="V553" s="49">
        <v>73153.374740800005</v>
      </c>
      <c r="W553" s="49">
        <f t="shared" si="293"/>
        <v>262.18768271084338</v>
      </c>
      <c r="X553" s="5"/>
      <c r="Y553" s="863"/>
      <c r="Z553" s="882"/>
      <c r="AA553" s="35"/>
      <c r="AB553" s="871"/>
      <c r="AC553" s="380" t="s">
        <v>749</v>
      </c>
      <c r="AD553" s="882"/>
      <c r="AE553" s="35"/>
      <c r="AK553" s="35"/>
      <c r="AL553" s="871"/>
      <c r="AN553" s="633">
        <v>348.18524264000001</v>
      </c>
      <c r="AO553" s="633">
        <v>1.3280000000000001</v>
      </c>
      <c r="AQ553" s="580">
        <f t="shared" ref="AQ553:AQ570" si="295">SQRT(1/(AO553/AN553*AR553))</f>
        <v>0.32329722449730114</v>
      </c>
      <c r="AR553" s="599">
        <f t="shared" ref="AR553:AR570" si="296">V553/SQRT(3*(1-0.3^2))/Q553</f>
        <v>2508.466657267461</v>
      </c>
      <c r="AT553" s="694">
        <f t="shared" si="294"/>
        <v>0.13880401464825026</v>
      </c>
      <c r="AU553" s="663">
        <f t="shared" si="274"/>
        <v>1.3280000000000001</v>
      </c>
      <c r="AW553" s="871"/>
      <c r="AY553" s="908"/>
      <c r="AZ553" s="760">
        <v>1938</v>
      </c>
      <c r="BA553" s="293"/>
    </row>
    <row r="554" spans="2:53">
      <c r="B554" s="991"/>
      <c r="C554" s="871"/>
      <c r="D554" s="871"/>
      <c r="E554" s="927"/>
      <c r="F554" s="871"/>
      <c r="G554" s="871"/>
      <c r="H554" s="871"/>
      <c r="I554" s="871"/>
      <c r="J554" s="221"/>
      <c r="K554" s="35"/>
      <c r="L554" s="533" t="s">
        <v>659</v>
      </c>
      <c r="M554" s="331">
        <v>0.81279999999999997</v>
      </c>
      <c r="N554" s="331">
        <v>19.049999999999997</v>
      </c>
      <c r="O554" s="145"/>
      <c r="P554" s="365"/>
      <c r="Q554" s="331">
        <v>22.95</v>
      </c>
      <c r="R554" s="35"/>
      <c r="S554" s="871"/>
      <c r="T554" s="860" t="s">
        <v>522</v>
      </c>
      <c r="U554" s="5"/>
      <c r="V554" s="49">
        <v>73153.374740800005</v>
      </c>
      <c r="W554" s="49">
        <f t="shared" si="293"/>
        <v>273.26111388835727</v>
      </c>
      <c r="X554" s="5"/>
      <c r="Y554" s="863"/>
      <c r="Z554" s="882"/>
      <c r="AA554" s="35"/>
      <c r="AB554" s="871"/>
      <c r="AC554" s="380" t="s">
        <v>749</v>
      </c>
      <c r="AD554" s="882"/>
      <c r="AE554" s="35"/>
      <c r="AK554" s="35"/>
      <c r="AL554" s="871"/>
      <c r="AN554" s="633">
        <v>342.66943681600003</v>
      </c>
      <c r="AO554" s="633">
        <v>1.254</v>
      </c>
      <c r="AQ554" s="580">
        <f t="shared" si="295"/>
        <v>0.37636024351929254</v>
      </c>
      <c r="AR554" s="599">
        <f t="shared" si="296"/>
        <v>1929.1693464388097</v>
      </c>
      <c r="AT554" s="694">
        <f t="shared" ref="AT554:AT570" si="297">AN554/AR554</f>
        <v>0.17762537925898408</v>
      </c>
      <c r="AU554" s="663">
        <f t="shared" si="274"/>
        <v>1.254</v>
      </c>
      <c r="AW554" s="871"/>
      <c r="AY554" s="908"/>
      <c r="AZ554" s="760">
        <v>1938</v>
      </c>
      <c r="BA554" s="293"/>
    </row>
    <row r="555" spans="2:53">
      <c r="B555" s="991"/>
      <c r="C555" s="871"/>
      <c r="D555" s="871"/>
      <c r="E555" s="927"/>
      <c r="F555" s="871"/>
      <c r="G555" s="871"/>
      <c r="H555" s="871"/>
      <c r="I555" s="871"/>
      <c r="J555" s="221"/>
      <c r="K555" s="35"/>
      <c r="L555" s="533" t="s">
        <v>660</v>
      </c>
      <c r="M555" s="331">
        <v>0.81279999999999997</v>
      </c>
      <c r="N555" s="331">
        <v>19.049999999999997</v>
      </c>
      <c r="O555" s="145"/>
      <c r="P555" s="365"/>
      <c r="Q555" s="331">
        <v>22.95</v>
      </c>
      <c r="R555" s="35"/>
      <c r="S555" s="871"/>
      <c r="T555" s="860" t="s">
        <v>522</v>
      </c>
      <c r="U555" s="5"/>
      <c r="V555" s="863">
        <v>73153.374740800005</v>
      </c>
      <c r="W555" s="49">
        <f t="shared" si="293"/>
        <v>277.35601061476075</v>
      </c>
      <c r="X555" s="5"/>
      <c r="Y555" s="863"/>
      <c r="Z555" s="882"/>
      <c r="AA555" s="35"/>
      <c r="AB555" s="871"/>
      <c r="AC555" s="380" t="s">
        <v>749</v>
      </c>
      <c r="AD555" s="882"/>
      <c r="AE555" s="35"/>
      <c r="AK555" s="35"/>
      <c r="AL555" s="871"/>
      <c r="AN555" s="633">
        <v>341.97996108800004</v>
      </c>
      <c r="AO555" s="633">
        <v>1.2330000000000001</v>
      </c>
      <c r="AQ555" s="580">
        <f t="shared" si="295"/>
        <v>0.37916969104399589</v>
      </c>
      <c r="AR555" s="599">
        <f t="shared" si="296"/>
        <v>1929.1693464388097</v>
      </c>
      <c r="AT555" s="694">
        <f t="shared" si="297"/>
        <v>0.17726798412969036</v>
      </c>
      <c r="AU555" s="663">
        <f t="shared" si="274"/>
        <v>1.2330000000000001</v>
      </c>
      <c r="AW555" s="871"/>
      <c r="AY555" s="908"/>
      <c r="AZ555" s="760">
        <v>1938</v>
      </c>
      <c r="BA555" s="293"/>
    </row>
    <row r="556" spans="2:53">
      <c r="B556" s="991"/>
      <c r="C556" s="871"/>
      <c r="D556" s="871"/>
      <c r="E556" s="927"/>
      <c r="F556" s="871"/>
      <c r="G556" s="871"/>
      <c r="H556" s="871"/>
      <c r="I556" s="871"/>
      <c r="J556" s="221"/>
      <c r="K556" s="35"/>
      <c r="L556" s="533" t="s">
        <v>661</v>
      </c>
      <c r="M556" s="331">
        <v>1.0668</v>
      </c>
      <c r="N556" s="331">
        <v>25.4</v>
      </c>
      <c r="O556" s="145"/>
      <c r="P556" s="365"/>
      <c r="Q556" s="331">
        <v>23.65</v>
      </c>
      <c r="R556" s="35"/>
      <c r="S556" s="871"/>
      <c r="T556" s="860" t="s">
        <v>522</v>
      </c>
      <c r="U556" s="5"/>
      <c r="V556" s="863">
        <v>73153.374740800005</v>
      </c>
      <c r="W556" s="49">
        <f t="shared" si="293"/>
        <v>286.03458832721208</v>
      </c>
      <c r="X556" s="5"/>
      <c r="Y556" s="863"/>
      <c r="Z556" s="882"/>
      <c r="AA556" s="35"/>
      <c r="AB556" s="871"/>
      <c r="AC556" s="380" t="s">
        <v>749</v>
      </c>
      <c r="AD556" s="882"/>
      <c r="AE556" s="35"/>
      <c r="AK556" s="35"/>
      <c r="AL556" s="871"/>
      <c r="AN556" s="633">
        <v>342.66943681600003</v>
      </c>
      <c r="AO556" s="633">
        <v>1.198</v>
      </c>
      <c r="AQ556" s="580">
        <f t="shared" si="295"/>
        <v>0.39088439044414336</v>
      </c>
      <c r="AR556" s="599">
        <f t="shared" si="296"/>
        <v>1872.0691966499232</v>
      </c>
      <c r="AT556" s="694">
        <f t="shared" si="297"/>
        <v>0.18304314681808162</v>
      </c>
      <c r="AU556" s="663">
        <f t="shared" si="274"/>
        <v>1.198</v>
      </c>
      <c r="AW556" s="871"/>
      <c r="AY556" s="908"/>
      <c r="AZ556" s="760">
        <v>1938</v>
      </c>
      <c r="BA556" s="293"/>
    </row>
    <row r="557" spans="2:53">
      <c r="B557" s="991"/>
      <c r="C557" s="871"/>
      <c r="D557" s="871"/>
      <c r="E557" s="927"/>
      <c r="F557" s="871"/>
      <c r="G557" s="871"/>
      <c r="H557" s="871"/>
      <c r="I557" s="871"/>
      <c r="J557" s="221"/>
      <c r="K557" s="35"/>
      <c r="L557" s="533" t="s">
        <v>662</v>
      </c>
      <c r="M557" s="331">
        <v>1.0668</v>
      </c>
      <c r="N557" s="331">
        <v>25.4</v>
      </c>
      <c r="O557" s="145"/>
      <c r="P557" s="365"/>
      <c r="Q557" s="331">
        <v>23.7</v>
      </c>
      <c r="R557" s="35"/>
      <c r="S557" s="871"/>
      <c r="T557" s="860" t="s">
        <v>522</v>
      </c>
      <c r="U557" s="5"/>
      <c r="V557" s="863">
        <v>73153.374740800005</v>
      </c>
      <c r="W557" s="49">
        <f t="shared" si="293"/>
        <v>284.10271533608585</v>
      </c>
      <c r="X557" s="5"/>
      <c r="Y557" s="863"/>
      <c r="Z557" s="882"/>
      <c r="AA557" s="35"/>
      <c r="AB557" s="871"/>
      <c r="AC557" s="380" t="s">
        <v>749</v>
      </c>
      <c r="AD557" s="882"/>
      <c r="AE557" s="35"/>
      <c r="AK557" s="35"/>
      <c r="AL557" s="871"/>
      <c r="AN557" s="633">
        <v>344.04838827200001</v>
      </c>
      <c r="AO557" s="633">
        <v>1.2110000000000001</v>
      </c>
      <c r="AQ557" s="580">
        <f t="shared" si="295"/>
        <v>0.38997372249711054</v>
      </c>
      <c r="AR557" s="599">
        <f t="shared" si="296"/>
        <v>1868.1196835768219</v>
      </c>
      <c r="AT557" s="694">
        <f t="shared" si="297"/>
        <v>0.18416827963252486</v>
      </c>
      <c r="AU557" s="663">
        <f t="shared" si="274"/>
        <v>1.2110000000000001</v>
      </c>
      <c r="AW557" s="871"/>
      <c r="AY557" s="908"/>
      <c r="AZ557" s="760">
        <v>1938</v>
      </c>
      <c r="BA557" s="293"/>
    </row>
    <row r="558" spans="2:53">
      <c r="B558" s="991"/>
      <c r="C558" s="871"/>
      <c r="D558" s="871"/>
      <c r="E558" s="927"/>
      <c r="F558" s="871"/>
      <c r="G558" s="871"/>
      <c r="H558" s="871"/>
      <c r="I558" s="871"/>
      <c r="J558" s="221"/>
      <c r="K558" s="35"/>
      <c r="L558" s="533" t="s">
        <v>663</v>
      </c>
      <c r="M558" s="331">
        <v>0.88900000000000001</v>
      </c>
      <c r="N558" s="331">
        <v>25.4</v>
      </c>
      <c r="O558" s="145"/>
      <c r="P558" s="365"/>
      <c r="Q558" s="331">
        <v>27.9</v>
      </c>
      <c r="R558" s="35"/>
      <c r="S558" s="871"/>
      <c r="T558" s="860" t="s">
        <v>522</v>
      </c>
      <c r="U558" s="5"/>
      <c r="V558" s="863">
        <v>73153.374740800005</v>
      </c>
      <c r="W558" s="49">
        <f t="shared" si="293"/>
        <v>285.62322178607809</v>
      </c>
      <c r="X558" s="5"/>
      <c r="Y558" s="863"/>
      <c r="Z558" s="882"/>
      <c r="AA558" s="35"/>
      <c r="AB558" s="871"/>
      <c r="AC558" s="380" t="s">
        <v>749</v>
      </c>
      <c r="AD558" s="882"/>
      <c r="AE558" s="35"/>
      <c r="AK558" s="35"/>
      <c r="AL558" s="871"/>
      <c r="AN558" s="633">
        <v>336.464155264</v>
      </c>
      <c r="AO558" s="633">
        <v>1.1779999999999999</v>
      </c>
      <c r="AQ558" s="580">
        <f t="shared" si="295"/>
        <v>0.42425047498696711</v>
      </c>
      <c r="AR558" s="599">
        <f t="shared" si="296"/>
        <v>1586.8973656190208</v>
      </c>
      <c r="AT558" s="694">
        <f t="shared" si="297"/>
        <v>0.21202641239041395</v>
      </c>
      <c r="AU558" s="663">
        <f t="shared" si="274"/>
        <v>1.1779999999999999</v>
      </c>
      <c r="AW558" s="871"/>
      <c r="AY558" s="908"/>
      <c r="AZ558" s="760">
        <v>1938</v>
      </c>
      <c r="BA558" s="293"/>
    </row>
    <row r="559" spans="2:53">
      <c r="B559" s="991"/>
      <c r="C559" s="871"/>
      <c r="D559" s="871"/>
      <c r="E559" s="927"/>
      <c r="F559" s="871"/>
      <c r="G559" s="871"/>
      <c r="H559" s="871"/>
      <c r="I559" s="871"/>
      <c r="J559" s="221"/>
      <c r="K559" s="35"/>
      <c r="L559" s="533" t="s">
        <v>664</v>
      </c>
      <c r="M559" s="331">
        <v>0.88900000000000001</v>
      </c>
      <c r="N559" s="331">
        <v>25.4</v>
      </c>
      <c r="O559" s="145"/>
      <c r="P559" s="365"/>
      <c r="Q559" s="331">
        <v>27.95</v>
      </c>
      <c r="R559" s="35"/>
      <c r="S559" s="871"/>
      <c r="T559" s="860" t="s">
        <v>522</v>
      </c>
      <c r="U559" s="5"/>
      <c r="V559" s="863">
        <v>73153.374740800005</v>
      </c>
      <c r="W559" s="49">
        <f t="shared" si="293"/>
        <v>284.00532115063834</v>
      </c>
      <c r="X559" s="5"/>
      <c r="Y559" s="863"/>
      <c r="Z559" s="882"/>
      <c r="AA559" s="35"/>
      <c r="AB559" s="871"/>
      <c r="AC559" s="380" t="s">
        <v>749</v>
      </c>
      <c r="AD559" s="882"/>
      <c r="AE559" s="35"/>
      <c r="AK559" s="35"/>
      <c r="AL559" s="871"/>
      <c r="AN559" s="633">
        <v>333.70625235200004</v>
      </c>
      <c r="AO559" s="633">
        <v>1.175</v>
      </c>
      <c r="AQ559" s="580">
        <f t="shared" si="295"/>
        <v>0.42342609902808787</v>
      </c>
      <c r="AR559" s="599">
        <f t="shared" si="296"/>
        <v>1584.0585510114734</v>
      </c>
      <c r="AT559" s="694">
        <f t="shared" si="297"/>
        <v>0.21066535207231932</v>
      </c>
      <c r="AU559" s="663">
        <f t="shared" si="274"/>
        <v>1.175</v>
      </c>
      <c r="AW559" s="871"/>
      <c r="AY559" s="908"/>
      <c r="AZ559" s="760">
        <v>1938</v>
      </c>
      <c r="BA559" s="293"/>
    </row>
    <row r="560" spans="2:53">
      <c r="B560" s="991"/>
      <c r="C560" s="871"/>
      <c r="D560" s="871"/>
      <c r="E560" s="927"/>
      <c r="F560" s="871"/>
      <c r="G560" s="871"/>
      <c r="H560" s="871"/>
      <c r="I560" s="871"/>
      <c r="J560" s="221"/>
      <c r="K560" s="35"/>
      <c r="L560" s="533" t="s">
        <v>665</v>
      </c>
      <c r="M560" s="331">
        <v>0.63500000000000001</v>
      </c>
      <c r="N560" s="331">
        <v>19.049999999999997</v>
      </c>
      <c r="O560" s="145"/>
      <c r="P560" s="365"/>
      <c r="Q560" s="331">
        <v>30.7</v>
      </c>
      <c r="R560" s="35"/>
      <c r="S560" s="871"/>
      <c r="T560" s="860" t="s">
        <v>522</v>
      </c>
      <c r="U560" s="5"/>
      <c r="V560" s="863">
        <v>73153.374740800005</v>
      </c>
      <c r="W560" s="49">
        <f t="shared" si="293"/>
        <v>267.6445863966245</v>
      </c>
      <c r="X560" s="5"/>
      <c r="Y560" s="863"/>
      <c r="Z560" s="882"/>
      <c r="AA560" s="35"/>
      <c r="AB560" s="871"/>
      <c r="AC560" s="380" t="s">
        <v>749</v>
      </c>
      <c r="AD560" s="882"/>
      <c r="AE560" s="35"/>
      <c r="AK560" s="35"/>
      <c r="AL560" s="871"/>
      <c r="AN560" s="633">
        <v>317.15883488000003</v>
      </c>
      <c r="AO560" s="633">
        <v>1.1850000000000001</v>
      </c>
      <c r="AQ560" s="580">
        <f t="shared" si="295"/>
        <v>0.43079623415356721</v>
      </c>
      <c r="AR560" s="599">
        <f t="shared" si="296"/>
        <v>1442.1640553996965</v>
      </c>
      <c r="AT560" s="694">
        <f t="shared" si="297"/>
        <v>0.21991869350266069</v>
      </c>
      <c r="AU560" s="663">
        <f t="shared" si="274"/>
        <v>1.1850000000000001</v>
      </c>
      <c r="AW560" s="871"/>
      <c r="AY560" s="908"/>
      <c r="AZ560" s="760">
        <v>1938</v>
      </c>
      <c r="BA560" s="293"/>
    </row>
    <row r="561" spans="2:53">
      <c r="B561" s="991"/>
      <c r="C561" s="871"/>
      <c r="D561" s="871"/>
      <c r="E561" s="927"/>
      <c r="F561" s="871"/>
      <c r="G561" s="871"/>
      <c r="H561" s="871"/>
      <c r="I561" s="871"/>
      <c r="J561" s="221"/>
      <c r="K561" s="35"/>
      <c r="L561" s="533" t="s">
        <v>666</v>
      </c>
      <c r="M561" s="331">
        <v>0.63500000000000001</v>
      </c>
      <c r="N561" s="331">
        <v>19.049999999999997</v>
      </c>
      <c r="O561" s="145"/>
      <c r="P561" s="365"/>
      <c r="Q561" s="331">
        <v>30.75</v>
      </c>
      <c r="R561" s="35"/>
      <c r="S561" s="871"/>
      <c r="T561" s="860" t="s">
        <v>522</v>
      </c>
      <c r="U561" s="5"/>
      <c r="V561" s="863">
        <v>73153.374740800005</v>
      </c>
      <c r="W561" s="49">
        <f t="shared" si="293"/>
        <v>266.55881701757323</v>
      </c>
      <c r="X561" s="5"/>
      <c r="Y561" s="863"/>
      <c r="Z561" s="882"/>
      <c r="AA561" s="35"/>
      <c r="AB561" s="871"/>
      <c r="AC561" s="380" t="s">
        <v>749</v>
      </c>
      <c r="AD561" s="882"/>
      <c r="AE561" s="35"/>
      <c r="AK561" s="35"/>
      <c r="AL561" s="871"/>
      <c r="AN561" s="633">
        <v>318.53778633600001</v>
      </c>
      <c r="AO561" s="633">
        <v>1.1950000000000001</v>
      </c>
      <c r="AQ561" s="580">
        <f t="shared" si="295"/>
        <v>0.43027148458141312</v>
      </c>
      <c r="AR561" s="599">
        <f t="shared" si="296"/>
        <v>1439.8190731957945</v>
      </c>
      <c r="AT561" s="694">
        <f t="shared" si="297"/>
        <v>0.2212345927804524</v>
      </c>
      <c r="AU561" s="663">
        <f t="shared" si="274"/>
        <v>1.1950000000000001</v>
      </c>
      <c r="AW561" s="871"/>
      <c r="AY561" s="908"/>
      <c r="AZ561" s="760">
        <v>1938</v>
      </c>
      <c r="BA561" s="293"/>
    </row>
    <row r="562" spans="2:53">
      <c r="B562" s="991"/>
      <c r="C562" s="871"/>
      <c r="D562" s="871"/>
      <c r="E562" s="927"/>
      <c r="F562" s="871"/>
      <c r="G562" s="871"/>
      <c r="H562" s="871"/>
      <c r="I562" s="871"/>
      <c r="J562" s="221"/>
      <c r="K562" s="35"/>
      <c r="L562" s="533" t="s">
        <v>667</v>
      </c>
      <c r="M562" s="331">
        <v>0.63500000000000001</v>
      </c>
      <c r="N562" s="331">
        <v>19.049999999999997</v>
      </c>
      <c r="O562" s="145"/>
      <c r="P562" s="365"/>
      <c r="Q562" s="331">
        <v>30.75</v>
      </c>
      <c r="R562" s="35"/>
      <c r="S562" s="871"/>
      <c r="T562" s="860" t="s">
        <v>522</v>
      </c>
      <c r="U562" s="5"/>
      <c r="V562" s="863">
        <v>73153.374740800005</v>
      </c>
      <c r="W562" s="49">
        <f t="shared" si="293"/>
        <v>267.6445863966245</v>
      </c>
      <c r="X562" s="5"/>
      <c r="Y562" s="863"/>
      <c r="Z562" s="882"/>
      <c r="AA562" s="35"/>
      <c r="AB562" s="871"/>
      <c r="AC562" s="380" t="s">
        <v>749</v>
      </c>
      <c r="AD562" s="882"/>
      <c r="AE562" s="35"/>
      <c r="AK562" s="35"/>
      <c r="AL562" s="871"/>
      <c r="AN562" s="633">
        <v>317.15883488000003</v>
      </c>
      <c r="AO562" s="633">
        <v>1.1850000000000001</v>
      </c>
      <c r="AQ562" s="580">
        <f t="shared" si="295"/>
        <v>0.43114690269690109</v>
      </c>
      <c r="AR562" s="599">
        <f t="shared" si="296"/>
        <v>1439.8190731957945</v>
      </c>
      <c r="AT562" s="694">
        <f t="shared" si="297"/>
        <v>0.22027686727058032</v>
      </c>
      <c r="AU562" s="663">
        <f t="shared" si="274"/>
        <v>1.1850000000000001</v>
      </c>
      <c r="AW562" s="871"/>
      <c r="AY562" s="908"/>
      <c r="AZ562" s="760">
        <v>1938</v>
      </c>
      <c r="BA562" s="293"/>
    </row>
    <row r="563" spans="2:53">
      <c r="B563" s="991"/>
      <c r="C563" s="871"/>
      <c r="D563" s="871"/>
      <c r="E563" s="927"/>
      <c r="F563" s="871"/>
      <c r="G563" s="871"/>
      <c r="H563" s="871"/>
      <c r="I563" s="871"/>
      <c r="J563" s="221"/>
      <c r="K563" s="35"/>
      <c r="L563" s="533" t="s">
        <v>668</v>
      </c>
      <c r="M563" s="331">
        <v>0.81279999999999997</v>
      </c>
      <c r="N563" s="331">
        <v>25.4</v>
      </c>
      <c r="O563" s="145"/>
      <c r="P563" s="365"/>
      <c r="Q563" s="331">
        <v>31.1</v>
      </c>
      <c r="R563" s="35"/>
      <c r="S563" s="871"/>
      <c r="T563" s="860" t="s">
        <v>522</v>
      </c>
      <c r="U563" s="5"/>
      <c r="V563" s="863">
        <v>73153.374740800005</v>
      </c>
      <c r="W563" s="49">
        <f t="shared" si="293"/>
        <v>272.37820995221847</v>
      </c>
      <c r="X563" s="5"/>
      <c r="Y563" s="863"/>
      <c r="Z563" s="882"/>
      <c r="AA563" s="35"/>
      <c r="AB563" s="871"/>
      <c r="AC563" s="380" t="s">
        <v>749</v>
      </c>
      <c r="AD563" s="882"/>
      <c r="AE563" s="35"/>
      <c r="AK563" s="35"/>
      <c r="AL563" s="871"/>
      <c r="AN563" s="633">
        <v>319.227262064</v>
      </c>
      <c r="AO563" s="633">
        <v>1.1719999999999999</v>
      </c>
      <c r="AQ563" s="580">
        <f t="shared" si="295"/>
        <v>0.43741115462777957</v>
      </c>
      <c r="AR563" s="599">
        <f t="shared" si="296"/>
        <v>1423.6153215681891</v>
      </c>
      <c r="AT563" s="694">
        <f t="shared" si="297"/>
        <v>0.22423702332197012</v>
      </c>
      <c r="AU563" s="663">
        <f t="shared" si="274"/>
        <v>1.1719999999999999</v>
      </c>
      <c r="AW563" s="871"/>
      <c r="AY563" s="908"/>
      <c r="AZ563" s="760">
        <v>1938</v>
      </c>
      <c r="BA563" s="293"/>
    </row>
    <row r="564" spans="2:53">
      <c r="B564" s="991"/>
      <c r="C564" s="871"/>
      <c r="D564" s="871"/>
      <c r="E564" s="927"/>
      <c r="F564" s="871"/>
      <c r="G564" s="871"/>
      <c r="H564" s="871"/>
      <c r="I564" s="871"/>
      <c r="J564" s="221"/>
      <c r="K564" s="35"/>
      <c r="L564" s="533" t="s">
        <v>669</v>
      </c>
      <c r="M564" s="331">
        <v>0.81279999999999997</v>
      </c>
      <c r="N564" s="331">
        <v>25.4</v>
      </c>
      <c r="O564" s="145"/>
      <c r="P564" s="365"/>
      <c r="Q564" s="331">
        <v>31.85</v>
      </c>
      <c r="R564" s="35"/>
      <c r="S564" s="871"/>
      <c r="T564" s="860" t="s">
        <v>522</v>
      </c>
      <c r="U564" s="5"/>
      <c r="V564" s="863">
        <v>73153.374740800005</v>
      </c>
      <c r="W564" s="49">
        <f t="shared" si="293"/>
        <v>285.42488652576418</v>
      </c>
      <c r="X564" s="5"/>
      <c r="Y564" s="863"/>
      <c r="Z564" s="882"/>
      <c r="AA564" s="35"/>
      <c r="AB564" s="871"/>
      <c r="AC564" s="380" t="s">
        <v>749</v>
      </c>
      <c r="AD564" s="882"/>
      <c r="AE564" s="35"/>
      <c r="AK564" s="35"/>
      <c r="AL564" s="871"/>
      <c r="AN564" s="633">
        <v>326.81149507200001</v>
      </c>
      <c r="AO564" s="633">
        <v>1.145</v>
      </c>
      <c r="AQ564" s="580">
        <f t="shared" si="295"/>
        <v>0.45313135590429676</v>
      </c>
      <c r="AR564" s="599">
        <f t="shared" si="296"/>
        <v>1390.092197826395</v>
      </c>
      <c r="AT564" s="694">
        <f t="shared" si="297"/>
        <v>0.23510058943069806</v>
      </c>
      <c r="AU564" s="663">
        <f t="shared" si="274"/>
        <v>1.145</v>
      </c>
      <c r="AW564" s="871"/>
      <c r="AY564" s="908"/>
      <c r="AZ564" s="760">
        <v>1938</v>
      </c>
      <c r="BA564" s="293"/>
    </row>
    <row r="565" spans="2:53">
      <c r="B565" s="991"/>
      <c r="C565" s="871"/>
      <c r="D565" s="871"/>
      <c r="E565" s="927"/>
      <c r="F565" s="871"/>
      <c r="G565" s="871"/>
      <c r="H565" s="871"/>
      <c r="I565" s="871"/>
      <c r="J565" s="221"/>
      <c r="K565" s="35"/>
      <c r="L565" s="533" t="s">
        <v>670</v>
      </c>
      <c r="M565" s="331">
        <v>0.81279999999999997</v>
      </c>
      <c r="N565" s="331">
        <v>25.4</v>
      </c>
      <c r="O565" s="145"/>
      <c r="P565" s="365"/>
      <c r="Q565" s="331">
        <v>31.85</v>
      </c>
      <c r="R565" s="35"/>
      <c r="S565" s="871"/>
      <c r="T565" s="860" t="s">
        <v>522</v>
      </c>
      <c r="U565" s="5"/>
      <c r="V565" s="863">
        <v>73153.374740800005</v>
      </c>
      <c r="W565" s="49">
        <f t="shared" si="293"/>
        <v>284.00840680105171</v>
      </c>
      <c r="X565" s="5"/>
      <c r="Y565" s="863"/>
      <c r="Z565" s="882"/>
      <c r="AA565" s="35"/>
      <c r="AB565" s="871"/>
      <c r="AC565" s="380" t="s">
        <v>749</v>
      </c>
      <c r="AD565" s="882"/>
      <c r="AE565" s="35"/>
      <c r="AK565" s="35"/>
      <c r="AL565" s="871"/>
      <c r="AN565" s="633">
        <v>324.05359215999999</v>
      </c>
      <c r="AO565" s="633">
        <v>1.141</v>
      </c>
      <c r="AQ565" s="580">
        <f t="shared" si="295"/>
        <v>0.45200557864972907</v>
      </c>
      <c r="AR565" s="599">
        <f t="shared" si="296"/>
        <v>1390.092197826395</v>
      </c>
      <c r="AT565" s="694">
        <f t="shared" si="297"/>
        <v>0.2331166182118736</v>
      </c>
      <c r="AU565" s="663">
        <f t="shared" ref="AU565:AU604" si="298">MAX(AO565:AP565)</f>
        <v>1.141</v>
      </c>
      <c r="AW565" s="871"/>
      <c r="AY565" s="908"/>
      <c r="AZ565" s="760">
        <v>1938</v>
      </c>
      <c r="BA565" s="293"/>
    </row>
    <row r="566" spans="2:53">
      <c r="B566" s="991"/>
      <c r="C566" s="871"/>
      <c r="D566" s="871"/>
      <c r="E566" s="927"/>
      <c r="F566" s="871"/>
      <c r="G566" s="871"/>
      <c r="H566" s="871"/>
      <c r="I566" s="871"/>
      <c r="J566" s="221"/>
      <c r="K566" s="35"/>
      <c r="L566" s="533" t="s">
        <v>671</v>
      </c>
      <c r="M566" s="331">
        <v>0.63500000000000001</v>
      </c>
      <c r="N566" s="331">
        <v>25.4</v>
      </c>
      <c r="O566" s="145"/>
      <c r="P566" s="365"/>
      <c r="Q566" s="331">
        <v>39.049999999999997</v>
      </c>
      <c r="R566" s="35"/>
      <c r="S566" s="871"/>
      <c r="T566" s="860" t="s">
        <v>522</v>
      </c>
      <c r="U566" s="5"/>
      <c r="V566" s="863">
        <v>73153.374740800005</v>
      </c>
      <c r="W566" s="49">
        <f t="shared" si="293"/>
        <v>289.60637515221583</v>
      </c>
      <c r="X566" s="5"/>
      <c r="Y566" s="863"/>
      <c r="Z566" s="882"/>
      <c r="AA566" s="35"/>
      <c r="AB566" s="871"/>
      <c r="AC566" s="380" t="s">
        <v>749</v>
      </c>
      <c r="AD566" s="882"/>
      <c r="AE566" s="35"/>
      <c r="AK566" s="35"/>
      <c r="AL566" s="871"/>
      <c r="AN566" s="633">
        <v>300.61141740800002</v>
      </c>
      <c r="AO566" s="633">
        <v>1.038</v>
      </c>
      <c r="AQ566" s="580">
        <f t="shared" si="295"/>
        <v>0.50540328080046559</v>
      </c>
      <c r="AR566" s="599">
        <f t="shared" si="296"/>
        <v>1133.7883867034745</v>
      </c>
      <c r="AT566" s="694">
        <f t="shared" si="297"/>
        <v>0.26513891034114151</v>
      </c>
      <c r="AU566" s="663">
        <f t="shared" si="298"/>
        <v>1.038</v>
      </c>
      <c r="AW566" s="871"/>
      <c r="AY566" s="908"/>
      <c r="AZ566" s="760">
        <v>1938</v>
      </c>
      <c r="BA566" s="293"/>
    </row>
    <row r="567" spans="2:53">
      <c r="B567" s="991"/>
      <c r="C567" s="871"/>
      <c r="D567" s="871"/>
      <c r="E567" s="927"/>
      <c r="F567" s="871"/>
      <c r="G567" s="871"/>
      <c r="H567" s="871"/>
      <c r="I567" s="871"/>
      <c r="J567" s="221"/>
      <c r="K567" s="35"/>
      <c r="L567" s="533" t="s">
        <v>672</v>
      </c>
      <c r="M567" s="331">
        <v>0.63500000000000001</v>
      </c>
      <c r="N567" s="331">
        <v>25.4</v>
      </c>
      <c r="O567" s="145"/>
      <c r="P567" s="365"/>
      <c r="Q567" s="331">
        <v>39.200000000000003</v>
      </c>
      <c r="R567" s="35"/>
      <c r="S567" s="871"/>
      <c r="T567" s="860" t="s">
        <v>522</v>
      </c>
      <c r="U567" s="5"/>
      <c r="V567" s="863">
        <v>73153.374740800005</v>
      </c>
      <c r="W567" s="49">
        <f t="shared" si="293"/>
        <v>290.84267527104532</v>
      </c>
      <c r="X567" s="5"/>
      <c r="Y567" s="863"/>
      <c r="Z567" s="882"/>
      <c r="AA567" s="35"/>
      <c r="AB567" s="871"/>
      <c r="AC567" s="380" t="s">
        <v>749</v>
      </c>
      <c r="AD567" s="882"/>
      <c r="AE567" s="35"/>
      <c r="AK567" s="35"/>
      <c r="AL567" s="871"/>
      <c r="AN567" s="633">
        <v>314.40093196800001</v>
      </c>
      <c r="AO567" s="633">
        <v>1.081</v>
      </c>
      <c r="AQ567" s="580">
        <f t="shared" si="295"/>
        <v>0.50745271177557061</v>
      </c>
      <c r="AR567" s="599">
        <f t="shared" si="296"/>
        <v>1129.4499107339459</v>
      </c>
      <c r="AT567" s="694">
        <f t="shared" si="297"/>
        <v>0.2783664233181391</v>
      </c>
      <c r="AU567" s="663">
        <f t="shared" si="298"/>
        <v>1.081</v>
      </c>
      <c r="AW567" s="871"/>
      <c r="AY567" s="908"/>
      <c r="AZ567" s="760">
        <v>1938</v>
      </c>
      <c r="BA567" s="293"/>
    </row>
    <row r="568" spans="2:53">
      <c r="B568" s="991"/>
      <c r="C568" s="871"/>
      <c r="D568" s="871"/>
      <c r="E568" s="927"/>
      <c r="F568" s="871"/>
      <c r="G568" s="871"/>
      <c r="H568" s="871"/>
      <c r="I568" s="871"/>
      <c r="J568" s="221"/>
      <c r="K568" s="35"/>
      <c r="L568" s="533" t="s">
        <v>673</v>
      </c>
      <c r="M568" s="331">
        <v>0.63500000000000001</v>
      </c>
      <c r="N568" s="331">
        <v>25.4</v>
      </c>
      <c r="O568" s="145"/>
      <c r="P568" s="365"/>
      <c r="Q568" s="331">
        <v>39.6</v>
      </c>
      <c r="R568" s="35"/>
      <c r="S568" s="871"/>
      <c r="T568" s="860" t="s">
        <v>522</v>
      </c>
      <c r="U568" s="5"/>
      <c r="V568" s="863">
        <v>73153.374740800005</v>
      </c>
      <c r="W568" s="49">
        <f t="shared" si="293"/>
        <v>281.01265018575293</v>
      </c>
      <c r="X568" s="5"/>
      <c r="Y568" s="863"/>
      <c r="Z568" s="882"/>
      <c r="AA568" s="35"/>
      <c r="AB568" s="871"/>
      <c r="AC568" s="380" t="s">
        <v>749</v>
      </c>
      <c r="AD568" s="882"/>
      <c r="AE568" s="35"/>
      <c r="AK568" s="35"/>
      <c r="AL568" s="871"/>
      <c r="AN568" s="633">
        <v>311.64302905599999</v>
      </c>
      <c r="AO568" s="633">
        <v>1.109</v>
      </c>
      <c r="AQ568" s="580">
        <f t="shared" si="295"/>
        <v>0.50134190520437827</v>
      </c>
      <c r="AR568" s="599">
        <f t="shared" si="296"/>
        <v>1118.0413257770374</v>
      </c>
      <c r="AT568" s="694">
        <f t="shared" si="297"/>
        <v>0.27874016985857697</v>
      </c>
      <c r="AU568" s="663">
        <f t="shared" si="298"/>
        <v>1.109</v>
      </c>
      <c r="AW568" s="871"/>
      <c r="AY568" s="908"/>
      <c r="AZ568" s="760">
        <v>1938</v>
      </c>
      <c r="BA568" s="293"/>
    </row>
    <row r="569" spans="2:53">
      <c r="B569" s="991"/>
      <c r="C569" s="871"/>
      <c r="D569" s="871"/>
      <c r="E569" s="927"/>
      <c r="F569" s="871"/>
      <c r="G569" s="871"/>
      <c r="H569" s="871"/>
      <c r="I569" s="871"/>
      <c r="J569" s="221"/>
      <c r="K569" s="35"/>
      <c r="L569" s="533" t="s">
        <v>674</v>
      </c>
      <c r="M569" s="331">
        <v>0.50800000000000001</v>
      </c>
      <c r="N569" s="331">
        <v>25.4</v>
      </c>
      <c r="O569" s="145"/>
      <c r="P569" s="365"/>
      <c r="Q569" s="331">
        <v>48.95</v>
      </c>
      <c r="R569" s="35"/>
      <c r="S569" s="871"/>
      <c r="T569" s="860" t="s">
        <v>522</v>
      </c>
      <c r="U569" s="5"/>
      <c r="V569" s="863">
        <v>73153.374740800005</v>
      </c>
      <c r="W569" s="49">
        <f t="shared" si="293"/>
        <v>290.63413484104626</v>
      </c>
      <c r="X569" s="5"/>
      <c r="Y569" s="863"/>
      <c r="Z569" s="882"/>
      <c r="AA569" s="35"/>
      <c r="AB569" s="871"/>
      <c r="AC569" s="380" t="s">
        <v>749</v>
      </c>
      <c r="AD569" s="882"/>
      <c r="AE569" s="35"/>
      <c r="AK569" s="35"/>
      <c r="AL569" s="871"/>
      <c r="AN569" s="633">
        <v>288.89033003200001</v>
      </c>
      <c r="AO569" s="633">
        <v>0.99399999999999999</v>
      </c>
      <c r="AQ569" s="580">
        <f t="shared" si="295"/>
        <v>0.56685650811523136</v>
      </c>
      <c r="AR569" s="599">
        <f t="shared" si="296"/>
        <v>904.48287029153585</v>
      </c>
      <c r="AT569" s="694">
        <f t="shared" si="297"/>
        <v>0.31939834298783781</v>
      </c>
      <c r="AU569" s="663">
        <f t="shared" si="298"/>
        <v>0.99399999999999999</v>
      </c>
      <c r="AW569" s="871"/>
      <c r="AY569" s="908"/>
      <c r="AZ569" s="760">
        <v>1938</v>
      </c>
      <c r="BA569" s="293"/>
    </row>
    <row r="570" spans="2:53" ht="16.5" thickBot="1">
      <c r="B570" s="992"/>
      <c r="C570" s="872"/>
      <c r="D570" s="872"/>
      <c r="E570" s="928"/>
      <c r="F570" s="872"/>
      <c r="G570" s="872"/>
      <c r="H570" s="872"/>
      <c r="I570" s="872"/>
      <c r="J570" s="223"/>
      <c r="K570" s="36"/>
      <c r="L570" s="134" t="s">
        <v>675</v>
      </c>
      <c r="M570" s="340">
        <v>0.50800000000000001</v>
      </c>
      <c r="N570" s="340">
        <v>25.4</v>
      </c>
      <c r="O570" s="17"/>
      <c r="P570" s="23"/>
      <c r="Q570" s="340">
        <v>49.2</v>
      </c>
      <c r="R570" s="36"/>
      <c r="S570" s="872"/>
      <c r="T570" s="861" t="s">
        <v>522</v>
      </c>
      <c r="U570" s="18"/>
      <c r="V570" s="864">
        <v>73153.374740800005</v>
      </c>
      <c r="W570" s="51">
        <f t="shared" si="293"/>
        <v>289.64909980301508</v>
      </c>
      <c r="X570" s="18"/>
      <c r="Y570" s="864"/>
      <c r="Z570" s="883"/>
      <c r="AA570" s="35"/>
      <c r="AB570" s="871"/>
      <c r="AC570" s="380" t="s">
        <v>749</v>
      </c>
      <c r="AD570" s="882"/>
      <c r="AE570" s="36"/>
      <c r="AF570" s="18"/>
      <c r="AG570" s="18"/>
      <c r="AH570" s="18"/>
      <c r="AI570" s="18"/>
      <c r="AJ570" s="31"/>
      <c r="AK570" s="36"/>
      <c r="AL570" s="872"/>
      <c r="AM570" s="18"/>
      <c r="AN570" s="587">
        <v>288.20085430400002</v>
      </c>
      <c r="AO570" s="633">
        <v>0.995</v>
      </c>
      <c r="AP570" s="556"/>
      <c r="AQ570" s="587">
        <f t="shared" si="295"/>
        <v>0.56733832443533361</v>
      </c>
      <c r="AR570" s="604">
        <f t="shared" si="296"/>
        <v>899.88692074737151</v>
      </c>
      <c r="AS570" s="577"/>
      <c r="AT570" s="695">
        <f t="shared" si="297"/>
        <v>0.32026341050122636</v>
      </c>
      <c r="AU570" s="664">
        <f t="shared" si="298"/>
        <v>0.995</v>
      </c>
      <c r="AV570" s="91"/>
      <c r="AW570" s="872"/>
      <c r="AX570" s="31"/>
      <c r="AY570" s="909"/>
      <c r="AZ570" s="770">
        <v>1938</v>
      </c>
      <c r="BA570" s="295"/>
    </row>
    <row r="571" spans="2:53" ht="207.75" customHeight="1">
      <c r="B571" s="990">
        <v>32</v>
      </c>
      <c r="C571" s="870" t="s">
        <v>680</v>
      </c>
      <c r="D571" s="870" t="s">
        <v>681</v>
      </c>
      <c r="E571" s="932">
        <v>1982</v>
      </c>
      <c r="F571" s="870"/>
      <c r="G571" s="870"/>
      <c r="H571" s="870" t="s">
        <v>682</v>
      </c>
      <c r="I571" s="910" t="s">
        <v>683</v>
      </c>
      <c r="J571" s="222"/>
      <c r="K571" s="34"/>
      <c r="L571" s="132" t="s">
        <v>684</v>
      </c>
      <c r="M571" s="14">
        <v>0.89</v>
      </c>
      <c r="N571" s="14">
        <v>190.5</v>
      </c>
      <c r="O571" s="15">
        <v>381</v>
      </c>
      <c r="P571" s="212">
        <f t="shared" ref="P571:P578" si="299">O571/N571*SQRT(M571/N571)</f>
        <v>0.1367028311411097</v>
      </c>
      <c r="Q571" s="14">
        <v>214.3</v>
      </c>
      <c r="R571" s="35"/>
      <c r="S571" s="5" t="s">
        <v>163</v>
      </c>
      <c r="T571" s="862" t="s">
        <v>163</v>
      </c>
      <c r="U571" s="5"/>
      <c r="V571" s="5">
        <v>195800</v>
      </c>
      <c r="W571" s="5">
        <v>239</v>
      </c>
      <c r="X571" s="5"/>
      <c r="Y571" s="863"/>
      <c r="Z571" s="882" t="s">
        <v>691</v>
      </c>
      <c r="AA571" s="128" t="s">
        <v>692</v>
      </c>
      <c r="AB571" s="870" t="s">
        <v>1023</v>
      </c>
      <c r="AC571" s="379" t="s">
        <v>751</v>
      </c>
      <c r="AD571" s="881" t="s">
        <v>698</v>
      </c>
      <c r="AE571" s="34"/>
      <c r="AF571" s="15"/>
      <c r="AG571" s="15"/>
      <c r="AH571" s="15"/>
      <c r="AI571" s="15"/>
      <c r="AJ571" s="29"/>
      <c r="AK571" s="34"/>
      <c r="AL571" s="870" t="s">
        <v>700</v>
      </c>
      <c r="AM571" s="15"/>
      <c r="AN571" s="20"/>
      <c r="AO571" s="20"/>
      <c r="AP571" s="20"/>
      <c r="AQ571" s="20"/>
      <c r="AR571" s="20"/>
      <c r="AS571" s="547"/>
      <c r="AT571" s="812"/>
      <c r="AU571" s="813"/>
      <c r="AV571" s="128"/>
      <c r="AW571" s="870" t="s">
        <v>702</v>
      </c>
      <c r="AX571" s="881" t="s">
        <v>703</v>
      </c>
      <c r="AY571" s="911" t="s">
        <v>704</v>
      </c>
      <c r="AZ571" s="760">
        <v>1982</v>
      </c>
      <c r="BA571" s="292"/>
    </row>
    <row r="572" spans="2:53">
      <c r="B572" s="991"/>
      <c r="C572" s="871"/>
      <c r="D572" s="871"/>
      <c r="E572" s="927"/>
      <c r="F572" s="871"/>
      <c r="G572" s="871"/>
      <c r="H572" s="871"/>
      <c r="I572" s="871"/>
      <c r="J572" s="221"/>
      <c r="K572" s="35"/>
      <c r="L572" s="133" t="s">
        <v>685</v>
      </c>
      <c r="M572" s="6">
        <v>0.89</v>
      </c>
      <c r="N572" s="6">
        <v>190.5</v>
      </c>
      <c r="O572" s="5">
        <v>381</v>
      </c>
      <c r="P572" s="153">
        <f t="shared" si="299"/>
        <v>0.1367028311411097</v>
      </c>
      <c r="Q572" s="6">
        <v>214.3</v>
      </c>
      <c r="R572" s="35"/>
      <c r="S572" s="5" t="s">
        <v>163</v>
      </c>
      <c r="T572" s="494" t="s">
        <v>163</v>
      </c>
      <c r="U572" s="5"/>
      <c r="V572" s="5">
        <v>195800</v>
      </c>
      <c r="W572" s="5">
        <v>239</v>
      </c>
      <c r="X572" s="5"/>
      <c r="Z572" s="882"/>
      <c r="AA572" s="90" t="s">
        <v>693</v>
      </c>
      <c r="AB572" s="871"/>
      <c r="AC572" s="380" t="s">
        <v>751</v>
      </c>
      <c r="AD572" s="882"/>
      <c r="AE572" s="35"/>
      <c r="AK572" s="35"/>
      <c r="AL572" s="871"/>
      <c r="AT572" s="814"/>
      <c r="AU572" s="815"/>
      <c r="AW572" s="871"/>
      <c r="AX572" s="882"/>
      <c r="AY572" s="912"/>
      <c r="AZ572" s="760">
        <v>1982</v>
      </c>
      <c r="BA572" s="293"/>
    </row>
    <row r="573" spans="2:53">
      <c r="B573" s="991"/>
      <c r="C573" s="871"/>
      <c r="D573" s="871"/>
      <c r="E573" s="927"/>
      <c r="F573" s="871"/>
      <c r="G573" s="871"/>
      <c r="H573" s="871"/>
      <c r="I573" s="871"/>
      <c r="J573" s="221"/>
      <c r="K573" s="35"/>
      <c r="L573" s="133" t="s">
        <v>686</v>
      </c>
      <c r="M573" s="6">
        <v>0.89</v>
      </c>
      <c r="N573" s="6">
        <v>190.5</v>
      </c>
      <c r="O573" s="5">
        <v>381</v>
      </c>
      <c r="P573" s="153">
        <f t="shared" si="299"/>
        <v>0.1367028311411097</v>
      </c>
      <c r="Q573" s="6">
        <v>214.3</v>
      </c>
      <c r="R573" s="35"/>
      <c r="S573" s="5" t="s">
        <v>163</v>
      </c>
      <c r="T573" s="494" t="s">
        <v>163</v>
      </c>
      <c r="U573" s="5"/>
      <c r="V573" s="5">
        <v>195800</v>
      </c>
      <c r="W573" s="5">
        <v>239</v>
      </c>
      <c r="X573" s="5"/>
      <c r="Z573" s="882"/>
      <c r="AA573" s="90" t="s">
        <v>694</v>
      </c>
      <c r="AB573" s="871"/>
      <c r="AC573" s="380" t="s">
        <v>751</v>
      </c>
      <c r="AD573" s="882"/>
      <c r="AE573" s="35"/>
      <c r="AK573" s="35"/>
      <c r="AL573" s="871"/>
      <c r="AN573" s="554">
        <v>146</v>
      </c>
      <c r="AO573" s="554">
        <f t="shared" ref="AO573:AO577" si="300">AN573/W573</f>
        <v>0.61087866108786615</v>
      </c>
      <c r="AQ573" s="554">
        <f>SQRT(W573/AR573)</f>
        <v>0.65703084006372336</v>
      </c>
      <c r="AR573" s="554">
        <f t="shared" ref="AR573:AR588" si="301">V573*M573/N573/SQRT(3*(1-0.3^2))</f>
        <v>553.63863673454523</v>
      </c>
      <c r="AT573" s="274">
        <f>AN573/AR573</f>
        <v>0.26370991891233025</v>
      </c>
      <c r="AU573" s="30">
        <f t="shared" si="298"/>
        <v>0.61087866108786615</v>
      </c>
      <c r="AW573" s="871"/>
      <c r="AX573" s="882"/>
      <c r="AY573" s="912"/>
      <c r="AZ573" s="760">
        <v>1982</v>
      </c>
      <c r="BA573" s="293"/>
    </row>
    <row r="574" spans="2:53">
      <c r="B574" s="991"/>
      <c r="C574" s="871"/>
      <c r="D574" s="871"/>
      <c r="E574" s="927"/>
      <c r="F574" s="871"/>
      <c r="G574" s="871"/>
      <c r="H574" s="871"/>
      <c r="I574" s="871"/>
      <c r="J574" s="221"/>
      <c r="K574" s="35"/>
      <c r="L574" s="133" t="s">
        <v>687</v>
      </c>
      <c r="M574" s="6">
        <v>0.86</v>
      </c>
      <c r="N574" s="6">
        <v>186</v>
      </c>
      <c r="O574" s="5">
        <v>381</v>
      </c>
      <c r="P574" s="153">
        <f t="shared" si="299"/>
        <v>0.13928513997418118</v>
      </c>
      <c r="Q574" s="6">
        <v>215.6</v>
      </c>
      <c r="R574" s="35"/>
      <c r="S574" s="5" t="s">
        <v>163</v>
      </c>
      <c r="T574" s="494" t="s">
        <v>163</v>
      </c>
      <c r="U574" s="5"/>
      <c r="V574" s="5">
        <v>205100</v>
      </c>
      <c r="W574" s="5">
        <v>203</v>
      </c>
      <c r="X574" s="5"/>
      <c r="Z574" s="882"/>
      <c r="AA574" s="90" t="s">
        <v>694</v>
      </c>
      <c r="AB574" s="871"/>
      <c r="AC574" s="380" t="s">
        <v>751</v>
      </c>
      <c r="AD574" s="882"/>
      <c r="AE574" s="35"/>
      <c r="AK574" s="35"/>
      <c r="AL574" s="871"/>
      <c r="AN574" s="554">
        <v>123</v>
      </c>
      <c r="AO574" s="554">
        <f t="shared" si="300"/>
        <v>0.60591133004926112</v>
      </c>
      <c r="AQ574" s="554">
        <f>SQRT(W574/AR574)</f>
        <v>0.59472075764221999</v>
      </c>
      <c r="AR574" s="554">
        <f t="shared" si="301"/>
        <v>573.94442783505042</v>
      </c>
      <c r="AT574" s="274">
        <f>AN574/AR574</f>
        <v>0.21430646249840371</v>
      </c>
      <c r="AU574" s="30">
        <f t="shared" si="298"/>
        <v>0.60591133004926112</v>
      </c>
      <c r="AW574" s="871"/>
      <c r="AX574" s="882"/>
      <c r="AY574" s="912"/>
      <c r="AZ574" s="760">
        <v>1982</v>
      </c>
      <c r="BA574" s="293"/>
    </row>
    <row r="575" spans="2:53" ht="18" customHeight="1">
      <c r="B575" s="991"/>
      <c r="C575" s="871"/>
      <c r="D575" s="871"/>
      <c r="E575" s="927"/>
      <c r="F575" s="871"/>
      <c r="G575" s="871"/>
      <c r="H575" s="871"/>
      <c r="I575" s="871"/>
      <c r="J575" s="221"/>
      <c r="K575" s="35"/>
      <c r="L575" s="133" t="s">
        <v>688</v>
      </c>
      <c r="M575" s="6">
        <v>0.86</v>
      </c>
      <c r="N575" s="6">
        <v>186</v>
      </c>
      <c r="O575" s="5">
        <v>381</v>
      </c>
      <c r="P575" s="153">
        <f t="shared" si="299"/>
        <v>0.13928513997418118</v>
      </c>
      <c r="Q575" s="6">
        <v>215.6</v>
      </c>
      <c r="R575" s="35"/>
      <c r="S575" s="5" t="s">
        <v>163</v>
      </c>
      <c r="T575" s="494" t="s">
        <v>163</v>
      </c>
      <c r="U575" s="5"/>
      <c r="V575" s="5">
        <v>205100</v>
      </c>
      <c r="W575" s="5">
        <v>203</v>
      </c>
      <c r="X575" s="5"/>
      <c r="Z575" s="882"/>
      <c r="AA575" s="90" t="s">
        <v>694</v>
      </c>
      <c r="AB575" s="871"/>
      <c r="AC575" s="380" t="s">
        <v>751</v>
      </c>
      <c r="AD575" s="882"/>
      <c r="AE575" s="35"/>
      <c r="AK575" s="35"/>
      <c r="AL575" s="871"/>
      <c r="AN575" s="554">
        <v>116</v>
      </c>
      <c r="AO575" s="554">
        <f t="shared" si="300"/>
        <v>0.5714285714285714</v>
      </c>
      <c r="AQ575" s="554">
        <f>SQRT(W575/AR575)</f>
        <v>0.59472075764221999</v>
      </c>
      <c r="AR575" s="554">
        <f t="shared" si="301"/>
        <v>573.94442783505042</v>
      </c>
      <c r="AT575" s="274">
        <f>AN575/AR575</f>
        <v>0.20211015975459209</v>
      </c>
      <c r="AU575" s="30">
        <f t="shared" si="298"/>
        <v>0.5714285714285714</v>
      </c>
      <c r="AW575" s="871"/>
      <c r="AX575" s="882"/>
      <c r="AY575" s="912"/>
      <c r="AZ575" s="760">
        <v>1982</v>
      </c>
      <c r="BA575" s="293"/>
    </row>
    <row r="576" spans="2:53" ht="315" customHeight="1">
      <c r="B576" s="991"/>
      <c r="C576" s="871"/>
      <c r="D576" s="871"/>
      <c r="E576" s="927"/>
      <c r="F576" s="871"/>
      <c r="G576" s="871"/>
      <c r="H576" s="871"/>
      <c r="I576" s="871"/>
      <c r="J576" s="221"/>
      <c r="K576" s="35"/>
      <c r="L576" s="133" t="s">
        <v>366</v>
      </c>
      <c r="M576" s="6">
        <v>5.13</v>
      </c>
      <c r="N576" s="6">
        <v>764.5</v>
      </c>
      <c r="O576" s="5">
        <v>1524</v>
      </c>
      <c r="P576" s="153">
        <f t="shared" si="299"/>
        <v>0.16329670248209641</v>
      </c>
      <c r="Q576" s="6">
        <v>149</v>
      </c>
      <c r="R576" s="35"/>
      <c r="S576" s="5" t="s">
        <v>689</v>
      </c>
      <c r="T576" s="494" t="s">
        <v>163</v>
      </c>
      <c r="U576" s="5"/>
      <c r="V576" s="5">
        <v>202000</v>
      </c>
      <c r="W576" s="5">
        <v>376</v>
      </c>
      <c r="X576" s="5"/>
      <c r="Z576" s="882"/>
      <c r="AA576" s="90" t="s">
        <v>695</v>
      </c>
      <c r="AB576" s="871" t="s">
        <v>697</v>
      </c>
      <c r="AC576" s="380" t="s">
        <v>751</v>
      </c>
      <c r="AD576" s="882" t="s">
        <v>699</v>
      </c>
      <c r="AE576" s="35"/>
      <c r="AF576" s="871" t="s">
        <v>1024</v>
      </c>
      <c r="AK576" s="35"/>
      <c r="AL576" s="871" t="s">
        <v>701</v>
      </c>
      <c r="AN576" s="554">
        <v>229</v>
      </c>
      <c r="AO576" s="554">
        <f t="shared" si="300"/>
        <v>0.60904255319148937</v>
      </c>
      <c r="AQ576" s="554">
        <f>SQRT(W576/AR576)</f>
        <v>0.67700045695184841</v>
      </c>
      <c r="AR576" s="554">
        <f t="shared" si="301"/>
        <v>820.37028515810755</v>
      </c>
      <c r="AT576" s="274">
        <f>AN576/AR576</f>
        <v>0.2791422411842544</v>
      </c>
      <c r="AU576" s="30">
        <f t="shared" si="298"/>
        <v>0.60904255319148937</v>
      </c>
      <c r="AW576" s="465" t="s">
        <v>1025</v>
      </c>
      <c r="AX576" s="882"/>
      <c r="AY576" s="912"/>
      <c r="AZ576" s="760">
        <v>1982</v>
      </c>
      <c r="BA576" s="293"/>
    </row>
    <row r="577" spans="1:53" ht="48" thickBot="1">
      <c r="B577" s="992"/>
      <c r="C577" s="872"/>
      <c r="D577" s="872"/>
      <c r="E577" s="928"/>
      <c r="F577" s="872"/>
      <c r="G577" s="872"/>
      <c r="H577" s="872"/>
      <c r="I577" s="872"/>
      <c r="J577" s="223"/>
      <c r="K577" s="36"/>
      <c r="L577" s="134" t="s">
        <v>368</v>
      </c>
      <c r="M577" s="16">
        <v>3.43</v>
      </c>
      <c r="N577" s="16">
        <v>761.7</v>
      </c>
      <c r="O577" s="18">
        <v>1828.8</v>
      </c>
      <c r="P577" s="152">
        <f t="shared" si="299"/>
        <v>0.16111550603487476</v>
      </c>
      <c r="Q577" s="16">
        <v>222.2</v>
      </c>
      <c r="R577" s="36"/>
      <c r="S577" s="18" t="s">
        <v>690</v>
      </c>
      <c r="T577" s="492" t="s">
        <v>163</v>
      </c>
      <c r="U577" s="18"/>
      <c r="V577" s="18">
        <v>204000</v>
      </c>
      <c r="W577" s="18">
        <v>306</v>
      </c>
      <c r="X577" s="18"/>
      <c r="Y577" s="173"/>
      <c r="Z577" s="883"/>
      <c r="AA577" s="91" t="s">
        <v>696</v>
      </c>
      <c r="AB577" s="872"/>
      <c r="AC577" s="381" t="s">
        <v>751</v>
      </c>
      <c r="AD577" s="883"/>
      <c r="AE577" s="35"/>
      <c r="AF577" s="871"/>
      <c r="AK577" s="36"/>
      <c r="AL577" s="872"/>
      <c r="AM577" s="18"/>
      <c r="AN577" s="556">
        <v>177</v>
      </c>
      <c r="AO577" s="556">
        <f t="shared" si="300"/>
        <v>0.57843137254901966</v>
      </c>
      <c r="AP577" s="556"/>
      <c r="AQ577" s="556">
        <f>SQRT(W577/AR577)</f>
        <v>0.74187580759138161</v>
      </c>
      <c r="AR577" s="556">
        <f t="shared" si="301"/>
        <v>555.97979409086838</v>
      </c>
      <c r="AS577" s="577"/>
      <c r="AT577" s="275">
        <f>AN577/AR577</f>
        <v>0.31835689332816192</v>
      </c>
      <c r="AU577" s="31">
        <f t="shared" si="298"/>
        <v>0.57843137254901966</v>
      </c>
      <c r="AV577" s="91"/>
      <c r="AW577" s="466" t="s">
        <v>1026</v>
      </c>
      <c r="AX577" s="883"/>
      <c r="AY577" s="913"/>
      <c r="AZ577" s="760">
        <v>1982</v>
      </c>
      <c r="BA577" s="295"/>
    </row>
    <row r="578" spans="1:53" ht="69" customHeight="1">
      <c r="A578" s="151"/>
      <c r="B578" s="990">
        <v>33</v>
      </c>
      <c r="C578" s="870" t="s">
        <v>707</v>
      </c>
      <c r="D578" s="870" t="s">
        <v>705</v>
      </c>
      <c r="E578" s="898">
        <v>1965</v>
      </c>
      <c r="F578" s="870"/>
      <c r="G578" s="870" t="s">
        <v>706</v>
      </c>
      <c r="H578" s="870" t="s">
        <v>708</v>
      </c>
      <c r="I578" s="910" t="s">
        <v>709</v>
      </c>
      <c r="J578" s="222"/>
      <c r="K578" s="34"/>
      <c r="L578" s="449" t="s">
        <v>366</v>
      </c>
      <c r="M578" s="14">
        <f>CONVERT(0.004,"in","mm")</f>
        <v>0.10160000000000001</v>
      </c>
      <c r="N578" s="14">
        <f>CONVERT(2.906,"in","mm")/2</f>
        <v>36.906199999999998</v>
      </c>
      <c r="O578" s="15">
        <f>CONVERT(8,"in","mm")</f>
        <v>203.2</v>
      </c>
      <c r="P578" s="108">
        <f t="shared" si="299"/>
        <v>0.28888271776099356</v>
      </c>
      <c r="Q578" s="57">
        <f>N578/M578</f>
        <v>363.24999999999994</v>
      </c>
      <c r="R578" s="34"/>
      <c r="S578" s="925" t="s">
        <v>534</v>
      </c>
      <c r="T578" s="464" t="s">
        <v>534</v>
      </c>
      <c r="U578" s="72"/>
      <c r="V578" s="171">
        <f>CONVERT(24*10^6,"psi","Pa")/10^6</f>
        <v>165474.17503604069</v>
      </c>
      <c r="W578" s="171"/>
      <c r="X578" s="15"/>
      <c r="Y578" s="171"/>
      <c r="Z578" s="881" t="s">
        <v>710</v>
      </c>
      <c r="AA578" s="35"/>
      <c r="AB578" s="871" t="s">
        <v>1027</v>
      </c>
      <c r="AC578" s="380" t="s">
        <v>523</v>
      </c>
      <c r="AD578" s="1048" t="s">
        <v>714</v>
      </c>
      <c r="AE578" s="34"/>
      <c r="AF578" s="887"/>
      <c r="AG578" s="870" t="s">
        <v>1029</v>
      </c>
      <c r="AH578" s="475"/>
      <c r="AI578" s="475"/>
      <c r="AJ578" s="483"/>
      <c r="AK578" s="34"/>
      <c r="AL578" s="870" t="s">
        <v>1028</v>
      </c>
      <c r="AM578" s="15">
        <f>CONVERT(995,"lbm","kg")*9.81/10^3</f>
        <v>4.4274924439515004</v>
      </c>
      <c r="AN578" s="20"/>
      <c r="AO578" s="20"/>
      <c r="AP578" s="20"/>
      <c r="AQ578" s="640"/>
      <c r="AR578" s="20">
        <f t="shared" si="301"/>
        <v>275.70413400541906</v>
      </c>
      <c r="AS578" s="547">
        <f>2*PI()*N578*M578*AR578/1000</f>
        <v>6.4955538170300988</v>
      </c>
      <c r="AT578" s="681">
        <f>AM578/AS578</f>
        <v>0.68161893022015496</v>
      </c>
      <c r="AU578" s="252"/>
      <c r="AV578" s="128"/>
      <c r="AW578" s="464" t="s">
        <v>712</v>
      </c>
      <c r="AX578" s="467" t="s">
        <v>711</v>
      </c>
      <c r="AY578" s="216"/>
      <c r="AZ578" s="765">
        <v>1965</v>
      </c>
      <c r="BA578" s="292"/>
    </row>
    <row r="579" spans="1:53">
      <c r="B579" s="991"/>
      <c r="C579" s="871"/>
      <c r="D579" s="871"/>
      <c r="E579" s="899"/>
      <c r="F579" s="871"/>
      <c r="G579" s="871"/>
      <c r="H579" s="871"/>
      <c r="I579" s="917"/>
      <c r="J579" s="221"/>
      <c r="K579" s="35"/>
      <c r="L579" s="451" t="s">
        <v>368</v>
      </c>
      <c r="M579" s="6">
        <f t="shared" ref="M579:M580" si="302">CONVERT(0.004,"in","mm")</f>
        <v>0.10160000000000001</v>
      </c>
      <c r="N579" s="6">
        <f t="shared" ref="N579:N580" si="303">CONVERT(2.906,"in","mm")/2</f>
        <v>36.906199999999998</v>
      </c>
      <c r="O579" s="5">
        <f t="shared" ref="O579:O580" si="304">CONVERT(8,"in","mm")</f>
        <v>203.2</v>
      </c>
      <c r="P579" s="5">
        <f t="shared" ref="P579" si="305">O579/N579*SQRT(M579/N579)</f>
        <v>0.28888271776099356</v>
      </c>
      <c r="Q579" s="6">
        <f t="shared" ref="Q579:Q580" si="306">N579/M579</f>
        <v>363.24999999999994</v>
      </c>
      <c r="R579" s="35"/>
      <c r="S579" s="890"/>
      <c r="T579" s="465" t="s">
        <v>534</v>
      </c>
      <c r="U579" s="65"/>
      <c r="V579" s="172">
        <f>CONVERT(24*10^6,"psi","Pa")/10^6</f>
        <v>165474.17503604069</v>
      </c>
      <c r="X579" s="5"/>
      <c r="Z579" s="882"/>
      <c r="AA579" s="35"/>
      <c r="AB579" s="871"/>
      <c r="AC579" s="380" t="s">
        <v>523</v>
      </c>
      <c r="AD579" s="1048"/>
      <c r="AE579" s="35"/>
      <c r="AF579" s="888"/>
      <c r="AG579" s="871"/>
      <c r="AH579" s="476"/>
      <c r="AI579" s="476"/>
      <c r="AJ579" s="484"/>
      <c r="AK579" s="35"/>
      <c r="AL579" s="871"/>
      <c r="AM579" s="5">
        <f>CONVERT(1225,"lbm","kg")*9.81/10^3</f>
        <v>5.4509329083825007</v>
      </c>
      <c r="AQ579" s="580"/>
      <c r="AR579" s="554">
        <f t="shared" si="301"/>
        <v>275.70413400541906</v>
      </c>
      <c r="AS579" s="576">
        <f>2*PI()*N579*M579*AR579/1000</f>
        <v>6.4955538170300988</v>
      </c>
      <c r="AT579" s="274">
        <f>AM579/AS579</f>
        <v>0.83917908494441196</v>
      </c>
      <c r="AU579" s="248"/>
      <c r="AW579" s="80"/>
      <c r="AX579" s="285"/>
      <c r="AZ579" s="543">
        <v>1965</v>
      </c>
      <c r="BA579" s="293"/>
    </row>
    <row r="580" spans="1:53" ht="16.5" thickBot="1">
      <c r="B580" s="992"/>
      <c r="C580" s="872"/>
      <c r="D580" s="872"/>
      <c r="E580" s="900"/>
      <c r="F580" s="872"/>
      <c r="G580" s="872"/>
      <c r="H580" s="872"/>
      <c r="I580" s="918"/>
      <c r="J580" s="223"/>
      <c r="K580" s="36"/>
      <c r="L580" s="453" t="s">
        <v>713</v>
      </c>
      <c r="M580" s="16">
        <f t="shared" si="302"/>
        <v>0.10160000000000001</v>
      </c>
      <c r="N580" s="16">
        <f t="shared" si="303"/>
        <v>36.906199999999998</v>
      </c>
      <c r="O580" s="18">
        <f t="shared" si="304"/>
        <v>203.2</v>
      </c>
      <c r="P580" s="18">
        <f>O580/N580*SQRT(M580/N580)</f>
        <v>0.28888271776099356</v>
      </c>
      <c r="Q580" s="16">
        <f t="shared" si="306"/>
        <v>363.24999999999994</v>
      </c>
      <c r="R580" s="36"/>
      <c r="S580" s="891"/>
      <c r="T580" s="466" t="s">
        <v>534</v>
      </c>
      <c r="U580" s="89"/>
      <c r="V580" s="173">
        <f>CONVERT(24*10^6,"psi","Pa")/10^6</f>
        <v>165474.17503604069</v>
      </c>
      <c r="W580" s="173"/>
      <c r="X580" s="18"/>
      <c r="Y580" s="173"/>
      <c r="Z580" s="883"/>
      <c r="AA580" s="35"/>
      <c r="AB580" s="871"/>
      <c r="AC580" s="380" t="s">
        <v>523</v>
      </c>
      <c r="AD580" s="1048"/>
      <c r="AE580" s="36"/>
      <c r="AF580" s="889"/>
      <c r="AG580" s="872"/>
      <c r="AH580" s="477"/>
      <c r="AI580" s="477"/>
      <c r="AJ580" s="485"/>
      <c r="AK580" s="36"/>
      <c r="AL580" s="872"/>
      <c r="AM580" s="18">
        <f>CONVERT(1183,"lbm","kg")*9.81/10^3</f>
        <v>5.2640437800951005</v>
      </c>
      <c r="AN580" s="556"/>
      <c r="AO580" s="556"/>
      <c r="AP580" s="556"/>
      <c r="AQ580" s="587"/>
      <c r="AR580" s="556">
        <f t="shared" si="301"/>
        <v>275.70413400541906</v>
      </c>
      <c r="AS580" s="577">
        <f>2*PI()*N580*M580*AR580/1000</f>
        <v>6.4955538170300988</v>
      </c>
      <c r="AT580" s="275">
        <f>AM580/AS580</f>
        <v>0.81040723060346065</v>
      </c>
      <c r="AU580" s="249"/>
      <c r="AV580" s="91"/>
      <c r="AW580" s="186"/>
      <c r="AX580" s="122"/>
      <c r="AY580" s="286"/>
      <c r="AZ580" s="543">
        <v>1965</v>
      </c>
      <c r="BA580" s="295"/>
    </row>
    <row r="581" spans="1:53" ht="86.1" customHeight="1">
      <c r="A581" s="151"/>
      <c r="B581" s="990">
        <v>34</v>
      </c>
      <c r="C581" s="870" t="s">
        <v>718</v>
      </c>
      <c r="D581" s="870" t="s">
        <v>715</v>
      </c>
      <c r="E581" s="898">
        <v>1967</v>
      </c>
      <c r="F581" s="870"/>
      <c r="G581" s="870" t="s">
        <v>716</v>
      </c>
      <c r="H581" s="870" t="s">
        <v>717</v>
      </c>
      <c r="I581" s="910" t="s">
        <v>1030</v>
      </c>
      <c r="J581" s="222"/>
      <c r="K581" s="34"/>
      <c r="L581" s="449">
        <v>1</v>
      </c>
      <c r="M581" s="14">
        <f>CONVERT(5.28*10^-3,"in","mm")</f>
        <v>0.13411200000000001</v>
      </c>
      <c r="N581" s="14">
        <f>Q581*M581</f>
        <v>101.92512000000001</v>
      </c>
      <c r="O581" s="15">
        <f>CONVERT(7,"in","mm")</f>
        <v>177.8</v>
      </c>
      <c r="P581" s="108">
        <f t="shared" ref="P581:P587" si="307">O581/N581*SQRT(M581/N581)</f>
        <v>6.3276686487864858E-2</v>
      </c>
      <c r="Q581" s="14">
        <v>760</v>
      </c>
      <c r="R581" s="34"/>
      <c r="S581" s="171"/>
      <c r="T581" s="464" t="s">
        <v>403</v>
      </c>
      <c r="U581" s="15"/>
      <c r="V581" s="171">
        <f>CONVERT(16*10^6,"psi","Pa")/10^6</f>
        <v>110316.11669069379</v>
      </c>
      <c r="W581" s="171"/>
      <c r="X581" s="15"/>
      <c r="Y581" s="171"/>
      <c r="Z581" s="940"/>
      <c r="AA581" s="34"/>
      <c r="AB581" s="870" t="s">
        <v>719</v>
      </c>
      <c r="AC581" s="379" t="s">
        <v>523</v>
      </c>
      <c r="AD581" s="881" t="s">
        <v>720</v>
      </c>
      <c r="AE581" s="35"/>
      <c r="AF581" s="871" t="s">
        <v>1031</v>
      </c>
      <c r="AG581" s="890"/>
      <c r="AH581" s="476"/>
      <c r="AI581" s="476"/>
      <c r="AJ581" s="484"/>
      <c r="AK581" s="34"/>
      <c r="AL581" s="464" t="s">
        <v>1032</v>
      </c>
      <c r="AM581" s="15"/>
      <c r="AN581" s="20">
        <f>AT581*AR581</f>
        <v>54.291585514627634</v>
      </c>
      <c r="AO581" s="20"/>
      <c r="AP581" s="20"/>
      <c r="AQ581" s="578"/>
      <c r="AR581" s="20">
        <f t="shared" si="301"/>
        <v>87.850461997779348</v>
      </c>
      <c r="AS581" s="547"/>
      <c r="AT581" s="681">
        <v>0.61799999999999999</v>
      </c>
      <c r="AU581" s="252"/>
      <c r="AV581" s="128"/>
      <c r="AW581" s="15"/>
      <c r="AX581" s="29"/>
      <c r="AY581" s="907" t="s">
        <v>1033</v>
      </c>
      <c r="AZ581" s="759">
        <v>1967</v>
      </c>
      <c r="BA581" s="292"/>
    </row>
    <row r="582" spans="1:53">
      <c r="B582" s="991"/>
      <c r="C582" s="871"/>
      <c r="D582" s="871"/>
      <c r="E582" s="899"/>
      <c r="F582" s="871"/>
      <c r="G582" s="871"/>
      <c r="H582" s="871"/>
      <c r="I582" s="871"/>
      <c r="J582" s="221"/>
      <c r="K582" s="35"/>
      <c r="L582" s="451">
        <v>2</v>
      </c>
      <c r="M582" s="6">
        <f>CONVERT(4.41*10^-3,"in","mm")</f>
        <v>0.112014</v>
      </c>
      <c r="N582" s="6">
        <f t="shared" ref="N582:N588" si="308">Q582*M582</f>
        <v>101.93274</v>
      </c>
      <c r="O582" s="5">
        <f>CONVERT(8,"in","mm")</f>
        <v>203.2</v>
      </c>
      <c r="P582" s="5">
        <f t="shared" si="307"/>
        <v>6.6082932808232631E-2</v>
      </c>
      <c r="Q582" s="6">
        <v>910</v>
      </c>
      <c r="R582" s="35"/>
      <c r="T582" s="465" t="s">
        <v>403</v>
      </c>
      <c r="U582" s="5"/>
      <c r="V582" s="172">
        <f>CONVERT(16*10^6,"psi","Pa")/10^6</f>
        <v>110316.11669069379</v>
      </c>
      <c r="X582" s="5"/>
      <c r="Z582" s="941"/>
      <c r="AA582" s="35"/>
      <c r="AB582" s="871"/>
      <c r="AC582" s="380" t="s">
        <v>523</v>
      </c>
      <c r="AD582" s="882"/>
      <c r="AE582" s="35"/>
      <c r="AF582" s="871"/>
      <c r="AG582" s="890"/>
      <c r="AH582" s="476"/>
      <c r="AI582" s="476"/>
      <c r="AJ582" s="484"/>
      <c r="AK582" s="35"/>
      <c r="AL582" s="80"/>
      <c r="AN582" s="554">
        <f t="shared" ref="AN582:AN588" si="309">AT582*AR582</f>
        <v>48.130468498475679</v>
      </c>
      <c r="AQ582" s="580"/>
      <c r="AR582" s="554">
        <f t="shared" si="301"/>
        <v>73.369616613529999</v>
      </c>
      <c r="AT582" s="274">
        <v>0.65600000000000003</v>
      </c>
      <c r="AU582" s="248"/>
      <c r="AY582" s="908"/>
      <c r="AZ582" s="760">
        <v>1967</v>
      </c>
      <c r="BA582" s="293"/>
    </row>
    <row r="583" spans="1:53">
      <c r="B583" s="991"/>
      <c r="C583" s="871"/>
      <c r="D583" s="871"/>
      <c r="E583" s="899"/>
      <c r="F583" s="871"/>
      <c r="G583" s="871"/>
      <c r="H583" s="871"/>
      <c r="I583" s="871"/>
      <c r="J583" s="221"/>
      <c r="K583" s="35"/>
      <c r="L583" s="451">
        <v>3</v>
      </c>
      <c r="M583" s="6">
        <f>CONVERT(4.69*10^-3,"in","mm")</f>
        <v>0.11912600000000002</v>
      </c>
      <c r="N583" s="6">
        <f t="shared" si="308"/>
        <v>101.25710000000002</v>
      </c>
      <c r="O583" s="5">
        <f>CONVERT(10,"in","mm")</f>
        <v>254</v>
      </c>
      <c r="P583" s="5">
        <f t="shared" si="307"/>
        <v>8.6039676479372273E-2</v>
      </c>
      <c r="Q583" s="6">
        <v>850</v>
      </c>
      <c r="R583" s="35"/>
      <c r="T583" s="465" t="s">
        <v>403</v>
      </c>
      <c r="U583" s="5"/>
      <c r="V583" s="172">
        <f>CONVERT(16.7*10^6,"psi","Pa")/10^6</f>
        <v>115142.44679591163</v>
      </c>
      <c r="X583" s="5"/>
      <c r="Z583" s="941"/>
      <c r="AA583" s="35"/>
      <c r="AB583" s="871"/>
      <c r="AC583" s="380" t="s">
        <v>523</v>
      </c>
      <c r="AD583" s="882"/>
      <c r="AE583" s="35"/>
      <c r="AF583" s="871"/>
      <c r="AG583" s="890"/>
      <c r="AH583" s="476"/>
      <c r="AI583" s="476"/>
      <c r="AJ583" s="484"/>
      <c r="AK583" s="35"/>
      <c r="AL583" s="80"/>
      <c r="AN583" s="554">
        <f t="shared" si="309"/>
        <v>56.323799245976844</v>
      </c>
      <c r="AQ583" s="580"/>
      <c r="AR583" s="554">
        <f t="shared" si="301"/>
        <v>81.985151740868758</v>
      </c>
      <c r="AT583" s="274">
        <v>0.68700000000000006</v>
      </c>
      <c r="AU583" s="248"/>
      <c r="AY583" s="908"/>
      <c r="AZ583" s="760">
        <v>1967</v>
      </c>
      <c r="BA583" s="293"/>
    </row>
    <row r="584" spans="1:53">
      <c r="B584" s="991"/>
      <c r="C584" s="871"/>
      <c r="D584" s="871"/>
      <c r="E584" s="899"/>
      <c r="F584" s="871"/>
      <c r="G584" s="871"/>
      <c r="H584" s="871"/>
      <c r="I584" s="871"/>
      <c r="J584" s="221"/>
      <c r="K584" s="35"/>
      <c r="L584" s="451">
        <v>4</v>
      </c>
      <c r="M584" s="6">
        <f>CONVERT(5.12*10^-3,"in","mm")</f>
        <v>0.13004800000000002</v>
      </c>
      <c r="N584" s="6">
        <f t="shared" si="308"/>
        <v>102.73792000000002</v>
      </c>
      <c r="O584" s="5">
        <f>CONVERT(10,"in","mm")</f>
        <v>254</v>
      </c>
      <c r="P584" s="5">
        <f t="shared" si="307"/>
        <v>8.7960846885485056E-2</v>
      </c>
      <c r="Q584" s="6">
        <v>790</v>
      </c>
      <c r="R584" s="35"/>
      <c r="T584" s="465" t="s">
        <v>403</v>
      </c>
      <c r="U584" s="5"/>
      <c r="V584" s="172">
        <f>CONVERT(15.8*10^6,"psi","Pa")/10^6</f>
        <v>108937.16523206011</v>
      </c>
      <c r="X584" s="5"/>
      <c r="Z584" s="941"/>
      <c r="AA584" s="35"/>
      <c r="AB584" s="871"/>
      <c r="AC584" s="380" t="s">
        <v>523</v>
      </c>
      <c r="AD584" s="882"/>
      <c r="AE584" s="35"/>
      <c r="AF584" s="871"/>
      <c r="AG584" s="890"/>
      <c r="AH584" s="476"/>
      <c r="AI584" s="476"/>
      <c r="AJ584" s="484"/>
      <c r="AK584" s="35"/>
      <c r="AL584" s="80"/>
      <c r="AN584" s="554">
        <f t="shared" si="309"/>
        <v>57.085230206157021</v>
      </c>
      <c r="AQ584" s="580"/>
      <c r="AR584" s="554">
        <f t="shared" si="301"/>
        <v>83.457938897890372</v>
      </c>
      <c r="AT584" s="691">
        <v>0.68400000000000005</v>
      </c>
      <c r="AU584" s="248"/>
      <c r="AY584" s="908"/>
      <c r="AZ584" s="760">
        <v>1967</v>
      </c>
      <c r="BA584" s="293"/>
    </row>
    <row r="585" spans="1:53">
      <c r="B585" s="991"/>
      <c r="C585" s="871"/>
      <c r="D585" s="871"/>
      <c r="E585" s="899"/>
      <c r="F585" s="871"/>
      <c r="G585" s="871"/>
      <c r="H585" s="871"/>
      <c r="I585" s="871"/>
      <c r="J585" s="221"/>
      <c r="K585" s="35"/>
      <c r="L585" s="451">
        <v>5</v>
      </c>
      <c r="M585" s="6">
        <f>CONVERT(3.91*10^-3,"in","mm")</f>
        <v>9.9314E-2</v>
      </c>
      <c r="N585" s="6">
        <f t="shared" si="308"/>
        <v>101.30028</v>
      </c>
      <c r="O585" s="5">
        <f>CONVERT(8,"in","mm")</f>
        <v>203.2</v>
      </c>
      <c r="P585" s="5">
        <f t="shared" si="307"/>
        <v>6.2807711858497525E-2</v>
      </c>
      <c r="Q585" s="6">
        <v>1020</v>
      </c>
      <c r="R585" s="35"/>
      <c r="T585" s="465" t="s">
        <v>403</v>
      </c>
      <c r="U585" s="5"/>
      <c r="V585" s="172">
        <f>CONVERT(16*10^6,"psi","Pa")/10^6</f>
        <v>110316.11669069379</v>
      </c>
      <c r="X585" s="5"/>
      <c r="Z585" s="941"/>
      <c r="AA585" s="35"/>
      <c r="AB585" s="871"/>
      <c r="AC585" s="380" t="s">
        <v>523</v>
      </c>
      <c r="AD585" s="882"/>
      <c r="AE585" s="35"/>
      <c r="AF585" s="871"/>
      <c r="AG585" s="890"/>
      <c r="AH585" s="476"/>
      <c r="AI585" s="476"/>
      <c r="AJ585" s="484"/>
      <c r="AK585" s="35"/>
      <c r="AL585" s="80"/>
      <c r="AN585" s="554">
        <f t="shared" si="309"/>
        <v>45.034558401371427</v>
      </c>
      <c r="AQ585" s="580"/>
      <c r="AR585" s="554">
        <f t="shared" si="301"/>
        <v>65.457206978737545</v>
      </c>
      <c r="AT585" s="274">
        <v>0.68799999999999994</v>
      </c>
      <c r="AU585" s="248"/>
      <c r="AY585" s="908"/>
      <c r="AZ585" s="760">
        <v>1967</v>
      </c>
      <c r="BA585" s="293"/>
    </row>
    <row r="586" spans="1:53">
      <c r="B586" s="991"/>
      <c r="C586" s="871"/>
      <c r="D586" s="871"/>
      <c r="E586" s="899"/>
      <c r="F586" s="871"/>
      <c r="G586" s="871"/>
      <c r="H586" s="871"/>
      <c r="I586" s="871"/>
      <c r="J586" s="221"/>
      <c r="K586" s="35"/>
      <c r="L586" s="451">
        <v>6</v>
      </c>
      <c r="M586" s="6">
        <f>CONVERT(3.46*10^-3,"in","mm")</f>
        <v>8.7884000000000004E-2</v>
      </c>
      <c r="N586" s="6">
        <f t="shared" si="308"/>
        <v>101.94544</v>
      </c>
      <c r="O586" s="5">
        <f>CONVERT(8,"in","mm")</f>
        <v>203.2</v>
      </c>
      <c r="P586" s="5">
        <f t="shared" si="307"/>
        <v>5.8523043603219395E-2</v>
      </c>
      <c r="Q586" s="6">
        <v>1160</v>
      </c>
      <c r="R586" s="35"/>
      <c r="T586" s="465" t="s">
        <v>403</v>
      </c>
      <c r="U586" s="5"/>
      <c r="V586" s="172">
        <f>CONVERT(16.6*10^6,"psi","Pa")/10^6</f>
        <v>114452.97106659482</v>
      </c>
      <c r="X586" s="5"/>
      <c r="Z586" s="941"/>
      <c r="AA586" s="35"/>
      <c r="AB586" s="871"/>
      <c r="AC586" s="380" t="s">
        <v>523</v>
      </c>
      <c r="AD586" s="882"/>
      <c r="AE586" s="35"/>
      <c r="AF586" s="871"/>
      <c r="AG586" s="890"/>
      <c r="AH586" s="476"/>
      <c r="AI586" s="476"/>
      <c r="AJ586" s="484"/>
      <c r="AK586" s="35"/>
      <c r="AL586" s="80"/>
      <c r="AN586" s="554">
        <f t="shared" si="309"/>
        <v>40.248310498498142</v>
      </c>
      <c r="AQ586" s="580"/>
      <c r="AR586" s="554">
        <f t="shared" si="301"/>
        <v>59.715594211421568</v>
      </c>
      <c r="AT586" s="691">
        <v>0.67400000000000004</v>
      </c>
      <c r="AU586" s="248"/>
      <c r="AY586" s="908"/>
      <c r="AZ586" s="760">
        <v>1967</v>
      </c>
      <c r="BA586" s="293"/>
    </row>
    <row r="587" spans="1:53">
      <c r="B587" s="991"/>
      <c r="C587" s="871"/>
      <c r="D587" s="871"/>
      <c r="E587" s="899"/>
      <c r="F587" s="871"/>
      <c r="G587" s="871"/>
      <c r="H587" s="871"/>
      <c r="I587" s="871"/>
      <c r="J587" s="221"/>
      <c r="K587" s="35"/>
      <c r="L587" s="451">
        <v>7</v>
      </c>
      <c r="M587" s="6">
        <f>CONVERT(4.16*10^-3,"in","mm")</f>
        <v>0.10566400000000002</v>
      </c>
      <c r="N587" s="6">
        <f t="shared" si="308"/>
        <v>101.43744000000002</v>
      </c>
      <c r="O587" s="5">
        <f>CONVERT(8.1,"in","mm")</f>
        <v>205.74</v>
      </c>
      <c r="P587" s="5">
        <f t="shared" si="307"/>
        <v>6.5461332098607924E-2</v>
      </c>
      <c r="Q587" s="6">
        <v>960</v>
      </c>
      <c r="R587" s="35"/>
      <c r="T587" s="465" t="s">
        <v>403</v>
      </c>
      <c r="U587" s="5"/>
      <c r="V587" s="172">
        <f>CONVERT(17.2*10^6,"psi","Pa")/10^6</f>
        <v>118589.82544249581</v>
      </c>
      <c r="X587" s="5"/>
      <c r="Z587" s="941"/>
      <c r="AA587" s="35"/>
      <c r="AB587" s="871"/>
      <c r="AC587" s="380" t="s">
        <v>523</v>
      </c>
      <c r="AD587" s="882"/>
      <c r="AE587" s="35"/>
      <c r="AF587" s="871"/>
      <c r="AG587" s="890"/>
      <c r="AH587" s="476"/>
      <c r="AI587" s="476"/>
      <c r="AJ587" s="484"/>
      <c r="AK587" s="35"/>
      <c r="AL587" s="80"/>
      <c r="AN587" s="554">
        <f t="shared" si="309"/>
        <v>45.755815000768386</v>
      </c>
      <c r="AQ587" s="580"/>
      <c r="AR587" s="554">
        <f t="shared" si="301"/>
        <v>74.764403596026781</v>
      </c>
      <c r="AT587" s="691">
        <v>0.61199999999999999</v>
      </c>
      <c r="AU587" s="248"/>
      <c r="AY587" s="908"/>
      <c r="AZ587" s="760">
        <v>1967</v>
      </c>
      <c r="BA587" s="293"/>
    </row>
    <row r="588" spans="1:53" ht="16.5" thickBot="1">
      <c r="B588" s="992"/>
      <c r="C588" s="872"/>
      <c r="D588" s="872"/>
      <c r="E588" s="900"/>
      <c r="F588" s="872"/>
      <c r="G588" s="872"/>
      <c r="H588" s="872"/>
      <c r="I588" s="872"/>
      <c r="J588" s="223"/>
      <c r="K588" s="36"/>
      <c r="L588" s="453">
        <v>8</v>
      </c>
      <c r="M588" s="16">
        <f>CONVERT(4.18*10^-3,"in","mm")</f>
        <v>0.106172</v>
      </c>
      <c r="N588" s="16">
        <f t="shared" si="308"/>
        <v>101.92512000000001</v>
      </c>
      <c r="O588" s="18">
        <f>CONVERT(6.9,"in","mm")</f>
        <v>175.26</v>
      </c>
      <c r="P588" s="18">
        <f>O588/N588*SQRT(M588/N588)</f>
        <v>5.5496546652443787E-2</v>
      </c>
      <c r="Q588" s="16">
        <v>960</v>
      </c>
      <c r="R588" s="36"/>
      <c r="S588" s="173"/>
      <c r="T588" s="466" t="s">
        <v>403</v>
      </c>
      <c r="U588" s="18"/>
      <c r="V588" s="173">
        <f>CONVERT(16.7*10^6,"psi","Pa")/10^6</f>
        <v>115142.44679591163</v>
      </c>
      <c r="W588" s="173"/>
      <c r="X588" s="18"/>
      <c r="Y588" s="173"/>
      <c r="Z588" s="942"/>
      <c r="AA588" s="35"/>
      <c r="AB588" s="871"/>
      <c r="AC588" s="380" t="s">
        <v>523</v>
      </c>
      <c r="AD588" s="882"/>
      <c r="AE588" s="36"/>
      <c r="AF588" s="872"/>
      <c r="AG588" s="891"/>
      <c r="AH588" s="477"/>
      <c r="AI588" s="477"/>
      <c r="AJ588" s="485"/>
      <c r="AK588" s="36"/>
      <c r="AL588" s="186"/>
      <c r="AM588" s="18"/>
      <c r="AN588" s="556">
        <f t="shared" si="309"/>
        <v>47.547117949717375</v>
      </c>
      <c r="AO588" s="556"/>
      <c r="AP588" s="556"/>
      <c r="AQ588" s="587"/>
      <c r="AR588" s="556">
        <f t="shared" si="301"/>
        <v>72.591019770560877</v>
      </c>
      <c r="AS588" s="577"/>
      <c r="AT588" s="692">
        <v>0.65500000000000003</v>
      </c>
      <c r="AU588" s="249"/>
      <c r="AV588" s="91"/>
      <c r="AW588" s="18"/>
      <c r="AX588" s="31"/>
      <c r="AY588" s="909"/>
      <c r="AZ588" s="770">
        <v>1967</v>
      </c>
      <c r="BA588" s="295"/>
    </row>
    <row r="589" spans="1:53" ht="17.100000000000001" customHeight="1">
      <c r="B589" s="990">
        <v>35</v>
      </c>
      <c r="C589" s="870" t="s">
        <v>721</v>
      </c>
      <c r="D589" s="870" t="s">
        <v>722</v>
      </c>
      <c r="E589" s="932">
        <v>1964</v>
      </c>
      <c r="F589" s="870" t="s">
        <v>723</v>
      </c>
      <c r="G589" s="870" t="s">
        <v>406</v>
      </c>
      <c r="H589" s="870" t="s">
        <v>724</v>
      </c>
      <c r="I589" s="910" t="s">
        <v>526</v>
      </c>
      <c r="J589" s="222"/>
      <c r="K589" s="34"/>
      <c r="L589" s="449"/>
      <c r="M589" s="14">
        <v>0.17779999999999999</v>
      </c>
      <c r="N589" s="14">
        <v>190.5</v>
      </c>
      <c r="O589" s="15"/>
      <c r="P589" s="15"/>
      <c r="Q589" s="15">
        <f>N589/M589</f>
        <v>1071.4285714285716</v>
      </c>
      <c r="R589" s="884" t="s">
        <v>95</v>
      </c>
      <c r="S589" s="870" t="s">
        <v>725</v>
      </c>
      <c r="T589" s="464" t="s">
        <v>163</v>
      </c>
      <c r="U589" s="15"/>
      <c r="V589" s="171">
        <v>206842.71840000001</v>
      </c>
      <c r="W589" s="171">
        <v>336.87387408930357</v>
      </c>
      <c r="X589" s="15"/>
      <c r="Y589" s="171"/>
      <c r="Z589" s="29"/>
      <c r="AA589" s="34"/>
      <c r="AB589" s="870" t="s">
        <v>726</v>
      </c>
      <c r="AC589" s="379" t="s">
        <v>750</v>
      </c>
      <c r="AD589" s="881" t="s">
        <v>727</v>
      </c>
      <c r="AE589" s="35"/>
      <c r="AJ589" s="707">
        <f t="shared" ref="AJ589:AJ604" si="310">CONVERT(1/4/2,"in","mm")/N589</f>
        <v>1.6666666666666666E-2</v>
      </c>
      <c r="AK589" s="34"/>
      <c r="AL589" s="870" t="s">
        <v>728</v>
      </c>
      <c r="AM589" s="15"/>
      <c r="AN589" s="20">
        <v>22.92399296001901</v>
      </c>
      <c r="AO589" s="20">
        <f t="shared" ref="AO589:AO604" si="311">AN589/W589</f>
        <v>6.8049186129352304E-2</v>
      </c>
      <c r="AP589" s="20"/>
      <c r="AQ589" s="20">
        <f t="shared" ref="AQ589:AQ604" si="312">SQRT(W589/AR589)</f>
        <v>1.6979927069158915</v>
      </c>
      <c r="AR589" s="20">
        <f t="shared" ref="AR589:AR604" si="313">V589/SQRT(3*(1-0.3^2))/Q589</f>
        <v>116.84111423389058</v>
      </c>
      <c r="AS589" s="547"/>
      <c r="AT589" s="681">
        <f t="shared" ref="AT589:AT604" si="314">AN589/AR589</f>
        <v>0.19619800025297726</v>
      </c>
      <c r="AU589" s="29">
        <f t="shared" si="298"/>
        <v>6.8049186129352304E-2</v>
      </c>
      <c r="AV589" s="128"/>
      <c r="AW589" s="870" t="s">
        <v>729</v>
      </c>
      <c r="AX589" s="29"/>
      <c r="AY589" s="216" t="s">
        <v>730</v>
      </c>
      <c r="AZ589" s="543">
        <v>1964</v>
      </c>
      <c r="BA589" s="292"/>
    </row>
    <row r="590" spans="1:53">
      <c r="B590" s="991"/>
      <c r="C590" s="871"/>
      <c r="D590" s="871"/>
      <c r="E590" s="927"/>
      <c r="F590" s="871"/>
      <c r="G590" s="871"/>
      <c r="H590" s="871"/>
      <c r="I590" s="871"/>
      <c r="J590" s="221"/>
      <c r="K590" s="35"/>
      <c r="M590" s="6">
        <v>0.17779999999999999</v>
      </c>
      <c r="N590" s="6">
        <v>190.5</v>
      </c>
      <c r="O590" s="5"/>
      <c r="P590" s="5"/>
      <c r="Q590" s="5">
        <f t="shared" ref="Q590:Q596" si="315">N590/M590</f>
        <v>1071.4285714285716</v>
      </c>
      <c r="R590" s="885"/>
      <c r="S590" s="871"/>
      <c r="T590" s="465" t="s">
        <v>163</v>
      </c>
      <c r="U590" s="5"/>
      <c r="V590" s="172">
        <v>206842.71840000001</v>
      </c>
      <c r="W590" s="172">
        <v>344.07015545492618</v>
      </c>
      <c r="X590" s="5"/>
      <c r="AA590" s="35"/>
      <c r="AB590" s="871"/>
      <c r="AC590" s="380" t="s">
        <v>750</v>
      </c>
      <c r="AD590" s="882"/>
      <c r="AE590" s="35"/>
      <c r="AJ590" s="254">
        <f t="shared" si="310"/>
        <v>1.6666666666666666E-2</v>
      </c>
      <c r="AK590" s="35"/>
      <c r="AL590" s="871"/>
      <c r="AN590" s="554">
        <v>30.437680019303226</v>
      </c>
      <c r="AO590" s="554">
        <f t="shared" si="311"/>
        <v>8.8463586674812938E-2</v>
      </c>
      <c r="AQ590" s="554">
        <f t="shared" si="312"/>
        <v>1.7160330855221739</v>
      </c>
      <c r="AR590" s="554">
        <f t="shared" si="313"/>
        <v>116.84111423389058</v>
      </c>
      <c r="AT590" s="274">
        <f t="shared" si="314"/>
        <v>0.2605048763774504</v>
      </c>
      <c r="AU590" s="30">
        <f t="shared" si="298"/>
        <v>8.8463586674812938E-2</v>
      </c>
      <c r="AW590" s="871"/>
      <c r="AZ590" s="543">
        <v>1964</v>
      </c>
      <c r="BA590" s="293"/>
    </row>
    <row r="591" spans="1:53">
      <c r="B591" s="991"/>
      <c r="C591" s="871"/>
      <c r="D591" s="871"/>
      <c r="E591" s="927"/>
      <c r="F591" s="871"/>
      <c r="G591" s="871"/>
      <c r="H591" s="871"/>
      <c r="I591" s="871"/>
      <c r="J591" s="221"/>
      <c r="K591" s="35"/>
      <c r="M591" s="6">
        <v>0.17779999999999999</v>
      </c>
      <c r="N591" s="6">
        <v>190.5</v>
      </c>
      <c r="O591" s="5"/>
      <c r="P591" s="5"/>
      <c r="Q591" s="5">
        <f t="shared" si="315"/>
        <v>1071.4285714285716</v>
      </c>
      <c r="R591" s="885"/>
      <c r="S591" s="871"/>
      <c r="T591" s="465" t="s">
        <v>163</v>
      </c>
      <c r="U591" s="5"/>
      <c r="V591" s="172">
        <v>206842.71840000001</v>
      </c>
      <c r="W591" s="172">
        <v>371.34269748679128</v>
      </c>
      <c r="X591" s="5"/>
      <c r="AA591" s="35"/>
      <c r="AB591" s="871"/>
      <c r="AC591" s="380" t="s">
        <v>750</v>
      </c>
      <c r="AD591" s="882"/>
      <c r="AE591" s="35"/>
      <c r="AJ591" s="254">
        <f t="shared" si="310"/>
        <v>1.6666666666666666E-2</v>
      </c>
      <c r="AK591" s="35"/>
      <c r="AL591" s="871"/>
      <c r="AN591" s="554">
        <v>32.254456956321413</v>
      </c>
      <c r="AO591" s="554">
        <f t="shared" si="311"/>
        <v>8.6859004296075348E-2</v>
      </c>
      <c r="AQ591" s="554">
        <f t="shared" si="312"/>
        <v>1.7827465266850737</v>
      </c>
      <c r="AR591" s="554">
        <f t="shared" si="313"/>
        <v>116.84111423389058</v>
      </c>
      <c r="AT591" s="274">
        <f t="shared" si="314"/>
        <v>0.27605400006503689</v>
      </c>
      <c r="AU591" s="30">
        <f t="shared" si="298"/>
        <v>8.6859004296075348E-2</v>
      </c>
      <c r="AW591" s="871"/>
      <c r="AZ591" s="543">
        <v>1964</v>
      </c>
      <c r="BA591" s="293"/>
    </row>
    <row r="592" spans="1:53">
      <c r="B592" s="991"/>
      <c r="C592" s="871"/>
      <c r="D592" s="871"/>
      <c r="E592" s="927"/>
      <c r="F592" s="871"/>
      <c r="G592" s="871"/>
      <c r="H592" s="871"/>
      <c r="I592" s="871"/>
      <c r="J592" s="221"/>
      <c r="K592" s="35"/>
      <c r="M592" s="6">
        <v>0.20319999999999999</v>
      </c>
      <c r="N592" s="6">
        <v>114.3</v>
      </c>
      <c r="O592" s="5"/>
      <c r="P592" s="5"/>
      <c r="Q592" s="5">
        <f t="shared" si="315"/>
        <v>562.5</v>
      </c>
      <c r="R592" s="885"/>
      <c r="S592" s="871"/>
      <c r="T592" s="465" t="s">
        <v>163</v>
      </c>
      <c r="U592" s="5"/>
      <c r="V592" s="172">
        <v>206842.71840000001</v>
      </c>
      <c r="W592" s="172">
        <v>304.61644575607374</v>
      </c>
      <c r="X592" s="5"/>
      <c r="AA592" s="35"/>
      <c r="AB592" s="871"/>
      <c r="AC592" s="380" t="s">
        <v>750</v>
      </c>
      <c r="AD592" s="882"/>
      <c r="AE592" s="35"/>
      <c r="AJ592" s="254">
        <f t="shared" si="310"/>
        <v>2.7777777777777776E-2</v>
      </c>
      <c r="AK592" s="35"/>
      <c r="AL592" s="871"/>
      <c r="AN592" s="554">
        <v>49.245676713529811</v>
      </c>
      <c r="AO592" s="554">
        <f t="shared" si="311"/>
        <v>0.16166453715688101</v>
      </c>
      <c r="AQ592" s="554">
        <f t="shared" si="312"/>
        <v>1.1699262352480448</v>
      </c>
      <c r="AR592" s="554">
        <f t="shared" si="313"/>
        <v>222.55450330264875</v>
      </c>
      <c r="AT592" s="274">
        <f t="shared" si="314"/>
        <v>0.22127468095561878</v>
      </c>
      <c r="AU592" s="30">
        <f t="shared" si="298"/>
        <v>0.16166453715688101</v>
      </c>
      <c r="AW592" s="871"/>
      <c r="AZ592" s="543">
        <v>1964</v>
      </c>
      <c r="BA592" s="293"/>
    </row>
    <row r="593" spans="1:53">
      <c r="B593" s="991"/>
      <c r="C593" s="871"/>
      <c r="D593" s="871"/>
      <c r="E593" s="927"/>
      <c r="F593" s="871"/>
      <c r="G593" s="871"/>
      <c r="H593" s="871"/>
      <c r="I593" s="871"/>
      <c r="J593" s="221"/>
      <c r="K593" s="35"/>
      <c r="M593" s="6">
        <v>0.20319999999999999</v>
      </c>
      <c r="N593" s="6">
        <v>114.3</v>
      </c>
      <c r="O593" s="5"/>
      <c r="P593" s="5"/>
      <c r="Q593" s="5">
        <f t="shared" si="315"/>
        <v>562.5</v>
      </c>
      <c r="R593" s="885"/>
      <c r="S593" s="871"/>
      <c r="T593" s="465" t="s">
        <v>163</v>
      </c>
      <c r="U593" s="5"/>
      <c r="V593" s="172">
        <v>206842.71840000001</v>
      </c>
      <c r="W593" s="172">
        <v>272.82417666250433</v>
      </c>
      <c r="X593" s="5"/>
      <c r="AA593" s="35"/>
      <c r="AB593" s="871"/>
      <c r="AC593" s="380" t="s">
        <v>750</v>
      </c>
      <c r="AD593" s="882"/>
      <c r="AE593" s="35"/>
      <c r="AJ593" s="254">
        <f t="shared" si="310"/>
        <v>2.7777777777777776E-2</v>
      </c>
      <c r="AK593" s="35"/>
      <c r="AL593" s="871"/>
      <c r="AN593" s="554">
        <v>55.212813488749362</v>
      </c>
      <c r="AO593" s="554">
        <f t="shared" si="311"/>
        <v>0.20237507600746862</v>
      </c>
      <c r="AQ593" s="554">
        <f t="shared" si="312"/>
        <v>1.1071927501539178</v>
      </c>
      <c r="AR593" s="554">
        <f t="shared" si="313"/>
        <v>222.55450330264875</v>
      </c>
      <c r="AT593" s="274">
        <f t="shared" si="314"/>
        <v>0.24808670536612881</v>
      </c>
      <c r="AU593" s="30">
        <f t="shared" si="298"/>
        <v>0.20237507600746862</v>
      </c>
      <c r="AW593" s="871"/>
      <c r="AZ593" s="543">
        <v>1964</v>
      </c>
      <c r="BA593" s="293"/>
    </row>
    <row r="594" spans="1:53">
      <c r="B594" s="991"/>
      <c r="C594" s="871"/>
      <c r="D594" s="871"/>
      <c r="E594" s="927"/>
      <c r="F594" s="871"/>
      <c r="G594" s="871"/>
      <c r="H594" s="871"/>
      <c r="I594" s="871"/>
      <c r="J594" s="221"/>
      <c r="K594" s="35"/>
      <c r="M594" s="6">
        <v>0.20319999999999999</v>
      </c>
      <c r="N594" s="6">
        <v>114.3</v>
      </c>
      <c r="O594" s="5"/>
      <c r="P594" s="5"/>
      <c r="Q594" s="5">
        <f t="shared" si="315"/>
        <v>562.5</v>
      </c>
      <c r="R594" s="885"/>
      <c r="S594" s="871"/>
      <c r="T594" s="465" t="s">
        <v>163</v>
      </c>
      <c r="U594" s="5"/>
      <c r="V594" s="172">
        <v>206842.71840000001</v>
      </c>
      <c r="W594" s="172">
        <v>270.6542294061266</v>
      </c>
      <c r="X594" s="5"/>
      <c r="AA594" s="35"/>
      <c r="AB594" s="871"/>
      <c r="AC594" s="380" t="s">
        <v>750</v>
      </c>
      <c r="AD594" s="882"/>
      <c r="AE594" s="35"/>
      <c r="AJ594" s="254">
        <f t="shared" si="310"/>
        <v>2.7777777777777776E-2</v>
      </c>
      <c r="AK594" s="35"/>
      <c r="AL594" s="871"/>
      <c r="AN594" s="554">
        <v>56.858052836842099</v>
      </c>
      <c r="AO594" s="554">
        <f t="shared" si="311"/>
        <v>0.21007635078011105</v>
      </c>
      <c r="AQ594" s="554">
        <f t="shared" si="312"/>
        <v>1.1027808496916107</v>
      </c>
      <c r="AR594" s="554">
        <f t="shared" si="313"/>
        <v>222.55450330264875</v>
      </c>
      <c r="AT594" s="274">
        <f t="shared" si="314"/>
        <v>0.25547922865223549</v>
      </c>
      <c r="AU594" s="30">
        <f t="shared" si="298"/>
        <v>0.21007635078011105</v>
      </c>
      <c r="AW594" s="871"/>
      <c r="AZ594" s="543">
        <v>1964</v>
      </c>
      <c r="BA594" s="293"/>
    </row>
    <row r="595" spans="1:53">
      <c r="B595" s="991"/>
      <c r="C595" s="871"/>
      <c r="D595" s="871"/>
      <c r="E595" s="927"/>
      <c r="F595" s="871"/>
      <c r="G595" s="871"/>
      <c r="H595" s="871"/>
      <c r="I595" s="871"/>
      <c r="J595" s="221"/>
      <c r="K595" s="35"/>
      <c r="M595" s="6">
        <v>0.20319999999999999</v>
      </c>
      <c r="N595" s="6">
        <v>114.3</v>
      </c>
      <c r="O595" s="5"/>
      <c r="P595" s="5"/>
      <c r="Q595" s="5">
        <f t="shared" si="315"/>
        <v>562.5</v>
      </c>
      <c r="R595" s="885"/>
      <c r="S595" s="871"/>
      <c r="T595" s="465" t="s">
        <v>163</v>
      </c>
      <c r="U595" s="5"/>
      <c r="V595" s="172">
        <v>206842.71840000001</v>
      </c>
      <c r="W595" s="172">
        <v>242.95647374637767</v>
      </c>
      <c r="X595" s="5"/>
      <c r="AA595" s="35"/>
      <c r="AB595" s="871"/>
      <c r="AC595" s="380" t="s">
        <v>750</v>
      </c>
      <c r="AD595" s="882"/>
      <c r="AE595" s="35"/>
      <c r="AJ595" s="254">
        <f t="shared" si="310"/>
        <v>2.7777777777777776E-2</v>
      </c>
      <c r="AK595" s="35"/>
      <c r="AL595" s="871"/>
      <c r="AN595" s="554">
        <v>52.828604749644782</v>
      </c>
      <c r="AO595" s="554">
        <f t="shared" si="311"/>
        <v>0.21744061368289605</v>
      </c>
      <c r="AQ595" s="554">
        <f t="shared" si="312"/>
        <v>1.044830987952263</v>
      </c>
      <c r="AR595" s="554">
        <f t="shared" si="313"/>
        <v>222.55450330264875</v>
      </c>
      <c r="AT595" s="274">
        <f t="shared" si="314"/>
        <v>0.23737378469400774</v>
      </c>
      <c r="AU595" s="30">
        <f t="shared" si="298"/>
        <v>0.21744061368289605</v>
      </c>
      <c r="AW595" s="871"/>
      <c r="AZ595" s="543">
        <v>1964</v>
      </c>
      <c r="BA595" s="293"/>
    </row>
    <row r="596" spans="1:53">
      <c r="B596" s="991"/>
      <c r="C596" s="871"/>
      <c r="D596" s="871"/>
      <c r="E596" s="927"/>
      <c r="F596" s="871"/>
      <c r="G596" s="871"/>
      <c r="H596" s="871"/>
      <c r="I596" s="871"/>
      <c r="J596" s="221"/>
      <c r="K596" s="35"/>
      <c r="M596" s="6">
        <v>0.20319999999999999</v>
      </c>
      <c r="N596" s="6">
        <v>114.3</v>
      </c>
      <c r="O596" s="5"/>
      <c r="P596" s="5"/>
      <c r="Q596" s="5">
        <f t="shared" si="315"/>
        <v>562.5</v>
      </c>
      <c r="R596" s="885"/>
      <c r="S596" s="871"/>
      <c r="T596" s="465" t="s">
        <v>163</v>
      </c>
      <c r="U596" s="5"/>
      <c r="V596" s="172">
        <v>206842.71840000001</v>
      </c>
      <c r="W596" s="172">
        <v>235.48554658541721</v>
      </c>
      <c r="X596" s="5"/>
      <c r="AA596" s="35"/>
      <c r="AB596" s="871"/>
      <c r="AC596" s="380" t="s">
        <v>750</v>
      </c>
      <c r="AD596" s="882"/>
      <c r="AE596" s="35"/>
      <c r="AJ596" s="254">
        <f t="shared" si="310"/>
        <v>2.7777777777777776E-2</v>
      </c>
      <c r="AK596" s="35"/>
      <c r="AL596" s="871"/>
      <c r="AN596" s="554">
        <v>50.132722665087726</v>
      </c>
      <c r="AO596" s="554">
        <f t="shared" si="311"/>
        <v>0.21289086906615384</v>
      </c>
      <c r="AQ596" s="554">
        <f t="shared" si="312"/>
        <v>1.0286412473130768</v>
      </c>
      <c r="AR596" s="554">
        <f t="shared" si="313"/>
        <v>222.55450330264875</v>
      </c>
      <c r="AT596" s="274">
        <f t="shared" si="314"/>
        <v>0.22526042799014018</v>
      </c>
      <c r="AU596" s="30">
        <f t="shared" si="298"/>
        <v>0.21289086906615384</v>
      </c>
      <c r="AW596" s="871"/>
      <c r="AZ596" s="543">
        <v>1964</v>
      </c>
      <c r="BA596" s="293"/>
    </row>
    <row r="597" spans="1:53">
      <c r="B597" s="991"/>
      <c r="C597" s="871"/>
      <c r="D597" s="871"/>
      <c r="E597" s="927"/>
      <c r="F597" s="871"/>
      <c r="G597" s="871"/>
      <c r="H597" s="871"/>
      <c r="I597" s="871"/>
      <c r="J597" s="221"/>
      <c r="K597" s="35"/>
      <c r="M597" s="6">
        <v>0.38099999999999995</v>
      </c>
      <c r="N597" s="6">
        <v>114.3</v>
      </c>
      <c r="O597" s="5"/>
      <c r="P597" s="5"/>
      <c r="Q597" s="5">
        <f>N597/M597</f>
        <v>300.00000000000006</v>
      </c>
      <c r="R597" s="885"/>
      <c r="S597" s="871"/>
      <c r="T597" s="465" t="s">
        <v>163</v>
      </c>
      <c r="U597" s="5"/>
      <c r="V597" s="172">
        <v>206842.71840000001</v>
      </c>
      <c r="W597" s="172">
        <v>327.66488781843435</v>
      </c>
      <c r="X597" s="5"/>
      <c r="AA597" s="35"/>
      <c r="AB597" s="871"/>
      <c r="AC597" s="380" t="s">
        <v>750</v>
      </c>
      <c r="AD597" s="882"/>
      <c r="AE597" s="35"/>
      <c r="AJ597" s="254">
        <f t="shared" si="310"/>
        <v>2.7777777777777776E-2</v>
      </c>
      <c r="AK597" s="35"/>
      <c r="AL597" s="871"/>
      <c r="AN597" s="554">
        <v>142.09202622523151</v>
      </c>
      <c r="AO597" s="554">
        <f t="shared" si="311"/>
        <v>0.43365045052971174</v>
      </c>
      <c r="AQ597" s="554">
        <f t="shared" si="312"/>
        <v>0.88612731391844146</v>
      </c>
      <c r="AR597" s="554">
        <f t="shared" si="313"/>
        <v>417.2896936924663</v>
      </c>
      <c r="AT597" s="274">
        <f t="shared" si="314"/>
        <v>0.34051170774888662</v>
      </c>
      <c r="AU597" s="30">
        <f t="shared" si="298"/>
        <v>0.43365045052971174</v>
      </c>
      <c r="AW597" s="871"/>
      <c r="AZ597" s="543">
        <v>1964</v>
      </c>
      <c r="BA597" s="293"/>
    </row>
    <row r="598" spans="1:53">
      <c r="B598" s="991"/>
      <c r="C598" s="871"/>
      <c r="D598" s="871"/>
      <c r="E598" s="927"/>
      <c r="F598" s="871"/>
      <c r="G598" s="871"/>
      <c r="H598" s="871"/>
      <c r="I598" s="871"/>
      <c r="J598" s="221"/>
      <c r="K598" s="35"/>
      <c r="M598" s="6">
        <v>0.38099999999999995</v>
      </c>
      <c r="N598" s="6">
        <v>114.3</v>
      </c>
      <c r="O598" s="5"/>
      <c r="P598" s="5"/>
      <c r="Q598" s="5">
        <f>N598/M598</f>
        <v>300.00000000000006</v>
      </c>
      <c r="R598" s="885"/>
      <c r="S598" s="871"/>
      <c r="T598" s="465" t="s">
        <v>163</v>
      </c>
      <c r="U598" s="5"/>
      <c r="V598" s="172">
        <v>206842.71840000001</v>
      </c>
      <c r="W598" s="172">
        <v>258.59161681497301</v>
      </c>
      <c r="X598" s="5"/>
      <c r="AA598" s="35"/>
      <c r="AB598" s="871"/>
      <c r="AC598" s="380" t="s">
        <v>750</v>
      </c>
      <c r="AD598" s="882"/>
      <c r="AE598" s="35"/>
      <c r="AJ598" s="254">
        <f t="shared" si="310"/>
        <v>2.7777777777777776E-2</v>
      </c>
      <c r="AK598" s="35"/>
      <c r="AL598" s="871"/>
      <c r="AN598" s="554">
        <v>128.97502005477872</v>
      </c>
      <c r="AO598" s="554">
        <f t="shared" si="311"/>
        <v>0.49875947891637451</v>
      </c>
      <c r="AQ598" s="554">
        <f t="shared" si="312"/>
        <v>0.78720599259469148</v>
      </c>
      <c r="AR598" s="554">
        <f t="shared" si="313"/>
        <v>417.2896936924663</v>
      </c>
      <c r="AT598" s="274">
        <f t="shared" si="314"/>
        <v>0.30907789481575498</v>
      </c>
      <c r="AU598" s="30">
        <f t="shared" si="298"/>
        <v>0.49875947891637451</v>
      </c>
      <c r="AW598" s="871"/>
      <c r="AZ598" s="543">
        <v>1964</v>
      </c>
      <c r="BA598" s="293"/>
    </row>
    <row r="599" spans="1:53">
      <c r="B599" s="991"/>
      <c r="C599" s="871"/>
      <c r="D599" s="871"/>
      <c r="E599" s="927"/>
      <c r="F599" s="871"/>
      <c r="G599" s="871"/>
      <c r="H599" s="871"/>
      <c r="I599" s="871"/>
      <c r="J599" s="221"/>
      <c r="K599" s="35"/>
      <c r="M599" s="6">
        <v>0.38100000000000001</v>
      </c>
      <c r="N599" s="6">
        <v>114.3</v>
      </c>
      <c r="O599" s="5"/>
      <c r="P599" s="5"/>
      <c r="Q599" s="5">
        <f t="shared" ref="Q599:Q604" si="316">N599/M599</f>
        <v>300</v>
      </c>
      <c r="R599" s="885"/>
      <c r="S599" s="871"/>
      <c r="T599" s="465" t="s">
        <v>163</v>
      </c>
      <c r="U599" s="5"/>
      <c r="V599" s="172">
        <v>206842.71840000001</v>
      </c>
      <c r="W599" s="172">
        <v>235.32169608091252</v>
      </c>
      <c r="X599" s="5"/>
      <c r="AA599" s="35"/>
      <c r="AB599" s="871"/>
      <c r="AC599" s="380" t="s">
        <v>750</v>
      </c>
      <c r="AD599" s="882"/>
      <c r="AE599" s="35"/>
      <c r="AJ599" s="254">
        <f t="shared" si="310"/>
        <v>2.7777777777777776E-2</v>
      </c>
      <c r="AK599" s="35"/>
      <c r="AL599" s="871"/>
      <c r="AN599" s="554">
        <v>126.743308535523</v>
      </c>
      <c r="AO599" s="554">
        <f t="shared" si="311"/>
        <v>0.53859593333860656</v>
      </c>
      <c r="AQ599" s="554">
        <f t="shared" si="312"/>
        <v>0.7509519609161065</v>
      </c>
      <c r="AR599" s="554">
        <f t="shared" si="313"/>
        <v>417.28969369246641</v>
      </c>
      <c r="AT599" s="274">
        <f t="shared" si="314"/>
        <v>0.30372978401170414</v>
      </c>
      <c r="AU599" s="30">
        <f t="shared" si="298"/>
        <v>0.53859593333860656</v>
      </c>
      <c r="AW599" s="871"/>
      <c r="AZ599" s="543">
        <v>1964</v>
      </c>
      <c r="BA599" s="293"/>
    </row>
    <row r="600" spans="1:53">
      <c r="B600" s="991"/>
      <c r="C600" s="871"/>
      <c r="D600" s="871"/>
      <c r="E600" s="927"/>
      <c r="F600" s="871"/>
      <c r="G600" s="871"/>
      <c r="H600" s="871"/>
      <c r="I600" s="871"/>
      <c r="J600" s="221"/>
      <c r="K600" s="35"/>
      <c r="M600" s="6">
        <v>0.38100000000000001</v>
      </c>
      <c r="N600" s="6">
        <v>114.3</v>
      </c>
      <c r="O600" s="5"/>
      <c r="P600" s="5"/>
      <c r="Q600" s="5">
        <f t="shared" si="316"/>
        <v>300</v>
      </c>
      <c r="R600" s="885"/>
      <c r="S600" s="871"/>
      <c r="T600" s="465" t="s">
        <v>163</v>
      </c>
      <c r="U600" s="5"/>
      <c r="V600" s="172">
        <v>206842.71840000001</v>
      </c>
      <c r="W600" s="172">
        <v>204.4489896176384</v>
      </c>
      <c r="X600" s="5"/>
      <c r="AA600" s="35"/>
      <c r="AB600" s="871"/>
      <c r="AC600" s="380" t="s">
        <v>750</v>
      </c>
      <c r="AD600" s="882"/>
      <c r="AE600" s="35"/>
      <c r="AJ600" s="254">
        <f t="shared" si="310"/>
        <v>2.7777777777777776E-2</v>
      </c>
      <c r="AK600" s="35"/>
      <c r="AL600" s="871"/>
      <c r="AN600" s="554">
        <v>117.15359110088279</v>
      </c>
      <c r="AO600" s="554">
        <f t="shared" si="311"/>
        <v>0.57302113020946721</v>
      </c>
      <c r="AQ600" s="554">
        <f t="shared" si="312"/>
        <v>0.69996069716312881</v>
      </c>
      <c r="AR600" s="554">
        <f t="shared" si="313"/>
        <v>417.28969369246641</v>
      </c>
      <c r="AT600" s="274">
        <f t="shared" si="314"/>
        <v>0.28074882478938595</v>
      </c>
      <c r="AU600" s="30">
        <f t="shared" si="298"/>
        <v>0.57302113020946721</v>
      </c>
      <c r="AW600" s="871"/>
      <c r="AZ600" s="543">
        <v>1964</v>
      </c>
      <c r="BA600" s="293"/>
    </row>
    <row r="601" spans="1:53">
      <c r="B601" s="991"/>
      <c r="C601" s="871"/>
      <c r="D601" s="871"/>
      <c r="E601" s="927"/>
      <c r="F601" s="871"/>
      <c r="G601" s="871"/>
      <c r="H601" s="871"/>
      <c r="I601" s="871"/>
      <c r="J601" s="221"/>
      <c r="K601" s="35"/>
      <c r="M601" s="6">
        <v>0.38100000000000001</v>
      </c>
      <c r="N601" s="6">
        <v>114.3</v>
      </c>
      <c r="O601" s="5"/>
      <c r="P601" s="5"/>
      <c r="Q601" s="5">
        <f t="shared" si="316"/>
        <v>300</v>
      </c>
      <c r="R601" s="885"/>
      <c r="S601" s="871"/>
      <c r="T601" s="465" t="s">
        <v>163</v>
      </c>
      <c r="U601" s="5"/>
      <c r="V601" s="172">
        <v>206842.71840000001</v>
      </c>
      <c r="W601" s="172">
        <v>175.23469776315687</v>
      </c>
      <c r="X601" s="5"/>
      <c r="AA601" s="35"/>
      <c r="AB601" s="871"/>
      <c r="AC601" s="380" t="s">
        <v>750</v>
      </c>
      <c r="AD601" s="882"/>
      <c r="AE601" s="35"/>
      <c r="AJ601" s="254">
        <f t="shared" si="310"/>
        <v>2.7777777777777776E-2</v>
      </c>
      <c r="AK601" s="35"/>
      <c r="AL601" s="871"/>
      <c r="AN601" s="554">
        <v>118.45721579656708</v>
      </c>
      <c r="AO601" s="554">
        <f t="shared" si="311"/>
        <v>0.67599178306953278</v>
      </c>
      <c r="AQ601" s="554">
        <f t="shared" si="312"/>
        <v>0.64802419711259707</v>
      </c>
      <c r="AR601" s="554">
        <f t="shared" si="313"/>
        <v>417.28969369246641</v>
      </c>
      <c r="AT601" s="274">
        <f t="shared" si="314"/>
        <v>0.28387285280970181</v>
      </c>
      <c r="AU601" s="30">
        <f t="shared" si="298"/>
        <v>0.67599178306953278</v>
      </c>
      <c r="AW601" s="871"/>
      <c r="AZ601" s="543">
        <v>1964</v>
      </c>
      <c r="BA601" s="293"/>
    </row>
    <row r="602" spans="1:53">
      <c r="B602" s="991"/>
      <c r="C602" s="871"/>
      <c r="D602" s="871"/>
      <c r="E602" s="927"/>
      <c r="F602" s="871"/>
      <c r="G602" s="871"/>
      <c r="H602" s="871"/>
      <c r="I602" s="871"/>
      <c r="J602" s="221"/>
      <c r="K602" s="35"/>
      <c r="M602" s="6">
        <v>0.38100000000000001</v>
      </c>
      <c r="N602" s="6">
        <v>114.3</v>
      </c>
      <c r="O602" s="5"/>
      <c r="P602" s="5"/>
      <c r="Q602" s="5">
        <f t="shared" si="316"/>
        <v>300</v>
      </c>
      <c r="R602" s="885"/>
      <c r="S602" s="871"/>
      <c r="T602" s="465" t="s">
        <v>163</v>
      </c>
      <c r="U602" s="5"/>
      <c r="V602" s="172">
        <v>206842.71840000001</v>
      </c>
      <c r="W602" s="172">
        <v>168.97832881415036</v>
      </c>
      <c r="X602" s="5"/>
      <c r="AA602" s="35"/>
      <c r="AB602" s="871"/>
      <c r="AC602" s="380" t="s">
        <v>750</v>
      </c>
      <c r="AD602" s="882"/>
      <c r="AE602" s="35"/>
      <c r="AJ602" s="254">
        <f t="shared" si="310"/>
        <v>2.7777777777777776E-2</v>
      </c>
      <c r="AK602" s="35"/>
      <c r="AL602" s="871"/>
      <c r="AN602" s="554">
        <v>120.91247490907875</v>
      </c>
      <c r="AO602" s="554">
        <f t="shared" si="311"/>
        <v>0.71555018775255785</v>
      </c>
      <c r="AQ602" s="554">
        <f t="shared" si="312"/>
        <v>0.63635091959803869</v>
      </c>
      <c r="AR602" s="554">
        <f t="shared" si="313"/>
        <v>417.28969369246641</v>
      </c>
      <c r="AT602" s="274">
        <f t="shared" si="314"/>
        <v>0.28975667680445677</v>
      </c>
      <c r="AU602" s="30">
        <f t="shared" si="298"/>
        <v>0.71555018775255785</v>
      </c>
      <c r="AW602" s="871"/>
      <c r="AZ602" s="543">
        <v>1964</v>
      </c>
      <c r="BA602" s="293"/>
    </row>
    <row r="603" spans="1:53">
      <c r="B603" s="991"/>
      <c r="C603" s="871"/>
      <c r="D603" s="871"/>
      <c r="E603" s="927"/>
      <c r="F603" s="871"/>
      <c r="G603" s="871"/>
      <c r="H603" s="871"/>
      <c r="I603" s="871"/>
      <c r="J603" s="221"/>
      <c r="K603" s="35"/>
      <c r="M603" s="6">
        <v>0.38100000000000001</v>
      </c>
      <c r="N603" s="6">
        <v>114.3</v>
      </c>
      <c r="O603" s="5"/>
      <c r="P603" s="5"/>
      <c r="Q603" s="5">
        <f t="shared" si="316"/>
        <v>300</v>
      </c>
      <c r="R603" s="885"/>
      <c r="S603" s="871"/>
      <c r="T603" s="465" t="s">
        <v>163</v>
      </c>
      <c r="U603" s="5"/>
      <c r="V603" s="172">
        <v>206842.71840000001</v>
      </c>
      <c r="W603" s="172">
        <v>160.78097259183096</v>
      </c>
      <c r="X603" s="5"/>
      <c r="AA603" s="35"/>
      <c r="AB603" s="871"/>
      <c r="AC603" s="380" t="s">
        <v>750</v>
      </c>
      <c r="AD603" s="882"/>
      <c r="AE603" s="35"/>
      <c r="AJ603" s="254">
        <f t="shared" si="310"/>
        <v>2.7777777777777776E-2</v>
      </c>
      <c r="AK603" s="35"/>
      <c r="AL603" s="871"/>
      <c r="AN603" s="554">
        <v>111.68339663519473</v>
      </c>
      <c r="AO603" s="554">
        <f t="shared" si="311"/>
        <v>0.69463068194469424</v>
      </c>
      <c r="AQ603" s="554">
        <f t="shared" si="312"/>
        <v>0.62072394133270858</v>
      </c>
      <c r="AR603" s="554">
        <f t="shared" si="313"/>
        <v>417.28969369246641</v>
      </c>
      <c r="AT603" s="274">
        <f t="shared" si="314"/>
        <v>0.26763995929768397</v>
      </c>
      <c r="AU603" s="30">
        <f t="shared" si="298"/>
        <v>0.69463068194469424</v>
      </c>
      <c r="AW603" s="871"/>
      <c r="AZ603" s="543">
        <v>1964</v>
      </c>
      <c r="BA603" s="293"/>
    </row>
    <row r="604" spans="1:53" ht="16.5" thickBot="1">
      <c r="B604" s="992"/>
      <c r="C604" s="872"/>
      <c r="D604" s="872"/>
      <c r="E604" s="928"/>
      <c r="F604" s="872"/>
      <c r="G604" s="872"/>
      <c r="H604" s="872"/>
      <c r="I604" s="872"/>
      <c r="J604" s="223"/>
      <c r="K604" s="36"/>
      <c r="L604" s="453"/>
      <c r="M604" s="16">
        <v>0.38100000000000001</v>
      </c>
      <c r="N604" s="16">
        <v>114.3</v>
      </c>
      <c r="O604" s="18"/>
      <c r="P604" s="18"/>
      <c r="Q604" s="18">
        <f t="shared" si="316"/>
        <v>300</v>
      </c>
      <c r="R604" s="886"/>
      <c r="S604" s="872"/>
      <c r="T604" s="466" t="s">
        <v>163</v>
      </c>
      <c r="U604" s="18"/>
      <c r="V604" s="173">
        <v>206842.71840000001</v>
      </c>
      <c r="W604" s="173">
        <v>162.72534318970162</v>
      </c>
      <c r="X604" s="18"/>
      <c r="Y604" s="173"/>
      <c r="Z604" s="31"/>
      <c r="AA604" s="36"/>
      <c r="AB604" s="872"/>
      <c r="AC604" s="381" t="s">
        <v>750</v>
      </c>
      <c r="AD604" s="883"/>
      <c r="AE604" s="36"/>
      <c r="AF604" s="18"/>
      <c r="AG604" s="18"/>
      <c r="AH604" s="18"/>
      <c r="AI604" s="18"/>
      <c r="AJ604" s="255">
        <f t="shared" si="310"/>
        <v>2.7777777777777776E-2</v>
      </c>
      <c r="AK604" s="36"/>
      <c r="AL604" s="872"/>
      <c r="AM604" s="18"/>
      <c r="AN604" s="556">
        <v>100.96950827018613</v>
      </c>
      <c r="AO604" s="556">
        <f t="shared" si="311"/>
        <v>0.62049036917671818</v>
      </c>
      <c r="AP604" s="556"/>
      <c r="AQ604" s="556">
        <f t="shared" si="312"/>
        <v>0.62446595868682853</v>
      </c>
      <c r="AR604" s="556">
        <f t="shared" si="313"/>
        <v>417.28969369246641</v>
      </c>
      <c r="AS604" s="577"/>
      <c r="AT604" s="275">
        <f t="shared" si="314"/>
        <v>0.24196501805912921</v>
      </c>
      <c r="AU604" s="31">
        <f t="shared" si="298"/>
        <v>0.62049036917671818</v>
      </c>
      <c r="AV604" s="91"/>
      <c r="AW604" s="872"/>
      <c r="AX604" s="31"/>
      <c r="AY604" s="286"/>
      <c r="AZ604" s="543">
        <v>1964</v>
      </c>
      <c r="BA604" s="295"/>
    </row>
    <row r="605" spans="1:53" ht="132" customHeight="1">
      <c r="A605" s="151"/>
      <c r="B605" s="990">
        <v>36</v>
      </c>
      <c r="C605" s="922" t="s">
        <v>731</v>
      </c>
      <c r="D605" s="922" t="s">
        <v>732</v>
      </c>
      <c r="E605" s="937">
        <v>1959</v>
      </c>
      <c r="F605" s="922"/>
      <c r="G605" s="922"/>
      <c r="H605" s="922" t="s">
        <v>733</v>
      </c>
      <c r="I605" s="910" t="s">
        <v>734</v>
      </c>
      <c r="J605" s="222"/>
      <c r="K605" s="34" t="s">
        <v>95</v>
      </c>
      <c r="L605" s="528" t="s">
        <v>735</v>
      </c>
      <c r="M605" s="108">
        <v>1.2979400000000001</v>
      </c>
      <c r="N605" s="108">
        <v>238.76</v>
      </c>
      <c r="O605" s="108">
        <v>951.99199999999996</v>
      </c>
      <c r="P605" s="108">
        <f>O605/N605*SQRT(M605/N605)</f>
        <v>0.29398031565776683</v>
      </c>
      <c r="Q605" s="14">
        <f>N605/M605</f>
        <v>183.95303326810173</v>
      </c>
      <c r="R605" s="34"/>
      <c r="S605" s="922" t="s">
        <v>738</v>
      </c>
      <c r="T605" s="487" t="s">
        <v>522</v>
      </c>
      <c r="U605" s="15"/>
      <c r="V605" s="108">
        <v>72394.95</v>
      </c>
      <c r="W605" s="171"/>
      <c r="X605" s="15"/>
      <c r="Y605" s="171"/>
      <c r="Z605" s="29"/>
      <c r="AA605" s="35"/>
      <c r="AB605" s="873" t="s">
        <v>1034</v>
      </c>
      <c r="AC605" s="390" t="s">
        <v>868</v>
      </c>
      <c r="AE605" s="34"/>
      <c r="AF605" s="15"/>
      <c r="AG605" s="15"/>
      <c r="AH605" s="15"/>
      <c r="AI605" s="15"/>
      <c r="AJ605" s="29"/>
      <c r="AK605" s="34"/>
      <c r="AL605" s="922" t="s">
        <v>1035</v>
      </c>
      <c r="AM605" s="108">
        <v>382.5471</v>
      </c>
      <c r="AN605" s="20"/>
      <c r="AO605" s="20"/>
      <c r="AP605" s="20"/>
      <c r="AQ605" s="578"/>
      <c r="AR605" s="20">
        <f t="shared" ref="AR605:AR607" si="317">V605*M605/N605/SQRT(3*(1-0.3^2))</f>
        <v>238.18806457147508</v>
      </c>
      <c r="AS605" s="547">
        <f t="shared" ref="AS605:AS607" si="318">2*PI()*N605*M605*AR605/1000</f>
        <v>463.78430855307704</v>
      </c>
      <c r="AT605" s="681">
        <f>AM605/AS605</f>
        <v>0.82483838488084604</v>
      </c>
      <c r="AU605" s="252"/>
      <c r="AV605" s="128"/>
      <c r="AW605" s="15"/>
      <c r="AX605" s="29"/>
      <c r="AY605" s="216"/>
      <c r="AZ605" s="765">
        <v>1959</v>
      </c>
      <c r="BA605" s="292"/>
    </row>
    <row r="606" spans="1:53">
      <c r="B606" s="991"/>
      <c r="C606" s="873"/>
      <c r="D606" s="873"/>
      <c r="E606" s="938"/>
      <c r="F606" s="873"/>
      <c r="G606" s="873"/>
      <c r="H606" s="873"/>
      <c r="I606" s="873"/>
      <c r="J606" s="221"/>
      <c r="K606" s="35"/>
      <c r="L606" s="98" t="s">
        <v>736</v>
      </c>
      <c r="M606" s="41">
        <v>1.3055600000000001</v>
      </c>
      <c r="N606" s="41">
        <v>238.76</v>
      </c>
      <c r="O606" s="41">
        <v>950.72199999999998</v>
      </c>
      <c r="P606" s="41">
        <f>O606/N606*SQRT(M606/N606)</f>
        <v>0.2944486762539596</v>
      </c>
      <c r="Q606" s="6">
        <f>N606/M606</f>
        <v>182.87937743190659</v>
      </c>
      <c r="R606" s="35"/>
      <c r="S606" s="873"/>
      <c r="T606" s="488" t="s">
        <v>522</v>
      </c>
      <c r="U606" s="5"/>
      <c r="V606" s="41">
        <v>72394.95</v>
      </c>
      <c r="X606" s="5"/>
      <c r="AA606" s="35"/>
      <c r="AB606" s="873"/>
      <c r="AC606" s="390" t="s">
        <v>868</v>
      </c>
      <c r="AE606" s="35"/>
      <c r="AK606" s="35"/>
      <c r="AL606" s="873"/>
      <c r="AM606" s="41">
        <v>406.5675</v>
      </c>
      <c r="AQ606" s="580"/>
      <c r="AR606" s="554">
        <f t="shared" si="317"/>
        <v>239.58642894273618</v>
      </c>
      <c r="AS606" s="576">
        <f t="shared" si="318"/>
        <v>469.24590202430574</v>
      </c>
      <c r="AT606" s="274">
        <f>AM606/AS606</f>
        <v>0.86642738539875586</v>
      </c>
      <c r="AU606" s="248"/>
      <c r="AZ606" s="543">
        <v>1959</v>
      </c>
      <c r="BA606" s="293"/>
    </row>
    <row r="607" spans="1:53" ht="16.5" thickBot="1">
      <c r="B607" s="992"/>
      <c r="C607" s="874"/>
      <c r="D607" s="874"/>
      <c r="E607" s="939"/>
      <c r="F607" s="874"/>
      <c r="G607" s="874"/>
      <c r="H607" s="874"/>
      <c r="I607" s="874"/>
      <c r="J607" s="223"/>
      <c r="K607" s="36"/>
      <c r="L607" s="529" t="s">
        <v>737</v>
      </c>
      <c r="M607" s="111">
        <v>1.3385800000000001</v>
      </c>
      <c r="N607" s="111">
        <v>238.76</v>
      </c>
      <c r="O607" s="111">
        <v>950.46799999999996</v>
      </c>
      <c r="P607" s="111">
        <f>O607/N607*SQRT(M607/N607)</f>
        <v>0.29806934303864546</v>
      </c>
      <c r="Q607" s="16">
        <f>N607/M607</f>
        <v>178.36812144212522</v>
      </c>
      <c r="R607" s="36"/>
      <c r="S607" s="874"/>
      <c r="T607" s="489" t="s">
        <v>522</v>
      </c>
      <c r="U607" s="18"/>
      <c r="V607" s="111">
        <v>72394.95</v>
      </c>
      <c r="W607" s="173"/>
      <c r="X607" s="18"/>
      <c r="Y607" s="173"/>
      <c r="Z607" s="31"/>
      <c r="AA607" s="35"/>
      <c r="AB607" s="873"/>
      <c r="AC607" s="390" t="s">
        <v>868</v>
      </c>
      <c r="AE607" s="36"/>
      <c r="AF607" s="18"/>
      <c r="AG607" s="18"/>
      <c r="AH607" s="18"/>
      <c r="AI607" s="18"/>
      <c r="AJ607" s="31"/>
      <c r="AK607" s="36"/>
      <c r="AL607" s="874"/>
      <c r="AM607" s="111">
        <v>412.79500000000002</v>
      </c>
      <c r="AN607" s="556"/>
      <c r="AO607" s="556"/>
      <c r="AP607" s="556"/>
      <c r="AQ607" s="587"/>
      <c r="AR607" s="556">
        <f t="shared" si="317"/>
        <v>245.64600788486766</v>
      </c>
      <c r="AS607" s="577">
        <f t="shared" si="318"/>
        <v>493.28224168158647</v>
      </c>
      <c r="AT607" s="275">
        <f>AM607/AS607</f>
        <v>0.83683328755722586</v>
      </c>
      <c r="AU607" s="249"/>
      <c r="AV607" s="91"/>
      <c r="AW607" s="18"/>
      <c r="AX607" s="31"/>
      <c r="AY607" s="286"/>
      <c r="AZ607" s="543">
        <v>1959</v>
      </c>
      <c r="BA607" s="295"/>
    </row>
    <row r="608" spans="1:53" ht="35.1" customHeight="1">
      <c r="A608" s="151"/>
      <c r="B608" s="990">
        <v>37</v>
      </c>
      <c r="C608" s="870" t="s">
        <v>753</v>
      </c>
      <c r="D608" s="870" t="s">
        <v>752</v>
      </c>
      <c r="E608" s="898">
        <v>1968</v>
      </c>
      <c r="F608" s="870"/>
      <c r="G608" s="870" t="s">
        <v>754</v>
      </c>
      <c r="H608" s="870" t="s">
        <v>755</v>
      </c>
      <c r="I608" s="910" t="s">
        <v>756</v>
      </c>
      <c r="J608" s="222"/>
      <c r="K608" s="34"/>
      <c r="L608" s="449">
        <v>8</v>
      </c>
      <c r="M608" s="14">
        <f>CONVERT(0.0031,"in","mm")</f>
        <v>7.8739999999999991E-2</v>
      </c>
      <c r="N608" s="14">
        <f>Q608*M608</f>
        <v>42.519599999999997</v>
      </c>
      <c r="O608" s="15">
        <f>4.85*N608</f>
        <v>206.22005999999996</v>
      </c>
      <c r="P608" s="15">
        <f>O608/N608*SQRT(M608/N608)</f>
        <v>0.20871076921228857</v>
      </c>
      <c r="Q608" s="14">
        <v>540</v>
      </c>
      <c r="R608" s="34"/>
      <c r="S608" s="925" t="s">
        <v>757</v>
      </c>
      <c r="T608" s="464" t="s">
        <v>534</v>
      </c>
      <c r="U608" s="15"/>
      <c r="V608" s="171"/>
      <c r="W608" s="171"/>
      <c r="X608" s="15"/>
      <c r="Y608" s="171"/>
      <c r="Z608" s="1047" t="s">
        <v>1036</v>
      </c>
      <c r="AA608" s="34"/>
      <c r="AB608" s="870" t="s">
        <v>1040</v>
      </c>
      <c r="AC608" s="376" t="s">
        <v>523</v>
      </c>
      <c r="AD608" s="881" t="s">
        <v>1037</v>
      </c>
      <c r="AE608" s="232"/>
      <c r="AF608" s="870" t="s">
        <v>1038</v>
      </c>
      <c r="AG608" s="14"/>
      <c r="AH608" s="14"/>
      <c r="AI608" s="14"/>
      <c r="AJ608" s="106"/>
      <c r="AK608" s="34"/>
      <c r="AL608" s="870" t="s">
        <v>1039</v>
      </c>
      <c r="AM608" s="15"/>
      <c r="AN608" s="20"/>
      <c r="AO608" s="20"/>
      <c r="AP608" s="20"/>
      <c r="AQ608" s="578"/>
      <c r="AR608" s="20"/>
      <c r="AS608" s="547"/>
      <c r="AT608" s="812"/>
      <c r="AU608" s="813"/>
      <c r="AV608" s="128"/>
      <c r="AW608" s="464" t="s">
        <v>758</v>
      </c>
      <c r="AX608" s="29"/>
      <c r="AY608" s="128"/>
      <c r="AZ608" s="765">
        <v>1968</v>
      </c>
      <c r="BA608" s="292"/>
    </row>
    <row r="609" spans="1:53">
      <c r="B609" s="991"/>
      <c r="C609" s="871"/>
      <c r="D609" s="871"/>
      <c r="E609" s="899"/>
      <c r="F609" s="871"/>
      <c r="G609" s="871"/>
      <c r="H609" s="871"/>
      <c r="I609" s="871"/>
      <c r="J609" s="221"/>
      <c r="K609" s="35"/>
      <c r="L609" s="451">
        <v>9</v>
      </c>
      <c r="M609" s="6">
        <f>CONVERT(0.0026,"in","mm")</f>
        <v>6.6040000000000001E-2</v>
      </c>
      <c r="N609" s="6">
        <f t="shared" ref="N609:N616" si="319">Q609*M609</f>
        <v>42.595800000000004</v>
      </c>
      <c r="O609" s="5">
        <f t="shared" ref="O609:O616" si="320">4.85*N609</f>
        <v>206.58963</v>
      </c>
      <c r="P609" s="5">
        <f t="shared" ref="P609:P616" si="321">O609/N609*SQRT(M609/N609)</f>
        <v>0.19096856350735322</v>
      </c>
      <c r="Q609" s="6">
        <v>645</v>
      </c>
      <c r="R609" s="35"/>
      <c r="S609" s="890"/>
      <c r="T609" s="465" t="s">
        <v>534</v>
      </c>
      <c r="U609" s="5"/>
      <c r="X609" s="5"/>
      <c r="Z609" s="1048"/>
      <c r="AA609" s="35"/>
      <c r="AB609" s="871"/>
      <c r="AC609" s="377" t="s">
        <v>523</v>
      </c>
      <c r="AD609" s="882"/>
      <c r="AE609" s="35"/>
      <c r="AF609" s="871"/>
      <c r="AK609" s="35"/>
      <c r="AL609" s="871"/>
      <c r="AQ609" s="580"/>
      <c r="AT609" s="814"/>
      <c r="AU609" s="815"/>
      <c r="AW609" s="80"/>
      <c r="AY609" s="90"/>
      <c r="AZ609" s="543">
        <v>1968</v>
      </c>
      <c r="BA609" s="293"/>
    </row>
    <row r="610" spans="1:53">
      <c r="B610" s="991"/>
      <c r="C610" s="871"/>
      <c r="D610" s="871"/>
      <c r="E610" s="899"/>
      <c r="F610" s="871"/>
      <c r="G610" s="871"/>
      <c r="H610" s="871"/>
      <c r="I610" s="871"/>
      <c r="J610" s="221"/>
      <c r="K610" s="35"/>
      <c r="L610" s="451">
        <v>12</v>
      </c>
      <c r="M610" s="6">
        <f>CONVERT(0.0022,"in","mm")</f>
        <v>5.5879999999999999E-2</v>
      </c>
      <c r="N610" s="6">
        <f t="shared" si="319"/>
        <v>42.468800000000002</v>
      </c>
      <c r="O610" s="5">
        <f t="shared" si="320"/>
        <v>205.97368</v>
      </c>
      <c r="P610" s="5">
        <f t="shared" si="321"/>
        <v>0.1759279906516778</v>
      </c>
      <c r="Q610" s="6">
        <v>760</v>
      </c>
      <c r="R610" s="35"/>
      <c r="S610" s="890"/>
      <c r="T610" s="465" t="s">
        <v>534</v>
      </c>
      <c r="U610" s="5"/>
      <c r="X610" s="5"/>
      <c r="Z610" s="1048"/>
      <c r="AA610" s="35"/>
      <c r="AB610" s="871"/>
      <c r="AC610" s="377" t="s">
        <v>523</v>
      </c>
      <c r="AD610" s="882"/>
      <c r="AE610" s="35"/>
      <c r="AF610" s="871"/>
      <c r="AK610" s="35"/>
      <c r="AL610" s="871"/>
      <c r="AQ610" s="580"/>
      <c r="AT610" s="814"/>
      <c r="AU610" s="815"/>
      <c r="AW610" s="80"/>
      <c r="AY610" s="90"/>
      <c r="AZ610" s="543">
        <v>1968</v>
      </c>
      <c r="BA610" s="293"/>
    </row>
    <row r="611" spans="1:53">
      <c r="B611" s="991"/>
      <c r="C611" s="871"/>
      <c r="D611" s="871"/>
      <c r="E611" s="899"/>
      <c r="F611" s="871"/>
      <c r="G611" s="871"/>
      <c r="H611" s="871"/>
      <c r="I611" s="871"/>
      <c r="J611" s="221"/>
      <c r="K611" s="35"/>
      <c r="L611" s="451">
        <v>13</v>
      </c>
      <c r="M611" s="6">
        <f t="shared" ref="M611" si="322">CONVERT(0.0026,"in","mm")</f>
        <v>6.6040000000000001E-2</v>
      </c>
      <c r="N611" s="6">
        <f t="shared" si="319"/>
        <v>42.595800000000004</v>
      </c>
      <c r="O611" s="5">
        <f t="shared" si="320"/>
        <v>206.58963</v>
      </c>
      <c r="P611" s="5">
        <f t="shared" si="321"/>
        <v>0.19096856350735322</v>
      </c>
      <c r="Q611" s="6">
        <v>645</v>
      </c>
      <c r="R611" s="35"/>
      <c r="S611" s="890"/>
      <c r="T611" s="465" t="s">
        <v>534</v>
      </c>
      <c r="U611" s="5"/>
      <c r="X611" s="5"/>
      <c r="Z611" s="1048"/>
      <c r="AA611" s="35"/>
      <c r="AB611" s="871"/>
      <c r="AC611" s="377" t="s">
        <v>523</v>
      </c>
      <c r="AD611" s="882"/>
      <c r="AE611" s="35"/>
      <c r="AF611" s="871"/>
      <c r="AK611" s="35"/>
      <c r="AL611" s="871"/>
      <c r="AQ611" s="580"/>
      <c r="AT611" s="814"/>
      <c r="AU611" s="815"/>
      <c r="AW611" s="80"/>
      <c r="AY611" s="90"/>
      <c r="AZ611" s="543">
        <v>1968</v>
      </c>
      <c r="BA611" s="293"/>
    </row>
    <row r="612" spans="1:53" ht="31.5">
      <c r="B612" s="991"/>
      <c r="C612" s="871"/>
      <c r="D612" s="871"/>
      <c r="E612" s="899"/>
      <c r="F612" s="871"/>
      <c r="G612" s="871"/>
      <c r="H612" s="871"/>
      <c r="I612" s="871"/>
      <c r="J612" s="221"/>
      <c r="K612" s="35"/>
      <c r="L612" s="451">
        <v>14</v>
      </c>
      <c r="M612" s="6">
        <f>CONVERT(0.0024,"in","mm")</f>
        <v>6.096E-2</v>
      </c>
      <c r="N612" s="6">
        <f t="shared" si="319"/>
        <v>42.671999999999997</v>
      </c>
      <c r="O612" s="5">
        <f t="shared" si="320"/>
        <v>206.95919999999998</v>
      </c>
      <c r="P612" s="5">
        <f t="shared" si="321"/>
        <v>0.18331276940947519</v>
      </c>
      <c r="Q612" s="6">
        <v>700</v>
      </c>
      <c r="R612" s="35"/>
      <c r="S612" s="890"/>
      <c r="T612" s="465" t="s">
        <v>534</v>
      </c>
      <c r="U612" s="5"/>
      <c r="V612" s="172">
        <f>AS612*10^3*SQRT(3*(1-0.3^2))*N612/(M612*2*PI()*N612*M612)</f>
        <v>170035.67361878708</v>
      </c>
      <c r="Z612" s="1048"/>
      <c r="AA612" s="35"/>
      <c r="AB612" s="871"/>
      <c r="AC612" s="377" t="s">
        <v>523</v>
      </c>
      <c r="AD612" s="882"/>
      <c r="AE612" s="35"/>
      <c r="AF612" s="871"/>
      <c r="AG612" s="172" t="s">
        <v>759</v>
      </c>
      <c r="AH612" s="172"/>
      <c r="AI612" s="172"/>
      <c r="AJ612" s="184"/>
      <c r="AK612" s="35"/>
      <c r="AL612" s="871"/>
      <c r="AM612" s="5">
        <f>CONVERT(360,"lbm","kg")*9.81/10^3</f>
        <v>1.6019068138920001</v>
      </c>
      <c r="AQ612" s="580"/>
      <c r="AR612" s="554">
        <f>V612*M612/N612/SQRT(3*(1-0.3^2))</f>
        <v>147.01467315710897</v>
      </c>
      <c r="AS612" s="576">
        <f>CONVERT(540,"lbm","kg")*9.81/10^3</f>
        <v>2.4028602208380003</v>
      </c>
      <c r="AT612" s="274">
        <f t="shared" ref="AT612:AT615" si="323">AM612/AS612</f>
        <v>0.66666666666666663</v>
      </c>
      <c r="AU612" s="248"/>
      <c r="AW612" s="80"/>
      <c r="AY612" s="90"/>
      <c r="AZ612" s="543">
        <v>1968</v>
      </c>
      <c r="BA612" s="293"/>
    </row>
    <row r="613" spans="1:53">
      <c r="B613" s="991"/>
      <c r="C613" s="871"/>
      <c r="D613" s="871"/>
      <c r="E613" s="899"/>
      <c r="F613" s="871"/>
      <c r="G613" s="871"/>
      <c r="H613" s="871"/>
      <c r="I613" s="871"/>
      <c r="J613" s="221"/>
      <c r="K613" s="35"/>
      <c r="L613" s="451">
        <v>15</v>
      </c>
      <c r="M613" s="6">
        <f>CONVERT(0.0032,"in","mm")</f>
        <v>8.1279999999999991E-2</v>
      </c>
      <c r="N613" s="6">
        <f t="shared" si="319"/>
        <v>42.671999999999997</v>
      </c>
      <c r="O613" s="5">
        <f t="shared" si="320"/>
        <v>206.95919999999998</v>
      </c>
      <c r="P613" s="5">
        <f t="shared" si="321"/>
        <v>0.21167135352891259</v>
      </c>
      <c r="Q613" s="6">
        <v>525</v>
      </c>
      <c r="R613" s="35"/>
      <c r="S613" s="890"/>
      <c r="T613" s="465" t="s">
        <v>534</v>
      </c>
      <c r="U613" s="5"/>
      <c r="Z613" s="1048"/>
      <c r="AA613" s="35"/>
      <c r="AB613" s="871"/>
      <c r="AC613" s="377" t="s">
        <v>523</v>
      </c>
      <c r="AD613" s="882"/>
      <c r="AE613" s="35"/>
      <c r="AF613" s="871"/>
      <c r="AK613" s="35"/>
      <c r="AL613" s="871"/>
      <c r="AQ613" s="580"/>
      <c r="AS613" s="608"/>
      <c r="AT613" s="814"/>
      <c r="AU613" s="815"/>
      <c r="AW613" s="80"/>
      <c r="AY613" s="90"/>
      <c r="AZ613" s="543">
        <v>1968</v>
      </c>
      <c r="BA613" s="293"/>
    </row>
    <row r="614" spans="1:53" ht="31.5">
      <c r="B614" s="991"/>
      <c r="C614" s="871"/>
      <c r="D614" s="871"/>
      <c r="E614" s="899"/>
      <c r="F614" s="871"/>
      <c r="G614" s="871"/>
      <c r="H614" s="871"/>
      <c r="I614" s="871"/>
      <c r="J614" s="221"/>
      <c r="K614" s="35"/>
      <c r="L614" s="451">
        <v>359</v>
      </c>
      <c r="M614" s="6">
        <f>CONVERT(0.002,"in","mm")</f>
        <v>5.0800000000000005E-2</v>
      </c>
      <c r="N614" s="6">
        <f t="shared" si="319"/>
        <v>42.672000000000004</v>
      </c>
      <c r="O614" s="5">
        <f t="shared" si="320"/>
        <v>206.95920000000001</v>
      </c>
      <c r="P614" s="5">
        <f t="shared" si="321"/>
        <v>0.16734089814052089</v>
      </c>
      <c r="Q614" s="6">
        <v>840</v>
      </c>
      <c r="R614" s="35"/>
      <c r="S614" s="890"/>
      <c r="T614" s="465" t="s">
        <v>534</v>
      </c>
      <c r="U614" s="5"/>
      <c r="V614" s="172">
        <f>AS614*10^3*SQRT(3*(1-0.3^2))*N614/(M614*2*PI()*N614*M614)</f>
        <v>167768.53130386988</v>
      </c>
      <c r="Z614" s="1048"/>
      <c r="AA614" s="35"/>
      <c r="AB614" s="871"/>
      <c r="AC614" s="377" t="s">
        <v>523</v>
      </c>
      <c r="AD614" s="882"/>
      <c r="AE614" s="35"/>
      <c r="AF614" s="871"/>
      <c r="AG614" s="172" t="s">
        <v>760</v>
      </c>
      <c r="AH614" s="172"/>
      <c r="AI614" s="172"/>
      <c r="AJ614" s="184"/>
      <c r="AK614" s="35"/>
      <c r="AL614" s="871"/>
      <c r="AM614" s="5">
        <f>CONVERT(225,"lbm","kg")*9.81/10^3</f>
        <v>1.0011917586825003</v>
      </c>
      <c r="AQ614" s="580"/>
      <c r="AR614" s="554">
        <f>V614*M614/N614/SQRT(3*(1-0.3^2))</f>
        <v>120.87873126251182</v>
      </c>
      <c r="AS614" s="576">
        <f>CONVERT(370,"lbm","kg")*9.81/10^3</f>
        <v>1.6464042253890001</v>
      </c>
      <c r="AT614" s="274">
        <f t="shared" si="323"/>
        <v>0.60810810810810823</v>
      </c>
      <c r="AU614" s="248"/>
      <c r="AW614" s="80"/>
      <c r="AY614" s="90"/>
      <c r="AZ614" s="543">
        <v>1968</v>
      </c>
      <c r="BA614" s="293"/>
    </row>
    <row r="615" spans="1:53">
      <c r="B615" s="991"/>
      <c r="C615" s="871"/>
      <c r="D615" s="871"/>
      <c r="E615" s="899"/>
      <c r="F615" s="871"/>
      <c r="G615" s="871"/>
      <c r="H615" s="871"/>
      <c r="I615" s="871"/>
      <c r="J615" s="221"/>
      <c r="K615" s="35"/>
      <c r="L615" s="451">
        <v>360</v>
      </c>
      <c r="M615" s="6">
        <f>CONVERT(0.0017,"in","mm")</f>
        <v>4.3180000000000003E-2</v>
      </c>
      <c r="N615" s="6">
        <f t="shared" si="319"/>
        <v>42.532300000000006</v>
      </c>
      <c r="O615" s="5">
        <f t="shared" si="320"/>
        <v>206.28165500000003</v>
      </c>
      <c r="P615" s="5">
        <f t="shared" si="321"/>
        <v>0.15453384956021277</v>
      </c>
      <c r="Q615" s="6">
        <v>985</v>
      </c>
      <c r="R615" s="35"/>
      <c r="S615" s="890"/>
      <c r="T615" s="465" t="s">
        <v>534</v>
      </c>
      <c r="U615" s="5"/>
      <c r="V615" s="172">
        <f>AS615*10^3*SQRT(3*(1-0.3^2))*N615/(M615*2*PI()*N615*M615)</f>
        <v>109826.9633523884</v>
      </c>
      <c r="Z615" s="1048"/>
      <c r="AA615" s="35"/>
      <c r="AB615" s="871"/>
      <c r="AC615" s="377" t="s">
        <v>523</v>
      </c>
      <c r="AD615" s="882"/>
      <c r="AE615" s="35"/>
      <c r="AF615" s="871"/>
      <c r="AG615" s="5" t="s">
        <v>761</v>
      </c>
      <c r="AK615" s="35"/>
      <c r="AL615" s="871"/>
      <c r="AM615" s="5">
        <f>CONVERT(110,"lbm","kg")*9.81/10^3</f>
        <v>0.48947152646699998</v>
      </c>
      <c r="AQ615" s="580"/>
      <c r="AR615" s="554">
        <f>V615*M615/N615/SQRT(3*(1-0.3^2))</f>
        <v>67.482540152561427</v>
      </c>
      <c r="AS615" s="576">
        <f>CONVERT(175,"lbm","kg")*9.81/10^3</f>
        <v>0.77870470119750013</v>
      </c>
      <c r="AT615" s="274">
        <f t="shared" si="323"/>
        <v>0.62857142857142845</v>
      </c>
      <c r="AU615" s="248"/>
      <c r="AW615" s="80"/>
      <c r="AY615" s="90"/>
      <c r="AZ615" s="543">
        <v>1968</v>
      </c>
      <c r="BA615" s="293"/>
    </row>
    <row r="616" spans="1:53" ht="16.5" thickBot="1">
      <c r="B616" s="992"/>
      <c r="C616" s="872"/>
      <c r="D616" s="872"/>
      <c r="E616" s="900"/>
      <c r="F616" s="872"/>
      <c r="G616" s="872"/>
      <c r="H616" s="872"/>
      <c r="I616" s="872"/>
      <c r="J616" s="223"/>
      <c r="K616" s="36"/>
      <c r="L616" s="453">
        <v>381</v>
      </c>
      <c r="M616" s="16">
        <f>CONVERT(0.0025,"in","mm")</f>
        <v>6.3500000000000001E-2</v>
      </c>
      <c r="N616" s="16">
        <f t="shared" si="319"/>
        <v>42.545000000000002</v>
      </c>
      <c r="O616" s="18">
        <f t="shared" si="320"/>
        <v>206.34324999999998</v>
      </c>
      <c r="P616" s="18">
        <f t="shared" si="321"/>
        <v>0.18737184675191701</v>
      </c>
      <c r="Q616" s="16">
        <v>670</v>
      </c>
      <c r="R616" s="36"/>
      <c r="S616" s="891"/>
      <c r="T616" s="466" t="s">
        <v>534</v>
      </c>
      <c r="U616" s="18"/>
      <c r="V616" s="173"/>
      <c r="W616" s="173"/>
      <c r="X616" s="18"/>
      <c r="Y616" s="173"/>
      <c r="Z616" s="1049"/>
      <c r="AA616" s="36"/>
      <c r="AB616" s="872"/>
      <c r="AC616" s="378" t="s">
        <v>523</v>
      </c>
      <c r="AD616" s="883"/>
      <c r="AE616" s="36"/>
      <c r="AF616" s="872"/>
      <c r="AG616" s="18"/>
      <c r="AH616" s="18"/>
      <c r="AI616" s="18"/>
      <c r="AJ616" s="31"/>
      <c r="AK616" s="36"/>
      <c r="AL616" s="872"/>
      <c r="AM616" s="18"/>
      <c r="AN616" s="556"/>
      <c r="AO616" s="556"/>
      <c r="AP616" s="556"/>
      <c r="AQ616" s="587"/>
      <c r="AR616" s="556"/>
      <c r="AS616" s="577"/>
      <c r="AT616" s="816"/>
      <c r="AU616" s="817"/>
      <c r="AV616" s="91"/>
      <c r="AW616" s="186"/>
      <c r="AX616" s="31"/>
      <c r="AY616" s="91"/>
      <c r="AZ616" s="766">
        <v>1968</v>
      </c>
      <c r="BA616" s="295"/>
    </row>
    <row r="617" spans="1:53" ht="79.5" thickBot="1">
      <c r="A617" s="158"/>
      <c r="B617" s="220">
        <v>38</v>
      </c>
      <c r="C617" s="519" t="s">
        <v>763</v>
      </c>
      <c r="D617" s="399" t="s">
        <v>762</v>
      </c>
      <c r="E617" s="520">
        <v>1951</v>
      </c>
      <c r="F617" s="399"/>
      <c r="G617" s="399" t="s">
        <v>764</v>
      </c>
      <c r="H617" s="399"/>
      <c r="I617" s="399" t="s">
        <v>765</v>
      </c>
      <c r="J617" s="224"/>
      <c r="K617" s="236"/>
      <c r="L617" s="534"/>
      <c r="M617" s="156">
        <f>CONVERT( 0.0249,"in","mm")</f>
        <v>0.63246000000000002</v>
      </c>
      <c r="N617" s="156">
        <f>CONVERT(15,"in","mm")+M617/2</f>
        <v>381.31623000000002</v>
      </c>
      <c r="O617" s="155">
        <f>CONVERT(32,"in","mm")</f>
        <v>812.8</v>
      </c>
      <c r="P617" s="155">
        <f>O617/N617*SQRT(M617/N617)</f>
        <v>8.6810506655749353E-2</v>
      </c>
      <c r="Q617" s="237">
        <f>N617/M617</f>
        <v>602.90963855421683</v>
      </c>
      <c r="R617" s="236"/>
      <c r="S617" s="157" t="s">
        <v>766</v>
      </c>
      <c r="T617" s="399" t="s">
        <v>522</v>
      </c>
      <c r="U617" s="155"/>
      <c r="V617" s="319">
        <f>CONVERT(12496014.49,"psi","Pa")/10^6</f>
        <v>86156.987040465028</v>
      </c>
      <c r="W617" s="319"/>
      <c r="X617" s="155"/>
      <c r="Y617" s="157"/>
      <c r="Z617" s="240" t="s">
        <v>809</v>
      </c>
      <c r="AA617" s="35"/>
      <c r="AB617" s="465" t="s">
        <v>768</v>
      </c>
      <c r="AC617" s="387" t="s">
        <v>750</v>
      </c>
      <c r="AD617" s="468" t="s">
        <v>767</v>
      </c>
      <c r="AE617" s="236"/>
      <c r="AF617" s="155"/>
      <c r="AG617" s="155"/>
      <c r="AH617" s="155"/>
      <c r="AI617" s="155"/>
      <c r="AJ617" s="240">
        <f>CONVERT(1.5/2,"in","mm")/N617</f>
        <v>4.9958534416434358E-2</v>
      </c>
      <c r="AK617" s="236"/>
      <c r="AL617" s="399" t="s">
        <v>769</v>
      </c>
      <c r="AM617" s="155"/>
      <c r="AN617" s="641">
        <f>0.1936*V617*M617/N617</f>
        <v>27.665825232173784</v>
      </c>
      <c r="AO617" s="641"/>
      <c r="AP617" s="641"/>
      <c r="AQ617" s="642"/>
      <c r="AR617" s="20">
        <f t="shared" ref="AR617:AR656" si="324">V617*M617/N617/SQRT(3*(1-0.3^2))</f>
        <v>86.48821872166755</v>
      </c>
      <c r="AS617" s="643"/>
      <c r="AT617" s="706">
        <f>AN617/AR617</f>
        <v>0.31987969738637678</v>
      </c>
      <c r="AU617" s="665"/>
      <c r="AV617" s="278"/>
      <c r="AW617" s="155"/>
      <c r="AX617" s="240"/>
      <c r="AY617" s="291"/>
      <c r="AZ617" s="543">
        <v>1951</v>
      </c>
      <c r="BA617" s="297"/>
    </row>
    <row r="618" spans="1:53" ht="171" customHeight="1">
      <c r="A618" s="158"/>
      <c r="B618" s="990">
        <v>39</v>
      </c>
      <c r="C618" s="907" t="s">
        <v>1041</v>
      </c>
      <c r="D618" s="870" t="s">
        <v>783</v>
      </c>
      <c r="E618" s="898">
        <v>1957</v>
      </c>
      <c r="F618" s="870"/>
      <c r="G618" s="870" t="s">
        <v>784</v>
      </c>
      <c r="H618" s="870" t="s">
        <v>785</v>
      </c>
      <c r="I618" s="881"/>
      <c r="J618" s="222"/>
      <c r="K618" s="34"/>
      <c r="L618" s="449" t="s">
        <v>787</v>
      </c>
      <c r="M618" s="14">
        <f>CONVERT(0.005,"in","mm")</f>
        <v>0.127</v>
      </c>
      <c r="N618" s="14">
        <f>CONVERT(8.75,"in","mm")</f>
        <v>222.25</v>
      </c>
      <c r="O618" s="127">
        <f>CONVERT(21.5,"in","mm")</f>
        <v>546.1</v>
      </c>
      <c r="P618" s="15">
        <f>O618/N618*SQRT(M618/N618)</f>
        <v>5.8736948801575921E-2</v>
      </c>
      <c r="Q618" s="14">
        <f>N618/M618</f>
        <v>1750</v>
      </c>
      <c r="R618" s="34"/>
      <c r="S618" s="929" t="s">
        <v>801</v>
      </c>
      <c r="T618" s="464" t="s">
        <v>522</v>
      </c>
      <c r="U618" s="15"/>
      <c r="V618" s="311">
        <f>CONVERT(10.5*10^6,"psi","Pa")/10^6</f>
        <v>72394.951578267792</v>
      </c>
      <c r="W618" s="311"/>
      <c r="X618" s="15"/>
      <c r="Y618" s="311"/>
      <c r="Z618" s="29"/>
      <c r="AA618" s="34"/>
      <c r="AB618" s="870" t="s">
        <v>1042</v>
      </c>
      <c r="AC618" s="386" t="s">
        <v>750</v>
      </c>
      <c r="AD618" s="881" t="s">
        <v>1043</v>
      </c>
      <c r="AE618" s="34"/>
      <c r="AF618" s="887"/>
      <c r="AG618" s="870" t="s">
        <v>1045</v>
      </c>
      <c r="AH618" s="15"/>
      <c r="AI618" s="15"/>
      <c r="AJ618" s="253">
        <f t="shared" ref="AJ618:AJ631" si="325">CONVERT(3/8/2,"in","mm")/N618</f>
        <v>2.1428571428571429E-2</v>
      </c>
      <c r="AK618" s="34"/>
      <c r="AL618" s="870" t="s">
        <v>1044</v>
      </c>
      <c r="AM618" s="15"/>
      <c r="AN618" s="20">
        <f>CONVERT(855,"psi","Pa")/10^6</f>
        <v>5.8950174856589497</v>
      </c>
      <c r="AO618" s="20"/>
      <c r="AP618" s="20"/>
      <c r="AQ618" s="578"/>
      <c r="AR618" s="20">
        <f t="shared" si="324"/>
        <v>25.037381669367107</v>
      </c>
      <c r="AS618" s="547"/>
      <c r="AT618" s="681">
        <f>AN618/AR618</f>
        <v>0.2354486408964809</v>
      </c>
      <c r="AU618" s="252"/>
      <c r="AV618" s="128"/>
      <c r="AW618" s="15"/>
      <c r="AX618" s="881" t="s">
        <v>786</v>
      </c>
      <c r="AY618" s="128"/>
      <c r="AZ618" s="765">
        <v>1957</v>
      </c>
      <c r="BA618" s="292"/>
    </row>
    <row r="619" spans="1:53">
      <c r="B619" s="991"/>
      <c r="C619" s="908"/>
      <c r="D619" s="871"/>
      <c r="E619" s="899"/>
      <c r="F619" s="871"/>
      <c r="G619" s="871"/>
      <c r="H619" s="871"/>
      <c r="I619" s="882"/>
      <c r="J619" s="221"/>
      <c r="K619" s="35"/>
      <c r="L619" s="451" t="s">
        <v>788</v>
      </c>
      <c r="M619" s="6">
        <f>CONVERT(0.005,"in","mm")</f>
        <v>0.127</v>
      </c>
      <c r="N619" s="6">
        <f>CONVERT(8.75,"in","mm")</f>
        <v>222.25</v>
      </c>
      <c r="O619" s="5">
        <f>CONVERT(21.5,"in","mm")</f>
        <v>546.1</v>
      </c>
      <c r="P619" s="5">
        <f t="shared" ref="P619:P632" si="326">O619/N619*SQRT(M619/N619)</f>
        <v>5.8736948801575921E-2</v>
      </c>
      <c r="Q619" s="6">
        <f>N619/M619</f>
        <v>1750</v>
      </c>
      <c r="R619" s="35"/>
      <c r="S619" s="930"/>
      <c r="T619" s="465" t="s">
        <v>522</v>
      </c>
      <c r="U619" s="5"/>
      <c r="V619" s="312">
        <f>CONVERT(10.5*10^6,"psi","Pa")/10^6</f>
        <v>72394.951578267792</v>
      </c>
      <c r="W619" s="312"/>
      <c r="X619" s="5"/>
      <c r="Y619" s="312"/>
      <c r="AA619" s="35"/>
      <c r="AB619" s="871"/>
      <c r="AC619" s="387" t="s">
        <v>750</v>
      </c>
      <c r="AD619" s="882"/>
      <c r="AE619" s="35"/>
      <c r="AF619" s="888"/>
      <c r="AG619" s="871"/>
      <c r="AJ619" s="30">
        <f t="shared" si="325"/>
        <v>2.1428571428571429E-2</v>
      </c>
      <c r="AK619" s="35"/>
      <c r="AL619" s="871"/>
      <c r="AN619" s="554">
        <f>CONVERT(818,"psi","Pa")/10^6</f>
        <v>5.6399114658117204</v>
      </c>
      <c r="AQ619" s="580"/>
      <c r="AR619" s="554">
        <f t="shared" si="324"/>
        <v>25.037381669367107</v>
      </c>
      <c r="AT619" s="274">
        <f>AN619/AR619</f>
        <v>0.22525963538400162</v>
      </c>
      <c r="AU619" s="248"/>
      <c r="AX619" s="882"/>
      <c r="AY619" s="90"/>
      <c r="AZ619" s="543">
        <v>1957</v>
      </c>
      <c r="BA619" s="293"/>
    </row>
    <row r="620" spans="1:53">
      <c r="B620" s="991"/>
      <c r="C620" s="908"/>
      <c r="D620" s="871"/>
      <c r="E620" s="899"/>
      <c r="F620" s="871"/>
      <c r="G620" s="871"/>
      <c r="H620" s="871"/>
      <c r="I620" s="882"/>
      <c r="J620" s="221"/>
      <c r="K620" s="35"/>
      <c r="L620" s="451" t="s">
        <v>789</v>
      </c>
      <c r="M620" s="6">
        <f>CONVERT(0.0087,"in","mm")</f>
        <v>0.22097999999999998</v>
      </c>
      <c r="N620" s="6">
        <f t="shared" ref="N620:N631" si="327">CONVERT(8.75,"in","mm")</f>
        <v>222.25</v>
      </c>
      <c r="O620" s="5">
        <f t="shared" ref="O620:O631" si="328">CONVERT(21.5,"in","mm")</f>
        <v>546.1</v>
      </c>
      <c r="P620" s="5">
        <f t="shared" si="326"/>
        <v>7.7479356791747916E-2</v>
      </c>
      <c r="Q620" s="6">
        <f t="shared" ref="Q620:Q633" si="329">N620/M620</f>
        <v>1005.7471264367817</v>
      </c>
      <c r="R620" s="35"/>
      <c r="S620" s="930" t="s">
        <v>802</v>
      </c>
      <c r="T620" s="465" t="s">
        <v>163</v>
      </c>
      <c r="U620" s="5"/>
      <c r="V620" s="312">
        <f>CONVERT(27*10^6,"psi","Pa")/10^6</f>
        <v>186158.44691554576</v>
      </c>
      <c r="W620" s="312"/>
      <c r="X620" s="5"/>
      <c r="Y620" s="312"/>
      <c r="AA620" s="35"/>
      <c r="AB620" s="871"/>
      <c r="AC620" s="387" t="s">
        <v>750</v>
      </c>
      <c r="AD620" s="882"/>
      <c r="AE620" s="35"/>
      <c r="AF620" s="888"/>
      <c r="AG620" s="871"/>
      <c r="AJ620" s="30">
        <f t="shared" si="325"/>
        <v>2.1428571428571429E-2</v>
      </c>
      <c r="AK620" s="35"/>
      <c r="AL620" s="871"/>
      <c r="AN620" s="554">
        <f>CONVERT(5810,"psi","Pa")/10^6</f>
        <v>40.058539873308185</v>
      </c>
      <c r="AQ620" s="580"/>
      <c r="AR620" s="554">
        <f t="shared" si="324"/>
        <v>112.02439912636827</v>
      </c>
      <c r="AT620" s="274">
        <f>AN620/AR620</f>
        <v>0.35758763435205265</v>
      </c>
      <c r="AU620" s="248"/>
      <c r="AX620" s="882"/>
      <c r="AY620" s="90"/>
      <c r="AZ620" s="543">
        <v>1957</v>
      </c>
      <c r="BA620" s="293"/>
    </row>
    <row r="621" spans="1:53">
      <c r="B621" s="991"/>
      <c r="C621" s="908"/>
      <c r="D621" s="871"/>
      <c r="E621" s="899"/>
      <c r="F621" s="871"/>
      <c r="G621" s="871"/>
      <c r="H621" s="871"/>
      <c r="I621" s="882"/>
      <c r="J621" s="221"/>
      <c r="K621" s="35"/>
      <c r="L621" s="451" t="s">
        <v>790</v>
      </c>
      <c r="M621" s="6">
        <f>CONVERT(0.0087,"in","mm")</f>
        <v>0.22097999999999998</v>
      </c>
      <c r="N621" s="6">
        <f t="shared" si="327"/>
        <v>222.25</v>
      </c>
      <c r="O621" s="5">
        <f t="shared" si="328"/>
        <v>546.1</v>
      </c>
      <c r="P621" s="5">
        <f t="shared" si="326"/>
        <v>7.7479356791747916E-2</v>
      </c>
      <c r="Q621" s="6">
        <f t="shared" si="329"/>
        <v>1005.7471264367817</v>
      </c>
      <c r="R621" s="35"/>
      <c r="S621" s="930"/>
      <c r="T621" s="465" t="s">
        <v>163</v>
      </c>
      <c r="U621" s="5"/>
      <c r="V621" s="312">
        <f t="shared" ref="V621:V631" si="330">CONVERT(27*10^6,"psi","Pa")/10^6</f>
        <v>186158.44691554576</v>
      </c>
      <c r="W621" s="312"/>
      <c r="X621" s="5"/>
      <c r="Y621" s="312"/>
      <c r="AA621" s="35"/>
      <c r="AB621" s="871"/>
      <c r="AC621" s="387" t="s">
        <v>750</v>
      </c>
      <c r="AD621" s="882"/>
      <c r="AE621" s="35"/>
      <c r="AF621" s="888"/>
      <c r="AG621" s="871"/>
      <c r="AJ621" s="30">
        <f t="shared" si="325"/>
        <v>2.1428571428571429E-2</v>
      </c>
      <c r="AK621" s="35"/>
      <c r="AL621" s="871"/>
      <c r="AN621" s="554">
        <f>CONVERT(6570,"psi","Pa")/10^6</f>
        <v>45.29855541611613</v>
      </c>
      <c r="AQ621" s="580"/>
      <c r="AR621" s="554">
        <f t="shared" si="324"/>
        <v>112.02439912636827</v>
      </c>
      <c r="AT621" s="274">
        <f t="shared" ref="AT621:AT631" si="331">AN621/AR621</f>
        <v>0.404363297365402</v>
      </c>
      <c r="AU621" s="248"/>
      <c r="AX621" s="882"/>
      <c r="AY621" s="90"/>
      <c r="AZ621" s="543">
        <v>1957</v>
      </c>
      <c r="BA621" s="293"/>
    </row>
    <row r="622" spans="1:53">
      <c r="B622" s="991"/>
      <c r="C622" s="908"/>
      <c r="D622" s="871"/>
      <c r="E622" s="899"/>
      <c r="F622" s="871"/>
      <c r="G622" s="871"/>
      <c r="H622" s="871"/>
      <c r="I622" s="882"/>
      <c r="J622" s="221"/>
      <c r="K622" s="35"/>
      <c r="L622" s="451" t="s">
        <v>791</v>
      </c>
      <c r="M622" s="6">
        <f>CONVERT(0.0087,"in","mm")</f>
        <v>0.22097999999999998</v>
      </c>
      <c r="N622" s="6">
        <f t="shared" si="327"/>
        <v>222.25</v>
      </c>
      <c r="O622" s="5">
        <f t="shared" si="328"/>
        <v>546.1</v>
      </c>
      <c r="P622" s="5">
        <f t="shared" si="326"/>
        <v>7.7479356791747916E-2</v>
      </c>
      <c r="Q622" s="6">
        <f t="shared" si="329"/>
        <v>1005.7471264367817</v>
      </c>
      <c r="R622" s="35"/>
      <c r="S622" s="930"/>
      <c r="T622" s="465" t="s">
        <v>163</v>
      </c>
      <c r="U622" s="5"/>
      <c r="V622" s="312">
        <f t="shared" si="330"/>
        <v>186158.44691554576</v>
      </c>
      <c r="W622" s="312"/>
      <c r="X622" s="5"/>
      <c r="Y622" s="312"/>
      <c r="AA622" s="35"/>
      <c r="AB622" s="871"/>
      <c r="AC622" s="387" t="s">
        <v>750</v>
      </c>
      <c r="AD622" s="882"/>
      <c r="AE622" s="35"/>
      <c r="AF622" s="888"/>
      <c r="AG622" s="871"/>
      <c r="AJ622" s="30">
        <f t="shared" si="325"/>
        <v>2.1428571428571429E-2</v>
      </c>
      <c r="AK622" s="35"/>
      <c r="AL622" s="871"/>
      <c r="AN622" s="554">
        <f>CONVERT(5800,"psi","Pa")/10^6</f>
        <v>39.989592300376501</v>
      </c>
      <c r="AQ622" s="580"/>
      <c r="AR622" s="554">
        <f t="shared" si="324"/>
        <v>112.02439912636827</v>
      </c>
      <c r="AT622" s="274">
        <f t="shared" si="331"/>
        <v>0.35697216510187701</v>
      </c>
      <c r="AU622" s="248"/>
      <c r="AX622" s="882"/>
      <c r="AY622" s="90"/>
      <c r="AZ622" s="543">
        <v>1957</v>
      </c>
      <c r="BA622" s="293"/>
    </row>
    <row r="623" spans="1:53">
      <c r="B623" s="991"/>
      <c r="C623" s="908"/>
      <c r="D623" s="871"/>
      <c r="E623" s="899"/>
      <c r="F623" s="871"/>
      <c r="G623" s="871"/>
      <c r="H623" s="871"/>
      <c r="I623" s="882"/>
      <c r="J623" s="221"/>
      <c r="K623" s="35"/>
      <c r="L623" s="451" t="s">
        <v>792</v>
      </c>
      <c r="M623" s="6">
        <f>CONVERT(0.0087,"in","mm")</f>
        <v>0.22097999999999998</v>
      </c>
      <c r="N623" s="6">
        <f t="shared" si="327"/>
        <v>222.25</v>
      </c>
      <c r="O623" s="5">
        <f t="shared" si="328"/>
        <v>546.1</v>
      </c>
      <c r="P623" s="5">
        <f t="shared" si="326"/>
        <v>7.7479356791747916E-2</v>
      </c>
      <c r="Q623" s="6">
        <f t="shared" si="329"/>
        <v>1005.7471264367817</v>
      </c>
      <c r="R623" s="35"/>
      <c r="S623" s="930"/>
      <c r="T623" s="465" t="s">
        <v>163</v>
      </c>
      <c r="U623" s="5"/>
      <c r="V623" s="312">
        <f t="shared" si="330"/>
        <v>186158.44691554576</v>
      </c>
      <c r="W623" s="312"/>
      <c r="X623" s="5"/>
      <c r="Y623" s="312"/>
      <c r="AA623" s="35"/>
      <c r="AB623" s="871"/>
      <c r="AC623" s="387" t="s">
        <v>750</v>
      </c>
      <c r="AD623" s="882"/>
      <c r="AE623" s="35"/>
      <c r="AF623" s="888"/>
      <c r="AG623" s="871"/>
      <c r="AJ623" s="30">
        <f t="shared" si="325"/>
        <v>2.1428571428571429E-2</v>
      </c>
      <c r="AK623" s="35"/>
      <c r="AL623" s="871"/>
      <c r="AN623" s="554">
        <f>CONVERT(6780,"psi","Pa")/10^6</f>
        <v>46.746454447681494</v>
      </c>
      <c r="AQ623" s="580"/>
      <c r="AR623" s="554">
        <f t="shared" si="324"/>
        <v>112.02439912636827</v>
      </c>
      <c r="AT623" s="274">
        <f t="shared" si="331"/>
        <v>0.41728815161909072</v>
      </c>
      <c r="AU623" s="248"/>
      <c r="AX623" s="882"/>
      <c r="AY623" s="90"/>
      <c r="AZ623" s="543">
        <v>1957</v>
      </c>
      <c r="BA623" s="293"/>
    </row>
    <row r="624" spans="1:53">
      <c r="B624" s="991"/>
      <c r="C624" s="908"/>
      <c r="D624" s="871"/>
      <c r="E624" s="899"/>
      <c r="F624" s="871"/>
      <c r="G624" s="871"/>
      <c r="H624" s="871"/>
      <c r="I624" s="882"/>
      <c r="J624" s="221"/>
      <c r="K624" s="35"/>
      <c r="L624" s="451" t="s">
        <v>793</v>
      </c>
      <c r="M624" s="6">
        <f>CONVERT(0.0032,"in","mm")</f>
        <v>8.1279999999999991E-2</v>
      </c>
      <c r="N624" s="6">
        <f t="shared" si="327"/>
        <v>222.25</v>
      </c>
      <c r="O624" s="5">
        <f>CONVERT(9.5,"in","mm")</f>
        <v>241.29999999999998</v>
      </c>
      <c r="P624" s="5">
        <f t="shared" si="326"/>
        <v>2.076282841358032E-2</v>
      </c>
      <c r="Q624" s="6">
        <f t="shared" si="329"/>
        <v>2734.3750000000005</v>
      </c>
      <c r="R624" s="35"/>
      <c r="S624" s="930"/>
      <c r="T624" s="465" t="s">
        <v>163</v>
      </c>
      <c r="U624" s="5"/>
      <c r="V624" s="312">
        <f t="shared" si="330"/>
        <v>186158.44691554576</v>
      </c>
      <c r="W624" s="312"/>
      <c r="X624" s="5"/>
      <c r="Y624" s="312"/>
      <c r="AA624" s="35"/>
      <c r="AB624" s="871"/>
      <c r="AC624" s="387" t="s">
        <v>750</v>
      </c>
      <c r="AD624" s="882"/>
      <c r="AE624" s="35"/>
      <c r="AF624" s="888"/>
      <c r="AG624" s="871"/>
      <c r="AJ624" s="30">
        <f t="shared" si="325"/>
        <v>2.1428571428571429E-2</v>
      </c>
      <c r="AK624" s="35"/>
      <c r="AL624" s="871"/>
      <c r="AN624" s="554">
        <f>CONVERT(1739,"psi","Pa")/10^6</f>
        <v>11.989982932819782</v>
      </c>
      <c r="AQ624" s="580"/>
      <c r="AR624" s="554">
        <f t="shared" si="324"/>
        <v>41.204376690158441</v>
      </c>
      <c r="AT624" s="274">
        <f t="shared" si="331"/>
        <v>0.29098809145882698</v>
      </c>
      <c r="AU624" s="248"/>
      <c r="AX624" s="882"/>
      <c r="AY624" s="90"/>
      <c r="AZ624" s="543">
        <v>1957</v>
      </c>
      <c r="BA624" s="293"/>
    </row>
    <row r="625" spans="2:53">
      <c r="B625" s="991"/>
      <c r="C625" s="908"/>
      <c r="D625" s="871"/>
      <c r="E625" s="899"/>
      <c r="F625" s="871"/>
      <c r="G625" s="871"/>
      <c r="H625" s="871"/>
      <c r="I625" s="882"/>
      <c r="J625" s="221"/>
      <c r="K625" s="35"/>
      <c r="L625" s="451" t="s">
        <v>794</v>
      </c>
      <c r="M625" s="6">
        <f t="shared" ref="M625:M631" si="332">CONVERT(0.0032,"in","mm")</f>
        <v>8.1279999999999991E-2</v>
      </c>
      <c r="N625" s="6">
        <f t="shared" si="327"/>
        <v>222.25</v>
      </c>
      <c r="O625" s="5">
        <f>CONVERT(9.5,"in","mm")</f>
        <v>241.29999999999998</v>
      </c>
      <c r="P625" s="5">
        <f t="shared" si="326"/>
        <v>2.076282841358032E-2</v>
      </c>
      <c r="Q625" s="6">
        <f t="shared" si="329"/>
        <v>2734.3750000000005</v>
      </c>
      <c r="R625" s="35"/>
      <c r="S625" s="930"/>
      <c r="T625" s="465" t="s">
        <v>163</v>
      </c>
      <c r="U625" s="5"/>
      <c r="V625" s="312">
        <f>CONVERT(27*10^6,"psi","Pa")/10^6</f>
        <v>186158.44691554576</v>
      </c>
      <c r="W625" s="312"/>
      <c r="X625" s="5"/>
      <c r="Y625" s="312"/>
      <c r="AA625" s="35"/>
      <c r="AB625" s="871"/>
      <c r="AC625" s="387" t="s">
        <v>750</v>
      </c>
      <c r="AD625" s="882"/>
      <c r="AE625" s="35"/>
      <c r="AF625" s="888"/>
      <c r="AG625" s="871"/>
      <c r="AJ625" s="30">
        <f t="shared" si="325"/>
        <v>2.1428571428571429E-2</v>
      </c>
      <c r="AK625" s="35"/>
      <c r="AL625" s="871"/>
      <c r="AN625" s="554">
        <f>CONVERT(1648,"psi","Pa")/10^6</f>
        <v>11.36256001914146</v>
      </c>
      <c r="AQ625" s="580"/>
      <c r="AR625" s="554">
        <f t="shared" si="324"/>
        <v>41.204376690158441</v>
      </c>
      <c r="AT625" s="274">
        <f t="shared" si="331"/>
        <v>0.27576099754119998</v>
      </c>
      <c r="AU625" s="248"/>
      <c r="AX625" s="882"/>
      <c r="AY625" s="90"/>
      <c r="AZ625" s="543">
        <v>1957</v>
      </c>
      <c r="BA625" s="293"/>
    </row>
    <row r="626" spans="2:53">
      <c r="B626" s="991"/>
      <c r="C626" s="908"/>
      <c r="D626" s="871"/>
      <c r="E626" s="899"/>
      <c r="F626" s="871"/>
      <c r="G626" s="871"/>
      <c r="H626" s="871"/>
      <c r="I626" s="882"/>
      <c r="J626" s="221"/>
      <c r="K626" s="35"/>
      <c r="L626" s="451" t="s">
        <v>795</v>
      </c>
      <c r="M626" s="6">
        <f t="shared" si="332"/>
        <v>8.1279999999999991E-2</v>
      </c>
      <c r="N626" s="6">
        <f t="shared" si="327"/>
        <v>222.25</v>
      </c>
      <c r="O626" s="5">
        <f t="shared" si="328"/>
        <v>546.1</v>
      </c>
      <c r="P626" s="5">
        <f t="shared" si="326"/>
        <v>4.6989559041260731E-2</v>
      </c>
      <c r="Q626" s="6">
        <f t="shared" si="329"/>
        <v>2734.3750000000005</v>
      </c>
      <c r="R626" s="35"/>
      <c r="S626" s="930"/>
      <c r="T626" s="465" t="s">
        <v>163</v>
      </c>
      <c r="U626" s="5"/>
      <c r="V626" s="312">
        <f t="shared" si="330"/>
        <v>186158.44691554576</v>
      </c>
      <c r="W626" s="312"/>
      <c r="X626" s="5"/>
      <c r="Y626" s="312"/>
      <c r="AA626" s="35"/>
      <c r="AB626" s="871"/>
      <c r="AC626" s="387" t="s">
        <v>750</v>
      </c>
      <c r="AD626" s="882"/>
      <c r="AE626" s="35"/>
      <c r="AF626" s="888"/>
      <c r="AG626" s="871"/>
      <c r="AJ626" s="30">
        <f t="shared" si="325"/>
        <v>2.1428571428571429E-2</v>
      </c>
      <c r="AK626" s="35"/>
      <c r="AL626" s="871"/>
      <c r="AN626" s="554">
        <f>CONVERT(1176,"psi","Pa")/10^6</f>
        <v>8.1082345767659945</v>
      </c>
      <c r="AQ626" s="580"/>
      <c r="AR626" s="554">
        <f t="shared" si="324"/>
        <v>41.204376690158441</v>
      </c>
      <c r="AT626" s="274">
        <f t="shared" si="331"/>
        <v>0.19678090601240975</v>
      </c>
      <c r="AU626" s="248"/>
      <c r="AX626" s="882"/>
      <c r="AY626" s="90"/>
      <c r="AZ626" s="543">
        <v>1957</v>
      </c>
      <c r="BA626" s="293"/>
    </row>
    <row r="627" spans="2:53">
      <c r="B627" s="991"/>
      <c r="C627" s="908"/>
      <c r="D627" s="871"/>
      <c r="E627" s="899"/>
      <c r="F627" s="871"/>
      <c r="G627" s="871"/>
      <c r="H627" s="871"/>
      <c r="I627" s="882"/>
      <c r="J627" s="221"/>
      <c r="K627" s="35"/>
      <c r="L627" s="451" t="s">
        <v>796</v>
      </c>
      <c r="M627" s="6">
        <f t="shared" si="332"/>
        <v>8.1279999999999991E-2</v>
      </c>
      <c r="N627" s="6">
        <f t="shared" si="327"/>
        <v>222.25</v>
      </c>
      <c r="O627" s="5">
        <f t="shared" si="328"/>
        <v>546.1</v>
      </c>
      <c r="P627" s="5">
        <f t="shared" si="326"/>
        <v>4.6989559041260731E-2</v>
      </c>
      <c r="Q627" s="6">
        <f t="shared" si="329"/>
        <v>2734.3750000000005</v>
      </c>
      <c r="R627" s="35"/>
      <c r="S627" s="930"/>
      <c r="T627" s="465" t="s">
        <v>163</v>
      </c>
      <c r="U627" s="5"/>
      <c r="V627" s="312">
        <f t="shared" si="330"/>
        <v>186158.44691554576</v>
      </c>
      <c r="W627" s="312"/>
      <c r="X627" s="5"/>
      <c r="Y627" s="312"/>
      <c r="AA627" s="35"/>
      <c r="AB627" s="871"/>
      <c r="AC627" s="387" t="s">
        <v>750</v>
      </c>
      <c r="AD627" s="882"/>
      <c r="AE627" s="35"/>
      <c r="AF627" s="888"/>
      <c r="AG627" s="871"/>
      <c r="AJ627" s="30">
        <f t="shared" si="325"/>
        <v>2.1428571428571429E-2</v>
      </c>
      <c r="AK627" s="35"/>
      <c r="AL627" s="871"/>
      <c r="AN627" s="554">
        <f>CONVERT(1148,"psi","Pa")/10^6</f>
        <v>7.9151813725572797</v>
      </c>
      <c r="AQ627" s="580"/>
      <c r="AR627" s="554">
        <f t="shared" si="324"/>
        <v>41.204376690158441</v>
      </c>
      <c r="AT627" s="274">
        <f t="shared" si="331"/>
        <v>0.19209564634544757</v>
      </c>
      <c r="AU627" s="248"/>
      <c r="AX627" s="882"/>
      <c r="AY627" s="90"/>
      <c r="AZ627" s="543">
        <v>1957</v>
      </c>
      <c r="BA627" s="293"/>
    </row>
    <row r="628" spans="2:53">
      <c r="B628" s="991"/>
      <c r="C628" s="908"/>
      <c r="D628" s="871"/>
      <c r="E628" s="899"/>
      <c r="F628" s="871"/>
      <c r="G628" s="871"/>
      <c r="H628" s="871"/>
      <c r="I628" s="882"/>
      <c r="J628" s="221"/>
      <c r="K628" s="35"/>
      <c r="L628" s="451" t="s">
        <v>797</v>
      </c>
      <c r="M628" s="6">
        <f t="shared" si="332"/>
        <v>8.1279999999999991E-2</v>
      </c>
      <c r="N628" s="6">
        <f t="shared" si="327"/>
        <v>222.25</v>
      </c>
      <c r="O628" s="5">
        <f t="shared" si="328"/>
        <v>546.1</v>
      </c>
      <c r="P628" s="5">
        <f t="shared" si="326"/>
        <v>4.6989559041260731E-2</v>
      </c>
      <c r="Q628" s="6">
        <f t="shared" si="329"/>
        <v>2734.3750000000005</v>
      </c>
      <c r="R628" s="35"/>
      <c r="S628" s="930"/>
      <c r="T628" s="465" t="s">
        <v>163</v>
      </c>
      <c r="U628" s="5"/>
      <c r="V628" s="312">
        <f t="shared" si="330"/>
        <v>186158.44691554576</v>
      </c>
      <c r="W628" s="312"/>
      <c r="X628" s="5"/>
      <c r="Y628" s="312"/>
      <c r="AA628" s="35"/>
      <c r="AB628" s="871"/>
      <c r="AC628" s="387" t="s">
        <v>750</v>
      </c>
      <c r="AD628" s="882"/>
      <c r="AE628" s="35"/>
      <c r="AF628" s="888"/>
      <c r="AG628" s="871"/>
      <c r="AJ628" s="30">
        <f t="shared" si="325"/>
        <v>2.1428571428571429E-2</v>
      </c>
      <c r="AK628" s="35"/>
      <c r="AL628" s="871"/>
      <c r="AN628" s="554">
        <f>CONVERT(1097,"psi","Pa")/10^6</f>
        <v>7.5635487506056931</v>
      </c>
      <c r="AQ628" s="580"/>
      <c r="AR628" s="554">
        <f t="shared" si="324"/>
        <v>41.204376690158441</v>
      </c>
      <c r="AT628" s="274">
        <f t="shared" si="331"/>
        <v>0.18356178052348082</v>
      </c>
      <c r="AU628" s="248"/>
      <c r="AX628" s="882"/>
      <c r="AY628" s="90"/>
      <c r="AZ628" s="543">
        <v>1957</v>
      </c>
      <c r="BA628" s="293"/>
    </row>
    <row r="629" spans="2:53">
      <c r="B629" s="991"/>
      <c r="C629" s="908"/>
      <c r="D629" s="871"/>
      <c r="E629" s="899"/>
      <c r="F629" s="871"/>
      <c r="G629" s="871"/>
      <c r="H629" s="871"/>
      <c r="I629" s="882"/>
      <c r="J629" s="221"/>
      <c r="K629" s="35"/>
      <c r="L629" s="451" t="s">
        <v>798</v>
      </c>
      <c r="M629" s="6">
        <f t="shared" si="332"/>
        <v>8.1279999999999991E-2</v>
      </c>
      <c r="N629" s="6">
        <f t="shared" si="327"/>
        <v>222.25</v>
      </c>
      <c r="O629" s="5">
        <f t="shared" si="328"/>
        <v>546.1</v>
      </c>
      <c r="P629" s="5">
        <f t="shared" si="326"/>
        <v>4.6989559041260731E-2</v>
      </c>
      <c r="Q629" s="6">
        <f t="shared" si="329"/>
        <v>2734.3750000000005</v>
      </c>
      <c r="R629" s="35"/>
      <c r="S629" s="930"/>
      <c r="T629" s="465" t="s">
        <v>163</v>
      </c>
      <c r="U629" s="5"/>
      <c r="V629" s="312">
        <f t="shared" si="330"/>
        <v>186158.44691554576</v>
      </c>
      <c r="W629" s="312"/>
      <c r="X629" s="5"/>
      <c r="Y629" s="312"/>
      <c r="AA629" s="35"/>
      <c r="AB629" s="871"/>
      <c r="AC629" s="387" t="s">
        <v>750</v>
      </c>
      <c r="AD629" s="882"/>
      <c r="AE629" s="35"/>
      <c r="AF629" s="888"/>
      <c r="AG629" s="871"/>
      <c r="AJ629" s="30">
        <f t="shared" si="325"/>
        <v>2.1428571428571429E-2</v>
      </c>
      <c r="AK629" s="35"/>
      <c r="AL629" s="871"/>
      <c r="AN629" s="554">
        <f>CONVERT(1119,"psi","Pa")/10^6</f>
        <v>7.7152334110553964</v>
      </c>
      <c r="AQ629" s="580"/>
      <c r="AR629" s="554">
        <f t="shared" si="324"/>
        <v>41.204376690158441</v>
      </c>
      <c r="AT629" s="274">
        <f t="shared" si="331"/>
        <v>0.18724305597609392</v>
      </c>
      <c r="AU629" s="248"/>
      <c r="AX629" s="882"/>
      <c r="AY629" s="90"/>
      <c r="AZ629" s="543">
        <v>1957</v>
      </c>
      <c r="BA629" s="293"/>
    </row>
    <row r="630" spans="2:53">
      <c r="B630" s="991"/>
      <c r="C630" s="908"/>
      <c r="D630" s="871"/>
      <c r="E630" s="899"/>
      <c r="F630" s="871"/>
      <c r="G630" s="871"/>
      <c r="H630" s="871"/>
      <c r="I630" s="882"/>
      <c r="J630" s="221"/>
      <c r="K630" s="35"/>
      <c r="L630" s="451" t="s">
        <v>799</v>
      </c>
      <c r="M630" s="6">
        <f t="shared" si="332"/>
        <v>8.1279999999999991E-2</v>
      </c>
      <c r="N630" s="6">
        <f t="shared" si="327"/>
        <v>222.25</v>
      </c>
      <c r="O630" s="5">
        <f t="shared" si="328"/>
        <v>546.1</v>
      </c>
      <c r="P630" s="5">
        <f t="shared" si="326"/>
        <v>4.6989559041260731E-2</v>
      </c>
      <c r="Q630" s="6">
        <f t="shared" si="329"/>
        <v>2734.3750000000005</v>
      </c>
      <c r="R630" s="35"/>
      <c r="S630" s="930"/>
      <c r="T630" s="465" t="s">
        <v>163</v>
      </c>
      <c r="U630" s="5"/>
      <c r="V630" s="312">
        <f t="shared" si="330"/>
        <v>186158.44691554576</v>
      </c>
      <c r="W630" s="312"/>
      <c r="X630" s="5"/>
      <c r="Y630" s="312"/>
      <c r="AA630" s="35"/>
      <c r="AB630" s="871"/>
      <c r="AC630" s="387" t="s">
        <v>750</v>
      </c>
      <c r="AD630" s="882"/>
      <c r="AE630" s="35"/>
      <c r="AF630" s="888"/>
      <c r="AG630" s="871"/>
      <c r="AJ630" s="30">
        <f t="shared" si="325"/>
        <v>2.1428571428571429E-2</v>
      </c>
      <c r="AK630" s="35"/>
      <c r="AL630" s="871"/>
      <c r="AN630" s="554">
        <f>CONVERT(1250,"psi","Pa")/10^6</f>
        <v>8.6184466164604512</v>
      </c>
      <c r="AQ630" s="580"/>
      <c r="AR630" s="554">
        <f t="shared" si="324"/>
        <v>41.204376690158441</v>
      </c>
      <c r="AT630" s="274">
        <f t="shared" si="331"/>
        <v>0.20916337798938103</v>
      </c>
      <c r="AU630" s="248"/>
      <c r="AX630" s="882"/>
      <c r="AY630" s="90"/>
      <c r="AZ630" s="543">
        <v>1957</v>
      </c>
      <c r="BA630" s="293"/>
    </row>
    <row r="631" spans="2:53" ht="16.5" thickBot="1">
      <c r="B631" s="992"/>
      <c r="C631" s="909"/>
      <c r="D631" s="872"/>
      <c r="E631" s="900"/>
      <c r="F631" s="872"/>
      <c r="G631" s="872"/>
      <c r="H631" s="872"/>
      <c r="I631" s="883"/>
      <c r="J631" s="223"/>
      <c r="K631" s="36"/>
      <c r="L631" s="453" t="s">
        <v>800</v>
      </c>
      <c r="M631" s="16">
        <f t="shared" si="332"/>
        <v>8.1279999999999991E-2</v>
      </c>
      <c r="N631" s="16">
        <f t="shared" si="327"/>
        <v>222.25</v>
      </c>
      <c r="O631" s="18">
        <f t="shared" si="328"/>
        <v>546.1</v>
      </c>
      <c r="P631" s="18">
        <f t="shared" si="326"/>
        <v>4.6989559041260731E-2</v>
      </c>
      <c r="Q631" s="16">
        <f t="shared" si="329"/>
        <v>2734.3750000000005</v>
      </c>
      <c r="R631" s="36"/>
      <c r="S631" s="931"/>
      <c r="T631" s="466" t="s">
        <v>163</v>
      </c>
      <c r="U631" s="18"/>
      <c r="V631" s="313">
        <f t="shared" si="330"/>
        <v>186158.44691554576</v>
      </c>
      <c r="W631" s="313"/>
      <c r="X631" s="18"/>
      <c r="Y631" s="313"/>
      <c r="Z631" s="31"/>
      <c r="AA631" s="36"/>
      <c r="AB631" s="872"/>
      <c r="AC631" s="388" t="s">
        <v>750</v>
      </c>
      <c r="AD631" s="883"/>
      <c r="AE631" s="36"/>
      <c r="AF631" s="889"/>
      <c r="AG631" s="872"/>
      <c r="AH631" s="18"/>
      <c r="AI631" s="18"/>
      <c r="AJ631" s="31">
        <f t="shared" si="325"/>
        <v>2.1428571428571429E-2</v>
      </c>
      <c r="AK631" s="36"/>
      <c r="AL631" s="872"/>
      <c r="AM631" s="18"/>
      <c r="AN631" s="556">
        <f>CONVERT(1222,"psi","Pa")/10^6</f>
        <v>8.4253934122517382</v>
      </c>
      <c r="AO631" s="556"/>
      <c r="AP631" s="556"/>
      <c r="AQ631" s="587"/>
      <c r="AR631" s="556">
        <f t="shared" si="324"/>
        <v>41.204376690158441</v>
      </c>
      <c r="AS631" s="577"/>
      <c r="AT631" s="275">
        <f t="shared" si="331"/>
        <v>0.20447811832241894</v>
      </c>
      <c r="AU631" s="249"/>
      <c r="AV631" s="91"/>
      <c r="AW631" s="18"/>
      <c r="AX631" s="883"/>
      <c r="AY631" s="91"/>
      <c r="AZ631" s="766">
        <v>1957</v>
      </c>
      <c r="BA631" s="295"/>
    </row>
    <row r="632" spans="2:53" s="1" customFormat="1" ht="102.95" customHeight="1">
      <c r="B632" s="1001">
        <v>40</v>
      </c>
      <c r="C632" s="907" t="s">
        <v>1046</v>
      </c>
      <c r="D632" s="870" t="s">
        <v>811</v>
      </c>
      <c r="E632" s="898">
        <v>1950</v>
      </c>
      <c r="F632" s="870"/>
      <c r="G632" s="870" t="s">
        <v>812</v>
      </c>
      <c r="H632" s="870" t="s">
        <v>813</v>
      </c>
      <c r="I632" s="904" t="s">
        <v>810</v>
      </c>
      <c r="J632" s="225"/>
      <c r="K632" s="232" t="s">
        <v>821</v>
      </c>
      <c r="L632" s="449" t="s">
        <v>814</v>
      </c>
      <c r="M632" s="14">
        <f>CONVERT(0.0195,"in","mm")</f>
        <v>0.49529999999999996</v>
      </c>
      <c r="N632" s="14">
        <f>CONVERT(3.944,"in","mm")/2-M632/2</f>
        <v>49.841150000000006</v>
      </c>
      <c r="O632" s="320">
        <f>CONVERT(6,"in","mm")</f>
        <v>152.4</v>
      </c>
      <c r="P632" s="320">
        <f t="shared" si="326"/>
        <v>0.30481550150240572</v>
      </c>
      <c r="Q632" s="14">
        <f t="shared" si="329"/>
        <v>100.62820512820515</v>
      </c>
      <c r="R632" s="232"/>
      <c r="S632" s="870" t="s">
        <v>820</v>
      </c>
      <c r="T632" s="464" t="s">
        <v>522</v>
      </c>
      <c r="U632" s="72">
        <f>2*PI()*N632*M632*X632/1000</f>
        <v>48.338555519245169</v>
      </c>
      <c r="V632" s="311">
        <f>X632/(24.5*0.00015)</f>
        <v>84800.824394887051</v>
      </c>
      <c r="W632" s="311"/>
      <c r="X632" s="14">
        <f>CONVERT(45200,"psi","Pa")/10^6</f>
        <v>311.64302965120993</v>
      </c>
      <c r="Y632" s="311"/>
      <c r="Z632" s="106"/>
      <c r="AA632" s="235"/>
      <c r="AB632" s="871" t="s">
        <v>829</v>
      </c>
      <c r="AC632" s="380" t="s">
        <v>524</v>
      </c>
      <c r="AD632" s="882" t="s">
        <v>822</v>
      </c>
      <c r="AE632" s="232"/>
      <c r="AF632" s="14"/>
      <c r="AG632" s="14"/>
      <c r="AH632" s="14"/>
      <c r="AI632" s="14"/>
      <c r="AJ632" s="106"/>
      <c r="AK632" s="232"/>
      <c r="AL632" s="14"/>
      <c r="AM632" s="14">
        <f>CONVERT(7160,"lbm","kg")*9.81/10^3</f>
        <v>31.860146631852004</v>
      </c>
      <c r="AN632" s="19"/>
      <c r="AO632" s="19"/>
      <c r="AP632" s="597">
        <f t="shared" ref="AP632:AP656" si="333">AM632/U632</f>
        <v>0.65910423448974254</v>
      </c>
      <c r="AQ632" s="597">
        <f t="shared" ref="AQ632:AQ656" si="334">SQRT(X632/AR632)</f>
        <v>0.78168035347984766</v>
      </c>
      <c r="AR632" s="597">
        <f t="shared" si="324"/>
        <v>510.03387818960812</v>
      </c>
      <c r="AS632" s="547">
        <f t="shared" ref="AS632:AS656" si="335">2*PI()*N632*M632*AR632/1000</f>
        <v>79.11070870141819</v>
      </c>
      <c r="AT632" s="681">
        <f>AM632/AS632</f>
        <v>0.40272862112889729</v>
      </c>
      <c r="AU632" s="29">
        <f t="shared" ref="AU632" si="336">MAX(AO632:AP632)</f>
        <v>0.65910423448974254</v>
      </c>
      <c r="AV632" s="283"/>
      <c r="AW632" s="14"/>
      <c r="AX632" s="881" t="s">
        <v>823</v>
      </c>
      <c r="AY632" s="290"/>
      <c r="AZ632" s="760">
        <v>1950</v>
      </c>
      <c r="BA632" s="298"/>
    </row>
    <row r="633" spans="2:53">
      <c r="B633" s="994"/>
      <c r="C633" s="908"/>
      <c r="D633" s="871"/>
      <c r="E633" s="899"/>
      <c r="F633" s="871"/>
      <c r="G633" s="871"/>
      <c r="H633" s="871"/>
      <c r="I633" s="905"/>
      <c r="J633" s="221"/>
      <c r="K633" s="35" t="s">
        <v>821</v>
      </c>
      <c r="L633" s="451" t="s">
        <v>815</v>
      </c>
      <c r="M633" s="6">
        <f>CONVERT(0.0195,"in","mm")</f>
        <v>0.49529999999999996</v>
      </c>
      <c r="N633" s="6">
        <f>CONVERT(3.945,"in","mm")/2-M633/2</f>
        <v>49.853850000000001</v>
      </c>
      <c r="O633" s="7">
        <f>CONVERT(4,"in","mm")</f>
        <v>101.6</v>
      </c>
      <c r="P633" s="7">
        <f>O633/N633*SQRT(M633/N633)</f>
        <v>0.20313268917173474</v>
      </c>
      <c r="Q633" s="6">
        <f t="shared" si="329"/>
        <v>100.65384615384616</v>
      </c>
      <c r="R633" s="35"/>
      <c r="S633" s="871"/>
      <c r="T633" s="465" t="s">
        <v>522</v>
      </c>
      <c r="U633" s="65">
        <f t="shared" ref="U633:U642" si="337">2*PI()*N633*M633*X633/1000</f>
        <v>48.350872643851936</v>
      </c>
      <c r="V633" s="312">
        <f>X633/(24.5*0.00015)</f>
        <v>84800.824394887051</v>
      </c>
      <c r="W633" s="312"/>
      <c r="X633" s="5">
        <f>CONVERT(45200,"psi","Pa")/10^6</f>
        <v>311.64302965120993</v>
      </c>
      <c r="Y633" s="312"/>
      <c r="AA633" s="35"/>
      <c r="AB633" s="871"/>
      <c r="AC633" s="380" t="s">
        <v>524</v>
      </c>
      <c r="AD633" s="882"/>
      <c r="AE633" s="35"/>
      <c r="AK633" s="35"/>
      <c r="AM633" s="5">
        <f>CONVERT(7950,"lbm","kg")*9.81/10^3</f>
        <v>35.375442140115005</v>
      </c>
      <c r="AP633" s="554">
        <f t="shared" si="333"/>
        <v>0.73164020018185083</v>
      </c>
      <c r="AQ633" s="554">
        <f t="shared" si="334"/>
        <v>0.78177993693823999</v>
      </c>
      <c r="AR633" s="580">
        <f t="shared" si="324"/>
        <v>509.90394980387651</v>
      </c>
      <c r="AS633" s="576">
        <f t="shared" si="335"/>
        <v>79.110708701418204</v>
      </c>
      <c r="AT633" s="274">
        <f>AM633/AS633</f>
        <v>0.44716376228697385</v>
      </c>
      <c r="AU633" s="30">
        <f>MAX(AO633:AP633)</f>
        <v>0.73164020018185083</v>
      </c>
      <c r="AX633" s="882"/>
      <c r="AZ633" s="543">
        <v>1950</v>
      </c>
      <c r="BA633" s="293"/>
    </row>
    <row r="634" spans="2:53">
      <c r="B634" s="994"/>
      <c r="C634" s="908"/>
      <c r="D634" s="871"/>
      <c r="E634" s="899"/>
      <c r="F634" s="871"/>
      <c r="G634" s="871"/>
      <c r="H634" s="871"/>
      <c r="I634" s="905"/>
      <c r="J634" s="221"/>
      <c r="K634" s="35" t="s">
        <v>821</v>
      </c>
      <c r="L634" s="451" t="s">
        <v>816</v>
      </c>
      <c r="M634" s="6">
        <f>CONVERT(0.0193,"in","mm")</f>
        <v>0.49021999999999999</v>
      </c>
      <c r="N634" s="6">
        <f>CONVERT(3.945,"in","mm")/2-M634/2</f>
        <v>49.856390000000005</v>
      </c>
      <c r="O634" s="7">
        <f>CONVERT(2,"in","mm")</f>
        <v>50.8</v>
      </c>
      <c r="P634" s="7">
        <f t="shared" ref="P634:P642" si="338">O634/N634*SQRT(M634/N634)</f>
        <v>0.10103642747882337</v>
      </c>
      <c r="Q634" s="6">
        <f t="shared" ref="Q634:Q642" si="339">N634/M634</f>
        <v>101.70207253886012</v>
      </c>
      <c r="R634" s="35"/>
      <c r="S634" s="871"/>
      <c r="T634" s="465" t="s">
        <v>522</v>
      </c>
      <c r="U634" s="65">
        <f t="shared" si="337"/>
        <v>47.857404416785883</v>
      </c>
      <c r="V634" s="312">
        <f t="shared" ref="V634:V650" si="340">X634/(24.5*0.00015)</f>
        <v>84800.824394887051</v>
      </c>
      <c r="W634" s="312"/>
      <c r="X634" s="5">
        <f t="shared" ref="X634:X642" si="341">CONVERT(45200,"psi","Pa")/10^6</f>
        <v>311.64302965120993</v>
      </c>
      <c r="Y634" s="312"/>
      <c r="AA634" s="35"/>
      <c r="AB634" s="871"/>
      <c r="AC634" s="380" t="s">
        <v>524</v>
      </c>
      <c r="AD634" s="882"/>
      <c r="AE634" s="35"/>
      <c r="AK634" s="35"/>
      <c r="AM634" s="5">
        <f>CONVERT(7980,"lbm","kg")*9.81/10^3</f>
        <v>35.508934374606007</v>
      </c>
      <c r="AP634" s="554">
        <f t="shared" si="333"/>
        <v>0.74197367799895397</v>
      </c>
      <c r="AQ634" s="554">
        <f t="shared" si="334"/>
        <v>0.78584018832874736</v>
      </c>
      <c r="AR634" s="580">
        <f t="shared" si="324"/>
        <v>504.64845440772297</v>
      </c>
      <c r="AS634" s="576">
        <f t="shared" si="335"/>
        <v>77.496246901226215</v>
      </c>
      <c r="AT634" s="274">
        <f t="shared" ref="AT634:AT642" si="342">AM634/AS634</f>
        <v>0.45820198776676696</v>
      </c>
      <c r="AU634" s="30">
        <f t="shared" ref="AU634:AU642" si="343">MAX(AO634:AP634)</f>
        <v>0.74197367799895397</v>
      </c>
      <c r="AX634" s="882"/>
      <c r="AZ634" s="543">
        <v>1950</v>
      </c>
      <c r="BA634" s="293"/>
    </row>
    <row r="635" spans="2:53">
      <c r="B635" s="994"/>
      <c r="C635" s="908"/>
      <c r="D635" s="871"/>
      <c r="E635" s="899"/>
      <c r="F635" s="871"/>
      <c r="G635" s="871"/>
      <c r="H635" s="871"/>
      <c r="I635" s="905"/>
      <c r="J635" s="221"/>
      <c r="K635" s="35" t="s">
        <v>821</v>
      </c>
      <c r="L635" s="451">
        <v>34</v>
      </c>
      <c r="M635" s="6">
        <f>CONVERT(0.0126,"in","mm")</f>
        <v>0.32003999999999999</v>
      </c>
      <c r="N635" s="6">
        <f>CONVERT(3.93,"in","mm")/2-M635/2</f>
        <v>49.750979999999991</v>
      </c>
      <c r="O635" s="7">
        <f>CONVERT(4,"in","mm")</f>
        <v>101.6</v>
      </c>
      <c r="P635" s="7">
        <f t="shared" si="338"/>
        <v>0.16379226134580974</v>
      </c>
      <c r="Q635" s="6">
        <f t="shared" si="339"/>
        <v>155.45238095238093</v>
      </c>
      <c r="R635" s="35"/>
      <c r="S635" s="871"/>
      <c r="T635" s="465" t="s">
        <v>522</v>
      </c>
      <c r="U635" s="65">
        <f t="shared" si="337"/>
        <v>31.177636388470155</v>
      </c>
      <c r="V635" s="312">
        <f t="shared" si="340"/>
        <v>84800.824394887051</v>
      </c>
      <c r="W635" s="312"/>
      <c r="X635" s="5">
        <f t="shared" si="341"/>
        <v>311.64302965120993</v>
      </c>
      <c r="Y635" s="312"/>
      <c r="AA635" s="35"/>
      <c r="AB635" s="871"/>
      <c r="AC635" s="380" t="s">
        <v>524</v>
      </c>
      <c r="AD635" s="882"/>
      <c r="AE635" s="35"/>
      <c r="AK635" s="35"/>
      <c r="AM635" s="5">
        <f>CONVERT(4200,"lbm","kg")*9.81/10^3</f>
        <v>18.688912828740001</v>
      </c>
      <c r="AP635" s="554">
        <f t="shared" si="333"/>
        <v>0.59943327954300518</v>
      </c>
      <c r="AQ635" s="554">
        <f t="shared" si="334"/>
        <v>0.97155641252055591</v>
      </c>
      <c r="AR635" s="580">
        <f t="shared" si="324"/>
        <v>330.15765601248449</v>
      </c>
      <c r="AS635" s="576">
        <f t="shared" si="335"/>
        <v>33.029891159598037</v>
      </c>
      <c r="AT635" s="274">
        <f t="shared" si="342"/>
        <v>0.56581817779648536</v>
      </c>
      <c r="AU635" s="30">
        <f t="shared" si="343"/>
        <v>0.59943327954300518</v>
      </c>
      <c r="AX635" s="882"/>
      <c r="AZ635" s="760">
        <v>1950</v>
      </c>
      <c r="BA635" s="293"/>
    </row>
    <row r="636" spans="2:53">
      <c r="B636" s="994"/>
      <c r="C636" s="908"/>
      <c r="D636" s="871"/>
      <c r="E636" s="899"/>
      <c r="F636" s="871"/>
      <c r="G636" s="871"/>
      <c r="H636" s="871"/>
      <c r="I636" s="905"/>
      <c r="J636" s="221"/>
      <c r="K636" s="35" t="s">
        <v>821</v>
      </c>
      <c r="L636" s="451">
        <v>35</v>
      </c>
      <c r="M636" s="6">
        <f>CONVERT(0.0098,"in","mm")</f>
        <v>0.24892000000000003</v>
      </c>
      <c r="N636" s="6">
        <f>CONVERT(3.928,"in","mm")/2-M636</f>
        <v>49.636680000000005</v>
      </c>
      <c r="O636" s="7">
        <f>CONVERT(4,"in","mm")</f>
        <v>101.6</v>
      </c>
      <c r="P636" s="7">
        <f t="shared" si="338"/>
        <v>0.14495043257339382</v>
      </c>
      <c r="Q636" s="6">
        <f t="shared" si="339"/>
        <v>199.40816326530611</v>
      </c>
      <c r="R636" s="35"/>
      <c r="S636" s="871"/>
      <c r="T636" s="465" t="s">
        <v>522</v>
      </c>
      <c r="U636" s="65">
        <f t="shared" si="337"/>
        <v>24.193561444520391</v>
      </c>
      <c r="V636" s="312">
        <f t="shared" si="340"/>
        <v>84800.824394887051</v>
      </c>
      <c r="W636" s="312"/>
      <c r="X636" s="5">
        <f t="shared" si="341"/>
        <v>311.64302965120993</v>
      </c>
      <c r="Y636" s="312"/>
      <c r="AA636" s="35"/>
      <c r="AB636" s="871"/>
      <c r="AC636" s="380" t="s">
        <v>524</v>
      </c>
      <c r="AD636" s="882"/>
      <c r="AE636" s="35"/>
      <c r="AK636" s="35"/>
      <c r="AM636" s="5">
        <f>CONVERT(2580,"lbm","kg")*9.81/10^3</f>
        <v>11.480332166226002</v>
      </c>
      <c r="AP636" s="554">
        <f t="shared" si="333"/>
        <v>0.47452014010224142</v>
      </c>
      <c r="AQ636" s="554">
        <f t="shared" si="334"/>
        <v>1.1003752159579392</v>
      </c>
      <c r="AR636" s="580">
        <f t="shared" si="324"/>
        <v>257.38060506837542</v>
      </c>
      <c r="AS636" s="576">
        <f t="shared" si="335"/>
        <v>19.98104526938647</v>
      </c>
      <c r="AT636" s="274">
        <f t="shared" si="342"/>
        <v>0.57456114089363219</v>
      </c>
      <c r="AU636" s="30">
        <f t="shared" si="343"/>
        <v>0.47452014010224142</v>
      </c>
      <c r="AX636" s="882"/>
      <c r="AZ636" s="543">
        <v>1950</v>
      </c>
      <c r="BA636" s="293"/>
    </row>
    <row r="637" spans="2:53">
      <c r="B637" s="994"/>
      <c r="C637" s="908"/>
      <c r="D637" s="871"/>
      <c r="E637" s="899"/>
      <c r="F637" s="871"/>
      <c r="G637" s="871"/>
      <c r="H637" s="871"/>
      <c r="I637" s="905"/>
      <c r="J637" s="221"/>
      <c r="K637" s="35" t="s">
        <v>821</v>
      </c>
      <c r="L637" s="451" t="s">
        <v>817</v>
      </c>
      <c r="M637" s="6">
        <f>CONVERT(0.008,"in","mm")</f>
        <v>0.20320000000000002</v>
      </c>
      <c r="N637" s="6">
        <f>CONVERT(3.92,"in","mm")/2-M637/2</f>
        <v>49.682400000000001</v>
      </c>
      <c r="O637" s="7">
        <f>CONVERT(6,"in","mm")</f>
        <v>152.4</v>
      </c>
      <c r="P637" s="7">
        <f t="shared" si="338"/>
        <v>0.19617468692977896</v>
      </c>
      <c r="Q637" s="6">
        <f t="shared" si="339"/>
        <v>244.49999999999997</v>
      </c>
      <c r="R637" s="35"/>
      <c r="S637" s="871"/>
      <c r="T637" s="465" t="s">
        <v>522</v>
      </c>
      <c r="U637" s="65">
        <f t="shared" si="337"/>
        <v>19.768037522732566</v>
      </c>
      <c r="V637" s="312">
        <f t="shared" si="340"/>
        <v>84800.824394887051</v>
      </c>
      <c r="W637" s="312"/>
      <c r="X637" s="5">
        <f t="shared" si="341"/>
        <v>311.64302965120993</v>
      </c>
      <c r="Y637" s="312"/>
      <c r="AA637" s="35"/>
      <c r="AB637" s="871"/>
      <c r="AC637" s="380" t="s">
        <v>524</v>
      </c>
      <c r="AD637" s="882"/>
      <c r="AE637" s="35"/>
      <c r="AK637" s="35"/>
      <c r="AM637" s="5">
        <f>CONVERT(1828,"lbm","kg")*9.81/10^3</f>
        <v>8.1341268216516003</v>
      </c>
      <c r="AP637" s="554">
        <f t="shared" si="333"/>
        <v>0.41147872227061655</v>
      </c>
      <c r="AQ637" s="554">
        <f t="shared" si="334"/>
        <v>1.2184529540321307</v>
      </c>
      <c r="AR637" s="580">
        <f t="shared" si="324"/>
        <v>209.91326673536969</v>
      </c>
      <c r="AS637" s="576">
        <f t="shared" si="335"/>
        <v>13.315148867562831</v>
      </c>
      <c r="AT637" s="274">
        <f t="shared" si="342"/>
        <v>0.61089266838519762</v>
      </c>
      <c r="AU637" s="30">
        <f t="shared" si="343"/>
        <v>0.41147872227061655</v>
      </c>
      <c r="AX637" s="882"/>
      <c r="AZ637" s="543">
        <v>1950</v>
      </c>
      <c r="BA637" s="293"/>
    </row>
    <row r="638" spans="2:53">
      <c r="B638" s="994"/>
      <c r="C638" s="908"/>
      <c r="D638" s="871"/>
      <c r="E638" s="899"/>
      <c r="F638" s="871"/>
      <c r="G638" s="871"/>
      <c r="H638" s="871"/>
      <c r="I638" s="905"/>
      <c r="J638" s="221"/>
      <c r="K638" s="35" t="s">
        <v>821</v>
      </c>
      <c r="L638" s="451" t="s">
        <v>818</v>
      </c>
      <c r="M638" s="6">
        <f>CONVERT(0.0075,"in","mm")</f>
        <v>0.1905</v>
      </c>
      <c r="N638" s="6">
        <f>CONVERT(3.924,"in","mm")/2-M638/2</f>
        <v>49.739550000000001</v>
      </c>
      <c r="O638" s="7">
        <f>CONVERT(4,"in","mm")</f>
        <v>101.6</v>
      </c>
      <c r="P638" s="7">
        <f t="shared" si="338"/>
        <v>0.12641203426636155</v>
      </c>
      <c r="Q638" s="6">
        <f t="shared" si="339"/>
        <v>261.10000000000002</v>
      </c>
      <c r="R638" s="35"/>
      <c r="S638" s="871"/>
      <c r="T638" s="465" t="s">
        <v>522</v>
      </c>
      <c r="U638" s="65">
        <f t="shared" si="337"/>
        <v>18.553853277842713</v>
      </c>
      <c r="V638" s="312">
        <f t="shared" si="340"/>
        <v>84800.824394887051</v>
      </c>
      <c r="W638" s="312"/>
      <c r="X638" s="5">
        <f t="shared" si="341"/>
        <v>311.64302965120993</v>
      </c>
      <c r="Y638" s="312"/>
      <c r="AA638" s="35"/>
      <c r="AB638" s="871"/>
      <c r="AC638" s="380" t="s">
        <v>524</v>
      </c>
      <c r="AD638" s="882"/>
      <c r="AE638" s="35"/>
      <c r="AK638" s="35"/>
      <c r="AM638" s="5">
        <f>CONVERT(1820,"lbm","kg")*9.81/10^3</f>
        <v>8.0985288924540004</v>
      </c>
      <c r="AP638" s="554">
        <f t="shared" si="333"/>
        <v>0.43648770803450215</v>
      </c>
      <c r="AQ638" s="554">
        <f t="shared" si="334"/>
        <v>1.2591363721062079</v>
      </c>
      <c r="AR638" s="580">
        <f t="shared" si="324"/>
        <v>196.56757455686665</v>
      </c>
      <c r="AS638" s="576">
        <f t="shared" si="335"/>
        <v>11.702767559381391</v>
      </c>
      <c r="AT638" s="274">
        <f t="shared" si="342"/>
        <v>0.69201826417221346</v>
      </c>
      <c r="AU638" s="30">
        <f t="shared" si="343"/>
        <v>0.43648770803450215</v>
      </c>
      <c r="AX638" s="882"/>
      <c r="AZ638" s="760">
        <v>1950</v>
      </c>
      <c r="BA638" s="293"/>
    </row>
    <row r="639" spans="2:53">
      <c r="B639" s="994"/>
      <c r="C639" s="908"/>
      <c r="D639" s="871"/>
      <c r="E639" s="899"/>
      <c r="F639" s="871"/>
      <c r="G639" s="871"/>
      <c r="H639" s="871"/>
      <c r="I639" s="905"/>
      <c r="J639" s="221"/>
      <c r="K639" s="35" t="s">
        <v>821</v>
      </c>
      <c r="L639" s="451" t="s">
        <v>819</v>
      </c>
      <c r="M639" s="6">
        <f>CONVERT(0.008,"in","mm")</f>
        <v>0.20320000000000002</v>
      </c>
      <c r="N639" s="6">
        <f>CONVERT(3.92,"in","mm")/2-M639/2</f>
        <v>49.682400000000001</v>
      </c>
      <c r="O639" s="7">
        <f>CONVERT(2,"in","mm")</f>
        <v>50.8</v>
      </c>
      <c r="P639" s="7">
        <f t="shared" si="338"/>
        <v>6.5391562309926321E-2</v>
      </c>
      <c r="Q639" s="6">
        <f t="shared" si="339"/>
        <v>244.49999999999997</v>
      </c>
      <c r="R639" s="35"/>
      <c r="S639" s="871"/>
      <c r="T639" s="465" t="s">
        <v>522</v>
      </c>
      <c r="U639" s="65">
        <f t="shared" si="337"/>
        <v>19.768037522732566</v>
      </c>
      <c r="V639" s="312">
        <f t="shared" si="340"/>
        <v>84800.824394887051</v>
      </c>
      <c r="W639" s="312"/>
      <c r="X639" s="5">
        <f t="shared" si="341"/>
        <v>311.64302965120993</v>
      </c>
      <c r="Y639" s="312"/>
      <c r="AA639" s="35"/>
      <c r="AB639" s="871"/>
      <c r="AC639" s="380" t="s">
        <v>524</v>
      </c>
      <c r="AD639" s="882"/>
      <c r="AE639" s="35"/>
      <c r="AK639" s="35"/>
      <c r="AM639" s="5">
        <f>CONVERT(1875,"lbm","kg")*9.81/10^3</f>
        <v>8.3432646556875003</v>
      </c>
      <c r="AP639" s="554">
        <f t="shared" si="333"/>
        <v>0.42205831742746502</v>
      </c>
      <c r="AQ639" s="554">
        <f t="shared" si="334"/>
        <v>1.2184529540321307</v>
      </c>
      <c r="AR639" s="580">
        <f t="shared" si="324"/>
        <v>209.91326673536969</v>
      </c>
      <c r="AS639" s="576">
        <f t="shared" si="335"/>
        <v>13.315148867562831</v>
      </c>
      <c r="AT639" s="274">
        <f t="shared" si="342"/>
        <v>0.62659942736446694</v>
      </c>
      <c r="AU639" s="30">
        <f t="shared" si="343"/>
        <v>0.42205831742746502</v>
      </c>
      <c r="AX639" s="882"/>
      <c r="AZ639" s="543">
        <v>1950</v>
      </c>
      <c r="BA639" s="293"/>
    </row>
    <row r="640" spans="2:53">
      <c r="B640" s="994"/>
      <c r="C640" s="908"/>
      <c r="D640" s="871"/>
      <c r="E640" s="899"/>
      <c r="F640" s="871"/>
      <c r="G640" s="871"/>
      <c r="H640" s="871"/>
      <c r="I640" s="905"/>
      <c r="J640" s="221"/>
      <c r="K640" s="35" t="s">
        <v>821</v>
      </c>
      <c r="L640" s="451">
        <v>37</v>
      </c>
      <c r="M640" s="6">
        <f>CONVERT(0.0041,"in","mm")</f>
        <v>0.10414000000000001</v>
      </c>
      <c r="N640" s="6">
        <f>CONVERT(3.903,"in","mm")/2-M640/2</f>
        <v>49.516029999999994</v>
      </c>
      <c r="O640" s="7">
        <f>CONVERT(6,"in","mm")</f>
        <v>152.4</v>
      </c>
      <c r="P640" s="7">
        <f t="shared" si="338"/>
        <v>0.14114809711466583</v>
      </c>
      <c r="Q640" s="6">
        <f t="shared" si="339"/>
        <v>475.47560975609747</v>
      </c>
      <c r="R640" s="35"/>
      <c r="S640" s="871"/>
      <c r="T640" s="465" t="s">
        <v>522</v>
      </c>
      <c r="U640" s="65">
        <f t="shared" si="337"/>
        <v>10.0971934477015</v>
      </c>
      <c r="V640" s="312">
        <f t="shared" si="340"/>
        <v>84800.824394887051</v>
      </c>
      <c r="W640" s="312"/>
      <c r="X640" s="5">
        <f t="shared" si="341"/>
        <v>311.64302965120993</v>
      </c>
      <c r="Y640" s="312"/>
      <c r="AA640" s="35"/>
      <c r="AB640" s="871"/>
      <c r="AC640" s="380" t="s">
        <v>524</v>
      </c>
      <c r="AD640" s="882"/>
      <c r="AE640" s="35"/>
      <c r="AK640" s="35"/>
      <c r="AM640" s="5">
        <f>CONVERT(314,"lbm","kg")*9.81/10^3</f>
        <v>1.3972187210058002</v>
      </c>
      <c r="AP640" s="554">
        <f t="shared" si="333"/>
        <v>0.13837693892294989</v>
      </c>
      <c r="AQ640" s="554">
        <f t="shared" si="334"/>
        <v>1.699156790684943</v>
      </c>
      <c r="AR640" s="580">
        <f t="shared" si="324"/>
        <v>107.94201145906351</v>
      </c>
      <c r="AS640" s="576">
        <f t="shared" si="335"/>
        <v>3.4973070697457991</v>
      </c>
      <c r="AT640" s="274">
        <f t="shared" si="342"/>
        <v>0.3995127374123762</v>
      </c>
      <c r="AU640" s="30">
        <f t="shared" si="343"/>
        <v>0.13837693892294989</v>
      </c>
      <c r="AX640" s="882"/>
      <c r="AZ640" s="543">
        <v>1950</v>
      </c>
      <c r="BA640" s="293"/>
    </row>
    <row r="641" spans="2:53">
      <c r="B641" s="994"/>
      <c r="C641" s="908"/>
      <c r="D641" s="871"/>
      <c r="E641" s="899"/>
      <c r="F641" s="871"/>
      <c r="G641" s="871"/>
      <c r="H641" s="871"/>
      <c r="I641" s="905"/>
      <c r="J641" s="221"/>
      <c r="K641" s="35" t="s">
        <v>821</v>
      </c>
      <c r="L641" s="451">
        <v>38</v>
      </c>
      <c r="M641" s="6">
        <f>CONVERT(0.0033,"in","mm")</f>
        <v>8.3819999999999992E-2</v>
      </c>
      <c r="N641" s="6">
        <f>CONVERT(3.904,"in","mm")/2-M641/2</f>
        <v>49.538890000000002</v>
      </c>
      <c r="O641" s="7">
        <f>CONVERT(3.5,"in","mm")</f>
        <v>88.9</v>
      </c>
      <c r="P641" s="7">
        <f t="shared" si="338"/>
        <v>7.3816964521037712E-2</v>
      </c>
      <c r="Q641" s="6">
        <f t="shared" si="339"/>
        <v>591.01515151515162</v>
      </c>
      <c r="R641" s="35"/>
      <c r="S641" s="871"/>
      <c r="T641" s="465" t="s">
        <v>522</v>
      </c>
      <c r="U641" s="65">
        <f t="shared" si="337"/>
        <v>8.1307613459945554</v>
      </c>
      <c r="V641" s="312">
        <f t="shared" si="340"/>
        <v>84800.824394887051</v>
      </c>
      <c r="W641" s="312"/>
      <c r="X641" s="5">
        <f t="shared" si="341"/>
        <v>311.64302965120993</v>
      </c>
      <c r="Y641" s="312"/>
      <c r="AA641" s="35"/>
      <c r="AB641" s="871"/>
      <c r="AC641" s="380" t="s">
        <v>524</v>
      </c>
      <c r="AD641" s="882"/>
      <c r="AE641" s="35"/>
      <c r="AK641" s="35"/>
      <c r="AM641" s="5">
        <f>CONVERT(136,"lbm","kg")*9.81/10^3</f>
        <v>0.60516479635920006</v>
      </c>
      <c r="AP641" s="554">
        <f t="shared" si="333"/>
        <v>7.4429044293290128E-2</v>
      </c>
      <c r="AQ641" s="554">
        <f t="shared" si="334"/>
        <v>1.894386721273368</v>
      </c>
      <c r="AR641" s="580">
        <f t="shared" si="324"/>
        <v>86.840064227155636</v>
      </c>
      <c r="AS641" s="576">
        <f t="shared" si="335"/>
        <v>2.2656557994962374</v>
      </c>
      <c r="AT641" s="274">
        <f t="shared" si="342"/>
        <v>0.26710358938624168</v>
      </c>
      <c r="AU641" s="30">
        <f t="shared" si="343"/>
        <v>7.4429044293290128E-2</v>
      </c>
      <c r="AX641" s="882"/>
      <c r="AZ641" s="760">
        <v>1950</v>
      </c>
      <c r="BA641" s="293"/>
    </row>
    <row r="642" spans="2:53">
      <c r="B642" s="994"/>
      <c r="C642" s="908"/>
      <c r="D642" s="871"/>
      <c r="E642" s="899"/>
      <c r="F642" s="871"/>
      <c r="G642" s="871"/>
      <c r="H642" s="871"/>
      <c r="I642" s="905"/>
      <c r="J642" s="221"/>
      <c r="K642" s="35" t="s">
        <v>821</v>
      </c>
      <c r="L642" s="451">
        <v>39</v>
      </c>
      <c r="M642" s="6">
        <f>CONVERT(0.0031,"in","mm")</f>
        <v>7.8739999999999991E-2</v>
      </c>
      <c r="N642" s="6">
        <f>CONVERT(3.904,"in","mm")/2-M642/2</f>
        <v>49.541430000000005</v>
      </c>
      <c r="O642" s="7">
        <f>CONVERT(2,"in","mm")</f>
        <v>50.8</v>
      </c>
      <c r="P642" s="7">
        <f t="shared" si="338"/>
        <v>4.0879785671879373E-2</v>
      </c>
      <c r="Q642" s="6">
        <f t="shared" si="339"/>
        <v>629.17741935483889</v>
      </c>
      <c r="R642" s="35"/>
      <c r="S642" s="871"/>
      <c r="T642" s="465" t="s">
        <v>522</v>
      </c>
      <c r="U642" s="65">
        <f t="shared" si="337"/>
        <v>7.6383795524835474</v>
      </c>
      <c r="V642" s="312">
        <f t="shared" si="340"/>
        <v>84800.824394887051</v>
      </c>
      <c r="W642" s="312"/>
      <c r="X642" s="5">
        <f t="shared" si="341"/>
        <v>311.64302965120993</v>
      </c>
      <c r="Y642" s="312"/>
      <c r="AA642" s="35"/>
      <c r="AB642" s="871"/>
      <c r="AC642" s="380" t="s">
        <v>524</v>
      </c>
      <c r="AD642" s="882"/>
      <c r="AE642" s="35"/>
      <c r="AK642" s="35"/>
      <c r="AM642" s="5">
        <f>CONVERT(79.8,"lbm","kg")*9.81/10^3</f>
        <v>0.3550893437460601</v>
      </c>
      <c r="AP642" s="554">
        <f t="shared" si="333"/>
        <v>4.648752281897358E-2</v>
      </c>
      <c r="AQ642" s="554">
        <f t="shared" si="334"/>
        <v>1.9545910119003018</v>
      </c>
      <c r="AR642" s="580">
        <f t="shared" si="324"/>
        <v>81.572847559318831</v>
      </c>
      <c r="AS642" s="576">
        <f t="shared" si="335"/>
        <v>1.9993528221449806</v>
      </c>
      <c r="AT642" s="274">
        <f t="shared" si="342"/>
        <v>0.17760214195967022</v>
      </c>
      <c r="AU642" s="30">
        <f t="shared" si="343"/>
        <v>4.648752281897358E-2</v>
      </c>
      <c r="AX642" s="882"/>
      <c r="AZ642" s="543">
        <v>1950</v>
      </c>
      <c r="BA642" s="293"/>
    </row>
    <row r="643" spans="2:53" ht="18" customHeight="1">
      <c r="B643" s="994"/>
      <c r="C643" s="908"/>
      <c r="D643" s="871"/>
      <c r="E643" s="899"/>
      <c r="F643" s="871"/>
      <c r="G643" s="871"/>
      <c r="H643" s="871"/>
      <c r="I643" s="905"/>
      <c r="J643" s="221"/>
      <c r="K643" s="35" t="s">
        <v>824</v>
      </c>
      <c r="L643" s="451" t="s">
        <v>825</v>
      </c>
      <c r="M643" s="6">
        <f>CONVERT(0.0655,"in","mm")</f>
        <v>1.6637</v>
      </c>
      <c r="N643" s="6">
        <f>CONVERT(2.601,"in","mm")/2-M643/2</f>
        <v>32.200849999999996</v>
      </c>
      <c r="O643" s="7">
        <f>CONVERT(1.9,"in","mm")</f>
        <v>48.26</v>
      </c>
      <c r="P643" s="7">
        <f t="shared" ref="P643:P656" si="344">O643/N643*SQRT(M643/N643)</f>
        <v>0.34066210222348486</v>
      </c>
      <c r="Q643" s="6">
        <f t="shared" ref="Q643:Q656" si="345">N643/M643</f>
        <v>19.354961832061065</v>
      </c>
      <c r="R643" s="35"/>
      <c r="S643" s="871" t="s">
        <v>820</v>
      </c>
      <c r="T643" s="465" t="s">
        <v>522</v>
      </c>
      <c r="U643" s="65">
        <f>2*PI()*N643*M643*X643/1000</f>
        <v>94.68940046818544</v>
      </c>
      <c r="V643" s="312">
        <f>X643/(24.5*0.00015)</f>
        <v>76545.876887420178</v>
      </c>
      <c r="W643" s="312"/>
      <c r="X643" s="5">
        <f>CONVERT(40800,"psi","Pa")/10^6</f>
        <v>281.30609756126915</v>
      </c>
      <c r="Y643" s="312"/>
      <c r="AA643" s="35"/>
      <c r="AB643" s="871" t="s">
        <v>830</v>
      </c>
      <c r="AC643" s="380" t="s">
        <v>524</v>
      </c>
      <c r="AD643" s="882"/>
      <c r="AE643" s="35"/>
      <c r="AK643" s="35"/>
      <c r="AM643" s="5">
        <f>CONVERT(25200,"lbm","kg")*9.81/10^3</f>
        <v>112.13347697244002</v>
      </c>
      <c r="AP643" s="554">
        <f t="shared" si="333"/>
        <v>1.1842241731176193</v>
      </c>
      <c r="AQ643" s="554">
        <f t="shared" si="334"/>
        <v>0.34281948099173432</v>
      </c>
      <c r="AR643" s="580">
        <f t="shared" si="324"/>
        <v>2393.5811708914071</v>
      </c>
      <c r="AS643" s="576">
        <f t="shared" si="335"/>
        <v>805.6944659519171</v>
      </c>
      <c r="AT643" s="274">
        <f t="shared" ref="AT643:AT656" si="346">AM643/AS643</f>
        <v>0.13917617870188029</v>
      </c>
      <c r="AU643" s="30">
        <f t="shared" ref="AU643:AU656" si="347">MAX(AO643:AP643)</f>
        <v>1.1842241731176193</v>
      </c>
      <c r="AX643" s="882"/>
      <c r="AZ643" s="543">
        <v>1950</v>
      </c>
      <c r="BA643" s="293"/>
    </row>
    <row r="644" spans="2:53">
      <c r="B644" s="994"/>
      <c r="C644" s="908"/>
      <c r="D644" s="871"/>
      <c r="E644" s="899"/>
      <c r="F644" s="871"/>
      <c r="G644" s="871"/>
      <c r="H644" s="871"/>
      <c r="I644" s="905"/>
      <c r="J644" s="221"/>
      <c r="K644" s="35" t="s">
        <v>824</v>
      </c>
      <c r="L644" s="451" t="s">
        <v>826</v>
      </c>
      <c r="M644" s="6">
        <f>CONVERT(0.0655,"in","mm")</f>
        <v>1.6637</v>
      </c>
      <c r="N644" s="6">
        <f>CONVERT(2.601,"in","mm")/2-M644/2</f>
        <v>32.200849999999996</v>
      </c>
      <c r="O644" s="7">
        <f>CONVERT(3.47,"in","mm")</f>
        <v>88.137999999999991</v>
      </c>
      <c r="P644" s="7">
        <f t="shared" si="344"/>
        <v>0.62215657616604869</v>
      </c>
      <c r="Q644" s="6">
        <f t="shared" si="345"/>
        <v>19.354961832061065</v>
      </c>
      <c r="R644" s="35"/>
      <c r="S644" s="871"/>
      <c r="T644" s="465" t="s">
        <v>522</v>
      </c>
      <c r="U644" s="65">
        <f t="shared" ref="U644:U650" si="348">2*PI()*N644*M644*X644/1000</f>
        <v>94.68940046818544</v>
      </c>
      <c r="V644" s="312">
        <f t="shared" si="340"/>
        <v>76545.876887420178</v>
      </c>
      <c r="W644" s="312"/>
      <c r="X644" s="5">
        <f t="shared" ref="X644:X650" si="349">CONVERT(40800,"psi","Pa")/10^6</f>
        <v>281.30609756126915</v>
      </c>
      <c r="Y644" s="312"/>
      <c r="AA644" s="35"/>
      <c r="AB644" s="871"/>
      <c r="AC644" s="380" t="s">
        <v>524</v>
      </c>
      <c r="AD644" s="882"/>
      <c r="AE644" s="35"/>
      <c r="AK644" s="35"/>
      <c r="AM644" s="5">
        <f>CONVERT(24750,"lbm","kg")*9.81/10^3</f>
        <v>110.131093455075</v>
      </c>
      <c r="AP644" s="554">
        <f t="shared" si="333"/>
        <v>1.163077312883376</v>
      </c>
      <c r="AQ644" s="554">
        <f t="shared" si="334"/>
        <v>0.34281948099173432</v>
      </c>
      <c r="AR644" s="580">
        <f t="shared" si="324"/>
        <v>2393.5811708914071</v>
      </c>
      <c r="AS644" s="576">
        <f t="shared" si="335"/>
        <v>805.6944659519171</v>
      </c>
      <c r="AT644" s="274">
        <f t="shared" si="346"/>
        <v>0.13669088979648955</v>
      </c>
      <c r="AU644" s="30">
        <f t="shared" si="347"/>
        <v>1.163077312883376</v>
      </c>
      <c r="AX644" s="882"/>
      <c r="AZ644" s="760">
        <v>1950</v>
      </c>
      <c r="BA644" s="293"/>
    </row>
    <row r="645" spans="2:53">
      <c r="B645" s="994"/>
      <c r="C645" s="908"/>
      <c r="D645" s="871"/>
      <c r="E645" s="899"/>
      <c r="F645" s="871"/>
      <c r="G645" s="871"/>
      <c r="H645" s="871"/>
      <c r="I645" s="905"/>
      <c r="J645" s="221"/>
      <c r="K645" s="35" t="s">
        <v>824</v>
      </c>
      <c r="L645" s="451" t="s">
        <v>827</v>
      </c>
      <c r="M645" s="6">
        <f>CONVERT(0.0655,"in","mm")</f>
        <v>1.6637</v>
      </c>
      <c r="N645" s="6">
        <f>CONVERT(2.601,"in","mm")/2-M645/2</f>
        <v>32.200849999999996</v>
      </c>
      <c r="O645" s="7">
        <f>CONVERT(5.7,"in","mm")</f>
        <v>144.78</v>
      </c>
      <c r="P645" s="7">
        <f t="shared" si="344"/>
        <v>1.0219863066704546</v>
      </c>
      <c r="Q645" s="6">
        <f t="shared" si="345"/>
        <v>19.354961832061065</v>
      </c>
      <c r="R645" s="35"/>
      <c r="S645" s="871"/>
      <c r="T645" s="465" t="s">
        <v>522</v>
      </c>
      <c r="U645" s="65">
        <f t="shared" si="348"/>
        <v>94.68940046818544</v>
      </c>
      <c r="V645" s="312">
        <f t="shared" si="340"/>
        <v>76545.876887420178</v>
      </c>
      <c r="W645" s="312"/>
      <c r="X645" s="5">
        <f t="shared" si="349"/>
        <v>281.30609756126915</v>
      </c>
      <c r="Y645" s="312"/>
      <c r="AA645" s="35"/>
      <c r="AB645" s="871"/>
      <c r="AC645" s="380" t="s">
        <v>524</v>
      </c>
      <c r="AD645" s="882"/>
      <c r="AE645" s="35"/>
      <c r="AK645" s="35"/>
      <c r="AM645" s="5">
        <f>CONVERT(24800,"lbm","kg")*9.81/10^3</f>
        <v>110.35358051256001</v>
      </c>
      <c r="AP645" s="554">
        <f t="shared" si="333"/>
        <v>1.1654269640205142</v>
      </c>
      <c r="AQ645" s="554">
        <f t="shared" si="334"/>
        <v>0.34281948099173432</v>
      </c>
      <c r="AR645" s="580">
        <f t="shared" si="324"/>
        <v>2393.5811708914071</v>
      </c>
      <c r="AS645" s="576">
        <f t="shared" si="335"/>
        <v>805.6944659519171</v>
      </c>
      <c r="AT645" s="274">
        <f t="shared" si="346"/>
        <v>0.13696703300819965</v>
      </c>
      <c r="AU645" s="30">
        <f t="shared" si="347"/>
        <v>1.1654269640205142</v>
      </c>
      <c r="AX645" s="882"/>
      <c r="AZ645" s="543">
        <v>1950</v>
      </c>
      <c r="BA645" s="293"/>
    </row>
    <row r="646" spans="2:53">
      <c r="B646" s="994"/>
      <c r="C646" s="908"/>
      <c r="D646" s="871"/>
      <c r="E646" s="899"/>
      <c r="F646" s="871"/>
      <c r="G646" s="871"/>
      <c r="H646" s="871"/>
      <c r="I646" s="905"/>
      <c r="J646" s="221"/>
      <c r="K646" s="35" t="s">
        <v>824</v>
      </c>
      <c r="L646" s="451">
        <v>19</v>
      </c>
      <c r="M646" s="6">
        <f>CONVERT(0.05,"in","mm")</f>
        <v>1.27</v>
      </c>
      <c r="N646" s="6">
        <f>CONVERT(2.572,"in","mm")/2-M646/2</f>
        <v>32.029400000000003</v>
      </c>
      <c r="O646" s="7">
        <f>CONVERT(3.63,"in","mm")</f>
        <v>92.202000000000012</v>
      </c>
      <c r="P646" s="7">
        <f t="shared" si="344"/>
        <v>0.57321691483915604</v>
      </c>
      <c r="Q646" s="6">
        <f t="shared" si="345"/>
        <v>25.220000000000002</v>
      </c>
      <c r="R646" s="35"/>
      <c r="S646" s="871"/>
      <c r="T646" s="465" t="s">
        <v>522</v>
      </c>
      <c r="U646" s="65">
        <f t="shared" si="348"/>
        <v>71.897127350632843</v>
      </c>
      <c r="V646" s="312">
        <f t="shared" si="340"/>
        <v>76545.876887420178</v>
      </c>
      <c r="W646" s="312"/>
      <c r="X646" s="5">
        <f t="shared" si="349"/>
        <v>281.30609756126915</v>
      </c>
      <c r="Y646" s="312"/>
      <c r="AA646" s="35"/>
      <c r="AB646" s="871"/>
      <c r="AC646" s="380" t="s">
        <v>524</v>
      </c>
      <c r="AD646" s="882"/>
      <c r="AE646" s="35"/>
      <c r="AK646" s="35"/>
      <c r="AM646" s="5">
        <f>CONVERT(18100,"lbm","kg")*9.81/10^3</f>
        <v>80.54031480957002</v>
      </c>
      <c r="AP646" s="554">
        <f t="shared" si="333"/>
        <v>1.1202160333442182</v>
      </c>
      <c r="AQ646" s="554">
        <f t="shared" si="334"/>
        <v>0.39132885715957288</v>
      </c>
      <c r="AR646" s="580">
        <f t="shared" si="324"/>
        <v>1836.9418003387482</v>
      </c>
      <c r="AS646" s="576">
        <f t="shared" si="335"/>
        <v>469.49155990438641</v>
      </c>
      <c r="AT646" s="274">
        <f t="shared" si="346"/>
        <v>0.17154795035287182</v>
      </c>
      <c r="AU646" s="30">
        <f t="shared" si="347"/>
        <v>1.1202160333442182</v>
      </c>
      <c r="AX646" s="882"/>
      <c r="AZ646" s="543">
        <v>1950</v>
      </c>
      <c r="BA646" s="293"/>
    </row>
    <row r="647" spans="2:53">
      <c r="B647" s="994"/>
      <c r="C647" s="908"/>
      <c r="D647" s="871"/>
      <c r="E647" s="899"/>
      <c r="F647" s="871"/>
      <c r="G647" s="871"/>
      <c r="H647" s="871"/>
      <c r="I647" s="905"/>
      <c r="J647" s="221"/>
      <c r="K647" s="35" t="s">
        <v>824</v>
      </c>
      <c r="L647" s="451">
        <v>20</v>
      </c>
      <c r="M647" s="6">
        <f>CONVERT(0.0415,"in","mm")</f>
        <v>1.0541</v>
      </c>
      <c r="N647" s="6">
        <f>CONVERT(2.554,"in","mm")/2-M647/2</f>
        <v>31.908750000000001</v>
      </c>
      <c r="O647" s="7">
        <f>CONVERT(2.09,"in","mm")</f>
        <v>53.085999999999991</v>
      </c>
      <c r="P647" s="7">
        <f t="shared" si="344"/>
        <v>0.30238219991206322</v>
      </c>
      <c r="Q647" s="6">
        <f t="shared" si="345"/>
        <v>30.271084337349397</v>
      </c>
      <c r="R647" s="35"/>
      <c r="S647" s="871"/>
      <c r="T647" s="465" t="s">
        <v>522</v>
      </c>
      <c r="U647" s="65">
        <f t="shared" si="348"/>
        <v>59.449830273126871</v>
      </c>
      <c r="V647" s="312">
        <f t="shared" si="340"/>
        <v>76545.876887420178</v>
      </c>
      <c r="W647" s="312"/>
      <c r="X647" s="5">
        <f t="shared" si="349"/>
        <v>281.30609756126915</v>
      </c>
      <c r="Y647" s="312"/>
      <c r="AA647" s="35"/>
      <c r="AB647" s="871"/>
      <c r="AC647" s="380" t="s">
        <v>524</v>
      </c>
      <c r="AD647" s="882"/>
      <c r="AE647" s="35"/>
      <c r="AK647" s="35"/>
      <c r="AM647" s="5">
        <f>CONVERT(15000,"lbm","kg")*9.81/10^3</f>
        <v>66.746117245500002</v>
      </c>
      <c r="AP647" s="554">
        <f t="shared" si="333"/>
        <v>1.1227301564840846</v>
      </c>
      <c r="AQ647" s="554">
        <f t="shared" si="334"/>
        <v>0.42872945561881576</v>
      </c>
      <c r="AR647" s="580">
        <f t="shared" si="324"/>
        <v>1530.4265842694874</v>
      </c>
      <c r="AS647" s="576">
        <f t="shared" si="335"/>
        <v>323.43273561813163</v>
      </c>
      <c r="AT647" s="274">
        <f t="shared" si="346"/>
        <v>0.20636784683510007</v>
      </c>
      <c r="AU647" s="30">
        <f t="shared" si="347"/>
        <v>1.1227301564840846</v>
      </c>
      <c r="AX647" s="882"/>
      <c r="AZ647" s="760">
        <v>1950</v>
      </c>
      <c r="BA647" s="293"/>
    </row>
    <row r="648" spans="2:53">
      <c r="B648" s="994"/>
      <c r="C648" s="908"/>
      <c r="D648" s="871"/>
      <c r="E648" s="899"/>
      <c r="F648" s="871"/>
      <c r="G648" s="871"/>
      <c r="H648" s="871"/>
      <c r="I648" s="905"/>
      <c r="J648" s="221"/>
      <c r="K648" s="35" t="s">
        <v>824</v>
      </c>
      <c r="L648" s="451">
        <v>24</v>
      </c>
      <c r="M648" s="6">
        <f>CONVERT(0.0255,"in","mm")</f>
        <v>0.64769999999999994</v>
      </c>
      <c r="N648" s="6">
        <f>CONVERT(2.524,"in","mm")/2-M648/2</f>
        <v>31.73095</v>
      </c>
      <c r="O648" s="7">
        <f>CONVERT(3.05,"in","mm")</f>
        <v>77.47</v>
      </c>
      <c r="P648" s="7">
        <f t="shared" si="344"/>
        <v>0.34881559425290337</v>
      </c>
      <c r="Q648" s="6">
        <f t="shared" si="345"/>
        <v>48.990196078431374</v>
      </c>
      <c r="R648" s="35"/>
      <c r="S648" s="871"/>
      <c r="T648" s="465" t="s">
        <v>522</v>
      </c>
      <c r="U648" s="65">
        <f t="shared" si="348"/>
        <v>36.32586680001333</v>
      </c>
      <c r="V648" s="312">
        <f t="shared" si="340"/>
        <v>76545.876887420178</v>
      </c>
      <c r="W648" s="312"/>
      <c r="X648" s="5">
        <f t="shared" si="349"/>
        <v>281.30609756126915</v>
      </c>
      <c r="Y648" s="312"/>
      <c r="AA648" s="35"/>
      <c r="AB648" s="871"/>
      <c r="AC648" s="380" t="s">
        <v>524</v>
      </c>
      <c r="AD648" s="882"/>
      <c r="AE648" s="35"/>
      <c r="AK648" s="35"/>
      <c r="AM648" s="5">
        <f>CONVERT(7900,"lbm","kg")*9.81/10^3</f>
        <v>35.152955082630001</v>
      </c>
      <c r="AP648" s="554">
        <f t="shared" si="333"/>
        <v>0.96771139078826063</v>
      </c>
      <c r="AQ648" s="554">
        <f t="shared" si="334"/>
        <v>0.54541103723030948</v>
      </c>
      <c r="AR648" s="580">
        <f t="shared" si="324"/>
        <v>945.65190411515073</v>
      </c>
      <c r="AS648" s="576">
        <f t="shared" si="335"/>
        <v>122.11475473113083</v>
      </c>
      <c r="AT648" s="274">
        <f t="shared" si="346"/>
        <v>0.2878682036419668</v>
      </c>
      <c r="AU648" s="30">
        <f t="shared" si="347"/>
        <v>0.96771139078826063</v>
      </c>
      <c r="AX648" s="882"/>
      <c r="AZ648" s="543">
        <v>1950</v>
      </c>
      <c r="BA648" s="293"/>
    </row>
    <row r="649" spans="2:53">
      <c r="B649" s="994"/>
      <c r="C649" s="908"/>
      <c r="D649" s="871"/>
      <c r="E649" s="899"/>
      <c r="F649" s="871"/>
      <c r="G649" s="871"/>
      <c r="H649" s="871"/>
      <c r="I649" s="905"/>
      <c r="J649" s="221"/>
      <c r="K649" s="35" t="s">
        <v>824</v>
      </c>
      <c r="L649" s="451">
        <v>29</v>
      </c>
      <c r="M649" s="6">
        <f>CONVERT(0.043,"in","mm")</f>
        <v>1.0922000000000001</v>
      </c>
      <c r="N649" s="6">
        <f>CONVERT(2.56,"in","mm")/2-M649/2</f>
        <v>31.965900000000001</v>
      </c>
      <c r="O649" s="7">
        <f>CONVERT(2.88,"in","mm")</f>
        <v>73.152000000000001</v>
      </c>
      <c r="P649" s="7">
        <f t="shared" si="344"/>
        <v>0.42300634887561583</v>
      </c>
      <c r="Q649" s="6">
        <f t="shared" si="345"/>
        <v>29.267441860465116</v>
      </c>
      <c r="R649" s="35"/>
      <c r="S649" s="871"/>
      <c r="T649" s="465" t="s">
        <v>522</v>
      </c>
      <c r="U649" s="65">
        <f t="shared" si="348"/>
        <v>61.708945204491215</v>
      </c>
      <c r="V649" s="312">
        <f t="shared" si="340"/>
        <v>76545.876887420178</v>
      </c>
      <c r="W649" s="312"/>
      <c r="X649" s="5">
        <f t="shared" si="349"/>
        <v>281.30609756126915</v>
      </c>
      <c r="Y649" s="312"/>
      <c r="AA649" s="35"/>
      <c r="AB649" s="871"/>
      <c r="AC649" s="380" t="s">
        <v>524</v>
      </c>
      <c r="AD649" s="882"/>
      <c r="AE649" s="35"/>
      <c r="AK649" s="35"/>
      <c r="AM649" s="5">
        <f>CONVERT(15500,"lbm","kg")*9.81/10^3</f>
        <v>68.970987820350004</v>
      </c>
      <c r="AP649" s="554">
        <f t="shared" si="333"/>
        <v>1.1176821705798701</v>
      </c>
      <c r="AQ649" s="554">
        <f t="shared" si="334"/>
        <v>0.42156225176784912</v>
      </c>
      <c r="AR649" s="580">
        <f t="shared" si="324"/>
        <v>1582.9081484269834</v>
      </c>
      <c r="AS649" s="576">
        <f t="shared" si="335"/>
        <v>347.23595770528414</v>
      </c>
      <c r="AT649" s="274">
        <f t="shared" si="346"/>
        <v>0.19862858753496088</v>
      </c>
      <c r="AU649" s="30">
        <f t="shared" si="347"/>
        <v>1.1176821705798701</v>
      </c>
      <c r="AX649" s="882"/>
      <c r="AZ649" s="543">
        <v>1950</v>
      </c>
      <c r="BA649" s="293"/>
    </row>
    <row r="650" spans="2:53">
      <c r="B650" s="994"/>
      <c r="C650" s="908"/>
      <c r="D650" s="871"/>
      <c r="E650" s="899"/>
      <c r="F650" s="871"/>
      <c r="G650" s="871"/>
      <c r="H650" s="871"/>
      <c r="I650" s="905"/>
      <c r="J650" s="221"/>
      <c r="K650" s="35" t="s">
        <v>824</v>
      </c>
      <c r="L650" s="451">
        <v>31</v>
      </c>
      <c r="M650" s="6">
        <f>CONVERT(0.0315,"in","mm")</f>
        <v>0.80010000000000003</v>
      </c>
      <c r="N650" s="6">
        <f>CONVERT(2.537,"in","mm")/2-M650/2</f>
        <v>31.819850000000002</v>
      </c>
      <c r="O650" s="7">
        <f>CONVERT(2.73,"in","mm")</f>
        <v>69.341999999999999</v>
      </c>
      <c r="P650" s="7">
        <f t="shared" si="344"/>
        <v>0.34555828251111398</v>
      </c>
      <c r="Q650" s="6">
        <f t="shared" si="345"/>
        <v>39.769841269841272</v>
      </c>
      <c r="R650" s="35"/>
      <c r="S650" s="871"/>
      <c r="T650" s="465" t="s">
        <v>522</v>
      </c>
      <c r="U650" s="65">
        <f t="shared" si="348"/>
        <v>44.998849771418186</v>
      </c>
      <c r="V650" s="312">
        <f t="shared" si="340"/>
        <v>76545.876887420178</v>
      </c>
      <c r="W650" s="312"/>
      <c r="X650" s="5">
        <f t="shared" si="349"/>
        <v>281.30609756126915</v>
      </c>
      <c r="Y650" s="312"/>
      <c r="AA650" s="35"/>
      <c r="AB650" s="871"/>
      <c r="AC650" s="387" t="s">
        <v>524</v>
      </c>
      <c r="AD650" s="882"/>
      <c r="AE650" s="35"/>
      <c r="AK650" s="35"/>
      <c r="AM650" s="5">
        <f>CONVERT(9750,"lbm","kg")*9.81/10^3</f>
        <v>43.384976209575001</v>
      </c>
      <c r="AP650" s="554">
        <f t="shared" si="333"/>
        <v>0.96413522634375726</v>
      </c>
      <c r="AQ650" s="554">
        <f t="shared" si="334"/>
        <v>0.49141257117512094</v>
      </c>
      <c r="AR650" s="580">
        <f t="shared" si="324"/>
        <v>1164.8945714971953</v>
      </c>
      <c r="AS650" s="576">
        <f t="shared" si="335"/>
        <v>186.34120012605092</v>
      </c>
      <c r="AT650" s="274">
        <f t="shared" si="346"/>
        <v>0.23282546307648086</v>
      </c>
      <c r="AU650" s="30">
        <f t="shared" si="347"/>
        <v>0.96413522634375726</v>
      </c>
      <c r="AX650" s="882"/>
      <c r="AZ650" s="760">
        <v>1950</v>
      </c>
      <c r="BA650" s="293"/>
    </row>
    <row r="651" spans="2:53">
      <c r="B651" s="994"/>
      <c r="C651" s="908"/>
      <c r="D651" s="871"/>
      <c r="E651" s="899"/>
      <c r="F651" s="871"/>
      <c r="G651" s="871"/>
      <c r="H651" s="871"/>
      <c r="I651" s="905"/>
      <c r="J651" s="221"/>
      <c r="K651" s="35" t="s">
        <v>828</v>
      </c>
      <c r="L651" s="451">
        <v>1</v>
      </c>
      <c r="M651" s="6">
        <f>CONVERT(0.1719,"in","mm")</f>
        <v>4.3662600000000005</v>
      </c>
      <c r="N651" s="6">
        <f>CONVERT(1.719,"in","mm")/2-M651/2</f>
        <v>19.64817</v>
      </c>
      <c r="O651" s="7">
        <f>CONVERT(6,"in","mm")</f>
        <v>152.4</v>
      </c>
      <c r="P651" s="7">
        <f t="shared" si="344"/>
        <v>3.6564244389453688</v>
      </c>
      <c r="Q651" s="6">
        <f t="shared" si="345"/>
        <v>4.5</v>
      </c>
      <c r="R651" s="35"/>
      <c r="S651" s="871" t="s">
        <v>831</v>
      </c>
      <c r="T651" s="465" t="s">
        <v>522</v>
      </c>
      <c r="U651" s="65">
        <f t="shared" ref="U651:U656" si="350">2*PI()*N651*M651*X651/1000</f>
        <v>282.82331502868249</v>
      </c>
      <c r="V651" s="312">
        <f t="shared" ref="V651:V656" si="351">X651/(52.5*0.00015)</f>
        <v>66627.432382236497</v>
      </c>
      <c r="W651" s="312"/>
      <c r="X651" s="5">
        <f>CONVERT(76100,"psi","Pa")/10^6</f>
        <v>524.6910300101124</v>
      </c>
      <c r="Y651" s="312"/>
      <c r="AA651" s="35"/>
      <c r="AB651" s="871" t="s">
        <v>832</v>
      </c>
      <c r="AC651" s="387" t="s">
        <v>524</v>
      </c>
      <c r="AD651" s="882"/>
      <c r="AE651" s="35"/>
      <c r="AK651" s="35"/>
      <c r="AM651" s="5">
        <f>CONVERT(83000,"lbm","kg")*9.81/10^3</f>
        <v>369.32851542510002</v>
      </c>
      <c r="AP651" s="554">
        <f t="shared" si="333"/>
        <v>1.305863045228943</v>
      </c>
      <c r="AQ651" s="554">
        <f t="shared" si="334"/>
        <v>0.241975947938706</v>
      </c>
      <c r="AR651" s="580">
        <f t="shared" si="324"/>
        <v>8961.0570019463266</v>
      </c>
      <c r="AS651" s="576">
        <f t="shared" si="335"/>
        <v>4830.2633406990044</v>
      </c>
      <c r="AT651" s="274">
        <f t="shared" si="346"/>
        <v>7.6461362326397136E-2</v>
      </c>
      <c r="AU651" s="30">
        <f t="shared" si="347"/>
        <v>1.305863045228943</v>
      </c>
      <c r="AX651" s="882"/>
      <c r="AZ651" s="543">
        <v>1950</v>
      </c>
      <c r="BA651" s="293"/>
    </row>
    <row r="652" spans="2:53">
      <c r="B652" s="994"/>
      <c r="C652" s="908"/>
      <c r="D652" s="871"/>
      <c r="E652" s="899"/>
      <c r="F652" s="871"/>
      <c r="G652" s="871"/>
      <c r="H652" s="871"/>
      <c r="I652" s="905"/>
      <c r="J652" s="221"/>
      <c r="K652" s="35" t="s">
        <v>828</v>
      </c>
      <c r="L652" s="451">
        <v>2</v>
      </c>
      <c r="M652" s="6">
        <f>CONVERT(0.0515,"in","mm")</f>
        <v>1.3081</v>
      </c>
      <c r="N652" s="6">
        <f>CONVERT(1.478,"in","mm")/2-M652/2</f>
        <v>18.116549999999997</v>
      </c>
      <c r="O652" s="7">
        <f t="shared" ref="O652:O656" si="352">CONVERT(6,"in","mm")</f>
        <v>152.4</v>
      </c>
      <c r="P652" s="7">
        <f t="shared" si="344"/>
        <v>2.2604358912124183</v>
      </c>
      <c r="Q652" s="6">
        <f t="shared" si="345"/>
        <v>13.849514563106792</v>
      </c>
      <c r="R652" s="35"/>
      <c r="S652" s="871"/>
      <c r="T652" s="465" t="s">
        <v>522</v>
      </c>
      <c r="U652" s="65">
        <f t="shared" si="350"/>
        <v>78.126784575172977</v>
      </c>
      <c r="V652" s="312">
        <f t="shared" si="351"/>
        <v>66627.432382236497</v>
      </c>
      <c r="W652" s="312"/>
      <c r="X652" s="5">
        <f t="shared" ref="X652:X656" si="353">CONVERT(76100,"psi","Pa")/10^6</f>
        <v>524.6910300101124</v>
      </c>
      <c r="Y652" s="312"/>
      <c r="AA652" s="35"/>
      <c r="AB652" s="871"/>
      <c r="AC652" s="387" t="s">
        <v>524</v>
      </c>
      <c r="AD652" s="882"/>
      <c r="AE652" s="35"/>
      <c r="AK652" s="35"/>
      <c r="AM652" s="5">
        <f>CONVERT(19000,"lbm","kg")*9.81/10^3</f>
        <v>84.545081844300029</v>
      </c>
      <c r="AP652" s="554">
        <f t="shared" si="333"/>
        <v>1.082152328475152</v>
      </c>
      <c r="AQ652" s="554">
        <f t="shared" si="334"/>
        <v>0.4245053995073802</v>
      </c>
      <c r="AR652" s="580">
        <f t="shared" si="324"/>
        <v>2911.6368176671035</v>
      </c>
      <c r="AS652" s="576">
        <f t="shared" si="335"/>
        <v>433.54433257728044</v>
      </c>
      <c r="AT652" s="274">
        <f t="shared" si="346"/>
        <v>0.1950090809438263</v>
      </c>
      <c r="AU652" s="30">
        <f t="shared" si="347"/>
        <v>1.082152328475152</v>
      </c>
      <c r="AX652" s="882"/>
      <c r="AZ652" s="543">
        <v>1950</v>
      </c>
      <c r="BA652" s="293"/>
    </row>
    <row r="653" spans="2:53">
      <c r="B653" s="994"/>
      <c r="C653" s="908"/>
      <c r="D653" s="871"/>
      <c r="E653" s="899"/>
      <c r="F653" s="871"/>
      <c r="G653" s="871"/>
      <c r="H653" s="871"/>
      <c r="I653" s="905"/>
      <c r="J653" s="221"/>
      <c r="K653" s="35" t="s">
        <v>828</v>
      </c>
      <c r="L653" s="451">
        <v>3</v>
      </c>
      <c r="M653" s="6">
        <f>CONVERT(0.0288,"in","mm")</f>
        <v>0.73152000000000006</v>
      </c>
      <c r="N653" s="6">
        <f>CONVERT(1.433,"in","mm")/2-M653/2</f>
        <v>17.833339999999996</v>
      </c>
      <c r="O653" s="7">
        <f t="shared" si="352"/>
        <v>152.4</v>
      </c>
      <c r="P653" s="7">
        <f t="shared" si="344"/>
        <v>1.730808561211775</v>
      </c>
      <c r="Q653" s="6">
        <f t="shared" si="345"/>
        <v>24.378472222222214</v>
      </c>
      <c r="R653" s="35"/>
      <c r="S653" s="871"/>
      <c r="T653" s="465" t="s">
        <v>522</v>
      </c>
      <c r="U653" s="65">
        <f t="shared" si="350"/>
        <v>43.00732215019022</v>
      </c>
      <c r="V653" s="312">
        <f t="shared" si="351"/>
        <v>66627.432382236497</v>
      </c>
      <c r="W653" s="312"/>
      <c r="X653" s="5">
        <f t="shared" si="353"/>
        <v>524.6910300101124</v>
      </c>
      <c r="Y653" s="312"/>
      <c r="AA653" s="35"/>
      <c r="AB653" s="871"/>
      <c r="AC653" s="387" t="s">
        <v>524</v>
      </c>
      <c r="AD653" s="882"/>
      <c r="AE653" s="35"/>
      <c r="AK653" s="35"/>
      <c r="AM653" s="5">
        <f>CONVERT(10050,"lbm","kg")*9.81/10^3</f>
        <v>44.719898554485006</v>
      </c>
      <c r="AP653" s="554">
        <f t="shared" si="333"/>
        <v>1.039820577489436</v>
      </c>
      <c r="AQ653" s="554">
        <f t="shared" si="334"/>
        <v>0.56320848058467998</v>
      </c>
      <c r="AR653" s="580">
        <f t="shared" si="324"/>
        <v>1654.1133562914742</v>
      </c>
      <c r="AS653" s="576">
        <f t="shared" si="335"/>
        <v>135.58262275912884</v>
      </c>
      <c r="AT653" s="274">
        <f t="shared" si="346"/>
        <v>0.32983503080577481</v>
      </c>
      <c r="AU653" s="30">
        <f t="shared" si="347"/>
        <v>1.039820577489436</v>
      </c>
      <c r="AX653" s="882"/>
      <c r="AZ653" s="760">
        <v>1950</v>
      </c>
      <c r="BA653" s="293"/>
    </row>
    <row r="654" spans="2:53">
      <c r="B654" s="994"/>
      <c r="C654" s="908"/>
      <c r="D654" s="871"/>
      <c r="E654" s="899"/>
      <c r="F654" s="871"/>
      <c r="G654" s="871"/>
      <c r="H654" s="871"/>
      <c r="I654" s="905"/>
      <c r="J654" s="221"/>
      <c r="K654" s="35" t="s">
        <v>828</v>
      </c>
      <c r="L654" s="451">
        <v>4</v>
      </c>
      <c r="M654" s="6">
        <f>CONVERT(0.0176,"in","mm")</f>
        <v>0.44703999999999999</v>
      </c>
      <c r="N654" s="6">
        <f>CONVERT(1.41,"in","mm")/2-M654/2</f>
        <v>17.683479999999999</v>
      </c>
      <c r="O654" s="7">
        <f t="shared" si="352"/>
        <v>152.4</v>
      </c>
      <c r="P654" s="7">
        <f t="shared" si="344"/>
        <v>1.3702712818224152</v>
      </c>
      <c r="Q654" s="6">
        <f t="shared" si="345"/>
        <v>39.55681818181818</v>
      </c>
      <c r="R654" s="35"/>
      <c r="S654" s="871"/>
      <c r="T654" s="465" t="s">
        <v>522</v>
      </c>
      <c r="U654" s="65">
        <f t="shared" si="350"/>
        <v>26.061393161039643</v>
      </c>
      <c r="V654" s="312">
        <f t="shared" si="351"/>
        <v>66627.432382236497</v>
      </c>
      <c r="W654" s="312"/>
      <c r="X654" s="5">
        <f t="shared" si="353"/>
        <v>524.6910300101124</v>
      </c>
      <c r="Y654" s="312"/>
      <c r="AA654" s="35"/>
      <c r="AB654" s="871"/>
      <c r="AC654" s="387" t="s">
        <v>524</v>
      </c>
      <c r="AD654" s="882"/>
      <c r="AE654" s="35"/>
      <c r="AK654" s="35"/>
      <c r="AM654" s="5">
        <f>CONVERT(5500,"lbm","kg")*9.81/10^3</f>
        <v>24.473576323350002</v>
      </c>
      <c r="AP654" s="554">
        <f t="shared" si="333"/>
        <v>0.93907398472989767</v>
      </c>
      <c r="AQ654" s="554">
        <f t="shared" si="334"/>
        <v>0.71742518528170218</v>
      </c>
      <c r="AR654" s="580">
        <f t="shared" si="324"/>
        <v>1019.413551499783</v>
      </c>
      <c r="AS654" s="576">
        <f t="shared" si="335"/>
        <v>50.634251092143778</v>
      </c>
      <c r="AT654" s="274">
        <f t="shared" si="346"/>
        <v>0.48334034365025358</v>
      </c>
      <c r="AU654" s="30">
        <f t="shared" si="347"/>
        <v>0.93907398472989767</v>
      </c>
      <c r="AX654" s="882"/>
      <c r="AZ654" s="543">
        <v>1950</v>
      </c>
      <c r="BA654" s="293"/>
    </row>
    <row r="655" spans="2:53">
      <c r="B655" s="994"/>
      <c r="C655" s="908"/>
      <c r="D655" s="871"/>
      <c r="E655" s="899"/>
      <c r="F655" s="871"/>
      <c r="G655" s="871"/>
      <c r="H655" s="871"/>
      <c r="I655" s="905"/>
      <c r="J655" s="221"/>
      <c r="K655" s="35" t="s">
        <v>828</v>
      </c>
      <c r="L655" s="451">
        <v>5</v>
      </c>
      <c r="M655" s="6">
        <f>CONVERT(0.0121,"in","mm")</f>
        <v>0.30734</v>
      </c>
      <c r="N655" s="6">
        <f>CONVERT(1.401,"in","mm")/2-M655/2</f>
        <v>17.639029999999998</v>
      </c>
      <c r="O655" s="7">
        <f t="shared" si="352"/>
        <v>152.4</v>
      </c>
      <c r="P655" s="7">
        <f t="shared" si="344"/>
        <v>1.1404663143768565</v>
      </c>
      <c r="Q655" s="6">
        <f t="shared" si="345"/>
        <v>57.392561983471069</v>
      </c>
      <c r="R655" s="35"/>
      <c r="S655" s="871"/>
      <c r="T655" s="465" t="s">
        <v>522</v>
      </c>
      <c r="U655" s="65">
        <f t="shared" si="350"/>
        <v>17.872170289385572</v>
      </c>
      <c r="V655" s="312">
        <f t="shared" si="351"/>
        <v>66627.432382236497</v>
      </c>
      <c r="W655" s="312"/>
      <c r="X655" s="5">
        <f t="shared" si="353"/>
        <v>524.6910300101124</v>
      </c>
      <c r="Y655" s="312"/>
      <c r="AA655" s="35"/>
      <c r="AB655" s="871"/>
      <c r="AC655" s="387" t="s">
        <v>524</v>
      </c>
      <c r="AD655" s="882"/>
      <c r="AE655" s="35"/>
      <c r="AK655" s="35"/>
      <c r="AM655" s="5">
        <f>CONVERT(3350,"lbm","kg")*9.81/10^3</f>
        <v>14.906632851495003</v>
      </c>
      <c r="AP655" s="554">
        <f t="shared" si="333"/>
        <v>0.83406953996785571</v>
      </c>
      <c r="AQ655" s="554">
        <f t="shared" si="334"/>
        <v>0.86415918222963573</v>
      </c>
      <c r="AR655" s="580">
        <f t="shared" si="324"/>
        <v>702.6129365051155</v>
      </c>
      <c r="AS655" s="576">
        <f t="shared" si="335"/>
        <v>23.932595242771086</v>
      </c>
      <c r="AT655" s="274">
        <f t="shared" si="346"/>
        <v>0.62285902135906457</v>
      </c>
      <c r="AU655" s="30">
        <f t="shared" si="347"/>
        <v>0.83406953996785571</v>
      </c>
      <c r="AX655" s="882"/>
      <c r="AZ655" s="543">
        <v>1950</v>
      </c>
      <c r="BA655" s="293"/>
    </row>
    <row r="656" spans="2:53" ht="16.5" thickBot="1">
      <c r="B656" s="1002"/>
      <c r="C656" s="909"/>
      <c r="D656" s="872"/>
      <c r="E656" s="900"/>
      <c r="F656" s="872"/>
      <c r="G656" s="872"/>
      <c r="H656" s="872"/>
      <c r="I656" s="906"/>
      <c r="J656" s="223"/>
      <c r="K656" s="36" t="s">
        <v>828</v>
      </c>
      <c r="L656" s="453">
        <v>6</v>
      </c>
      <c r="M656" s="16">
        <f>CONVERT(0.0093,"in","mm")</f>
        <v>0.23622000000000001</v>
      </c>
      <c r="N656" s="16">
        <f>CONVERT(1.394,"in","mm")/2-M656/2</f>
        <v>17.585689999999996</v>
      </c>
      <c r="O656" s="17">
        <f t="shared" si="352"/>
        <v>152.4</v>
      </c>
      <c r="P656" s="17">
        <f t="shared" si="344"/>
        <v>1.0043941622808696</v>
      </c>
      <c r="Q656" s="16">
        <f t="shared" si="345"/>
        <v>74.446236559139763</v>
      </c>
      <c r="R656" s="36"/>
      <c r="S656" s="872"/>
      <c r="T656" s="466" t="s">
        <v>522</v>
      </c>
      <c r="U656" s="89">
        <f t="shared" si="350"/>
        <v>13.694922734938194</v>
      </c>
      <c r="V656" s="313">
        <f t="shared" si="351"/>
        <v>66627.432382236497</v>
      </c>
      <c r="W656" s="313"/>
      <c r="X656" s="18">
        <f t="shared" si="353"/>
        <v>524.6910300101124</v>
      </c>
      <c r="Y656" s="313"/>
      <c r="Z656" s="31"/>
      <c r="AA656" s="35"/>
      <c r="AB656" s="871"/>
      <c r="AC656" s="387" t="s">
        <v>524</v>
      </c>
      <c r="AD656" s="882"/>
      <c r="AE656" s="36"/>
      <c r="AF656" s="18"/>
      <c r="AG656" s="18"/>
      <c r="AH656" s="18"/>
      <c r="AI656" s="18"/>
      <c r="AJ656" s="31"/>
      <c r="AK656" s="36"/>
      <c r="AL656" s="18"/>
      <c r="AM656" s="18">
        <f>CONVERT(2365,"lbm","kg")*9.81/10^3</f>
        <v>10.523637819040502</v>
      </c>
      <c r="AN656" s="556"/>
      <c r="AO656" s="556"/>
      <c r="AP656" s="556">
        <f t="shared" si="333"/>
        <v>0.76843352990906788</v>
      </c>
      <c r="AQ656" s="556">
        <f t="shared" si="334"/>
        <v>0.9842089657928268</v>
      </c>
      <c r="AR656" s="587">
        <f t="shared" si="324"/>
        <v>541.66279415245731</v>
      </c>
      <c r="AS656" s="577">
        <f t="shared" si="335"/>
        <v>14.137901526857943</v>
      </c>
      <c r="AT656" s="275">
        <f t="shared" si="346"/>
        <v>0.74435642369191912</v>
      </c>
      <c r="AU656" s="31">
        <f t="shared" si="347"/>
        <v>0.76843352990906788</v>
      </c>
      <c r="AV656" s="91"/>
      <c r="AW656" s="18"/>
      <c r="AX656" s="883"/>
      <c r="AY656" s="286"/>
      <c r="AZ656" s="760">
        <v>1950</v>
      </c>
      <c r="BA656" s="295"/>
    </row>
    <row r="657" spans="1:53" ht="39" customHeight="1">
      <c r="B657" s="990">
        <v>41</v>
      </c>
      <c r="C657" s="907" t="s">
        <v>833</v>
      </c>
      <c r="D657" s="870" t="s">
        <v>834</v>
      </c>
      <c r="E657" s="901">
        <v>1952</v>
      </c>
      <c r="F657" s="870"/>
      <c r="G657" s="870" t="s">
        <v>177</v>
      </c>
      <c r="H657" s="870"/>
      <c r="I657" s="904" t="s">
        <v>835</v>
      </c>
      <c r="J657" s="222"/>
      <c r="K657" s="34"/>
      <c r="L657" s="132">
        <v>1</v>
      </c>
      <c r="M657" s="14">
        <v>4.3662599999999996</v>
      </c>
      <c r="N657" s="14">
        <v>19.64817</v>
      </c>
      <c r="O657" s="15">
        <v>152.39999999999998</v>
      </c>
      <c r="P657" s="15">
        <f t="shared" ref="P657:P662" si="354">O657/N657*SQRT(M657/N657)</f>
        <v>3.6564244389453679</v>
      </c>
      <c r="Q657" s="14">
        <f t="shared" ref="Q657:Q662" si="355">N657/M657</f>
        <v>4.5000000000000009</v>
      </c>
      <c r="R657" s="34"/>
      <c r="S657" s="870" t="s">
        <v>836</v>
      </c>
      <c r="T657" s="464" t="s">
        <v>522</v>
      </c>
      <c r="U657" s="15"/>
      <c r="V657" s="314">
        <v>72236.372022559997</v>
      </c>
      <c r="W657" s="314"/>
      <c r="X657" s="15">
        <v>565.37009696000007</v>
      </c>
      <c r="Y657" s="314"/>
      <c r="Z657" s="29"/>
      <c r="AA657" s="34"/>
      <c r="AB657" s="870" t="s">
        <v>1047</v>
      </c>
      <c r="AC657" s="386" t="s">
        <v>524</v>
      </c>
      <c r="AD657" s="29"/>
      <c r="AE657" s="34"/>
      <c r="AF657" s="15"/>
      <c r="AG657" s="15"/>
      <c r="AH657" s="15"/>
      <c r="AI657" s="15"/>
      <c r="AJ657" s="29"/>
      <c r="AK657" s="34"/>
      <c r="AL657" s="870" t="s">
        <v>837</v>
      </c>
      <c r="AM657" s="15"/>
      <c r="AN657" s="20">
        <v>684.64939790400001</v>
      </c>
      <c r="AO657" s="20">
        <f t="shared" ref="AO657:AO662" si="356">AN657/X657</f>
        <v>1.2109756097560975</v>
      </c>
      <c r="AP657" s="20"/>
      <c r="AQ657" s="20">
        <f t="shared" ref="AQ657:AQ662" si="357">SQRT(X657/AR657)</f>
        <v>0.24123225295325118</v>
      </c>
      <c r="AR657" s="20">
        <f t="shared" ref="AR657:AR673" si="358">V657*M657/N657/SQRT(3*(1-0.3^2))</f>
        <v>9715.4313795910439</v>
      </c>
      <c r="AS657" s="547"/>
      <c r="AT657" s="681">
        <f t="shared" ref="AT657:AT664" si="359">AN657/AR657</f>
        <v>7.0470303494935424E-2</v>
      </c>
      <c r="AU657" s="29">
        <f t="shared" ref="AU657:AU662" si="360">MAX(AO657:AP657)</f>
        <v>1.2109756097560975</v>
      </c>
      <c r="AV657" s="128"/>
      <c r="AW657" s="15"/>
      <c r="AX657" s="881" t="s">
        <v>838</v>
      </c>
      <c r="AY657" s="911" t="s">
        <v>839</v>
      </c>
      <c r="AZ657" s="759">
        <v>1952</v>
      </c>
      <c r="BA657" s="292"/>
    </row>
    <row r="658" spans="1:53">
      <c r="B658" s="991"/>
      <c r="C658" s="908"/>
      <c r="D658" s="871"/>
      <c r="E658" s="902"/>
      <c r="F658" s="871"/>
      <c r="G658" s="871"/>
      <c r="H658" s="871"/>
      <c r="I658" s="882"/>
      <c r="J658" s="221"/>
      <c r="K658" s="35"/>
      <c r="L658" s="133">
        <v>2</v>
      </c>
      <c r="M658" s="6">
        <v>1.3080999999999998</v>
      </c>
      <c r="N658" s="6">
        <v>18.116549999999997</v>
      </c>
      <c r="O658" s="5">
        <v>114.3</v>
      </c>
      <c r="P658" s="5">
        <f t="shared" si="354"/>
        <v>1.6953269184093129</v>
      </c>
      <c r="Q658" s="6">
        <f t="shared" si="355"/>
        <v>13.849514563106796</v>
      </c>
      <c r="R658" s="35"/>
      <c r="S658" s="871"/>
      <c r="T658" s="465" t="s">
        <v>522</v>
      </c>
      <c r="U658" s="5"/>
      <c r="V658" s="315">
        <v>72236.372022559997</v>
      </c>
      <c r="W658" s="315"/>
      <c r="X658" s="5">
        <v>565.37009696000007</v>
      </c>
      <c r="Y658" s="315"/>
      <c r="AA658" s="35"/>
      <c r="AB658" s="871"/>
      <c r="AC658" s="387" t="s">
        <v>524</v>
      </c>
      <c r="AE658" s="35"/>
      <c r="AK658" s="35"/>
      <c r="AL658" s="871"/>
      <c r="AN658" s="554">
        <v>577.78066006400002</v>
      </c>
      <c r="AO658" s="554">
        <f t="shared" si="356"/>
        <v>1.0219512195121949</v>
      </c>
      <c r="AQ658" s="554">
        <f t="shared" si="357"/>
        <v>0.42320071389874231</v>
      </c>
      <c r="AR658" s="554">
        <f t="shared" si="358"/>
        <v>3156.7489971541881</v>
      </c>
      <c r="AT658" s="274">
        <f t="shared" si="359"/>
        <v>0.1830302822887945</v>
      </c>
      <c r="AU658" s="30">
        <f t="shared" si="360"/>
        <v>1.0219512195121949</v>
      </c>
      <c r="AX658" s="882"/>
      <c r="AY658" s="912"/>
      <c r="AZ658" s="760">
        <v>1952</v>
      </c>
      <c r="BA658" s="293"/>
    </row>
    <row r="659" spans="1:53">
      <c r="B659" s="991"/>
      <c r="C659" s="908"/>
      <c r="D659" s="871"/>
      <c r="E659" s="902"/>
      <c r="F659" s="871"/>
      <c r="G659" s="871"/>
      <c r="H659" s="871"/>
      <c r="I659" s="882"/>
      <c r="J659" s="221"/>
      <c r="K659" s="35"/>
      <c r="L659" s="133">
        <v>3</v>
      </c>
      <c r="M659" s="6">
        <v>0.73151999999999995</v>
      </c>
      <c r="N659" s="6">
        <v>17.83334</v>
      </c>
      <c r="O659" s="5">
        <v>114.3</v>
      </c>
      <c r="P659" s="5">
        <f t="shared" si="354"/>
        <v>1.2981064209088307</v>
      </c>
      <c r="Q659" s="6">
        <f t="shared" si="355"/>
        <v>24.378472222222225</v>
      </c>
      <c r="R659" s="35"/>
      <c r="S659" s="871"/>
      <c r="T659" s="465" t="s">
        <v>522</v>
      </c>
      <c r="U659" s="5"/>
      <c r="V659" s="315">
        <v>72236.372022559997</v>
      </c>
      <c r="W659" s="315"/>
      <c r="X659" s="5">
        <v>565.37009696000007</v>
      </c>
      <c r="Y659" s="315"/>
      <c r="AA659" s="35"/>
      <c r="AB659" s="871"/>
      <c r="AC659" s="387" t="s">
        <v>524</v>
      </c>
      <c r="AE659" s="35"/>
      <c r="AK659" s="35"/>
      <c r="AL659" s="871"/>
      <c r="AN659" s="554">
        <v>553.64900958400005</v>
      </c>
      <c r="AO659" s="554">
        <f t="shared" si="356"/>
        <v>0.97926829268292681</v>
      </c>
      <c r="AQ659" s="554">
        <f t="shared" si="357"/>
        <v>0.56147750142603015</v>
      </c>
      <c r="AR659" s="554">
        <f t="shared" si="358"/>
        <v>1793.3626360846022</v>
      </c>
      <c r="AT659" s="274">
        <f t="shared" si="359"/>
        <v>0.30872116907306951</v>
      </c>
      <c r="AU659" s="30">
        <f t="shared" si="360"/>
        <v>0.97926829268292681</v>
      </c>
      <c r="AX659" s="882"/>
      <c r="AY659" s="912"/>
      <c r="AZ659" s="760">
        <v>1952</v>
      </c>
      <c r="BA659" s="293"/>
    </row>
    <row r="660" spans="1:53">
      <c r="B660" s="991"/>
      <c r="C660" s="908"/>
      <c r="D660" s="871"/>
      <c r="E660" s="902"/>
      <c r="F660" s="871"/>
      <c r="G660" s="871"/>
      <c r="H660" s="871"/>
      <c r="I660" s="882"/>
      <c r="J660" s="221"/>
      <c r="K660" s="35"/>
      <c r="L660" s="133">
        <v>4</v>
      </c>
      <c r="M660" s="6">
        <v>0.44703999999999999</v>
      </c>
      <c r="N660" s="6">
        <v>17.683479999999996</v>
      </c>
      <c r="O660" s="5">
        <v>114.3</v>
      </c>
      <c r="P660" s="5">
        <f t="shared" si="354"/>
        <v>1.0277034613668117</v>
      </c>
      <c r="Q660" s="6">
        <f t="shared" si="355"/>
        <v>39.556818181818173</v>
      </c>
      <c r="R660" s="35"/>
      <c r="S660" s="871"/>
      <c r="T660" s="465" t="s">
        <v>522</v>
      </c>
      <c r="U660" s="5"/>
      <c r="V660" s="315">
        <v>72236.372022559997</v>
      </c>
      <c r="W660" s="315"/>
      <c r="X660" s="5">
        <v>565.37009696000007</v>
      </c>
      <c r="Y660" s="315"/>
      <c r="AA660" s="35"/>
      <c r="AB660" s="871"/>
      <c r="AC660" s="387" t="s">
        <v>524</v>
      </c>
      <c r="AE660" s="35"/>
      <c r="AK660" s="35"/>
      <c r="AL660" s="871"/>
      <c r="AN660" s="554">
        <v>505.38570862400002</v>
      </c>
      <c r="AO660" s="554">
        <f t="shared" si="356"/>
        <v>0.89390243902439015</v>
      </c>
      <c r="AQ660" s="554">
        <f t="shared" si="357"/>
        <v>0.71522023261066969</v>
      </c>
      <c r="AR660" s="554">
        <f t="shared" si="358"/>
        <v>1105.2314927658877</v>
      </c>
      <c r="AT660" s="274">
        <f t="shared" si="359"/>
        <v>0.45726683679565744</v>
      </c>
      <c r="AU660" s="30">
        <f t="shared" si="360"/>
        <v>0.89390243902439015</v>
      </c>
      <c r="AX660" s="882"/>
      <c r="AY660" s="912"/>
      <c r="AZ660" s="760">
        <v>1952</v>
      </c>
      <c r="BA660" s="293"/>
    </row>
    <row r="661" spans="1:53">
      <c r="B661" s="991"/>
      <c r="C661" s="908"/>
      <c r="D661" s="871"/>
      <c r="E661" s="902"/>
      <c r="F661" s="871"/>
      <c r="G661" s="871"/>
      <c r="H661" s="871"/>
      <c r="I661" s="882"/>
      <c r="J661" s="221"/>
      <c r="K661" s="35"/>
      <c r="L661" s="133">
        <v>5</v>
      </c>
      <c r="M661" s="6">
        <v>0.30733999999999995</v>
      </c>
      <c r="N661" s="6">
        <v>17.639029999999998</v>
      </c>
      <c r="O661" s="5">
        <v>114.3</v>
      </c>
      <c r="P661" s="5">
        <f t="shared" si="354"/>
        <v>0.85534973578264228</v>
      </c>
      <c r="Q661" s="6">
        <f t="shared" si="355"/>
        <v>57.392561983471076</v>
      </c>
      <c r="R661" s="35"/>
      <c r="S661" s="871"/>
      <c r="T661" s="465" t="s">
        <v>522</v>
      </c>
      <c r="U661" s="5"/>
      <c r="V661" s="315">
        <v>72236.372022559997</v>
      </c>
      <c r="W661" s="315"/>
      <c r="X661" s="5">
        <v>565.37009696000007</v>
      </c>
      <c r="Y661" s="315"/>
      <c r="AA661" s="35"/>
      <c r="AB661" s="871"/>
      <c r="AC661" s="387" t="s">
        <v>524</v>
      </c>
      <c r="AE661" s="35"/>
      <c r="AK661" s="35"/>
      <c r="AL661" s="871"/>
      <c r="AN661" s="554">
        <v>469.53297076800004</v>
      </c>
      <c r="AO661" s="554">
        <f t="shared" si="356"/>
        <v>0.83048780487804874</v>
      </c>
      <c r="AQ661" s="554">
        <f t="shared" si="357"/>
        <v>0.86150325358906799</v>
      </c>
      <c r="AR661" s="554">
        <f t="shared" si="358"/>
        <v>761.7614495193784</v>
      </c>
      <c r="AT661" s="274">
        <f t="shared" si="359"/>
        <v>0.61637796329053485</v>
      </c>
      <c r="AU661" s="30">
        <f t="shared" si="360"/>
        <v>0.83048780487804874</v>
      </c>
      <c r="AX661" s="882"/>
      <c r="AY661" s="912"/>
      <c r="AZ661" s="760">
        <v>1952</v>
      </c>
      <c r="BA661" s="293"/>
    </row>
    <row r="662" spans="1:53" ht="16.5" thickBot="1">
      <c r="B662" s="992"/>
      <c r="C662" s="909"/>
      <c r="D662" s="872"/>
      <c r="E662" s="903"/>
      <c r="F662" s="872"/>
      <c r="G662" s="872"/>
      <c r="H662" s="872"/>
      <c r="I662" s="883"/>
      <c r="J662" s="223"/>
      <c r="K662" s="36"/>
      <c r="L662" s="134">
        <v>6</v>
      </c>
      <c r="M662" s="16">
        <v>0.23621999999999996</v>
      </c>
      <c r="N662" s="16">
        <v>17.585689999999996</v>
      </c>
      <c r="O662" s="18">
        <v>114.3</v>
      </c>
      <c r="P662" s="18">
        <f t="shared" si="354"/>
        <v>0.75329562171065223</v>
      </c>
      <c r="Q662" s="16">
        <f t="shared" si="355"/>
        <v>74.446236559139777</v>
      </c>
      <c r="R662" s="36"/>
      <c r="S662" s="872"/>
      <c r="T662" s="466" t="s">
        <v>522</v>
      </c>
      <c r="U662" s="18"/>
      <c r="V662" s="316">
        <v>72236.372022559997</v>
      </c>
      <c r="W662" s="316"/>
      <c r="X662" s="18">
        <v>565.37009696000007</v>
      </c>
      <c r="Y662" s="316"/>
      <c r="Z662" s="31"/>
      <c r="AA662" s="36"/>
      <c r="AB662" s="872"/>
      <c r="AC662" s="388" t="s">
        <v>524</v>
      </c>
      <c r="AD662" s="31"/>
      <c r="AE662" s="36"/>
      <c r="AF662" s="18"/>
      <c r="AG662" s="18"/>
      <c r="AH662" s="18"/>
      <c r="AI662" s="18"/>
      <c r="AJ662" s="31"/>
      <c r="AK662" s="36"/>
      <c r="AL662" s="872"/>
      <c r="AM662" s="18"/>
      <c r="AN662" s="556">
        <v>417.13281544</v>
      </c>
      <c r="AO662" s="556">
        <f t="shared" si="356"/>
        <v>0.73780487804878037</v>
      </c>
      <c r="AP662" s="556"/>
      <c r="AQ662" s="556">
        <f t="shared" si="357"/>
        <v>0.98118407311760436</v>
      </c>
      <c r="AR662" s="556">
        <f t="shared" si="358"/>
        <v>587.26193866669348</v>
      </c>
      <c r="AS662" s="577"/>
      <c r="AT662" s="275">
        <f t="shared" si="359"/>
        <v>0.71030112454937766</v>
      </c>
      <c r="AU662" s="31">
        <f t="shared" si="360"/>
        <v>0.73780487804878037</v>
      </c>
      <c r="AV662" s="91"/>
      <c r="AW662" s="18"/>
      <c r="AX662" s="883"/>
      <c r="AY662" s="913"/>
      <c r="AZ662" s="760">
        <v>1952</v>
      </c>
      <c r="BA662" s="295"/>
    </row>
    <row r="663" spans="1:53" s="1" customFormat="1">
      <c r="A663" s="158"/>
      <c r="B663" s="1001">
        <v>42</v>
      </c>
      <c r="C663" s="907" t="s">
        <v>840</v>
      </c>
      <c r="D663" s="870" t="s">
        <v>842</v>
      </c>
      <c r="E663" s="898">
        <v>1962</v>
      </c>
      <c r="F663" s="870"/>
      <c r="G663" s="870" t="s">
        <v>532</v>
      </c>
      <c r="H663" s="870" t="s">
        <v>841</v>
      </c>
      <c r="I663" s="881"/>
      <c r="J663" s="225"/>
      <c r="K663" s="232"/>
      <c r="L663" s="449" t="s">
        <v>843</v>
      </c>
      <c r="M663" s="14">
        <f>CONVERT(0.006,"in","mm")</f>
        <v>0.15239999999999998</v>
      </c>
      <c r="N663" s="14">
        <f>CONVERT(6,"in","mm")/2</f>
        <v>76.2</v>
      </c>
      <c r="O663" s="320">
        <f>CONVERT(17.75,"in","mm")</f>
        <v>450.84999999999997</v>
      </c>
      <c r="P663" s="320">
        <f t="shared" ref="P663" si="361">O663/N663*SQRT(M663/N663)</f>
        <v>0.26460137733747507</v>
      </c>
      <c r="Q663" s="14">
        <f t="shared" ref="Q663:Q664" si="362">N663/M663</f>
        <v>500.00000000000006</v>
      </c>
      <c r="R663" s="232"/>
      <c r="S663" s="929" t="s">
        <v>854</v>
      </c>
      <c r="T663" s="464" t="s">
        <v>163</v>
      </c>
      <c r="U663" s="14"/>
      <c r="V663" s="314">
        <f>CONVERT(29*10^6,"psi","Pa")/10^6</f>
        <v>199947.96150188247</v>
      </c>
      <c r="W663" s="314"/>
      <c r="X663" s="14"/>
      <c r="Y663" s="314"/>
      <c r="Z663" s="881" t="s">
        <v>1048</v>
      </c>
      <c r="AA663" s="232"/>
      <c r="AB663" s="870" t="s">
        <v>1049</v>
      </c>
      <c r="AC663" s="386" t="s">
        <v>751</v>
      </c>
      <c r="AD663" s="881" t="s">
        <v>1050</v>
      </c>
      <c r="AE663" s="232"/>
      <c r="AF663" s="870" t="s">
        <v>856</v>
      </c>
      <c r="AG663" s="870" t="s">
        <v>855</v>
      </c>
      <c r="AH663" s="14"/>
      <c r="AI663" s="14">
        <f>CONVERT(0.015,"in","mm")/M663</f>
        <v>2.5000000000000004</v>
      </c>
      <c r="AJ663" s="106"/>
      <c r="AK663" s="232"/>
      <c r="AL663" s="870" t="s">
        <v>1051</v>
      </c>
      <c r="AM663" s="14"/>
      <c r="AN663" s="19">
        <f>CONVERT(11920,"psi","Pa")/10^6</f>
        <v>82.185506934566874</v>
      </c>
      <c r="AO663" s="19"/>
      <c r="AP663" s="597"/>
      <c r="AQ663" s="20"/>
      <c r="AR663" s="20">
        <f t="shared" si="358"/>
        <v>242.02802280388204</v>
      </c>
      <c r="AS663" s="614"/>
      <c r="AT663" s="681">
        <f t="shared" si="359"/>
        <v>0.33957021167405349</v>
      </c>
      <c r="AU663" s="666"/>
      <c r="AV663" s="283"/>
      <c r="AW663" s="870" t="s">
        <v>1052</v>
      </c>
      <c r="AX663" s="881" t="s">
        <v>1053</v>
      </c>
      <c r="AY663" s="283"/>
      <c r="AZ663" s="759">
        <v>1962</v>
      </c>
      <c r="BA663" s="298"/>
    </row>
    <row r="664" spans="1:53">
      <c r="B664" s="994"/>
      <c r="C664" s="908"/>
      <c r="D664" s="871"/>
      <c r="E664" s="899"/>
      <c r="F664" s="871"/>
      <c r="G664" s="871"/>
      <c r="H664" s="871"/>
      <c r="I664" s="882"/>
      <c r="J664" s="221"/>
      <c r="K664" s="35"/>
      <c r="L664" s="451" t="s">
        <v>844</v>
      </c>
      <c r="M664" s="6">
        <f>CONVERT(0.006,"in","mm")</f>
        <v>0.15239999999999998</v>
      </c>
      <c r="N664" s="6">
        <f>CONVERT(6,"in","mm")/2</f>
        <v>76.2</v>
      </c>
      <c r="O664" s="102">
        <f>CONVERT(17.75,"in","mm")</f>
        <v>450.84999999999997</v>
      </c>
      <c r="P664" s="7">
        <f>O664/N664*SQRT(M664/N664)</f>
        <v>0.26460137733747507</v>
      </c>
      <c r="Q664" s="6">
        <f t="shared" si="362"/>
        <v>500.00000000000006</v>
      </c>
      <c r="R664" s="35"/>
      <c r="S664" s="930"/>
      <c r="T664" s="465" t="s">
        <v>163</v>
      </c>
      <c r="U664" s="5"/>
      <c r="V664" s="315">
        <f>CONVERT(29*10^6,"psi","Pa")/10^6</f>
        <v>199947.96150188247</v>
      </c>
      <c r="W664" s="315"/>
      <c r="X664" s="315"/>
      <c r="Y664" s="315"/>
      <c r="Z664" s="882"/>
      <c r="AA664" s="35"/>
      <c r="AB664" s="871"/>
      <c r="AC664" s="387" t="s">
        <v>751</v>
      </c>
      <c r="AD664" s="882"/>
      <c r="AE664" s="35"/>
      <c r="AF664" s="871"/>
      <c r="AG664" s="871"/>
      <c r="AI664" s="5">
        <f>CONVERT(0.013,"in","mm")/M664</f>
        <v>2.166666666666667</v>
      </c>
      <c r="AK664" s="35"/>
      <c r="AL664" s="871"/>
      <c r="AN664" s="554">
        <f>CONVERT(11700,"psi","Pa")/10^6</f>
        <v>80.668660330069827</v>
      </c>
      <c r="AQ664" s="580"/>
      <c r="AR664" s="554">
        <f t="shared" si="358"/>
        <v>242.02802280388204</v>
      </c>
      <c r="AT664" s="274">
        <f t="shared" si="359"/>
        <v>0.33330297622369343</v>
      </c>
      <c r="AU664" s="248"/>
      <c r="AW664" s="871"/>
      <c r="AX664" s="882"/>
      <c r="AY664" s="90"/>
      <c r="AZ664" s="543">
        <v>1962</v>
      </c>
      <c r="BA664" s="293"/>
    </row>
    <row r="665" spans="1:53">
      <c r="B665" s="994"/>
      <c r="C665" s="908"/>
      <c r="D665" s="871"/>
      <c r="E665" s="899"/>
      <c r="F665" s="871"/>
      <c r="G665" s="871"/>
      <c r="H665" s="871"/>
      <c r="I665" s="882"/>
      <c r="J665" s="221"/>
      <c r="K665" s="35"/>
      <c r="L665" s="451" t="s">
        <v>845</v>
      </c>
      <c r="M665" s="6">
        <f>CONVERT(0.006,"in","mm")</f>
        <v>0.15239999999999998</v>
      </c>
      <c r="N665" s="6">
        <f t="shared" ref="N665:N673" si="363">CONVERT(6,"in","mm")/2</f>
        <v>76.2</v>
      </c>
      <c r="O665" s="102">
        <f>CONVERT(17.75,"in","mm")</f>
        <v>450.84999999999997</v>
      </c>
      <c r="P665" s="7">
        <f t="shared" ref="P665:P673" si="364">O665/N665*SQRT(M665/N665)</f>
        <v>0.26460137733747507</v>
      </c>
      <c r="Q665" s="6">
        <f t="shared" ref="Q665:Q673" si="365">N665/M665</f>
        <v>500.00000000000006</v>
      </c>
      <c r="R665" s="35"/>
      <c r="S665" s="930"/>
      <c r="T665" s="465" t="s">
        <v>163</v>
      </c>
      <c r="U665" s="5"/>
      <c r="V665" s="315">
        <f t="shared" ref="V665:V673" si="366">CONVERT(29*10^6,"psi","Pa")/10^6</f>
        <v>199947.96150188247</v>
      </c>
      <c r="W665" s="315"/>
      <c r="X665" s="315"/>
      <c r="Y665" s="315"/>
      <c r="Z665" s="882"/>
      <c r="AA665" s="35"/>
      <c r="AB665" s="871"/>
      <c r="AC665" s="387" t="s">
        <v>751</v>
      </c>
      <c r="AD665" s="882"/>
      <c r="AE665" s="35"/>
      <c r="AF665" s="871"/>
      <c r="AG665" s="871"/>
      <c r="AI665" s="5">
        <f>CONVERT(0.01,"in","mm")/M665</f>
        <v>1.666666666666667</v>
      </c>
      <c r="AK665" s="35"/>
      <c r="AL665" s="871"/>
      <c r="AN665" s="554">
        <f>CONVERT(9540,"psi","Pa")/10^6</f>
        <v>65.775984576826175</v>
      </c>
      <c r="AR665" s="554">
        <f t="shared" si="358"/>
        <v>242.02802280388204</v>
      </c>
      <c r="AT665" s="274">
        <f t="shared" ref="AT665:AT673" si="367">AN665/AR665</f>
        <v>0.27177011907470389</v>
      </c>
      <c r="AU665" s="248"/>
      <c r="AW665" s="871"/>
      <c r="AX665" s="882"/>
      <c r="AY665" s="90"/>
      <c r="AZ665" s="543">
        <v>1962</v>
      </c>
      <c r="BA665" s="293"/>
    </row>
    <row r="666" spans="1:53">
      <c r="B666" s="994"/>
      <c r="C666" s="908"/>
      <c r="D666" s="871"/>
      <c r="E666" s="899"/>
      <c r="F666" s="871"/>
      <c r="G666" s="871"/>
      <c r="H666" s="871"/>
      <c r="I666" s="882"/>
      <c r="J666" s="221"/>
      <c r="K666" s="35"/>
      <c r="L666" s="451" t="s">
        <v>846</v>
      </c>
      <c r="M666" s="6">
        <f>CONVERT(0.006,"in","mm")</f>
        <v>0.15239999999999998</v>
      </c>
      <c r="N666" s="6">
        <f t="shared" si="363"/>
        <v>76.2</v>
      </c>
      <c r="O666" s="102">
        <f>CONVERT(17.75,"in","mm")</f>
        <v>450.84999999999997</v>
      </c>
      <c r="P666" s="7">
        <f t="shared" si="364"/>
        <v>0.26460137733747507</v>
      </c>
      <c r="Q666" s="6">
        <f t="shared" si="365"/>
        <v>500.00000000000006</v>
      </c>
      <c r="R666" s="35"/>
      <c r="S666" s="930"/>
      <c r="T666" s="465" t="s">
        <v>163</v>
      </c>
      <c r="U666" s="5"/>
      <c r="V666" s="315">
        <f t="shared" si="366"/>
        <v>199947.96150188247</v>
      </c>
      <c r="W666" s="315"/>
      <c r="X666" s="315"/>
      <c r="Y666" s="315"/>
      <c r="Z666" s="882"/>
      <c r="AA666" s="35"/>
      <c r="AB666" s="871"/>
      <c r="AC666" s="387" t="s">
        <v>751</v>
      </c>
      <c r="AD666" s="882"/>
      <c r="AE666" s="35"/>
      <c r="AF666" s="871"/>
      <c r="AG666" s="871"/>
      <c r="AI666" s="5">
        <f>CONVERT(0.009,"in","mm")/M666</f>
        <v>1.5000000000000002</v>
      </c>
      <c r="AK666" s="35"/>
      <c r="AL666" s="871"/>
      <c r="AN666" s="554">
        <f>CONVERT(11120,"psi","Pa")/10^6</f>
        <v>76.669701100032185</v>
      </c>
      <c r="AR666" s="554">
        <f t="shared" si="358"/>
        <v>242.02802280388204</v>
      </c>
      <c r="AT666" s="274">
        <f t="shared" si="367"/>
        <v>0.31678026458183517</v>
      </c>
      <c r="AU666" s="248"/>
      <c r="AW666" s="871"/>
      <c r="AX666" s="882"/>
      <c r="AY666" s="90"/>
      <c r="AZ666" s="760">
        <v>1962</v>
      </c>
      <c r="BA666" s="293"/>
    </row>
    <row r="667" spans="1:53">
      <c r="B667" s="994"/>
      <c r="C667" s="908"/>
      <c r="D667" s="871"/>
      <c r="E667" s="899"/>
      <c r="F667" s="871"/>
      <c r="G667" s="871"/>
      <c r="H667" s="871"/>
      <c r="I667" s="882"/>
      <c r="J667" s="221"/>
      <c r="K667" s="35"/>
      <c r="L667" s="451" t="s">
        <v>847</v>
      </c>
      <c r="M667" s="6">
        <f>CONVERT(0.0075,"in","mm")</f>
        <v>0.1905</v>
      </c>
      <c r="N667" s="6">
        <f>CONVERT(8,"in","mm")/2</f>
        <v>101.6</v>
      </c>
      <c r="O667" s="102">
        <f>CONVERT(18.97,"in","mm")</f>
        <v>481.83799999999997</v>
      </c>
      <c r="P667" s="7">
        <f t="shared" si="364"/>
        <v>0.205356273872385</v>
      </c>
      <c r="Q667" s="6">
        <f t="shared" si="365"/>
        <v>533.33333333333326</v>
      </c>
      <c r="R667" s="35"/>
      <c r="S667" s="930"/>
      <c r="T667" s="465" t="s">
        <v>163</v>
      </c>
      <c r="U667" s="5"/>
      <c r="V667" s="315">
        <f t="shared" si="366"/>
        <v>199947.96150188247</v>
      </c>
      <c r="W667" s="315"/>
      <c r="X667" s="315"/>
      <c r="Y667" s="315"/>
      <c r="Z667" s="882"/>
      <c r="AA667" s="35"/>
      <c r="AB667" s="871"/>
      <c r="AC667" s="387" t="s">
        <v>751</v>
      </c>
      <c r="AD667" s="882"/>
      <c r="AE667" s="35"/>
      <c r="AF667" s="871"/>
      <c r="AG667" s="871"/>
      <c r="AI667" s="5">
        <f>CONVERT(0.006,"in","mm")/M667</f>
        <v>0.79999999999999993</v>
      </c>
      <c r="AK667" s="35"/>
      <c r="AL667" s="871"/>
      <c r="AN667" s="554">
        <f>CONVERT(9510,"psi","Pa")/10^6</f>
        <v>65.569141858031116</v>
      </c>
      <c r="AR667" s="554">
        <f t="shared" si="358"/>
        <v>226.90127137863945</v>
      </c>
      <c r="AT667" s="274">
        <f t="shared" si="367"/>
        <v>0.2889765291293287</v>
      </c>
      <c r="AU667" s="248"/>
      <c r="AW667" s="871"/>
      <c r="AX667" s="882"/>
      <c r="AY667" s="90"/>
      <c r="AZ667" s="543">
        <v>1962</v>
      </c>
      <c r="BA667" s="293"/>
    </row>
    <row r="668" spans="1:53">
      <c r="B668" s="994"/>
      <c r="C668" s="908"/>
      <c r="D668" s="871"/>
      <c r="E668" s="899"/>
      <c r="F668" s="871"/>
      <c r="G668" s="871"/>
      <c r="H668" s="871"/>
      <c r="I668" s="882"/>
      <c r="J668" s="221"/>
      <c r="K668" s="35"/>
      <c r="L668" s="451" t="s">
        <v>848</v>
      </c>
      <c r="M668" s="6">
        <f>CONVERT(0.0075,"in","mm")</f>
        <v>0.1905</v>
      </c>
      <c r="N668" s="6">
        <f t="shared" si="363"/>
        <v>76.2</v>
      </c>
      <c r="O668" s="102">
        <f>CONVERT(19.97,"in","mm")</f>
        <v>507.23799999999994</v>
      </c>
      <c r="P668" s="7">
        <f t="shared" si="364"/>
        <v>0.33283333333333331</v>
      </c>
      <c r="Q668" s="6">
        <f t="shared" si="365"/>
        <v>400</v>
      </c>
      <c r="R668" s="35"/>
      <c r="S668" s="930"/>
      <c r="T668" s="465" t="s">
        <v>163</v>
      </c>
      <c r="U668" s="5"/>
      <c r="V668" s="315">
        <f t="shared" si="366"/>
        <v>199947.96150188247</v>
      </c>
      <c r="W668" s="315"/>
      <c r="X668" s="315"/>
      <c r="Y668" s="315"/>
      <c r="Z668" s="882"/>
      <c r="AA668" s="35"/>
      <c r="AB668" s="871"/>
      <c r="AC668" s="387" t="s">
        <v>751</v>
      </c>
      <c r="AD668" s="882"/>
      <c r="AE668" s="35"/>
      <c r="AF668" s="871"/>
      <c r="AG668" s="871"/>
      <c r="AI668" s="5">
        <f>CONVERT(0.015,"in","mm")/M668</f>
        <v>2</v>
      </c>
      <c r="AK668" s="35"/>
      <c r="AL668" s="871"/>
      <c r="AN668" s="554">
        <f>CONVERT(18000,"psi","Pa")/10^6</f>
        <v>124.10563127703051</v>
      </c>
      <c r="AR668" s="554">
        <f t="shared" si="358"/>
        <v>302.53502850485256</v>
      </c>
      <c r="AT668" s="274">
        <f t="shared" si="367"/>
        <v>0.41021904765993039</v>
      </c>
      <c r="AU668" s="248"/>
      <c r="AW668" s="871"/>
      <c r="AX668" s="882"/>
      <c r="AY668" s="90"/>
      <c r="AZ668" s="543">
        <v>1962</v>
      </c>
      <c r="BA668" s="293"/>
    </row>
    <row r="669" spans="1:53">
      <c r="B669" s="994"/>
      <c r="C669" s="908"/>
      <c r="D669" s="871"/>
      <c r="E669" s="899"/>
      <c r="F669" s="871"/>
      <c r="G669" s="871"/>
      <c r="H669" s="871"/>
      <c r="I669" s="882"/>
      <c r="J669" s="221"/>
      <c r="K669" s="35"/>
      <c r="L669" s="451" t="s">
        <v>849</v>
      </c>
      <c r="M669" s="6">
        <f>CONVERT(0.0075,"in","mm")</f>
        <v>0.1905</v>
      </c>
      <c r="N669" s="6">
        <f t="shared" si="363"/>
        <v>76.2</v>
      </c>
      <c r="O669" s="102">
        <f>CONVERT(19.75,"in","mm")</f>
        <v>501.65000000000003</v>
      </c>
      <c r="P669" s="7">
        <f t="shared" si="364"/>
        <v>0.32916666666666672</v>
      </c>
      <c r="Q669" s="6">
        <f t="shared" si="365"/>
        <v>400</v>
      </c>
      <c r="R669" s="35"/>
      <c r="S669" s="930"/>
      <c r="T669" s="465" t="s">
        <v>163</v>
      </c>
      <c r="U669" s="5"/>
      <c r="V669" s="315">
        <f t="shared" si="366"/>
        <v>199947.96150188247</v>
      </c>
      <c r="W669" s="315"/>
      <c r="X669" s="315"/>
      <c r="Y669" s="315"/>
      <c r="Z669" s="882"/>
      <c r="AA669" s="35"/>
      <c r="AB669" s="871"/>
      <c r="AC669" s="387" t="s">
        <v>751</v>
      </c>
      <c r="AD669" s="882"/>
      <c r="AE669" s="35"/>
      <c r="AF669" s="871"/>
      <c r="AG669" s="871"/>
      <c r="AI669" s="5">
        <f>CONVERT(0.011,"in","mm")/M669</f>
        <v>1.4666666666666668</v>
      </c>
      <c r="AK669" s="35"/>
      <c r="AL669" s="871"/>
      <c r="AN669" s="554">
        <f>CONVERT(20150,"psi","Pa")/10^6</f>
        <v>138.92935945734249</v>
      </c>
      <c r="AR669" s="554">
        <f t="shared" si="358"/>
        <v>302.53502850485256</v>
      </c>
      <c r="AT669" s="274">
        <f t="shared" si="367"/>
        <v>0.45921743390819986</v>
      </c>
      <c r="AU669" s="248"/>
      <c r="AW669" s="871"/>
      <c r="AX669" s="882"/>
      <c r="AY669" s="90"/>
      <c r="AZ669" s="760">
        <v>1962</v>
      </c>
      <c r="BA669" s="293"/>
    </row>
    <row r="670" spans="1:53">
      <c r="B670" s="994"/>
      <c r="C670" s="908"/>
      <c r="D670" s="871"/>
      <c r="E670" s="899"/>
      <c r="F670" s="871"/>
      <c r="G670" s="871"/>
      <c r="H670" s="871"/>
      <c r="I670" s="882"/>
      <c r="J670" s="221"/>
      <c r="K670" s="35"/>
      <c r="L670" s="451" t="s">
        <v>850</v>
      </c>
      <c r="M670" s="6">
        <f>CONVERT(0.006,"in","mm")</f>
        <v>0.15239999999999998</v>
      </c>
      <c r="N670" s="6">
        <f>CONVERT(4,"in","mm")/2</f>
        <v>50.8</v>
      </c>
      <c r="O670" s="102">
        <f>CONVERT(14.75,"in","mm")</f>
        <v>374.65</v>
      </c>
      <c r="P670" s="7">
        <f t="shared" si="364"/>
        <v>0.40394538616005998</v>
      </c>
      <c r="Q670" s="6">
        <f t="shared" si="365"/>
        <v>333.33333333333337</v>
      </c>
      <c r="R670" s="35"/>
      <c r="S670" s="930"/>
      <c r="T670" s="465" t="s">
        <v>163</v>
      </c>
      <c r="U670" s="5"/>
      <c r="V670" s="315">
        <f t="shared" si="366"/>
        <v>199947.96150188247</v>
      </c>
      <c r="W670" s="315"/>
      <c r="X670" s="315"/>
      <c r="Y670" s="315"/>
      <c r="Z670" s="882"/>
      <c r="AA670" s="35"/>
      <c r="AB670" s="871"/>
      <c r="AC670" s="387" t="s">
        <v>751</v>
      </c>
      <c r="AD670" s="882"/>
      <c r="AE670" s="35"/>
      <c r="AF670" s="871"/>
      <c r="AG670" s="871"/>
      <c r="AI670" s="5">
        <f>CONVERT(0.01,"in","mm")/M670</f>
        <v>1.666666666666667</v>
      </c>
      <c r="AK670" s="35"/>
      <c r="AL670" s="871"/>
      <c r="AN670" s="554">
        <f>CONVERT(22600,"psi","Pa")/10^6</f>
        <v>155.82151482560496</v>
      </c>
      <c r="AR670" s="554">
        <f t="shared" si="358"/>
        <v>363.04203420582303</v>
      </c>
      <c r="AT670" s="274">
        <f t="shared" si="367"/>
        <v>0.42921067023677906</v>
      </c>
      <c r="AU670" s="248"/>
      <c r="AW670" s="871"/>
      <c r="AX670" s="882"/>
      <c r="AY670" s="90"/>
      <c r="AZ670" s="543">
        <v>1962</v>
      </c>
      <c r="BA670" s="293"/>
    </row>
    <row r="671" spans="1:53">
      <c r="B671" s="994"/>
      <c r="C671" s="908"/>
      <c r="D671" s="871"/>
      <c r="E671" s="899"/>
      <c r="F671" s="871"/>
      <c r="G671" s="871"/>
      <c r="H671" s="871"/>
      <c r="I671" s="882"/>
      <c r="J671" s="221"/>
      <c r="K671" s="35"/>
      <c r="L671" s="451" t="s">
        <v>851</v>
      </c>
      <c r="M671" s="325">
        <v>0.15240000000000001</v>
      </c>
      <c r="N671" s="6">
        <f>CONVERT(8,"in","mm")/2</f>
        <v>101.6</v>
      </c>
      <c r="O671" s="463">
        <f>CONVERT(14.75,"in","mm")</f>
        <v>374.65</v>
      </c>
      <c r="P671" s="7">
        <f t="shared" si="364"/>
        <v>0.14281626089139851</v>
      </c>
      <c r="Q671" s="6">
        <f t="shared" si="365"/>
        <v>666.66666666666663</v>
      </c>
      <c r="R671" s="35"/>
      <c r="S671" s="930"/>
      <c r="T671" s="465" t="s">
        <v>163</v>
      </c>
      <c r="U671" s="5"/>
      <c r="V671" s="315">
        <f t="shared" si="366"/>
        <v>199947.96150188247</v>
      </c>
      <c r="W671" s="315"/>
      <c r="X671" s="315"/>
      <c r="Y671" s="315"/>
      <c r="Z671" s="882"/>
      <c r="AA671" s="35"/>
      <c r="AB671" s="871"/>
      <c r="AC671" s="387" t="s">
        <v>751</v>
      </c>
      <c r="AD671" s="882"/>
      <c r="AE671" s="35"/>
      <c r="AF671" s="871"/>
      <c r="AG671" s="871"/>
      <c r="AI671" s="5">
        <f>CONVERT(0.01,"in","mm")/M671</f>
        <v>1.6666666666666665</v>
      </c>
      <c r="AK671" s="35"/>
      <c r="AL671" s="871"/>
      <c r="AN671" s="554">
        <f>CONVERT(8000,"psi","Pa")/10^6</f>
        <v>55.158058345346888</v>
      </c>
      <c r="AR671" s="554">
        <f t="shared" si="358"/>
        <v>181.52101710291154</v>
      </c>
      <c r="AT671" s="274">
        <f t="shared" si="367"/>
        <v>0.30386596122957804</v>
      </c>
      <c r="AU671" s="248"/>
      <c r="AW671" s="871"/>
      <c r="AX671" s="882"/>
      <c r="AY671" s="90"/>
      <c r="AZ671" s="543">
        <v>1962</v>
      </c>
      <c r="BA671" s="293"/>
    </row>
    <row r="672" spans="1:53">
      <c r="B672" s="994"/>
      <c r="C672" s="908"/>
      <c r="D672" s="871"/>
      <c r="E672" s="899"/>
      <c r="F672" s="871"/>
      <c r="G672" s="871"/>
      <c r="H672" s="871"/>
      <c r="I672" s="882"/>
      <c r="J672" s="221"/>
      <c r="K672" s="35"/>
      <c r="L672" s="451" t="s">
        <v>852</v>
      </c>
      <c r="M672" s="325">
        <v>0.15240000000000001</v>
      </c>
      <c r="N672" s="6">
        <f>CONVERT(8,"in","mm")/2</f>
        <v>101.6</v>
      </c>
      <c r="O672" s="6">
        <f>CONVERT(20.5,"in","mm")</f>
        <v>520.70000000000005</v>
      </c>
      <c r="P672" s="7">
        <f t="shared" si="364"/>
        <v>0.19849039649313016</v>
      </c>
      <c r="Q672" s="6">
        <f t="shared" si="365"/>
        <v>666.66666666666663</v>
      </c>
      <c r="R672" s="35"/>
      <c r="S672" s="930"/>
      <c r="T672" s="465" t="s">
        <v>163</v>
      </c>
      <c r="U672" s="5"/>
      <c r="V672" s="315">
        <f t="shared" si="366"/>
        <v>199947.96150188247</v>
      </c>
      <c r="W672" s="315"/>
      <c r="X672" s="315"/>
      <c r="Y672" s="315"/>
      <c r="Z672" s="882"/>
      <c r="AA672" s="35"/>
      <c r="AB672" s="871"/>
      <c r="AC672" s="387" t="s">
        <v>751</v>
      </c>
      <c r="AD672" s="882"/>
      <c r="AE672" s="35"/>
      <c r="AF672" s="871"/>
      <c r="AG672" s="871"/>
      <c r="AI672" s="5">
        <f>CONVERT(0.009,"in","mm")/M672</f>
        <v>1.5</v>
      </c>
      <c r="AK672" s="35"/>
      <c r="AL672" s="871"/>
      <c r="AN672" s="554">
        <f>CONVERT(9300,"psi","Pa")/10^6</f>
        <v>64.12124282646576</v>
      </c>
      <c r="AR672" s="554">
        <f t="shared" si="358"/>
        <v>181.52101710291154</v>
      </c>
      <c r="AT672" s="274">
        <f t="shared" si="367"/>
        <v>0.35324417992938445</v>
      </c>
      <c r="AU672" s="248"/>
      <c r="AW672" s="871"/>
      <c r="AX672" s="882"/>
      <c r="AY672" s="90"/>
      <c r="AZ672" s="760">
        <v>1962</v>
      </c>
      <c r="BA672" s="293"/>
    </row>
    <row r="673" spans="1:54" ht="16.5" thickBot="1">
      <c r="B673" s="1002"/>
      <c r="C673" s="909"/>
      <c r="D673" s="872"/>
      <c r="E673" s="900"/>
      <c r="F673" s="872"/>
      <c r="G673" s="872"/>
      <c r="H673" s="872"/>
      <c r="I673" s="883"/>
      <c r="J673" s="223"/>
      <c r="K673" s="36"/>
      <c r="L673" s="453" t="s">
        <v>853</v>
      </c>
      <c r="M673" s="326">
        <v>0.1905</v>
      </c>
      <c r="N673" s="16">
        <f t="shared" si="363"/>
        <v>76.2</v>
      </c>
      <c r="O673" s="18">
        <f>CONVERT(20,"in","mm")</f>
        <v>508</v>
      </c>
      <c r="P673" s="17">
        <f t="shared" si="364"/>
        <v>0.33333333333333331</v>
      </c>
      <c r="Q673" s="16">
        <f t="shared" si="365"/>
        <v>400</v>
      </c>
      <c r="R673" s="36"/>
      <c r="S673" s="931"/>
      <c r="T673" s="466" t="s">
        <v>163</v>
      </c>
      <c r="U673" s="18"/>
      <c r="V673" s="316">
        <f t="shared" si="366"/>
        <v>199947.96150188247</v>
      </c>
      <c r="W673" s="316"/>
      <c r="X673" s="316"/>
      <c r="Y673" s="316"/>
      <c r="Z673" s="883"/>
      <c r="AA673" s="36"/>
      <c r="AB673" s="872"/>
      <c r="AC673" s="388" t="s">
        <v>751</v>
      </c>
      <c r="AD673" s="883"/>
      <c r="AE673" s="36"/>
      <c r="AF673" s="872"/>
      <c r="AG673" s="872"/>
      <c r="AH673" s="18"/>
      <c r="AI673" s="18">
        <f>CONVERT(0.008,"in","mm")/M673</f>
        <v>1.0666666666666667</v>
      </c>
      <c r="AJ673" s="31"/>
      <c r="AK673" s="36"/>
      <c r="AL673" s="872"/>
      <c r="AM673" s="18"/>
      <c r="AN673" s="556">
        <f>CONVERT(19300,"psi","Pa")/10^6</f>
        <v>133.06881575814938</v>
      </c>
      <c r="AO673" s="556"/>
      <c r="AP673" s="556"/>
      <c r="AQ673" s="556"/>
      <c r="AR673" s="556">
        <f t="shared" si="358"/>
        <v>302.53502850485256</v>
      </c>
      <c r="AS673" s="577"/>
      <c r="AT673" s="275">
        <f t="shared" si="367"/>
        <v>0.43984597887981425</v>
      </c>
      <c r="AU673" s="249"/>
      <c r="AV673" s="91"/>
      <c r="AW673" s="872"/>
      <c r="AX673" s="883"/>
      <c r="AY673" s="91"/>
      <c r="AZ673" s="766">
        <v>1962</v>
      </c>
      <c r="BA673" s="295"/>
    </row>
    <row r="674" spans="1:54" ht="16.5" thickBot="1">
      <c r="B674" s="33"/>
      <c r="C674" s="317"/>
      <c r="D674" s="317"/>
      <c r="E674" s="318"/>
      <c r="F674" s="317"/>
      <c r="G674" s="317"/>
      <c r="H674" s="317"/>
      <c r="I674" s="146"/>
      <c r="J674" s="221"/>
      <c r="K674" s="35"/>
      <c r="M674" s="325"/>
      <c r="O674" s="5"/>
      <c r="P674" s="320"/>
      <c r="Q674" s="14"/>
      <c r="R674" s="35"/>
      <c r="S674" s="315"/>
      <c r="T674" s="491"/>
      <c r="U674" s="5"/>
      <c r="V674" s="315"/>
      <c r="W674" s="315"/>
      <c r="X674" s="315"/>
      <c r="Y674" s="315"/>
      <c r="Z674" s="285"/>
      <c r="AA674" s="35"/>
      <c r="AB674" s="317"/>
      <c r="AC674" s="382"/>
      <c r="AD674" s="285"/>
      <c r="AE674" s="35"/>
      <c r="AG674" s="317"/>
      <c r="AK674" s="35"/>
      <c r="AL674" s="317"/>
      <c r="AT674" s="274"/>
      <c r="AU674" s="30"/>
      <c r="AX674" s="285"/>
      <c r="BA674" s="293"/>
    </row>
    <row r="675" spans="1:54" ht="32.25" thickBot="1">
      <c r="A675" s="145"/>
      <c r="B675" s="220"/>
      <c r="C675" s="515" t="s">
        <v>152</v>
      </c>
      <c r="D675" s="399" t="s">
        <v>153</v>
      </c>
      <c r="E675" s="516">
        <v>1960</v>
      </c>
      <c r="F675" s="517" t="s">
        <v>40</v>
      </c>
      <c r="G675" s="399" t="s">
        <v>41</v>
      </c>
      <c r="H675" s="399" t="s">
        <v>154</v>
      </c>
      <c r="I675" s="518" t="s">
        <v>155</v>
      </c>
      <c r="J675" s="224"/>
      <c r="K675" s="229" t="s">
        <v>860</v>
      </c>
      <c r="L675" s="535"/>
      <c r="M675" s="58"/>
      <c r="N675" s="58"/>
      <c r="O675" s="58"/>
      <c r="P675" s="58"/>
      <c r="Q675" s="58"/>
      <c r="R675" s="229"/>
      <c r="S675" s="58"/>
      <c r="T675" s="546"/>
      <c r="U675" s="58"/>
      <c r="V675" s="58"/>
      <c r="W675" s="58"/>
      <c r="X675" s="58"/>
      <c r="Y675" s="58"/>
      <c r="Z675" s="230"/>
      <c r="AA675" s="229"/>
      <c r="AB675" s="58"/>
      <c r="AC675" s="58"/>
      <c r="AD675" s="230"/>
      <c r="AE675" s="229"/>
      <c r="AF675" s="58"/>
      <c r="AG675" s="58"/>
      <c r="AH675" s="58"/>
      <c r="AI675" s="58"/>
      <c r="AJ675" s="230"/>
      <c r="AK675" s="229"/>
      <c r="AL675" s="58"/>
      <c r="AM675" s="58"/>
      <c r="AN675" s="535"/>
      <c r="AO675" s="535"/>
      <c r="AP675" s="535"/>
      <c r="AQ675" s="535"/>
      <c r="AR675" s="535"/>
      <c r="AS675" s="562"/>
      <c r="AT675" s="696"/>
      <c r="AU675" s="667"/>
      <c r="AV675" s="229"/>
      <c r="AW675" s="58"/>
      <c r="AX675" s="230"/>
      <c r="AY675" s="287"/>
      <c r="AZ675" s="539"/>
      <c r="BA675" s="297"/>
      <c r="BB675" s="24" t="s">
        <v>156</v>
      </c>
    </row>
    <row r="676" spans="1:54" ht="17.25" customHeight="1">
      <c r="A676" s="145"/>
      <c r="B676" s="990"/>
      <c r="C676" s="981" t="s">
        <v>176</v>
      </c>
      <c r="D676" s="922" t="s">
        <v>168</v>
      </c>
      <c r="E676" s="1022">
        <v>1935</v>
      </c>
      <c r="F676" s="922"/>
      <c r="G676" s="922" t="s">
        <v>177</v>
      </c>
      <c r="H676" s="922" t="s">
        <v>178</v>
      </c>
      <c r="I676" s="910" t="s">
        <v>179</v>
      </c>
      <c r="J676" s="222"/>
      <c r="K676" s="933" t="s">
        <v>1054</v>
      </c>
      <c r="L676" s="922"/>
      <c r="M676" s="922"/>
      <c r="N676" s="922"/>
      <c r="O676" s="922"/>
      <c r="P676" s="922"/>
      <c r="Q676" s="934"/>
      <c r="R676" s="34"/>
      <c r="S676" s="171"/>
      <c r="T676" s="464"/>
      <c r="U676" s="171"/>
      <c r="V676" s="171"/>
      <c r="W676" s="171"/>
      <c r="X676" s="171"/>
      <c r="Y676" s="171"/>
      <c r="Z676" s="29"/>
      <c r="AA676" s="34"/>
      <c r="AB676" s="15"/>
      <c r="AC676" s="15"/>
      <c r="AD676" s="29"/>
      <c r="AE676" s="34"/>
      <c r="AF676" s="15"/>
      <c r="AG676" s="15"/>
      <c r="AH676" s="15"/>
      <c r="AI676" s="15"/>
      <c r="AJ676" s="29"/>
      <c r="AK676" s="34"/>
      <c r="AL676" s="15"/>
      <c r="AM676" s="15"/>
      <c r="AN676" s="20"/>
      <c r="AO676" s="20"/>
      <c r="AP676" s="20"/>
      <c r="AQ676" s="20"/>
      <c r="AR676" s="20"/>
      <c r="AS676" s="547"/>
      <c r="AT676" s="268"/>
      <c r="AU676" s="269"/>
      <c r="AV676" s="128"/>
      <c r="AW676" s="15"/>
      <c r="AX676" s="29"/>
      <c r="AY676" s="216"/>
      <c r="AZ676" s="765"/>
      <c r="BA676" s="292"/>
    </row>
    <row r="677" spans="1:54" ht="16.5" thickBot="1">
      <c r="A677" s="145"/>
      <c r="B677" s="992"/>
      <c r="C677" s="980"/>
      <c r="D677" s="874"/>
      <c r="E677" s="1023"/>
      <c r="F677" s="874"/>
      <c r="G677" s="874"/>
      <c r="H677" s="874"/>
      <c r="I677" s="874"/>
      <c r="J677" s="223"/>
      <c r="K677" s="935"/>
      <c r="L677" s="874"/>
      <c r="M677" s="874"/>
      <c r="N677" s="874"/>
      <c r="O677" s="874"/>
      <c r="P677" s="874"/>
      <c r="Q677" s="936"/>
      <c r="R677" s="36"/>
      <c r="S677" s="173"/>
      <c r="T677" s="466"/>
      <c r="U677" s="173"/>
      <c r="V677" s="173"/>
      <c r="W677" s="173"/>
      <c r="X677" s="173"/>
      <c r="Y677" s="173"/>
      <c r="Z677" s="31"/>
      <c r="AA677" s="36"/>
      <c r="AB677" s="18"/>
      <c r="AC677" s="18"/>
      <c r="AD677" s="31"/>
      <c r="AE677" s="36"/>
      <c r="AF677" s="18"/>
      <c r="AG677" s="18"/>
      <c r="AH677" s="18"/>
      <c r="AI677" s="18"/>
      <c r="AJ677" s="31"/>
      <c r="AK677" s="36"/>
      <c r="AL677" s="18"/>
      <c r="AM677" s="18"/>
      <c r="AN677" s="556"/>
      <c r="AO677" s="556"/>
      <c r="AP677" s="556"/>
      <c r="AQ677" s="556"/>
      <c r="AR677" s="556"/>
      <c r="AS677" s="577"/>
      <c r="AT677" s="270"/>
      <c r="AU677" s="271"/>
      <c r="AV677" s="91"/>
      <c r="AW677" s="18"/>
      <c r="AX677" s="31"/>
      <c r="AY677" s="286"/>
      <c r="AZ677" s="766"/>
      <c r="BA677" s="295"/>
    </row>
    <row r="678" spans="1:54" ht="17.100000000000001" customHeight="1" thickBot="1">
      <c r="A678" s="151"/>
      <c r="B678" s="154"/>
      <c r="C678" s="870" t="s">
        <v>1055</v>
      </c>
      <c r="D678" s="870" t="s">
        <v>739</v>
      </c>
      <c r="E678" s="898">
        <v>1975</v>
      </c>
      <c r="F678" s="870"/>
      <c r="G678" s="870" t="s">
        <v>740</v>
      </c>
      <c r="H678" s="870" t="s">
        <v>741</v>
      </c>
      <c r="I678" s="910" t="s">
        <v>529</v>
      </c>
      <c r="J678" s="222"/>
      <c r="K678" s="34"/>
      <c r="L678" s="536" t="s">
        <v>1056</v>
      </c>
      <c r="M678" s="14">
        <v>0.247</v>
      </c>
      <c r="N678" s="14">
        <v>100</v>
      </c>
      <c r="O678" s="22">
        <v>22.7</v>
      </c>
      <c r="P678" s="14">
        <f>O678/N678*SQRT(M678/N678)</f>
        <v>1.1281694464928571E-2</v>
      </c>
      <c r="Q678" s="14">
        <f>N678/M678</f>
        <v>404.85829959514172</v>
      </c>
      <c r="R678" s="34"/>
      <c r="S678" s="925" t="s">
        <v>742</v>
      </c>
      <c r="T678" s="464" t="s">
        <v>857</v>
      </c>
      <c r="U678" s="15"/>
      <c r="V678" s="171">
        <f>5.55*10^3</f>
        <v>5550</v>
      </c>
      <c r="W678" s="171"/>
      <c r="X678" s="15"/>
      <c r="Y678" s="171"/>
      <c r="Z678" s="29"/>
      <c r="AA678" s="34"/>
      <c r="AB678" s="895" t="s">
        <v>743</v>
      </c>
      <c r="AC678" s="383"/>
      <c r="AD678" s="881" t="s">
        <v>1057</v>
      </c>
      <c r="AE678" s="34"/>
      <c r="AF678" s="15" t="s">
        <v>774</v>
      </c>
      <c r="AG678" s="15"/>
      <c r="AH678" s="15"/>
      <c r="AI678" s="15"/>
      <c r="AJ678" s="29"/>
      <c r="AK678" s="34"/>
      <c r="AL678" s="870" t="s">
        <v>1058</v>
      </c>
      <c r="AM678" s="15">
        <f t="shared" ref="AM678:AM683" si="368">AT678*AS678</f>
        <v>1.0822270809391363</v>
      </c>
      <c r="AN678" s="20"/>
      <c r="AO678" s="20"/>
      <c r="AP678" s="20"/>
      <c r="AQ678" s="578"/>
      <c r="AR678" s="20">
        <f t="shared" ref="AR678:AR683" si="369">V678*M678/N678/SQRT(3*(1-0.3^2))</f>
        <v>8.296761631590277</v>
      </c>
      <c r="AS678" s="547">
        <f t="shared" ref="AS678:AS683" si="370">2*PI()*N678*M678*AR678/1000</f>
        <v>1.2876132422852502</v>
      </c>
      <c r="AT678" s="128">
        <v>0.84049079754601197</v>
      </c>
      <c r="AU678" s="514"/>
      <c r="AV678" s="128"/>
      <c r="AW678" s="15"/>
      <c r="AX678" s="29"/>
      <c r="AY678" s="216"/>
      <c r="AZ678" s="765"/>
      <c r="BA678" s="292"/>
    </row>
    <row r="679" spans="1:54" ht="16.5" thickBot="1">
      <c r="B679" s="33"/>
      <c r="C679" s="871"/>
      <c r="D679" s="871"/>
      <c r="E679" s="899"/>
      <c r="F679" s="871"/>
      <c r="G679" s="871"/>
      <c r="H679" s="871"/>
      <c r="I679" s="917"/>
      <c r="J679" s="221"/>
      <c r="K679" s="35"/>
      <c r="L679" s="451" t="s">
        <v>745</v>
      </c>
      <c r="M679" s="6">
        <v>0.247</v>
      </c>
      <c r="N679" s="6">
        <v>100</v>
      </c>
      <c r="O679" s="163">
        <v>35.9</v>
      </c>
      <c r="P679" s="6">
        <f t="shared" ref="P679:P683" si="371">O679/N679*SQRT(M679/N679)</f>
        <v>1.7841974946737258E-2</v>
      </c>
      <c r="Q679" s="5">
        <f t="shared" ref="Q679:Q683" si="372">N679/M679</f>
        <v>404.85829959514172</v>
      </c>
      <c r="R679" s="35"/>
      <c r="S679" s="890"/>
      <c r="T679" s="465" t="s">
        <v>857</v>
      </c>
      <c r="U679" s="5"/>
      <c r="V679" s="172">
        <f t="shared" ref="V679:V683" si="373">5.55*10^3</f>
        <v>5550</v>
      </c>
      <c r="X679" s="5"/>
      <c r="AA679" s="35"/>
      <c r="AB679" s="896"/>
      <c r="AC679" s="384"/>
      <c r="AD679" s="882"/>
      <c r="AE679" s="35"/>
      <c r="AK679" s="35"/>
      <c r="AL679" s="871"/>
      <c r="AM679" s="5">
        <f t="shared" si="368"/>
        <v>1.1296238874036237</v>
      </c>
      <c r="AQ679" s="580"/>
      <c r="AR679" s="554">
        <f t="shared" si="369"/>
        <v>8.296761631590277</v>
      </c>
      <c r="AS679" s="576">
        <f t="shared" si="370"/>
        <v>1.2876132422852502</v>
      </c>
      <c r="AT679" s="90">
        <v>0.877300613496932</v>
      </c>
      <c r="AU679" s="512"/>
      <c r="BA679" s="293"/>
    </row>
    <row r="680" spans="1:54" ht="16.5" thickBot="1">
      <c r="B680" s="33"/>
      <c r="C680" s="871"/>
      <c r="D680" s="871"/>
      <c r="E680" s="899"/>
      <c r="F680" s="871"/>
      <c r="G680" s="871"/>
      <c r="H680" s="871"/>
      <c r="I680" s="917"/>
      <c r="J680" s="221"/>
      <c r="K680" s="35"/>
      <c r="L680" s="451" t="s">
        <v>746</v>
      </c>
      <c r="M680" s="6">
        <v>0.247</v>
      </c>
      <c r="N680" s="6">
        <v>100</v>
      </c>
      <c r="O680" s="163">
        <v>51</v>
      </c>
      <c r="P680" s="6">
        <f t="shared" si="371"/>
        <v>2.5346538225169919E-2</v>
      </c>
      <c r="Q680" s="5">
        <f t="shared" si="372"/>
        <v>404.85829959514172</v>
      </c>
      <c r="R680" s="35"/>
      <c r="S680" s="890"/>
      <c r="T680" s="465" t="s">
        <v>857</v>
      </c>
      <c r="U680" s="5"/>
      <c r="V680" s="172">
        <f t="shared" si="373"/>
        <v>5550</v>
      </c>
      <c r="X680" s="5"/>
      <c r="AA680" s="35"/>
      <c r="AB680" s="896"/>
      <c r="AC680" s="384"/>
      <c r="AD680" s="882"/>
      <c r="AE680" s="35"/>
      <c r="AK680" s="35"/>
      <c r="AL680" s="871"/>
      <c r="AM680" s="5">
        <f t="shared" si="368"/>
        <v>1.0229810728585258</v>
      </c>
      <c r="AQ680" s="580"/>
      <c r="AR680" s="554">
        <f t="shared" si="369"/>
        <v>8.296761631590277</v>
      </c>
      <c r="AS680" s="576">
        <f t="shared" si="370"/>
        <v>1.2876132422852502</v>
      </c>
      <c r="AT680" s="90">
        <v>0.79447852760736104</v>
      </c>
      <c r="AU680" s="512"/>
      <c r="BA680" s="293"/>
    </row>
    <row r="681" spans="1:54" ht="16.5" thickBot="1">
      <c r="B681" s="33"/>
      <c r="C681" s="871"/>
      <c r="D681" s="871"/>
      <c r="E681" s="899"/>
      <c r="F681" s="871"/>
      <c r="G681" s="871"/>
      <c r="H681" s="871"/>
      <c r="I681" s="917"/>
      <c r="J681" s="221"/>
      <c r="K681" s="35"/>
      <c r="L681" s="451" t="s">
        <v>744</v>
      </c>
      <c r="M681" s="6">
        <v>0.247</v>
      </c>
      <c r="N681" s="6">
        <v>100</v>
      </c>
      <c r="O681" s="163">
        <v>71.900000000000006</v>
      </c>
      <c r="P681" s="6">
        <f t="shared" si="371"/>
        <v>3.5733648988033676E-2</v>
      </c>
      <c r="Q681" s="5">
        <f t="shared" si="372"/>
        <v>404.85829959514172</v>
      </c>
      <c r="R681" s="35"/>
      <c r="S681" s="890"/>
      <c r="T681" s="465" t="s">
        <v>857</v>
      </c>
      <c r="U681" s="5"/>
      <c r="V681" s="172">
        <f t="shared" si="373"/>
        <v>5550</v>
      </c>
      <c r="X681" s="5"/>
      <c r="AA681" s="35"/>
      <c r="AB681" s="896"/>
      <c r="AC681" s="384"/>
      <c r="AD681" s="882"/>
      <c r="AE681" s="35"/>
      <c r="AK681" s="35"/>
      <c r="AL681" s="871"/>
      <c r="AM681" s="5">
        <f t="shared" si="368"/>
        <v>0.97558426639403839</v>
      </c>
      <c r="AQ681" s="580"/>
      <c r="AR681" s="554">
        <f t="shared" si="369"/>
        <v>8.296761631590277</v>
      </c>
      <c r="AS681" s="576">
        <f t="shared" si="370"/>
        <v>1.2876132422852502</v>
      </c>
      <c r="AT681" s="90">
        <v>0.75766871165644101</v>
      </c>
      <c r="AU681" s="512"/>
      <c r="BA681" s="293"/>
    </row>
    <row r="682" spans="1:54" ht="16.5" thickBot="1">
      <c r="B682" s="33"/>
      <c r="C682" s="871"/>
      <c r="D682" s="871"/>
      <c r="E682" s="899"/>
      <c r="F682" s="871"/>
      <c r="G682" s="871"/>
      <c r="H682" s="871"/>
      <c r="I682" s="917"/>
      <c r="J682" s="221"/>
      <c r="K682" s="35"/>
      <c r="L682" s="451" t="s">
        <v>747</v>
      </c>
      <c r="M682" s="6">
        <v>0.247</v>
      </c>
      <c r="N682" s="6">
        <v>100</v>
      </c>
      <c r="O682" s="163">
        <v>113.9</v>
      </c>
      <c r="P682" s="6">
        <f t="shared" si="371"/>
        <v>5.6607268702879486E-2</v>
      </c>
      <c r="Q682" s="5">
        <f t="shared" si="372"/>
        <v>404.85829959514172</v>
      </c>
      <c r="R682" s="35"/>
      <c r="S682" s="890"/>
      <c r="T682" s="465" t="s">
        <v>857</v>
      </c>
      <c r="U682" s="5"/>
      <c r="V682" s="172">
        <f t="shared" si="373"/>
        <v>5550</v>
      </c>
      <c r="X682" s="5"/>
      <c r="AA682" s="35"/>
      <c r="AB682" s="896"/>
      <c r="AC682" s="384"/>
      <c r="AD682" s="882"/>
      <c r="AE682" s="35"/>
      <c r="AK682" s="35"/>
      <c r="AL682" s="871"/>
      <c r="AM682" s="5">
        <f t="shared" si="368"/>
        <v>0.90843879056934818</v>
      </c>
      <c r="AQ682" s="580"/>
      <c r="AR682" s="554">
        <f t="shared" si="369"/>
        <v>8.296761631590277</v>
      </c>
      <c r="AS682" s="576">
        <f t="shared" si="370"/>
        <v>1.2876132422852502</v>
      </c>
      <c r="AT682" s="90">
        <v>0.70552147239263796</v>
      </c>
      <c r="AU682" s="512"/>
      <c r="BA682" s="293"/>
    </row>
    <row r="683" spans="1:54" ht="16.5" thickBot="1">
      <c r="B683" s="33"/>
      <c r="C683" s="872"/>
      <c r="D683" s="872"/>
      <c r="E683" s="900"/>
      <c r="F683" s="872"/>
      <c r="G683" s="872"/>
      <c r="H683" s="872"/>
      <c r="I683" s="918"/>
      <c r="J683" s="223"/>
      <c r="K683" s="36"/>
      <c r="L683" s="453" t="s">
        <v>748</v>
      </c>
      <c r="M683" s="16">
        <v>0.247</v>
      </c>
      <c r="N683" s="16">
        <v>100</v>
      </c>
      <c r="O683" s="23">
        <v>160.9</v>
      </c>
      <c r="P683" s="16">
        <f t="shared" si="371"/>
        <v>7.9965843145683141E-2</v>
      </c>
      <c r="Q683" s="16">
        <f t="shared" si="372"/>
        <v>404.85829959514172</v>
      </c>
      <c r="R683" s="36"/>
      <c r="S683" s="891"/>
      <c r="T683" s="466" t="s">
        <v>857</v>
      </c>
      <c r="U683" s="18"/>
      <c r="V683" s="173">
        <f t="shared" si="373"/>
        <v>5550</v>
      </c>
      <c r="W683" s="173"/>
      <c r="X683" s="18"/>
      <c r="Y683" s="173"/>
      <c r="Z683" s="31"/>
      <c r="AA683" s="36"/>
      <c r="AB683" s="897"/>
      <c r="AC683" s="385"/>
      <c r="AD683" s="883"/>
      <c r="AE683" s="36"/>
      <c r="AF683" s="18"/>
      <c r="AG683" s="18"/>
      <c r="AH683" s="18"/>
      <c r="AI683" s="18"/>
      <c r="AJ683" s="31"/>
      <c r="AK683" s="36"/>
      <c r="AL683" s="872"/>
      <c r="AM683" s="18">
        <f t="shared" si="368"/>
        <v>1.0585286777068925</v>
      </c>
      <c r="AN683" s="556"/>
      <c r="AO683" s="556"/>
      <c r="AP683" s="556"/>
      <c r="AQ683" s="587"/>
      <c r="AR683" s="556">
        <f t="shared" si="369"/>
        <v>8.296761631590277</v>
      </c>
      <c r="AS683" s="577">
        <f t="shared" si="370"/>
        <v>1.2876132422852502</v>
      </c>
      <c r="AT683" s="91">
        <v>0.82208588957055195</v>
      </c>
      <c r="AU683" s="513"/>
      <c r="AV683" s="91"/>
      <c r="AW683" s="18"/>
      <c r="AX683" s="31"/>
      <c r="AY683" s="286"/>
      <c r="AZ683" s="766"/>
      <c r="BA683" s="295"/>
    </row>
    <row r="684" spans="1:54" ht="16.5" thickBot="1">
      <c r="B684" s="33"/>
      <c r="C684" s="317"/>
      <c r="D684" s="317"/>
      <c r="E684" s="318"/>
      <c r="F684" s="317"/>
      <c r="G684" s="317"/>
      <c r="H684" s="317"/>
      <c r="I684" s="317"/>
      <c r="J684" s="221"/>
      <c r="K684" s="35"/>
      <c r="M684" s="325"/>
      <c r="O684" s="5"/>
      <c r="P684" s="7"/>
      <c r="R684" s="35"/>
      <c r="S684" s="315"/>
      <c r="U684" s="5"/>
      <c r="V684" s="315"/>
      <c r="W684" s="315"/>
      <c r="X684" s="315"/>
      <c r="Y684" s="315"/>
      <c r="Z684" s="285"/>
      <c r="AA684" s="35"/>
      <c r="AB684" s="317"/>
      <c r="AC684" s="382"/>
      <c r="AD684" s="285"/>
      <c r="AE684" s="35"/>
      <c r="AF684" s="317"/>
      <c r="AG684" s="317"/>
      <c r="AK684" s="35"/>
      <c r="AL684" s="317"/>
      <c r="AW684" s="317"/>
      <c r="AX684" s="285"/>
      <c r="BA684" s="293"/>
    </row>
    <row r="685" spans="1:54" ht="16.5" thickBot="1">
      <c r="B685" s="33"/>
      <c r="C685" s="317"/>
      <c r="D685" s="317"/>
      <c r="E685" s="318"/>
      <c r="F685" s="317"/>
      <c r="G685" s="317"/>
      <c r="H685" s="317"/>
      <c r="I685" s="317"/>
      <c r="J685" s="221"/>
      <c r="K685" s="35"/>
      <c r="M685" s="325"/>
      <c r="O685" s="5"/>
      <c r="P685" s="7"/>
      <c r="R685" s="35"/>
      <c r="S685" s="315"/>
      <c r="U685" s="5"/>
      <c r="V685" s="315"/>
      <c r="W685" s="315"/>
      <c r="X685" s="315"/>
      <c r="Y685" s="315"/>
      <c r="Z685" s="285"/>
      <c r="AA685" s="35"/>
      <c r="AB685" s="317"/>
      <c r="AC685" s="382"/>
      <c r="AD685" s="285"/>
      <c r="AE685" s="35"/>
      <c r="AF685" s="317"/>
      <c r="AG685" s="317"/>
      <c r="AK685" s="35"/>
      <c r="AL685" s="317"/>
      <c r="AW685" s="317"/>
      <c r="AX685" s="285"/>
      <c r="BA685" s="293"/>
    </row>
    <row r="686" spans="1:54" ht="16.5" thickBot="1">
      <c r="B686" s="33"/>
      <c r="C686" s="317"/>
      <c r="D686" s="317"/>
      <c r="E686" s="318"/>
      <c r="F686" s="317"/>
      <c r="G686" s="317"/>
      <c r="H686" s="317"/>
      <c r="I686" s="317"/>
      <c r="J686" s="221"/>
      <c r="K686" s="35"/>
      <c r="M686" s="325"/>
      <c r="O686" s="5"/>
      <c r="P686" s="7"/>
      <c r="R686" s="35"/>
      <c r="S686" s="315"/>
      <c r="U686" s="5"/>
      <c r="V686" s="315"/>
      <c r="W686" s="315"/>
      <c r="X686" s="315"/>
      <c r="Y686" s="315"/>
      <c r="Z686" s="285"/>
      <c r="AA686" s="35"/>
      <c r="AB686" s="317"/>
      <c r="AC686" s="382"/>
      <c r="AD686" s="285"/>
      <c r="AE686" s="35"/>
      <c r="AF686" s="317"/>
      <c r="AG686" s="317"/>
      <c r="AK686" s="35"/>
      <c r="AL686" s="317"/>
      <c r="AW686" s="317"/>
      <c r="AX686" s="285"/>
      <c r="BA686" s="293"/>
    </row>
    <row r="687" spans="1:54" ht="16.5" thickBot="1">
      <c r="B687" s="33"/>
      <c r="C687" s="317"/>
      <c r="D687" s="317"/>
      <c r="E687" s="318"/>
      <c r="F687" s="317"/>
      <c r="G687" s="317"/>
      <c r="H687" s="317"/>
      <c r="I687" s="317"/>
      <c r="J687" s="221"/>
      <c r="K687" s="35"/>
      <c r="M687" s="325"/>
      <c r="O687" s="5"/>
      <c r="P687" s="7"/>
      <c r="R687" s="35"/>
      <c r="S687" s="315"/>
      <c r="U687" s="5"/>
      <c r="V687" s="315"/>
      <c r="W687" s="315"/>
      <c r="X687" s="315"/>
      <c r="Y687" s="315"/>
      <c r="Z687" s="285"/>
      <c r="AA687" s="35"/>
      <c r="AB687" s="317"/>
      <c r="AC687" s="382"/>
      <c r="AD687" s="285"/>
      <c r="AE687" s="35"/>
      <c r="AF687" s="317"/>
      <c r="AG687" s="317"/>
      <c r="AK687" s="35"/>
      <c r="AL687" s="317"/>
      <c r="AW687" s="317"/>
      <c r="AX687" s="285"/>
      <c r="BA687" s="293"/>
    </row>
    <row r="688" spans="1:54" ht="16.5" thickBot="1">
      <c r="B688" s="33"/>
      <c r="C688" s="317"/>
      <c r="D688" s="317"/>
      <c r="E688" s="318"/>
      <c r="F688" s="317"/>
      <c r="G688" s="317"/>
      <c r="H688" s="317"/>
      <c r="I688" s="317"/>
      <c r="J688" s="221"/>
      <c r="K688" s="35"/>
      <c r="M688" s="325"/>
      <c r="O688" s="5"/>
      <c r="P688" s="7"/>
      <c r="R688" s="35"/>
      <c r="S688" s="315"/>
      <c r="U688" s="5"/>
      <c r="V688" s="315"/>
      <c r="W688" s="315"/>
      <c r="X688" s="315"/>
      <c r="Y688" s="315"/>
      <c r="Z688" s="285"/>
      <c r="AA688" s="35"/>
      <c r="AB688" s="317"/>
      <c r="AC688" s="382"/>
      <c r="AD688" s="285"/>
      <c r="AE688" s="35"/>
      <c r="AF688" s="317"/>
      <c r="AG688" s="317"/>
      <c r="AK688" s="35"/>
      <c r="AL688" s="317"/>
      <c r="AW688" s="317"/>
      <c r="AX688" s="285"/>
      <c r="BA688" s="293"/>
    </row>
    <row r="689" spans="2:53" ht="16.5" thickBot="1">
      <c r="B689" s="33"/>
      <c r="C689" s="317"/>
      <c r="D689" s="317"/>
      <c r="E689" s="318"/>
      <c r="F689" s="317"/>
      <c r="G689" s="317"/>
      <c r="H689" s="317"/>
      <c r="I689" s="317"/>
      <c r="J689" s="221"/>
      <c r="K689" s="35"/>
      <c r="M689" s="325"/>
      <c r="O689" s="5"/>
      <c r="P689" s="7"/>
      <c r="R689" s="35"/>
      <c r="S689" s="315"/>
      <c r="U689" s="5"/>
      <c r="V689" s="315"/>
      <c r="W689" s="315"/>
      <c r="X689" s="315"/>
      <c r="Y689" s="315"/>
      <c r="Z689" s="285"/>
      <c r="AA689" s="35"/>
      <c r="AB689" s="317"/>
      <c r="AC689" s="382"/>
      <c r="AD689" s="285"/>
      <c r="AE689" s="35"/>
      <c r="AF689" s="317"/>
      <c r="AG689" s="317"/>
      <c r="AK689" s="35"/>
      <c r="AL689" s="317"/>
      <c r="AW689" s="317"/>
      <c r="AX689" s="285"/>
      <c r="BA689" s="293"/>
    </row>
    <row r="690" spans="2:53" ht="16.5" thickBot="1">
      <c r="B690" s="33"/>
      <c r="C690" s="317"/>
      <c r="D690" s="317"/>
      <c r="E690" s="318"/>
      <c r="F690" s="317"/>
      <c r="G690" s="317"/>
      <c r="H690" s="317"/>
      <c r="I690" s="317"/>
      <c r="J690" s="221"/>
      <c r="K690" s="35"/>
      <c r="M690" s="325"/>
      <c r="O690" s="5"/>
      <c r="P690" s="7"/>
      <c r="R690" s="35"/>
      <c r="S690" s="315"/>
      <c r="U690" s="5"/>
      <c r="V690" s="315"/>
      <c r="W690" s="315"/>
      <c r="X690" s="315"/>
      <c r="Y690" s="315"/>
      <c r="Z690" s="285"/>
      <c r="AA690" s="35"/>
      <c r="AB690" s="317"/>
      <c r="AC690" s="382"/>
      <c r="AD690" s="285"/>
      <c r="AE690" s="35"/>
      <c r="AF690" s="317"/>
      <c r="AG690" s="317"/>
      <c r="AK690" s="35"/>
      <c r="AL690" s="317"/>
      <c r="AW690" s="317"/>
      <c r="AX690" s="285"/>
      <c r="BA690" s="293"/>
    </row>
    <row r="691" spans="2:53" ht="16.5" thickBot="1">
      <c r="B691" s="33"/>
      <c r="C691" s="317"/>
      <c r="D691" s="317"/>
      <c r="E691" s="318"/>
      <c r="F691" s="317"/>
      <c r="G691" s="317"/>
      <c r="H691" s="317"/>
      <c r="I691" s="317"/>
      <c r="J691" s="221"/>
      <c r="K691" s="35"/>
      <c r="M691" s="325"/>
      <c r="O691" s="5"/>
      <c r="P691" s="7"/>
      <c r="R691" s="35"/>
      <c r="S691" s="315"/>
      <c r="U691" s="5"/>
      <c r="V691" s="315"/>
      <c r="W691" s="315"/>
      <c r="X691" s="315"/>
      <c r="Y691" s="315"/>
      <c r="Z691" s="285"/>
      <c r="AA691" s="35"/>
      <c r="AB691" s="317"/>
      <c r="AC691" s="382"/>
      <c r="AD691" s="285"/>
      <c r="AE691" s="35"/>
      <c r="AF691" s="317"/>
      <c r="AG691" s="317"/>
      <c r="AK691" s="35"/>
      <c r="AL691" s="317"/>
      <c r="AW691" s="317"/>
      <c r="AX691" s="285"/>
      <c r="BA691" s="293"/>
    </row>
    <row r="692" spans="2:53" ht="16.5" thickBot="1">
      <c r="B692" s="33"/>
      <c r="C692" s="317"/>
      <c r="D692" s="317"/>
      <c r="E692" s="318"/>
      <c r="F692" s="317"/>
      <c r="G692" s="317"/>
      <c r="H692" s="317"/>
      <c r="I692" s="317"/>
      <c r="J692" s="221"/>
      <c r="K692" s="35"/>
      <c r="M692" s="325"/>
      <c r="O692" s="5"/>
      <c r="P692" s="7"/>
      <c r="R692" s="35"/>
      <c r="S692" s="315"/>
      <c r="U692" s="5"/>
      <c r="V692" s="315"/>
      <c r="W692" s="315"/>
      <c r="X692" s="315"/>
      <c r="Y692" s="315"/>
      <c r="Z692" s="285"/>
      <c r="AA692" s="35"/>
      <c r="AB692" s="317"/>
      <c r="AC692" s="382"/>
      <c r="AD692" s="285"/>
      <c r="AE692" s="35"/>
      <c r="AF692" s="317"/>
      <c r="AG692" s="317"/>
      <c r="AK692" s="35"/>
      <c r="AL692" s="317"/>
      <c r="AW692" s="317"/>
      <c r="AX692" s="285"/>
      <c r="BA692" s="293"/>
    </row>
    <row r="693" spans="2:53" ht="16.5" thickBot="1">
      <c r="B693" s="33"/>
      <c r="C693" s="317"/>
      <c r="D693" s="317"/>
      <c r="E693" s="318"/>
      <c r="F693" s="317"/>
      <c r="G693" s="317"/>
      <c r="H693" s="317"/>
      <c r="I693" s="317"/>
      <c r="J693" s="221"/>
      <c r="K693" s="35"/>
      <c r="M693" s="325"/>
      <c r="O693" s="5"/>
      <c r="P693" s="7"/>
      <c r="R693" s="35"/>
      <c r="S693" s="315"/>
      <c r="U693" s="5"/>
      <c r="V693" s="315"/>
      <c r="W693" s="315"/>
      <c r="X693" s="315"/>
      <c r="Y693" s="315"/>
      <c r="Z693" s="285"/>
      <c r="AA693" s="35"/>
      <c r="AB693" s="317"/>
      <c r="AC693" s="382"/>
      <c r="AD693" s="285"/>
      <c r="AE693" s="35"/>
      <c r="AF693" s="317"/>
      <c r="AG693" s="317"/>
      <c r="AK693" s="35"/>
      <c r="AL693" s="317"/>
      <c r="AW693" s="317"/>
      <c r="AX693" s="285"/>
      <c r="BA693" s="293"/>
    </row>
    <row r="694" spans="2:53" ht="16.5" thickBot="1">
      <c r="B694" s="33"/>
      <c r="C694" s="317"/>
      <c r="D694" s="317"/>
      <c r="E694" s="318"/>
      <c r="F694" s="317"/>
      <c r="G694" s="317"/>
      <c r="H694" s="317"/>
      <c r="I694" s="317"/>
      <c r="J694" s="221"/>
      <c r="K694" s="35"/>
      <c r="M694" s="325"/>
      <c r="O694" s="5"/>
      <c r="P694" s="7"/>
      <c r="R694" s="35"/>
      <c r="S694" s="315"/>
      <c r="U694" s="5"/>
      <c r="V694" s="315"/>
      <c r="W694" s="315"/>
      <c r="X694" s="315"/>
      <c r="Y694" s="315"/>
      <c r="Z694" s="285"/>
      <c r="AA694" s="35"/>
      <c r="AB694" s="317"/>
      <c r="AC694" s="382"/>
      <c r="AD694" s="285"/>
      <c r="AE694" s="35"/>
      <c r="AF694" s="317"/>
      <c r="AG694" s="317"/>
      <c r="AK694" s="35"/>
      <c r="AL694" s="317"/>
      <c r="AW694" s="317"/>
      <c r="AX694" s="285"/>
      <c r="BA694" s="293"/>
    </row>
    <row r="695" spans="2:53" ht="16.5" thickBot="1">
      <c r="B695" s="33"/>
      <c r="C695" s="317"/>
      <c r="D695" s="317"/>
      <c r="E695" s="318"/>
      <c r="F695" s="317"/>
      <c r="G695" s="317"/>
      <c r="H695" s="317"/>
      <c r="I695" s="317"/>
      <c r="J695" s="221"/>
      <c r="K695" s="35"/>
      <c r="M695" s="325"/>
      <c r="O695" s="5"/>
      <c r="P695" s="7"/>
      <c r="R695" s="35"/>
      <c r="S695" s="315"/>
      <c r="U695" s="5"/>
      <c r="V695" s="315"/>
      <c r="W695" s="315"/>
      <c r="X695" s="315"/>
      <c r="Y695" s="315"/>
      <c r="Z695" s="285"/>
      <c r="AA695" s="35"/>
      <c r="AB695" s="317"/>
      <c r="AC695" s="382"/>
      <c r="AD695" s="285"/>
      <c r="AE695" s="35"/>
      <c r="AF695" s="317"/>
      <c r="AG695" s="317"/>
      <c r="AK695" s="35"/>
      <c r="AL695" s="317"/>
      <c r="AW695" s="317"/>
      <c r="AX695" s="285"/>
      <c r="BA695" s="293"/>
    </row>
    <row r="696" spans="2:53" ht="16.5" thickBot="1">
      <c r="B696" s="33"/>
      <c r="C696" s="317"/>
      <c r="D696" s="317"/>
      <c r="E696" s="318"/>
      <c r="F696" s="317"/>
      <c r="G696" s="317"/>
      <c r="H696" s="317"/>
      <c r="I696" s="317"/>
      <c r="J696" s="221"/>
      <c r="K696" s="35"/>
      <c r="M696" s="325"/>
      <c r="O696" s="5"/>
      <c r="P696" s="7"/>
      <c r="R696" s="35"/>
      <c r="S696" s="315"/>
      <c r="U696" s="5"/>
      <c r="V696" s="315"/>
      <c r="W696" s="315"/>
      <c r="X696" s="315"/>
      <c r="Y696" s="315"/>
      <c r="Z696" s="285"/>
      <c r="AA696" s="35"/>
      <c r="AB696" s="317"/>
      <c r="AC696" s="382"/>
      <c r="AD696" s="285"/>
      <c r="AE696" s="35"/>
      <c r="AF696" s="317"/>
      <c r="AG696" s="317"/>
      <c r="AK696" s="35"/>
      <c r="AL696" s="317"/>
      <c r="AW696" s="317"/>
      <c r="AX696" s="285"/>
      <c r="BA696" s="293"/>
    </row>
    <row r="697" spans="2:53" ht="16.5" thickBot="1">
      <c r="B697" s="33"/>
      <c r="C697" s="317"/>
      <c r="D697" s="317"/>
      <c r="E697" s="318"/>
      <c r="F697" s="317"/>
      <c r="G697" s="317"/>
      <c r="H697" s="317"/>
      <c r="I697" s="317"/>
      <c r="J697" s="221"/>
      <c r="K697" s="35"/>
      <c r="M697" s="325"/>
      <c r="O697" s="5"/>
      <c r="P697" s="7"/>
      <c r="R697" s="35"/>
      <c r="S697" s="315"/>
      <c r="U697" s="5"/>
      <c r="V697" s="315"/>
      <c r="W697" s="315"/>
      <c r="X697" s="315"/>
      <c r="Y697" s="315"/>
      <c r="Z697" s="285"/>
      <c r="AA697" s="35"/>
      <c r="AB697" s="317"/>
      <c r="AC697" s="382"/>
      <c r="AD697" s="285"/>
      <c r="AE697" s="35"/>
      <c r="AF697" s="317"/>
      <c r="AG697" s="317"/>
      <c r="AK697" s="35"/>
      <c r="AL697" s="317"/>
      <c r="AW697" s="317"/>
      <c r="AX697" s="285"/>
      <c r="BA697" s="293"/>
    </row>
    <row r="698" spans="2:53" ht="16.5" thickBot="1">
      <c r="B698" s="33"/>
      <c r="C698" s="317"/>
      <c r="D698" s="317"/>
      <c r="E698" s="318"/>
      <c r="F698" s="317"/>
      <c r="G698" s="317"/>
      <c r="H698" s="317"/>
      <c r="I698" s="317"/>
      <c r="J698" s="221"/>
      <c r="K698" s="35"/>
      <c r="M698" s="325"/>
      <c r="O698" s="5"/>
      <c r="P698" s="7"/>
      <c r="R698" s="35"/>
      <c r="S698" s="315"/>
      <c r="U698" s="5"/>
      <c r="V698" s="315"/>
      <c r="W698" s="315"/>
      <c r="X698" s="315"/>
      <c r="Y698" s="315"/>
      <c r="Z698" s="285"/>
      <c r="AA698" s="35"/>
      <c r="AB698" s="317"/>
      <c r="AC698" s="382"/>
      <c r="AD698" s="285"/>
      <c r="AE698" s="35"/>
      <c r="AF698" s="317"/>
      <c r="AG698" s="317"/>
      <c r="AK698" s="35"/>
      <c r="AL698" s="317"/>
      <c r="AW698" s="317"/>
      <c r="AX698" s="285"/>
      <c r="BA698" s="293"/>
    </row>
    <row r="699" spans="2:53" ht="16.5" thickBot="1">
      <c r="B699" s="33"/>
      <c r="C699" s="317"/>
      <c r="D699" s="317"/>
      <c r="E699" s="318"/>
      <c r="F699" s="317"/>
      <c r="G699" s="317"/>
      <c r="H699" s="317"/>
      <c r="I699" s="317"/>
      <c r="J699" s="221"/>
      <c r="K699" s="35"/>
      <c r="M699" s="325"/>
      <c r="O699" s="5"/>
      <c r="P699" s="7"/>
      <c r="R699" s="35"/>
      <c r="S699" s="315"/>
      <c r="U699" s="5"/>
      <c r="V699" s="315"/>
      <c r="W699" s="315"/>
      <c r="X699" s="315"/>
      <c r="Y699" s="315"/>
      <c r="Z699" s="285"/>
      <c r="AA699" s="35"/>
      <c r="AB699" s="317"/>
      <c r="AC699" s="382"/>
      <c r="AD699" s="285"/>
      <c r="AE699" s="35"/>
      <c r="AF699" s="317"/>
      <c r="AG699" s="317"/>
      <c r="AK699" s="35"/>
      <c r="AL699" s="317"/>
      <c r="AW699" s="317"/>
      <c r="AX699" s="285"/>
      <c r="BA699" s="293"/>
    </row>
    <row r="700" spans="2:53" ht="16.5" thickBot="1">
      <c r="B700" s="33"/>
      <c r="C700" s="317"/>
      <c r="D700" s="317"/>
      <c r="E700" s="318"/>
      <c r="F700" s="317"/>
      <c r="G700" s="317"/>
      <c r="H700" s="317"/>
      <c r="I700" s="317"/>
      <c r="J700" s="221"/>
      <c r="K700" s="35"/>
      <c r="M700" s="325"/>
      <c r="O700" s="5"/>
      <c r="P700" s="7"/>
      <c r="R700" s="35"/>
      <c r="S700" s="315"/>
      <c r="U700" s="5"/>
      <c r="V700" s="315"/>
      <c r="W700" s="315"/>
      <c r="X700" s="315"/>
      <c r="Y700" s="315"/>
      <c r="Z700" s="285"/>
      <c r="AA700" s="35"/>
      <c r="AB700" s="317"/>
      <c r="AC700" s="382"/>
      <c r="AD700" s="285"/>
      <c r="AE700" s="35"/>
      <c r="AF700" s="317"/>
      <c r="AG700" s="317"/>
      <c r="AK700" s="35"/>
      <c r="AL700" s="317"/>
      <c r="AW700" s="317"/>
      <c r="AX700" s="285"/>
      <c r="BA700" s="293"/>
    </row>
    <row r="701" spans="2:53" ht="16.5" thickBot="1">
      <c r="B701" s="33"/>
      <c r="C701" s="317"/>
      <c r="D701" s="317"/>
      <c r="E701" s="318"/>
      <c r="F701" s="317"/>
      <c r="G701" s="317"/>
      <c r="H701" s="317"/>
      <c r="I701" s="317"/>
      <c r="J701" s="221"/>
      <c r="K701" s="35"/>
      <c r="M701" s="325"/>
      <c r="O701" s="5"/>
      <c r="P701" s="7"/>
      <c r="R701" s="35"/>
      <c r="S701" s="315"/>
      <c r="U701" s="5"/>
      <c r="V701" s="315"/>
      <c r="W701" s="315"/>
      <c r="X701" s="315"/>
      <c r="Y701" s="315"/>
      <c r="Z701" s="285"/>
      <c r="AA701" s="35"/>
      <c r="AB701" s="317"/>
      <c r="AC701" s="382"/>
      <c r="AD701" s="285"/>
      <c r="AE701" s="35"/>
      <c r="AF701" s="317"/>
      <c r="AG701" s="317"/>
      <c r="AK701" s="35"/>
      <c r="AL701" s="317"/>
      <c r="AW701" s="317"/>
      <c r="AX701" s="285"/>
      <c r="BA701" s="293"/>
    </row>
    <row r="702" spans="2:53" ht="16.5" thickBot="1">
      <c r="B702" s="33"/>
      <c r="C702" s="317"/>
      <c r="D702" s="317"/>
      <c r="E702" s="318"/>
      <c r="F702" s="317"/>
      <c r="G702" s="317"/>
      <c r="H702" s="317"/>
      <c r="I702" s="317"/>
      <c r="J702" s="221"/>
      <c r="K702" s="35"/>
      <c r="M702" s="325"/>
      <c r="O702" s="5"/>
      <c r="P702" s="7"/>
      <c r="R702" s="35"/>
      <c r="S702" s="315"/>
      <c r="U702" s="5"/>
      <c r="V702" s="315"/>
      <c r="W702" s="315"/>
      <c r="X702" s="315"/>
      <c r="Y702" s="315"/>
      <c r="Z702" s="285"/>
      <c r="AA702" s="35"/>
      <c r="AB702" s="317"/>
      <c r="AC702" s="382"/>
      <c r="AD702" s="285"/>
      <c r="AE702" s="35"/>
      <c r="AF702" s="317"/>
      <c r="AG702" s="317"/>
      <c r="AK702" s="35"/>
      <c r="AL702" s="317"/>
      <c r="AW702" s="317"/>
      <c r="AX702" s="285"/>
      <c r="BA702" s="293"/>
    </row>
    <row r="703" spans="2:53" ht="16.5" thickBot="1">
      <c r="B703" s="33"/>
      <c r="C703" s="317"/>
      <c r="D703" s="317"/>
      <c r="E703" s="318"/>
      <c r="F703" s="317"/>
      <c r="G703" s="317"/>
      <c r="H703" s="317"/>
      <c r="I703" s="317"/>
      <c r="J703" s="221"/>
      <c r="K703" s="35"/>
      <c r="M703" s="325"/>
      <c r="O703" s="5"/>
      <c r="P703" s="7"/>
      <c r="R703" s="35"/>
      <c r="S703" s="315"/>
      <c r="U703" s="5"/>
      <c r="V703" s="315"/>
      <c r="W703" s="315"/>
      <c r="X703" s="315"/>
      <c r="Y703" s="315"/>
      <c r="Z703" s="285"/>
      <c r="AA703" s="35"/>
      <c r="AB703" s="317"/>
      <c r="AC703" s="382"/>
      <c r="AD703" s="285"/>
      <c r="AE703" s="35"/>
      <c r="AF703" s="317"/>
      <c r="AG703" s="317"/>
      <c r="AK703" s="35"/>
      <c r="AL703" s="317"/>
      <c r="AW703" s="317"/>
      <c r="AX703" s="285"/>
      <c r="BA703" s="293"/>
    </row>
    <row r="704" spans="2:53" ht="16.5" thickBot="1">
      <c r="B704" s="33"/>
      <c r="C704" s="317"/>
      <c r="D704" s="317"/>
      <c r="E704" s="318"/>
      <c r="F704" s="317"/>
      <c r="G704" s="317"/>
      <c r="H704" s="317"/>
      <c r="I704" s="317"/>
      <c r="J704" s="221"/>
      <c r="K704" s="35"/>
      <c r="M704" s="325"/>
      <c r="O704" s="5"/>
      <c r="P704" s="7"/>
      <c r="R704" s="35"/>
      <c r="S704" s="315"/>
      <c r="U704" s="5"/>
      <c r="V704" s="315"/>
      <c r="W704" s="315"/>
      <c r="X704" s="315"/>
      <c r="Y704" s="315"/>
      <c r="Z704" s="285"/>
      <c r="AA704" s="35"/>
      <c r="AB704" s="317"/>
      <c r="AC704" s="382"/>
      <c r="AD704" s="285"/>
      <c r="AE704" s="35"/>
      <c r="AF704" s="317"/>
      <c r="AG704" s="317"/>
      <c r="AK704" s="35"/>
      <c r="AL704" s="317"/>
      <c r="AW704" s="317"/>
      <c r="AX704" s="285"/>
      <c r="BA704" s="293"/>
    </row>
    <row r="705" spans="2:53" s="1" customFormat="1" ht="16.5" thickBot="1">
      <c r="B705" s="322"/>
      <c r="E705" s="159"/>
      <c r="F705" s="4"/>
      <c r="G705" s="4"/>
      <c r="H705" s="4"/>
      <c r="I705" s="327"/>
      <c r="J705" s="228"/>
      <c r="K705" s="235"/>
      <c r="L705" s="451"/>
      <c r="M705" s="6"/>
      <c r="N705" s="6"/>
      <c r="O705" s="6"/>
      <c r="P705" s="6"/>
      <c r="Q705" s="6"/>
      <c r="R705" s="235"/>
      <c r="S705" s="315"/>
      <c r="T705" s="465"/>
      <c r="U705" s="6"/>
      <c r="V705" s="315"/>
      <c r="W705" s="315"/>
      <c r="X705" s="6"/>
      <c r="Y705" s="315"/>
      <c r="Z705" s="107"/>
      <c r="AA705" s="235"/>
      <c r="AB705" s="6"/>
      <c r="AC705" s="6"/>
      <c r="AD705" s="107"/>
      <c r="AE705" s="235"/>
      <c r="AF705" s="6"/>
      <c r="AG705" s="6"/>
      <c r="AH705" s="6"/>
      <c r="AI705" s="6"/>
      <c r="AJ705" s="107"/>
      <c r="AK705" s="235"/>
      <c r="AL705" s="6"/>
      <c r="AM705" s="6"/>
      <c r="AN705" s="450"/>
      <c r="AO705" s="450"/>
      <c r="AP705" s="450"/>
      <c r="AQ705" s="450"/>
      <c r="AR705" s="450"/>
      <c r="AS705" s="608"/>
      <c r="AT705" s="92"/>
      <c r="AU705" s="323"/>
      <c r="AV705" s="92"/>
      <c r="AW705" s="6"/>
      <c r="AX705" s="107"/>
      <c r="AY705" s="289"/>
      <c r="AZ705" s="760"/>
      <c r="BA705" s="324"/>
    </row>
    <row r="706" spans="2:53" ht="16.5" thickBot="1">
      <c r="B706" s="33"/>
      <c r="I706" s="327"/>
      <c r="J706" s="221"/>
      <c r="K706" s="35"/>
      <c r="O706" s="5"/>
      <c r="P706" s="5"/>
      <c r="R706" s="35"/>
      <c r="U706" s="5"/>
      <c r="X706" s="5"/>
      <c r="AA706" s="35"/>
      <c r="AE706" s="35"/>
      <c r="AK706" s="35"/>
      <c r="BA706" s="293"/>
    </row>
    <row r="707" spans="2:53" ht="16.5" thickBot="1">
      <c r="B707" s="33"/>
      <c r="J707" s="221"/>
      <c r="K707" s="35"/>
      <c r="O707" s="5"/>
      <c r="P707" s="5"/>
      <c r="R707" s="35"/>
      <c r="U707" s="5"/>
      <c r="X707" s="5"/>
      <c r="AA707" s="35"/>
      <c r="AE707" s="35"/>
      <c r="AK707" s="35"/>
      <c r="BA707" s="293"/>
    </row>
    <row r="708" spans="2:53" ht="16.5" thickBot="1">
      <c r="B708" s="33"/>
      <c r="J708" s="221"/>
      <c r="K708" s="35"/>
      <c r="O708" s="5"/>
      <c r="P708" s="5"/>
      <c r="R708" s="35"/>
      <c r="U708" s="5"/>
      <c r="X708" s="5"/>
      <c r="AA708" s="35"/>
      <c r="AE708" s="35"/>
      <c r="AK708" s="35"/>
      <c r="BA708" s="293"/>
    </row>
    <row r="709" spans="2:53" ht="16.5" thickBot="1">
      <c r="B709" s="33"/>
      <c r="J709" s="221"/>
      <c r="K709" s="35"/>
      <c r="O709" s="5"/>
      <c r="P709" s="5"/>
      <c r="R709" s="35"/>
      <c r="U709" s="5"/>
      <c r="X709" s="5"/>
      <c r="AA709" s="35"/>
      <c r="AE709" s="35"/>
      <c r="AK709" s="35"/>
      <c r="BA709" s="293"/>
    </row>
    <row r="710" spans="2:53" ht="16.5" thickBot="1">
      <c r="B710" s="33"/>
      <c r="J710" s="221"/>
      <c r="K710" s="35"/>
      <c r="O710" s="5"/>
      <c r="P710" s="5"/>
      <c r="R710" s="35"/>
      <c r="U710" s="5"/>
      <c r="X710" s="5"/>
      <c r="AA710" s="35"/>
      <c r="AE710" s="35"/>
      <c r="AK710" s="35"/>
      <c r="BA710" s="293"/>
    </row>
    <row r="711" spans="2:53" ht="16.5" thickBot="1">
      <c r="B711" s="33"/>
      <c r="J711" s="221"/>
      <c r="K711" s="35"/>
      <c r="O711" s="5"/>
      <c r="P711" s="5"/>
      <c r="R711" s="35"/>
      <c r="U711" s="5"/>
      <c r="X711" s="5"/>
      <c r="AA711" s="35"/>
      <c r="AE711" s="35"/>
      <c r="AK711" s="35"/>
      <c r="BA711" s="293"/>
    </row>
    <row r="712" spans="2:53" ht="16.5" thickBot="1">
      <c r="B712" s="33"/>
      <c r="J712" s="221"/>
      <c r="K712" s="35"/>
      <c r="O712" s="5"/>
      <c r="P712" s="5"/>
      <c r="R712" s="35"/>
      <c r="U712" s="5"/>
      <c r="X712" s="5"/>
      <c r="AA712" s="35"/>
      <c r="AE712" s="35"/>
      <c r="AK712" s="35"/>
      <c r="BA712" s="293"/>
    </row>
    <row r="713" spans="2:53" ht="16.5" thickBot="1">
      <c r="B713" s="33"/>
      <c r="J713" s="221"/>
      <c r="K713" s="35"/>
      <c r="O713" s="5"/>
      <c r="P713" s="5"/>
      <c r="R713" s="35"/>
      <c r="U713" s="5"/>
      <c r="X713" s="5"/>
      <c r="AA713" s="35"/>
      <c r="AE713" s="35"/>
      <c r="AK713" s="35"/>
      <c r="BA713" s="293"/>
    </row>
    <row r="714" spans="2:53" ht="16.5" thickBot="1">
      <c r="B714" s="33"/>
      <c r="J714" s="221"/>
      <c r="K714" s="35"/>
      <c r="O714" s="5"/>
      <c r="P714" s="5"/>
      <c r="R714" s="35"/>
      <c r="U714" s="5"/>
      <c r="X714" s="5"/>
      <c r="AA714" s="35"/>
      <c r="AE714" s="35"/>
      <c r="AK714" s="35"/>
      <c r="BA714" s="293"/>
    </row>
    <row r="715" spans="2:53" ht="16.5" thickBot="1">
      <c r="B715" s="33"/>
      <c r="J715" s="221"/>
      <c r="K715" s="35"/>
      <c r="O715" s="5"/>
      <c r="P715" s="5"/>
      <c r="R715" s="35"/>
      <c r="U715" s="5"/>
      <c r="X715" s="5"/>
      <c r="AA715" s="35"/>
      <c r="AE715" s="35"/>
      <c r="AK715" s="35"/>
      <c r="BA715" s="293"/>
    </row>
    <row r="716" spans="2:53" ht="16.5" thickBot="1">
      <c r="B716" s="33"/>
      <c r="J716" s="221"/>
      <c r="K716" s="35"/>
      <c r="O716" s="5"/>
      <c r="P716" s="5"/>
      <c r="R716" s="35"/>
      <c r="U716" s="5"/>
      <c r="X716" s="5"/>
      <c r="AA716" s="35"/>
      <c r="AE716" s="35"/>
      <c r="AK716" s="35"/>
      <c r="BA716" s="293"/>
    </row>
    <row r="717" spans="2:53">
      <c r="O717" s="5"/>
      <c r="P717" s="5"/>
      <c r="U717" s="5"/>
      <c r="X717" s="5"/>
    </row>
    <row r="718" spans="2:53">
      <c r="O718" s="5"/>
      <c r="P718" s="5"/>
      <c r="U718" s="5"/>
      <c r="X718" s="5"/>
    </row>
    <row r="719" spans="2:53">
      <c r="O719" s="5"/>
      <c r="P719" s="5"/>
      <c r="U719" s="5"/>
      <c r="X719" s="5"/>
    </row>
    <row r="720" spans="2:53">
      <c r="O720" s="5"/>
      <c r="P720" s="5"/>
      <c r="U720" s="5"/>
      <c r="X720" s="5"/>
    </row>
    <row r="721" spans="15:24">
      <c r="O721" s="5"/>
      <c r="P721" s="5"/>
      <c r="U721" s="5"/>
      <c r="X721" s="5"/>
    </row>
    <row r="722" spans="15:24">
      <c r="O722" s="5"/>
      <c r="P722" s="5"/>
      <c r="U722" s="5"/>
      <c r="X722" s="5"/>
    </row>
    <row r="723" spans="15:24">
      <c r="O723" s="5"/>
      <c r="P723" s="5"/>
      <c r="U723" s="5"/>
      <c r="X723" s="5"/>
    </row>
    <row r="724" spans="15:24">
      <c r="O724" s="5"/>
      <c r="P724" s="5"/>
      <c r="U724" s="5"/>
      <c r="X724" s="5"/>
    </row>
    <row r="725" spans="15:24">
      <c r="O725" s="5"/>
      <c r="P725" s="5"/>
      <c r="U725" s="5"/>
      <c r="X725" s="5"/>
    </row>
    <row r="726" spans="15:24">
      <c r="O726" s="5"/>
      <c r="P726" s="5"/>
      <c r="U726" s="5"/>
      <c r="X726" s="5"/>
    </row>
    <row r="727" spans="15:24">
      <c r="O727" s="5"/>
      <c r="P727" s="5"/>
      <c r="U727" s="5"/>
      <c r="X727" s="5"/>
    </row>
    <row r="728" spans="15:24">
      <c r="O728" s="5"/>
      <c r="P728" s="5"/>
      <c r="U728" s="5"/>
      <c r="X728" s="5"/>
    </row>
    <row r="729" spans="15:24">
      <c r="O729" s="5"/>
      <c r="P729" s="5"/>
      <c r="U729" s="5"/>
      <c r="X729" s="5"/>
    </row>
    <row r="730" spans="15:24">
      <c r="O730" s="5"/>
      <c r="P730" s="5"/>
      <c r="U730" s="5"/>
      <c r="X730" s="5"/>
    </row>
    <row r="731" spans="15:24">
      <c r="O731" s="5"/>
      <c r="P731" s="5"/>
      <c r="U731" s="5"/>
      <c r="X731" s="5"/>
    </row>
    <row r="732" spans="15:24">
      <c r="O732" s="5"/>
      <c r="P732" s="5"/>
      <c r="U732" s="5"/>
      <c r="X732" s="5"/>
    </row>
    <row r="733" spans="15:24">
      <c r="O733" s="5"/>
      <c r="P733" s="5"/>
      <c r="U733" s="5"/>
      <c r="X733" s="5"/>
    </row>
    <row r="734" spans="15:24">
      <c r="O734" s="5"/>
      <c r="P734" s="5"/>
      <c r="U734" s="5"/>
      <c r="X734" s="5"/>
    </row>
    <row r="735" spans="15:24">
      <c r="O735" s="5"/>
      <c r="P735" s="5"/>
      <c r="U735" s="5"/>
      <c r="X735" s="5"/>
    </row>
    <row r="736" spans="15:24">
      <c r="O736" s="5"/>
      <c r="P736" s="5"/>
      <c r="U736" s="5"/>
      <c r="X736" s="5"/>
    </row>
    <row r="737" spans="15:24">
      <c r="O737" s="5"/>
      <c r="P737" s="5"/>
      <c r="U737" s="5"/>
      <c r="X737" s="5"/>
    </row>
    <row r="738" spans="15:24">
      <c r="O738" s="5"/>
      <c r="P738" s="5"/>
      <c r="U738" s="5"/>
      <c r="X738" s="5"/>
    </row>
    <row r="739" spans="15:24">
      <c r="O739" s="5"/>
      <c r="P739" s="5"/>
      <c r="U739" s="5"/>
      <c r="X739" s="5"/>
    </row>
    <row r="740" spans="15:24">
      <c r="O740" s="5"/>
      <c r="P740" s="5"/>
      <c r="U740" s="5"/>
      <c r="X740" s="5"/>
    </row>
    <row r="741" spans="15:24">
      <c r="O741" s="5"/>
      <c r="P741" s="5"/>
      <c r="U741" s="5"/>
      <c r="X741" s="5"/>
    </row>
    <row r="742" spans="15:24">
      <c r="O742" s="5"/>
      <c r="P742" s="5"/>
      <c r="U742" s="5"/>
      <c r="X742" s="5"/>
    </row>
    <row r="743" spans="15:24">
      <c r="O743" s="5"/>
      <c r="P743" s="5"/>
      <c r="U743" s="5"/>
      <c r="X743" s="5"/>
    </row>
    <row r="744" spans="15:24">
      <c r="O744" s="5"/>
      <c r="P744" s="5"/>
      <c r="U744" s="5"/>
      <c r="X744" s="5"/>
    </row>
    <row r="745" spans="15:24">
      <c r="O745" s="5"/>
      <c r="P745" s="5"/>
      <c r="U745" s="5"/>
      <c r="X745" s="5"/>
    </row>
    <row r="746" spans="15:24">
      <c r="O746" s="5"/>
      <c r="P746" s="5"/>
      <c r="U746" s="5"/>
      <c r="X746" s="5"/>
    </row>
    <row r="747" spans="15:24">
      <c r="O747" s="5"/>
      <c r="P747" s="5"/>
      <c r="U747" s="5"/>
      <c r="X747" s="5"/>
    </row>
    <row r="748" spans="15:24">
      <c r="O748" s="5"/>
      <c r="P748" s="5"/>
      <c r="U748" s="5"/>
      <c r="X748" s="5"/>
    </row>
    <row r="749" spans="15:24">
      <c r="O749" s="5"/>
      <c r="P749" s="5"/>
      <c r="U749" s="5"/>
      <c r="X749" s="5"/>
    </row>
    <row r="750" spans="15:24">
      <c r="O750" s="5"/>
      <c r="P750" s="5"/>
      <c r="U750" s="5"/>
      <c r="X750" s="5"/>
    </row>
    <row r="751" spans="15:24">
      <c r="O751" s="5"/>
      <c r="P751" s="5"/>
      <c r="U751" s="5"/>
      <c r="X751" s="5"/>
    </row>
    <row r="752" spans="15:24">
      <c r="O752" s="5"/>
      <c r="P752" s="5"/>
      <c r="U752" s="5"/>
      <c r="X752" s="5"/>
    </row>
    <row r="753" spans="15:24">
      <c r="O753" s="5"/>
      <c r="P753" s="5"/>
      <c r="U753" s="5"/>
      <c r="X753" s="5"/>
    </row>
    <row r="754" spans="15:24">
      <c r="O754" s="5"/>
      <c r="P754" s="5"/>
      <c r="U754" s="5"/>
      <c r="X754" s="5"/>
    </row>
    <row r="755" spans="15:24">
      <c r="O755" s="5"/>
      <c r="P755" s="5"/>
      <c r="U755" s="5"/>
      <c r="X755" s="5"/>
    </row>
    <row r="756" spans="15:24">
      <c r="O756" s="5"/>
      <c r="P756" s="5"/>
      <c r="U756" s="5"/>
      <c r="X756" s="5"/>
    </row>
    <row r="757" spans="15:24">
      <c r="O757" s="5"/>
      <c r="P757" s="5"/>
      <c r="U757" s="5"/>
      <c r="X757" s="5"/>
    </row>
    <row r="758" spans="15:24">
      <c r="O758" s="5"/>
      <c r="P758" s="5"/>
      <c r="U758" s="5"/>
      <c r="X758" s="5"/>
    </row>
    <row r="759" spans="15:24">
      <c r="O759" s="5"/>
      <c r="P759" s="5"/>
      <c r="U759" s="5"/>
      <c r="X759" s="5"/>
    </row>
    <row r="760" spans="15:24">
      <c r="O760" s="5"/>
      <c r="P760" s="5"/>
      <c r="U760" s="5"/>
      <c r="X760" s="5"/>
    </row>
    <row r="761" spans="15:24">
      <c r="O761" s="5"/>
      <c r="P761" s="5"/>
      <c r="U761" s="5"/>
      <c r="X761" s="5"/>
    </row>
    <row r="762" spans="15:24">
      <c r="O762" s="5"/>
      <c r="P762" s="5"/>
      <c r="U762" s="5"/>
      <c r="X762" s="5"/>
    </row>
    <row r="763" spans="15:24">
      <c r="O763" s="5"/>
      <c r="P763" s="5"/>
      <c r="U763" s="5"/>
      <c r="X763" s="5"/>
    </row>
    <row r="764" spans="15:24">
      <c r="O764" s="5"/>
      <c r="P764" s="5"/>
      <c r="U764" s="5"/>
      <c r="X764" s="5"/>
    </row>
    <row r="765" spans="15:24">
      <c r="O765" s="5"/>
      <c r="P765" s="5"/>
      <c r="U765" s="5"/>
      <c r="X765" s="5"/>
    </row>
    <row r="766" spans="15:24">
      <c r="O766" s="5"/>
      <c r="P766" s="5"/>
      <c r="U766" s="5"/>
      <c r="X766" s="5"/>
    </row>
    <row r="767" spans="15:24">
      <c r="O767" s="5"/>
      <c r="P767" s="5"/>
      <c r="U767" s="5"/>
      <c r="X767" s="5"/>
    </row>
    <row r="768" spans="15:24">
      <c r="O768" s="5"/>
      <c r="P768" s="5"/>
      <c r="U768" s="5"/>
      <c r="X768" s="5"/>
    </row>
    <row r="769" spans="15:24">
      <c r="O769" s="5"/>
      <c r="P769" s="5"/>
      <c r="U769" s="5"/>
      <c r="X769" s="5"/>
    </row>
    <row r="770" spans="15:24">
      <c r="O770" s="5"/>
      <c r="P770" s="5"/>
      <c r="U770" s="5"/>
      <c r="X770" s="5"/>
    </row>
    <row r="771" spans="15:24">
      <c r="O771" s="5"/>
      <c r="P771" s="5"/>
      <c r="U771" s="5"/>
      <c r="X771" s="5"/>
    </row>
    <row r="772" spans="15:24">
      <c r="O772" s="5"/>
      <c r="P772" s="5"/>
      <c r="U772" s="5"/>
      <c r="X772" s="5"/>
    </row>
    <row r="773" spans="15:24">
      <c r="O773" s="5"/>
      <c r="P773" s="5"/>
      <c r="U773" s="5"/>
      <c r="X773" s="5"/>
    </row>
    <row r="774" spans="15:24">
      <c r="O774" s="5"/>
      <c r="P774" s="5"/>
      <c r="U774" s="5"/>
      <c r="X774" s="5"/>
    </row>
    <row r="775" spans="15:24">
      <c r="O775" s="5"/>
      <c r="P775" s="5"/>
      <c r="U775" s="5"/>
      <c r="X775" s="5"/>
    </row>
    <row r="776" spans="15:24">
      <c r="O776" s="5"/>
      <c r="P776" s="5"/>
      <c r="U776" s="5"/>
      <c r="X776" s="5"/>
    </row>
    <row r="777" spans="15:24">
      <c r="O777" s="5"/>
      <c r="P777" s="5"/>
      <c r="U777" s="5"/>
      <c r="X777" s="5"/>
    </row>
    <row r="778" spans="15:24">
      <c r="O778" s="5"/>
      <c r="P778" s="5"/>
      <c r="U778" s="5"/>
      <c r="X778" s="5"/>
    </row>
    <row r="779" spans="15:24">
      <c r="O779" s="5"/>
      <c r="P779" s="5"/>
      <c r="U779" s="5"/>
      <c r="X779" s="5"/>
    </row>
    <row r="780" spans="15:24">
      <c r="O780" s="5"/>
      <c r="P780" s="5"/>
      <c r="U780" s="5"/>
      <c r="X780" s="5"/>
    </row>
    <row r="781" spans="15:24">
      <c r="O781" s="5"/>
      <c r="P781" s="5"/>
      <c r="U781" s="5"/>
      <c r="X781" s="5"/>
    </row>
    <row r="782" spans="15:24">
      <c r="O782" s="5"/>
      <c r="P782" s="5"/>
      <c r="U782" s="5"/>
      <c r="X782" s="5"/>
    </row>
    <row r="783" spans="15:24">
      <c r="O783" s="5"/>
      <c r="P783" s="5"/>
      <c r="U783" s="5"/>
      <c r="X783" s="5"/>
    </row>
    <row r="784" spans="15:24">
      <c r="O784" s="5"/>
      <c r="P784" s="5"/>
      <c r="U784" s="5"/>
      <c r="X784" s="5"/>
    </row>
    <row r="785" spans="15:24">
      <c r="O785" s="5"/>
      <c r="P785" s="5"/>
      <c r="U785" s="5"/>
      <c r="X785" s="5"/>
    </row>
    <row r="786" spans="15:24">
      <c r="O786" s="5"/>
      <c r="P786" s="5"/>
      <c r="U786" s="5"/>
      <c r="X786" s="5"/>
    </row>
    <row r="787" spans="15:24">
      <c r="O787" s="5"/>
      <c r="P787" s="5"/>
      <c r="U787" s="5"/>
      <c r="X787" s="5"/>
    </row>
    <row r="788" spans="15:24">
      <c r="O788" s="5"/>
      <c r="P788" s="5"/>
      <c r="U788" s="5"/>
      <c r="X788" s="5"/>
    </row>
    <row r="789" spans="15:24">
      <c r="O789" s="5"/>
      <c r="P789" s="5"/>
      <c r="U789" s="5"/>
      <c r="X789" s="5"/>
    </row>
    <row r="790" spans="15:24">
      <c r="O790" s="5"/>
      <c r="P790" s="5"/>
      <c r="U790" s="5"/>
      <c r="X790" s="5"/>
    </row>
    <row r="791" spans="15:24">
      <c r="O791" s="5"/>
      <c r="P791" s="5"/>
      <c r="U791" s="5"/>
      <c r="X791" s="5"/>
    </row>
    <row r="792" spans="15:24">
      <c r="O792" s="5"/>
      <c r="P792" s="5"/>
      <c r="U792" s="5"/>
      <c r="X792" s="5"/>
    </row>
    <row r="793" spans="15:24">
      <c r="O793" s="5"/>
      <c r="P793" s="5"/>
      <c r="U793" s="5"/>
      <c r="X793" s="5"/>
    </row>
    <row r="794" spans="15:24">
      <c r="O794" s="5"/>
      <c r="P794" s="5"/>
      <c r="U794" s="5"/>
      <c r="X794" s="5"/>
    </row>
    <row r="795" spans="15:24">
      <c r="O795" s="5"/>
      <c r="P795" s="5"/>
      <c r="U795" s="5"/>
      <c r="X795" s="5"/>
    </row>
    <row r="796" spans="15:24">
      <c r="O796" s="5"/>
      <c r="P796" s="5"/>
      <c r="U796" s="5"/>
      <c r="X796" s="5"/>
    </row>
    <row r="797" spans="15:24">
      <c r="O797" s="5"/>
      <c r="P797" s="5"/>
      <c r="U797" s="5"/>
      <c r="X797" s="5"/>
    </row>
    <row r="798" spans="15:24">
      <c r="O798" s="5"/>
      <c r="P798" s="5"/>
      <c r="U798" s="5"/>
      <c r="X798" s="5"/>
    </row>
    <row r="799" spans="15:24">
      <c r="O799" s="5"/>
      <c r="P799" s="5"/>
      <c r="U799" s="5"/>
      <c r="X799" s="5"/>
    </row>
    <row r="800" spans="15:24">
      <c r="O800" s="5"/>
      <c r="P800" s="5"/>
      <c r="U800" s="5"/>
      <c r="X800" s="5"/>
    </row>
    <row r="801" spans="15:24">
      <c r="O801" s="5"/>
      <c r="P801" s="5"/>
      <c r="U801" s="5"/>
      <c r="X801" s="5"/>
    </row>
    <row r="802" spans="15:24">
      <c r="O802" s="5"/>
      <c r="P802" s="5"/>
      <c r="U802" s="5"/>
      <c r="X802" s="5"/>
    </row>
    <row r="803" spans="15:24">
      <c r="O803" s="5"/>
      <c r="P803" s="5"/>
      <c r="U803" s="5"/>
      <c r="X803" s="5"/>
    </row>
    <row r="804" spans="15:24">
      <c r="O804" s="5"/>
      <c r="P804" s="5"/>
      <c r="U804" s="5"/>
      <c r="X804" s="5"/>
    </row>
    <row r="805" spans="15:24">
      <c r="O805" s="5"/>
      <c r="P805" s="5"/>
      <c r="U805" s="5"/>
      <c r="X805" s="5"/>
    </row>
    <row r="806" spans="15:24">
      <c r="O806" s="5"/>
      <c r="P806" s="5"/>
      <c r="U806" s="5"/>
      <c r="X806" s="5"/>
    </row>
    <row r="807" spans="15:24">
      <c r="O807" s="5"/>
      <c r="P807" s="5"/>
      <c r="U807" s="5"/>
      <c r="X807" s="5"/>
    </row>
    <row r="808" spans="15:24">
      <c r="O808" s="5"/>
      <c r="P808" s="5"/>
      <c r="U808" s="5"/>
      <c r="X808" s="5"/>
    </row>
    <row r="809" spans="15:24">
      <c r="O809" s="5"/>
      <c r="P809" s="5"/>
      <c r="U809" s="5"/>
      <c r="X809" s="5"/>
    </row>
    <row r="810" spans="15:24">
      <c r="O810" s="5"/>
      <c r="P810" s="5"/>
      <c r="U810" s="5"/>
      <c r="X810" s="5"/>
    </row>
    <row r="811" spans="15:24">
      <c r="O811" s="5"/>
      <c r="P811" s="5"/>
      <c r="U811" s="5"/>
      <c r="X811" s="5"/>
    </row>
    <row r="812" spans="15:24">
      <c r="O812" s="5"/>
      <c r="P812" s="5"/>
      <c r="U812" s="5"/>
      <c r="X812" s="5"/>
    </row>
    <row r="813" spans="15:24">
      <c r="O813" s="5"/>
      <c r="P813" s="5"/>
      <c r="U813" s="5"/>
      <c r="X813" s="5"/>
    </row>
    <row r="814" spans="15:24">
      <c r="O814" s="5"/>
      <c r="P814" s="5"/>
      <c r="U814" s="5"/>
      <c r="X814" s="5"/>
    </row>
    <row r="815" spans="15:24">
      <c r="O815" s="5"/>
      <c r="P815" s="5"/>
      <c r="U815" s="5"/>
      <c r="X815" s="5"/>
    </row>
    <row r="816" spans="15:24">
      <c r="O816" s="5"/>
      <c r="P816" s="5"/>
      <c r="U816" s="5"/>
      <c r="X816" s="5"/>
    </row>
    <row r="817" spans="15:24">
      <c r="O817" s="5"/>
      <c r="P817" s="5"/>
      <c r="U817" s="5"/>
      <c r="X817" s="5"/>
    </row>
    <row r="818" spans="15:24">
      <c r="O818" s="5"/>
      <c r="P818" s="5"/>
      <c r="U818" s="5"/>
      <c r="X818" s="5"/>
    </row>
    <row r="819" spans="15:24">
      <c r="O819" s="5"/>
      <c r="P819" s="5"/>
      <c r="U819" s="5"/>
      <c r="X819" s="5"/>
    </row>
    <row r="820" spans="15:24">
      <c r="O820" s="5"/>
      <c r="P820" s="5"/>
      <c r="U820" s="5"/>
      <c r="X820" s="5"/>
    </row>
    <row r="821" spans="15:24">
      <c r="O821" s="5"/>
      <c r="P821" s="5"/>
      <c r="U821" s="5"/>
      <c r="X821" s="5"/>
    </row>
    <row r="822" spans="15:24">
      <c r="O822" s="5"/>
      <c r="P822" s="5"/>
      <c r="U822" s="5"/>
      <c r="X822" s="5"/>
    </row>
    <row r="823" spans="15:24">
      <c r="O823" s="5"/>
      <c r="P823" s="5"/>
      <c r="U823" s="5"/>
      <c r="X823" s="5"/>
    </row>
    <row r="824" spans="15:24">
      <c r="O824" s="5"/>
      <c r="P824" s="5"/>
      <c r="U824" s="5"/>
      <c r="X824" s="5"/>
    </row>
    <row r="825" spans="15:24">
      <c r="O825" s="5"/>
      <c r="P825" s="5"/>
      <c r="U825" s="5"/>
      <c r="X825" s="5"/>
    </row>
    <row r="826" spans="15:24">
      <c r="O826" s="5"/>
      <c r="P826" s="5"/>
      <c r="U826" s="5"/>
      <c r="X826" s="5"/>
    </row>
    <row r="827" spans="15:24">
      <c r="O827" s="5"/>
      <c r="P827" s="5"/>
      <c r="U827" s="5"/>
      <c r="X827" s="5"/>
    </row>
    <row r="828" spans="15:24">
      <c r="O828" s="5"/>
      <c r="P828" s="5"/>
      <c r="U828" s="5"/>
      <c r="X828" s="5"/>
    </row>
    <row r="829" spans="15:24">
      <c r="O829" s="5"/>
      <c r="P829" s="5"/>
      <c r="U829" s="5"/>
      <c r="X829" s="5"/>
    </row>
    <row r="830" spans="15:24">
      <c r="O830" s="5"/>
      <c r="P830" s="5"/>
      <c r="U830" s="5"/>
      <c r="X830" s="5"/>
    </row>
    <row r="831" spans="15:24">
      <c r="O831" s="5"/>
      <c r="P831" s="5"/>
      <c r="U831" s="5"/>
      <c r="X831" s="5"/>
    </row>
    <row r="832" spans="15:24">
      <c r="O832" s="5"/>
      <c r="P832" s="5"/>
      <c r="U832" s="5"/>
      <c r="X832" s="5"/>
    </row>
    <row r="833" spans="15:24">
      <c r="O833" s="5"/>
      <c r="P833" s="5"/>
      <c r="U833" s="5"/>
      <c r="X833" s="5"/>
    </row>
    <row r="834" spans="15:24">
      <c r="O834" s="5"/>
      <c r="P834" s="5"/>
      <c r="U834" s="5"/>
      <c r="X834" s="5"/>
    </row>
    <row r="835" spans="15:24">
      <c r="O835" s="5"/>
      <c r="P835" s="5"/>
      <c r="U835" s="5"/>
      <c r="X835" s="5"/>
    </row>
    <row r="836" spans="15:24">
      <c r="O836" s="5"/>
      <c r="P836" s="5"/>
      <c r="U836" s="5"/>
      <c r="X836" s="5"/>
    </row>
    <row r="837" spans="15:24">
      <c r="O837" s="5"/>
      <c r="P837" s="5"/>
      <c r="U837" s="5"/>
      <c r="X837" s="5"/>
    </row>
    <row r="838" spans="15:24">
      <c r="O838" s="5"/>
      <c r="P838" s="5"/>
      <c r="U838" s="5"/>
      <c r="X838" s="5"/>
    </row>
    <row r="839" spans="15:24">
      <c r="O839" s="5"/>
      <c r="P839" s="5"/>
      <c r="U839" s="5"/>
      <c r="X839" s="5"/>
    </row>
    <row r="840" spans="15:24">
      <c r="O840" s="5"/>
      <c r="P840" s="5"/>
      <c r="U840" s="5"/>
      <c r="X840" s="5"/>
    </row>
    <row r="841" spans="15:24">
      <c r="O841" s="5"/>
      <c r="P841" s="5"/>
      <c r="U841" s="5"/>
      <c r="X841" s="5"/>
    </row>
    <row r="842" spans="15:24">
      <c r="O842" s="5"/>
      <c r="P842" s="5"/>
      <c r="U842" s="5"/>
      <c r="X842" s="5"/>
    </row>
    <row r="843" spans="15:24">
      <c r="O843" s="5"/>
      <c r="P843" s="5"/>
      <c r="U843" s="5"/>
      <c r="X843" s="5"/>
    </row>
    <row r="844" spans="15:24">
      <c r="O844" s="5"/>
      <c r="P844" s="5"/>
      <c r="U844" s="5"/>
      <c r="X844" s="5"/>
    </row>
    <row r="845" spans="15:24">
      <c r="O845" s="5"/>
      <c r="P845" s="5"/>
      <c r="U845" s="5"/>
      <c r="X845" s="5"/>
    </row>
    <row r="846" spans="15:24">
      <c r="O846" s="5"/>
      <c r="P846" s="5"/>
      <c r="U846" s="5"/>
      <c r="X846" s="5"/>
    </row>
    <row r="847" spans="15:24">
      <c r="O847" s="5"/>
      <c r="P847" s="5"/>
      <c r="U847" s="5"/>
      <c r="X847" s="5"/>
    </row>
    <row r="848" spans="15:24">
      <c r="O848" s="5"/>
      <c r="P848" s="5"/>
      <c r="U848" s="5"/>
      <c r="X848" s="5"/>
    </row>
    <row r="849" spans="15:24">
      <c r="O849" s="5"/>
      <c r="P849" s="5"/>
      <c r="U849" s="5"/>
      <c r="X849" s="5"/>
    </row>
    <row r="850" spans="15:24">
      <c r="O850" s="5"/>
      <c r="P850" s="5"/>
      <c r="U850" s="5"/>
      <c r="X850" s="5"/>
    </row>
    <row r="851" spans="15:24">
      <c r="O851" s="5"/>
      <c r="P851" s="5"/>
      <c r="U851" s="5"/>
      <c r="X851" s="5"/>
    </row>
    <row r="852" spans="15:24">
      <c r="O852" s="5"/>
      <c r="P852" s="5"/>
      <c r="U852" s="5"/>
      <c r="X852" s="5"/>
    </row>
    <row r="853" spans="15:24">
      <c r="O853" s="5"/>
      <c r="P853" s="5"/>
      <c r="U853" s="5"/>
      <c r="X853" s="5"/>
    </row>
    <row r="854" spans="15:24">
      <c r="O854" s="5"/>
      <c r="P854" s="5"/>
      <c r="U854" s="5"/>
      <c r="X854" s="5"/>
    </row>
    <row r="855" spans="15:24">
      <c r="O855" s="5"/>
      <c r="P855" s="5"/>
      <c r="U855" s="5"/>
      <c r="X855" s="5"/>
    </row>
    <row r="856" spans="15:24">
      <c r="O856" s="5"/>
      <c r="P856" s="5"/>
      <c r="U856" s="5"/>
      <c r="X856" s="5"/>
    </row>
    <row r="857" spans="15:24">
      <c r="O857" s="5"/>
      <c r="P857" s="5"/>
      <c r="U857" s="5"/>
      <c r="X857" s="5"/>
    </row>
    <row r="858" spans="15:24">
      <c r="O858" s="5"/>
      <c r="P858" s="5"/>
      <c r="U858" s="5"/>
      <c r="X858" s="5"/>
    </row>
    <row r="859" spans="15:24">
      <c r="O859" s="5"/>
      <c r="P859" s="5"/>
      <c r="U859" s="5"/>
      <c r="X859" s="5"/>
    </row>
    <row r="860" spans="15:24">
      <c r="O860" s="5"/>
      <c r="P860" s="5"/>
      <c r="U860" s="5"/>
      <c r="X860" s="5"/>
    </row>
    <row r="861" spans="15:24">
      <c r="O861" s="5"/>
      <c r="P861" s="5"/>
      <c r="U861" s="5"/>
      <c r="X861" s="5"/>
    </row>
    <row r="862" spans="15:24">
      <c r="O862" s="5"/>
      <c r="P862" s="5"/>
      <c r="U862" s="5"/>
      <c r="X862" s="5"/>
    </row>
    <row r="863" spans="15:24">
      <c r="O863" s="5"/>
      <c r="P863" s="5"/>
      <c r="U863" s="5"/>
      <c r="X863" s="5"/>
    </row>
    <row r="864" spans="15:24">
      <c r="O864" s="5"/>
      <c r="P864" s="5"/>
      <c r="U864" s="5"/>
      <c r="X864" s="5"/>
    </row>
    <row r="865" spans="15:24">
      <c r="O865" s="5"/>
      <c r="P865" s="5"/>
      <c r="U865" s="5"/>
      <c r="X865" s="5"/>
    </row>
    <row r="866" spans="15:24">
      <c r="O866" s="5"/>
      <c r="P866" s="5"/>
      <c r="U866" s="5"/>
      <c r="X866" s="5"/>
    </row>
    <row r="867" spans="15:24">
      <c r="O867" s="5"/>
      <c r="P867" s="5"/>
      <c r="U867" s="5"/>
      <c r="X867" s="5"/>
    </row>
    <row r="868" spans="15:24">
      <c r="O868" s="5"/>
      <c r="P868" s="5"/>
      <c r="U868" s="5"/>
      <c r="X868" s="5"/>
    </row>
    <row r="869" spans="15:24">
      <c r="O869" s="5"/>
      <c r="P869" s="5"/>
      <c r="U869" s="5"/>
      <c r="X869" s="5"/>
    </row>
    <row r="870" spans="15:24">
      <c r="O870" s="5"/>
      <c r="P870" s="5"/>
      <c r="U870" s="5"/>
      <c r="X870" s="5"/>
    </row>
    <row r="871" spans="15:24">
      <c r="O871" s="5"/>
      <c r="P871" s="5"/>
      <c r="U871" s="5"/>
      <c r="X871" s="5"/>
    </row>
    <row r="872" spans="15:24">
      <c r="O872" s="5"/>
      <c r="P872" s="5"/>
      <c r="U872" s="5"/>
      <c r="X872" s="5"/>
    </row>
    <row r="873" spans="15:24">
      <c r="O873" s="5"/>
      <c r="P873" s="5"/>
      <c r="U873" s="5"/>
      <c r="X873" s="5"/>
    </row>
    <row r="874" spans="15:24">
      <c r="O874" s="5"/>
      <c r="P874" s="5"/>
      <c r="U874" s="5"/>
      <c r="X874" s="5"/>
    </row>
    <row r="875" spans="15:24">
      <c r="O875" s="5"/>
      <c r="P875" s="5"/>
      <c r="U875" s="5"/>
      <c r="X875" s="5"/>
    </row>
    <row r="876" spans="15:24">
      <c r="O876" s="5"/>
      <c r="P876" s="5"/>
      <c r="U876" s="5"/>
      <c r="X876" s="5"/>
    </row>
    <row r="877" spans="15:24">
      <c r="O877" s="5"/>
      <c r="P877" s="5"/>
      <c r="U877" s="5"/>
      <c r="X877" s="5"/>
    </row>
    <row r="878" spans="15:24">
      <c r="O878" s="5"/>
      <c r="P878" s="5"/>
      <c r="U878" s="5"/>
      <c r="X878" s="5"/>
    </row>
    <row r="879" spans="15:24">
      <c r="O879" s="5"/>
      <c r="P879" s="5"/>
      <c r="U879" s="5"/>
      <c r="X879" s="5"/>
    </row>
    <row r="880" spans="15:24">
      <c r="O880" s="5"/>
      <c r="P880" s="5"/>
      <c r="U880" s="5"/>
      <c r="X880" s="5"/>
    </row>
    <row r="881" spans="15:24">
      <c r="O881" s="5"/>
      <c r="P881" s="5"/>
      <c r="U881" s="5"/>
      <c r="X881" s="5"/>
    </row>
    <row r="882" spans="15:24">
      <c r="O882" s="5"/>
      <c r="P882" s="5"/>
      <c r="U882" s="5"/>
      <c r="X882" s="5"/>
    </row>
    <row r="883" spans="15:24">
      <c r="O883" s="5"/>
      <c r="P883" s="5"/>
      <c r="U883" s="5"/>
      <c r="X883" s="5"/>
    </row>
    <row r="884" spans="15:24">
      <c r="O884" s="5"/>
      <c r="P884" s="5"/>
      <c r="U884" s="5"/>
      <c r="X884" s="5"/>
    </row>
    <row r="885" spans="15:24">
      <c r="O885" s="5"/>
      <c r="P885" s="5"/>
      <c r="U885" s="5"/>
      <c r="X885" s="5"/>
    </row>
    <row r="886" spans="15:24">
      <c r="O886" s="5"/>
      <c r="P886" s="5"/>
      <c r="U886" s="5"/>
      <c r="X886" s="5"/>
    </row>
    <row r="887" spans="15:24">
      <c r="O887" s="5"/>
      <c r="P887" s="5"/>
      <c r="U887" s="5"/>
      <c r="X887" s="5"/>
    </row>
    <row r="888" spans="15:24">
      <c r="O888" s="5"/>
      <c r="P888" s="5"/>
      <c r="U888" s="5"/>
      <c r="X888" s="5"/>
    </row>
    <row r="889" spans="15:24">
      <c r="O889" s="5"/>
      <c r="P889" s="5"/>
      <c r="U889" s="5"/>
      <c r="X889" s="5"/>
    </row>
    <row r="890" spans="15:24">
      <c r="O890" s="5"/>
      <c r="P890" s="5"/>
      <c r="U890" s="5"/>
      <c r="X890" s="5"/>
    </row>
    <row r="891" spans="15:24">
      <c r="O891" s="5"/>
      <c r="P891" s="5"/>
      <c r="U891" s="5"/>
      <c r="X891" s="5"/>
    </row>
    <row r="892" spans="15:24">
      <c r="O892" s="5"/>
      <c r="P892" s="5"/>
      <c r="U892" s="5"/>
      <c r="X892" s="5"/>
    </row>
    <row r="893" spans="15:24">
      <c r="O893" s="5"/>
      <c r="P893" s="5"/>
      <c r="U893" s="5"/>
      <c r="X893" s="5"/>
    </row>
    <row r="894" spans="15:24">
      <c r="O894" s="5"/>
      <c r="P894" s="5"/>
      <c r="U894" s="5"/>
      <c r="X894" s="5"/>
    </row>
    <row r="895" spans="15:24">
      <c r="O895" s="5"/>
      <c r="P895" s="5"/>
      <c r="U895" s="5"/>
      <c r="X895" s="5"/>
    </row>
    <row r="896" spans="15:24">
      <c r="O896" s="5"/>
      <c r="P896" s="5"/>
      <c r="U896" s="5"/>
      <c r="X896" s="5"/>
    </row>
    <row r="897" spans="15:24">
      <c r="O897" s="5"/>
      <c r="P897" s="5"/>
      <c r="U897" s="5"/>
      <c r="X897" s="5"/>
    </row>
    <row r="898" spans="15:24">
      <c r="O898" s="5"/>
      <c r="P898" s="5"/>
      <c r="U898" s="5"/>
      <c r="X898" s="5"/>
    </row>
    <row r="899" spans="15:24">
      <c r="O899" s="5"/>
      <c r="P899" s="5"/>
      <c r="U899" s="5"/>
      <c r="X899" s="5"/>
    </row>
    <row r="900" spans="15:24">
      <c r="O900" s="5"/>
      <c r="P900" s="5"/>
      <c r="U900" s="5"/>
      <c r="X900" s="5"/>
    </row>
    <row r="901" spans="15:24">
      <c r="O901" s="5"/>
      <c r="P901" s="5"/>
      <c r="U901" s="5"/>
      <c r="X901" s="5"/>
    </row>
    <row r="902" spans="15:24">
      <c r="O902" s="5"/>
      <c r="P902" s="5"/>
      <c r="U902" s="5"/>
      <c r="X902" s="5"/>
    </row>
    <row r="903" spans="15:24">
      <c r="O903" s="5"/>
      <c r="P903" s="5"/>
      <c r="U903" s="5"/>
      <c r="X903" s="5"/>
    </row>
    <row r="904" spans="15:24">
      <c r="O904" s="5"/>
      <c r="P904" s="5"/>
      <c r="U904" s="5"/>
      <c r="X904" s="5"/>
    </row>
    <row r="905" spans="15:24">
      <c r="O905" s="5"/>
      <c r="P905" s="5"/>
      <c r="U905" s="5"/>
      <c r="X905" s="5"/>
    </row>
    <row r="906" spans="15:24">
      <c r="O906" s="5"/>
      <c r="P906" s="5"/>
      <c r="U906" s="5"/>
      <c r="X906" s="5"/>
    </row>
    <row r="907" spans="15:24">
      <c r="O907" s="5"/>
      <c r="P907" s="5"/>
      <c r="U907" s="5"/>
      <c r="X907" s="5"/>
    </row>
    <row r="908" spans="15:24">
      <c r="O908" s="5"/>
      <c r="P908" s="5"/>
      <c r="U908" s="5"/>
      <c r="X908" s="5"/>
    </row>
    <row r="909" spans="15:24">
      <c r="O909" s="5"/>
      <c r="P909" s="5"/>
      <c r="U909" s="5"/>
      <c r="X909" s="5"/>
    </row>
    <row r="910" spans="15:24">
      <c r="O910" s="5"/>
      <c r="P910" s="5"/>
      <c r="U910" s="5"/>
      <c r="X910" s="5"/>
    </row>
    <row r="911" spans="15:24">
      <c r="O911" s="5"/>
      <c r="P911" s="5"/>
      <c r="U911" s="5"/>
      <c r="X911" s="5"/>
    </row>
    <row r="912" spans="15:24">
      <c r="O912" s="5"/>
      <c r="P912" s="5"/>
      <c r="U912" s="5"/>
      <c r="X912" s="5"/>
    </row>
    <row r="913" spans="15:24">
      <c r="O913" s="5"/>
      <c r="P913" s="5"/>
      <c r="U913" s="5"/>
      <c r="X913" s="5"/>
    </row>
    <row r="914" spans="15:24">
      <c r="O914" s="5"/>
      <c r="P914" s="5"/>
      <c r="U914" s="5"/>
      <c r="X914" s="5"/>
    </row>
    <row r="915" spans="15:24">
      <c r="O915" s="5"/>
      <c r="P915" s="5"/>
      <c r="U915" s="5"/>
      <c r="X915" s="5"/>
    </row>
    <row r="916" spans="15:24">
      <c r="O916" s="5"/>
      <c r="P916" s="5"/>
      <c r="U916" s="5"/>
      <c r="X916" s="5"/>
    </row>
    <row r="917" spans="15:24">
      <c r="O917" s="5"/>
      <c r="P917" s="5"/>
      <c r="U917" s="5"/>
      <c r="X917" s="5"/>
    </row>
    <row r="918" spans="15:24">
      <c r="O918" s="5"/>
      <c r="P918" s="5"/>
      <c r="U918" s="5"/>
      <c r="X918" s="5"/>
    </row>
    <row r="919" spans="15:24">
      <c r="O919" s="5"/>
      <c r="P919" s="5"/>
      <c r="U919" s="5"/>
      <c r="X919" s="5"/>
    </row>
    <row r="920" spans="15:24">
      <c r="O920" s="5"/>
      <c r="P920" s="5"/>
      <c r="U920" s="5"/>
      <c r="X920" s="5"/>
    </row>
    <row r="921" spans="15:24">
      <c r="O921" s="5"/>
      <c r="P921" s="5"/>
      <c r="U921" s="5"/>
      <c r="X921" s="5"/>
    </row>
    <row r="922" spans="15:24">
      <c r="O922" s="5"/>
      <c r="P922" s="5"/>
      <c r="U922" s="5"/>
      <c r="X922" s="5"/>
    </row>
    <row r="923" spans="15:24">
      <c r="O923" s="5"/>
      <c r="P923" s="5"/>
      <c r="U923" s="5"/>
      <c r="X923" s="5"/>
    </row>
    <row r="924" spans="15:24">
      <c r="O924" s="5"/>
      <c r="P924" s="5"/>
      <c r="U924" s="5"/>
      <c r="X924" s="5"/>
    </row>
    <row r="925" spans="15:24">
      <c r="O925" s="5"/>
      <c r="P925" s="5"/>
      <c r="U925" s="5"/>
      <c r="X925" s="5"/>
    </row>
    <row r="926" spans="15:24">
      <c r="O926" s="5"/>
      <c r="P926" s="5"/>
      <c r="U926" s="5"/>
      <c r="X926" s="5"/>
    </row>
    <row r="927" spans="15:24">
      <c r="O927" s="5"/>
      <c r="P927" s="5"/>
      <c r="U927" s="5"/>
      <c r="X927" s="5"/>
    </row>
    <row r="928" spans="15:24">
      <c r="O928" s="5"/>
      <c r="P928" s="5"/>
      <c r="U928" s="5"/>
      <c r="X928" s="5"/>
    </row>
    <row r="929" spans="15:24">
      <c r="O929" s="5"/>
      <c r="P929" s="5"/>
      <c r="U929" s="5"/>
      <c r="X929" s="5"/>
    </row>
    <row r="930" spans="15:24">
      <c r="O930" s="5"/>
      <c r="P930" s="5"/>
      <c r="U930" s="5"/>
      <c r="X930" s="5"/>
    </row>
    <row r="931" spans="15:24">
      <c r="O931" s="5"/>
      <c r="P931" s="5"/>
      <c r="U931" s="5"/>
      <c r="X931" s="5"/>
    </row>
    <row r="932" spans="15:24">
      <c r="O932" s="5"/>
      <c r="P932" s="5"/>
      <c r="U932" s="5"/>
      <c r="X932" s="5"/>
    </row>
    <row r="933" spans="15:24">
      <c r="O933" s="5"/>
      <c r="P933" s="5"/>
      <c r="U933" s="5"/>
      <c r="X933" s="5"/>
    </row>
    <row r="934" spans="15:24">
      <c r="O934" s="5"/>
      <c r="P934" s="5"/>
      <c r="U934" s="5"/>
      <c r="X934" s="5"/>
    </row>
    <row r="935" spans="15:24">
      <c r="O935" s="5"/>
      <c r="P935" s="5"/>
      <c r="U935" s="5"/>
      <c r="X935" s="5"/>
    </row>
    <row r="936" spans="15:24">
      <c r="O936" s="5"/>
      <c r="P936" s="5"/>
      <c r="U936" s="5"/>
      <c r="X936" s="5"/>
    </row>
    <row r="937" spans="15:24">
      <c r="O937" s="5"/>
      <c r="P937" s="5"/>
      <c r="U937" s="5"/>
      <c r="X937" s="5"/>
    </row>
    <row r="938" spans="15:24">
      <c r="O938" s="5"/>
      <c r="P938" s="5"/>
      <c r="U938" s="5"/>
      <c r="X938" s="5"/>
    </row>
    <row r="939" spans="15:24">
      <c r="O939" s="5"/>
      <c r="P939" s="5"/>
      <c r="U939" s="5"/>
      <c r="X939" s="5"/>
    </row>
    <row r="940" spans="15:24">
      <c r="O940" s="5"/>
      <c r="P940" s="5"/>
      <c r="U940" s="5"/>
      <c r="X940" s="5"/>
    </row>
    <row r="941" spans="15:24">
      <c r="O941" s="5"/>
      <c r="P941" s="5"/>
      <c r="U941" s="5"/>
      <c r="X941" s="5"/>
    </row>
    <row r="942" spans="15:24">
      <c r="O942" s="5"/>
      <c r="P942" s="5"/>
      <c r="U942" s="5"/>
      <c r="X942" s="5"/>
    </row>
    <row r="943" spans="15:24">
      <c r="O943" s="5"/>
      <c r="P943" s="5"/>
      <c r="U943" s="5"/>
      <c r="X943" s="5"/>
    </row>
    <row r="944" spans="15:24">
      <c r="O944" s="5"/>
      <c r="P944" s="5"/>
      <c r="U944" s="5"/>
      <c r="X944" s="5"/>
    </row>
    <row r="945" spans="15:24">
      <c r="O945" s="5"/>
      <c r="P945" s="5"/>
      <c r="U945" s="5"/>
      <c r="X945" s="5"/>
    </row>
    <row r="946" spans="15:24">
      <c r="O946" s="5"/>
      <c r="P946" s="5"/>
      <c r="U946" s="5"/>
      <c r="X946" s="5"/>
    </row>
    <row r="947" spans="15:24">
      <c r="O947" s="5"/>
      <c r="P947" s="5"/>
      <c r="U947" s="5"/>
      <c r="X947" s="5"/>
    </row>
    <row r="948" spans="15:24">
      <c r="O948" s="5"/>
      <c r="P948" s="5"/>
      <c r="U948" s="5"/>
      <c r="X948" s="5"/>
    </row>
    <row r="949" spans="15:24">
      <c r="O949" s="5"/>
      <c r="P949" s="5"/>
      <c r="U949" s="5"/>
      <c r="X949" s="5"/>
    </row>
    <row r="950" spans="15:24">
      <c r="O950" s="5"/>
      <c r="P950" s="5"/>
      <c r="U950" s="5"/>
      <c r="X950" s="5"/>
    </row>
    <row r="951" spans="15:24">
      <c r="O951" s="5"/>
      <c r="P951" s="5"/>
      <c r="U951" s="5"/>
      <c r="X951" s="5"/>
    </row>
    <row r="952" spans="15:24">
      <c r="O952" s="5"/>
      <c r="P952" s="5"/>
      <c r="U952" s="5"/>
      <c r="X952" s="5"/>
    </row>
    <row r="953" spans="15:24">
      <c r="O953" s="5"/>
      <c r="P953" s="5"/>
      <c r="U953" s="5"/>
      <c r="X953" s="5"/>
    </row>
    <row r="954" spans="15:24">
      <c r="O954" s="5"/>
      <c r="P954" s="5"/>
      <c r="U954" s="5"/>
      <c r="X954" s="5"/>
    </row>
    <row r="955" spans="15:24">
      <c r="O955" s="5"/>
      <c r="P955" s="5"/>
      <c r="U955" s="5"/>
      <c r="X955" s="5"/>
    </row>
    <row r="956" spans="15:24">
      <c r="O956" s="5"/>
      <c r="P956" s="5"/>
      <c r="U956" s="5"/>
      <c r="X956" s="5"/>
    </row>
    <row r="957" spans="15:24">
      <c r="O957" s="5"/>
      <c r="P957" s="5"/>
      <c r="U957" s="5"/>
      <c r="X957" s="5"/>
    </row>
    <row r="958" spans="15:24">
      <c r="O958" s="5"/>
      <c r="P958" s="5"/>
      <c r="U958" s="5"/>
      <c r="X958" s="5"/>
    </row>
    <row r="959" spans="15:24">
      <c r="O959" s="5"/>
      <c r="P959" s="5"/>
      <c r="U959" s="5"/>
      <c r="X959" s="5"/>
    </row>
    <row r="960" spans="15:24">
      <c r="O960" s="5"/>
      <c r="P960" s="5"/>
      <c r="U960" s="5"/>
      <c r="X960" s="5"/>
    </row>
    <row r="961" spans="15:24">
      <c r="O961" s="5"/>
      <c r="P961" s="5"/>
      <c r="U961" s="5"/>
      <c r="X961" s="5"/>
    </row>
    <row r="962" spans="15:24">
      <c r="O962" s="5"/>
      <c r="P962" s="5"/>
      <c r="U962" s="5"/>
      <c r="X962" s="5"/>
    </row>
    <row r="963" spans="15:24">
      <c r="O963" s="5"/>
      <c r="P963" s="5"/>
      <c r="U963" s="5"/>
      <c r="X963" s="5"/>
    </row>
    <row r="964" spans="15:24">
      <c r="O964" s="5"/>
      <c r="P964" s="5"/>
      <c r="U964" s="5"/>
      <c r="X964" s="5"/>
    </row>
    <row r="965" spans="15:24">
      <c r="O965" s="5"/>
      <c r="P965" s="5"/>
      <c r="U965" s="5"/>
      <c r="X965" s="5"/>
    </row>
    <row r="966" spans="15:24">
      <c r="O966" s="5"/>
      <c r="P966" s="5"/>
      <c r="U966" s="5"/>
      <c r="X966" s="5"/>
    </row>
    <row r="967" spans="15:24">
      <c r="O967" s="5"/>
      <c r="P967" s="5"/>
      <c r="U967" s="5"/>
      <c r="X967" s="5"/>
    </row>
    <row r="968" spans="15:24">
      <c r="O968" s="5"/>
      <c r="P968" s="5"/>
      <c r="U968" s="5"/>
      <c r="X968" s="5"/>
    </row>
    <row r="969" spans="15:24">
      <c r="O969" s="5"/>
      <c r="P969" s="5"/>
      <c r="U969" s="5"/>
      <c r="X969" s="5"/>
    </row>
    <row r="970" spans="15:24">
      <c r="O970" s="5"/>
      <c r="P970" s="5"/>
      <c r="U970" s="5"/>
      <c r="X970" s="5"/>
    </row>
    <row r="971" spans="15:24">
      <c r="O971" s="5"/>
      <c r="P971" s="5"/>
      <c r="U971" s="5"/>
      <c r="X971" s="5"/>
    </row>
    <row r="972" spans="15:24">
      <c r="O972" s="5"/>
      <c r="P972" s="5"/>
      <c r="U972" s="5"/>
      <c r="X972" s="5"/>
    </row>
    <row r="973" spans="15:24">
      <c r="O973" s="5"/>
      <c r="P973" s="5"/>
      <c r="U973" s="5"/>
      <c r="X973" s="5"/>
    </row>
    <row r="974" spans="15:24">
      <c r="O974" s="5"/>
      <c r="P974" s="5"/>
      <c r="U974" s="5"/>
      <c r="X974" s="5"/>
    </row>
    <row r="975" spans="15:24">
      <c r="O975" s="5"/>
      <c r="P975" s="5"/>
      <c r="U975" s="5"/>
      <c r="X975" s="5"/>
    </row>
    <row r="976" spans="15:24">
      <c r="O976" s="5"/>
      <c r="P976" s="5"/>
      <c r="U976" s="5"/>
      <c r="X976" s="5"/>
    </row>
    <row r="977" spans="15:24">
      <c r="O977" s="5"/>
      <c r="P977" s="5"/>
      <c r="U977" s="5"/>
      <c r="X977" s="5"/>
    </row>
    <row r="978" spans="15:24">
      <c r="O978" s="5"/>
      <c r="P978" s="5"/>
      <c r="U978" s="5"/>
      <c r="X978" s="5"/>
    </row>
    <row r="979" spans="15:24">
      <c r="O979" s="5"/>
      <c r="P979" s="5"/>
      <c r="U979" s="5"/>
      <c r="X979" s="5"/>
    </row>
    <row r="980" spans="15:24">
      <c r="O980" s="5"/>
      <c r="P980" s="5"/>
      <c r="U980" s="5"/>
      <c r="X980" s="5"/>
    </row>
    <row r="981" spans="15:24">
      <c r="O981" s="5"/>
      <c r="P981" s="5"/>
      <c r="U981" s="5"/>
      <c r="X981" s="5"/>
    </row>
    <row r="982" spans="15:24">
      <c r="O982" s="5"/>
      <c r="P982" s="5"/>
      <c r="U982" s="5"/>
      <c r="X982" s="5"/>
    </row>
    <row r="983" spans="15:24">
      <c r="O983" s="5"/>
      <c r="P983" s="5"/>
      <c r="U983" s="5"/>
      <c r="X983" s="5"/>
    </row>
    <row r="984" spans="15:24">
      <c r="O984" s="5"/>
      <c r="P984" s="5"/>
      <c r="U984" s="5"/>
      <c r="X984" s="5"/>
    </row>
    <row r="985" spans="15:24">
      <c r="O985" s="5"/>
      <c r="P985" s="5"/>
      <c r="U985" s="5"/>
      <c r="X985" s="5"/>
    </row>
    <row r="986" spans="15:24">
      <c r="O986" s="5"/>
      <c r="P986" s="5"/>
      <c r="U986" s="5"/>
      <c r="X986" s="5"/>
    </row>
    <row r="987" spans="15:24">
      <c r="O987" s="5"/>
      <c r="P987" s="5"/>
      <c r="U987" s="5"/>
      <c r="X987" s="5"/>
    </row>
    <row r="988" spans="15:24">
      <c r="O988" s="5"/>
      <c r="P988" s="5"/>
      <c r="U988" s="5"/>
      <c r="X988" s="5"/>
    </row>
    <row r="989" spans="15:24">
      <c r="O989" s="5"/>
      <c r="P989" s="5"/>
      <c r="U989" s="5"/>
      <c r="X989" s="5"/>
    </row>
    <row r="990" spans="15:24">
      <c r="O990" s="5"/>
      <c r="P990" s="5"/>
      <c r="U990" s="5"/>
      <c r="X990" s="5"/>
    </row>
    <row r="991" spans="15:24">
      <c r="O991" s="5"/>
      <c r="P991" s="5"/>
      <c r="U991" s="5"/>
      <c r="X991" s="5"/>
    </row>
    <row r="992" spans="15:24">
      <c r="O992" s="5"/>
      <c r="P992" s="5"/>
      <c r="U992" s="5"/>
      <c r="X992" s="5"/>
    </row>
    <row r="993" spans="15:24">
      <c r="O993" s="5"/>
      <c r="P993" s="5"/>
      <c r="U993" s="5"/>
      <c r="X993" s="5"/>
    </row>
    <row r="994" spans="15:24">
      <c r="O994" s="5"/>
      <c r="P994" s="5"/>
      <c r="U994" s="5"/>
      <c r="X994" s="5"/>
    </row>
    <row r="995" spans="15:24">
      <c r="O995" s="5"/>
      <c r="P995" s="5"/>
      <c r="U995" s="5"/>
      <c r="X995" s="5"/>
    </row>
    <row r="996" spans="15:24">
      <c r="O996" s="5"/>
      <c r="P996" s="5"/>
      <c r="U996" s="5"/>
      <c r="X996" s="5"/>
    </row>
    <row r="997" spans="15:24">
      <c r="O997" s="5"/>
      <c r="P997" s="5"/>
      <c r="U997" s="5"/>
      <c r="X997" s="5"/>
    </row>
    <row r="998" spans="15:24">
      <c r="O998" s="5"/>
      <c r="P998" s="5"/>
      <c r="U998" s="5"/>
      <c r="X998" s="5"/>
    </row>
    <row r="999" spans="15:24">
      <c r="O999" s="5"/>
      <c r="P999" s="5"/>
      <c r="U999" s="5"/>
      <c r="X999" s="5"/>
    </row>
    <row r="1000" spans="15:24">
      <c r="O1000" s="5"/>
      <c r="P1000" s="5"/>
      <c r="U1000" s="5"/>
      <c r="X1000" s="5"/>
    </row>
    <row r="1001" spans="15:24">
      <c r="O1001" s="5"/>
      <c r="P1001" s="5"/>
      <c r="U1001" s="5"/>
      <c r="X1001" s="5"/>
    </row>
    <row r="1002" spans="15:24">
      <c r="O1002" s="5"/>
      <c r="P1002" s="5"/>
      <c r="U1002" s="5"/>
      <c r="X1002" s="5"/>
    </row>
    <row r="1003" spans="15:24">
      <c r="O1003" s="5"/>
      <c r="P1003" s="5"/>
      <c r="U1003" s="5"/>
      <c r="X1003" s="5"/>
    </row>
    <row r="1004" spans="15:24">
      <c r="O1004" s="5"/>
      <c r="P1004" s="5"/>
      <c r="U1004" s="5"/>
      <c r="X1004" s="5"/>
    </row>
    <row r="1005" spans="15:24">
      <c r="O1005" s="5"/>
      <c r="P1005" s="5"/>
      <c r="U1005" s="5"/>
      <c r="X1005" s="5"/>
    </row>
    <row r="1006" spans="15:24">
      <c r="O1006" s="5"/>
      <c r="P1006" s="5"/>
      <c r="U1006" s="5"/>
      <c r="X1006" s="5"/>
    </row>
    <row r="1007" spans="15:24">
      <c r="O1007" s="5"/>
      <c r="P1007" s="5"/>
      <c r="U1007" s="5"/>
      <c r="X1007" s="5"/>
    </row>
    <row r="1008" spans="15:24">
      <c r="O1008" s="5"/>
      <c r="P1008" s="5"/>
      <c r="U1008" s="5"/>
      <c r="X1008" s="5"/>
    </row>
    <row r="1009" spans="15:24">
      <c r="O1009" s="5"/>
      <c r="P1009" s="5"/>
      <c r="U1009" s="5"/>
      <c r="X1009" s="5"/>
    </row>
    <row r="1010" spans="15:24">
      <c r="O1010" s="5"/>
      <c r="P1010" s="5"/>
      <c r="U1010" s="5"/>
      <c r="X1010" s="5"/>
    </row>
    <row r="1011" spans="15:24">
      <c r="O1011" s="5"/>
      <c r="P1011" s="5"/>
      <c r="U1011" s="5"/>
      <c r="X1011" s="5"/>
    </row>
    <row r="1012" spans="15:24">
      <c r="O1012" s="5"/>
      <c r="P1012" s="5"/>
      <c r="U1012" s="5"/>
      <c r="X1012" s="5"/>
    </row>
    <row r="1013" spans="15:24">
      <c r="O1013" s="5"/>
      <c r="P1013" s="5"/>
      <c r="U1013" s="5"/>
      <c r="X1013" s="5"/>
    </row>
    <row r="1014" spans="15:24">
      <c r="O1014" s="5"/>
      <c r="P1014" s="5"/>
      <c r="U1014" s="5"/>
      <c r="X1014" s="5"/>
    </row>
    <row r="1015" spans="15:24">
      <c r="O1015" s="5"/>
      <c r="P1015" s="5"/>
      <c r="U1015" s="5"/>
      <c r="X1015" s="5"/>
    </row>
    <row r="1016" spans="15:24">
      <c r="O1016" s="5"/>
      <c r="P1016" s="5"/>
      <c r="U1016" s="5"/>
      <c r="X1016" s="5"/>
    </row>
    <row r="1017" spans="15:24">
      <c r="O1017" s="5"/>
      <c r="P1017" s="5"/>
      <c r="U1017" s="5"/>
      <c r="X1017" s="5"/>
    </row>
    <row r="1018" spans="15:24">
      <c r="O1018" s="5"/>
      <c r="P1018" s="5"/>
      <c r="U1018" s="5"/>
      <c r="X1018" s="5"/>
    </row>
    <row r="1019" spans="15:24">
      <c r="O1019" s="5"/>
      <c r="P1019" s="5"/>
      <c r="U1019" s="5"/>
      <c r="X1019" s="5"/>
    </row>
    <row r="1020" spans="15:24">
      <c r="O1020" s="5"/>
      <c r="P1020" s="5"/>
      <c r="U1020" s="5"/>
      <c r="X1020" s="5"/>
    </row>
    <row r="1021" spans="15:24">
      <c r="O1021" s="5"/>
      <c r="P1021" s="5"/>
      <c r="U1021" s="5"/>
      <c r="X1021" s="5"/>
    </row>
    <row r="1022" spans="15:24">
      <c r="O1022" s="5"/>
      <c r="P1022" s="5"/>
      <c r="U1022" s="5"/>
      <c r="X1022" s="5"/>
    </row>
    <row r="1023" spans="15:24">
      <c r="O1023" s="5"/>
      <c r="P1023" s="5"/>
      <c r="U1023" s="5"/>
      <c r="X1023" s="5"/>
    </row>
    <row r="1024" spans="15:24">
      <c r="O1024" s="5"/>
      <c r="P1024" s="5"/>
      <c r="U1024" s="5"/>
      <c r="X1024" s="5"/>
    </row>
    <row r="1025" spans="15:24">
      <c r="O1025" s="5"/>
      <c r="P1025" s="5"/>
      <c r="U1025" s="5"/>
      <c r="X1025" s="5"/>
    </row>
    <row r="1026" spans="15:24">
      <c r="O1026" s="5"/>
      <c r="P1026" s="5"/>
      <c r="U1026" s="5"/>
      <c r="X1026" s="5"/>
    </row>
    <row r="1027" spans="15:24">
      <c r="O1027" s="5"/>
      <c r="P1027" s="5"/>
      <c r="U1027" s="5"/>
      <c r="X1027" s="5"/>
    </row>
    <row r="1028" spans="15:24">
      <c r="O1028" s="5"/>
      <c r="P1028" s="5"/>
      <c r="U1028" s="5"/>
      <c r="X1028" s="5"/>
    </row>
    <row r="1029" spans="15:24">
      <c r="O1029" s="5"/>
      <c r="P1029" s="5"/>
      <c r="U1029" s="5"/>
      <c r="X1029" s="5"/>
    </row>
    <row r="1030" spans="15:24">
      <c r="O1030" s="5"/>
      <c r="P1030" s="5"/>
      <c r="U1030" s="5"/>
      <c r="X1030" s="5"/>
    </row>
    <row r="1031" spans="15:24">
      <c r="O1031" s="5"/>
      <c r="P1031" s="5"/>
      <c r="U1031" s="5"/>
      <c r="X1031" s="5"/>
    </row>
    <row r="1032" spans="15:24">
      <c r="O1032" s="5"/>
      <c r="P1032" s="5"/>
      <c r="U1032" s="5"/>
      <c r="X1032" s="5"/>
    </row>
    <row r="1033" spans="15:24">
      <c r="O1033" s="5"/>
      <c r="P1033" s="5"/>
      <c r="U1033" s="5"/>
      <c r="X1033" s="5"/>
    </row>
    <row r="1034" spans="15:24">
      <c r="O1034" s="5"/>
      <c r="P1034" s="5"/>
      <c r="U1034" s="5"/>
      <c r="X1034" s="5"/>
    </row>
    <row r="1035" spans="15:24">
      <c r="O1035" s="5"/>
      <c r="P1035" s="5"/>
      <c r="U1035" s="5"/>
      <c r="X1035" s="5"/>
    </row>
    <row r="1036" spans="15:24">
      <c r="O1036" s="5"/>
      <c r="P1036" s="5"/>
      <c r="U1036" s="5"/>
      <c r="X1036" s="5"/>
    </row>
    <row r="1037" spans="15:24">
      <c r="O1037" s="5"/>
      <c r="P1037" s="5"/>
      <c r="U1037" s="5"/>
      <c r="X1037" s="5"/>
    </row>
    <row r="1038" spans="15:24">
      <c r="O1038" s="5"/>
      <c r="P1038" s="5"/>
      <c r="U1038" s="5"/>
      <c r="X1038" s="5"/>
    </row>
    <row r="1039" spans="15:24">
      <c r="O1039" s="5"/>
      <c r="P1039" s="5"/>
      <c r="U1039" s="5"/>
      <c r="X1039" s="5"/>
    </row>
    <row r="1040" spans="15:24">
      <c r="O1040" s="5"/>
      <c r="P1040" s="5"/>
      <c r="U1040" s="5"/>
      <c r="X1040" s="5"/>
    </row>
    <row r="1041" spans="15:24">
      <c r="O1041" s="5"/>
      <c r="P1041" s="5"/>
      <c r="U1041" s="5"/>
      <c r="X1041" s="5"/>
    </row>
    <row r="1042" spans="15:24">
      <c r="O1042" s="5"/>
      <c r="P1042" s="5"/>
      <c r="U1042" s="5"/>
      <c r="X1042" s="5"/>
    </row>
    <row r="1043" spans="15:24">
      <c r="O1043" s="5"/>
      <c r="P1043" s="5"/>
      <c r="U1043" s="5"/>
      <c r="X1043" s="5"/>
    </row>
    <row r="1044" spans="15:24">
      <c r="O1044" s="5"/>
      <c r="P1044" s="5"/>
      <c r="U1044" s="5"/>
      <c r="X1044" s="5"/>
    </row>
    <row r="1045" spans="15:24">
      <c r="O1045" s="5"/>
      <c r="P1045" s="5"/>
      <c r="U1045" s="5"/>
      <c r="X1045" s="5"/>
    </row>
    <row r="1046" spans="15:24">
      <c r="O1046" s="5"/>
      <c r="P1046" s="5"/>
      <c r="U1046" s="5"/>
      <c r="X1046" s="5"/>
    </row>
    <row r="1047" spans="15:24">
      <c r="O1047" s="5"/>
      <c r="P1047" s="5"/>
      <c r="U1047" s="5"/>
      <c r="X1047" s="5"/>
    </row>
    <row r="1048" spans="15:24">
      <c r="O1048" s="5"/>
      <c r="P1048" s="5"/>
      <c r="U1048" s="5"/>
      <c r="X1048" s="5"/>
    </row>
    <row r="1049" spans="15:24">
      <c r="O1049" s="5"/>
      <c r="P1049" s="5"/>
      <c r="U1049" s="5"/>
      <c r="X1049" s="5"/>
    </row>
    <row r="1050" spans="15:24">
      <c r="O1050" s="5"/>
      <c r="P1050" s="5"/>
      <c r="U1050" s="5"/>
      <c r="X1050" s="5"/>
    </row>
    <row r="1051" spans="15:24">
      <c r="O1051" s="5"/>
      <c r="P1051" s="5"/>
      <c r="U1051" s="5"/>
      <c r="X1051" s="5"/>
    </row>
    <row r="1052" spans="15:24">
      <c r="O1052" s="5"/>
      <c r="P1052" s="5"/>
      <c r="U1052" s="5"/>
      <c r="X1052" s="5"/>
    </row>
    <row r="1053" spans="15:24">
      <c r="O1053" s="5"/>
      <c r="P1053" s="5"/>
      <c r="U1053" s="5"/>
      <c r="X1053" s="5"/>
    </row>
    <row r="1054" spans="15:24">
      <c r="O1054" s="5"/>
      <c r="P1054" s="5"/>
      <c r="U1054" s="5"/>
      <c r="X1054" s="5"/>
    </row>
    <row r="1055" spans="15:24">
      <c r="O1055" s="5"/>
      <c r="P1055" s="5"/>
      <c r="U1055" s="5"/>
      <c r="X1055" s="5"/>
    </row>
    <row r="1056" spans="15:24">
      <c r="O1056" s="5"/>
      <c r="P1056" s="5"/>
      <c r="U1056" s="5"/>
      <c r="X1056" s="5"/>
    </row>
    <row r="1057" spans="15:24">
      <c r="O1057" s="5"/>
      <c r="P1057" s="5"/>
      <c r="U1057" s="5"/>
      <c r="X1057" s="5"/>
    </row>
    <row r="1058" spans="15:24">
      <c r="O1058" s="5"/>
      <c r="P1058" s="5"/>
      <c r="U1058" s="5"/>
      <c r="X1058" s="5"/>
    </row>
    <row r="1059" spans="15:24">
      <c r="O1059" s="5"/>
      <c r="P1059" s="5"/>
      <c r="U1059" s="5"/>
      <c r="X1059" s="5"/>
    </row>
    <row r="1060" spans="15:24">
      <c r="O1060" s="5"/>
      <c r="P1060" s="5"/>
      <c r="U1060" s="5"/>
      <c r="X1060" s="5"/>
    </row>
    <row r="1061" spans="15:24">
      <c r="O1061" s="5"/>
      <c r="P1061" s="5"/>
      <c r="U1061" s="5"/>
      <c r="X1061" s="5"/>
    </row>
    <row r="1062" spans="15:24">
      <c r="O1062" s="5"/>
      <c r="P1062" s="5"/>
      <c r="U1062" s="5"/>
      <c r="X1062" s="5"/>
    </row>
    <row r="1063" spans="15:24">
      <c r="O1063" s="5"/>
      <c r="P1063" s="5"/>
      <c r="U1063" s="5"/>
      <c r="X1063" s="5"/>
    </row>
    <row r="1064" spans="15:24">
      <c r="O1064" s="5"/>
      <c r="P1064" s="5"/>
      <c r="U1064" s="5"/>
      <c r="X1064" s="5"/>
    </row>
    <row r="1065" spans="15:24">
      <c r="O1065" s="5"/>
      <c r="P1065" s="5"/>
      <c r="U1065" s="5"/>
      <c r="X1065" s="5"/>
    </row>
    <row r="1066" spans="15:24">
      <c r="O1066" s="5"/>
      <c r="P1066" s="5"/>
      <c r="U1066" s="5"/>
      <c r="X1066" s="5"/>
    </row>
    <row r="1067" spans="15:24">
      <c r="O1067" s="5"/>
      <c r="P1067" s="5"/>
      <c r="U1067" s="5"/>
      <c r="X1067" s="5"/>
    </row>
    <row r="1068" spans="15:24">
      <c r="O1068" s="5"/>
      <c r="P1068" s="5"/>
      <c r="U1068" s="5"/>
      <c r="X1068" s="5"/>
    </row>
    <row r="1069" spans="15:24">
      <c r="O1069" s="5"/>
      <c r="P1069" s="5"/>
      <c r="U1069" s="5"/>
      <c r="X1069" s="5"/>
    </row>
    <row r="1070" spans="15:24">
      <c r="O1070" s="5"/>
      <c r="P1070" s="5"/>
      <c r="U1070" s="5"/>
      <c r="X1070" s="5"/>
    </row>
    <row r="1071" spans="15:24">
      <c r="O1071" s="5"/>
      <c r="P1071" s="5"/>
      <c r="U1071" s="5"/>
      <c r="X1071" s="5"/>
    </row>
    <row r="1072" spans="15:24">
      <c r="O1072" s="5"/>
      <c r="P1072" s="5"/>
      <c r="U1072" s="5"/>
      <c r="X1072" s="5"/>
    </row>
    <row r="1073" spans="15:24">
      <c r="O1073" s="5"/>
      <c r="P1073" s="5"/>
      <c r="U1073" s="5"/>
      <c r="X1073" s="5"/>
    </row>
    <row r="1074" spans="15:24">
      <c r="O1074" s="5"/>
      <c r="P1074" s="5"/>
      <c r="U1074" s="5"/>
      <c r="X1074" s="5"/>
    </row>
    <row r="1075" spans="15:24">
      <c r="O1075" s="5"/>
      <c r="P1075" s="5"/>
      <c r="U1075" s="5"/>
      <c r="X1075" s="5"/>
    </row>
    <row r="1076" spans="15:24">
      <c r="O1076" s="5"/>
      <c r="P1076" s="5"/>
      <c r="U1076" s="5"/>
      <c r="X1076" s="5"/>
    </row>
    <row r="1077" spans="15:24">
      <c r="O1077" s="5"/>
      <c r="P1077" s="5"/>
      <c r="U1077" s="5"/>
      <c r="X1077" s="5"/>
    </row>
    <row r="1078" spans="15:24">
      <c r="O1078" s="5"/>
      <c r="P1078" s="5"/>
      <c r="U1078" s="5"/>
      <c r="X1078" s="5"/>
    </row>
    <row r="1079" spans="15:24">
      <c r="O1079" s="5"/>
      <c r="P1079" s="5"/>
      <c r="U1079" s="5"/>
      <c r="X1079" s="5"/>
    </row>
    <row r="1080" spans="15:24">
      <c r="O1080" s="5"/>
      <c r="P1080" s="5"/>
      <c r="U1080" s="5"/>
      <c r="X1080" s="5"/>
    </row>
    <row r="1081" spans="15:24">
      <c r="O1081" s="5"/>
      <c r="P1081" s="5"/>
      <c r="U1081" s="5"/>
      <c r="X1081" s="5"/>
    </row>
    <row r="1082" spans="15:24">
      <c r="O1082" s="5"/>
      <c r="P1082" s="5"/>
      <c r="U1082" s="5"/>
      <c r="X1082" s="5"/>
    </row>
    <row r="1083" spans="15:24">
      <c r="O1083" s="5"/>
      <c r="P1083" s="5"/>
      <c r="U1083" s="5"/>
      <c r="X1083" s="5"/>
    </row>
    <row r="1084" spans="15:24">
      <c r="O1084" s="5"/>
      <c r="P1084" s="5"/>
      <c r="U1084" s="5"/>
      <c r="X1084" s="5"/>
    </row>
    <row r="1085" spans="15:24">
      <c r="O1085" s="5"/>
      <c r="P1085" s="5"/>
      <c r="U1085" s="5"/>
      <c r="X1085" s="5"/>
    </row>
    <row r="1086" spans="15:24">
      <c r="O1086" s="5"/>
      <c r="P1086" s="5"/>
      <c r="U1086" s="5"/>
      <c r="X1086" s="5"/>
    </row>
    <row r="1087" spans="15:24">
      <c r="O1087" s="5"/>
      <c r="P1087" s="5"/>
      <c r="U1087" s="5"/>
      <c r="X1087" s="5"/>
    </row>
    <row r="1088" spans="15:24">
      <c r="O1088" s="5"/>
      <c r="P1088" s="5"/>
      <c r="U1088" s="5"/>
      <c r="X1088" s="5"/>
    </row>
    <row r="1089" spans="15:24">
      <c r="O1089" s="5"/>
      <c r="P1089" s="5"/>
      <c r="U1089" s="5"/>
      <c r="X1089" s="5"/>
    </row>
    <row r="1090" spans="15:24">
      <c r="O1090" s="5"/>
      <c r="P1090" s="5"/>
      <c r="U1090" s="5"/>
      <c r="X1090" s="5"/>
    </row>
    <row r="1091" spans="15:24">
      <c r="O1091" s="5"/>
      <c r="P1091" s="5"/>
      <c r="U1091" s="5"/>
      <c r="X1091" s="5"/>
    </row>
    <row r="1092" spans="15:24">
      <c r="O1092" s="5"/>
      <c r="P1092" s="5"/>
      <c r="U1092" s="5"/>
      <c r="X1092" s="5"/>
    </row>
    <row r="1093" spans="15:24">
      <c r="O1093" s="5"/>
      <c r="P1093" s="5"/>
      <c r="U1093" s="5"/>
      <c r="X1093" s="5"/>
    </row>
    <row r="1094" spans="15:24">
      <c r="O1094" s="5"/>
      <c r="P1094" s="5"/>
      <c r="U1094" s="5"/>
      <c r="X1094" s="5"/>
    </row>
    <row r="1095" spans="15:24">
      <c r="O1095" s="5"/>
      <c r="P1095" s="5"/>
      <c r="U1095" s="5"/>
      <c r="X1095" s="5"/>
    </row>
    <row r="1096" spans="15:24">
      <c r="O1096" s="5"/>
      <c r="P1096" s="5"/>
      <c r="U1096" s="5"/>
      <c r="X1096" s="5"/>
    </row>
    <row r="1097" spans="15:24">
      <c r="O1097" s="5"/>
      <c r="P1097" s="5"/>
      <c r="U1097" s="5"/>
      <c r="X1097" s="5"/>
    </row>
    <row r="1098" spans="15:24">
      <c r="O1098" s="5"/>
      <c r="P1098" s="5"/>
      <c r="U1098" s="5"/>
      <c r="X1098" s="5"/>
    </row>
    <row r="1099" spans="15:24">
      <c r="O1099" s="5"/>
      <c r="P1099" s="5"/>
      <c r="U1099" s="5"/>
      <c r="X1099" s="5"/>
    </row>
    <row r="1100" spans="15:24">
      <c r="O1100" s="5"/>
      <c r="P1100" s="5"/>
      <c r="U1100" s="5"/>
      <c r="X1100" s="5"/>
    </row>
    <row r="1101" spans="15:24">
      <c r="O1101" s="5"/>
      <c r="P1101" s="5"/>
      <c r="U1101" s="5"/>
      <c r="X1101" s="5"/>
    </row>
    <row r="1102" spans="15:24">
      <c r="O1102" s="5"/>
      <c r="P1102" s="5"/>
      <c r="U1102" s="5"/>
      <c r="X1102" s="5"/>
    </row>
    <row r="1103" spans="15:24">
      <c r="O1103" s="5"/>
      <c r="P1103" s="5"/>
      <c r="U1103" s="5"/>
      <c r="X1103" s="5"/>
    </row>
    <row r="1104" spans="15:24">
      <c r="O1104" s="5"/>
      <c r="P1104" s="5"/>
      <c r="U1104" s="5"/>
      <c r="X1104" s="5"/>
    </row>
    <row r="1105" spans="15:24">
      <c r="O1105" s="5"/>
      <c r="P1105" s="5"/>
      <c r="U1105" s="5"/>
      <c r="X1105" s="5"/>
    </row>
    <row r="1106" spans="15:24">
      <c r="O1106" s="5"/>
      <c r="P1106" s="5"/>
      <c r="U1106" s="5"/>
      <c r="X1106" s="5"/>
    </row>
    <row r="1107" spans="15:24">
      <c r="O1107" s="5"/>
      <c r="P1107" s="5"/>
      <c r="U1107" s="5"/>
      <c r="X1107" s="5"/>
    </row>
    <row r="1108" spans="15:24">
      <c r="O1108" s="5"/>
      <c r="P1108" s="5"/>
      <c r="U1108" s="5"/>
      <c r="X1108" s="5"/>
    </row>
    <row r="1109" spans="15:24">
      <c r="O1109" s="5"/>
      <c r="P1109" s="5"/>
      <c r="U1109" s="5"/>
      <c r="X1109" s="5"/>
    </row>
    <row r="1110" spans="15:24">
      <c r="O1110" s="5"/>
      <c r="P1110" s="5"/>
      <c r="U1110" s="5"/>
      <c r="X1110" s="5"/>
    </row>
    <row r="1111" spans="15:24">
      <c r="O1111" s="5"/>
      <c r="P1111" s="5"/>
      <c r="U1111" s="5"/>
      <c r="X1111" s="5"/>
    </row>
    <row r="1112" spans="15:24">
      <c r="O1112" s="5"/>
      <c r="P1112" s="5"/>
      <c r="U1112" s="5"/>
      <c r="X1112" s="5"/>
    </row>
    <row r="1113" spans="15:24">
      <c r="O1113" s="5"/>
      <c r="P1113" s="5"/>
      <c r="U1113" s="5"/>
      <c r="X1113" s="5"/>
    </row>
    <row r="1114" spans="15:24">
      <c r="O1114" s="5"/>
      <c r="P1114" s="5"/>
      <c r="U1114" s="5"/>
      <c r="X1114" s="5"/>
    </row>
    <row r="1115" spans="15:24">
      <c r="O1115" s="5"/>
      <c r="P1115" s="5"/>
      <c r="U1115" s="5"/>
      <c r="X1115" s="5"/>
    </row>
    <row r="1116" spans="15:24">
      <c r="O1116" s="5"/>
      <c r="P1116" s="5"/>
      <c r="U1116" s="5"/>
      <c r="X1116" s="5"/>
    </row>
    <row r="1117" spans="15:24">
      <c r="O1117" s="5"/>
      <c r="P1117" s="5"/>
      <c r="U1117" s="5"/>
      <c r="X1117" s="5"/>
    </row>
    <row r="1118" spans="15:24">
      <c r="O1118" s="5"/>
      <c r="P1118" s="5"/>
      <c r="U1118" s="5"/>
      <c r="X1118" s="5"/>
    </row>
    <row r="1119" spans="15:24">
      <c r="O1119" s="5"/>
      <c r="P1119" s="5"/>
      <c r="U1119" s="5"/>
      <c r="X1119" s="5"/>
    </row>
    <row r="1120" spans="15:24">
      <c r="O1120" s="5"/>
      <c r="P1120" s="5"/>
      <c r="U1120" s="5"/>
      <c r="X1120" s="5"/>
    </row>
    <row r="1121" spans="15:24">
      <c r="O1121" s="5"/>
      <c r="P1121" s="5"/>
      <c r="U1121" s="5"/>
      <c r="X1121" s="5"/>
    </row>
    <row r="1122" spans="15:24">
      <c r="O1122" s="5"/>
      <c r="P1122" s="5"/>
      <c r="U1122" s="5"/>
      <c r="X1122" s="5"/>
    </row>
    <row r="1123" spans="15:24">
      <c r="O1123" s="5"/>
      <c r="P1123" s="5"/>
      <c r="U1123" s="5"/>
      <c r="X1123" s="5"/>
    </row>
    <row r="1124" spans="15:24">
      <c r="O1124" s="5"/>
      <c r="P1124" s="5"/>
      <c r="U1124" s="5"/>
      <c r="X1124" s="5"/>
    </row>
    <row r="1125" spans="15:24">
      <c r="O1125" s="5"/>
      <c r="P1125" s="5"/>
      <c r="U1125" s="5"/>
      <c r="X1125" s="5"/>
    </row>
    <row r="1126" spans="15:24">
      <c r="O1126" s="5"/>
      <c r="P1126" s="5"/>
      <c r="U1126" s="5"/>
      <c r="X1126" s="5"/>
    </row>
    <row r="1127" spans="15:24">
      <c r="O1127" s="5"/>
      <c r="P1127" s="5"/>
      <c r="U1127" s="5"/>
      <c r="X1127" s="5"/>
    </row>
    <row r="1128" spans="15:24">
      <c r="O1128" s="5"/>
      <c r="P1128" s="5"/>
      <c r="U1128" s="5"/>
      <c r="X1128" s="5"/>
    </row>
    <row r="1129" spans="15:24">
      <c r="O1129" s="5"/>
      <c r="P1129" s="5"/>
      <c r="U1129" s="5"/>
      <c r="X1129" s="5"/>
    </row>
    <row r="1130" spans="15:24">
      <c r="O1130" s="5"/>
      <c r="P1130" s="5"/>
      <c r="U1130" s="5"/>
      <c r="X1130" s="5"/>
    </row>
    <row r="1131" spans="15:24">
      <c r="O1131" s="5"/>
      <c r="P1131" s="5"/>
      <c r="U1131" s="5"/>
      <c r="X1131" s="5"/>
    </row>
    <row r="1132" spans="15:24">
      <c r="O1132" s="5"/>
      <c r="P1132" s="5"/>
      <c r="U1132" s="5"/>
      <c r="X1132" s="5"/>
    </row>
    <row r="1133" spans="15:24">
      <c r="O1133" s="5"/>
      <c r="P1133" s="5"/>
      <c r="U1133" s="5"/>
      <c r="X1133" s="5"/>
    </row>
    <row r="1134" spans="15:24">
      <c r="O1134" s="5"/>
      <c r="P1134" s="5"/>
      <c r="U1134" s="5"/>
      <c r="X1134" s="5"/>
    </row>
    <row r="1135" spans="15:24">
      <c r="O1135" s="5"/>
      <c r="P1135" s="5"/>
      <c r="U1135" s="5"/>
      <c r="X1135" s="5"/>
    </row>
    <row r="1136" spans="15:24">
      <c r="O1136" s="5"/>
      <c r="P1136" s="5"/>
      <c r="U1136" s="5"/>
      <c r="X1136" s="5"/>
    </row>
    <row r="1137" spans="15:24">
      <c r="O1137" s="5"/>
      <c r="P1137" s="5"/>
      <c r="U1137" s="5"/>
      <c r="X1137" s="5"/>
    </row>
    <row r="1138" spans="15:24">
      <c r="O1138" s="5"/>
      <c r="P1138" s="5"/>
      <c r="U1138" s="5"/>
      <c r="X1138" s="5"/>
    </row>
    <row r="1139" spans="15:24">
      <c r="O1139" s="5"/>
      <c r="P1139" s="5"/>
      <c r="U1139" s="5"/>
      <c r="X1139" s="5"/>
    </row>
    <row r="1140" spans="15:24">
      <c r="O1140" s="5"/>
      <c r="P1140" s="5"/>
      <c r="U1140" s="5"/>
      <c r="X1140" s="5"/>
    </row>
    <row r="1141" spans="15:24">
      <c r="O1141" s="5"/>
      <c r="P1141" s="5"/>
      <c r="U1141" s="5"/>
      <c r="X1141" s="5"/>
    </row>
    <row r="1142" spans="15:24">
      <c r="O1142" s="5"/>
      <c r="P1142" s="5"/>
      <c r="U1142" s="5"/>
      <c r="X1142" s="5"/>
    </row>
    <row r="1143" spans="15:24">
      <c r="O1143" s="5"/>
      <c r="P1143" s="5"/>
      <c r="U1143" s="5"/>
      <c r="X1143" s="5"/>
    </row>
    <row r="1144" spans="15:24">
      <c r="O1144" s="5"/>
      <c r="P1144" s="5"/>
      <c r="U1144" s="5"/>
      <c r="X1144" s="5"/>
    </row>
    <row r="1145" spans="15:24">
      <c r="O1145" s="5"/>
      <c r="P1145" s="5"/>
      <c r="U1145" s="5"/>
      <c r="X1145" s="5"/>
    </row>
    <row r="1146" spans="15:24">
      <c r="O1146" s="5"/>
      <c r="P1146" s="5"/>
      <c r="U1146" s="5"/>
      <c r="X1146" s="5"/>
    </row>
    <row r="1147" spans="15:24">
      <c r="O1147" s="5"/>
      <c r="P1147" s="5"/>
      <c r="U1147" s="5"/>
      <c r="X1147" s="5"/>
    </row>
    <row r="1148" spans="15:24">
      <c r="O1148" s="5"/>
      <c r="P1148" s="5"/>
      <c r="U1148" s="5"/>
      <c r="X1148" s="5"/>
    </row>
    <row r="1149" spans="15:24">
      <c r="O1149" s="5"/>
      <c r="P1149" s="5"/>
      <c r="U1149" s="5"/>
      <c r="X1149" s="5"/>
    </row>
    <row r="1150" spans="15:24">
      <c r="O1150" s="5"/>
      <c r="P1150" s="5"/>
      <c r="U1150" s="5"/>
      <c r="X1150" s="5"/>
    </row>
    <row r="1151" spans="15:24">
      <c r="O1151" s="5"/>
      <c r="P1151" s="5"/>
      <c r="U1151" s="5"/>
      <c r="X1151" s="5"/>
    </row>
    <row r="1152" spans="15:24">
      <c r="O1152" s="5"/>
      <c r="P1152" s="5"/>
      <c r="U1152" s="5"/>
      <c r="X1152" s="5"/>
    </row>
    <row r="1153" spans="15:24">
      <c r="O1153" s="5"/>
      <c r="P1153" s="5"/>
      <c r="U1153" s="5"/>
      <c r="X1153" s="5"/>
    </row>
    <row r="1154" spans="15:24">
      <c r="O1154" s="5"/>
      <c r="P1154" s="5"/>
      <c r="U1154" s="5"/>
      <c r="X1154" s="5"/>
    </row>
    <row r="1155" spans="15:24">
      <c r="O1155" s="5"/>
      <c r="P1155" s="5"/>
      <c r="U1155" s="5"/>
      <c r="X1155" s="5"/>
    </row>
    <row r="1156" spans="15:24">
      <c r="O1156" s="5"/>
      <c r="P1156" s="5"/>
      <c r="U1156" s="5"/>
      <c r="X1156" s="5"/>
    </row>
    <row r="1157" spans="15:24">
      <c r="O1157" s="5"/>
      <c r="P1157" s="5"/>
      <c r="U1157" s="5"/>
      <c r="X1157" s="5"/>
    </row>
    <row r="1158" spans="15:24">
      <c r="O1158" s="5"/>
      <c r="P1158" s="5"/>
      <c r="U1158" s="5"/>
      <c r="X1158" s="5"/>
    </row>
    <row r="1159" spans="15:24">
      <c r="O1159" s="5"/>
      <c r="P1159" s="5"/>
      <c r="U1159" s="5"/>
      <c r="X1159" s="5"/>
    </row>
    <row r="1160" spans="15:24">
      <c r="O1160" s="5"/>
      <c r="P1160" s="5"/>
      <c r="U1160" s="5"/>
      <c r="X1160" s="5"/>
    </row>
    <row r="1161" spans="15:24">
      <c r="O1161" s="5"/>
      <c r="P1161" s="5"/>
      <c r="U1161" s="5"/>
      <c r="X1161" s="5"/>
    </row>
    <row r="1162" spans="15:24">
      <c r="O1162" s="5"/>
      <c r="P1162" s="5"/>
      <c r="U1162" s="5"/>
      <c r="X1162" s="5"/>
    </row>
    <row r="1163" spans="15:24">
      <c r="O1163" s="5"/>
      <c r="P1163" s="5"/>
      <c r="U1163" s="5"/>
      <c r="X1163" s="5"/>
    </row>
    <row r="1164" spans="15:24">
      <c r="O1164" s="5"/>
      <c r="P1164" s="5"/>
      <c r="U1164" s="5"/>
      <c r="X1164" s="5"/>
    </row>
    <row r="1165" spans="15:24">
      <c r="O1165" s="5"/>
      <c r="P1165" s="5"/>
      <c r="U1165" s="5"/>
      <c r="X1165" s="5"/>
    </row>
    <row r="1166" spans="15:24">
      <c r="O1166" s="5"/>
      <c r="P1166" s="5"/>
      <c r="U1166" s="5"/>
      <c r="X1166" s="5"/>
    </row>
    <row r="1167" spans="15:24">
      <c r="O1167" s="5"/>
      <c r="P1167" s="5"/>
      <c r="U1167" s="5"/>
      <c r="X1167" s="5"/>
    </row>
    <row r="1168" spans="15:24">
      <c r="O1168" s="5"/>
      <c r="P1168" s="5"/>
      <c r="U1168" s="5"/>
      <c r="X1168" s="5"/>
    </row>
    <row r="1169" spans="15:24">
      <c r="O1169" s="5"/>
      <c r="P1169" s="5"/>
      <c r="U1169" s="5"/>
      <c r="X1169" s="5"/>
    </row>
    <row r="1170" spans="15:24">
      <c r="O1170" s="5"/>
      <c r="P1170" s="5"/>
      <c r="U1170" s="5"/>
      <c r="X1170" s="5"/>
    </row>
    <row r="1171" spans="15:24">
      <c r="O1171" s="5"/>
      <c r="P1171" s="5"/>
      <c r="U1171" s="5"/>
      <c r="X1171" s="5"/>
    </row>
    <row r="1172" spans="15:24">
      <c r="O1172" s="5"/>
      <c r="P1172" s="5"/>
      <c r="U1172" s="5"/>
      <c r="X1172" s="5"/>
    </row>
    <row r="1173" spans="15:24">
      <c r="O1173" s="5"/>
      <c r="P1173" s="5"/>
      <c r="U1173" s="5"/>
      <c r="X1173" s="5"/>
    </row>
    <row r="1174" spans="15:24">
      <c r="O1174" s="5"/>
      <c r="P1174" s="5"/>
      <c r="U1174" s="5"/>
      <c r="X1174" s="5"/>
    </row>
    <row r="1175" spans="15:24">
      <c r="O1175" s="5"/>
      <c r="P1175" s="5"/>
      <c r="U1175" s="5"/>
      <c r="X1175" s="5"/>
    </row>
    <row r="1176" spans="15:24">
      <c r="O1176" s="5"/>
      <c r="P1176" s="5"/>
      <c r="U1176" s="5"/>
      <c r="X1176" s="5"/>
    </row>
    <row r="1177" spans="15:24">
      <c r="O1177" s="5"/>
      <c r="P1177" s="5"/>
      <c r="U1177" s="5"/>
      <c r="X1177" s="5"/>
    </row>
    <row r="1178" spans="15:24">
      <c r="O1178" s="5"/>
      <c r="P1178" s="5"/>
      <c r="U1178" s="5"/>
      <c r="X1178" s="5"/>
    </row>
    <row r="1179" spans="15:24">
      <c r="O1179" s="5"/>
      <c r="P1179" s="5"/>
      <c r="U1179" s="5"/>
      <c r="X1179" s="5"/>
    </row>
    <row r="1180" spans="15:24">
      <c r="O1180" s="5"/>
      <c r="P1180" s="5"/>
      <c r="U1180" s="5"/>
      <c r="X1180" s="5"/>
    </row>
    <row r="1181" spans="15:24">
      <c r="O1181" s="5"/>
      <c r="P1181" s="5"/>
      <c r="U1181" s="5"/>
      <c r="X1181" s="5"/>
    </row>
    <row r="1182" spans="15:24">
      <c r="O1182" s="5"/>
      <c r="P1182" s="5"/>
      <c r="U1182" s="5"/>
      <c r="X1182" s="5"/>
    </row>
    <row r="1183" spans="15:24">
      <c r="O1183" s="5"/>
      <c r="P1183" s="5"/>
      <c r="U1183" s="5"/>
      <c r="X1183" s="5"/>
    </row>
    <row r="1184" spans="15:24">
      <c r="O1184" s="5"/>
      <c r="P1184" s="5"/>
      <c r="U1184" s="5"/>
      <c r="X1184" s="5"/>
    </row>
    <row r="1185" spans="15:24">
      <c r="O1185" s="5"/>
      <c r="P1185" s="5"/>
      <c r="U1185" s="5"/>
      <c r="X1185" s="5"/>
    </row>
    <row r="1186" spans="15:24">
      <c r="O1186" s="5"/>
      <c r="P1186" s="5"/>
      <c r="U1186" s="5"/>
      <c r="X1186" s="5"/>
    </row>
    <row r="1187" spans="15:24">
      <c r="O1187" s="5"/>
      <c r="P1187" s="5"/>
      <c r="U1187" s="5"/>
      <c r="X1187" s="5"/>
    </row>
    <row r="1188" spans="15:24">
      <c r="O1188" s="5"/>
      <c r="P1188" s="5"/>
      <c r="U1188" s="5"/>
      <c r="X1188" s="5"/>
    </row>
    <row r="1189" spans="15:24">
      <c r="O1189" s="5"/>
      <c r="P1189" s="5"/>
      <c r="U1189" s="5"/>
      <c r="X1189" s="5"/>
    </row>
    <row r="1190" spans="15:24">
      <c r="O1190" s="5"/>
      <c r="P1190" s="5"/>
      <c r="U1190" s="5"/>
      <c r="X1190" s="5"/>
    </row>
    <row r="1191" spans="15:24">
      <c r="O1191" s="5"/>
      <c r="P1191" s="5"/>
      <c r="U1191" s="5"/>
      <c r="X1191" s="5"/>
    </row>
    <row r="1192" spans="15:24">
      <c r="O1192" s="5"/>
      <c r="P1192" s="5"/>
      <c r="U1192" s="5"/>
      <c r="X1192" s="5"/>
    </row>
    <row r="1193" spans="15:24">
      <c r="O1193" s="5"/>
      <c r="P1193" s="5"/>
      <c r="U1193" s="5"/>
      <c r="X1193" s="5"/>
    </row>
    <row r="1194" spans="15:24">
      <c r="O1194" s="5"/>
      <c r="P1194" s="5"/>
      <c r="U1194" s="5"/>
      <c r="X1194" s="5"/>
    </row>
    <row r="1195" spans="15:24">
      <c r="O1195" s="5"/>
      <c r="P1195" s="5"/>
      <c r="U1195" s="5"/>
      <c r="X1195" s="5"/>
    </row>
    <row r="1196" spans="15:24">
      <c r="O1196" s="5"/>
      <c r="P1196" s="5"/>
      <c r="U1196" s="5"/>
      <c r="X1196" s="5"/>
    </row>
    <row r="1197" spans="15:24">
      <c r="O1197" s="5"/>
      <c r="P1197" s="5"/>
      <c r="U1197" s="5"/>
      <c r="X1197" s="5"/>
    </row>
    <row r="1198" spans="15:24">
      <c r="O1198" s="5"/>
      <c r="P1198" s="5"/>
      <c r="U1198" s="5"/>
      <c r="X1198" s="5"/>
    </row>
    <row r="1199" spans="15:24">
      <c r="O1199" s="5"/>
      <c r="P1199" s="5"/>
      <c r="U1199" s="5"/>
      <c r="X1199" s="5"/>
    </row>
    <row r="1200" spans="15:24">
      <c r="O1200" s="5"/>
      <c r="P1200" s="5"/>
      <c r="U1200" s="5"/>
      <c r="X1200" s="5"/>
    </row>
    <row r="1201" spans="15:24">
      <c r="O1201" s="5"/>
      <c r="P1201" s="5"/>
      <c r="U1201" s="5"/>
      <c r="X1201" s="5"/>
    </row>
    <row r="1202" spans="15:24">
      <c r="O1202" s="5"/>
      <c r="P1202" s="5"/>
      <c r="U1202" s="5"/>
      <c r="X1202" s="5"/>
    </row>
    <row r="1203" spans="15:24">
      <c r="O1203" s="5"/>
      <c r="P1203" s="5"/>
      <c r="U1203" s="5"/>
      <c r="X1203" s="5"/>
    </row>
    <row r="1204" spans="15:24">
      <c r="O1204" s="5"/>
      <c r="P1204" s="5"/>
      <c r="U1204" s="5"/>
      <c r="X1204" s="5"/>
    </row>
    <row r="1205" spans="15:24">
      <c r="O1205" s="5"/>
      <c r="P1205" s="5"/>
      <c r="U1205" s="5"/>
      <c r="X1205" s="5"/>
    </row>
    <row r="1206" spans="15:24">
      <c r="O1206" s="5"/>
      <c r="P1206" s="5"/>
      <c r="U1206" s="5"/>
      <c r="X1206" s="5"/>
    </row>
    <row r="1207" spans="15:24">
      <c r="O1207" s="5"/>
      <c r="P1207" s="5"/>
      <c r="U1207" s="5"/>
      <c r="X1207" s="5"/>
    </row>
    <row r="1208" spans="15:24">
      <c r="O1208" s="5"/>
      <c r="P1208" s="5"/>
      <c r="U1208" s="5"/>
      <c r="X1208" s="5"/>
    </row>
    <row r="1209" spans="15:24">
      <c r="O1209" s="5"/>
      <c r="P1209" s="5"/>
      <c r="U1209" s="5"/>
      <c r="X1209" s="5"/>
    </row>
    <row r="1210" spans="15:24">
      <c r="O1210" s="5"/>
      <c r="P1210" s="5"/>
      <c r="U1210" s="5"/>
      <c r="X1210" s="5"/>
    </row>
    <row r="1211" spans="15:24">
      <c r="O1211" s="5"/>
      <c r="P1211" s="5"/>
      <c r="U1211" s="5"/>
      <c r="X1211" s="5"/>
    </row>
    <row r="1212" spans="15:24">
      <c r="O1212" s="5"/>
      <c r="P1212" s="5"/>
      <c r="U1212" s="5"/>
      <c r="X1212" s="5"/>
    </row>
    <row r="1213" spans="15:24">
      <c r="O1213" s="5"/>
      <c r="P1213" s="5"/>
      <c r="U1213" s="5"/>
      <c r="X1213" s="5"/>
    </row>
    <row r="1214" spans="15:24">
      <c r="O1214" s="5"/>
      <c r="P1214" s="5"/>
      <c r="U1214" s="5"/>
      <c r="X1214" s="5"/>
    </row>
    <row r="1215" spans="15:24">
      <c r="O1215" s="5"/>
      <c r="P1215" s="5"/>
      <c r="U1215" s="5"/>
      <c r="X1215" s="5"/>
    </row>
    <row r="1216" spans="15:24">
      <c r="O1216" s="5"/>
      <c r="P1216" s="5"/>
      <c r="U1216" s="5"/>
      <c r="X1216" s="5"/>
    </row>
    <row r="1217" spans="15:24">
      <c r="O1217" s="5"/>
      <c r="P1217" s="5"/>
      <c r="U1217" s="5"/>
      <c r="X1217" s="5"/>
    </row>
    <row r="1218" spans="15:24">
      <c r="O1218" s="5"/>
      <c r="P1218" s="5"/>
      <c r="U1218" s="5"/>
      <c r="X1218" s="5"/>
    </row>
    <row r="1219" spans="15:24">
      <c r="O1219" s="5"/>
      <c r="P1219" s="5"/>
      <c r="U1219" s="5"/>
      <c r="X1219" s="5"/>
    </row>
    <row r="1220" spans="15:24">
      <c r="O1220" s="5"/>
      <c r="P1220" s="5"/>
      <c r="U1220" s="5"/>
      <c r="X1220" s="5"/>
    </row>
    <row r="1221" spans="15:24">
      <c r="O1221" s="5"/>
      <c r="P1221" s="5"/>
      <c r="U1221" s="5"/>
      <c r="X1221" s="5"/>
    </row>
    <row r="1222" spans="15:24">
      <c r="O1222" s="5"/>
      <c r="P1222" s="5"/>
      <c r="U1222" s="5"/>
      <c r="X1222" s="5"/>
    </row>
    <row r="1223" spans="15:24">
      <c r="O1223" s="5"/>
      <c r="P1223" s="5"/>
      <c r="U1223" s="5"/>
      <c r="X1223" s="5"/>
    </row>
    <row r="1224" spans="15:24">
      <c r="O1224" s="5"/>
      <c r="P1224" s="5"/>
      <c r="U1224" s="5"/>
      <c r="X1224" s="5"/>
    </row>
    <row r="1225" spans="15:24">
      <c r="O1225" s="5"/>
      <c r="P1225" s="5"/>
      <c r="U1225" s="5"/>
      <c r="X1225" s="5"/>
    </row>
    <row r="1226" spans="15:24">
      <c r="O1226" s="5"/>
      <c r="P1226" s="5"/>
      <c r="U1226" s="5"/>
      <c r="X1226" s="5"/>
    </row>
    <row r="1227" spans="15:24">
      <c r="O1227" s="5"/>
      <c r="P1227" s="5"/>
      <c r="U1227" s="5"/>
      <c r="X1227" s="5"/>
    </row>
    <row r="1228" spans="15:24">
      <c r="O1228" s="5"/>
      <c r="P1228" s="5"/>
      <c r="U1228" s="5"/>
      <c r="X1228" s="5"/>
    </row>
    <row r="1229" spans="15:24">
      <c r="O1229" s="5"/>
      <c r="P1229" s="5"/>
      <c r="U1229" s="5"/>
      <c r="X1229" s="5"/>
    </row>
    <row r="1230" spans="15:24">
      <c r="O1230" s="5"/>
      <c r="P1230" s="5"/>
      <c r="U1230" s="5"/>
      <c r="X1230" s="5"/>
    </row>
    <row r="1231" spans="15:24">
      <c r="O1231" s="5"/>
      <c r="P1231" s="5"/>
      <c r="U1231" s="5"/>
      <c r="X1231" s="5"/>
    </row>
    <row r="1232" spans="15:24">
      <c r="O1232" s="5"/>
      <c r="P1232" s="5"/>
      <c r="U1232" s="5"/>
      <c r="X1232" s="5"/>
    </row>
    <row r="1233" spans="15:24">
      <c r="O1233" s="5"/>
      <c r="P1233" s="5"/>
      <c r="U1233" s="5"/>
      <c r="X1233" s="5"/>
    </row>
    <row r="1234" spans="15:24">
      <c r="O1234" s="5"/>
      <c r="P1234" s="5"/>
      <c r="U1234" s="5"/>
      <c r="X1234" s="5"/>
    </row>
    <row r="1235" spans="15:24">
      <c r="O1235" s="5"/>
      <c r="P1235" s="5"/>
      <c r="U1235" s="5"/>
      <c r="X1235" s="5"/>
    </row>
    <row r="1236" spans="15:24">
      <c r="O1236" s="5"/>
      <c r="P1236" s="5"/>
      <c r="U1236" s="5"/>
      <c r="X1236" s="5"/>
    </row>
    <row r="1237" spans="15:24">
      <c r="O1237" s="5"/>
      <c r="P1237" s="5"/>
      <c r="U1237" s="5"/>
      <c r="X1237" s="5"/>
    </row>
    <row r="1238" spans="15:24">
      <c r="O1238" s="5"/>
      <c r="P1238" s="5"/>
      <c r="U1238" s="5"/>
      <c r="X1238" s="5"/>
    </row>
    <row r="1239" spans="15:24">
      <c r="O1239" s="5"/>
      <c r="P1239" s="5"/>
      <c r="U1239" s="5"/>
      <c r="X1239" s="5"/>
    </row>
    <row r="1240" spans="15:24">
      <c r="O1240" s="5"/>
      <c r="P1240" s="5"/>
      <c r="U1240" s="5"/>
      <c r="X1240" s="5"/>
    </row>
    <row r="1241" spans="15:24">
      <c r="O1241" s="5"/>
      <c r="P1241" s="5"/>
      <c r="U1241" s="5"/>
      <c r="X1241" s="5"/>
    </row>
    <row r="1242" spans="15:24">
      <c r="O1242" s="5"/>
      <c r="P1242" s="5"/>
      <c r="U1242" s="5"/>
      <c r="X1242" s="5"/>
    </row>
    <row r="1243" spans="15:24">
      <c r="O1243" s="5"/>
      <c r="P1243" s="5"/>
      <c r="U1243" s="5"/>
      <c r="X1243" s="5"/>
    </row>
    <row r="1244" spans="15:24">
      <c r="O1244" s="5"/>
      <c r="P1244" s="5"/>
      <c r="U1244" s="5"/>
      <c r="X1244" s="5"/>
    </row>
    <row r="1245" spans="15:24">
      <c r="O1245" s="5"/>
      <c r="P1245" s="5"/>
      <c r="U1245" s="5"/>
      <c r="X1245" s="5"/>
    </row>
    <row r="1246" spans="15:24">
      <c r="O1246" s="5"/>
      <c r="P1246" s="5"/>
      <c r="U1246" s="5"/>
      <c r="X1246" s="5"/>
    </row>
    <row r="1247" spans="15:24">
      <c r="O1247" s="5"/>
      <c r="P1247" s="5"/>
      <c r="U1247" s="5"/>
      <c r="X1247" s="5"/>
    </row>
    <row r="1248" spans="15:24">
      <c r="O1248" s="5"/>
      <c r="P1248" s="5"/>
      <c r="U1248" s="5"/>
      <c r="X1248" s="5"/>
    </row>
    <row r="1249" spans="15:24">
      <c r="O1249" s="5"/>
      <c r="P1249" s="5"/>
      <c r="U1249" s="5"/>
      <c r="X1249" s="5"/>
    </row>
    <row r="1250" spans="15:24">
      <c r="O1250" s="5"/>
      <c r="P1250" s="5"/>
      <c r="U1250" s="5"/>
      <c r="X1250" s="5"/>
    </row>
    <row r="1251" spans="15:24">
      <c r="O1251" s="5"/>
      <c r="P1251" s="5"/>
      <c r="U1251" s="5"/>
      <c r="X1251" s="5"/>
    </row>
    <row r="1252" spans="15:24">
      <c r="O1252" s="5"/>
      <c r="P1252" s="5"/>
      <c r="U1252" s="5"/>
      <c r="X1252" s="5"/>
    </row>
    <row r="1253" spans="15:24">
      <c r="O1253" s="5"/>
      <c r="P1253" s="5"/>
      <c r="U1253" s="5"/>
      <c r="X1253" s="5"/>
    </row>
    <row r="1254" spans="15:24">
      <c r="O1254" s="5"/>
      <c r="P1254" s="5"/>
      <c r="U1254" s="5"/>
      <c r="X1254" s="5"/>
    </row>
    <row r="1255" spans="15:24">
      <c r="O1255" s="5"/>
      <c r="P1255" s="5"/>
      <c r="U1255" s="5"/>
      <c r="X1255" s="5"/>
    </row>
    <row r="1256" spans="15:24">
      <c r="O1256" s="5"/>
      <c r="P1256" s="5"/>
      <c r="U1256" s="5"/>
      <c r="X1256" s="5"/>
    </row>
    <row r="1257" spans="15:24">
      <c r="O1257" s="5"/>
      <c r="P1257" s="5"/>
      <c r="U1257" s="5"/>
      <c r="X1257" s="5"/>
    </row>
    <row r="1258" spans="15:24">
      <c r="O1258" s="5"/>
      <c r="P1258" s="5"/>
      <c r="U1258" s="5"/>
      <c r="X1258" s="5"/>
    </row>
    <row r="1259" spans="15:24">
      <c r="O1259" s="5"/>
      <c r="P1259" s="5"/>
      <c r="U1259" s="5"/>
      <c r="X1259" s="5"/>
    </row>
    <row r="1260" spans="15:24">
      <c r="O1260" s="5"/>
      <c r="P1260" s="5"/>
      <c r="U1260" s="5"/>
      <c r="X1260" s="5"/>
    </row>
    <row r="1261" spans="15:24">
      <c r="O1261" s="5"/>
      <c r="P1261" s="5"/>
      <c r="U1261" s="5"/>
      <c r="X1261" s="5"/>
    </row>
    <row r="1262" spans="15:24">
      <c r="O1262" s="5"/>
      <c r="P1262" s="5"/>
      <c r="U1262" s="5"/>
      <c r="X1262" s="5"/>
    </row>
    <row r="1263" spans="15:24">
      <c r="O1263" s="5"/>
      <c r="P1263" s="5"/>
      <c r="U1263" s="5"/>
      <c r="X1263" s="5"/>
    </row>
    <row r="1264" spans="15:24">
      <c r="O1264" s="5"/>
      <c r="P1264" s="5"/>
      <c r="U1264" s="5"/>
      <c r="X1264" s="5"/>
    </row>
    <row r="1265" spans="15:24">
      <c r="O1265" s="5"/>
      <c r="P1265" s="5"/>
      <c r="U1265" s="5"/>
      <c r="X1265" s="5"/>
    </row>
    <row r="1266" spans="15:24">
      <c r="O1266" s="5"/>
      <c r="P1266" s="5"/>
      <c r="U1266" s="5"/>
      <c r="X1266" s="5"/>
    </row>
    <row r="1267" spans="15:24">
      <c r="O1267" s="5"/>
      <c r="P1267" s="5"/>
      <c r="U1267" s="5"/>
      <c r="X1267" s="5"/>
    </row>
    <row r="1268" spans="15:24">
      <c r="O1268" s="5"/>
      <c r="P1268" s="5"/>
      <c r="U1268" s="5"/>
      <c r="X1268" s="5"/>
    </row>
    <row r="1269" spans="15:24">
      <c r="O1269" s="5"/>
      <c r="P1269" s="5"/>
      <c r="U1269" s="5"/>
      <c r="X1269" s="5"/>
    </row>
    <row r="1270" spans="15:24">
      <c r="O1270" s="5"/>
      <c r="P1270" s="5"/>
      <c r="U1270" s="5"/>
      <c r="X1270" s="5"/>
    </row>
    <row r="1271" spans="15:24">
      <c r="O1271" s="5"/>
      <c r="P1271" s="5"/>
      <c r="U1271" s="5"/>
      <c r="X1271" s="5"/>
    </row>
    <row r="1272" spans="15:24">
      <c r="O1272" s="5"/>
      <c r="P1272" s="5"/>
      <c r="U1272" s="5"/>
      <c r="X1272" s="5"/>
    </row>
    <row r="1273" spans="15:24">
      <c r="O1273" s="5"/>
      <c r="P1273" s="5"/>
      <c r="U1273" s="5"/>
      <c r="X1273" s="5"/>
    </row>
    <row r="1274" spans="15:24">
      <c r="O1274" s="5"/>
      <c r="P1274" s="5"/>
      <c r="U1274" s="5"/>
      <c r="X1274" s="5"/>
    </row>
    <row r="1275" spans="15:24">
      <c r="O1275" s="5"/>
      <c r="P1275" s="5"/>
      <c r="U1275" s="5"/>
      <c r="X1275" s="5"/>
    </row>
    <row r="1276" spans="15:24">
      <c r="O1276" s="5"/>
      <c r="P1276" s="5"/>
      <c r="U1276" s="5"/>
      <c r="X1276" s="5"/>
    </row>
    <row r="1277" spans="15:24">
      <c r="O1277" s="5"/>
      <c r="P1277" s="5"/>
      <c r="U1277" s="5"/>
      <c r="X1277" s="5"/>
    </row>
    <row r="1278" spans="15:24">
      <c r="O1278" s="5"/>
      <c r="P1278" s="5"/>
      <c r="U1278" s="5"/>
      <c r="X1278" s="5"/>
    </row>
    <row r="1279" spans="15:24">
      <c r="O1279" s="5"/>
      <c r="P1279" s="5"/>
      <c r="U1279" s="5"/>
      <c r="X1279" s="5"/>
    </row>
    <row r="1280" spans="15:24">
      <c r="O1280" s="5"/>
      <c r="P1280" s="5"/>
      <c r="U1280" s="5"/>
      <c r="X1280" s="5"/>
    </row>
    <row r="1281" spans="15:24">
      <c r="O1281" s="5"/>
      <c r="P1281" s="5"/>
      <c r="U1281" s="5"/>
      <c r="X1281" s="5"/>
    </row>
    <row r="1282" spans="15:24">
      <c r="O1282" s="5"/>
      <c r="P1282" s="5"/>
      <c r="U1282" s="5"/>
      <c r="X1282" s="5"/>
    </row>
    <row r="1283" spans="15:24">
      <c r="O1283" s="5"/>
      <c r="P1283" s="5"/>
      <c r="U1283" s="5"/>
      <c r="X1283" s="5"/>
    </row>
    <row r="1284" spans="15:24">
      <c r="O1284" s="5"/>
      <c r="P1284" s="5"/>
      <c r="U1284" s="5"/>
      <c r="X1284" s="5"/>
    </row>
    <row r="1285" spans="15:24">
      <c r="O1285" s="5"/>
      <c r="P1285" s="5"/>
      <c r="U1285" s="5"/>
      <c r="X1285" s="5"/>
    </row>
    <row r="1286" spans="15:24">
      <c r="O1286" s="5"/>
      <c r="P1286" s="5"/>
      <c r="U1286" s="5"/>
      <c r="X1286" s="5"/>
    </row>
    <row r="1287" spans="15:24">
      <c r="O1287" s="5"/>
      <c r="P1287" s="5"/>
      <c r="U1287" s="5"/>
      <c r="X1287" s="5"/>
    </row>
    <row r="1288" spans="15:24">
      <c r="O1288" s="5"/>
      <c r="P1288" s="5"/>
      <c r="U1288" s="5"/>
      <c r="X1288" s="5"/>
    </row>
    <row r="1289" spans="15:24">
      <c r="O1289" s="5"/>
      <c r="P1289" s="5"/>
      <c r="U1289" s="5"/>
      <c r="X1289" s="5"/>
    </row>
    <row r="1290" spans="15:24">
      <c r="O1290" s="5"/>
      <c r="P1290" s="5"/>
      <c r="U1290" s="5"/>
      <c r="X1290" s="5"/>
    </row>
    <row r="1291" spans="15:24">
      <c r="O1291" s="5"/>
      <c r="P1291" s="5"/>
      <c r="U1291" s="5"/>
      <c r="X1291" s="5"/>
    </row>
    <row r="1292" spans="15:24">
      <c r="O1292" s="5"/>
      <c r="P1292" s="5"/>
      <c r="U1292" s="5"/>
      <c r="X1292" s="5"/>
    </row>
    <row r="1293" spans="15:24">
      <c r="O1293" s="5"/>
      <c r="P1293" s="5"/>
      <c r="U1293" s="5"/>
      <c r="X1293" s="5"/>
    </row>
    <row r="1294" spans="15:24">
      <c r="O1294" s="5"/>
      <c r="P1294" s="5"/>
      <c r="U1294" s="5"/>
      <c r="X1294" s="5"/>
    </row>
    <row r="1295" spans="15:24">
      <c r="O1295" s="5"/>
      <c r="P1295" s="5"/>
      <c r="U1295" s="5"/>
      <c r="X1295" s="5"/>
    </row>
    <row r="1296" spans="15:24">
      <c r="O1296" s="5"/>
      <c r="P1296" s="5"/>
      <c r="U1296" s="5"/>
      <c r="X1296" s="5"/>
    </row>
    <row r="1297" spans="15:24">
      <c r="O1297" s="5"/>
      <c r="P1297" s="5"/>
      <c r="U1297" s="5"/>
      <c r="X1297" s="5"/>
    </row>
    <row r="1298" spans="15:24">
      <c r="O1298" s="5"/>
      <c r="P1298" s="5"/>
      <c r="U1298" s="5"/>
      <c r="X1298" s="5"/>
    </row>
    <row r="1299" spans="15:24">
      <c r="O1299" s="5"/>
      <c r="P1299" s="5"/>
      <c r="U1299" s="5"/>
      <c r="X1299" s="5"/>
    </row>
    <row r="1300" spans="15:24">
      <c r="O1300" s="5"/>
      <c r="P1300" s="5"/>
      <c r="U1300" s="5"/>
      <c r="X1300" s="5"/>
    </row>
    <row r="1301" spans="15:24">
      <c r="O1301" s="5"/>
      <c r="P1301" s="5"/>
      <c r="U1301" s="5"/>
      <c r="X1301" s="5"/>
    </row>
    <row r="1302" spans="15:24">
      <c r="O1302" s="5"/>
      <c r="P1302" s="5"/>
      <c r="U1302" s="5"/>
      <c r="X1302" s="5"/>
    </row>
    <row r="1303" spans="15:24">
      <c r="O1303" s="5"/>
      <c r="P1303" s="5"/>
      <c r="U1303" s="5"/>
      <c r="X1303" s="5"/>
    </row>
    <row r="1304" spans="15:24">
      <c r="O1304" s="5"/>
      <c r="P1304" s="5"/>
      <c r="U1304" s="5"/>
      <c r="X1304" s="5"/>
    </row>
    <row r="1305" spans="15:24">
      <c r="O1305" s="5"/>
      <c r="P1305" s="5"/>
      <c r="U1305" s="5"/>
      <c r="X1305" s="5"/>
    </row>
    <row r="1306" spans="15:24">
      <c r="O1306" s="5"/>
      <c r="P1306" s="5"/>
      <c r="U1306" s="5"/>
      <c r="X1306" s="5"/>
    </row>
    <row r="1307" spans="15:24">
      <c r="O1307" s="5"/>
      <c r="P1307" s="5"/>
      <c r="U1307" s="5"/>
      <c r="X1307" s="5"/>
    </row>
    <row r="1308" spans="15:24">
      <c r="O1308" s="5"/>
      <c r="P1308" s="5"/>
      <c r="U1308" s="5"/>
      <c r="X1308" s="5"/>
    </row>
    <row r="1309" spans="15:24">
      <c r="O1309" s="5"/>
      <c r="P1309" s="5"/>
      <c r="U1309" s="5"/>
      <c r="X1309" s="5"/>
    </row>
    <row r="1310" spans="15:24">
      <c r="O1310" s="5"/>
      <c r="P1310" s="5"/>
      <c r="U1310" s="5"/>
      <c r="X1310" s="5"/>
    </row>
    <row r="1311" spans="15:24">
      <c r="O1311" s="5"/>
      <c r="P1311" s="5"/>
      <c r="U1311" s="5"/>
      <c r="X1311" s="5"/>
    </row>
    <row r="1312" spans="15:24">
      <c r="O1312" s="5"/>
      <c r="P1312" s="5"/>
      <c r="U1312" s="5"/>
      <c r="X1312" s="5"/>
    </row>
    <row r="1313" spans="15:24">
      <c r="O1313" s="5"/>
      <c r="P1313" s="5"/>
      <c r="U1313" s="5"/>
      <c r="X1313" s="5"/>
    </row>
    <row r="1314" spans="15:24">
      <c r="O1314" s="5"/>
      <c r="P1314" s="5"/>
      <c r="U1314" s="5"/>
      <c r="X1314" s="5"/>
    </row>
    <row r="1315" spans="15:24">
      <c r="O1315" s="5"/>
      <c r="P1315" s="5"/>
      <c r="U1315" s="5"/>
      <c r="X1315" s="5"/>
    </row>
    <row r="1316" spans="15:24">
      <c r="O1316" s="5"/>
      <c r="P1316" s="5"/>
      <c r="U1316" s="5"/>
      <c r="X1316" s="5"/>
    </row>
    <row r="1317" spans="15:24">
      <c r="O1317" s="5"/>
      <c r="P1317" s="5"/>
      <c r="U1317" s="5"/>
      <c r="X1317" s="5"/>
    </row>
    <row r="1318" spans="15:24">
      <c r="O1318" s="5"/>
      <c r="P1318" s="5"/>
      <c r="U1318" s="5"/>
      <c r="X1318" s="5"/>
    </row>
    <row r="1319" spans="15:24">
      <c r="O1319" s="5"/>
      <c r="P1319" s="5"/>
      <c r="U1319" s="5"/>
      <c r="X1319" s="5"/>
    </row>
    <row r="1320" spans="15:24">
      <c r="O1320" s="5"/>
      <c r="P1320" s="5"/>
      <c r="U1320" s="5"/>
      <c r="X1320" s="5"/>
    </row>
    <row r="1321" spans="15:24">
      <c r="O1321" s="5"/>
      <c r="P1321" s="5"/>
      <c r="X1321" s="5"/>
    </row>
    <row r="1322" spans="15:24">
      <c r="O1322" s="5"/>
      <c r="P1322" s="5"/>
      <c r="X1322" s="5"/>
    </row>
    <row r="1323" spans="15:24">
      <c r="O1323" s="5"/>
      <c r="P1323" s="5"/>
      <c r="X1323" s="5"/>
    </row>
    <row r="1324" spans="15:24">
      <c r="O1324" s="5"/>
      <c r="P1324" s="5"/>
      <c r="X1324" s="5"/>
    </row>
    <row r="1325" spans="15:24">
      <c r="O1325" s="5"/>
      <c r="P1325" s="5"/>
      <c r="X1325" s="5"/>
    </row>
    <row r="1326" spans="15:24">
      <c r="O1326" s="5"/>
      <c r="P1326" s="5"/>
      <c r="X1326" s="5"/>
    </row>
    <row r="1327" spans="15:24">
      <c r="O1327" s="5"/>
      <c r="P1327" s="5"/>
      <c r="X1327" s="5"/>
    </row>
    <row r="1328" spans="15:24">
      <c r="O1328" s="5"/>
      <c r="P1328" s="5"/>
      <c r="X1328" s="5"/>
    </row>
    <row r="1329" spans="15:24">
      <c r="O1329" s="5"/>
      <c r="P1329" s="5"/>
      <c r="X1329" s="5"/>
    </row>
    <row r="1330" spans="15:24">
      <c r="O1330" s="5"/>
      <c r="P1330" s="5"/>
      <c r="X1330" s="5"/>
    </row>
    <row r="1331" spans="15:24">
      <c r="O1331" s="5"/>
      <c r="P1331" s="5"/>
      <c r="X1331" s="5"/>
    </row>
    <row r="1332" spans="15:24">
      <c r="O1332" s="5"/>
      <c r="P1332" s="5"/>
      <c r="X1332" s="5"/>
    </row>
    <row r="1333" spans="15:24">
      <c r="O1333" s="5"/>
      <c r="P1333" s="5"/>
      <c r="X1333" s="5"/>
    </row>
    <row r="1334" spans="15:24">
      <c r="O1334" s="5"/>
      <c r="P1334" s="5"/>
      <c r="X1334" s="5"/>
    </row>
    <row r="1335" spans="15:24">
      <c r="O1335" s="5"/>
      <c r="P1335" s="5"/>
      <c r="X1335" s="5"/>
    </row>
    <row r="1336" spans="15:24">
      <c r="O1336" s="5"/>
      <c r="P1336" s="5"/>
      <c r="X1336" s="5"/>
    </row>
    <row r="1337" spans="15:24">
      <c r="O1337" s="5"/>
      <c r="P1337" s="5"/>
      <c r="X1337" s="5"/>
    </row>
    <row r="1338" spans="15:24">
      <c r="O1338" s="5"/>
      <c r="P1338" s="5"/>
      <c r="X1338" s="5"/>
    </row>
    <row r="1339" spans="15:24">
      <c r="O1339" s="5"/>
      <c r="P1339" s="5"/>
      <c r="X1339" s="5"/>
    </row>
    <row r="1340" spans="15:24">
      <c r="O1340" s="5"/>
      <c r="P1340" s="5"/>
      <c r="X1340" s="5"/>
    </row>
    <row r="1341" spans="15:24">
      <c r="O1341" s="5"/>
      <c r="P1341" s="5"/>
      <c r="X1341" s="5"/>
    </row>
    <row r="1342" spans="15:24">
      <c r="O1342" s="5"/>
      <c r="P1342" s="5"/>
      <c r="X1342" s="5"/>
    </row>
    <row r="1343" spans="15:24">
      <c r="O1343" s="5"/>
      <c r="P1343" s="5"/>
      <c r="X1343" s="5"/>
    </row>
    <row r="1344" spans="15:24">
      <c r="O1344" s="5"/>
      <c r="P1344" s="5"/>
      <c r="X1344" s="5"/>
    </row>
    <row r="1345" spans="15:24">
      <c r="O1345" s="5"/>
      <c r="P1345" s="5"/>
      <c r="X1345" s="5"/>
    </row>
    <row r="1346" spans="15:24">
      <c r="O1346" s="5"/>
      <c r="P1346" s="5"/>
      <c r="X1346" s="5"/>
    </row>
    <row r="1347" spans="15:24">
      <c r="O1347" s="5"/>
      <c r="P1347" s="5"/>
      <c r="X1347" s="5"/>
    </row>
    <row r="1348" spans="15:24">
      <c r="O1348" s="5"/>
      <c r="P1348" s="5"/>
      <c r="X1348" s="5"/>
    </row>
    <row r="1349" spans="15:24">
      <c r="O1349" s="5"/>
      <c r="P1349" s="5"/>
      <c r="X1349" s="5"/>
    </row>
    <row r="1350" spans="15:24">
      <c r="O1350" s="5"/>
      <c r="P1350" s="5"/>
      <c r="X1350" s="5"/>
    </row>
    <row r="1351" spans="15:24">
      <c r="O1351" s="5"/>
      <c r="P1351" s="5"/>
      <c r="X1351" s="5"/>
    </row>
    <row r="1352" spans="15:24">
      <c r="O1352" s="5"/>
      <c r="P1352" s="5"/>
      <c r="X1352" s="5"/>
    </row>
    <row r="1353" spans="15:24">
      <c r="O1353" s="5"/>
      <c r="P1353" s="5"/>
      <c r="X1353" s="5"/>
    </row>
    <row r="1354" spans="15:24">
      <c r="O1354" s="5"/>
      <c r="P1354" s="5"/>
      <c r="X1354" s="5"/>
    </row>
    <row r="1355" spans="15:24">
      <c r="O1355" s="5"/>
      <c r="P1355" s="5"/>
      <c r="X1355" s="5"/>
    </row>
    <row r="1356" spans="15:24">
      <c r="O1356" s="5"/>
      <c r="P1356" s="5"/>
      <c r="X1356" s="5"/>
    </row>
    <row r="1357" spans="15:24">
      <c r="O1357" s="5"/>
      <c r="P1357" s="5"/>
      <c r="X1357" s="5"/>
    </row>
    <row r="1358" spans="15:24">
      <c r="O1358" s="5"/>
      <c r="P1358" s="5"/>
      <c r="X1358" s="5"/>
    </row>
    <row r="1359" spans="15:24">
      <c r="O1359" s="5"/>
      <c r="P1359" s="5"/>
      <c r="X1359" s="5"/>
    </row>
    <row r="1360" spans="15:24">
      <c r="O1360" s="5"/>
      <c r="P1360" s="5"/>
      <c r="X1360" s="5"/>
    </row>
    <row r="1361" spans="15:24">
      <c r="O1361" s="5"/>
      <c r="P1361" s="5"/>
      <c r="X1361" s="5"/>
    </row>
    <row r="1362" spans="15:24">
      <c r="O1362" s="5"/>
      <c r="P1362" s="5"/>
      <c r="X1362" s="5"/>
    </row>
    <row r="1363" spans="15:24">
      <c r="O1363" s="5"/>
      <c r="P1363" s="5"/>
      <c r="X1363" s="5"/>
    </row>
    <row r="1364" spans="15:24">
      <c r="O1364" s="5"/>
      <c r="P1364" s="5"/>
      <c r="X1364" s="5"/>
    </row>
    <row r="1365" spans="15:24">
      <c r="O1365" s="5"/>
      <c r="P1365" s="5"/>
      <c r="X1365" s="5"/>
    </row>
    <row r="1366" spans="15:24">
      <c r="O1366" s="5"/>
      <c r="P1366" s="5"/>
      <c r="X1366" s="5"/>
    </row>
    <row r="1367" spans="15:24">
      <c r="O1367" s="5"/>
      <c r="P1367" s="5"/>
      <c r="X1367" s="5"/>
    </row>
    <row r="1368" spans="15:24">
      <c r="O1368" s="5"/>
      <c r="P1368" s="5"/>
      <c r="X1368" s="5"/>
    </row>
    <row r="1369" spans="15:24">
      <c r="O1369" s="5"/>
      <c r="P1369" s="5"/>
      <c r="X1369" s="5"/>
    </row>
    <row r="1370" spans="15:24">
      <c r="O1370" s="5"/>
      <c r="P1370" s="5"/>
      <c r="X1370" s="5"/>
    </row>
    <row r="1371" spans="15:24">
      <c r="O1371" s="5"/>
      <c r="P1371" s="5"/>
      <c r="X1371" s="5"/>
    </row>
    <row r="1372" spans="15:24">
      <c r="O1372" s="5"/>
      <c r="P1372" s="5"/>
      <c r="X1372" s="5"/>
    </row>
    <row r="1373" spans="15:24">
      <c r="O1373" s="5"/>
      <c r="P1373" s="5"/>
      <c r="X1373" s="5"/>
    </row>
    <row r="1374" spans="15:24">
      <c r="O1374" s="5"/>
      <c r="P1374" s="5"/>
      <c r="X1374" s="5"/>
    </row>
    <row r="1375" spans="15:24">
      <c r="O1375" s="5"/>
      <c r="P1375" s="5"/>
      <c r="X1375" s="5"/>
    </row>
    <row r="1376" spans="15:24">
      <c r="O1376" s="5"/>
      <c r="P1376" s="5"/>
      <c r="X1376" s="5"/>
    </row>
    <row r="1377" spans="15:24">
      <c r="O1377" s="5"/>
      <c r="P1377" s="5"/>
      <c r="X1377" s="5"/>
    </row>
    <row r="1378" spans="15:24">
      <c r="O1378" s="5"/>
      <c r="P1378" s="5"/>
      <c r="X1378" s="5"/>
    </row>
    <row r="1379" spans="15:24">
      <c r="O1379" s="5"/>
      <c r="P1379" s="5"/>
      <c r="X1379" s="5"/>
    </row>
    <row r="1380" spans="15:24">
      <c r="O1380" s="5"/>
      <c r="P1380" s="5"/>
      <c r="X1380" s="5"/>
    </row>
    <row r="1381" spans="15:24">
      <c r="O1381" s="5"/>
      <c r="P1381" s="5"/>
      <c r="X1381" s="5"/>
    </row>
    <row r="1382" spans="15:24">
      <c r="O1382" s="5"/>
      <c r="P1382" s="5"/>
      <c r="X1382" s="5"/>
    </row>
    <row r="1383" spans="15:24">
      <c r="O1383" s="5"/>
      <c r="P1383" s="5"/>
      <c r="X1383" s="5"/>
    </row>
    <row r="1384" spans="15:24">
      <c r="O1384" s="5"/>
      <c r="P1384" s="5"/>
      <c r="X1384" s="5"/>
    </row>
    <row r="1385" spans="15:24">
      <c r="O1385" s="5"/>
      <c r="P1385" s="5"/>
      <c r="X1385" s="5"/>
    </row>
    <row r="1386" spans="15:24">
      <c r="O1386" s="5"/>
      <c r="P1386" s="5"/>
      <c r="X1386" s="5"/>
    </row>
    <row r="1387" spans="15:24">
      <c r="O1387" s="5"/>
      <c r="P1387" s="5"/>
      <c r="X1387" s="5"/>
    </row>
    <row r="1388" spans="15:24">
      <c r="O1388" s="5"/>
      <c r="P1388" s="5"/>
      <c r="X1388" s="5"/>
    </row>
    <row r="1389" spans="15:24">
      <c r="O1389" s="5"/>
      <c r="P1389" s="5"/>
      <c r="X1389" s="5"/>
    </row>
    <row r="1390" spans="15:24">
      <c r="O1390" s="5"/>
      <c r="P1390" s="5"/>
      <c r="X1390" s="5"/>
    </row>
    <row r="1391" spans="15:24">
      <c r="O1391" s="5"/>
      <c r="P1391" s="5"/>
      <c r="X1391" s="5"/>
    </row>
    <row r="1392" spans="15:24">
      <c r="O1392" s="5"/>
      <c r="P1392" s="5"/>
      <c r="X1392" s="5"/>
    </row>
  </sheetData>
  <mergeCells count="672">
    <mergeCell ref="AY397:AY412"/>
    <mergeCell ref="B663:B673"/>
    <mergeCell ref="B571:B577"/>
    <mergeCell ref="B578:B580"/>
    <mergeCell ref="B581:B588"/>
    <mergeCell ref="B589:B604"/>
    <mergeCell ref="B605:B607"/>
    <mergeCell ref="B608:B616"/>
    <mergeCell ref="B618:B631"/>
    <mergeCell ref="B632:B656"/>
    <mergeCell ref="B428:B443"/>
    <mergeCell ref="B444:B466"/>
    <mergeCell ref="B467:B475"/>
    <mergeCell ref="B476:B480"/>
    <mergeCell ref="B481:B495"/>
    <mergeCell ref="B496:B506"/>
    <mergeCell ref="B507:B520"/>
    <mergeCell ref="B521:B570"/>
    <mergeCell ref="B657:B662"/>
    <mergeCell ref="AY581:AY588"/>
    <mergeCell ref="AF481:AF495"/>
    <mergeCell ref="AG481:AG495"/>
    <mergeCell ref="AB476:AB480"/>
    <mergeCell ref="I496:I501"/>
    <mergeCell ref="S128:S211"/>
    <mergeCell ref="Z128:Z211"/>
    <mergeCell ref="AD128:AD211"/>
    <mergeCell ref="S80:S98"/>
    <mergeCell ref="Z80:Z127"/>
    <mergeCell ref="AD80:AD127"/>
    <mergeCell ref="AE80:AE127"/>
    <mergeCell ref="AX284:AX289"/>
    <mergeCell ref="AL128:AL211"/>
    <mergeCell ref="AL270:AL278"/>
    <mergeCell ref="AW270:AW278"/>
    <mergeCell ref="AL284:AL289"/>
    <mergeCell ref="AW284:AW289"/>
    <mergeCell ref="AB266:AB269"/>
    <mergeCell ref="AB270:AB278"/>
    <mergeCell ref="S270:S278"/>
    <mergeCell ref="X279:X283"/>
    <mergeCell ref="AB284:AB289"/>
    <mergeCell ref="AB279:AB283"/>
    <mergeCell ref="AY80:AY127"/>
    <mergeCell ref="S99:S127"/>
    <mergeCell ref="AF80:AF127"/>
    <mergeCell ref="AW66:AW79"/>
    <mergeCell ref="AB120:AB127"/>
    <mergeCell ref="AB80:AB119"/>
    <mergeCell ref="AW80:AW127"/>
    <mergeCell ref="AL80:AL127"/>
    <mergeCell ref="I80:I127"/>
    <mergeCell ref="K66:K79"/>
    <mergeCell ref="S66:S79"/>
    <mergeCell ref="Z66:Z79"/>
    <mergeCell ref="AD66:AD79"/>
    <mergeCell ref="AB66:AB79"/>
    <mergeCell ref="AA66:AA79"/>
    <mergeCell ref="AL66:AL79"/>
    <mergeCell ref="K334:K378"/>
    <mergeCell ref="S605:S607"/>
    <mergeCell ref="K279:K283"/>
    <mergeCell ref="F589:F604"/>
    <mergeCell ref="F581:F588"/>
    <mergeCell ref="G581:G588"/>
    <mergeCell ref="F310:F317"/>
    <mergeCell ref="G310:G317"/>
    <mergeCell ref="R306:R309"/>
    <mergeCell ref="I306:I309"/>
    <mergeCell ref="S306:S309"/>
    <mergeCell ref="G589:G604"/>
    <mergeCell ref="G571:G577"/>
    <mergeCell ref="F571:F577"/>
    <mergeCell ref="R318:R333"/>
    <mergeCell ref="H334:H378"/>
    <mergeCell ref="G290:G305"/>
    <mergeCell ref="I279:I283"/>
    <mergeCell ref="S318:S333"/>
    <mergeCell ref="I379:I388"/>
    <mergeCell ref="H379:H388"/>
    <mergeCell ref="I310:I317"/>
    <mergeCell ref="H310:H317"/>
    <mergeCell ref="I318:I333"/>
    <mergeCell ref="I128:I211"/>
    <mergeCell ref="B80:B127"/>
    <mergeCell ref="C80:C127"/>
    <mergeCell ref="D80:D127"/>
    <mergeCell ref="E80:E127"/>
    <mergeCell ref="F80:F127"/>
    <mergeCell ref="G80:G127"/>
    <mergeCell ref="H80:H127"/>
    <mergeCell ref="AY476:AY480"/>
    <mergeCell ref="I476:I480"/>
    <mergeCell ref="H476:H480"/>
    <mergeCell ref="Z389:Z396"/>
    <mergeCell ref="AE279:AE283"/>
    <mergeCell ref="AF279:AF283"/>
    <mergeCell ref="E270:E278"/>
    <mergeCell ref="H212:H265"/>
    <mergeCell ref="G212:G265"/>
    <mergeCell ref="F212:F265"/>
    <mergeCell ref="Z270:Z278"/>
    <mergeCell ref="Z237:Z244"/>
    <mergeCell ref="Z225:Z236"/>
    <mergeCell ref="H279:H283"/>
    <mergeCell ref="U290:U305"/>
    <mergeCell ref="Y279:Y283"/>
    <mergeCell ref="H496:H501"/>
    <mergeCell ref="Z608:Z616"/>
    <mergeCell ref="AD608:AD616"/>
    <mergeCell ref="AB608:AB616"/>
    <mergeCell ref="H578:H580"/>
    <mergeCell ref="R589:R604"/>
    <mergeCell ref="AB481:AB495"/>
    <mergeCell ref="AL605:AL607"/>
    <mergeCell ref="AL608:AL616"/>
    <mergeCell ref="AL521:AL570"/>
    <mergeCell ref="AF581:AF588"/>
    <mergeCell ref="AD578:AD580"/>
    <mergeCell ref="AB589:AB604"/>
    <mergeCell ref="AD589:AD604"/>
    <mergeCell ref="AB581:AB588"/>
    <mergeCell ref="A397:A412"/>
    <mergeCell ref="S397:S401"/>
    <mergeCell ref="Z397:Z402"/>
    <mergeCell ref="G413:G427"/>
    <mergeCell ref="F413:F427"/>
    <mergeCell ref="E413:E427"/>
    <mergeCell ref="G403:G405"/>
    <mergeCell ref="F403:F405"/>
    <mergeCell ref="E403:E405"/>
    <mergeCell ref="C397:C402"/>
    <mergeCell ref="D397:D402"/>
    <mergeCell ref="H413:H427"/>
    <mergeCell ref="D413:D427"/>
    <mergeCell ref="I406:I412"/>
    <mergeCell ref="D403:D405"/>
    <mergeCell ref="I397:I402"/>
    <mergeCell ref="H397:H402"/>
    <mergeCell ref="B397:B412"/>
    <mergeCell ref="B413:B427"/>
    <mergeCell ref="C403:C405"/>
    <mergeCell ref="I403:I405"/>
    <mergeCell ref="H403:H405"/>
    <mergeCell ref="E397:E402"/>
    <mergeCell ref="F397:F402"/>
    <mergeCell ref="H270:H278"/>
    <mergeCell ref="D306:D309"/>
    <mergeCell ref="C284:C289"/>
    <mergeCell ref="H284:H289"/>
    <mergeCell ref="I284:I289"/>
    <mergeCell ref="I270:I278"/>
    <mergeCell ref="G279:G283"/>
    <mergeCell ref="F279:F283"/>
    <mergeCell ref="E279:E283"/>
    <mergeCell ref="G284:G289"/>
    <mergeCell ref="C270:C278"/>
    <mergeCell ref="C290:C305"/>
    <mergeCell ref="D290:D305"/>
    <mergeCell ref="E290:E305"/>
    <mergeCell ref="F290:F305"/>
    <mergeCell ref="H290:H305"/>
    <mergeCell ref="H306:H309"/>
    <mergeCell ref="I290:I305"/>
    <mergeCell ref="C389:C396"/>
    <mergeCell ref="D389:D396"/>
    <mergeCell ref="E389:E396"/>
    <mergeCell ref="F389:F396"/>
    <mergeCell ref="G389:G396"/>
    <mergeCell ref="B306:B309"/>
    <mergeCell ref="B284:B289"/>
    <mergeCell ref="B290:B305"/>
    <mergeCell ref="D284:D289"/>
    <mergeCell ref="E284:E289"/>
    <mergeCell ref="E306:E309"/>
    <mergeCell ref="B379:B388"/>
    <mergeCell ref="B389:B396"/>
    <mergeCell ref="C306:C309"/>
    <mergeCell ref="E379:E388"/>
    <mergeCell ref="F306:F309"/>
    <mergeCell ref="G318:G333"/>
    <mergeCell ref="B334:B378"/>
    <mergeCell ref="C318:C333"/>
    <mergeCell ref="B310:B317"/>
    <mergeCell ref="C310:C317"/>
    <mergeCell ref="D310:D317"/>
    <mergeCell ref="E310:E317"/>
    <mergeCell ref="F318:F333"/>
    <mergeCell ref="B266:B269"/>
    <mergeCell ref="C266:C269"/>
    <mergeCell ref="G128:G211"/>
    <mergeCell ref="F128:F211"/>
    <mergeCell ref="E128:E211"/>
    <mergeCell ref="D128:D211"/>
    <mergeCell ref="C128:C211"/>
    <mergeCell ref="B128:B211"/>
    <mergeCell ref="G270:G278"/>
    <mergeCell ref="B212:B265"/>
    <mergeCell ref="I266:I269"/>
    <mergeCell ref="R212:R219"/>
    <mergeCell ref="K212:K216"/>
    <mergeCell ref="S237:S244"/>
    <mergeCell ref="S220:S224"/>
    <mergeCell ref="S212:S219"/>
    <mergeCell ref="AY266:AY269"/>
    <mergeCell ref="S225:S228"/>
    <mergeCell ref="S229:S236"/>
    <mergeCell ref="S266:S269"/>
    <mergeCell ref="I212:I265"/>
    <mergeCell ref="Z266:Z269"/>
    <mergeCell ref="AA245:AA259"/>
    <mergeCell ref="AL266:AL269"/>
    <mergeCell ref="AB212:AB244"/>
    <mergeCell ref="AA212:AA244"/>
    <mergeCell ref="AD237:AD244"/>
    <mergeCell ref="AD212:AD236"/>
    <mergeCell ref="AE266:AE269"/>
    <mergeCell ref="AF266:AF269"/>
    <mergeCell ref="AY212:AY220"/>
    <mergeCell ref="F66:F79"/>
    <mergeCell ref="G66:G79"/>
    <mergeCell ref="H66:H79"/>
    <mergeCell ref="H51:H62"/>
    <mergeCell ref="I66:I79"/>
    <mergeCell ref="B676:B677"/>
    <mergeCell ref="F266:F269"/>
    <mergeCell ref="G266:G269"/>
    <mergeCell ref="F270:F278"/>
    <mergeCell ref="F284:F289"/>
    <mergeCell ref="B270:B278"/>
    <mergeCell ref="B279:B283"/>
    <mergeCell ref="D266:D269"/>
    <mergeCell ref="E266:E269"/>
    <mergeCell ref="G676:G677"/>
    <mergeCell ref="C676:C677"/>
    <mergeCell ref="D676:D677"/>
    <mergeCell ref="E676:E677"/>
    <mergeCell ref="F676:F677"/>
    <mergeCell ref="D279:D283"/>
    <mergeCell ref="C279:C283"/>
    <mergeCell ref="C334:C378"/>
    <mergeCell ref="D334:D378"/>
    <mergeCell ref="B318:B333"/>
    <mergeCell ref="Z379:Z388"/>
    <mergeCell ref="AG467:AG475"/>
    <mergeCell ref="AY481:AY495"/>
    <mergeCell ref="I51:I62"/>
    <mergeCell ref="B51:B62"/>
    <mergeCell ref="C51:C62"/>
    <mergeCell ref="D51:D62"/>
    <mergeCell ref="E51:E62"/>
    <mergeCell ref="F51:F62"/>
    <mergeCell ref="G51:G62"/>
    <mergeCell ref="B66:B79"/>
    <mergeCell ref="I63:I65"/>
    <mergeCell ref="H63:H65"/>
    <mergeCell ref="G63:G65"/>
    <mergeCell ref="F63:F65"/>
    <mergeCell ref="E63:E65"/>
    <mergeCell ref="D63:D65"/>
    <mergeCell ref="C63:C65"/>
    <mergeCell ref="B63:B65"/>
    <mergeCell ref="C66:C79"/>
    <mergeCell ref="D66:D79"/>
    <mergeCell ref="AB128:AB211"/>
    <mergeCell ref="E66:E79"/>
    <mergeCell ref="AY284:AY289"/>
    <mergeCell ref="S334:S378"/>
    <mergeCell ref="AG334:AG378"/>
    <mergeCell ref="AD334:AD378"/>
    <mergeCell ref="AD266:AD269"/>
    <mergeCell ref="Z220:Z224"/>
    <mergeCell ref="Z212:Z219"/>
    <mergeCell ref="AD270:AD278"/>
    <mergeCell ref="AG310:AG317"/>
    <mergeCell ref="AF318:AF333"/>
    <mergeCell ref="AF334:AF378"/>
    <mergeCell ref="Z290:Z305"/>
    <mergeCell ref="Y334:Y378"/>
    <mergeCell ref="Z334:Z378"/>
    <mergeCell ref="U334:U378"/>
    <mergeCell ref="AF310:AF317"/>
    <mergeCell ref="AD306:AD309"/>
    <mergeCell ref="Z318:Z333"/>
    <mergeCell ref="AB318:AB333"/>
    <mergeCell ref="K2:Q2"/>
    <mergeCell ref="R2:Z2"/>
    <mergeCell ref="C2:I2"/>
    <mergeCell ref="AE2:AG2"/>
    <mergeCell ref="AA2:AD2"/>
    <mergeCell ref="H38:H49"/>
    <mergeCell ref="I38:I49"/>
    <mergeCell ref="S44:S49"/>
    <mergeCell ref="K38:K43"/>
    <mergeCell ref="K44:K49"/>
    <mergeCell ref="R44:R49"/>
    <mergeCell ref="C38:C49"/>
    <mergeCell ref="D38:D49"/>
    <mergeCell ref="E38:E49"/>
    <mergeCell ref="Z34:Z37"/>
    <mergeCell ref="AG38:AG43"/>
    <mergeCell ref="AA38:AA49"/>
    <mergeCell ref="F38:F49"/>
    <mergeCell ref="G38:G49"/>
    <mergeCell ref="AF38:AF49"/>
    <mergeCell ref="S38:S43"/>
    <mergeCell ref="R38:R43"/>
    <mergeCell ref="AD38:AD49"/>
    <mergeCell ref="G4:G33"/>
    <mergeCell ref="S4:S17"/>
    <mergeCell ref="Y4:Y17"/>
    <mergeCell ref="B38:B49"/>
    <mergeCell ref="Z38:Z49"/>
    <mergeCell ref="AA34:AA37"/>
    <mergeCell ref="B4:B33"/>
    <mergeCell ref="C34:C37"/>
    <mergeCell ref="D34:D37"/>
    <mergeCell ref="H4:H33"/>
    <mergeCell ref="I4:I33"/>
    <mergeCell ref="R4:R17"/>
    <mergeCell ref="Z4:Z17"/>
    <mergeCell ref="AA4:AA33"/>
    <mergeCell ref="C4:C33"/>
    <mergeCell ref="D4:D33"/>
    <mergeCell ref="E4:E33"/>
    <mergeCell ref="F4:F33"/>
    <mergeCell ref="B34:B37"/>
    <mergeCell ref="E34:E37"/>
    <mergeCell ref="F34:F37"/>
    <mergeCell ref="G34:G37"/>
    <mergeCell ref="H34:H37"/>
    <mergeCell ref="I34:I37"/>
    <mergeCell ref="Z63:Z65"/>
    <mergeCell ref="AB4:AB17"/>
    <mergeCell ref="AB18:AB33"/>
    <mergeCell ref="Y51:Y62"/>
    <mergeCell ref="X51:X62"/>
    <mergeCell ref="AY34:AY37"/>
    <mergeCell ref="AB34:AB37"/>
    <mergeCell ref="AY4:AY33"/>
    <mergeCell ref="AD18:AD33"/>
    <mergeCell ref="AE18:AE33"/>
    <mergeCell ref="AB38:AB49"/>
    <mergeCell ref="AG44:AG49"/>
    <mergeCell ref="AD34:AD37"/>
    <mergeCell ref="AE38:AE43"/>
    <mergeCell ref="AE34:AE37"/>
    <mergeCell ref="AF34:AF37"/>
    <mergeCell ref="AL51:AL62"/>
    <mergeCell ref="AF4:AF17"/>
    <mergeCell ref="AF18:AF33"/>
    <mergeCell ref="AE51:AE62"/>
    <mergeCell ref="Z51:Z62"/>
    <mergeCell ref="AD51:AD62"/>
    <mergeCell ref="AB51:AB62"/>
    <mergeCell ref="AX34:AX37"/>
    <mergeCell ref="AB413:AB418"/>
    <mergeCell ref="AW290:AW305"/>
    <mergeCell ref="AW306:AW309"/>
    <mergeCell ref="AX306:AX309"/>
    <mergeCell ref="AL318:AL333"/>
    <mergeCell ref="R18:R33"/>
    <mergeCell ref="S18:S33"/>
    <mergeCell ref="Y18:Y33"/>
    <mergeCell ref="Z18:Z33"/>
    <mergeCell ref="R34:R37"/>
    <mergeCell ref="S34:S37"/>
    <mergeCell ref="Z310:Z317"/>
    <mergeCell ref="AD310:AD317"/>
    <mergeCell ref="Z284:Z289"/>
    <mergeCell ref="Z306:Z309"/>
    <mergeCell ref="Z279:Z283"/>
    <mergeCell ref="AD284:AD289"/>
    <mergeCell ref="AF284:AF289"/>
    <mergeCell ref="AG279:AG283"/>
    <mergeCell ref="AL290:AL305"/>
    <mergeCell ref="AL306:AL309"/>
    <mergeCell ref="AL310:AL317"/>
    <mergeCell ref="AL34:AL37"/>
    <mergeCell ref="S63:S65"/>
    <mergeCell ref="BB290:BC305"/>
    <mergeCell ref="AF290:AF305"/>
    <mergeCell ref="AB290:AB305"/>
    <mergeCell ref="AD290:AD305"/>
    <mergeCell ref="AY290:AY305"/>
    <mergeCell ref="AL334:AL378"/>
    <mergeCell ref="AW334:AW378"/>
    <mergeCell ref="AL379:AL388"/>
    <mergeCell ref="AL389:AL396"/>
    <mergeCell ref="AY379:AY388"/>
    <mergeCell ref="AE379:AE388"/>
    <mergeCell ref="AG379:AG388"/>
    <mergeCell ref="AF379:AF388"/>
    <mergeCell ref="AD318:AD333"/>
    <mergeCell ref="AY310:AY317"/>
    <mergeCell ref="AB389:AB396"/>
    <mergeCell ref="AD379:AD388"/>
    <mergeCell ref="AY389:AY396"/>
    <mergeCell ref="AY318:AY333"/>
    <mergeCell ref="AB334:AB378"/>
    <mergeCell ref="D444:D461"/>
    <mergeCell ref="C444:C461"/>
    <mergeCell ref="C413:C427"/>
    <mergeCell ref="C379:C388"/>
    <mergeCell ref="F379:F388"/>
    <mergeCell ref="G379:G388"/>
    <mergeCell ref="D212:D265"/>
    <mergeCell ref="C212:C265"/>
    <mergeCell ref="H318:H333"/>
    <mergeCell ref="E334:E378"/>
    <mergeCell ref="F334:F378"/>
    <mergeCell ref="G334:G378"/>
    <mergeCell ref="D270:D278"/>
    <mergeCell ref="H444:H461"/>
    <mergeCell ref="G444:G461"/>
    <mergeCell ref="D318:D333"/>
    <mergeCell ref="D379:D388"/>
    <mergeCell ref="F444:F461"/>
    <mergeCell ref="E444:E461"/>
    <mergeCell ref="H266:H269"/>
    <mergeCell ref="E212:E265"/>
    <mergeCell ref="E318:E333"/>
    <mergeCell ref="G397:G402"/>
    <mergeCell ref="G306:G309"/>
    <mergeCell ref="C476:C480"/>
    <mergeCell ref="C428:C443"/>
    <mergeCell ref="C462:C466"/>
    <mergeCell ref="C467:C475"/>
    <mergeCell ref="AE467:AE475"/>
    <mergeCell ref="Z428:Z443"/>
    <mergeCell ref="AB445:AB451"/>
    <mergeCell ref="AB452:AB455"/>
    <mergeCell ref="AB456:AB457"/>
    <mergeCell ref="I462:I466"/>
    <mergeCell ref="D476:D480"/>
    <mergeCell ref="D428:D443"/>
    <mergeCell ref="D467:D475"/>
    <mergeCell ref="E428:E443"/>
    <mergeCell ref="F428:F443"/>
    <mergeCell ref="G428:G443"/>
    <mergeCell ref="G462:G466"/>
    <mergeCell ref="F462:F466"/>
    <mergeCell ref="E462:E466"/>
    <mergeCell ref="D462:D466"/>
    <mergeCell ref="G476:G480"/>
    <mergeCell ref="AA428:AA443"/>
    <mergeCell ref="Z467:Z475"/>
    <mergeCell ref="AB467:AB475"/>
    <mergeCell ref="D678:D683"/>
    <mergeCell ref="C678:C683"/>
    <mergeCell ref="C605:C607"/>
    <mergeCell ref="D605:D607"/>
    <mergeCell ref="D507:D520"/>
    <mergeCell ref="C507:C520"/>
    <mergeCell ref="D496:D501"/>
    <mergeCell ref="C502:C506"/>
    <mergeCell ref="D571:D577"/>
    <mergeCell ref="C571:C577"/>
    <mergeCell ref="D521:D570"/>
    <mergeCell ref="C496:C501"/>
    <mergeCell ref="D502:D506"/>
    <mergeCell ref="D578:D580"/>
    <mergeCell ref="C578:C580"/>
    <mergeCell ref="C581:C588"/>
    <mergeCell ref="D581:D588"/>
    <mergeCell ref="D657:D662"/>
    <mergeCell ref="C657:C662"/>
    <mergeCell ref="C521:C570"/>
    <mergeCell ref="C663:C673"/>
    <mergeCell ref="D663:D673"/>
    <mergeCell ref="D481:D495"/>
    <mergeCell ref="C481:C495"/>
    <mergeCell ref="E481:E495"/>
    <mergeCell ref="C632:C656"/>
    <mergeCell ref="D618:D631"/>
    <mergeCell ref="C618:C631"/>
    <mergeCell ref="E521:E570"/>
    <mergeCell ref="D608:D616"/>
    <mergeCell ref="C608:C616"/>
    <mergeCell ref="C589:C604"/>
    <mergeCell ref="E507:E520"/>
    <mergeCell ref="E578:E580"/>
    <mergeCell ref="E496:E501"/>
    <mergeCell ref="D589:D604"/>
    <mergeCell ref="E608:E616"/>
    <mergeCell ref="E618:E631"/>
    <mergeCell ref="E632:E656"/>
    <mergeCell ref="D632:D656"/>
    <mergeCell ref="E467:E475"/>
    <mergeCell ref="G467:G475"/>
    <mergeCell ref="F467:F475"/>
    <mergeCell ref="H467:H475"/>
    <mergeCell ref="AD476:AD480"/>
    <mergeCell ref="AD496:AD506"/>
    <mergeCell ref="I589:I604"/>
    <mergeCell ref="H589:H604"/>
    <mergeCell ref="AB605:AB607"/>
    <mergeCell ref="F605:F607"/>
    <mergeCell ref="G605:G607"/>
    <mergeCell ref="F507:F520"/>
    <mergeCell ref="E605:E607"/>
    <mergeCell ref="E589:E604"/>
    <mergeCell ref="E571:E577"/>
    <mergeCell ref="S589:S604"/>
    <mergeCell ref="Z578:Z580"/>
    <mergeCell ref="AB578:AB580"/>
    <mergeCell ref="Z581:Z588"/>
    <mergeCell ref="F496:F501"/>
    <mergeCell ref="Z481:Z495"/>
    <mergeCell ref="Z476:Z480"/>
    <mergeCell ref="G496:G501"/>
    <mergeCell ref="G481:G495"/>
    <mergeCell ref="F521:F570"/>
    <mergeCell ref="G578:G580"/>
    <mergeCell ref="F578:F580"/>
    <mergeCell ref="I578:I580"/>
    <mergeCell ref="S578:S580"/>
    <mergeCell ref="I676:I677"/>
    <mergeCell ref="K676:Q677"/>
    <mergeCell ref="G657:G662"/>
    <mergeCell ref="F608:F616"/>
    <mergeCell ref="I657:I662"/>
    <mergeCell ref="H657:H662"/>
    <mergeCell ref="H605:H607"/>
    <mergeCell ref="I608:I616"/>
    <mergeCell ref="H608:H616"/>
    <mergeCell ref="G608:G616"/>
    <mergeCell ref="G618:G631"/>
    <mergeCell ref="F618:F631"/>
    <mergeCell ref="S608:S616"/>
    <mergeCell ref="H581:H588"/>
    <mergeCell ref="S620:S631"/>
    <mergeCell ref="S618:S619"/>
    <mergeCell ref="E678:E683"/>
    <mergeCell ref="I581:I588"/>
    <mergeCell ref="I428:I443"/>
    <mergeCell ref="I678:I683"/>
    <mergeCell ref="H678:H683"/>
    <mergeCell ref="I605:I607"/>
    <mergeCell ref="S678:S683"/>
    <mergeCell ref="I502:I506"/>
    <mergeCell ref="H502:H506"/>
    <mergeCell ref="G502:G506"/>
    <mergeCell ref="F502:F506"/>
    <mergeCell ref="E502:E506"/>
    <mergeCell ref="F476:F480"/>
    <mergeCell ref="F481:F495"/>
    <mergeCell ref="H676:H677"/>
    <mergeCell ref="S657:S662"/>
    <mergeCell ref="F657:F662"/>
    <mergeCell ref="S663:S673"/>
    <mergeCell ref="E476:E480"/>
    <mergeCell ref="S632:S642"/>
    <mergeCell ref="F678:F683"/>
    <mergeCell ref="G678:G683"/>
    <mergeCell ref="E581:E588"/>
    <mergeCell ref="H618:H631"/>
    <mergeCell ref="AK2:AS2"/>
    <mergeCell ref="I507:I520"/>
    <mergeCell ref="H507:H520"/>
    <mergeCell ref="G507:G520"/>
    <mergeCell ref="H428:H443"/>
    <mergeCell ref="I481:I495"/>
    <mergeCell ref="H481:H495"/>
    <mergeCell ref="AD467:AD475"/>
    <mergeCell ref="AF476:AF480"/>
    <mergeCell ref="H389:H396"/>
    <mergeCell ref="I389:I396"/>
    <mergeCell ref="I413:I427"/>
    <mergeCell ref="I444:I461"/>
    <mergeCell ref="I334:I378"/>
    <mergeCell ref="AF397:AF402"/>
    <mergeCell ref="AG397:AG402"/>
    <mergeCell ref="AB379:AB388"/>
    <mergeCell ref="AF496:AF506"/>
    <mergeCell ref="H462:H466"/>
    <mergeCell ref="AB428:AB443"/>
    <mergeCell ref="AE496:AE506"/>
    <mergeCell ref="I467:I475"/>
    <mergeCell ref="Z496:Z506"/>
    <mergeCell ref="AB496:AB506"/>
    <mergeCell ref="AY657:AY662"/>
    <mergeCell ref="AF663:AF673"/>
    <mergeCell ref="AG663:AG673"/>
    <mergeCell ref="AL663:AL673"/>
    <mergeCell ref="AW663:AW673"/>
    <mergeCell ref="AD663:AD673"/>
    <mergeCell ref="AB663:AB673"/>
    <mergeCell ref="AB657:AB662"/>
    <mergeCell ref="Z663:Z673"/>
    <mergeCell ref="AY521:AY570"/>
    <mergeCell ref="I521:I570"/>
    <mergeCell ref="H521:H570"/>
    <mergeCell ref="G521:G570"/>
    <mergeCell ref="AY571:AY577"/>
    <mergeCell ref="AB576:AB577"/>
    <mergeCell ref="AD571:AD575"/>
    <mergeCell ref="AD576:AD577"/>
    <mergeCell ref="AF576:AF577"/>
    <mergeCell ref="S521:S542"/>
    <mergeCell ref="S543:S570"/>
    <mergeCell ref="Z521:Z570"/>
    <mergeCell ref="AB521:AB570"/>
    <mergeCell ref="I571:I577"/>
    <mergeCell ref="H571:H577"/>
    <mergeCell ref="AD521:AD570"/>
    <mergeCell ref="Z571:Z577"/>
    <mergeCell ref="AB571:AB575"/>
    <mergeCell ref="AW521:AW570"/>
    <mergeCell ref="AL571:AL575"/>
    <mergeCell ref="AL576:AL577"/>
    <mergeCell ref="AX571:AX577"/>
    <mergeCell ref="AW571:AW575"/>
    <mergeCell ref="I618:I631"/>
    <mergeCell ref="E663:E673"/>
    <mergeCell ref="G663:G673"/>
    <mergeCell ref="H663:H673"/>
    <mergeCell ref="I663:I673"/>
    <mergeCell ref="E657:E662"/>
    <mergeCell ref="S643:S650"/>
    <mergeCell ref="S651:S656"/>
    <mergeCell ref="I632:I656"/>
    <mergeCell ref="H632:H656"/>
    <mergeCell ref="G632:G656"/>
    <mergeCell ref="F632:F656"/>
    <mergeCell ref="F663:F673"/>
    <mergeCell ref="AX632:AX656"/>
    <mergeCell ref="AX663:AX673"/>
    <mergeCell ref="AL657:AL662"/>
    <mergeCell ref="AX657:AX662"/>
    <mergeCell ref="AL618:AL631"/>
    <mergeCell ref="AX618:AX631"/>
    <mergeCell ref="AL476:AL480"/>
    <mergeCell ref="AD678:AD683"/>
    <mergeCell ref="AB678:AB683"/>
    <mergeCell ref="AD632:AD656"/>
    <mergeCell ref="AB651:AB656"/>
    <mergeCell ref="AL578:AL580"/>
    <mergeCell ref="AL589:AL604"/>
    <mergeCell ref="AW589:AW604"/>
    <mergeCell ref="AG476:AG480"/>
    <mergeCell ref="AW476:AW480"/>
    <mergeCell ref="AX476:AX480"/>
    <mergeCell ref="AL481:AL495"/>
    <mergeCell ref="AW481:AW495"/>
    <mergeCell ref="AB618:AB631"/>
    <mergeCell ref="AB643:AB650"/>
    <mergeCell ref="AB632:AB642"/>
    <mergeCell ref="AB419:AB427"/>
    <mergeCell ref="AD428:AD443"/>
    <mergeCell ref="AF428:AF443"/>
    <mergeCell ref="AL38:AL49"/>
    <mergeCell ref="AL444:AL461"/>
    <mergeCell ref="AL678:AL683"/>
    <mergeCell ref="AG428:AG443"/>
    <mergeCell ref="AE428:AE443"/>
    <mergeCell ref="AB63:AB65"/>
    <mergeCell ref="AD63:AD65"/>
    <mergeCell ref="AE63:AE65"/>
    <mergeCell ref="AF63:AF65"/>
    <mergeCell ref="AL63:AL65"/>
    <mergeCell ref="AG578:AG580"/>
    <mergeCell ref="AF578:AF580"/>
    <mergeCell ref="AD618:AD631"/>
    <mergeCell ref="AD581:AD588"/>
    <mergeCell ref="AG618:AG631"/>
    <mergeCell ref="AF618:AF631"/>
    <mergeCell ref="AF608:AF616"/>
    <mergeCell ref="AG581:AG588"/>
    <mergeCell ref="AB397:AB402"/>
    <mergeCell ref="AD397:AD402"/>
    <mergeCell ref="AD413:AD427"/>
  </mergeCells>
  <phoneticPr fontId="11" type="noConversion"/>
  <hyperlinks>
    <hyperlink ref="I38" r:id="rId1" xr:uid="{40EB8A28-E02F-9A4D-9302-DC1977C2A752}"/>
    <hyperlink ref="I51" r:id="rId2" xr:uid="{2AB9B405-7B6A-8246-90DB-A0842F085D28}"/>
    <hyperlink ref="I675" r:id="rId3" xr:uid="{12B7A67C-2BC4-234A-A294-48069FEE394E}"/>
    <hyperlink ref="I266" r:id="rId4" xr:uid="{019FD4EF-FF03-43BC-BB80-BBE062F29DB4}"/>
    <hyperlink ref="I270" r:id="rId5" location="metadata_info_tab_contents" xr:uid="{A80179CE-FD55-1440-AEDE-E4E20027CE52}"/>
    <hyperlink ref="I284" r:id="rId6" xr:uid="{843AC66D-776D-4BA3-97DA-783BAA442D29}"/>
    <hyperlink ref="I290" r:id="rId7" xr:uid="{8896123D-F16F-BF49-930B-356BE3AEA8E2}"/>
    <hyperlink ref="I310" r:id="rId8" xr:uid="{1DC99F7F-846A-2246-AC46-3BE58044CDDF}"/>
    <hyperlink ref="I284:I289" r:id="rId9" display="https://doi.org/10.1016/j.tws.2020.106822" xr:uid="{4D17A59A-52E5-4B60-9B5F-E237FD497A20}"/>
    <hyperlink ref="I334" r:id="rId10" xr:uid="{CCD35774-3513-7048-A54B-7FC54355E819}"/>
    <hyperlink ref="I66" r:id="rId11" xr:uid="{ED6190B9-FC26-6346-879F-7BAE9438A31A}"/>
    <hyperlink ref="I389" r:id="rId12" xr:uid="{82412796-FDF0-4E42-B8DA-3FA467D9F1BA}"/>
    <hyperlink ref="I379" r:id="rId13" xr:uid="{0A50E943-EEF5-434E-A4C1-06BD39C0C085}"/>
    <hyperlink ref="I397" r:id="rId14" xr:uid="{BDDC6249-C69C-7543-B0E3-EF11413DB04C}"/>
    <hyperlink ref="I403" r:id="rId15" xr:uid="{FA668C84-0E3B-8449-ABB1-51852CD1F053}"/>
    <hyperlink ref="I406" r:id="rId16" xr:uid="{2AA8AEB4-1022-8741-A460-07FFA9410468}"/>
    <hyperlink ref="I428" r:id="rId17" xr:uid="{6ED41516-EA53-304F-8959-016973569670}"/>
    <hyperlink ref="I38:I49" r:id="rId18" display="https://doi.org/10.1002/cepa.123" xr:uid="{B3197B96-1314-4F95-850E-C3A18248038E}"/>
    <hyperlink ref="I4" r:id="rId19" xr:uid="{8F23CC53-4047-7F4F-A38D-A14CC0282A8A}"/>
    <hyperlink ref="I507" r:id="rId20" xr:uid="{FD87641C-4C23-5946-9C27-605235B2070E}"/>
    <hyperlink ref="I578" r:id="rId21" xr:uid="{AA78F743-53A0-1441-8D09-B73EF1A40740}"/>
    <hyperlink ref="I678" r:id="rId22" xr:uid="{D03A138A-7242-D948-9C0E-B9C540414E4F}"/>
    <hyperlink ref="I279" r:id="rId23" xr:uid="{AF764A6D-D231-C94C-A4B4-9C5CD78C4A6E}"/>
    <hyperlink ref="I632" r:id="rId24" xr:uid="{9F51A810-AFF7-8E48-8C53-F86408A9E77D}"/>
    <hyperlink ref="I80" r:id="rId25" xr:uid="{3F900C0D-DB02-9140-A15A-BABFC9AAFE67}"/>
    <hyperlink ref="I50" r:id="rId26" xr:uid="{4F6D1CDE-75E2-44F9-8825-FE62E13429F6}"/>
    <hyperlink ref="I212" r:id="rId27" xr:uid="{F720DAAD-32C7-4937-965E-3FCBA4F21C7F}"/>
    <hyperlink ref="I306" r:id="rId28" xr:uid="{C12E176C-74F4-44E5-99C1-0F627E44EF7F}"/>
    <hyperlink ref="I318" r:id="rId29" xr:uid="{456FA081-F2CE-4C06-A04F-267920399978}"/>
    <hyperlink ref="I413" r:id="rId30" xr:uid="{F9C6A2BE-EB59-4927-B63E-0E89A169FBE2}"/>
    <hyperlink ref="I444" r:id="rId31" xr:uid="{AEABF3AE-5004-4970-83C2-2E08F003E564}"/>
    <hyperlink ref="I462" r:id="rId32" xr:uid="{4C28BAE9-B1E8-4780-883E-9F7315F58E6B}"/>
    <hyperlink ref="I467" r:id="rId33" xr:uid="{AB7D3F19-1C77-4DBC-BC6C-5E9FBEAFB8B4}"/>
    <hyperlink ref="I476" r:id="rId34" xr:uid="{2BB5165F-74B2-4DFA-B212-DE4D49537D79}"/>
    <hyperlink ref="I481" r:id="rId35" xr:uid="{C24E8C8E-0EDC-4140-AEE5-29A0FFEB3930}"/>
    <hyperlink ref="I496" r:id="rId36" xr:uid="{5C5F57BE-0B00-4932-8FD8-1204A0EA9018}"/>
    <hyperlink ref="I502" r:id="rId37" xr:uid="{2C730417-0253-45E3-81DD-77CDBBF49219}"/>
    <hyperlink ref="I521" r:id="rId38" xr:uid="{B4034823-FCB5-4ACA-8A69-E1D336674EC8}"/>
    <hyperlink ref="I571" r:id="rId39" xr:uid="{798B29DB-4785-449D-8878-6C71B8EE8792}"/>
    <hyperlink ref="I581" r:id="rId40" xr:uid="{E11FF84F-94EA-40EA-B3F1-CA557EA8DEF9}"/>
    <hyperlink ref="I589" r:id="rId41" xr:uid="{F128C33D-6845-432B-8788-3CCFC29EC0C0}"/>
    <hyperlink ref="I605" r:id="rId42" xr:uid="{2D5538A0-5C46-441A-9093-A19131F1FE4F}"/>
    <hyperlink ref="I608" r:id="rId43" xr:uid="{CEA6F237-6985-4907-B03B-DBAAF9DE2C80}"/>
    <hyperlink ref="I657" r:id="rId44" xr:uid="{84E552B1-38B3-47B7-B7AD-BDB11E1C1A0F}"/>
    <hyperlink ref="I676" r:id="rId45" xr:uid="{ACA0A87F-B85C-48EB-AA57-98BEF04290BE}"/>
    <hyperlink ref="I63" r:id="rId46" xr:uid="{B75599C0-AFFE-4297-878D-8E993E605A86}"/>
  </hyperlinks>
  <pageMargins left="0.7" right="0.7" top="0.75" bottom="0.75" header="0.3" footer="0.3"/>
  <pageSetup paperSize="9" orientation="portrait" r:id="rId47"/>
  <drawing r:id="rId4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97364-9F9C-D146-9A97-1167BB1505D5}">
  <sheetPr codeName="Sheet9"/>
  <dimension ref="B2:D39"/>
  <sheetViews>
    <sheetView workbookViewId="0"/>
  </sheetViews>
  <sheetFormatPr defaultColWidth="11" defaultRowHeight="15.75"/>
  <sheetData>
    <row r="2" spans="2:4">
      <c r="B2">
        <v>0.1</v>
      </c>
      <c r="C2">
        <v>1</v>
      </c>
      <c r="D2">
        <f>B2*B2</f>
        <v>1.0000000000000002E-2</v>
      </c>
    </row>
    <row r="3" spans="2:4">
      <c r="B3">
        <v>0.2</v>
      </c>
      <c r="C3">
        <v>1</v>
      </c>
      <c r="D3">
        <f t="shared" ref="D3:D10" si="0">B3*B3</f>
        <v>4.0000000000000008E-2</v>
      </c>
    </row>
    <row r="4" spans="2:4">
      <c r="B4">
        <v>0.3</v>
      </c>
      <c r="C4">
        <v>1</v>
      </c>
      <c r="D4">
        <f t="shared" si="0"/>
        <v>0.09</v>
      </c>
    </row>
    <row r="5" spans="2:4">
      <c r="B5">
        <v>0.4</v>
      </c>
      <c r="C5">
        <v>1</v>
      </c>
      <c r="D5">
        <f t="shared" si="0"/>
        <v>0.16000000000000003</v>
      </c>
    </row>
    <row r="6" spans="2:4">
      <c r="B6">
        <v>0.5</v>
      </c>
      <c r="C6">
        <v>1</v>
      </c>
      <c r="D6">
        <f t="shared" si="0"/>
        <v>0.25</v>
      </c>
    </row>
    <row r="7" spans="2:4">
      <c r="B7">
        <v>0.6</v>
      </c>
      <c r="C7">
        <v>1</v>
      </c>
      <c r="D7">
        <f t="shared" si="0"/>
        <v>0.36</v>
      </c>
    </row>
    <row r="8" spans="2:4">
      <c r="B8">
        <v>0.7</v>
      </c>
      <c r="C8">
        <v>1</v>
      </c>
      <c r="D8">
        <f t="shared" si="0"/>
        <v>0.48999999999999994</v>
      </c>
    </row>
    <row r="9" spans="2:4">
      <c r="B9">
        <v>0.8</v>
      </c>
      <c r="C9">
        <v>1</v>
      </c>
      <c r="D9">
        <f t="shared" si="0"/>
        <v>0.64000000000000012</v>
      </c>
    </row>
    <row r="10" spans="2:4">
      <c r="B10">
        <v>0.9</v>
      </c>
      <c r="C10">
        <v>1</v>
      </c>
      <c r="D10">
        <f t="shared" si="0"/>
        <v>0.81</v>
      </c>
    </row>
    <row r="11" spans="2:4">
      <c r="B11">
        <v>1</v>
      </c>
      <c r="C11">
        <f t="shared" ref="C11:C30" si="1">1/B11^2</f>
        <v>1</v>
      </c>
      <c r="D11">
        <v>1</v>
      </c>
    </row>
    <row r="12" spans="2:4">
      <c r="B12">
        <v>1.1000000000000001</v>
      </c>
      <c r="C12">
        <f t="shared" si="1"/>
        <v>0.82644628099173545</v>
      </c>
      <c r="D12">
        <v>1</v>
      </c>
    </row>
    <row r="13" spans="2:4">
      <c r="B13">
        <v>1.2</v>
      </c>
      <c r="C13">
        <f t="shared" si="1"/>
        <v>0.69444444444444442</v>
      </c>
      <c r="D13">
        <v>1</v>
      </c>
    </row>
    <row r="14" spans="2:4">
      <c r="B14">
        <v>1.3</v>
      </c>
      <c r="C14">
        <f t="shared" si="1"/>
        <v>0.59171597633136086</v>
      </c>
      <c r="D14">
        <v>1</v>
      </c>
    </row>
    <row r="15" spans="2:4">
      <c r="B15">
        <v>1.4</v>
      </c>
      <c r="C15">
        <f t="shared" si="1"/>
        <v>0.51020408163265318</v>
      </c>
      <c r="D15">
        <v>1</v>
      </c>
    </row>
    <row r="16" spans="2:4">
      <c r="B16">
        <v>1.5</v>
      </c>
      <c r="C16">
        <f t="shared" si="1"/>
        <v>0.44444444444444442</v>
      </c>
      <c r="D16">
        <v>1</v>
      </c>
    </row>
    <row r="17" spans="2:4">
      <c r="B17">
        <v>1.6</v>
      </c>
      <c r="C17">
        <f t="shared" si="1"/>
        <v>0.39062499999999994</v>
      </c>
      <c r="D17">
        <v>1</v>
      </c>
    </row>
    <row r="18" spans="2:4">
      <c r="B18">
        <v>1.7</v>
      </c>
      <c r="C18">
        <f>1/B18^2</f>
        <v>0.34602076124567477</v>
      </c>
      <c r="D18">
        <v>1</v>
      </c>
    </row>
    <row r="19" spans="2:4">
      <c r="B19">
        <v>1.8</v>
      </c>
      <c r="C19">
        <f t="shared" si="1"/>
        <v>0.30864197530864196</v>
      </c>
      <c r="D19">
        <v>1</v>
      </c>
    </row>
    <row r="20" spans="2:4">
      <c r="B20">
        <v>1.9</v>
      </c>
      <c r="C20">
        <f t="shared" si="1"/>
        <v>0.2770083102493075</v>
      </c>
      <c r="D20">
        <v>1</v>
      </c>
    </row>
    <row r="21" spans="2:4">
      <c r="B21">
        <v>2</v>
      </c>
      <c r="C21">
        <f t="shared" si="1"/>
        <v>0.25</v>
      </c>
      <c r="D21">
        <v>1</v>
      </c>
    </row>
    <row r="22" spans="2:4">
      <c r="B22">
        <v>2.1</v>
      </c>
      <c r="C22">
        <f t="shared" si="1"/>
        <v>0.22675736961451246</v>
      </c>
      <c r="D22">
        <v>1</v>
      </c>
    </row>
    <row r="23" spans="2:4">
      <c r="B23">
        <v>2.2000000000000002</v>
      </c>
      <c r="C23">
        <f t="shared" si="1"/>
        <v>0.20661157024793386</v>
      </c>
      <c r="D23">
        <v>1</v>
      </c>
    </row>
    <row r="24" spans="2:4">
      <c r="B24">
        <v>2.2999999999999998</v>
      </c>
      <c r="C24">
        <f t="shared" si="1"/>
        <v>0.18903591682419663</v>
      </c>
      <c r="D24">
        <v>1</v>
      </c>
    </row>
    <row r="25" spans="2:4">
      <c r="B25">
        <v>2.4</v>
      </c>
      <c r="C25">
        <f t="shared" si="1"/>
        <v>0.1736111111111111</v>
      </c>
      <c r="D25">
        <v>1</v>
      </c>
    </row>
    <row r="26" spans="2:4">
      <c r="B26">
        <v>2.5</v>
      </c>
      <c r="C26">
        <f t="shared" si="1"/>
        <v>0.16</v>
      </c>
      <c r="D26">
        <v>1</v>
      </c>
    </row>
    <row r="27" spans="2:4">
      <c r="B27">
        <v>2.6</v>
      </c>
      <c r="C27">
        <f t="shared" si="1"/>
        <v>0.14792899408284022</v>
      </c>
      <c r="D27">
        <v>1</v>
      </c>
    </row>
    <row r="28" spans="2:4">
      <c r="B28">
        <v>2.7</v>
      </c>
      <c r="C28">
        <f t="shared" si="1"/>
        <v>0.1371742112482853</v>
      </c>
      <c r="D28">
        <v>1</v>
      </c>
    </row>
    <row r="29" spans="2:4">
      <c r="B29">
        <v>2.8</v>
      </c>
      <c r="C29">
        <f t="shared" si="1"/>
        <v>0.1275510204081633</v>
      </c>
      <c r="D29">
        <v>1</v>
      </c>
    </row>
    <row r="30" spans="2:4">
      <c r="B30">
        <v>2.9</v>
      </c>
      <c r="C30">
        <f t="shared" si="1"/>
        <v>0.11890606420927467</v>
      </c>
      <c r="D30">
        <v>1</v>
      </c>
    </row>
    <row r="31" spans="2:4">
      <c r="B31">
        <v>3</v>
      </c>
      <c r="C31">
        <f t="shared" ref="C31:C39" si="2">1/B31^2</f>
        <v>0.1111111111111111</v>
      </c>
      <c r="D31">
        <v>1</v>
      </c>
    </row>
    <row r="32" spans="2:4">
      <c r="B32">
        <v>3.1</v>
      </c>
      <c r="C32">
        <f t="shared" si="2"/>
        <v>0.10405827263267428</v>
      </c>
      <c r="D32">
        <v>1</v>
      </c>
    </row>
    <row r="33" spans="2:4">
      <c r="B33">
        <v>3.2</v>
      </c>
      <c r="C33">
        <f t="shared" si="2"/>
        <v>9.7656249999999986E-2</v>
      </c>
      <c r="D33">
        <v>1</v>
      </c>
    </row>
    <row r="34" spans="2:4">
      <c r="B34">
        <v>3.3</v>
      </c>
      <c r="C34">
        <f t="shared" si="2"/>
        <v>9.1827364554637289E-2</v>
      </c>
      <c r="D34">
        <v>1</v>
      </c>
    </row>
    <row r="35" spans="2:4">
      <c r="B35">
        <v>3.4</v>
      </c>
      <c r="C35">
        <f>1/B35^2</f>
        <v>8.6505190311418692E-2</v>
      </c>
      <c r="D35">
        <v>1</v>
      </c>
    </row>
    <row r="36" spans="2:4">
      <c r="B36">
        <v>3.5</v>
      </c>
      <c r="C36">
        <f t="shared" si="2"/>
        <v>8.1632653061224483E-2</v>
      </c>
      <c r="D36">
        <v>1</v>
      </c>
    </row>
    <row r="37" spans="2:4">
      <c r="B37">
        <v>3.6</v>
      </c>
      <c r="C37">
        <f t="shared" si="2"/>
        <v>7.716049382716049E-2</v>
      </c>
      <c r="D37">
        <v>1</v>
      </c>
    </row>
    <row r="38" spans="2:4">
      <c r="B38">
        <v>3.7</v>
      </c>
      <c r="C38">
        <f t="shared" si="2"/>
        <v>7.3046018991964931E-2</v>
      </c>
      <c r="D38">
        <v>1</v>
      </c>
    </row>
    <row r="39" spans="2:4">
      <c r="B39">
        <v>3.8</v>
      </c>
      <c r="C39">
        <f t="shared" si="2"/>
        <v>6.9252077562326875E-2</v>
      </c>
      <c r="D3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34F18-CC24-4EEB-8330-754A187ECFE6}">
  <sheetPr>
    <tabColor rgb="FF00B050"/>
  </sheetPr>
  <dimension ref="B1:W672"/>
  <sheetViews>
    <sheetView zoomScale="90" zoomScaleNormal="90" workbookViewId="0"/>
  </sheetViews>
  <sheetFormatPr defaultRowHeight="15.75"/>
  <cols>
    <col min="17" max="17" width="8.625" customWidth="1"/>
  </cols>
  <sheetData>
    <row r="1" spans="2:23">
      <c r="S1" s="1067" t="s">
        <v>1065</v>
      </c>
      <c r="T1" s="1067"/>
      <c r="U1" s="1067"/>
      <c r="V1" s="24"/>
      <c r="W1" s="24"/>
    </row>
    <row r="2" spans="2:23">
      <c r="T2" t="s">
        <v>872</v>
      </c>
      <c r="U2" t="s">
        <v>873</v>
      </c>
    </row>
    <row r="3" spans="2:23">
      <c r="S3">
        <v>1</v>
      </c>
      <c r="T3">
        <f>IF('Lab test'!AQ4&gt;0,'Lab test'!AQ4,NA())</f>
        <v>0.47570278474289773</v>
      </c>
      <c r="U3">
        <f>IF('Lab test'!AU4&gt;0,'Lab test'!AU4,NA())</f>
        <v>1.0371782312925171</v>
      </c>
    </row>
    <row r="4" spans="2:23">
      <c r="S4">
        <v>2</v>
      </c>
      <c r="T4">
        <f>IF('Lab test'!AQ5&gt;0,'Lab test'!AQ5,NA())</f>
        <v>0.47805914917453252</v>
      </c>
      <c r="U4">
        <f>IF('Lab test'!AU5&gt;0,'Lab test'!AU5,NA())</f>
        <v>1.0106292902066485</v>
      </c>
    </row>
    <row r="5" spans="2:23">
      <c r="S5">
        <v>3</v>
      </c>
      <c r="T5">
        <f>IF('Lab test'!AQ6&gt;0,'Lab test'!AQ6,NA())</f>
        <v>0.47570278474289773</v>
      </c>
      <c r="U5">
        <f>IF('Lab test'!AU6&gt;0,'Lab test'!AU6,NA())</f>
        <v>1.0292135541008856</v>
      </c>
    </row>
    <row r="6" spans="2:23">
      <c r="B6" s="1072" t="s">
        <v>1060</v>
      </c>
      <c r="C6" s="1070" t="s">
        <v>961</v>
      </c>
      <c r="D6" s="1068" t="s">
        <v>962</v>
      </c>
      <c r="E6" s="1068" t="s">
        <v>963</v>
      </c>
      <c r="F6" s="1068" t="s">
        <v>887</v>
      </c>
      <c r="G6" s="1068" t="s">
        <v>888</v>
      </c>
      <c r="H6" s="1068" t="s">
        <v>964</v>
      </c>
      <c r="I6" s="1068" t="s">
        <v>965</v>
      </c>
      <c r="J6" s="1068" t="s">
        <v>889</v>
      </c>
      <c r="K6" s="1068" t="s">
        <v>960</v>
      </c>
      <c r="N6" t="s">
        <v>882</v>
      </c>
      <c r="O6" t="s">
        <v>883</v>
      </c>
      <c r="S6">
        <v>4</v>
      </c>
      <c r="T6">
        <f>IF('Lab test'!AQ7&gt;0,'Lab test'!AQ7,NA())</f>
        <v>0.47805914917453252</v>
      </c>
      <c r="U6">
        <f>IF('Lab test'!AU7&gt;0,'Lab test'!AU7,NA())</f>
        <v>1.0548774996791168</v>
      </c>
    </row>
    <row r="7" spans="2:23" ht="16.5" thickBot="1">
      <c r="B7" s="1073"/>
      <c r="C7" s="1071"/>
      <c r="D7" s="1069"/>
      <c r="E7" s="1069"/>
      <c r="F7" s="1069"/>
      <c r="G7" s="1069"/>
      <c r="H7" s="1069"/>
      <c r="I7" s="1069"/>
      <c r="J7" s="1069"/>
      <c r="K7" s="1069"/>
      <c r="S7">
        <v>5</v>
      </c>
      <c r="T7">
        <f>IF('Lab test'!AQ8&gt;0,'Lab test'!AQ8,NA())</f>
        <v>0.47805914917453252</v>
      </c>
      <c r="U7">
        <f>IF('Lab test'!AU8&gt;0,'Lab test'!AU8,NA())</f>
        <v>1.0283285842638943</v>
      </c>
    </row>
    <row r="8" spans="2:23">
      <c r="B8" s="751">
        <v>0.25</v>
      </c>
      <c r="C8" s="731" cm="1">
        <f t="array" ref="C8">COUNT(IF(ISNUMBER($T$3:$T$704),IF($T$3:$T$704&gt;=N8,IF($T$3:$T$704&lt;=O8,$U$3:$U$704))))</f>
        <v>103</v>
      </c>
      <c r="D8" s="732" cm="1">
        <f t="array" ref="D8">MIN(IF(ISNUMBER($T$3:$T$704),IF($T$3:$T$704&gt;=N8,IF($T$3:$T$704&lt;=O8,$U$3:$U$704))))</f>
        <v>0.70263144234674091</v>
      </c>
      <c r="E8" s="733" cm="1">
        <f t="array" ref="E8">MAX(IF(ISNUMBER($T$3:$T$704),IF($T$3:$T$704&gt;=N8,IF($T$3:$T$704&lt;=O8,$U$3:$U$704))))</f>
        <v>1.756</v>
      </c>
      <c r="F8" s="733" cm="1">
        <f t="array" ref="F8">MEDIAN(IF(ISNUMBER($T$3:$T$704),IF($T$3:$T$704&gt;=N8,IF($T$3:$T$704&lt;=O8,$U$3:$U$704))))</f>
        <v>1.1250588124005259</v>
      </c>
      <c r="G8" s="733" cm="1">
        <f t="array" ref="G8">AVERAGE(IF(ISNUMBER($T$3:$T$704),IF($T$3:$T$704&gt;=N8,IF($T$3:$T$704&lt;=O8,$U$3:$U$704))))</f>
        <v>1.1365256065868232</v>
      </c>
      <c r="H8" s="732" cm="1">
        <f t="array" ref="H8">_xlfn.STDEV.S(IF(ISNUMBER($T$3:$T$704),IF($T$3:$T$704&gt;=N8,IF($T$3:$T$704&lt;=O8,$U$3:$U$704))))</f>
        <v>0.22140843522280981</v>
      </c>
      <c r="I8" s="855">
        <f>H8/G8*100</f>
        <v>19.481165575119459</v>
      </c>
      <c r="J8" s="732" cm="1">
        <f t="array" ref="J8">SKEW(IF(ISNUMBER($T$3:$T$704),IF($T$3:$T$704&gt;=N8,IF($T$3:$T$704&lt;=O8,$U$3:$U$704))))*(C8-2)/SQRT(C8*(C8-1))</f>
        <v>0.32867699587576893</v>
      </c>
      <c r="K8" s="738" cm="1">
        <f t="array" ref="K8">((KURT(IF(ISNUMBER($T$3:$T$704),IF($T$3:$T$704&gt;=N8,IF($T$3:$T$704&lt;=O8,$U$3:$U$704)))))*(C8-2)*(C8-3)/(C8-1) + 3*(C8-1))/(C8+1)-3</f>
        <v>9.0871538203631808E-3</v>
      </c>
      <c r="L8" s="412"/>
      <c r="M8" s="412"/>
      <c r="N8" cm="1">
        <f t="array" ref="N8">MIN(IF(ISNUMBER(T3:T704),T3:T704))</f>
        <v>0.17757017871410097</v>
      </c>
      <c r="O8">
        <v>0.375</v>
      </c>
      <c r="S8">
        <v>6</v>
      </c>
      <c r="T8">
        <f>IF('Lab test'!AQ9&gt;0,'Lab test'!AQ9,NA())</f>
        <v>0.47914277537453276</v>
      </c>
      <c r="U8">
        <f>IF('Lab test'!AU9&gt;0,'Lab test'!AU9,NA())</f>
        <v>1.0300984982672314</v>
      </c>
    </row>
    <row r="9" spans="2:23">
      <c r="B9" s="752">
        <v>0.5</v>
      </c>
      <c r="C9" s="734" cm="1">
        <f t="array" ref="C9">COUNT(IF(ISNUMBER($T$3:$T$704),IF($T$3:$T$704&gt;N9,IF($T$3:$T$704&lt;=O9,$U$3:$U$704))))</f>
        <v>122</v>
      </c>
      <c r="D9" s="735" cm="1">
        <f t="array" ref="D9">MIN(IF(ISNUMBER($T$3:$T$704),IF($T$3:$T$704&gt;N9,IF($T$3:$T$704&lt;=O9,$U$3:$U$704))))</f>
        <v>0.40704500978473579</v>
      </c>
      <c r="E9" s="854" cm="1">
        <f t="array" ref="E9">MAX(IF(ISNUMBER($T$3:$T$704),IF($T$3:$T$704&gt;N9,IF($T$3:$T$704&lt;=O9,$U$3:$U$704))))</f>
        <v>1.254</v>
      </c>
      <c r="F9" s="735" cm="1">
        <f t="array" ref="F9">MEDIAN(IF(ISNUMBER($T$3:$T$704),IF($T$3:$T$704&gt;N9,IF($T$3:$T$704&lt;=O9,$U$3:$U$704))))</f>
        <v>0.97574525745257445</v>
      </c>
      <c r="G9" s="735" cm="1">
        <f t="array" ref="G9">AVERAGE(IF(ISNUMBER($T$3:$T$704),IF($T$3:$T$704&gt;N9,IF($T$3:$T$704&lt;=O9,$U$3:$U$704))))</f>
        <v>0.94590718815678765</v>
      </c>
      <c r="H9" s="735" cm="1">
        <f t="array" ref="H9">_xlfn.STDEV.S(IF(ISNUMBER($T$3:$T$704),IF($T$3:$T$704&gt;N9,IF($T$3:$T$704&lt;=O9,$U$3:$U$704))))</f>
        <v>0.19022403799176393</v>
      </c>
      <c r="I9" s="855">
        <f t="shared" ref="I9:I19" si="0">H9/G9*100</f>
        <v>20.110222268469915</v>
      </c>
      <c r="J9" s="735" cm="1">
        <f t="array" ref="J9">SKEW(IF(ISNUMBER($T$3:$T$704),IF($T$3:$T$704&gt;N9,IF($T$3:$T$704&lt;=O9,$U$3:$U$704))))*(C9-2)/SQRT(C9*(C9-1))</f>
        <v>-0.61455160239854856</v>
      </c>
      <c r="K9" s="735" cm="1">
        <f t="array" ref="K9">((KURT(IF(ISNUMBER($T$3:$T$704),IF($T$3:$T$704&gt;N9,IF($T$3:$T$704&lt;=O9,$U$3:$U$704)))))*(C9-2)*(C9-3)/(C9-1) + 3*(C9-1))/(C9+1)-3</f>
        <v>-0.3243335795842528</v>
      </c>
      <c r="L9" s="407"/>
      <c r="M9" s="407"/>
      <c r="N9">
        <v>0.375</v>
      </c>
      <c r="O9">
        <v>0.625</v>
      </c>
      <c r="S9">
        <v>7</v>
      </c>
      <c r="T9">
        <f>IF('Lab test'!AQ10&gt;0,'Lab test'!AQ10,NA())</f>
        <v>0.47959353802703941</v>
      </c>
      <c r="U9">
        <f>IF('Lab test'!AU10&gt;0,'Lab test'!AU10,NA())</f>
        <v>1.0300984982672314</v>
      </c>
    </row>
    <row r="10" spans="2:23">
      <c r="B10" s="752">
        <v>0.75</v>
      </c>
      <c r="C10" s="734" cm="1">
        <f t="array" ref="C10">COUNT(IF(ISNUMBER($T$3:$T$704),IF($T$3:$T$704&gt;N10,IF($T$3:$T$704&lt;=O10,$U$3:$U$704))))</f>
        <v>54</v>
      </c>
      <c r="D10" s="735" cm="1">
        <f t="array" ref="D10">MIN(IF(ISNUMBER($T$3:$T$704),IF($T$3:$T$704&gt;N10,IF($T$3:$T$704&lt;=O10,$U$3:$U$704))))</f>
        <v>0.33493530499075785</v>
      </c>
      <c r="E10" s="854" cm="1">
        <f t="array" ref="E10">MAX(IF(ISNUMBER($T$3:$T$704),IF($T$3:$T$704&gt;N10,IF($T$3:$T$704&lt;=O10,$U$3:$U$704))))</f>
        <v>1.0875000000000001</v>
      </c>
      <c r="F10" s="735" cm="1">
        <f t="array" ref="F10">MEDIAN(IF(ISNUMBER($T$3:$T$704),IF($T$3:$T$704&gt;N10,IF($T$3:$T$704&lt;=O10,$U$3:$U$704))))</f>
        <v>0.72892520545904571</v>
      </c>
      <c r="G10" s="735" cm="1">
        <f t="array" ref="G10">AVERAGE(IF(ISNUMBER($T$3:$T$704),IF($T$3:$T$704&gt;N10,IF($T$3:$T$704&lt;=O10,$U$3:$U$704))))</f>
        <v>0.71274018007830131</v>
      </c>
      <c r="H10" s="735" cm="1">
        <f t="array" ref="H10">_xlfn.STDEV.S(IF(ISNUMBER($T$3:$T$704),IF($T$3:$T$704&gt;N10,IF($T$3:$T$704&lt;=O10,$U$3:$U$704))))</f>
        <v>0.17596180601385678</v>
      </c>
      <c r="I10" s="855">
        <f t="shared" si="0"/>
        <v>24.688071604792324</v>
      </c>
      <c r="J10" s="735" cm="1">
        <f t="array" ref="J10">SKEW(IF(ISNUMBER($T$3:$T$704),IF($T$3:$T$704&gt;N10,IF($T$3:$T$704&lt;=O10,$U$3:$U$704))))*(C10-2)/SQRT(C10*(C10-1))</f>
        <v>-0.35933125938276278</v>
      </c>
      <c r="K10" s="736" cm="1">
        <f t="array" ref="K10">((KURT(IF(ISNUMBER($T$3:$T$704),IF($T$3:$T$704&gt;N10,IF($T$3:$T$704&lt;=O10,$U$3:$U$704)))))*(C10-2)*(C10-3)/(C10-1) + 3*(C10-1))/(C10+1)-3</f>
        <v>-2.2972300793711042E-4</v>
      </c>
      <c r="L10" s="407"/>
      <c r="M10" s="407"/>
      <c r="N10">
        <v>0.625</v>
      </c>
      <c r="O10">
        <v>0.875</v>
      </c>
      <c r="S10">
        <v>8</v>
      </c>
      <c r="T10">
        <f>IF('Lab test'!AQ11&gt;0,'Lab test'!AQ11,NA())</f>
        <v>0.47351730583085017</v>
      </c>
      <c r="U10">
        <f>IF('Lab test'!AU11&gt;0,'Lab test'!AU11,NA())</f>
        <v>1.0543465280451803</v>
      </c>
    </row>
    <row r="11" spans="2:23">
      <c r="B11" s="752">
        <v>1</v>
      </c>
      <c r="C11" s="734" cm="1">
        <f t="array" ref="C11">COUNT(IF(ISNUMBER($T$3:$T$704),IF($T$3:$T$704&gt;N11,IF($T$3:$T$704&lt;=O11,$U$3:$U$704))))</f>
        <v>68</v>
      </c>
      <c r="D11" s="735" cm="1">
        <f t="array" ref="D11">MIN(IF(ISNUMBER($T$3:$T$704),IF($T$3:$T$704&gt;N11,IF($T$3:$T$704&lt;=O11,$U$3:$U$704))))</f>
        <v>0.16800785083415112</v>
      </c>
      <c r="E11" s="735" cm="1">
        <f t="array" ref="E11">MAX(IF(ISNUMBER($T$3:$T$704),IF($T$3:$T$704&gt;N11,IF($T$3:$T$704&lt;=O11,$U$3:$U$704))))</f>
        <v>0.777883660634065</v>
      </c>
      <c r="F11" s="735" cm="1">
        <f t="array" ref="F11">MEDIAN(IF(ISNUMBER($T$3:$T$704),IF($T$3:$T$704&gt;N11,IF($T$3:$T$704&lt;=O11,$U$3:$U$704))))</f>
        <v>0.41663865951554591</v>
      </c>
      <c r="G11" s="735" cm="1">
        <f t="array" ref="G11">AVERAGE(IF(ISNUMBER($T$3:$T$704),IF($T$3:$T$704&gt;N11,IF($T$3:$T$704&lt;=O11,$U$3:$U$704))))</f>
        <v>0.42014559423180858</v>
      </c>
      <c r="H11" s="735" cm="1">
        <f t="array" ref="H11">_xlfn.STDEV.S(IF(ISNUMBER($T$3:$T$704),IF($T$3:$T$704&gt;N11,IF($T$3:$T$704&lt;=O11,$U$3:$U$704))))</f>
        <v>0.15424268541197325</v>
      </c>
      <c r="I11" s="855">
        <f t="shared" si="0"/>
        <v>36.711722681274225</v>
      </c>
      <c r="J11" s="735" cm="1">
        <f t="array" ref="J11">SKEW(IF(ISNUMBER($T$3:$T$704),IF($T$3:$T$704&gt;N11,IF($T$3:$T$704&lt;=O11,$U$3:$U$704))))*(C11-2)/SQRT(C11*(C11-1))</f>
        <v>0.35109193342631762</v>
      </c>
      <c r="K11" s="735" cm="1">
        <f t="array" ref="K11">((KURT(IF(ISNUMBER($T$3:$T$704),IF($T$3:$T$704&gt;N11,IF($T$3:$T$704&lt;=O11,$U$3:$U$704)))))*(C11-2)*(C11-3)/(C11-1) + 3*(C11-1))/(C11+1)-3</f>
        <v>-0.7748813043502234</v>
      </c>
      <c r="L11" s="407"/>
      <c r="M11" s="407"/>
      <c r="N11">
        <v>0.875</v>
      </c>
      <c r="O11">
        <v>1.125</v>
      </c>
      <c r="P11" s="145"/>
      <c r="Q11" s="145"/>
      <c r="S11">
        <v>9</v>
      </c>
      <c r="T11">
        <f>IF('Lab test'!AQ12&gt;0,'Lab test'!AQ12,NA())</f>
        <v>0.47296936733220801</v>
      </c>
      <c r="U11">
        <f>IF('Lab test'!AU12&gt;0,'Lab test'!AU12,NA())</f>
        <v>1.040010114234373</v>
      </c>
    </row>
    <row r="12" spans="2:23">
      <c r="B12" s="752">
        <v>1.25</v>
      </c>
      <c r="C12" s="734" cm="1">
        <f t="array" ref="C12">COUNT(IF(ISNUMBER($T$3:$T$704),IF($T$3:$T$704&gt;N12,IF($T$3:$T$704&lt;=O12,$U$3:$U$704))))</f>
        <v>36</v>
      </c>
      <c r="D12" s="735" cm="1">
        <f t="array" ref="D12">MIN(IF(ISNUMBER($T$3:$T$704),IF($T$3:$T$704&gt;N12,IF($T$3:$T$704&lt;=O12,$U$3:$U$704))))</f>
        <v>0.13135459425323651</v>
      </c>
      <c r="E12" s="735" cm="1">
        <f t="array" ref="E12">MAX(IF(ISNUMBER($T$3:$T$704),IF($T$3:$T$704&gt;N12,IF($T$3:$T$704&lt;=O12,$U$3:$U$704))))</f>
        <v>0.53052626848772988</v>
      </c>
      <c r="F12" s="735" cm="1">
        <f t="array" ref="F12">MEDIAN(IF(ISNUMBER($T$3:$T$704),IF($T$3:$T$704&gt;N12,IF($T$3:$T$704&lt;=O12,$U$3:$U$704))))</f>
        <v>0.26147381643889489</v>
      </c>
      <c r="G12" s="735" cm="1">
        <f t="array" ref="G12">AVERAGE(IF(ISNUMBER($T$3:$T$704),IF($T$3:$T$704&gt;N12,IF($T$3:$T$704&lt;=O12,$U$3:$U$704))))</f>
        <v>0.27074335489375978</v>
      </c>
      <c r="H12" s="737" cm="1">
        <f t="array" ref="H12">_xlfn.STDEV.S(IF(ISNUMBER($T$3:$T$704),IF($T$3:$T$704&gt;N12,IF($T$3:$T$704&lt;=O12,$U$3:$U$704))))</f>
        <v>9.4588855778023576E-2</v>
      </c>
      <c r="I12" s="855">
        <f t="shared" si="0"/>
        <v>34.936722940121811</v>
      </c>
      <c r="J12" s="735" cm="1">
        <f t="array" ref="J12">SKEW(IF(ISNUMBER($T$3:$T$704),IF($T$3:$T$704&gt;N12,IF($T$3:$T$704&lt;=O12,$U$3:$U$704))))*(C12-2)/SQRT(C12*(C12-1))</f>
        <v>0.71899694283356574</v>
      </c>
      <c r="K12" s="737" cm="1">
        <f t="array" ref="K12">((KURT(IF(ISNUMBER($T$3:$T$704),IF($T$3:$T$704&gt;N12,IF($T$3:$T$704&lt;=O12,$U$3:$U$704)))))*(C12-2)*(C12-3)/(C12-1) + 3*(C12-1))/(C12+1)-3</f>
        <v>8.6980139491059649E-2</v>
      </c>
      <c r="L12" s="407"/>
      <c r="M12" s="407"/>
      <c r="N12">
        <v>1.125</v>
      </c>
      <c r="O12">
        <v>1.375</v>
      </c>
      <c r="S12">
        <v>10</v>
      </c>
      <c r="T12" t="e">
        <f>IF('Lab test'!AQ13&gt;0,'Lab test'!AQ13,NA())</f>
        <v>#N/A</v>
      </c>
      <c r="U12" t="e">
        <f>IF('Lab test'!AU13&gt;0,'Lab test'!AU13,NA())</f>
        <v>#N/A</v>
      </c>
    </row>
    <row r="13" spans="2:23">
      <c r="B13" s="752">
        <v>1.5</v>
      </c>
      <c r="C13" s="734" cm="1">
        <f t="array" ref="C13">COUNT(IF(ISNUMBER($T$3:$T$704),IF($T$3:$T$704&gt;N13,IF($T$3:$T$704&lt;=O13,$U$3:$U$704))))</f>
        <v>25</v>
      </c>
      <c r="D13" s="737" cm="1">
        <f t="array" ref="D13">MIN(IF(ISNUMBER($T$3:$T$704),IF($T$3:$T$704&gt;N13,IF($T$3:$T$704&lt;=O13,$U$3:$U$704))))</f>
        <v>8.4590163934426227E-2</v>
      </c>
      <c r="E13" s="735" cm="1">
        <f t="array" ref="E13">MAX(IF(ISNUMBER($T$3:$T$704),IF($T$3:$T$704&gt;N13,IF($T$3:$T$704&lt;=O13,$U$3:$U$704))))</f>
        <v>0.37536412690076543</v>
      </c>
      <c r="F13" s="735" cm="1">
        <f t="array" ref="F13">MEDIAN(IF(ISNUMBER($T$3:$T$704),IF($T$3:$T$704&gt;N13,IF($T$3:$T$704&lt;=O13,$U$3:$U$704))))</f>
        <v>0.1615369710144928</v>
      </c>
      <c r="G13" s="735" cm="1">
        <f t="array" ref="G13">AVERAGE(IF(ISNUMBER($T$3:$T$704),IF($T$3:$T$704&gt;N13,IF($T$3:$T$704&lt;=O13,$U$3:$U$704))))</f>
        <v>0.17655578352491863</v>
      </c>
      <c r="H13" s="737" cm="1">
        <f t="array" ref="H13">_xlfn.STDEV.S(IF(ISNUMBER($T$3:$T$704),IF($T$3:$T$704&gt;N13,IF($T$3:$T$704&lt;=O13,$U$3:$U$704))))</f>
        <v>6.4381851259193532E-2</v>
      </c>
      <c r="I13" s="855">
        <f t="shared" si="0"/>
        <v>36.465444503610293</v>
      </c>
      <c r="J13" s="854" cm="1">
        <f t="array" ref="J13">SKEW(IF(ISNUMBER($T$3:$T$704),IF($T$3:$T$704&gt;N13,IF($T$3:$T$704&lt;=O13,$U$3:$U$704))))*(C13-2)/SQRT(C13*(C13-1))</f>
        <v>1.1422014611808369</v>
      </c>
      <c r="K13" s="854" cm="1">
        <f t="array" ref="K13">((KURT(IF(ISNUMBER($T$3:$T$704),IF($T$3:$T$704&gt;N13,IF($T$3:$T$704&lt;=O13,$U$3:$U$704)))))*(C13-2)*(C13-3)/(C13-1) + 3*(C13-1))/(C13+1)-3</f>
        <v>1.6646238356322085</v>
      </c>
      <c r="L13" s="407"/>
      <c r="M13" s="407"/>
      <c r="N13">
        <v>1.375</v>
      </c>
      <c r="O13">
        <v>1.625</v>
      </c>
      <c r="S13">
        <v>11</v>
      </c>
      <c r="T13">
        <f>IF('Lab test'!AQ14&gt;0,'Lab test'!AQ14,NA())</f>
        <v>0.99510148015665967</v>
      </c>
      <c r="U13">
        <f>IF('Lab test'!AU14&gt;0,'Lab test'!AU14,NA())</f>
        <v>0.5846074444872289</v>
      </c>
    </row>
    <row r="14" spans="2:23">
      <c r="B14" s="752">
        <v>1.75</v>
      </c>
      <c r="C14" s="734" cm="1">
        <f t="array" ref="C14">COUNT(IF(ISNUMBER($T$3:$T$704),IF($T$3:$T$704&gt;N14,IF($T$3:$T$704&lt;=O14,$U$3:$U$704))))</f>
        <v>19</v>
      </c>
      <c r="D14" s="737" cm="1">
        <f t="array" ref="D14">MIN(IF(ISNUMBER($T$3:$T$704),IF($T$3:$T$704&gt;N14,IF($T$3:$T$704&lt;=O14,$U$3:$U$704))))</f>
        <v>5.7993904801096403E-2</v>
      </c>
      <c r="E14" s="735" cm="1">
        <f t="array" ref="E14">MAX(IF(ISNUMBER($T$3:$T$704),IF($T$3:$T$704&gt;N14,IF($T$3:$T$704&lt;=O14,$U$3:$U$704))))</f>
        <v>0.20765322153209109</v>
      </c>
      <c r="F14" s="737" cm="1">
        <f t="array" ref="F14">MEDIAN(IF(ISNUMBER($T$3:$T$704),IF($T$3:$T$704&gt;N14,IF($T$3:$T$704&lt;=O14,$U$3:$U$704))))</f>
        <v>8.6859004296075348E-2</v>
      </c>
      <c r="G14" s="735" cm="1">
        <f t="array" ref="G14">AVERAGE(IF(ISNUMBER($T$3:$T$704),IF($T$3:$T$704&gt;N14,IF($T$3:$T$704&lt;=O14,$U$3:$U$704))))</f>
        <v>0.1066379572933521</v>
      </c>
      <c r="H14" s="737" cm="1">
        <f t="array" ref="H14">_xlfn.STDEV.S(IF(ISNUMBER($T$3:$T$704),IF($T$3:$T$704&gt;N14,IF($T$3:$T$704&lt;=O14,$U$3:$U$704))))</f>
        <v>4.7562960297432212E-2</v>
      </c>
      <c r="I14" s="855">
        <f t="shared" si="0"/>
        <v>44.602279999222496</v>
      </c>
      <c r="J14" s="854" cm="1">
        <f t="array" ref="J14">SKEW(IF(ISNUMBER($T$3:$T$704),IF($T$3:$T$704&gt;N14,IF($T$3:$T$704&lt;=O14,$U$3:$U$704))))*(C14-2)/SQRT(C14*(C14-1))</f>
        <v>1.0491445583871373</v>
      </c>
      <c r="K14" s="735" cm="1">
        <f t="array" ref="K14">((KURT(IF(ISNUMBER($T$3:$T$704),IF($T$3:$T$704&gt;N14,IF($T$3:$T$704&lt;=O14,$U$3:$U$704)))))*(C14-2)*(C14-3)/(C14-1) + 3*(C14-1))/(C14+1)-3</f>
        <v>-0.35997537852345207</v>
      </c>
      <c r="L14" s="407"/>
      <c r="M14" s="407"/>
      <c r="N14">
        <v>1.625</v>
      </c>
      <c r="O14">
        <v>1.875</v>
      </c>
      <c r="S14">
        <v>12</v>
      </c>
      <c r="T14">
        <f>IF('Lab test'!AQ15&gt;0,'Lab test'!AQ15,NA())</f>
        <v>1.0039654620235532</v>
      </c>
      <c r="U14">
        <f>IF('Lab test'!AU15&gt;0,'Lab test'!AU15,NA())</f>
        <v>0.56230635348479008</v>
      </c>
    </row>
    <row r="15" spans="2:23">
      <c r="B15" s="752">
        <v>2</v>
      </c>
      <c r="C15" s="734" cm="1">
        <f t="array" ref="C15">COUNT(IF(ISNUMBER($T$3:$T$704),IF($T$3:$T$704&gt;N15,IF($T$3:$T$704&lt;=O15,$U$3:$U$704))))</f>
        <v>36</v>
      </c>
      <c r="D15" s="737" cm="1">
        <f t="array" ref="D15">MIN(IF(ISNUMBER($T$3:$T$704),IF($T$3:$T$704&gt;N15,IF($T$3:$T$704&lt;=O15,$U$3:$U$704))))</f>
        <v>3.4505954836150668E-2</v>
      </c>
      <c r="E15" s="735" cm="1">
        <f t="array" ref="E15">MAX(IF(ISNUMBER($T$3:$T$704),IF($T$3:$T$704&gt;N15,IF($T$3:$T$704&lt;=O15,$U$3:$U$704))))</f>
        <v>0.1641036970108696</v>
      </c>
      <c r="F15" s="735" cm="1">
        <f t="array" ref="F15">MEDIAN(IF(ISNUMBER($T$3:$T$704),IF($T$3:$T$704&gt;N15,IF($T$3:$T$704&lt;=O15,$U$3:$U$704))))</f>
        <v>0.11276492393712119</v>
      </c>
      <c r="G15" s="735" cm="1">
        <f t="array" ref="G15">AVERAGE(IF(ISNUMBER($T$3:$T$704),IF($T$3:$T$704&gt;N15,IF($T$3:$T$704&lt;=O15,$U$3:$U$704))))</f>
        <v>0.10549732004750774</v>
      </c>
      <c r="H15" s="737" cm="1">
        <f t="array" ref="H15">_xlfn.STDEV.S(IF(ISNUMBER($T$3:$T$704),IF($T$3:$T$704&gt;N15,IF($T$3:$T$704&lt;=O15,$U$3:$U$704))))</f>
        <v>3.831174562873458E-2</v>
      </c>
      <c r="I15" s="855">
        <f t="shared" si="0"/>
        <v>36.315373330319638</v>
      </c>
      <c r="J15" s="735" cm="1">
        <f t="array" ref="J15">SKEW(IF(ISNUMBER($T$3:$T$704),IF($T$3:$T$704&gt;N15,IF($T$3:$T$704&lt;=O15,$U$3:$U$704))))*(C15-2)/SQRT(C15*(C15-1))</f>
        <v>-0.54027500455765309</v>
      </c>
      <c r="K15" s="735" cm="1">
        <f t="array" ref="K15">((KURT(IF(ISNUMBER($T$3:$T$704),IF($T$3:$T$704&gt;N15,IF($T$3:$T$704&lt;=O15,$U$3:$U$704)))))*(C15-2)*(C15-3)/(C15-1) + 3*(C15-1))/(C15+1)-3</f>
        <v>-0.74304810688999723</v>
      </c>
      <c r="L15" s="407"/>
      <c r="M15" s="407"/>
      <c r="N15">
        <v>1.875</v>
      </c>
      <c r="O15">
        <v>2.125</v>
      </c>
      <c r="S15">
        <v>13</v>
      </c>
      <c r="T15">
        <f>IF('Lab test'!AQ16&gt;0,'Lab test'!AQ16,NA())</f>
        <v>0.99092334270835547</v>
      </c>
      <c r="U15">
        <f>IF('Lab test'!AU16&gt;0,'Lab test'!AU16,NA())</f>
        <v>0.63009462199974331</v>
      </c>
    </row>
    <row r="16" spans="2:23">
      <c r="B16" s="752">
        <v>2.25</v>
      </c>
      <c r="C16" s="734" cm="1">
        <f t="array" ref="C16">COUNT(IF(ISNUMBER($T$3:$T$704),IF($T$3:$T$704&gt;N16,IF($T$3:$T$704&lt;=O16,$U$3:$U$704))))</f>
        <v>4</v>
      </c>
      <c r="D16" s="737" cm="1">
        <f t="array" ref="D16">MIN(IF(ISNUMBER($T$3:$T$704),IF($T$3:$T$704&gt;N16,IF($T$3:$T$704&lt;=O16,$U$3:$U$704))))</f>
        <v>5.9557412008281581E-2</v>
      </c>
      <c r="E16" s="735" cm="1">
        <f t="array" ref="E16">MAX(IF(ISNUMBER($T$3:$T$704),IF($T$3:$T$704&gt;N16,IF($T$3:$T$704&lt;=O16,$U$3:$U$704))))</f>
        <v>0.11178934103439224</v>
      </c>
      <c r="F16" s="737" cm="1">
        <f t="array" ref="F16">MEDIAN(IF(ISNUMBER($T$3:$T$704),IF($T$3:$T$704&gt;N16,IF($T$3:$T$704&lt;=O16,$U$3:$U$704))))</f>
        <v>7.7816773890975244E-2</v>
      </c>
      <c r="G16" s="737" cm="1">
        <f t="array" ref="G16">AVERAGE(IF(ISNUMBER($T$3:$T$704),IF($T$3:$T$704&gt;N16,IF($T$3:$T$704&lt;=O16,$U$3:$U$704))))</f>
        <v>8.1745075206156079E-2</v>
      </c>
      <c r="H16" s="737" cm="1">
        <f t="array" ref="H16">_xlfn.STDEV.S(IF(ISNUMBER($T$3:$T$704),IF($T$3:$T$704&gt;N16,IF($T$3:$T$704&lt;=O16,$U$3:$U$704))))</f>
        <v>2.416287566275618E-2</v>
      </c>
      <c r="I16" s="855">
        <f t="shared" si="0"/>
        <v>29.558815135736172</v>
      </c>
      <c r="J16" s="735" cm="1">
        <f t="array" ref="J16">SKEW(IF(ISNUMBER($T$3:$T$704),IF($T$3:$T$704&gt;N16,IF($T$3:$T$704&lt;=O16,$U$3:$U$704))))*(C16-2)/SQRT(C16*(C16-1))</f>
        <v>0.33387134997966894</v>
      </c>
      <c r="K16" s="854" cm="1">
        <f t="array" ref="K16">((KURT(IF(ISNUMBER($T$3:$T$704),IF($T$3:$T$704&gt;N16,IF($T$3:$T$704&lt;=O16,$U$3:$U$704)))))*(C16-2)*(C16-3)/(C16-1) + 3*(C16-1))/(C16+1)-3</f>
        <v>-1.5125519058864172</v>
      </c>
      <c r="L16" s="407"/>
      <c r="M16" s="407"/>
      <c r="N16">
        <v>2.125</v>
      </c>
      <c r="O16">
        <v>2.375</v>
      </c>
      <c r="S16">
        <v>14</v>
      </c>
      <c r="T16">
        <f>IF('Lab test'!AQ17&gt;0,'Lab test'!AQ17,NA())</f>
        <v>1.023744937019164</v>
      </c>
      <c r="U16">
        <f>IF('Lab test'!AU17&gt;0,'Lab test'!AU17,NA())</f>
        <v>0.5877933256321396</v>
      </c>
    </row>
    <row r="17" spans="2:21">
      <c r="B17" s="752">
        <v>2.5</v>
      </c>
      <c r="C17" s="734" cm="1">
        <f t="array" ref="C17">COUNT(IF(ISNUMBER($T$3:$T$704),IF($T$3:$T$704&gt;N17,IF($T$3:$T$704&lt;=O17,$U$3:$U$704))))</f>
        <v>1</v>
      </c>
      <c r="D17" s="737" cm="1">
        <f t="array" ref="D17">MIN(IF(ISNUMBER($T$3:$T$704),IF($T$3:$T$704&gt;N17,IF($T$3:$T$704&lt;=O17,$U$3:$U$704))))</f>
        <v>8.6441010463035081E-2</v>
      </c>
      <c r="E17" s="737" cm="1">
        <f t="array" ref="E17">MAX(IF(ISNUMBER($T$3:$T$704),IF($T$3:$T$704&gt;N17,IF($T$3:$T$704&lt;=O17,$U$3:$U$704))))</f>
        <v>8.6441010463035081E-2</v>
      </c>
      <c r="F17" s="737" cm="1">
        <f t="array" ref="F17">MEDIAN(IF(ISNUMBER($T$3:$T$704),IF($T$3:$T$704&gt;N17,IF($T$3:$T$704&lt;=O17,$U$3:$U$704))))</f>
        <v>8.6441010463035081E-2</v>
      </c>
      <c r="G17" s="737" cm="1">
        <f t="array" ref="G17">AVERAGE(IF(ISNUMBER($T$3:$T$704),IF($T$3:$T$704&gt;N17,IF($T$3:$T$704&lt;=O17,$U$3:$U$704))))</f>
        <v>8.6441010463035081E-2</v>
      </c>
      <c r="H17" s="736" t="s">
        <v>51</v>
      </c>
      <c r="I17" s="855" t="s">
        <v>51</v>
      </c>
      <c r="J17" s="736" t="s">
        <v>51</v>
      </c>
      <c r="K17" s="736" t="s">
        <v>51</v>
      </c>
      <c r="L17" s="407"/>
      <c r="M17" s="407"/>
      <c r="N17">
        <v>2.375</v>
      </c>
      <c r="O17">
        <v>2.625</v>
      </c>
      <c r="S17">
        <v>15</v>
      </c>
      <c r="T17">
        <f>IF('Lab test'!AQ18&gt;0,'Lab test'!AQ18,NA())</f>
        <v>0.28955881151529872</v>
      </c>
      <c r="U17">
        <f>IF('Lab test'!AU18&gt;0,'Lab test'!AU18,NA())</f>
        <v>1.2324013605442177</v>
      </c>
    </row>
    <row r="18" spans="2:21">
      <c r="B18" s="752">
        <v>2.75</v>
      </c>
      <c r="C18" s="734" cm="1">
        <f t="array" ref="C18">COUNT(IF(ISNUMBER($T$3:$T$704),IF($T$3:$T$704&gt;N18,IF($T$3:$T$704&lt;=O18,$U$3:$U$704))))</f>
        <v>13</v>
      </c>
      <c r="D18" s="737" cm="1">
        <f t="array" ref="D18">MIN(IF(ISNUMBER($T$3:$T$704),IF($T$3:$T$704&gt;N18,IF($T$3:$T$704&lt;=O18,$U$3:$U$704))))</f>
        <v>2.8874244497282611E-2</v>
      </c>
      <c r="E18" s="735" cm="1">
        <f t="array" ref="E18">MAX(IF(ISNUMBER($T$3:$T$704),IF($T$3:$T$704&gt;N18,IF($T$3:$T$704&lt;=O18,$U$3:$U$704))))</f>
        <v>0.10403896169729526</v>
      </c>
      <c r="F18" s="737" cm="1">
        <f t="array" ref="F18">MEDIAN(IF(ISNUMBER($T$3:$T$704),IF($T$3:$T$704&gt;N18,IF($T$3:$T$704&lt;=O18,$U$3:$U$704))))</f>
        <v>5.7894734994782565E-2</v>
      </c>
      <c r="G18" s="737" cm="1">
        <f t="array" ref="G18">AVERAGE(IF(ISNUMBER($T$3:$T$704),IF($T$3:$T$704&gt;N18,IF($T$3:$T$704&lt;=O18,$U$3:$U$704))))</f>
        <v>5.8287924242547876E-2</v>
      </c>
      <c r="H18" s="737" cm="1">
        <f t="array" ref="H18">_xlfn.STDEV.S(IF(ISNUMBER($T$3:$T$704),IF($T$3:$T$704&gt;N18,IF($T$3:$T$704&lt;=O18,$U$3:$U$704))))</f>
        <v>2.2089337001995748E-2</v>
      </c>
      <c r="I18" s="855">
        <f t="shared" si="0"/>
        <v>37.89693540994449</v>
      </c>
      <c r="J18" s="735" cm="1">
        <f t="array" ref="J18">SKEW(IF(ISNUMBER($T$3:$T$704),IF($T$3:$T$704&gt;N18,IF($T$3:$T$704&lt;=O18,$U$3:$U$704))))*(C18-2)/SQRT(C18*(C18-1))</f>
        <v>0.38534200170162075</v>
      </c>
      <c r="K18" s="735" cm="1">
        <f t="array" ref="K18">((KURT(IF(ISNUMBER($T$3:$T$704),IF($T$3:$T$704&gt;N18,IF($T$3:$T$704&lt;=O18,$U$3:$U$704)))))*(C18-2)*(C18-3)/(C18-1) + 3*(C18-1))/(C18+1)-3</f>
        <v>-0.46263398911418419</v>
      </c>
      <c r="L18" s="407"/>
      <c r="M18" s="407"/>
      <c r="N18">
        <v>2.625</v>
      </c>
      <c r="O18">
        <v>2.875</v>
      </c>
      <c r="S18">
        <v>16</v>
      </c>
      <c r="T18">
        <f>IF('Lab test'!AQ19&gt;0,'Lab test'!AQ19,NA())</f>
        <v>0.34811673772961743</v>
      </c>
      <c r="U18">
        <f>IF('Lab test'!AU19&gt;0,'Lab test'!AU19,NA())</f>
        <v>1.1347012963676038</v>
      </c>
    </row>
    <row r="19" spans="2:21">
      <c r="B19" s="752">
        <v>3</v>
      </c>
      <c r="C19" s="734" cm="1">
        <f t="array" ref="C19">COUNT(IF(ISNUMBER($T$3:$T$704),IF($T$3:$T$704&gt;N19,IF($T$3:$T$704&lt;=O19,$U$3:$U$704))))</f>
        <v>3</v>
      </c>
      <c r="D19" s="737" cm="1">
        <f t="array" ref="D19">MIN(IF(ISNUMBER($T$3:$T$704),IF($T$3:$T$704&gt;N19,IF($T$3:$T$704&lt;=O19,$U$3:$U$704))))</f>
        <v>2.8872668478260873E-2</v>
      </c>
      <c r="E19" s="737" cm="1">
        <f t="array" ref="E19">MAX(IF(ISNUMBER($T$3:$T$704),IF($T$3:$T$704&gt;N19,IF($T$3:$T$704&lt;=O19,$U$3:$U$704))))</f>
        <v>7.9947101535250295E-2</v>
      </c>
      <c r="F19" s="737" cm="1">
        <f t="array" ref="F19">MEDIAN(IF(ISNUMBER($T$3:$T$704),IF($T$3:$T$704&gt;N19,IF($T$3:$T$704&lt;=O19,$U$3:$U$704))))</f>
        <v>3.5130896739130439E-2</v>
      </c>
      <c r="G19" s="737" cm="1">
        <f t="array" ref="G19">AVERAGE(IF(ISNUMBER($T$3:$T$704),IF($T$3:$T$704&gt;N19,IF($T$3:$T$704&lt;=O19,$U$3:$U$704))))</f>
        <v>4.7983555584213876E-2</v>
      </c>
      <c r="H19" s="737" cm="1">
        <f t="array" ref="H19">_xlfn.STDEV.S(IF(ISNUMBER($T$3:$T$704),IF($T$3:$T$704&gt;N19,IF($T$3:$T$704&lt;=O19,$U$3:$U$704))))</f>
        <v>2.7857540407658019E-2</v>
      </c>
      <c r="I19" s="855">
        <f t="shared" si="0"/>
        <v>58.056432184910612</v>
      </c>
      <c r="J19" s="735" cm="1">
        <f t="array" ref="J19">SKEW(IF(ISNUMBER($T$3:$T$704),IF($T$3:$T$704&gt;N19,IF($T$3:$T$704&lt;=O19,$U$3:$U$704))))*(C19-2)/SQRT(C19*(C19-1))</f>
        <v>0.6671713078866941</v>
      </c>
      <c r="K19" s="736" t="s">
        <v>51</v>
      </c>
      <c r="L19" s="407"/>
      <c r="M19" s="407"/>
      <c r="N19">
        <v>2.875</v>
      </c>
      <c r="O19">
        <v>3.125</v>
      </c>
      <c r="S19">
        <v>17</v>
      </c>
      <c r="T19">
        <f>IF('Lab test'!AQ20&gt;0,'Lab test'!AQ20,NA())</f>
        <v>0.41275676901614267</v>
      </c>
      <c r="U19">
        <f>IF('Lab test'!AU20&gt;0,'Lab test'!AU20,NA())</f>
        <v>1.0899220895905533</v>
      </c>
    </row>
    <row r="20" spans="2:21">
      <c r="S20">
        <v>18</v>
      </c>
      <c r="T20">
        <f>IF('Lab test'!AQ21&gt;0,'Lab test'!AQ21,NA())</f>
        <v>0.6215214163767635</v>
      </c>
      <c r="U20">
        <f>IF('Lab test'!AU21&gt;0,'Lab test'!AU21,NA())</f>
        <v>0.98213343601591574</v>
      </c>
    </row>
    <row r="21" spans="2:21">
      <c r="S21">
        <v>19</v>
      </c>
      <c r="T21">
        <f>IF('Lab test'!AQ22&gt;0,'Lab test'!AQ22,NA())</f>
        <v>0.69895940390994538</v>
      </c>
      <c r="U21">
        <f>IF('Lab test'!AU22&gt;0,'Lab test'!AU22,NA())</f>
        <v>0.90938937235271466</v>
      </c>
    </row>
    <row r="22" spans="2:21">
      <c r="S22">
        <v>20</v>
      </c>
      <c r="T22">
        <f>IF('Lab test'!AQ23&gt;0,'Lab test'!AQ23,NA())</f>
        <v>0.87871812185243192</v>
      </c>
      <c r="U22">
        <f>IF('Lab test'!AU23&gt;0,'Lab test'!AU23,NA())</f>
        <v>0.777883660634065</v>
      </c>
    </row>
    <row r="23" spans="2:21">
      <c r="S23">
        <v>21</v>
      </c>
      <c r="T23">
        <f>IF('Lab test'!AQ24&gt;0,'Lab test'!AQ24,NA())</f>
        <v>0.2904529502640128</v>
      </c>
      <c r="U23">
        <f>IF('Lab test'!AU24&gt;0,'Lab test'!AU24,NA())</f>
        <v>1.2389500962649211</v>
      </c>
    </row>
    <row r="24" spans="2:21">
      <c r="S24">
        <v>22</v>
      </c>
      <c r="T24">
        <f>IF('Lab test'!AQ25&gt;0,'Lab test'!AQ25,NA())</f>
        <v>0.29045295192943954</v>
      </c>
      <c r="U24">
        <f>IF('Lab test'!AU25&gt;0,'Lab test'!AU25,NA())</f>
        <v>1.2269145937620329</v>
      </c>
    </row>
    <row r="25" spans="2:21">
      <c r="S25">
        <v>23</v>
      </c>
      <c r="T25">
        <f>IF('Lab test'!AQ26&gt;0,'Lab test'!AQ26,NA())</f>
        <v>0.2904529502640128</v>
      </c>
      <c r="U25">
        <f>IF('Lab test'!AU26&gt;0,'Lab test'!AU26,NA())</f>
        <v>1.236118213323065</v>
      </c>
    </row>
    <row r="26" spans="2:21">
      <c r="S26">
        <v>24</v>
      </c>
      <c r="T26" t="e">
        <f>IF('Lab test'!AQ27&gt;0,'Lab test'!AQ27,NA())</f>
        <v>#N/A</v>
      </c>
      <c r="U26" t="e">
        <f>IF('Lab test'!AU27&gt;0,'Lab test'!AU27,NA())</f>
        <v>#N/A</v>
      </c>
    </row>
    <row r="27" spans="2:21">
      <c r="S27">
        <v>25</v>
      </c>
      <c r="T27">
        <f>IF('Lab test'!AQ28&gt;0,'Lab test'!AQ28,NA())</f>
        <v>0.34699757954794924</v>
      </c>
      <c r="U27">
        <f>IF('Lab test'!AU28&gt;0,'Lab test'!AU28,NA())</f>
        <v>1.1290375304838918</v>
      </c>
    </row>
    <row r="28" spans="2:21">
      <c r="S28">
        <v>26</v>
      </c>
      <c r="T28">
        <f>IF('Lab test'!AQ29&gt;0,'Lab test'!AQ29,NA())</f>
        <v>0.41223288877962527</v>
      </c>
      <c r="U28">
        <f>IF('Lab test'!AU29&gt;0,'Lab test'!AU29,NA())</f>
        <v>1.0881521755872159</v>
      </c>
    </row>
    <row r="29" spans="2:21">
      <c r="S29">
        <v>27</v>
      </c>
      <c r="T29">
        <f>IF('Lab test'!AQ30&gt;0,'Lab test'!AQ30,NA())</f>
        <v>0.61803471886786676</v>
      </c>
      <c r="U29">
        <f>IF('Lab test'!AU30&gt;0,'Lab test'!AU30,NA())</f>
        <v>0.9447879347965602</v>
      </c>
    </row>
    <row r="30" spans="2:21">
      <c r="S30">
        <v>28</v>
      </c>
      <c r="T30">
        <f>IF('Lab test'!AQ31&gt;0,'Lab test'!AQ31,NA())</f>
        <v>0.68905790665899724</v>
      </c>
      <c r="U30">
        <f>IF('Lab test'!AU31&gt;0,'Lab test'!AU31,NA())</f>
        <v>0.89629190091130784</v>
      </c>
    </row>
    <row r="31" spans="2:21">
      <c r="S31">
        <v>29</v>
      </c>
      <c r="T31">
        <f>IF('Lab test'!AQ32&gt;0,'Lab test'!AQ32,NA())</f>
        <v>0.86193359579353368</v>
      </c>
      <c r="U31">
        <f>IF('Lab test'!AU32&gt;0,'Lab test'!AU32,NA())</f>
        <v>0.77328186368887175</v>
      </c>
    </row>
    <row r="32" spans="2:21">
      <c r="S32">
        <v>30</v>
      </c>
      <c r="T32">
        <f>IF('Lab test'!AQ33&gt;0,'Lab test'!AQ33,NA())</f>
        <v>0.28955877823379816</v>
      </c>
      <c r="U32">
        <f>IF('Lab test'!AU33&gt;0,'Lab test'!AU33,NA())</f>
        <v>1.2253216531895776</v>
      </c>
    </row>
    <row r="33" spans="4:21">
      <c r="S33">
        <v>31</v>
      </c>
      <c r="T33">
        <f>IF('Lab test'!AQ34&gt;0,'Lab test'!AQ34,NA())</f>
        <v>0.19022461668224497</v>
      </c>
      <c r="U33">
        <f>IF('Lab test'!AU34&gt;0,'Lab test'!AU34,NA())</f>
        <v>1.2807080054902387</v>
      </c>
    </row>
    <row r="34" spans="4:21">
      <c r="S34">
        <v>32</v>
      </c>
      <c r="T34">
        <f>IF('Lab test'!AQ35&gt;0,'Lab test'!AQ35,NA())</f>
        <v>0.18816807392247489</v>
      </c>
      <c r="U34">
        <f>IF('Lab test'!AU35&gt;0,'Lab test'!AU35,NA())</f>
        <v>1.310877485246057</v>
      </c>
    </row>
    <row r="35" spans="4:21">
      <c r="S35">
        <v>33</v>
      </c>
      <c r="T35">
        <f>IF('Lab test'!AQ36&gt;0,'Lab test'!AQ36,NA())</f>
        <v>0.18816807392247489</v>
      </c>
      <c r="U35">
        <f>IF('Lab test'!AU36&gt;0,'Lab test'!AU36,NA())</f>
        <v>1.3383591935321377</v>
      </c>
    </row>
    <row r="36" spans="4:21">
      <c r="S36">
        <v>34</v>
      </c>
      <c r="T36">
        <f>IF('Lab test'!AQ37&gt;0,'Lab test'!AQ37,NA())</f>
        <v>0.18891052001747102</v>
      </c>
      <c r="U36">
        <f>IF('Lab test'!AU37&gt;0,'Lab test'!AU37,NA())</f>
        <v>1.1507039699495796</v>
      </c>
    </row>
    <row r="37" spans="4:21">
      <c r="D37" s="805"/>
      <c r="E37" s="805"/>
      <c r="F37" s="805"/>
      <c r="G37" s="805"/>
      <c r="H37" s="805"/>
      <c r="I37" s="805"/>
      <c r="J37" s="805"/>
      <c r="K37" s="805"/>
      <c r="S37">
        <v>35</v>
      </c>
      <c r="T37">
        <f>IF('Lab test'!AQ38&gt;0,'Lab test'!AQ38,NA())</f>
        <v>1.1116784305997409</v>
      </c>
      <c r="U37">
        <f>IF('Lab test'!AU38&gt;0,'Lab test'!AU38,NA())</f>
        <v>0.42822134440814413</v>
      </c>
    </row>
    <row r="38" spans="4:21">
      <c r="D38" s="805"/>
      <c r="E38" s="805"/>
      <c r="F38" s="805"/>
      <c r="G38" s="805"/>
      <c r="H38" s="805"/>
      <c r="I38" s="805"/>
      <c r="J38" s="805"/>
      <c r="K38" s="805"/>
      <c r="S38">
        <v>36</v>
      </c>
      <c r="T38">
        <f>IF('Lab test'!AQ39&gt;0,'Lab test'!AQ39,NA())</f>
        <v>1.1116784305997409</v>
      </c>
      <c r="U38">
        <f>IF('Lab test'!AU39&gt;0,'Lab test'!AU39,NA())</f>
        <v>0.28915774314220588</v>
      </c>
    </row>
    <row r="39" spans="4:21">
      <c r="D39" s="805"/>
      <c r="E39" s="805"/>
      <c r="F39" s="805"/>
      <c r="G39" s="805"/>
      <c r="H39" s="805"/>
      <c r="I39" s="805"/>
      <c r="J39" s="805"/>
      <c r="K39" s="805"/>
      <c r="S39">
        <v>37</v>
      </c>
      <c r="T39">
        <f>IF('Lab test'!AQ40&gt;0,'Lab test'!AQ40,NA())</f>
        <v>0.6807612282568416</v>
      </c>
      <c r="U39">
        <f>IF('Lab test'!AU40&gt;0,'Lab test'!AU40,NA())</f>
        <v>0.65657979823389157</v>
      </c>
    </row>
    <row r="40" spans="4:21">
      <c r="D40" s="805"/>
      <c r="E40" s="805"/>
      <c r="F40" s="805"/>
      <c r="G40" s="805"/>
      <c r="H40" s="805"/>
      <c r="I40" s="805"/>
      <c r="J40" s="805"/>
      <c r="K40" s="805"/>
      <c r="S40">
        <v>38</v>
      </c>
      <c r="T40">
        <f>IF('Lab test'!AQ41&gt;0,'Lab test'!AQ41,NA())</f>
        <v>0.6807612282568416</v>
      </c>
      <c r="U40">
        <f>IF('Lab test'!AU41&gt;0,'Lab test'!AU41,NA())</f>
        <v>0.74324833160076531</v>
      </c>
    </row>
    <row r="41" spans="4:21">
      <c r="D41" s="805"/>
      <c r="E41" s="805"/>
      <c r="F41" s="805"/>
      <c r="G41" s="805"/>
      <c r="H41" s="805"/>
      <c r="I41" s="805"/>
      <c r="J41" s="805"/>
      <c r="K41" s="805"/>
      <c r="S41">
        <v>39</v>
      </c>
      <c r="T41">
        <f>IF('Lab test'!AQ42&gt;0,'Lab test'!AQ42,NA())</f>
        <v>0.39303767838794779</v>
      </c>
      <c r="U41">
        <f>IF('Lab test'!AU42&gt;0,'Lab test'!AU42,NA())</f>
        <v>0.89163536600162485</v>
      </c>
    </row>
    <row r="42" spans="4:21">
      <c r="D42" s="805"/>
      <c r="E42" s="805"/>
      <c r="F42" s="805"/>
      <c r="G42" s="805"/>
      <c r="H42" s="805"/>
      <c r="I42" s="805"/>
      <c r="J42" s="805"/>
      <c r="K42" s="805"/>
      <c r="S42">
        <v>40</v>
      </c>
      <c r="T42">
        <f>IF('Lab test'!AQ43&gt;0,'Lab test'!AQ43,NA())</f>
        <v>0.39303767838794779</v>
      </c>
      <c r="U42">
        <f>IF('Lab test'!AU43&gt;0,'Lab test'!AU43,NA())</f>
        <v>0.9018780108540736</v>
      </c>
    </row>
    <row r="43" spans="4:21">
      <c r="D43" s="805"/>
      <c r="E43" s="805"/>
      <c r="F43" s="805"/>
      <c r="G43" s="805"/>
      <c r="H43" s="805"/>
      <c r="I43" s="805"/>
      <c r="J43" s="805"/>
      <c r="K43" s="805"/>
      <c r="S43">
        <v>41</v>
      </c>
      <c r="T43">
        <f>IF('Lab test'!AQ44&gt;0,'Lab test'!AQ44,NA())</f>
        <v>1.3986844385452473</v>
      </c>
      <c r="U43">
        <f>IF('Lab test'!AU44&gt;0,'Lab test'!AU44,NA())</f>
        <v>0.1533524191250033</v>
      </c>
    </row>
    <row r="44" spans="4:21">
      <c r="D44" s="805"/>
      <c r="E44" s="805"/>
      <c r="F44" s="805"/>
      <c r="G44" s="805"/>
      <c r="H44" s="805"/>
      <c r="I44" s="805"/>
      <c r="J44" s="805"/>
      <c r="K44" s="805"/>
      <c r="S44">
        <v>42</v>
      </c>
      <c r="T44">
        <f>IF('Lab test'!AQ45&gt;0,'Lab test'!AQ45,NA())</f>
        <v>1.3986844385452473</v>
      </c>
      <c r="U44">
        <f>IF('Lab test'!AU45&gt;0,'Lab test'!AU45,NA())</f>
        <v>0.19082705307784759</v>
      </c>
    </row>
    <row r="45" spans="4:21">
      <c r="D45" s="805"/>
      <c r="E45" s="805"/>
      <c r="F45" s="805"/>
      <c r="G45" s="805"/>
      <c r="H45" s="805"/>
      <c r="I45" s="805"/>
      <c r="J45" s="805"/>
      <c r="K45" s="805"/>
      <c r="S45">
        <v>43</v>
      </c>
      <c r="T45">
        <f>IF('Lab test'!AQ46&gt;0,'Lab test'!AQ46,NA())</f>
        <v>0.9382660450974899</v>
      </c>
      <c r="U45">
        <f>IF('Lab test'!AU46&gt;0,'Lab test'!AU46,NA())</f>
        <v>0.51366152640248863</v>
      </c>
    </row>
    <row r="46" spans="4:21">
      <c r="S46">
        <v>44</v>
      </c>
      <c r="T46">
        <f>IF('Lab test'!AQ47&gt;0,'Lab test'!AQ47,NA())</f>
        <v>0.9382660450974899</v>
      </c>
      <c r="U46">
        <f>IF('Lab test'!AU47&gt;0,'Lab test'!AU47,NA())</f>
        <v>0.53549006894460627</v>
      </c>
    </row>
    <row r="47" spans="4:21">
      <c r="S47">
        <v>45</v>
      </c>
      <c r="T47">
        <f>IF('Lab test'!AQ48&gt;0,'Lab test'!AQ48,NA())</f>
        <v>0.54170815370852132</v>
      </c>
      <c r="U47">
        <f>IF('Lab test'!AU48&gt;0,'Lab test'!AU48,NA())</f>
        <v>0.83137273947858403</v>
      </c>
    </row>
    <row r="48" spans="4:21">
      <c r="S48">
        <v>46</v>
      </c>
      <c r="T48">
        <f>IF('Lab test'!AQ49&gt;0,'Lab test'!AQ49,NA())</f>
        <v>0.54170815370852132</v>
      </c>
      <c r="U48">
        <f>IF('Lab test'!AU49&gt;0,'Lab test'!AU49,NA())</f>
        <v>0.84251726963721796</v>
      </c>
    </row>
    <row r="49" spans="19:21">
      <c r="S49">
        <v>47</v>
      </c>
      <c r="T49">
        <f>IF('Lab test'!AQ50&gt;0,'Lab test'!AQ50,NA())</f>
        <v>0.95932605377995417</v>
      </c>
      <c r="U49">
        <f>IF('Lab test'!AU50&gt;0,'Lab test'!AU50,NA())</f>
        <v>0.41572751646701595</v>
      </c>
    </row>
    <row r="50" spans="19:21">
      <c r="S50">
        <v>48</v>
      </c>
      <c r="T50">
        <f>IF('Lab test'!AQ51&gt;0,'Lab test'!AQ51,NA())</f>
        <v>1.0455230378367246</v>
      </c>
      <c r="U50">
        <f>IF('Lab test'!AU51&gt;0,'Lab test'!AU51,NA())</f>
        <v>0.29887391387072509</v>
      </c>
    </row>
    <row r="51" spans="19:21">
      <c r="S51">
        <v>49</v>
      </c>
      <c r="T51">
        <f>IF('Lab test'!AQ52&gt;0,'Lab test'!AQ52,NA())</f>
        <v>1.0455230378367246</v>
      </c>
      <c r="U51">
        <f>IF('Lab test'!AU52&gt;0,'Lab test'!AU52,NA())</f>
        <v>0.24918383371184996</v>
      </c>
    </row>
    <row r="52" spans="19:21">
      <c r="S52">
        <v>50</v>
      </c>
      <c r="T52">
        <f>IF('Lab test'!AQ53&gt;0,'Lab test'!AQ53,NA())</f>
        <v>1.0455230378367246</v>
      </c>
      <c r="U52">
        <f>IF('Lab test'!AU53&gt;0,'Lab test'!AU53,NA())</f>
        <v>0.25780167049217145</v>
      </c>
    </row>
    <row r="53" spans="19:21">
      <c r="S53">
        <v>51</v>
      </c>
      <c r="T53">
        <f>IF('Lab test'!AQ54&gt;0,'Lab test'!AQ54,NA())</f>
        <v>1.0455230378367246</v>
      </c>
      <c r="U53">
        <f>IF('Lab test'!AU54&gt;0,'Lab test'!AU54,NA())</f>
        <v>0.25670152111596023</v>
      </c>
    </row>
    <row r="54" spans="19:21">
      <c r="S54">
        <v>52</v>
      </c>
      <c r="T54">
        <f>IF('Lab test'!AQ55&gt;0,'Lab test'!AQ55,NA())</f>
        <v>0.93514423385800027</v>
      </c>
      <c r="U54">
        <f>IF('Lab test'!AU55&gt;0,'Lab test'!AU55,NA())</f>
        <v>0.35527490522448896</v>
      </c>
    </row>
    <row r="55" spans="19:21">
      <c r="S55">
        <v>53</v>
      </c>
      <c r="T55">
        <f>IF('Lab test'!AQ56&gt;0,'Lab test'!AQ56,NA())</f>
        <v>0.93514423385800027</v>
      </c>
      <c r="U55">
        <f>IF('Lab test'!AU56&gt;0,'Lab test'!AU56,NA())</f>
        <v>0.34104630662549001</v>
      </c>
    </row>
    <row r="56" spans="19:21">
      <c r="S56">
        <v>54</v>
      </c>
      <c r="T56">
        <f>IF('Lab test'!AQ57&gt;0,'Lab test'!AQ57,NA())</f>
        <v>0.93514423385800027</v>
      </c>
      <c r="U56">
        <f>IF('Lab test'!AU57&gt;0,'Lab test'!AU57,NA())</f>
        <v>0.32197705077116157</v>
      </c>
    </row>
    <row r="57" spans="19:21">
      <c r="S57">
        <v>55</v>
      </c>
      <c r="T57">
        <f>IF('Lab test'!AQ58&gt;0,'Lab test'!AQ58,NA())</f>
        <v>0.93514423385800027</v>
      </c>
      <c r="U57">
        <f>IF('Lab test'!AU58&gt;0,'Lab test'!AU58,NA())</f>
        <v>0.36246254781573584</v>
      </c>
    </row>
    <row r="58" spans="19:21">
      <c r="S58">
        <v>56</v>
      </c>
      <c r="T58">
        <f>IF('Lab test'!AQ59&gt;0,'Lab test'!AQ59,NA())</f>
        <v>0.83641843026937968</v>
      </c>
      <c r="U58">
        <f>IF('Lab test'!AU59&gt;0,'Lab test'!AU59,NA())</f>
        <v>0.375635003013572</v>
      </c>
    </row>
    <row r="59" spans="19:21">
      <c r="S59">
        <v>57</v>
      </c>
      <c r="T59">
        <f>IF('Lab test'!AQ60&gt;0,'Lab test'!AQ60,NA())</f>
        <v>0.83641843026937968</v>
      </c>
      <c r="U59">
        <f>IF('Lab test'!AU60&gt;0,'Lab test'!AU60,NA())</f>
        <v>0.37669114641473478</v>
      </c>
    </row>
    <row r="60" spans="19:21">
      <c r="S60">
        <v>58</v>
      </c>
      <c r="T60">
        <f>IF('Lab test'!AQ61&gt;0,'Lab test'!AQ61,NA())</f>
        <v>0.83641843026937968</v>
      </c>
      <c r="U60">
        <f>IF('Lab test'!AU61&gt;0,'Lab test'!AU61,NA())</f>
        <v>0.36354802853359763</v>
      </c>
    </row>
    <row r="61" spans="19:21">
      <c r="S61">
        <v>59</v>
      </c>
      <c r="T61">
        <f>IF('Lab test'!AQ62&gt;0,'Lab test'!AQ62,NA())</f>
        <v>0.83641843026937968</v>
      </c>
      <c r="U61">
        <f>IF('Lab test'!AU62&gt;0,'Lab test'!AU62,NA())</f>
        <v>0.33644034790375221</v>
      </c>
    </row>
    <row r="62" spans="19:21">
      <c r="S62">
        <v>60</v>
      </c>
      <c r="T62" t="e">
        <f>IF('Lab test'!AQ63&gt;0,'Lab test'!AQ63,NA())</f>
        <v>#N/A</v>
      </c>
      <c r="U62" t="e">
        <f>IF('Lab test'!AU63&gt;0,'Lab test'!AU63,NA())</f>
        <v>#N/A</v>
      </c>
    </row>
    <row r="63" spans="19:21">
      <c r="S63">
        <v>61</v>
      </c>
      <c r="T63" t="e">
        <f>IF('Lab test'!AQ64&gt;0,'Lab test'!AQ64,NA())</f>
        <v>#N/A</v>
      </c>
      <c r="U63" t="e">
        <f>IF('Lab test'!AU64&gt;0,'Lab test'!AU64,NA())</f>
        <v>#N/A</v>
      </c>
    </row>
    <row r="64" spans="19:21">
      <c r="S64">
        <v>62</v>
      </c>
      <c r="T64" t="e">
        <f>IF('Lab test'!AQ65&gt;0,'Lab test'!AQ65,NA())</f>
        <v>#N/A</v>
      </c>
      <c r="U64" t="e">
        <f>IF('Lab test'!AU65&gt;0,'Lab test'!AU65,NA())</f>
        <v>#N/A</v>
      </c>
    </row>
    <row r="65" spans="19:21">
      <c r="S65">
        <v>63</v>
      </c>
      <c r="T65">
        <f>IF('Lab test'!AQ66&gt;0,'Lab test'!AQ66,NA())</f>
        <v>1.3043572584079364</v>
      </c>
      <c r="U65">
        <f>IF('Lab test'!AU66&gt;0,'Lab test'!AU66,NA())</f>
        <v>0.30105781050075592</v>
      </c>
    </row>
    <row r="66" spans="19:21">
      <c r="S66">
        <v>64</v>
      </c>
      <c r="T66">
        <f>IF('Lab test'!AQ67&gt;0,'Lab test'!AQ67,NA())</f>
        <v>1.3043572584079364</v>
      </c>
      <c r="U66">
        <f>IF('Lab test'!AU67&gt;0,'Lab test'!AU67,NA())</f>
        <v>0.25929817872161881</v>
      </c>
    </row>
    <row r="67" spans="19:21">
      <c r="S67">
        <v>65</v>
      </c>
      <c r="T67">
        <f>IF('Lab test'!AQ68&gt;0,'Lab test'!AQ68,NA())</f>
        <v>1.3043572584079364</v>
      </c>
      <c r="U67">
        <f>IF('Lab test'!AU68&gt;0,'Lab test'!AU68,NA())</f>
        <v>0.32533666618630075</v>
      </c>
    </row>
    <row r="68" spans="19:21">
      <c r="S68">
        <v>66</v>
      </c>
      <c r="T68">
        <f>IF('Lab test'!AQ69&gt;0,'Lab test'!AQ69,NA())</f>
        <v>1.3043572584079364</v>
      </c>
      <c r="U68">
        <f>IF('Lab test'!AU69&gt;0,'Lab test'!AU69,NA())</f>
        <v>0.25832702449419703</v>
      </c>
    </row>
    <row r="69" spans="19:21">
      <c r="S69">
        <v>67</v>
      </c>
      <c r="T69">
        <f>IF('Lab test'!AQ70&gt;0,'Lab test'!AQ70,NA())</f>
        <v>1.2959690218293991</v>
      </c>
      <c r="U69">
        <f>IF('Lab test'!AU70&gt;0,'Lab test'!AU70,NA())</f>
        <v>0.35612351643482798</v>
      </c>
    </row>
    <row r="70" spans="19:21">
      <c r="S70">
        <v>68</v>
      </c>
      <c r="T70">
        <f>IF('Lab test'!AQ71&gt;0,'Lab test'!AQ71,NA())</f>
        <v>1.2959690218293991</v>
      </c>
      <c r="U70">
        <f>IF('Lab test'!AU71&gt;0,'Lab test'!AU71,NA())</f>
        <v>0.29316245275574232</v>
      </c>
    </row>
    <row r="71" spans="19:21">
      <c r="S71">
        <v>69</v>
      </c>
      <c r="T71">
        <f>IF('Lab test'!AQ72&gt;0,'Lab test'!AQ72,NA())</f>
        <v>1.2959690218293991</v>
      </c>
      <c r="U71">
        <f>IF('Lab test'!AU72&gt;0,'Lab test'!AU72,NA())</f>
        <v>0.26364945415617097</v>
      </c>
    </row>
    <row r="72" spans="19:21">
      <c r="S72">
        <v>70</v>
      </c>
      <c r="T72">
        <f>IF('Lab test'!AQ73&gt;0,'Lab test'!AQ73,NA())</f>
        <v>1.2959690218293991</v>
      </c>
      <c r="U72">
        <f>IF('Lab test'!AU73&gt;0,'Lab test'!AU73,NA())</f>
        <v>0.34038325051505652</v>
      </c>
    </row>
    <row r="73" spans="19:21">
      <c r="S73">
        <v>71</v>
      </c>
      <c r="T73">
        <f>IF('Lab test'!AQ74&gt;0,'Lab test'!AQ74,NA())</f>
        <v>0.86360671149709767</v>
      </c>
      <c r="U73">
        <f>IF('Lab test'!AU74&gt;0,'Lab test'!AU74,NA())</f>
        <v>0.71778489718164218</v>
      </c>
    </row>
    <row r="74" spans="19:21">
      <c r="S74">
        <v>72</v>
      </c>
      <c r="T74">
        <f>IF('Lab test'!AQ75&gt;0,'Lab test'!AQ75,NA())</f>
        <v>0.74964264803580472</v>
      </c>
      <c r="U74">
        <f>IF('Lab test'!AU75&gt;0,'Lab test'!AU75,NA())</f>
        <v>0.80266698178777074</v>
      </c>
    </row>
    <row r="75" spans="19:21">
      <c r="S75">
        <v>73</v>
      </c>
      <c r="T75">
        <f>IF('Lab test'!AQ76&gt;0,'Lab test'!AQ76,NA())</f>
        <v>0.79875243134875684</v>
      </c>
      <c r="U75">
        <f>IF('Lab test'!AU76&gt;0,'Lab test'!AU76,NA())</f>
        <v>0.72771823441473038</v>
      </c>
    </row>
    <row r="76" spans="19:21">
      <c r="S76">
        <v>74</v>
      </c>
      <c r="T76">
        <f>IF('Lab test'!AQ77&gt;0,'Lab test'!AQ77,NA())</f>
        <v>0.79875243134875684</v>
      </c>
      <c r="U76">
        <f>IF('Lab test'!AU77&gt;0,'Lab test'!AU77,NA())</f>
        <v>0.78469261575680871</v>
      </c>
    </row>
    <row r="77" spans="19:21">
      <c r="S77">
        <v>75</v>
      </c>
      <c r="T77">
        <f>IF('Lab test'!AQ78&gt;0,'Lab test'!AQ78,NA())</f>
        <v>0.70155827817383309</v>
      </c>
      <c r="U77">
        <f>IF('Lab test'!AU78&gt;0,'Lab test'!AU78,NA())</f>
        <v>0.83589776406469851</v>
      </c>
    </row>
    <row r="78" spans="19:21">
      <c r="S78">
        <v>76</v>
      </c>
      <c r="T78">
        <f>IF('Lab test'!AQ79&gt;0,'Lab test'!AQ79,NA())</f>
        <v>0.70155827817383309</v>
      </c>
      <c r="U78">
        <f>IF('Lab test'!AU79&gt;0,'Lab test'!AU79,NA())</f>
        <v>0.8627539171270181</v>
      </c>
    </row>
    <row r="79" spans="19:21">
      <c r="S79">
        <v>77</v>
      </c>
      <c r="T79">
        <f>IF('Lab test'!AQ80&gt;0,'Lab test'!AQ80,NA())</f>
        <v>1.7210211525783869</v>
      </c>
      <c r="U79">
        <f>IF('Lab test'!AU80&gt;0,'Lab test'!AU80,NA())</f>
        <v>8.1418793104341983E-2</v>
      </c>
    </row>
    <row r="80" spans="19:21">
      <c r="S80">
        <v>78</v>
      </c>
      <c r="T80">
        <f>IF('Lab test'!AQ81&gt;0,'Lab test'!AQ81,NA())</f>
        <v>1.7517013072344625</v>
      </c>
      <c r="U80">
        <f>IF('Lab test'!AU81&gt;0,'Lab test'!AU81,NA())</f>
        <v>8.6828336277165408E-2</v>
      </c>
    </row>
    <row r="81" spans="19:21">
      <c r="S81">
        <v>79</v>
      </c>
      <c r="T81">
        <f>IF('Lab test'!AQ82&gt;0,'Lab test'!AQ82,NA())</f>
        <v>1.3900010576948674</v>
      </c>
      <c r="U81">
        <f>IF('Lab test'!AU82&gt;0,'Lab test'!AU82,NA())</f>
        <v>0.12447982158240503</v>
      </c>
    </row>
    <row r="82" spans="19:21">
      <c r="S82">
        <v>80</v>
      </c>
      <c r="T82">
        <f>IF('Lab test'!AQ83&gt;0,'Lab test'!AQ83,NA())</f>
        <v>1.4245711945951272</v>
      </c>
      <c r="U82">
        <f>IF('Lab test'!AU83&gt;0,'Lab test'!AU83,NA())</f>
        <v>0.16397159184501497</v>
      </c>
    </row>
    <row r="83" spans="19:21">
      <c r="S83">
        <v>81</v>
      </c>
      <c r="T83">
        <f>IF('Lab test'!AQ84&gt;0,'Lab test'!AQ84,NA())</f>
        <v>0.99928053952212859</v>
      </c>
      <c r="U83">
        <f>IF('Lab test'!AU84&gt;0,'Lab test'!AU84,NA())</f>
        <v>0.29426774669959133</v>
      </c>
    </row>
    <row r="84" spans="19:21">
      <c r="S84">
        <v>82</v>
      </c>
      <c r="T84">
        <f>IF('Lab test'!AQ85&gt;0,'Lab test'!AQ85,NA())</f>
        <v>1.021085591297769</v>
      </c>
      <c r="U84">
        <f>IF('Lab test'!AU85&gt;0,'Lab test'!AU85,NA())</f>
        <v>0.41620410022873988</v>
      </c>
    </row>
    <row r="85" spans="19:21">
      <c r="S85">
        <v>83</v>
      </c>
      <c r="T85">
        <f>IF('Lab test'!AQ86&gt;0,'Lab test'!AQ86,NA())</f>
        <v>1.9826798145395317</v>
      </c>
      <c r="U85">
        <f>IF('Lab test'!AU86&gt;0,'Lab test'!AU86,NA())</f>
        <v>3.4505954836150668E-2</v>
      </c>
    </row>
    <row r="86" spans="19:21">
      <c r="S86">
        <v>84</v>
      </c>
      <c r="T86">
        <f>IF('Lab test'!AQ87&gt;0,'Lab test'!AQ87,NA())</f>
        <v>2.0106719734485279</v>
      </c>
      <c r="U86">
        <f>IF('Lab test'!AU87&gt;0,'Lab test'!AU87,NA())</f>
        <v>3.8288785255329569E-2</v>
      </c>
    </row>
    <row r="87" spans="19:21">
      <c r="S87">
        <v>85</v>
      </c>
      <c r="T87">
        <f>IF('Lab test'!AQ88&gt;0,'Lab test'!AQ88,NA())</f>
        <v>1.6087120305460052</v>
      </c>
      <c r="U87">
        <f>IF('Lab test'!AU88&gt;0,'Lab test'!AU88,NA())</f>
        <v>9.0883936512525992E-2</v>
      </c>
    </row>
    <row r="88" spans="19:21">
      <c r="S88">
        <v>86</v>
      </c>
      <c r="T88">
        <f>IF('Lab test'!AQ89&gt;0,'Lab test'!AQ89,NA())</f>
        <v>1.6274841014414423</v>
      </c>
      <c r="U88">
        <f>IF('Lab test'!AU89&gt;0,'Lab test'!AU89,NA())</f>
        <v>0.11120120750457747</v>
      </c>
    </row>
    <row r="89" spans="19:21">
      <c r="S89">
        <v>87</v>
      </c>
      <c r="T89">
        <f>IF('Lab test'!AQ90&gt;0,'Lab test'!AQ90,NA())</f>
        <v>1.1761688394095855</v>
      </c>
      <c r="U89">
        <f>IF('Lab test'!AU90&gt;0,'Lab test'!AU90,NA())</f>
        <v>0.19371481349938846</v>
      </c>
    </row>
    <row r="90" spans="19:21">
      <c r="S90">
        <v>88</v>
      </c>
      <c r="T90">
        <f>IF('Lab test'!AQ91&gt;0,'Lab test'!AQ91,NA())</f>
        <v>1.1819485736722875</v>
      </c>
      <c r="U90">
        <f>IF('Lab test'!AU91&gt;0,'Lab test'!AU91,NA())</f>
        <v>0.23212022446925107</v>
      </c>
    </row>
    <row r="91" spans="19:21">
      <c r="S91">
        <v>89</v>
      </c>
      <c r="T91">
        <f>IF('Lab test'!AQ92&gt;0,'Lab test'!AQ92,NA())</f>
        <v>1.797547968546114</v>
      </c>
      <c r="U91">
        <f>IF('Lab test'!AU92&gt;0,'Lab test'!AU92,NA())</f>
        <v>6.7548364638132477E-2</v>
      </c>
    </row>
    <row r="92" spans="19:21">
      <c r="S92">
        <v>90</v>
      </c>
      <c r="T92">
        <f>IF('Lab test'!AQ93&gt;0,'Lab test'!AQ93,NA())</f>
        <v>1.434931848879802</v>
      </c>
      <c r="U92">
        <f>IF('Lab test'!AU93&gt;0,'Lab test'!AU93,NA())</f>
        <v>0.15059868805898122</v>
      </c>
    </row>
    <row r="93" spans="19:21">
      <c r="S93">
        <v>91</v>
      </c>
      <c r="T93">
        <f>IF('Lab test'!AQ94&gt;0,'Lab test'!AQ94,NA())</f>
        <v>1.0173521762696611</v>
      </c>
      <c r="U93">
        <f>IF('Lab test'!AU94&gt;0,'Lab test'!AU94,NA())</f>
        <v>0.25200969786464456</v>
      </c>
    </row>
    <row r="94" spans="19:21">
      <c r="S94">
        <v>92</v>
      </c>
      <c r="T94">
        <f>IF('Lab test'!AQ95&gt;0,'Lab test'!AQ95,NA())</f>
        <v>2.0704078890671718</v>
      </c>
      <c r="U94">
        <f>IF('Lab test'!AU95&gt;0,'Lab test'!AU95,NA())</f>
        <v>4.0102563353280905E-2</v>
      </c>
    </row>
    <row r="95" spans="19:21">
      <c r="S95">
        <v>93</v>
      </c>
      <c r="T95">
        <f>IF('Lab test'!AQ96&gt;0,'Lab test'!AQ96,NA())</f>
        <v>1.6753614870861464</v>
      </c>
      <c r="U95">
        <f>IF('Lab test'!AU96&gt;0,'Lab test'!AU96,NA())</f>
        <v>7.263099613412656E-2</v>
      </c>
    </row>
    <row r="96" spans="19:21">
      <c r="S96">
        <v>94</v>
      </c>
      <c r="T96">
        <f>IF('Lab test'!AQ97&gt;0,'Lab test'!AQ97,NA())</f>
        <v>1.0063929462860501</v>
      </c>
      <c r="U96">
        <f>IF('Lab test'!AU97&gt;0,'Lab test'!AU97,NA())</f>
        <v>0.25295994902458802</v>
      </c>
    </row>
    <row r="97" spans="19:21">
      <c r="S97">
        <v>95</v>
      </c>
      <c r="T97">
        <f>IF('Lab test'!AQ98&gt;0,'Lab test'!AQ98,NA())</f>
        <v>1.1937683534406605</v>
      </c>
      <c r="U97">
        <f>IF('Lab test'!AU98&gt;0,'Lab test'!AU98,NA())</f>
        <v>0.13551900719384577</v>
      </c>
    </row>
    <row r="98" spans="19:21">
      <c r="S98">
        <v>96</v>
      </c>
      <c r="T98">
        <f>IF('Lab test'!AQ99&gt;0,'Lab test'!AQ99,NA())</f>
        <v>1.1956060729533817</v>
      </c>
      <c r="U98">
        <f>IF('Lab test'!AU99&gt;0,'Lab test'!AU99,NA())</f>
        <v>0.22254779560069551</v>
      </c>
    </row>
    <row r="99" spans="19:21">
      <c r="S99">
        <v>97</v>
      </c>
      <c r="T99">
        <f>IF('Lab test'!AQ100&gt;0,'Lab test'!AQ100,NA())</f>
        <v>0.96166401276432378</v>
      </c>
      <c r="U99">
        <f>IF('Lab test'!AU100&gt;0,'Lab test'!AU100,NA())</f>
        <v>0.24711013921243075</v>
      </c>
    </row>
    <row r="100" spans="19:21">
      <c r="S100">
        <v>98</v>
      </c>
      <c r="T100">
        <f>IF('Lab test'!AQ101&gt;0,'Lab test'!AQ101,NA())</f>
        <v>0.96654146085350201</v>
      </c>
      <c r="U100">
        <f>IF('Lab test'!AU101&gt;0,'Lab test'!AU101,NA())</f>
        <v>0.2362238705192902</v>
      </c>
    </row>
    <row r="101" spans="19:21">
      <c r="S101">
        <v>99</v>
      </c>
      <c r="T101">
        <f>IF('Lab test'!AQ102&gt;0,'Lab test'!AQ102,NA())</f>
        <v>0.6893698099828417</v>
      </c>
      <c r="U101">
        <f>IF('Lab test'!AU102&gt;0,'Lab test'!AU102,NA())</f>
        <v>0.68140383445120845</v>
      </c>
    </row>
    <row r="102" spans="19:21">
      <c r="S102">
        <v>100</v>
      </c>
      <c r="T102">
        <f>IF('Lab test'!AQ103&gt;0,'Lab test'!AQ103,NA())</f>
        <v>1.7039554411480944</v>
      </c>
      <c r="U102">
        <f>IF('Lab test'!AU103&gt;0,'Lab test'!AU103,NA())</f>
        <v>7.7329952997042248E-2</v>
      </c>
    </row>
    <row r="103" spans="19:21">
      <c r="S103">
        <v>101</v>
      </c>
      <c r="T103">
        <f>IF('Lab test'!AQ104&gt;0,'Lab test'!AQ104,NA())</f>
        <v>0.98745998471764174</v>
      </c>
      <c r="U103">
        <f>IF('Lab test'!AU104&gt;0,'Lab test'!AU104,NA())</f>
        <v>0.27841065362787754</v>
      </c>
    </row>
    <row r="104" spans="19:21">
      <c r="S104">
        <v>102</v>
      </c>
      <c r="T104">
        <f>IF('Lab test'!AQ105&gt;0,'Lab test'!AQ105,NA())</f>
        <v>0.98579056681248256</v>
      </c>
      <c r="U104">
        <f>IF('Lab test'!AU105&gt;0,'Lab test'!AU105,NA())</f>
        <v>0.3109239161777691</v>
      </c>
    </row>
    <row r="105" spans="19:21">
      <c r="S105">
        <v>103</v>
      </c>
      <c r="T105">
        <f>IF('Lab test'!AQ106&gt;0,'Lab test'!AQ106,NA())</f>
        <v>2.02500051528239</v>
      </c>
      <c r="U105">
        <f>IF('Lab test'!AU106&gt;0,'Lab test'!AU106,NA())</f>
        <v>4.0381948452635229E-2</v>
      </c>
    </row>
    <row r="106" spans="19:21">
      <c r="S106">
        <v>104</v>
      </c>
      <c r="T106">
        <f>IF('Lab test'!AQ107&gt;0,'Lab test'!AQ107,NA())</f>
        <v>2.0747622477646366</v>
      </c>
      <c r="U106">
        <f>IF('Lab test'!AU107&gt;0,'Lab test'!AU107,NA())</f>
        <v>4.0464136950164348E-2</v>
      </c>
    </row>
    <row r="107" spans="19:21">
      <c r="S107">
        <v>105</v>
      </c>
      <c r="T107">
        <f>IF('Lab test'!AQ108&gt;0,'Lab test'!AQ108,NA())</f>
        <v>1.6390819524780058</v>
      </c>
      <c r="U107">
        <f>IF('Lab test'!AU108&gt;0,'Lab test'!AU108,NA())</f>
        <v>6.5982759430172205E-2</v>
      </c>
    </row>
    <row r="108" spans="19:21">
      <c r="S108">
        <v>106</v>
      </c>
      <c r="T108">
        <f>IF('Lab test'!AQ109&gt;0,'Lab test'!AQ109,NA())</f>
        <v>1.6626670775048462</v>
      </c>
      <c r="U108">
        <f>IF('Lab test'!AU109&gt;0,'Lab test'!AU109,NA())</f>
        <v>5.7993904801096403E-2</v>
      </c>
    </row>
    <row r="109" spans="19:21">
      <c r="S109">
        <v>107</v>
      </c>
      <c r="T109">
        <f>IF('Lab test'!AQ110&gt;0,'Lab test'!AQ110,NA())</f>
        <v>1.1865711122003584</v>
      </c>
      <c r="U109">
        <f>IF('Lab test'!AU110&gt;0,'Lab test'!AU110,NA())</f>
        <v>0.20206531913178805</v>
      </c>
    </row>
    <row r="110" spans="19:21">
      <c r="S110">
        <v>108</v>
      </c>
      <c r="T110">
        <f>IF('Lab test'!AQ111&gt;0,'Lab test'!AQ111,NA())</f>
        <v>1.1956637441145663</v>
      </c>
      <c r="U110">
        <f>IF('Lab test'!AU111&gt;0,'Lab test'!AU111,NA())</f>
        <v>0.28203180703949543</v>
      </c>
    </row>
    <row r="111" spans="19:21">
      <c r="S111">
        <v>109</v>
      </c>
      <c r="T111">
        <f>IF('Lab test'!AQ112&gt;0,'Lab test'!AQ112,NA())</f>
        <v>1.1956637441145663</v>
      </c>
      <c r="U111">
        <f>IF('Lab test'!AU112&gt;0,'Lab test'!AU112,NA())</f>
        <v>0.26883733653472369</v>
      </c>
    </row>
    <row r="112" spans="19:21">
      <c r="S112">
        <v>110</v>
      </c>
      <c r="T112">
        <f>IF('Lab test'!AQ113&gt;0,'Lab test'!AQ113,NA())</f>
        <v>0.96005453211704062</v>
      </c>
      <c r="U112">
        <f>IF('Lab test'!AU113&gt;0,'Lab test'!AU113,NA())</f>
        <v>0.26782738586847804</v>
      </c>
    </row>
    <row r="113" spans="19:21">
      <c r="S113">
        <v>111</v>
      </c>
      <c r="T113">
        <f>IF('Lab test'!AQ114&gt;0,'Lab test'!AQ114,NA())</f>
        <v>0.68701700513324093</v>
      </c>
      <c r="U113">
        <f>IF('Lab test'!AU114&gt;0,'Lab test'!AU114,NA())</f>
        <v>0.79683095538849746</v>
      </c>
    </row>
    <row r="114" spans="19:21">
      <c r="S114">
        <v>112</v>
      </c>
      <c r="T114">
        <f>IF('Lab test'!AQ115&gt;0,'Lab test'!AQ115,NA())</f>
        <v>2.1173259057998375</v>
      </c>
      <c r="U114">
        <f>IF('Lab test'!AU115&gt;0,'Lab test'!AU115,NA())</f>
        <v>5.01683415185235E-2</v>
      </c>
    </row>
    <row r="115" spans="19:21">
      <c r="S115">
        <v>113</v>
      </c>
      <c r="T115">
        <f>IF('Lab test'!AQ116&gt;0,'Lab test'!AQ116,NA())</f>
        <v>1.6626670775048462</v>
      </c>
      <c r="U115">
        <f>IF('Lab test'!AU116&gt;0,'Lab test'!AU116,NA())</f>
        <v>7.2138759630632113E-2</v>
      </c>
    </row>
    <row r="116" spans="19:21">
      <c r="S116">
        <v>114</v>
      </c>
      <c r="T116">
        <f>IF('Lab test'!AQ117&gt;0,'Lab test'!AQ117,NA())</f>
        <v>1.1864830446485537</v>
      </c>
      <c r="U116">
        <f>IF('Lab test'!AU117&gt;0,'Lab test'!AU117,NA())</f>
        <v>0.20019202117574061</v>
      </c>
    </row>
    <row r="117" spans="19:21">
      <c r="S117">
        <v>115</v>
      </c>
      <c r="T117">
        <f>IF('Lab test'!AQ118&gt;0,'Lab test'!AQ118,NA())</f>
        <v>0.96572339768462767</v>
      </c>
      <c r="U117">
        <f>IF('Lab test'!AU118&gt;0,'Lab test'!AU118,NA())</f>
        <v>0.3032025024069207</v>
      </c>
    </row>
    <row r="118" spans="19:21">
      <c r="S118">
        <v>116</v>
      </c>
      <c r="T118">
        <f>IF('Lab test'!AQ119&gt;0,'Lab test'!AQ119,NA())</f>
        <v>0.68123879482235938</v>
      </c>
      <c r="U118">
        <f>IF('Lab test'!AU119&gt;0,'Lab test'!AU119,NA())</f>
        <v>0.82739001284851976</v>
      </c>
    </row>
    <row r="119" spans="19:21">
      <c r="S119">
        <v>117</v>
      </c>
      <c r="T119">
        <f>IF('Lab test'!AQ120&gt;0,'Lab test'!AQ120,NA())</f>
        <v>1.3927701890768724</v>
      </c>
      <c r="U119">
        <f>IF('Lab test'!AU120&gt;0,'Lab test'!AU120,NA())</f>
        <v>0.12406715888618183</v>
      </c>
    </row>
    <row r="120" spans="19:21">
      <c r="S120">
        <v>118</v>
      </c>
      <c r="T120">
        <f>IF('Lab test'!AQ121&gt;0,'Lab test'!AQ121,NA())</f>
        <v>1.3927701890768724</v>
      </c>
      <c r="U120">
        <f>IF('Lab test'!AU121&gt;0,'Lab test'!AU121,NA())</f>
        <v>0.12108954707291349</v>
      </c>
    </row>
    <row r="121" spans="19:21">
      <c r="S121">
        <v>119</v>
      </c>
      <c r="T121">
        <f>IF('Lab test'!AQ122&gt;0,'Lab test'!AQ122,NA())</f>
        <v>1.3927701890768724</v>
      </c>
      <c r="U121">
        <f>IF('Lab test'!AU122&gt;0,'Lab test'!AU122,NA())</f>
        <v>0.15582835156104441</v>
      </c>
    </row>
    <row r="122" spans="19:21">
      <c r="S122">
        <v>120</v>
      </c>
      <c r="T122">
        <f>IF('Lab test'!AQ123&gt;0,'Lab test'!AQ123,NA())</f>
        <v>1.3927701890768724</v>
      </c>
      <c r="U122">
        <f>IF('Lab test'!AU123&gt;0,'Lab test'!AU123,NA())</f>
        <v>0.14094029249470261</v>
      </c>
    </row>
    <row r="123" spans="19:21">
      <c r="S123">
        <v>121</v>
      </c>
      <c r="T123">
        <f>IF('Lab test'!AQ124&gt;0,'Lab test'!AQ124,NA())</f>
        <v>1.3927701890768724</v>
      </c>
      <c r="U123">
        <f>IF('Lab test'!AU124&gt;0,'Lab test'!AU124,NA())</f>
        <v>0.17865670879610185</v>
      </c>
    </row>
    <row r="124" spans="19:21">
      <c r="S124">
        <v>122</v>
      </c>
      <c r="T124">
        <f>IF('Lab test'!AQ125&gt;0,'Lab test'!AQ125,NA())</f>
        <v>1.3927701890768724</v>
      </c>
      <c r="U124">
        <f>IF('Lab test'!AU125&gt;0,'Lab test'!AU125,NA())</f>
        <v>0.15086566520559713</v>
      </c>
    </row>
    <row r="125" spans="19:21">
      <c r="S125">
        <v>123</v>
      </c>
      <c r="T125">
        <f>IF('Lab test'!AQ126&gt;0,'Lab test'!AQ126,NA())</f>
        <v>1.3927701890768724</v>
      </c>
      <c r="U125">
        <f>IF('Lab test'!AU126&gt;0,'Lab test'!AU126,NA())</f>
        <v>0.11811193525964513</v>
      </c>
    </row>
    <row r="126" spans="19:21">
      <c r="S126">
        <v>124</v>
      </c>
      <c r="T126">
        <f>IF('Lab test'!AQ127&gt;0,'Lab test'!AQ127,NA())</f>
        <v>1.3927701890768724</v>
      </c>
      <c r="U126">
        <f>IF('Lab test'!AU127&gt;0,'Lab test'!AU127,NA())</f>
        <v>0.12208208434400294</v>
      </c>
    </row>
    <row r="127" spans="19:21">
      <c r="S127">
        <v>125</v>
      </c>
      <c r="T127" t="e">
        <f>IF('Lab test'!AQ128&gt;0,'Lab test'!AQ128,NA())</f>
        <v>#N/A</v>
      </c>
      <c r="U127" t="e">
        <f>IF('Lab test'!AU128&gt;0,'Lab test'!AU128,NA())</f>
        <v>#N/A</v>
      </c>
    </row>
    <row r="128" spans="19:21">
      <c r="S128">
        <v>126</v>
      </c>
      <c r="T128" t="e">
        <f>IF('Lab test'!AQ129&gt;0,'Lab test'!AQ129,NA())</f>
        <v>#N/A</v>
      </c>
      <c r="U128" t="e">
        <f>IF('Lab test'!AU129&gt;0,'Lab test'!AU129,NA())</f>
        <v>#N/A</v>
      </c>
    </row>
    <row r="129" spans="19:21">
      <c r="S129">
        <v>127</v>
      </c>
      <c r="T129" t="e">
        <f>IF('Lab test'!AQ130&gt;0,'Lab test'!AQ130,NA())</f>
        <v>#N/A</v>
      </c>
      <c r="U129" t="e">
        <f>IF('Lab test'!AU130&gt;0,'Lab test'!AU130,NA())</f>
        <v>#N/A</v>
      </c>
    </row>
    <row r="130" spans="19:21">
      <c r="S130">
        <v>128</v>
      </c>
      <c r="T130" t="e">
        <f>IF('Lab test'!AQ131&gt;0,'Lab test'!AQ131,NA())</f>
        <v>#N/A</v>
      </c>
      <c r="U130" t="e">
        <f>IF('Lab test'!AU131&gt;0,'Lab test'!AU131,NA())</f>
        <v>#N/A</v>
      </c>
    </row>
    <row r="131" spans="19:21">
      <c r="S131">
        <v>129</v>
      </c>
      <c r="T131" t="e">
        <f>IF('Lab test'!AQ132&gt;0,'Lab test'!AQ132,NA())</f>
        <v>#N/A</v>
      </c>
      <c r="U131" t="e">
        <f>IF('Lab test'!AU132&gt;0,'Lab test'!AU132,NA())</f>
        <v>#N/A</v>
      </c>
    </row>
    <row r="132" spans="19:21">
      <c r="S132">
        <v>130</v>
      </c>
      <c r="T132" t="e">
        <f>IF('Lab test'!AQ133&gt;0,'Lab test'!AQ133,NA())</f>
        <v>#N/A</v>
      </c>
      <c r="U132" t="e">
        <f>IF('Lab test'!AU133&gt;0,'Lab test'!AU133,NA())</f>
        <v>#N/A</v>
      </c>
    </row>
    <row r="133" spans="19:21">
      <c r="S133">
        <v>131</v>
      </c>
      <c r="T133" t="e">
        <f>IF('Lab test'!AQ134&gt;0,'Lab test'!AQ134,NA())</f>
        <v>#N/A</v>
      </c>
      <c r="U133" t="e">
        <f>IF('Lab test'!AU134&gt;0,'Lab test'!AU134,NA())</f>
        <v>#N/A</v>
      </c>
    </row>
    <row r="134" spans="19:21">
      <c r="S134">
        <v>132</v>
      </c>
      <c r="T134" t="e">
        <f>IF('Lab test'!AQ135&gt;0,'Lab test'!AQ135,NA())</f>
        <v>#N/A</v>
      </c>
      <c r="U134" t="e">
        <f>IF('Lab test'!AU135&gt;0,'Lab test'!AU135,NA())</f>
        <v>#N/A</v>
      </c>
    </row>
    <row r="135" spans="19:21">
      <c r="S135">
        <v>133</v>
      </c>
      <c r="T135" t="e">
        <f>IF('Lab test'!AQ136&gt;0,'Lab test'!AQ136,NA())</f>
        <v>#N/A</v>
      </c>
      <c r="U135" t="e">
        <f>IF('Lab test'!AU136&gt;0,'Lab test'!AU136,NA())</f>
        <v>#N/A</v>
      </c>
    </row>
    <row r="136" spans="19:21">
      <c r="S136">
        <v>134</v>
      </c>
      <c r="T136" t="e">
        <f>IF('Lab test'!AQ137&gt;0,'Lab test'!AQ137,NA())</f>
        <v>#N/A</v>
      </c>
      <c r="U136" t="e">
        <f>IF('Lab test'!AU137&gt;0,'Lab test'!AU137,NA())</f>
        <v>#N/A</v>
      </c>
    </row>
    <row r="137" spans="19:21">
      <c r="S137">
        <v>135</v>
      </c>
      <c r="T137" t="e">
        <f>IF('Lab test'!AQ138&gt;0,'Lab test'!AQ138,NA())</f>
        <v>#N/A</v>
      </c>
      <c r="U137" t="e">
        <f>IF('Lab test'!AU138&gt;0,'Lab test'!AU138,NA())</f>
        <v>#N/A</v>
      </c>
    </row>
    <row r="138" spans="19:21">
      <c r="S138">
        <v>136</v>
      </c>
      <c r="T138" t="e">
        <f>IF('Lab test'!AQ139&gt;0,'Lab test'!AQ139,NA())</f>
        <v>#N/A</v>
      </c>
      <c r="U138" t="e">
        <f>IF('Lab test'!AU139&gt;0,'Lab test'!AU139,NA())</f>
        <v>#N/A</v>
      </c>
    </row>
    <row r="139" spans="19:21">
      <c r="S139">
        <v>137</v>
      </c>
      <c r="T139" t="e">
        <f>IF('Lab test'!AQ140&gt;0,'Lab test'!AQ140,NA())</f>
        <v>#N/A</v>
      </c>
      <c r="U139" t="e">
        <f>IF('Lab test'!AU140&gt;0,'Lab test'!AU140,NA())</f>
        <v>#N/A</v>
      </c>
    </row>
    <row r="140" spans="19:21">
      <c r="S140">
        <v>138</v>
      </c>
      <c r="T140" t="e">
        <f>IF('Lab test'!AQ141&gt;0,'Lab test'!AQ141,NA())</f>
        <v>#N/A</v>
      </c>
      <c r="U140" t="e">
        <f>IF('Lab test'!AU141&gt;0,'Lab test'!AU141,NA())</f>
        <v>#N/A</v>
      </c>
    </row>
    <row r="141" spans="19:21">
      <c r="S141">
        <v>139</v>
      </c>
      <c r="T141" t="e">
        <f>IF('Lab test'!AQ142&gt;0,'Lab test'!AQ142,NA())</f>
        <v>#N/A</v>
      </c>
      <c r="U141" t="e">
        <f>IF('Lab test'!AU142&gt;0,'Lab test'!AU142,NA())</f>
        <v>#N/A</v>
      </c>
    </row>
    <row r="142" spans="19:21">
      <c r="S142">
        <v>140</v>
      </c>
      <c r="T142" t="e">
        <f>IF('Lab test'!AQ143&gt;0,'Lab test'!AQ143,NA())</f>
        <v>#N/A</v>
      </c>
      <c r="U142" t="e">
        <f>IF('Lab test'!AU143&gt;0,'Lab test'!AU143,NA())</f>
        <v>#N/A</v>
      </c>
    </row>
    <row r="143" spans="19:21">
      <c r="S143">
        <v>141</v>
      </c>
      <c r="T143" t="e">
        <f>IF('Lab test'!AQ144&gt;0,'Lab test'!AQ144,NA())</f>
        <v>#N/A</v>
      </c>
      <c r="U143" t="e">
        <f>IF('Lab test'!AU144&gt;0,'Lab test'!AU144,NA())</f>
        <v>#N/A</v>
      </c>
    </row>
    <row r="144" spans="19:21">
      <c r="S144">
        <v>142</v>
      </c>
      <c r="T144" t="e">
        <f>IF('Lab test'!AQ145&gt;0,'Lab test'!AQ145,NA())</f>
        <v>#N/A</v>
      </c>
      <c r="U144" t="e">
        <f>IF('Lab test'!AU145&gt;0,'Lab test'!AU145,NA())</f>
        <v>#N/A</v>
      </c>
    </row>
    <row r="145" spans="19:21">
      <c r="S145">
        <v>143</v>
      </c>
      <c r="T145" t="e">
        <f>IF('Lab test'!AQ146&gt;0,'Lab test'!AQ146,NA())</f>
        <v>#N/A</v>
      </c>
      <c r="U145" t="e">
        <f>IF('Lab test'!AU146&gt;0,'Lab test'!AU146,NA())</f>
        <v>#N/A</v>
      </c>
    </row>
    <row r="146" spans="19:21">
      <c r="S146">
        <v>144</v>
      </c>
      <c r="T146" t="e">
        <f>IF('Lab test'!AQ147&gt;0,'Lab test'!AQ147,NA())</f>
        <v>#N/A</v>
      </c>
      <c r="U146" t="e">
        <f>IF('Lab test'!AU147&gt;0,'Lab test'!AU147,NA())</f>
        <v>#N/A</v>
      </c>
    </row>
    <row r="147" spans="19:21">
      <c r="S147">
        <v>145</v>
      </c>
      <c r="T147" t="e">
        <f>IF('Lab test'!AQ148&gt;0,'Lab test'!AQ148,NA())</f>
        <v>#N/A</v>
      </c>
      <c r="U147" t="e">
        <f>IF('Lab test'!AU148&gt;0,'Lab test'!AU148,NA())</f>
        <v>#N/A</v>
      </c>
    </row>
    <row r="148" spans="19:21">
      <c r="S148">
        <v>146</v>
      </c>
      <c r="T148" t="e">
        <f>IF('Lab test'!AQ149&gt;0,'Lab test'!AQ149,NA())</f>
        <v>#N/A</v>
      </c>
      <c r="U148" t="e">
        <f>IF('Lab test'!AU149&gt;0,'Lab test'!AU149,NA())</f>
        <v>#N/A</v>
      </c>
    </row>
    <row r="149" spans="19:21">
      <c r="S149">
        <v>147</v>
      </c>
      <c r="T149" t="e">
        <f>IF('Lab test'!AQ150&gt;0,'Lab test'!AQ150,NA())</f>
        <v>#N/A</v>
      </c>
      <c r="U149" t="e">
        <f>IF('Lab test'!AU150&gt;0,'Lab test'!AU150,NA())</f>
        <v>#N/A</v>
      </c>
    </row>
    <row r="150" spans="19:21">
      <c r="S150">
        <v>148</v>
      </c>
      <c r="T150" t="e">
        <f>IF('Lab test'!AQ151&gt;0,'Lab test'!AQ151,NA())</f>
        <v>#N/A</v>
      </c>
      <c r="U150" t="e">
        <f>IF('Lab test'!AU151&gt;0,'Lab test'!AU151,NA())</f>
        <v>#N/A</v>
      </c>
    </row>
    <row r="151" spans="19:21">
      <c r="S151">
        <v>149</v>
      </c>
      <c r="T151" t="e">
        <f>IF('Lab test'!AQ152&gt;0,'Lab test'!AQ152,NA())</f>
        <v>#N/A</v>
      </c>
      <c r="U151" t="e">
        <f>IF('Lab test'!AU152&gt;0,'Lab test'!AU152,NA())</f>
        <v>#N/A</v>
      </c>
    </row>
    <row r="152" spans="19:21">
      <c r="S152">
        <v>150</v>
      </c>
      <c r="T152" t="e">
        <f>IF('Lab test'!AQ153&gt;0,'Lab test'!AQ153,NA())</f>
        <v>#N/A</v>
      </c>
      <c r="U152" t="e">
        <f>IF('Lab test'!AU153&gt;0,'Lab test'!AU153,NA())</f>
        <v>#N/A</v>
      </c>
    </row>
    <row r="153" spans="19:21">
      <c r="S153">
        <v>151</v>
      </c>
      <c r="T153" t="e">
        <f>IF('Lab test'!AQ154&gt;0,'Lab test'!AQ154,NA())</f>
        <v>#N/A</v>
      </c>
      <c r="U153" t="e">
        <f>IF('Lab test'!AU154&gt;0,'Lab test'!AU154,NA())</f>
        <v>#N/A</v>
      </c>
    </row>
    <row r="154" spans="19:21">
      <c r="S154">
        <v>152</v>
      </c>
      <c r="T154" t="e">
        <f>IF('Lab test'!AQ155&gt;0,'Lab test'!AQ155,NA())</f>
        <v>#N/A</v>
      </c>
      <c r="U154" t="e">
        <f>IF('Lab test'!AU155&gt;0,'Lab test'!AU155,NA())</f>
        <v>#N/A</v>
      </c>
    </row>
    <row r="155" spans="19:21">
      <c r="S155">
        <v>153</v>
      </c>
      <c r="T155" t="e">
        <f>IF('Lab test'!AQ156&gt;0,'Lab test'!AQ156,NA())</f>
        <v>#N/A</v>
      </c>
      <c r="U155" t="e">
        <f>IF('Lab test'!AU156&gt;0,'Lab test'!AU156,NA())</f>
        <v>#N/A</v>
      </c>
    </row>
    <row r="156" spans="19:21">
      <c r="S156">
        <v>154</v>
      </c>
      <c r="T156" t="e">
        <f>IF('Lab test'!AQ157&gt;0,'Lab test'!AQ157,NA())</f>
        <v>#N/A</v>
      </c>
      <c r="U156" t="e">
        <f>IF('Lab test'!AU157&gt;0,'Lab test'!AU157,NA())</f>
        <v>#N/A</v>
      </c>
    </row>
    <row r="157" spans="19:21">
      <c r="S157">
        <v>155</v>
      </c>
      <c r="T157" t="e">
        <f>IF('Lab test'!AQ158&gt;0,'Lab test'!AQ158,NA())</f>
        <v>#N/A</v>
      </c>
      <c r="U157" t="e">
        <f>IF('Lab test'!AU158&gt;0,'Lab test'!AU158,NA())</f>
        <v>#N/A</v>
      </c>
    </row>
    <row r="158" spans="19:21">
      <c r="S158">
        <v>156</v>
      </c>
      <c r="T158" t="e">
        <f>IF('Lab test'!AQ159&gt;0,'Lab test'!AQ159,NA())</f>
        <v>#N/A</v>
      </c>
      <c r="U158" t="e">
        <f>IF('Lab test'!AU159&gt;0,'Lab test'!AU159,NA())</f>
        <v>#N/A</v>
      </c>
    </row>
    <row r="159" spans="19:21">
      <c r="S159">
        <v>157</v>
      </c>
      <c r="T159" t="e">
        <f>IF('Lab test'!AQ160&gt;0,'Lab test'!AQ160,NA())</f>
        <v>#N/A</v>
      </c>
      <c r="U159" t="e">
        <f>IF('Lab test'!AU160&gt;0,'Lab test'!AU160,NA())</f>
        <v>#N/A</v>
      </c>
    </row>
    <row r="160" spans="19:21">
      <c r="S160">
        <v>158</v>
      </c>
      <c r="T160" t="e">
        <f>IF('Lab test'!AQ161&gt;0,'Lab test'!AQ161,NA())</f>
        <v>#N/A</v>
      </c>
      <c r="U160" t="e">
        <f>IF('Lab test'!AU161&gt;0,'Lab test'!AU161,NA())</f>
        <v>#N/A</v>
      </c>
    </row>
    <row r="161" spans="19:21">
      <c r="S161">
        <v>159</v>
      </c>
      <c r="T161" t="e">
        <f>IF('Lab test'!AQ162&gt;0,'Lab test'!AQ162,NA())</f>
        <v>#N/A</v>
      </c>
      <c r="U161" t="e">
        <f>IF('Lab test'!AU162&gt;0,'Lab test'!AU162,NA())</f>
        <v>#N/A</v>
      </c>
    </row>
    <row r="162" spans="19:21">
      <c r="S162">
        <v>160</v>
      </c>
      <c r="T162" t="e">
        <f>IF('Lab test'!AQ163&gt;0,'Lab test'!AQ163,NA())</f>
        <v>#N/A</v>
      </c>
      <c r="U162" t="e">
        <f>IF('Lab test'!AU163&gt;0,'Lab test'!AU163,NA())</f>
        <v>#N/A</v>
      </c>
    </row>
    <row r="163" spans="19:21">
      <c r="S163">
        <v>161</v>
      </c>
      <c r="T163" t="e">
        <f>IF('Lab test'!AQ164&gt;0,'Lab test'!AQ164,NA())</f>
        <v>#N/A</v>
      </c>
      <c r="U163" t="e">
        <f>IF('Lab test'!AU164&gt;0,'Lab test'!AU164,NA())</f>
        <v>#N/A</v>
      </c>
    </row>
    <row r="164" spans="19:21">
      <c r="S164">
        <v>162</v>
      </c>
      <c r="T164" t="e">
        <f>IF('Lab test'!AQ165&gt;0,'Lab test'!AQ165,NA())</f>
        <v>#N/A</v>
      </c>
      <c r="U164" t="e">
        <f>IF('Lab test'!AU165&gt;0,'Lab test'!AU165,NA())</f>
        <v>#N/A</v>
      </c>
    </row>
    <row r="165" spans="19:21">
      <c r="S165">
        <v>163</v>
      </c>
      <c r="T165" t="e">
        <f>IF('Lab test'!AQ166&gt;0,'Lab test'!AQ166,NA())</f>
        <v>#N/A</v>
      </c>
      <c r="U165" t="e">
        <f>IF('Lab test'!AU166&gt;0,'Lab test'!AU166,NA())</f>
        <v>#N/A</v>
      </c>
    </row>
    <row r="166" spans="19:21">
      <c r="S166">
        <v>164</v>
      </c>
      <c r="T166" t="e">
        <f>IF('Lab test'!AQ167&gt;0,'Lab test'!AQ167,NA())</f>
        <v>#N/A</v>
      </c>
      <c r="U166" t="e">
        <f>IF('Lab test'!AU167&gt;0,'Lab test'!AU167,NA())</f>
        <v>#N/A</v>
      </c>
    </row>
    <row r="167" spans="19:21">
      <c r="S167">
        <v>165</v>
      </c>
      <c r="T167" t="e">
        <f>IF('Lab test'!AQ168&gt;0,'Lab test'!AQ168,NA())</f>
        <v>#N/A</v>
      </c>
      <c r="U167" t="e">
        <f>IF('Lab test'!AU168&gt;0,'Lab test'!AU168,NA())</f>
        <v>#N/A</v>
      </c>
    </row>
    <row r="168" spans="19:21">
      <c r="S168">
        <v>166</v>
      </c>
      <c r="T168" t="e">
        <f>IF('Lab test'!AQ169&gt;0,'Lab test'!AQ169,NA())</f>
        <v>#N/A</v>
      </c>
      <c r="U168" t="e">
        <f>IF('Lab test'!AU169&gt;0,'Lab test'!AU169,NA())</f>
        <v>#N/A</v>
      </c>
    </row>
    <row r="169" spans="19:21">
      <c r="S169">
        <v>167</v>
      </c>
      <c r="T169" t="e">
        <f>IF('Lab test'!AQ170&gt;0,'Lab test'!AQ170,NA())</f>
        <v>#N/A</v>
      </c>
      <c r="U169" t="e">
        <f>IF('Lab test'!AU170&gt;0,'Lab test'!AU170,NA())</f>
        <v>#N/A</v>
      </c>
    </row>
    <row r="170" spans="19:21">
      <c r="S170">
        <v>168</v>
      </c>
      <c r="T170" t="e">
        <f>IF('Lab test'!AQ171&gt;0,'Lab test'!AQ171,NA())</f>
        <v>#N/A</v>
      </c>
      <c r="U170" t="e">
        <f>IF('Lab test'!AU171&gt;0,'Lab test'!AU171,NA())</f>
        <v>#N/A</v>
      </c>
    </row>
    <row r="171" spans="19:21">
      <c r="S171">
        <v>169</v>
      </c>
      <c r="T171" t="e">
        <f>IF('Lab test'!AQ172&gt;0,'Lab test'!AQ172,NA())</f>
        <v>#N/A</v>
      </c>
      <c r="U171" t="e">
        <f>IF('Lab test'!AU172&gt;0,'Lab test'!AU172,NA())</f>
        <v>#N/A</v>
      </c>
    </row>
    <row r="172" spans="19:21">
      <c r="S172">
        <v>170</v>
      </c>
      <c r="T172" t="e">
        <f>IF('Lab test'!AQ173&gt;0,'Lab test'!AQ173,NA())</f>
        <v>#N/A</v>
      </c>
      <c r="U172" t="e">
        <f>IF('Lab test'!AU173&gt;0,'Lab test'!AU173,NA())</f>
        <v>#N/A</v>
      </c>
    </row>
    <row r="173" spans="19:21">
      <c r="S173">
        <v>171</v>
      </c>
      <c r="T173" t="e">
        <f>IF('Lab test'!AQ174&gt;0,'Lab test'!AQ174,NA())</f>
        <v>#N/A</v>
      </c>
      <c r="U173" t="e">
        <f>IF('Lab test'!AU174&gt;0,'Lab test'!AU174,NA())</f>
        <v>#N/A</v>
      </c>
    </row>
    <row r="174" spans="19:21">
      <c r="S174">
        <v>172</v>
      </c>
      <c r="T174" t="e">
        <f>IF('Lab test'!AQ175&gt;0,'Lab test'!AQ175,NA())</f>
        <v>#N/A</v>
      </c>
      <c r="U174" t="e">
        <f>IF('Lab test'!AU175&gt;0,'Lab test'!AU175,NA())</f>
        <v>#N/A</v>
      </c>
    </row>
    <row r="175" spans="19:21">
      <c r="S175">
        <v>173</v>
      </c>
      <c r="T175" t="e">
        <f>IF('Lab test'!AQ176&gt;0,'Lab test'!AQ176,NA())</f>
        <v>#N/A</v>
      </c>
      <c r="U175" t="e">
        <f>IF('Lab test'!AU176&gt;0,'Lab test'!AU176,NA())</f>
        <v>#N/A</v>
      </c>
    </row>
    <row r="176" spans="19:21">
      <c r="S176">
        <v>174</v>
      </c>
      <c r="T176" t="e">
        <f>IF('Lab test'!AQ177&gt;0,'Lab test'!AQ177,NA())</f>
        <v>#N/A</v>
      </c>
      <c r="U176" t="e">
        <f>IF('Lab test'!AU177&gt;0,'Lab test'!AU177,NA())</f>
        <v>#N/A</v>
      </c>
    </row>
    <row r="177" spans="19:21">
      <c r="S177">
        <v>175</v>
      </c>
      <c r="T177" t="e">
        <f>IF('Lab test'!AQ178&gt;0,'Lab test'!AQ178,NA())</f>
        <v>#N/A</v>
      </c>
      <c r="U177" t="e">
        <f>IF('Lab test'!AU178&gt;0,'Lab test'!AU178,NA())</f>
        <v>#N/A</v>
      </c>
    </row>
    <row r="178" spans="19:21">
      <c r="S178">
        <v>176</v>
      </c>
      <c r="T178" t="e">
        <f>IF('Lab test'!AQ179&gt;0,'Lab test'!AQ179,NA())</f>
        <v>#N/A</v>
      </c>
      <c r="U178" t="e">
        <f>IF('Lab test'!AU179&gt;0,'Lab test'!AU179,NA())</f>
        <v>#N/A</v>
      </c>
    </row>
    <row r="179" spans="19:21">
      <c r="S179">
        <v>177</v>
      </c>
      <c r="T179" t="e">
        <f>IF('Lab test'!AQ180&gt;0,'Lab test'!AQ180,NA())</f>
        <v>#N/A</v>
      </c>
      <c r="U179" t="e">
        <f>IF('Lab test'!AU180&gt;0,'Lab test'!AU180,NA())</f>
        <v>#N/A</v>
      </c>
    </row>
    <row r="180" spans="19:21">
      <c r="S180">
        <v>178</v>
      </c>
      <c r="T180" t="e">
        <f>IF('Lab test'!AQ181&gt;0,'Lab test'!AQ181,NA())</f>
        <v>#N/A</v>
      </c>
      <c r="U180" t="e">
        <f>IF('Lab test'!AU181&gt;0,'Lab test'!AU181,NA())</f>
        <v>#N/A</v>
      </c>
    </row>
    <row r="181" spans="19:21">
      <c r="S181">
        <v>179</v>
      </c>
      <c r="T181" t="e">
        <f>IF('Lab test'!AQ182&gt;0,'Lab test'!AQ182,NA())</f>
        <v>#N/A</v>
      </c>
      <c r="U181" t="e">
        <f>IF('Lab test'!AU182&gt;0,'Lab test'!AU182,NA())</f>
        <v>#N/A</v>
      </c>
    </row>
    <row r="182" spans="19:21">
      <c r="S182">
        <v>180</v>
      </c>
      <c r="T182" t="e">
        <f>IF('Lab test'!AQ183&gt;0,'Lab test'!AQ183,NA())</f>
        <v>#N/A</v>
      </c>
      <c r="U182" t="e">
        <f>IF('Lab test'!AU183&gt;0,'Lab test'!AU183,NA())</f>
        <v>#N/A</v>
      </c>
    </row>
    <row r="183" spans="19:21">
      <c r="S183">
        <v>181</v>
      </c>
      <c r="T183" t="e">
        <f>IF('Lab test'!AQ184&gt;0,'Lab test'!AQ184,NA())</f>
        <v>#N/A</v>
      </c>
      <c r="U183" t="e">
        <f>IF('Lab test'!AU184&gt;0,'Lab test'!AU184,NA())</f>
        <v>#N/A</v>
      </c>
    </row>
    <row r="184" spans="19:21">
      <c r="S184">
        <v>182</v>
      </c>
      <c r="T184" t="e">
        <f>IF('Lab test'!AQ185&gt;0,'Lab test'!AQ185,NA())</f>
        <v>#N/A</v>
      </c>
      <c r="U184" t="e">
        <f>IF('Lab test'!AU185&gt;0,'Lab test'!AU185,NA())</f>
        <v>#N/A</v>
      </c>
    </row>
    <row r="185" spans="19:21">
      <c r="S185">
        <v>183</v>
      </c>
      <c r="T185" t="e">
        <f>IF('Lab test'!AQ186&gt;0,'Lab test'!AQ186,NA())</f>
        <v>#N/A</v>
      </c>
      <c r="U185" t="e">
        <f>IF('Lab test'!AU186&gt;0,'Lab test'!AU186,NA())</f>
        <v>#N/A</v>
      </c>
    </row>
    <row r="186" spans="19:21">
      <c r="S186">
        <v>184</v>
      </c>
      <c r="T186" t="e">
        <f>IF('Lab test'!AQ187&gt;0,'Lab test'!AQ187,NA())</f>
        <v>#N/A</v>
      </c>
      <c r="U186" t="e">
        <f>IF('Lab test'!AU187&gt;0,'Lab test'!AU187,NA())</f>
        <v>#N/A</v>
      </c>
    </row>
    <row r="187" spans="19:21">
      <c r="S187">
        <v>185</v>
      </c>
      <c r="T187" t="e">
        <f>IF('Lab test'!AQ188&gt;0,'Lab test'!AQ188,NA())</f>
        <v>#N/A</v>
      </c>
      <c r="U187" t="e">
        <f>IF('Lab test'!AU188&gt;0,'Lab test'!AU188,NA())</f>
        <v>#N/A</v>
      </c>
    </row>
    <row r="188" spans="19:21">
      <c r="S188">
        <v>186</v>
      </c>
      <c r="T188" t="e">
        <f>IF('Lab test'!AQ189&gt;0,'Lab test'!AQ189,NA())</f>
        <v>#N/A</v>
      </c>
      <c r="U188" t="e">
        <f>IF('Lab test'!AU189&gt;0,'Lab test'!AU189,NA())</f>
        <v>#N/A</v>
      </c>
    </row>
    <row r="189" spans="19:21">
      <c r="S189">
        <v>187</v>
      </c>
      <c r="T189" t="e">
        <f>IF('Lab test'!AQ190&gt;0,'Lab test'!AQ190,NA())</f>
        <v>#N/A</v>
      </c>
      <c r="U189" t="e">
        <f>IF('Lab test'!AU190&gt;0,'Lab test'!AU190,NA())</f>
        <v>#N/A</v>
      </c>
    </row>
    <row r="190" spans="19:21">
      <c r="S190">
        <v>188</v>
      </c>
      <c r="T190" t="e">
        <f>IF('Lab test'!AQ191&gt;0,'Lab test'!AQ191,NA())</f>
        <v>#N/A</v>
      </c>
      <c r="U190" t="e">
        <f>IF('Lab test'!AU191&gt;0,'Lab test'!AU191,NA())</f>
        <v>#N/A</v>
      </c>
    </row>
    <row r="191" spans="19:21">
      <c r="S191">
        <v>189</v>
      </c>
      <c r="T191" t="e">
        <f>IF('Lab test'!AQ192&gt;0,'Lab test'!AQ192,NA())</f>
        <v>#N/A</v>
      </c>
      <c r="U191" t="e">
        <f>IF('Lab test'!AU192&gt;0,'Lab test'!AU192,NA())</f>
        <v>#N/A</v>
      </c>
    </row>
    <row r="192" spans="19:21">
      <c r="S192">
        <v>190</v>
      </c>
      <c r="T192" t="e">
        <f>IF('Lab test'!AQ193&gt;0,'Lab test'!AQ193,NA())</f>
        <v>#N/A</v>
      </c>
      <c r="U192" t="e">
        <f>IF('Lab test'!AU193&gt;0,'Lab test'!AU193,NA())</f>
        <v>#N/A</v>
      </c>
    </row>
    <row r="193" spans="19:21">
      <c r="S193">
        <v>191</v>
      </c>
      <c r="T193" t="e">
        <f>IF('Lab test'!AQ194&gt;0,'Lab test'!AQ194,NA())</f>
        <v>#N/A</v>
      </c>
      <c r="U193" t="e">
        <f>IF('Lab test'!AU194&gt;0,'Lab test'!AU194,NA())</f>
        <v>#N/A</v>
      </c>
    </row>
    <row r="194" spans="19:21">
      <c r="S194">
        <v>192</v>
      </c>
      <c r="T194" t="e">
        <f>IF('Lab test'!AQ195&gt;0,'Lab test'!AQ195,NA())</f>
        <v>#N/A</v>
      </c>
      <c r="U194" t="e">
        <f>IF('Lab test'!AU195&gt;0,'Lab test'!AU195,NA())</f>
        <v>#N/A</v>
      </c>
    </row>
    <row r="195" spans="19:21">
      <c r="S195">
        <v>193</v>
      </c>
      <c r="T195" t="e">
        <f>IF('Lab test'!AQ196&gt;0,'Lab test'!AQ196,NA())</f>
        <v>#N/A</v>
      </c>
      <c r="U195" t="e">
        <f>IF('Lab test'!AU196&gt;0,'Lab test'!AU196,NA())</f>
        <v>#N/A</v>
      </c>
    </row>
    <row r="196" spans="19:21">
      <c r="S196">
        <v>194</v>
      </c>
      <c r="T196" t="e">
        <f>IF('Lab test'!AQ197&gt;0,'Lab test'!AQ197,NA())</f>
        <v>#N/A</v>
      </c>
      <c r="U196" t="e">
        <f>IF('Lab test'!AU197&gt;0,'Lab test'!AU197,NA())</f>
        <v>#N/A</v>
      </c>
    </row>
    <row r="197" spans="19:21">
      <c r="S197">
        <v>195</v>
      </c>
      <c r="T197" t="e">
        <f>IF('Lab test'!AQ198&gt;0,'Lab test'!AQ198,NA())</f>
        <v>#N/A</v>
      </c>
      <c r="U197" t="e">
        <f>IF('Lab test'!AU198&gt;0,'Lab test'!AU198,NA())</f>
        <v>#N/A</v>
      </c>
    </row>
    <row r="198" spans="19:21">
      <c r="S198">
        <v>196</v>
      </c>
      <c r="T198" t="e">
        <f>IF('Lab test'!AQ199&gt;0,'Lab test'!AQ199,NA())</f>
        <v>#N/A</v>
      </c>
      <c r="U198" t="e">
        <f>IF('Lab test'!AU199&gt;0,'Lab test'!AU199,NA())</f>
        <v>#N/A</v>
      </c>
    </row>
    <row r="199" spans="19:21">
      <c r="S199">
        <v>197</v>
      </c>
      <c r="T199" t="e">
        <f>IF('Lab test'!AQ200&gt;0,'Lab test'!AQ200,NA())</f>
        <v>#N/A</v>
      </c>
      <c r="U199" t="e">
        <f>IF('Lab test'!AU200&gt;0,'Lab test'!AU200,NA())</f>
        <v>#N/A</v>
      </c>
    </row>
    <row r="200" spans="19:21">
      <c r="S200">
        <v>198</v>
      </c>
      <c r="T200" t="e">
        <f>IF('Lab test'!AQ201&gt;0,'Lab test'!AQ201,NA())</f>
        <v>#N/A</v>
      </c>
      <c r="U200" t="e">
        <f>IF('Lab test'!AU201&gt;0,'Lab test'!AU201,NA())</f>
        <v>#N/A</v>
      </c>
    </row>
    <row r="201" spans="19:21">
      <c r="S201">
        <v>199</v>
      </c>
      <c r="T201" t="e">
        <f>IF('Lab test'!AQ202&gt;0,'Lab test'!AQ202,NA())</f>
        <v>#N/A</v>
      </c>
      <c r="U201" t="e">
        <f>IF('Lab test'!AU202&gt;0,'Lab test'!AU202,NA())</f>
        <v>#N/A</v>
      </c>
    </row>
    <row r="202" spans="19:21">
      <c r="S202">
        <v>200</v>
      </c>
      <c r="T202" t="e">
        <f>IF('Lab test'!AQ203&gt;0,'Lab test'!AQ203,NA())</f>
        <v>#N/A</v>
      </c>
      <c r="U202" t="e">
        <f>IF('Lab test'!AU203&gt;0,'Lab test'!AU203,NA())</f>
        <v>#N/A</v>
      </c>
    </row>
    <row r="203" spans="19:21">
      <c r="S203">
        <v>201</v>
      </c>
      <c r="T203" t="e">
        <f>IF('Lab test'!AQ204&gt;0,'Lab test'!AQ204,NA())</f>
        <v>#N/A</v>
      </c>
      <c r="U203" t="e">
        <f>IF('Lab test'!AU204&gt;0,'Lab test'!AU204,NA())</f>
        <v>#N/A</v>
      </c>
    </row>
    <row r="204" spans="19:21">
      <c r="S204">
        <v>202</v>
      </c>
      <c r="T204" t="e">
        <f>IF('Lab test'!AQ205&gt;0,'Lab test'!AQ205,NA())</f>
        <v>#N/A</v>
      </c>
      <c r="U204" t="e">
        <f>IF('Lab test'!AU205&gt;0,'Lab test'!AU205,NA())</f>
        <v>#N/A</v>
      </c>
    </row>
    <row r="205" spans="19:21">
      <c r="S205">
        <v>203</v>
      </c>
      <c r="T205" t="e">
        <f>IF('Lab test'!AQ206&gt;0,'Lab test'!AQ206,NA())</f>
        <v>#N/A</v>
      </c>
      <c r="U205" t="e">
        <f>IF('Lab test'!AU206&gt;0,'Lab test'!AU206,NA())</f>
        <v>#N/A</v>
      </c>
    </row>
    <row r="206" spans="19:21">
      <c r="S206">
        <v>204</v>
      </c>
      <c r="T206" t="e">
        <f>IF('Lab test'!AQ207&gt;0,'Lab test'!AQ207,NA())</f>
        <v>#N/A</v>
      </c>
      <c r="U206" t="e">
        <f>IF('Lab test'!AU207&gt;0,'Lab test'!AU207,NA())</f>
        <v>#N/A</v>
      </c>
    </row>
    <row r="207" spans="19:21">
      <c r="S207">
        <v>205</v>
      </c>
      <c r="T207" t="e">
        <f>IF('Lab test'!AQ208&gt;0,'Lab test'!AQ208,NA())</f>
        <v>#N/A</v>
      </c>
      <c r="U207" t="e">
        <f>IF('Lab test'!AU208&gt;0,'Lab test'!AU208,NA())</f>
        <v>#N/A</v>
      </c>
    </row>
    <row r="208" spans="19:21">
      <c r="S208">
        <v>206</v>
      </c>
      <c r="T208" t="e">
        <f>IF('Lab test'!AQ209&gt;0,'Lab test'!AQ209,NA())</f>
        <v>#N/A</v>
      </c>
      <c r="U208" t="e">
        <f>IF('Lab test'!AU209&gt;0,'Lab test'!AU209,NA())</f>
        <v>#N/A</v>
      </c>
    </row>
    <row r="209" spans="19:21">
      <c r="S209">
        <v>207</v>
      </c>
      <c r="T209" t="e">
        <f>IF('Lab test'!AQ210&gt;0,'Lab test'!AQ210,NA())</f>
        <v>#N/A</v>
      </c>
      <c r="U209" t="e">
        <f>IF('Lab test'!AU210&gt;0,'Lab test'!AU210,NA())</f>
        <v>#N/A</v>
      </c>
    </row>
    <row r="210" spans="19:21">
      <c r="S210">
        <v>208</v>
      </c>
      <c r="T210" t="e">
        <f>IF('Lab test'!AQ211&gt;0,'Lab test'!AQ211,NA())</f>
        <v>#N/A</v>
      </c>
      <c r="U210" t="e">
        <f>IF('Lab test'!AU211&gt;0,'Lab test'!AU211,NA())</f>
        <v>#N/A</v>
      </c>
    </row>
    <row r="211" spans="19:21">
      <c r="S211">
        <v>209</v>
      </c>
      <c r="T211">
        <f>IF('Lab test'!AQ212&gt;0,'Lab test'!AQ212,NA())</f>
        <v>0.40625543654636848</v>
      </c>
      <c r="U211">
        <f>IF('Lab test'!AU212&gt;0,'Lab test'!AU212,NA())</f>
        <v>0.87343532684283731</v>
      </c>
    </row>
    <row r="212" spans="19:21">
      <c r="S212">
        <v>210</v>
      </c>
      <c r="T212">
        <f>IF('Lab test'!AQ213&gt;0,'Lab test'!AQ213,NA())</f>
        <v>0.31416949751362527</v>
      </c>
      <c r="U212">
        <f>IF('Lab test'!AU213&gt;0,'Lab test'!AU213,NA())</f>
        <v>1.0598052851182198</v>
      </c>
    </row>
    <row r="213" spans="19:21">
      <c r="S213">
        <v>211</v>
      </c>
      <c r="T213">
        <f>IF('Lab test'!AQ214&gt;0,'Lab test'!AQ214,NA())</f>
        <v>0.2401963411674162</v>
      </c>
      <c r="U213">
        <f>IF('Lab test'!AU214&gt;0,'Lab test'!AU214,NA())</f>
        <v>1.0681502086230876</v>
      </c>
    </row>
    <row r="214" spans="19:21">
      <c r="S214">
        <v>212</v>
      </c>
      <c r="T214">
        <f>IF('Lab test'!AQ215&gt;0,'Lab test'!AQ215,NA())</f>
        <v>0.39507927304092705</v>
      </c>
      <c r="U214">
        <f>IF('Lab test'!AU215&gt;0,'Lab test'!AU215,NA())</f>
        <v>1.1112656467315716</v>
      </c>
    </row>
    <row r="215" spans="19:21">
      <c r="S215">
        <v>213</v>
      </c>
      <c r="T215">
        <f>IF('Lab test'!AQ216&gt;0,'Lab test'!AQ216,NA())</f>
        <v>0.2927151292985638</v>
      </c>
      <c r="U215">
        <f>IF('Lab test'!AU216&gt;0,'Lab test'!AU216,NA())</f>
        <v>1.023643949930459</v>
      </c>
    </row>
    <row r="216" spans="19:21">
      <c r="S216">
        <v>214</v>
      </c>
      <c r="T216">
        <f>IF('Lab test'!AQ217&gt;0,'Lab test'!AQ217,NA())</f>
        <v>0.23883157818281384</v>
      </c>
      <c r="U216">
        <f>IF('Lab test'!AU217&gt;0,'Lab test'!AU217,NA())</f>
        <v>1.1321279554937416</v>
      </c>
    </row>
    <row r="217" spans="19:21">
      <c r="S217">
        <v>215</v>
      </c>
      <c r="T217">
        <f>IF('Lab test'!AQ218&gt;0,'Lab test'!AQ218,NA())</f>
        <v>0.39355680389791659</v>
      </c>
      <c r="U217">
        <f>IF('Lab test'!AU218&gt;0,'Lab test'!AU218,NA())</f>
        <v>1.1126564673157162</v>
      </c>
    </row>
    <row r="218" spans="19:21">
      <c r="S218">
        <v>216</v>
      </c>
      <c r="T218">
        <f>IF('Lab test'!AQ219&gt;0,'Lab test'!AQ219,NA())</f>
        <v>0.39975493014683794</v>
      </c>
      <c r="U218">
        <f>IF('Lab test'!AU219&gt;0,'Lab test'!AU219,NA())</f>
        <v>1.1293463143254521</v>
      </c>
    </row>
    <row r="219" spans="19:21">
      <c r="S219">
        <v>217</v>
      </c>
      <c r="T219">
        <f>IF('Lab test'!AQ220&gt;0,'Lab test'!AQ220,NA())</f>
        <v>0.50402735227397011</v>
      </c>
      <c r="U219">
        <f>IF('Lab test'!AU220&gt;0,'Lab test'!AU220,NA())</f>
        <v>1.0555555555555556</v>
      </c>
    </row>
    <row r="220" spans="19:21">
      <c r="S220">
        <v>218</v>
      </c>
      <c r="T220">
        <f>IF('Lab test'!AQ221&gt;0,'Lab test'!AQ221,NA())</f>
        <v>0.50304003036161793</v>
      </c>
      <c r="U220">
        <f>IF('Lab test'!AU221&gt;0,'Lab test'!AU221,NA())</f>
        <v>1.1431623931623933</v>
      </c>
    </row>
    <row r="221" spans="19:21">
      <c r="S221">
        <v>219</v>
      </c>
      <c r="T221">
        <f>IF('Lab test'!AQ222&gt;0,'Lab test'!AQ222,NA())</f>
        <v>0.50402735227397011</v>
      </c>
      <c r="U221">
        <f>IF('Lab test'!AU222&gt;0,'Lab test'!AU222,NA())</f>
        <v>0.99145299145299148</v>
      </c>
    </row>
    <row r="222" spans="19:21">
      <c r="S222">
        <v>220</v>
      </c>
      <c r="T222">
        <f>IF('Lab test'!AQ223&gt;0,'Lab test'!AQ223,NA())</f>
        <v>0.48399787786005671</v>
      </c>
      <c r="U222">
        <f>IF('Lab test'!AU223&gt;0,'Lab test'!AU223,NA())</f>
        <v>1.0256410256410258</v>
      </c>
    </row>
    <row r="223" spans="19:21">
      <c r="S223">
        <v>221</v>
      </c>
      <c r="T223">
        <f>IF('Lab test'!AQ224&gt;0,'Lab test'!AQ224,NA())</f>
        <v>0.50930790270001947</v>
      </c>
      <c r="U223">
        <f>IF('Lab test'!AU224&gt;0,'Lab test'!AU224,NA())</f>
        <v>1.0811965811965811</v>
      </c>
    </row>
    <row r="224" spans="19:21">
      <c r="S224">
        <v>222</v>
      </c>
      <c r="T224">
        <f>IF('Lab test'!AQ225&gt;0,'Lab test'!AQ225,NA())</f>
        <v>0.41480931829921625</v>
      </c>
      <c r="U224">
        <f>IF('Lab test'!AU225&gt;0,'Lab test'!AU225,NA())</f>
        <v>1.1858974358974359</v>
      </c>
    </row>
    <row r="225" spans="19:21">
      <c r="S225">
        <v>223</v>
      </c>
      <c r="T225">
        <f>IF('Lab test'!AQ226&gt;0,'Lab test'!AQ226,NA())</f>
        <v>0.58643390838255893</v>
      </c>
      <c r="U225">
        <f>IF('Lab test'!AU226&gt;0,'Lab test'!AU226,NA())</f>
        <v>0.86324786324786329</v>
      </c>
    </row>
    <row r="226" spans="19:21">
      <c r="S226">
        <v>224</v>
      </c>
      <c r="T226">
        <f>IF('Lab test'!AQ227&gt;0,'Lab test'!AQ227,NA())</f>
        <v>0.4177379126351709</v>
      </c>
      <c r="U226">
        <f>IF('Lab test'!AU227&gt;0,'Lab test'!AU227,NA())</f>
        <v>1.1239316239316239</v>
      </c>
    </row>
    <row r="227" spans="19:21">
      <c r="S227">
        <v>225</v>
      </c>
      <c r="T227">
        <f>IF('Lab test'!AQ228&gt;0,'Lab test'!AQ228,NA())</f>
        <v>0.59277391867351714</v>
      </c>
      <c r="U227">
        <f>IF('Lab test'!AU228&gt;0,'Lab test'!AU228,NA())</f>
        <v>0.93376068376068388</v>
      </c>
    </row>
    <row r="228" spans="19:21">
      <c r="S228">
        <v>226</v>
      </c>
      <c r="T228">
        <f>IF('Lab test'!AQ229&gt;0,'Lab test'!AQ229,NA())</f>
        <v>0.61489355819879721</v>
      </c>
      <c r="U228">
        <f>IF('Lab test'!AU229&gt;0,'Lab test'!AU229,NA())</f>
        <v>1.1794871794871795</v>
      </c>
    </row>
    <row r="229" spans="19:21">
      <c r="S229">
        <v>227</v>
      </c>
      <c r="T229">
        <f>IF('Lab test'!AQ230&gt;0,'Lab test'!AQ230,NA())</f>
        <v>0.59116965614151651</v>
      </c>
      <c r="U229">
        <f>IF('Lab test'!AU230&gt;0,'Lab test'!AU230,NA())</f>
        <v>0.97222222222222221</v>
      </c>
    </row>
    <row r="230" spans="19:21">
      <c r="S230">
        <v>228</v>
      </c>
      <c r="T230">
        <f>IF('Lab test'!AQ231&gt;0,'Lab test'!AQ231,NA())</f>
        <v>0.5947977344575035</v>
      </c>
      <c r="U230">
        <f>IF('Lab test'!AU231&gt;0,'Lab test'!AU231,NA())</f>
        <v>0.76923076923076927</v>
      </c>
    </row>
    <row r="231" spans="19:21">
      <c r="S231">
        <v>229</v>
      </c>
      <c r="T231">
        <f>IF('Lab test'!AQ232&gt;0,'Lab test'!AQ232,NA())</f>
        <v>0.60566633621786048</v>
      </c>
      <c r="U231">
        <f>IF('Lab test'!AU232&gt;0,'Lab test'!AU232,NA())</f>
        <v>1.1538461538461537</v>
      </c>
    </row>
    <row r="232" spans="19:21">
      <c r="S232">
        <v>230</v>
      </c>
      <c r="T232">
        <f>IF('Lab test'!AQ233&gt;0,'Lab test'!AQ233,NA())</f>
        <v>0.61044741485387466</v>
      </c>
      <c r="U232">
        <f>IF('Lab test'!AU233&gt;0,'Lab test'!AU233,NA())</f>
        <v>1.0961538461538463</v>
      </c>
    </row>
    <row r="233" spans="19:21">
      <c r="S233">
        <v>231</v>
      </c>
      <c r="T233">
        <f>IF('Lab test'!AQ234&gt;0,'Lab test'!AQ234,NA())</f>
        <v>0.60352994036777496</v>
      </c>
      <c r="U233">
        <f>IF('Lab test'!AU234&gt;0,'Lab test'!AU234,NA())</f>
        <v>1.1239316239316239</v>
      </c>
    </row>
    <row r="234" spans="19:21">
      <c r="S234">
        <v>232</v>
      </c>
      <c r="T234">
        <f>IF('Lab test'!AQ235&gt;0,'Lab test'!AQ235,NA())</f>
        <v>0.59932410557114979</v>
      </c>
      <c r="U234">
        <f>IF('Lab test'!AU235&gt;0,'Lab test'!AU235,NA())</f>
        <v>1.0811965811965811</v>
      </c>
    </row>
    <row r="235" spans="19:21">
      <c r="S235">
        <v>233</v>
      </c>
      <c r="T235">
        <f>IF('Lab test'!AQ236&gt;0,'Lab test'!AQ236,NA())</f>
        <v>0.59932410557114979</v>
      </c>
      <c r="U235">
        <f>IF('Lab test'!AU236&gt;0,'Lab test'!AU236,NA())</f>
        <v>0.84615384615384615</v>
      </c>
    </row>
    <row r="236" spans="19:21">
      <c r="S236">
        <v>234</v>
      </c>
      <c r="T236">
        <f>IF('Lab test'!AQ237&gt;0,'Lab test'!AQ237,NA())</f>
        <v>1.0814268940158085</v>
      </c>
      <c r="U236">
        <f>IF('Lab test'!AU237&gt;0,'Lab test'!AU237,NA())</f>
        <v>0.34265734265734266</v>
      </c>
    </row>
    <row r="237" spans="19:21">
      <c r="S237">
        <v>235</v>
      </c>
      <c r="T237">
        <f>IF('Lab test'!AQ238&gt;0,'Lab test'!AQ238,NA())</f>
        <v>0.70990369982036505</v>
      </c>
      <c r="U237">
        <f>IF('Lab test'!AU238&gt;0,'Lab test'!AU238,NA())</f>
        <v>0.73193473193473202</v>
      </c>
    </row>
    <row r="238" spans="19:21">
      <c r="S238">
        <v>236</v>
      </c>
      <c r="T238">
        <f>IF('Lab test'!AQ239&gt;0,'Lab test'!AQ239,NA())</f>
        <v>0.89815024903872442</v>
      </c>
      <c r="U238">
        <f>IF('Lab test'!AU239&gt;0,'Lab test'!AU239,NA())</f>
        <v>0.53613053613053618</v>
      </c>
    </row>
    <row r="239" spans="19:21">
      <c r="S239">
        <v>237</v>
      </c>
      <c r="T239">
        <f>IF('Lab test'!AQ240&gt;0,'Lab test'!AQ240,NA())</f>
        <v>1.0308759098857585</v>
      </c>
      <c r="U239">
        <f>IF('Lab test'!AU240&gt;0,'Lab test'!AU240,NA())</f>
        <v>0.51515151515151514</v>
      </c>
    </row>
    <row r="240" spans="19:21">
      <c r="S240">
        <v>238</v>
      </c>
      <c r="T240">
        <f>IF('Lab test'!AQ241&gt;0,'Lab test'!AQ241,NA())</f>
        <v>1.3659495552588206</v>
      </c>
      <c r="U240">
        <f>IF('Lab test'!AU241&gt;0,'Lab test'!AU241,NA())</f>
        <v>0.18671328671328674</v>
      </c>
    </row>
    <row r="241" spans="19:21">
      <c r="S241">
        <v>239</v>
      </c>
      <c r="T241">
        <f>IF('Lab test'!AQ242&gt;0,'Lab test'!AQ242,NA())</f>
        <v>1.1167148032767167</v>
      </c>
      <c r="U241">
        <f>IF('Lab test'!AU242&gt;0,'Lab test'!AU242,NA())</f>
        <v>0.3867132867132867</v>
      </c>
    </row>
    <row r="242" spans="19:21">
      <c r="S242">
        <v>240</v>
      </c>
      <c r="T242">
        <f>IF('Lab test'!AQ243&gt;0,'Lab test'!AQ243,NA())</f>
        <v>0.91179381874681753</v>
      </c>
      <c r="U242">
        <f>IF('Lab test'!AU243&gt;0,'Lab test'!AU243,NA())</f>
        <v>0.50815850815850827</v>
      </c>
    </row>
    <row r="243" spans="19:21">
      <c r="S243">
        <v>241</v>
      </c>
      <c r="T243">
        <f>IF('Lab test'!AQ244&gt;0,'Lab test'!AQ244,NA())</f>
        <v>0.75836074384012342</v>
      </c>
      <c r="U243">
        <f>IF('Lab test'!AU244&gt;0,'Lab test'!AU244,NA())</f>
        <v>0.70629370629370636</v>
      </c>
    </row>
    <row r="244" spans="19:21">
      <c r="S244">
        <v>242</v>
      </c>
      <c r="T244">
        <f>IF('Lab test'!AQ245&gt;0,'Lab test'!AQ245,NA())</f>
        <v>0.58110549445608406</v>
      </c>
      <c r="U244">
        <f>IF('Lab test'!AU245&gt;0,'Lab test'!AU245,NA())</f>
        <v>0.68128778293265846</v>
      </c>
    </row>
    <row r="245" spans="19:21">
      <c r="S245">
        <v>243</v>
      </c>
      <c r="T245">
        <f>IF('Lab test'!AQ246&gt;0,'Lab test'!AQ246,NA())</f>
        <v>0.59900842923715092</v>
      </c>
      <c r="U245">
        <f>IF('Lab test'!AU246&gt;0,'Lab test'!AU246,NA())</f>
        <v>0.65484273243730073</v>
      </c>
    </row>
    <row r="246" spans="19:21">
      <c r="S246">
        <v>244</v>
      </c>
      <c r="T246">
        <f>IF('Lab test'!AQ247&gt;0,'Lab test'!AQ247,NA())</f>
        <v>0.58974292048580867</v>
      </c>
      <c r="U246">
        <f>IF('Lab test'!AU247&gt;0,'Lab test'!AU247,NA())</f>
        <v>0.69217143008222515</v>
      </c>
    </row>
    <row r="247" spans="19:21">
      <c r="S247">
        <v>245</v>
      </c>
      <c r="T247">
        <f>IF('Lab test'!AQ248&gt;0,'Lab test'!AQ248,NA())</f>
        <v>0.58638724069742743</v>
      </c>
      <c r="U247">
        <f>IF('Lab test'!AU248&gt;0,'Lab test'!AU248,NA())</f>
        <v>0.7605985037406483</v>
      </c>
    </row>
    <row r="248" spans="19:21">
      <c r="S248">
        <v>246</v>
      </c>
      <c r="T248">
        <f>IF('Lab test'!AQ249&gt;0,'Lab test'!AQ249,NA())</f>
        <v>0.50598503249121529</v>
      </c>
      <c r="U248">
        <f>IF('Lab test'!AU249&gt;0,'Lab test'!AU249,NA())</f>
        <v>0.6097560975609756</v>
      </c>
    </row>
    <row r="249" spans="19:21">
      <c r="S249">
        <v>247</v>
      </c>
      <c r="T249">
        <f>IF('Lab test'!AQ250&gt;0,'Lab test'!AQ250,NA())</f>
        <v>0.53550017609716916</v>
      </c>
      <c r="U249">
        <f>IF('Lab test'!AU250&gt;0,'Lab test'!AU250,NA())</f>
        <v>0.68518518518518523</v>
      </c>
    </row>
    <row r="250" spans="19:21">
      <c r="S250">
        <v>248</v>
      </c>
      <c r="T250">
        <f>IF('Lab test'!AQ251&gt;0,'Lab test'!AQ251,NA())</f>
        <v>0.60720317283264569</v>
      </c>
      <c r="U250">
        <f>IF('Lab test'!AU251&gt;0,'Lab test'!AU251,NA())</f>
        <v>0.5138427464008859</v>
      </c>
    </row>
    <row r="251" spans="19:21">
      <c r="S251">
        <v>249</v>
      </c>
      <c r="T251">
        <f>IF('Lab test'!AQ252&gt;0,'Lab test'!AQ252,NA())</f>
        <v>0.5481726393695614</v>
      </c>
      <c r="U251">
        <f>IF('Lab test'!AU252&gt;0,'Lab test'!AU252,NA())</f>
        <v>0.61154855643044614</v>
      </c>
    </row>
    <row r="252" spans="19:21">
      <c r="S252">
        <v>250</v>
      </c>
      <c r="T252">
        <f>IF('Lab test'!AQ253&gt;0,'Lab test'!AQ253,NA())</f>
        <v>0.49430718136621271</v>
      </c>
      <c r="U252">
        <f>IF('Lab test'!AU253&gt;0,'Lab test'!AU253,NA())</f>
        <v>0.40704500978473579</v>
      </c>
    </row>
    <row r="253" spans="19:21">
      <c r="S253">
        <v>251</v>
      </c>
      <c r="T253">
        <f>IF('Lab test'!AQ254&gt;0,'Lab test'!AQ254,NA())</f>
        <v>0.49955414383058894</v>
      </c>
      <c r="U253">
        <f>IF('Lab test'!AU254&gt;0,'Lab test'!AU254,NA())</f>
        <v>0.5471349353049908</v>
      </c>
    </row>
    <row r="254" spans="19:21">
      <c r="S254">
        <v>252</v>
      </c>
      <c r="T254">
        <f>IF('Lab test'!AQ255&gt;0,'Lab test'!AQ255,NA())</f>
        <v>0.69888264642922793</v>
      </c>
      <c r="U254">
        <f>IF('Lab test'!AU255&gt;0,'Lab test'!AU255,NA())</f>
        <v>0.33493530499075785</v>
      </c>
    </row>
    <row r="255" spans="19:21">
      <c r="S255">
        <v>253</v>
      </c>
      <c r="T255">
        <f>IF('Lab test'!AQ256&gt;0,'Lab test'!AQ256,NA())</f>
        <v>0.91984304452712873</v>
      </c>
      <c r="U255">
        <f>IF('Lab test'!AU256&gt;0,'Lab test'!AU256,NA())</f>
        <v>0.30219224283305229</v>
      </c>
    </row>
    <row r="256" spans="19:21">
      <c r="S256">
        <v>254</v>
      </c>
      <c r="T256">
        <f>IF('Lab test'!AQ257&gt;0,'Lab test'!AQ257,NA())</f>
        <v>0.89586112181004085</v>
      </c>
      <c r="U256">
        <f>IF('Lab test'!AU257&gt;0,'Lab test'!AU257,NA())</f>
        <v>0.31406491499227207</v>
      </c>
    </row>
    <row r="257" spans="19:21">
      <c r="S257">
        <v>255</v>
      </c>
      <c r="T257">
        <f>IF('Lab test'!AQ258&gt;0,'Lab test'!AQ258,NA())</f>
        <v>0.57382397712795674</v>
      </c>
      <c r="U257">
        <f>IF('Lab test'!AU258&gt;0,'Lab test'!AU258,NA())</f>
        <v>0.67334167709637049</v>
      </c>
    </row>
    <row r="258" spans="19:21">
      <c r="S258">
        <v>256</v>
      </c>
      <c r="T258">
        <f>IF('Lab test'!AQ259&gt;0,'Lab test'!AQ259,NA())</f>
        <v>0.58169037332592877</v>
      </c>
      <c r="U258">
        <f>IF('Lab test'!AU259&gt;0,'Lab test'!AU259,NA())</f>
        <v>0.6707317073170731</v>
      </c>
    </row>
    <row r="259" spans="19:21">
      <c r="S259">
        <v>257</v>
      </c>
      <c r="T259">
        <f>IF('Lab test'!AQ260&gt;0,'Lab test'!AQ260,NA())</f>
        <v>0.95391112701722314</v>
      </c>
      <c r="U259">
        <f>IF('Lab test'!AU260&gt;0,'Lab test'!AU260,NA())</f>
        <v>0.23117408906882592</v>
      </c>
    </row>
    <row r="260" spans="19:21">
      <c r="S260">
        <v>258</v>
      </c>
      <c r="T260">
        <f>IF('Lab test'!AQ261&gt;0,'Lab test'!AQ261,NA())</f>
        <v>0.94451275863421391</v>
      </c>
      <c r="U260">
        <f>IF('Lab test'!AU261&gt;0,'Lab test'!AU261,NA())</f>
        <v>0.23238866396761132</v>
      </c>
    </row>
    <row r="261" spans="19:21">
      <c r="S261">
        <v>259</v>
      </c>
      <c r="T261">
        <f>IF('Lab test'!AQ262&gt;0,'Lab test'!AQ262,NA())</f>
        <v>1.1459357224888604</v>
      </c>
      <c r="U261">
        <f>IF('Lab test'!AU262&gt;0,'Lab test'!AU262,NA())</f>
        <v>0.15355285961871751</v>
      </c>
    </row>
    <row r="262" spans="19:21">
      <c r="S262">
        <v>260</v>
      </c>
      <c r="T262">
        <f>IF('Lab test'!AQ263&gt;0,'Lab test'!AQ263,NA())</f>
        <v>1.0904258213959641</v>
      </c>
      <c r="U262">
        <f>IF('Lab test'!AU263&gt;0,'Lab test'!AU263,NA())</f>
        <v>0.16800785083415112</v>
      </c>
    </row>
    <row r="263" spans="19:21">
      <c r="S263">
        <v>261</v>
      </c>
      <c r="T263">
        <f>IF('Lab test'!AQ264&gt;0,'Lab test'!AQ264,NA())</f>
        <v>1.3013240428093602</v>
      </c>
      <c r="U263">
        <f>IF('Lab test'!AU264&gt;0,'Lab test'!AU264,NA())</f>
        <v>0.13135459425323651</v>
      </c>
    </row>
    <row r="264" spans="19:21">
      <c r="S264">
        <v>262</v>
      </c>
      <c r="T264">
        <f>IF('Lab test'!AQ265&gt;0,'Lab test'!AQ265,NA())</f>
        <v>1.5794827845583594</v>
      </c>
      <c r="U264">
        <f>IF('Lab test'!AU265&gt;0,'Lab test'!AU265,NA())</f>
        <v>8.4590163934426227E-2</v>
      </c>
    </row>
    <row r="265" spans="19:21">
      <c r="S265">
        <v>263</v>
      </c>
      <c r="T265">
        <f>IF('Lab test'!AQ266&gt;0,'Lab test'!AQ266,NA())</f>
        <v>0.99045856852064684</v>
      </c>
      <c r="U265">
        <f>IF('Lab test'!AU266&gt;0,'Lab test'!AU266,NA())</f>
        <v>0.71045576407506705</v>
      </c>
    </row>
    <row r="266" spans="19:21">
      <c r="S266">
        <v>264</v>
      </c>
      <c r="T266">
        <f>IF('Lab test'!AQ267&gt;0,'Lab test'!AQ267,NA())</f>
        <v>1.0127778652551334</v>
      </c>
      <c r="U266">
        <f>IF('Lab test'!AU267&gt;0,'Lab test'!AU267,NA())</f>
        <v>0.54358974358974355</v>
      </c>
    </row>
    <row r="267" spans="19:21">
      <c r="S267">
        <v>265</v>
      </c>
      <c r="T267">
        <f>IF('Lab test'!AQ268&gt;0,'Lab test'!AQ268,NA())</f>
        <v>1.0409515245154519</v>
      </c>
      <c r="U267">
        <f>IF('Lab test'!AU268&gt;0,'Lab test'!AU268,NA())</f>
        <v>0.55024271844660189</v>
      </c>
    </row>
    <row r="268" spans="19:21">
      <c r="S268">
        <v>266</v>
      </c>
      <c r="T268">
        <f>IF('Lab test'!AQ269&gt;0,'Lab test'!AQ269,NA())</f>
        <v>1.0409515245154519</v>
      </c>
      <c r="U268">
        <f>IF('Lab test'!AU269&gt;0,'Lab test'!AU269,NA())</f>
        <v>0.56966019417475722</v>
      </c>
    </row>
    <row r="269" spans="19:21">
      <c r="S269">
        <v>267</v>
      </c>
      <c r="T269">
        <f>IF('Lab test'!AQ270&gt;0,'Lab test'!AQ270,NA())</f>
        <v>0.70266527472493745</v>
      </c>
      <c r="U269">
        <f>IF('Lab test'!AU270&gt;0,'Lab test'!AU270,NA())</f>
        <v>0.97750000000000004</v>
      </c>
    </row>
    <row r="270" spans="19:21">
      <c r="S270">
        <v>268</v>
      </c>
      <c r="T270">
        <f>IF('Lab test'!AQ271&gt;0,'Lab test'!AQ271,NA())</f>
        <v>0.71034490471292777</v>
      </c>
      <c r="U270">
        <f>IF('Lab test'!AU271&gt;0,'Lab test'!AU271,NA())</f>
        <v>1.0875000000000001</v>
      </c>
    </row>
    <row r="271" spans="19:21">
      <c r="S271">
        <v>269</v>
      </c>
      <c r="T271">
        <f>IF('Lab test'!AQ272&gt;0,'Lab test'!AQ272,NA())</f>
        <v>0.70647378649404347</v>
      </c>
      <c r="U271">
        <f>IF('Lab test'!AU272&gt;0,'Lab test'!AU272,NA())</f>
        <v>1.0875000000000001</v>
      </c>
    </row>
    <row r="272" spans="19:21">
      <c r="S272">
        <v>270</v>
      </c>
      <c r="T272">
        <f>IF('Lab test'!AQ273&gt;0,'Lab test'!AQ273,NA())</f>
        <v>0.85920099924923787</v>
      </c>
      <c r="U272">
        <f>IF('Lab test'!AU273&gt;0,'Lab test'!AU273,NA())</f>
        <v>0.75625000000000009</v>
      </c>
    </row>
    <row r="273" spans="19:21">
      <c r="S273">
        <v>271</v>
      </c>
      <c r="T273">
        <f>IF('Lab test'!AQ274&gt;0,'Lab test'!AQ274,NA())</f>
        <v>0.87046969048388478</v>
      </c>
      <c r="U273">
        <f>IF('Lab test'!AU274&gt;0,'Lab test'!AU274,NA())</f>
        <v>0.70250000000000012</v>
      </c>
    </row>
    <row r="274" spans="19:21">
      <c r="S274">
        <v>272</v>
      </c>
      <c r="T274">
        <f>IF('Lab test'!AQ275&gt;0,'Lab test'!AQ275,NA())</f>
        <v>1.0935140151648302</v>
      </c>
      <c r="U274">
        <f>IF('Lab test'!AU275&gt;0,'Lab test'!AU275,NA())</f>
        <v>0.42125000000000007</v>
      </c>
    </row>
    <row r="275" spans="19:21">
      <c r="S275">
        <v>273</v>
      </c>
      <c r="T275">
        <f>IF('Lab test'!AQ276&gt;0,'Lab test'!AQ276,NA())</f>
        <v>1.1140100369810504</v>
      </c>
      <c r="U275">
        <f>IF('Lab test'!AU276&gt;0,'Lab test'!AU276,NA())</f>
        <v>0.4875000000000001</v>
      </c>
    </row>
    <row r="276" spans="19:21">
      <c r="S276">
        <v>274</v>
      </c>
      <c r="T276">
        <f>IF('Lab test'!AQ277&gt;0,'Lab test'!AQ277,NA())</f>
        <v>1.4857929670636589</v>
      </c>
      <c r="U276">
        <f>IF('Lab test'!AU277&gt;0,'Lab test'!AU277,NA())</f>
        <v>0.24375000000000005</v>
      </c>
    </row>
    <row r="277" spans="19:21">
      <c r="S277">
        <v>275</v>
      </c>
      <c r="T277">
        <f>IF('Lab test'!AQ278&gt;0,'Lab test'!AQ278,NA())</f>
        <v>1.5306007792776573</v>
      </c>
      <c r="U277">
        <f>IF('Lab test'!AU278&gt;0,'Lab test'!AU278,NA())</f>
        <v>0.16900000000000001</v>
      </c>
    </row>
    <row r="278" spans="19:21">
      <c r="S278">
        <v>276</v>
      </c>
      <c r="T278">
        <f>IF('Lab test'!AQ279&gt;0,'Lab test'!AQ279,NA())</f>
        <v>0.25238436792586039</v>
      </c>
      <c r="U278">
        <f>IF('Lab test'!AU279&gt;0,'Lab test'!AU279,NA())</f>
        <v>1.0342644271697803</v>
      </c>
    </row>
    <row r="279" spans="19:21">
      <c r="S279">
        <v>277</v>
      </c>
      <c r="T279">
        <f>IF('Lab test'!AQ280&gt;0,'Lab test'!AQ280,NA())</f>
        <v>0.30796514017858079</v>
      </c>
      <c r="U279">
        <f>IF('Lab test'!AU280&gt;0,'Lab test'!AU280,NA())</f>
        <v>1.024778471330511</v>
      </c>
    </row>
    <row r="280" spans="19:21">
      <c r="S280">
        <v>278</v>
      </c>
      <c r="T280">
        <f>IF('Lab test'!AQ281&gt;0,'Lab test'!AQ281,NA())</f>
        <v>0.35736361033099262</v>
      </c>
      <c r="U280">
        <f>IF('Lab test'!AU281&gt;0,'Lab test'!AU281,NA())</f>
        <v>0.84554380320268663</v>
      </c>
    </row>
    <row r="281" spans="19:21">
      <c r="S281">
        <v>279</v>
      </c>
      <c r="T281">
        <f>IF('Lab test'!AQ282&gt;0,'Lab test'!AQ282,NA())</f>
        <v>0.40071807098306678</v>
      </c>
      <c r="U281">
        <f>IF('Lab test'!AU282&gt;0,'Lab test'!AU282,NA())</f>
        <v>0.83163899996276169</v>
      </c>
    </row>
    <row r="282" spans="19:21">
      <c r="S282">
        <v>280</v>
      </c>
      <c r="T282">
        <f>IF('Lab test'!AQ283&gt;0,'Lab test'!AQ283,NA())</f>
        <v>0.35736361033099262</v>
      </c>
      <c r="U282">
        <f>IF('Lab test'!AU283&gt;0,'Lab test'!AU283,NA())</f>
        <v>0.83813195359536996</v>
      </c>
    </row>
    <row r="283" spans="19:21">
      <c r="S283">
        <v>281</v>
      </c>
      <c r="T283">
        <f>IF('Lab test'!AQ284&gt;0,'Lab test'!AQ284,NA())</f>
        <v>0.34203951467201471</v>
      </c>
      <c r="U283">
        <f>IF('Lab test'!AU284&gt;0,'Lab test'!AU284,NA())</f>
        <v>1.1111413228196587</v>
      </c>
    </row>
    <row r="284" spans="19:21">
      <c r="S284">
        <v>282</v>
      </c>
      <c r="T284">
        <f>IF('Lab test'!AQ285&gt;0,'Lab test'!AQ285,NA())</f>
        <v>0.31359465510973783</v>
      </c>
      <c r="U284">
        <f>IF('Lab test'!AU285&gt;0,'Lab test'!AU285,NA())</f>
        <v>1.1230610952833175</v>
      </c>
    </row>
    <row r="285" spans="19:21">
      <c r="S285">
        <v>283</v>
      </c>
      <c r="T285">
        <f>IF('Lab test'!AQ286&gt;0,'Lab test'!AQ286,NA())</f>
        <v>0.27981004185148683</v>
      </c>
      <c r="U285">
        <f>IF('Lab test'!AU286&gt;0,'Lab test'!AU286,NA())</f>
        <v>1.1800406797454237</v>
      </c>
    </row>
    <row r="286" spans="19:21">
      <c r="S286">
        <v>284</v>
      </c>
      <c r="T286">
        <f>IF('Lab test'!AQ287&gt;0,'Lab test'!AQ287,NA())</f>
        <v>0.26184499351775142</v>
      </c>
      <c r="U286">
        <f>IF('Lab test'!AU287&gt;0,'Lab test'!AU287,NA())</f>
        <v>1.143095430651031</v>
      </c>
    </row>
    <row r="287" spans="19:21">
      <c r="S287">
        <v>285</v>
      </c>
      <c r="T287">
        <f>IF('Lab test'!AQ288&gt;0,'Lab test'!AQ288,NA())</f>
        <v>0.23040151980371659</v>
      </c>
      <c r="U287">
        <f>IF('Lab test'!AU288&gt;0,'Lab test'!AU288,NA())</f>
        <v>1.1419999999999999</v>
      </c>
    </row>
    <row r="288" spans="19:21">
      <c r="S288">
        <v>286</v>
      </c>
      <c r="T288">
        <f>IF('Lab test'!AQ289&gt;0,'Lab test'!AQ289,NA())</f>
        <v>0.20382831493677156</v>
      </c>
      <c r="U288">
        <f>IF('Lab test'!AU289&gt;0,'Lab test'!AU289,NA())</f>
        <v>1.1741194104421684</v>
      </c>
    </row>
    <row r="289" spans="19:21">
      <c r="S289">
        <v>287</v>
      </c>
      <c r="T289">
        <f>IF('Lab test'!AQ290&gt;0,'Lab test'!AQ290,NA())</f>
        <v>0.2502385249863856</v>
      </c>
      <c r="U289">
        <f>IF('Lab test'!AU290&gt;0,'Lab test'!AU290,NA())</f>
        <v>1.1052631578947369</v>
      </c>
    </row>
    <row r="290" spans="19:21">
      <c r="S290">
        <v>288</v>
      </c>
      <c r="T290" t="e">
        <f>IF('Lab test'!AQ291&gt;0,'Lab test'!AQ291,NA())</f>
        <v>#N/A</v>
      </c>
      <c r="U290" t="e">
        <f>IF('Lab test'!AU291&gt;0,'Lab test'!AU291,NA())</f>
        <v>#N/A</v>
      </c>
    </row>
    <row r="291" spans="19:21">
      <c r="S291">
        <v>289</v>
      </c>
      <c r="T291" t="e">
        <f>IF('Lab test'!AQ292&gt;0,'Lab test'!AQ292,NA())</f>
        <v>#N/A</v>
      </c>
      <c r="U291" t="e">
        <f>IF('Lab test'!AU292&gt;0,'Lab test'!AU292,NA())</f>
        <v>#N/A</v>
      </c>
    </row>
    <row r="292" spans="19:21">
      <c r="S292">
        <v>290</v>
      </c>
      <c r="T292">
        <f>IF('Lab test'!AQ293&gt;0,'Lab test'!AQ293,NA())</f>
        <v>0.2889505595250092</v>
      </c>
      <c r="U292">
        <f>IF('Lab test'!AU293&gt;0,'Lab test'!AU293,NA())</f>
        <v>0.9</v>
      </c>
    </row>
    <row r="293" spans="19:21">
      <c r="S293">
        <v>291</v>
      </c>
      <c r="T293" t="e">
        <f>IF('Lab test'!AQ294&gt;0,'Lab test'!AQ294,NA())</f>
        <v>#N/A</v>
      </c>
      <c r="U293" t="e">
        <f>IF('Lab test'!AU294&gt;0,'Lab test'!AU294,NA())</f>
        <v>#N/A</v>
      </c>
    </row>
    <row r="294" spans="19:21">
      <c r="S294">
        <v>292</v>
      </c>
      <c r="T294" t="e">
        <f>IF('Lab test'!AQ295&gt;0,'Lab test'!AQ295,NA())</f>
        <v>#N/A</v>
      </c>
      <c r="U294" t="e">
        <f>IF('Lab test'!AU295&gt;0,'Lab test'!AU295,NA())</f>
        <v>#N/A</v>
      </c>
    </row>
    <row r="295" spans="19:21">
      <c r="S295">
        <v>293</v>
      </c>
      <c r="T295" t="e">
        <f>IF('Lab test'!AQ296&gt;0,'Lab test'!AQ296,NA())</f>
        <v>#N/A</v>
      </c>
      <c r="U295" t="e">
        <f>IF('Lab test'!AU296&gt;0,'Lab test'!AU296,NA())</f>
        <v>#N/A</v>
      </c>
    </row>
    <row r="296" spans="19:21">
      <c r="S296">
        <v>294</v>
      </c>
      <c r="T296" t="e">
        <f>IF('Lab test'!AQ297&gt;0,'Lab test'!AQ297,NA())</f>
        <v>#N/A</v>
      </c>
      <c r="U296" t="e">
        <f>IF('Lab test'!AU297&gt;0,'Lab test'!AU297,NA())</f>
        <v>#N/A</v>
      </c>
    </row>
    <row r="297" spans="19:21">
      <c r="S297">
        <v>295</v>
      </c>
      <c r="T297" t="e">
        <f>IF('Lab test'!AQ298&gt;0,'Lab test'!AQ298,NA())</f>
        <v>#N/A</v>
      </c>
      <c r="U297" t="e">
        <f>IF('Lab test'!AU298&gt;0,'Lab test'!AU298,NA())</f>
        <v>#N/A</v>
      </c>
    </row>
    <row r="298" spans="19:21">
      <c r="S298">
        <v>296</v>
      </c>
      <c r="T298" t="e">
        <f>IF('Lab test'!AQ299&gt;0,'Lab test'!AQ299,NA())</f>
        <v>#N/A</v>
      </c>
      <c r="U298" t="e">
        <f>IF('Lab test'!AU299&gt;0,'Lab test'!AU299,NA())</f>
        <v>#N/A</v>
      </c>
    </row>
    <row r="299" spans="19:21">
      <c r="S299">
        <v>297</v>
      </c>
      <c r="T299" t="e">
        <f>IF('Lab test'!AQ300&gt;0,'Lab test'!AQ300,NA())</f>
        <v>#N/A</v>
      </c>
      <c r="U299" t="e">
        <f>IF('Lab test'!AU300&gt;0,'Lab test'!AU300,NA())</f>
        <v>#N/A</v>
      </c>
    </row>
    <row r="300" spans="19:21">
      <c r="S300">
        <v>298</v>
      </c>
      <c r="T300" t="e">
        <f>IF('Lab test'!AQ301&gt;0,'Lab test'!AQ301,NA())</f>
        <v>#N/A</v>
      </c>
      <c r="U300" t="e">
        <f>IF('Lab test'!AU301&gt;0,'Lab test'!AU301,NA())</f>
        <v>#N/A</v>
      </c>
    </row>
    <row r="301" spans="19:21">
      <c r="S301">
        <v>299</v>
      </c>
      <c r="T301">
        <f>IF('Lab test'!AQ302&gt;0,'Lab test'!AQ302,NA())</f>
        <v>0.40863780013556233</v>
      </c>
      <c r="U301">
        <f>IF('Lab test'!AU302&gt;0,'Lab test'!AU302,NA())</f>
        <v>0.75421052631578955</v>
      </c>
    </row>
    <row r="302" spans="19:21">
      <c r="S302">
        <v>300</v>
      </c>
      <c r="T302" t="e">
        <f>IF('Lab test'!AQ303&gt;0,'Lab test'!AQ303,NA())</f>
        <v>#N/A</v>
      </c>
      <c r="U302" t="e">
        <f>IF('Lab test'!AU303&gt;0,'Lab test'!AU303,NA())</f>
        <v>#N/A</v>
      </c>
    </row>
    <row r="303" spans="19:21">
      <c r="S303">
        <v>301</v>
      </c>
      <c r="T303">
        <f>IF('Lab test'!AQ304&gt;0,'Lab test'!AQ304,NA())</f>
        <v>0.5004770499727712</v>
      </c>
      <c r="U303">
        <f>IF('Lab test'!AU304&gt;0,'Lab test'!AU304,NA())</f>
        <v>0.58684210526315794</v>
      </c>
    </row>
    <row r="304" spans="19:21">
      <c r="S304">
        <v>302</v>
      </c>
      <c r="T304" t="e">
        <f>IF('Lab test'!AQ305&gt;0,'Lab test'!AQ305,NA())</f>
        <v>#N/A</v>
      </c>
      <c r="U304" t="e">
        <f>IF('Lab test'!AU305&gt;0,'Lab test'!AU305,NA())</f>
        <v>#N/A</v>
      </c>
    </row>
    <row r="305" spans="19:21">
      <c r="S305">
        <v>303</v>
      </c>
      <c r="T305">
        <f>IF('Lab test'!AQ306&gt;0,'Lab test'!AQ306,NA())</f>
        <v>0.17886578339328085</v>
      </c>
      <c r="U305">
        <f>IF('Lab test'!AU306&gt;0,'Lab test'!AU306,NA())</f>
        <v>1.5874861716202324</v>
      </c>
    </row>
    <row r="306" spans="19:21">
      <c r="S306">
        <v>304</v>
      </c>
      <c r="T306">
        <f>IF('Lab test'!AQ307&gt;0,'Lab test'!AQ307,NA())</f>
        <v>0.17757017871410097</v>
      </c>
      <c r="U306">
        <f>IF('Lab test'!AU307&gt;0,'Lab test'!AU307,NA())</f>
        <v>1.5869004051105828</v>
      </c>
    </row>
    <row r="307" spans="19:21">
      <c r="S307">
        <v>305</v>
      </c>
      <c r="T307">
        <f>IF('Lab test'!AQ308&gt;0,'Lab test'!AQ308,NA())</f>
        <v>0.22245665397328121</v>
      </c>
      <c r="U307">
        <f>IF('Lab test'!AU308&gt;0,'Lab test'!AU308,NA())</f>
        <v>1.3020624788107931</v>
      </c>
    </row>
    <row r="308" spans="19:21">
      <c r="S308">
        <v>306</v>
      </c>
      <c r="T308">
        <f>IF('Lab test'!AQ309&gt;0,'Lab test'!AQ309,NA())</f>
        <v>0.25794467871866744</v>
      </c>
      <c r="U308">
        <f>IF('Lab test'!AU309&gt;0,'Lab test'!AU309,NA())</f>
        <v>1.1250588124005259</v>
      </c>
    </row>
    <row r="309" spans="19:21">
      <c r="S309">
        <v>307</v>
      </c>
      <c r="T309" t="e">
        <f>IF('Lab test'!AQ310&gt;0,'Lab test'!AQ310,NA())</f>
        <v>#N/A</v>
      </c>
      <c r="U309" t="e">
        <f>IF('Lab test'!AU310&gt;0,'Lab test'!AU310,NA())</f>
        <v>#N/A</v>
      </c>
    </row>
    <row r="310" spans="19:21">
      <c r="S310">
        <v>308</v>
      </c>
      <c r="T310" t="e">
        <f>IF('Lab test'!AQ311&gt;0,'Lab test'!AQ311,NA())</f>
        <v>#N/A</v>
      </c>
      <c r="U310" t="e">
        <f>IF('Lab test'!AU311&gt;0,'Lab test'!AU311,NA())</f>
        <v>#N/A</v>
      </c>
    </row>
    <row r="311" spans="19:21">
      <c r="S311">
        <v>309</v>
      </c>
      <c r="T311" t="e">
        <f>IF('Lab test'!AQ312&gt;0,'Lab test'!AQ312,NA())</f>
        <v>#N/A</v>
      </c>
      <c r="U311" t="e">
        <f>IF('Lab test'!AU312&gt;0,'Lab test'!AU312,NA())</f>
        <v>#N/A</v>
      </c>
    </row>
    <row r="312" spans="19:21">
      <c r="S312">
        <v>310</v>
      </c>
      <c r="T312" t="e">
        <f>IF('Lab test'!AQ313&gt;0,'Lab test'!AQ313,NA())</f>
        <v>#N/A</v>
      </c>
      <c r="U312" t="e">
        <f>IF('Lab test'!AU313&gt;0,'Lab test'!AU313,NA())</f>
        <v>#N/A</v>
      </c>
    </row>
    <row r="313" spans="19:21">
      <c r="S313">
        <v>311</v>
      </c>
      <c r="T313" t="e">
        <f>IF('Lab test'!AQ314&gt;0,'Lab test'!AQ314,NA())</f>
        <v>#N/A</v>
      </c>
      <c r="U313" t="e">
        <f>IF('Lab test'!AU314&gt;0,'Lab test'!AU314,NA())</f>
        <v>#N/A</v>
      </c>
    </row>
    <row r="314" spans="19:21">
      <c r="S314">
        <v>312</v>
      </c>
      <c r="T314" t="e">
        <f>IF('Lab test'!AQ315&gt;0,'Lab test'!AQ315,NA())</f>
        <v>#N/A</v>
      </c>
      <c r="U314" t="e">
        <f>IF('Lab test'!AU315&gt;0,'Lab test'!AU315,NA())</f>
        <v>#N/A</v>
      </c>
    </row>
    <row r="315" spans="19:21">
      <c r="S315">
        <v>313</v>
      </c>
      <c r="T315" t="e">
        <f>IF('Lab test'!AQ316&gt;0,'Lab test'!AQ316,NA())</f>
        <v>#N/A</v>
      </c>
      <c r="U315" t="e">
        <f>IF('Lab test'!AU316&gt;0,'Lab test'!AU316,NA())</f>
        <v>#N/A</v>
      </c>
    </row>
    <row r="316" spans="19:21">
      <c r="S316">
        <v>314</v>
      </c>
      <c r="T316" t="e">
        <f>IF('Lab test'!AQ317&gt;0,'Lab test'!AQ317,NA())</f>
        <v>#N/A</v>
      </c>
      <c r="U316" t="e">
        <f>IF('Lab test'!AU317&gt;0,'Lab test'!AU317,NA())</f>
        <v>#N/A</v>
      </c>
    </row>
    <row r="317" spans="19:21">
      <c r="S317">
        <v>315</v>
      </c>
      <c r="T317">
        <f>IF('Lab test'!AQ318&gt;0,'Lab test'!AQ318,NA())</f>
        <v>0.3204208727095576</v>
      </c>
      <c r="U317">
        <f>IF('Lab test'!AU318&gt;0,'Lab test'!AU318,NA())</f>
        <v>0.85632181033735433</v>
      </c>
    </row>
    <row r="318" spans="19:21">
      <c r="S318">
        <v>316</v>
      </c>
      <c r="T318">
        <f>IF('Lab test'!AQ319&gt;0,'Lab test'!AQ319,NA())</f>
        <v>0.31766268123244462</v>
      </c>
      <c r="U318">
        <f>IF('Lab test'!AU319&gt;0,'Lab test'!AU319,NA())</f>
        <v>0.72647071495514282</v>
      </c>
    </row>
    <row r="319" spans="19:21">
      <c r="S319">
        <v>317</v>
      </c>
      <c r="T319">
        <f>IF('Lab test'!AQ320&gt;0,'Lab test'!AQ320,NA())</f>
        <v>0.35205031635472167</v>
      </c>
      <c r="U319">
        <f>IF('Lab test'!AU320&gt;0,'Lab test'!AU320,NA())</f>
        <v>0.72307718054039571</v>
      </c>
    </row>
    <row r="320" spans="19:21">
      <c r="S320">
        <v>318</v>
      </c>
      <c r="T320">
        <f>IF('Lab test'!AQ321&gt;0,'Lab test'!AQ321,NA())</f>
        <v>0.35502442548424701</v>
      </c>
      <c r="U320">
        <f>IF('Lab test'!AU321&gt;0,'Lab test'!AU321,NA())</f>
        <v>0.70263144234674091</v>
      </c>
    </row>
    <row r="321" spans="19:21">
      <c r="S321">
        <v>319</v>
      </c>
      <c r="T321">
        <f>IF('Lab test'!AQ322&gt;0,'Lab test'!AQ322,NA())</f>
        <v>0.47232725242961432</v>
      </c>
      <c r="U321">
        <f>IF('Lab test'!AU322&gt;0,'Lab test'!AU322,NA())</f>
        <v>0.53499996192759491</v>
      </c>
    </row>
    <row r="322" spans="19:21">
      <c r="S322">
        <v>320</v>
      </c>
      <c r="T322">
        <f>IF('Lab test'!AQ323&gt;0,'Lab test'!AQ323,NA())</f>
        <v>0.4697277637193889</v>
      </c>
      <c r="U322">
        <f>IF('Lab test'!AU323&gt;0,'Lab test'!AU323,NA())</f>
        <v>0.54499995104976495</v>
      </c>
    </row>
    <row r="323" spans="19:21">
      <c r="S323">
        <v>321</v>
      </c>
      <c r="T323">
        <f>IF('Lab test'!AQ324&gt;0,'Lab test'!AQ324,NA())</f>
        <v>0.29769210771408505</v>
      </c>
      <c r="U323">
        <f>IF('Lab test'!AU324&gt;0,'Lab test'!AU324,NA())</f>
        <v>0.97101473037061137</v>
      </c>
    </row>
    <row r="324" spans="19:21">
      <c r="S324">
        <v>322</v>
      </c>
      <c r="T324">
        <f>IF('Lab test'!AQ325&gt;0,'Lab test'!AQ325,NA())</f>
        <v>0.29582660308724873</v>
      </c>
      <c r="U324">
        <f>IF('Lab test'!AU325&gt;0,'Lab test'!AU325,NA())</f>
        <v>0.9088237138456039</v>
      </c>
    </row>
    <row r="325" spans="19:21">
      <c r="S325">
        <v>323</v>
      </c>
      <c r="T325">
        <f>IF('Lab test'!AQ326&gt;0,'Lab test'!AQ326,NA())</f>
        <v>0.31445399772968119</v>
      </c>
      <c r="U325">
        <f>IF('Lab test'!AU326&gt;0,'Lab test'!AU326,NA())</f>
        <v>0.77187509348136851</v>
      </c>
    </row>
    <row r="326" spans="19:21">
      <c r="S326">
        <v>324</v>
      </c>
      <c r="T326">
        <f>IF('Lab test'!AQ327&gt;0,'Lab test'!AQ327,NA())</f>
        <v>0.32413175311751147</v>
      </c>
      <c r="U326">
        <f>IF('Lab test'!AU327&gt;0,'Lab test'!AU327,NA())</f>
        <v>0.72941199556184444</v>
      </c>
    </row>
    <row r="327" spans="19:21">
      <c r="S327">
        <v>325</v>
      </c>
      <c r="T327">
        <f>IF('Lab test'!AQ328&gt;0,'Lab test'!AQ328,NA())</f>
        <v>0.26350430838609257</v>
      </c>
      <c r="U327">
        <f>IF('Lab test'!AU328&gt;0,'Lab test'!AU328,NA())</f>
        <v>1.0859375920649841</v>
      </c>
    </row>
    <row r="328" spans="19:21">
      <c r="S328">
        <v>326</v>
      </c>
      <c r="T328">
        <f>IF('Lab test'!AQ329&gt;0,'Lab test'!AQ329,NA())</f>
        <v>0.26365521610911546</v>
      </c>
      <c r="U328">
        <f>IF('Lab test'!AU329&gt;0,'Lab test'!AU329,NA())</f>
        <v>1.1243076121164086</v>
      </c>
    </row>
    <row r="329" spans="19:21">
      <c r="S329">
        <v>327</v>
      </c>
      <c r="T329">
        <f>IF('Lab test'!AQ330&gt;0,'Lab test'!AQ330,NA())</f>
        <v>0.36310021871121562</v>
      </c>
      <c r="U329">
        <f>IF('Lab test'!AU330&gt;0,'Lab test'!AU330,NA())</f>
        <v>0.95593752861096426</v>
      </c>
    </row>
    <row r="330" spans="19:21">
      <c r="S330">
        <v>328</v>
      </c>
      <c r="T330">
        <f>IF('Lab test'!AQ331&gt;0,'Lab test'!AQ331,NA())</f>
        <v>0.36973339957465107</v>
      </c>
      <c r="U330">
        <f>IF('Lab test'!AU331&gt;0,'Lab test'!AU331,NA())</f>
        <v>0.95484843557028409</v>
      </c>
    </row>
    <row r="331" spans="19:21">
      <c r="S331">
        <v>329</v>
      </c>
      <c r="T331">
        <f>IF('Lab test'!AQ332&gt;0,'Lab test'!AQ332,NA())</f>
        <v>0.46139509978243343</v>
      </c>
      <c r="U331">
        <f>IF('Lab test'!AU332&gt;0,'Lab test'!AU332,NA())</f>
        <v>0.72765425298947806</v>
      </c>
    </row>
    <row r="332" spans="19:21">
      <c r="S332">
        <v>330</v>
      </c>
      <c r="T332">
        <f>IF('Lab test'!AQ333&gt;0,'Lab test'!AQ333,NA())</f>
        <v>0.45257503559500378</v>
      </c>
      <c r="U332">
        <f>IF('Lab test'!AU333&gt;0,'Lab test'!AU333,NA())</f>
        <v>0.79898979022269889</v>
      </c>
    </row>
    <row r="333" spans="19:21">
      <c r="S333">
        <v>331</v>
      </c>
      <c r="T333">
        <f>IF('Lab test'!AQ334&gt;0,'Lab test'!AQ334,NA())</f>
        <v>2.7318910024929859</v>
      </c>
      <c r="U333">
        <f>IF('Lab test'!AU334&gt;0,'Lab test'!AU334,NA())</f>
        <v>5.730978260869566E-2</v>
      </c>
    </row>
    <row r="334" spans="19:21">
      <c r="S334">
        <v>332</v>
      </c>
      <c r="T334">
        <f>IF('Lab test'!AQ335&gt;0,'Lab test'!AQ335,NA())</f>
        <v>2.7318910024929859</v>
      </c>
      <c r="U334">
        <f>IF('Lab test'!AU335&gt;0,'Lab test'!AU335,NA())</f>
        <v>3.6363057065217391E-2</v>
      </c>
    </row>
    <row r="335" spans="19:21">
      <c r="S335">
        <v>333</v>
      </c>
      <c r="T335">
        <f>IF('Lab test'!AQ336&gt;0,'Lab test'!AQ336,NA())</f>
        <v>2.8822703237311318</v>
      </c>
      <c r="U335">
        <f>IF('Lab test'!AU336&gt;0,'Lab test'!AU336,NA())</f>
        <v>3.5130896739130439E-2</v>
      </c>
    </row>
    <row r="336" spans="19:21">
      <c r="S336">
        <v>334</v>
      </c>
      <c r="T336">
        <f>IF('Lab test'!AQ337&gt;0,'Lab test'!AQ337,NA())</f>
        <v>2.8822703237311318</v>
      </c>
      <c r="U336">
        <f>IF('Lab test'!AU337&gt;0,'Lab test'!AU337,NA())</f>
        <v>2.8872668478260873E-2</v>
      </c>
    </row>
    <row r="337" spans="19:21">
      <c r="S337">
        <v>335</v>
      </c>
      <c r="T337">
        <f>IF('Lab test'!AQ338&gt;0,'Lab test'!AQ338,NA())</f>
        <v>2.8572071035247748</v>
      </c>
      <c r="U337">
        <f>IF('Lab test'!AU338&gt;0,'Lab test'!AU338,NA())</f>
        <v>2.8874244497282611E-2</v>
      </c>
    </row>
    <row r="338" spans="19:21">
      <c r="S338">
        <v>336</v>
      </c>
      <c r="T338">
        <f>IF('Lab test'!AQ339&gt;0,'Lab test'!AQ339,NA())</f>
        <v>2.8739159169956792</v>
      </c>
      <c r="U338">
        <f>IF('Lab test'!AU339&gt;0,'Lab test'!AU339,NA())</f>
        <v>2.9468117119565217E-2</v>
      </c>
    </row>
    <row r="339" spans="19:21">
      <c r="S339">
        <v>337</v>
      </c>
      <c r="T339">
        <f>IF('Lab test'!AQ340&gt;0,'Lab test'!AQ340,NA())</f>
        <v>2.2999818971047166</v>
      </c>
      <c r="U339">
        <f>IF('Lab test'!AU340&gt;0,'Lab test'!AU340,NA())</f>
        <v>6.5055107246376823E-2</v>
      </c>
    </row>
    <row r="340" spans="19:21">
      <c r="S340">
        <v>338</v>
      </c>
      <c r="T340">
        <f>IF('Lab test'!AQ341&gt;0,'Lab test'!AQ341,NA())</f>
        <v>2.3167090381745692</v>
      </c>
      <c r="U340">
        <f>IF('Lab test'!AU341&gt;0,'Lab test'!AU341,NA())</f>
        <v>5.9557412008281581E-2</v>
      </c>
    </row>
    <row r="341" spans="19:21">
      <c r="S341">
        <v>339</v>
      </c>
      <c r="T341">
        <f>IF('Lab test'!AQ342&gt;0,'Lab test'!AQ342,NA())</f>
        <v>2.112824657063634</v>
      </c>
      <c r="U341">
        <f>IF('Lab test'!AU342&gt;0,'Lab test'!AU342,NA())</f>
        <v>0.11408327645051196</v>
      </c>
    </row>
    <row r="342" spans="19:21">
      <c r="S342">
        <v>340</v>
      </c>
      <c r="T342">
        <f>IF('Lab test'!AQ343&gt;0,'Lab test'!AQ343,NA())</f>
        <v>2.1820975966394909</v>
      </c>
      <c r="U342">
        <f>IF('Lab test'!AU343&gt;0,'Lab test'!AU343,NA())</f>
        <v>9.0578440535573651E-2</v>
      </c>
    </row>
    <row r="343" spans="19:21">
      <c r="S343">
        <v>341</v>
      </c>
      <c r="T343">
        <f>IF('Lab test'!AQ344&gt;0,'Lab test'!AQ344,NA())</f>
        <v>2.1647793617455267</v>
      </c>
      <c r="U343">
        <f>IF('Lab test'!AU344&gt;0,'Lab test'!AU344,NA())</f>
        <v>0.11178934103439224</v>
      </c>
    </row>
    <row r="344" spans="19:21">
      <c r="S344">
        <v>342</v>
      </c>
      <c r="T344">
        <f>IF('Lab test'!AQ345&gt;0,'Lab test'!AQ345,NA())</f>
        <v>2.0435517174877771</v>
      </c>
      <c r="U344">
        <f>IF('Lab test'!AU345&gt;0,'Lab test'!AU345,NA())</f>
        <v>0.10952207928590181</v>
      </c>
    </row>
    <row r="345" spans="19:21">
      <c r="S345">
        <v>343</v>
      </c>
      <c r="T345">
        <f>IF('Lab test'!AQ346&gt;0,'Lab test'!AQ346,NA())</f>
        <v>2.069529069828723</v>
      </c>
      <c r="U345">
        <f>IF('Lab test'!AU346&gt;0,'Lab test'!AU346,NA())</f>
        <v>0.10234953006038332</v>
      </c>
    </row>
    <row r="346" spans="19:21">
      <c r="S346">
        <v>344</v>
      </c>
      <c r="T346">
        <f>IF('Lab test'!AQ347&gt;0,'Lab test'!AQ347,NA())</f>
        <v>2.0608699523817413</v>
      </c>
      <c r="U346">
        <f>IF('Lab test'!AU347&gt;0,'Lab test'!AU347,NA())</f>
        <v>0.11255220792859019</v>
      </c>
    </row>
    <row r="347" spans="19:21">
      <c r="S347">
        <v>345</v>
      </c>
      <c r="T347">
        <f>IF('Lab test'!AQ348&gt;0,'Lab test'!AQ348,NA())</f>
        <v>2.0608699523817413</v>
      </c>
      <c r="U347">
        <f>IF('Lab test'!AU348&gt;0,'Lab test'!AU348,NA())</f>
        <v>0.12546493042793386</v>
      </c>
    </row>
    <row r="348" spans="19:21">
      <c r="S348">
        <v>346</v>
      </c>
      <c r="T348">
        <f>IF('Lab test'!AQ349&gt;0,'Lab test'!AQ349,NA())</f>
        <v>1.9382223626249933</v>
      </c>
      <c r="U348">
        <f>IF('Lab test'!AU349&gt;0,'Lab test'!AU349,NA())</f>
        <v>0.1641036970108696</v>
      </c>
    </row>
    <row r="349" spans="19:21">
      <c r="S349">
        <v>347</v>
      </c>
      <c r="T349">
        <f>IF('Lab test'!AQ350&gt;0,'Lab test'!AQ350,NA())</f>
        <v>1.9465767693604457</v>
      </c>
      <c r="U349">
        <f>IF('Lab test'!AU350&gt;0,'Lab test'!AU350,NA())</f>
        <v>0.1492295160326087</v>
      </c>
    </row>
    <row r="350" spans="19:21">
      <c r="S350">
        <v>348</v>
      </c>
      <c r="T350">
        <f>IF('Lab test'!AQ351&gt;0,'Lab test'!AQ351,NA())</f>
        <v>1.996703209773161</v>
      </c>
      <c r="U350">
        <f>IF('Lab test'!AU351&gt;0,'Lab test'!AU351,NA())</f>
        <v>9.4701550271739141E-2</v>
      </c>
    </row>
    <row r="351" spans="19:21">
      <c r="S351">
        <v>349</v>
      </c>
      <c r="T351">
        <f>IF('Lab test'!AQ352&gt;0,'Lab test'!AQ352,NA())</f>
        <v>1.904804735683183</v>
      </c>
      <c r="U351">
        <f>IF('Lab test'!AU352&gt;0,'Lab test'!AU352,NA())</f>
        <v>0.15542986141304346</v>
      </c>
    </row>
    <row r="352" spans="19:21">
      <c r="S352">
        <v>350</v>
      </c>
      <c r="T352">
        <f>IF('Lab test'!AQ353&gt;0,'Lab test'!AQ353,NA())</f>
        <v>1.9549311760958983</v>
      </c>
      <c r="U352">
        <f>IF('Lab test'!AU353&gt;0,'Lab test'!AU353,NA())</f>
        <v>0.11069957608695653</v>
      </c>
    </row>
    <row r="353" spans="19:21">
      <c r="S353">
        <v>351</v>
      </c>
      <c r="T353">
        <f>IF('Lab test'!AQ354&gt;0,'Lab test'!AQ354,NA())</f>
        <v>1.9549311760958983</v>
      </c>
      <c r="U353">
        <f>IF('Lab test'!AU354&gt;0,'Lab test'!AU354,NA())</f>
        <v>0.16189274290760869</v>
      </c>
    </row>
    <row r="354" spans="19:21">
      <c r="S354">
        <v>352</v>
      </c>
      <c r="T354">
        <f>IF('Lab test'!AQ355&gt;0,'Lab test'!AQ355,NA())</f>
        <v>1.9632855828313509</v>
      </c>
      <c r="U354">
        <f>IF('Lab test'!AU355&gt;0,'Lab test'!AU355,NA())</f>
        <v>0.11297763994565219</v>
      </c>
    </row>
    <row r="355" spans="19:21">
      <c r="S355">
        <v>353</v>
      </c>
      <c r="T355">
        <f>IF('Lab test'!AQ356&gt;0,'Lab test'!AQ356,NA())</f>
        <v>2.0384752434504239</v>
      </c>
      <c r="U355">
        <f>IF('Lab test'!AU356&gt;0,'Lab test'!AU356,NA())</f>
        <v>0.11069957608695653</v>
      </c>
    </row>
    <row r="356" spans="19:21">
      <c r="S356">
        <v>354</v>
      </c>
      <c r="T356">
        <f>IF('Lab test'!AQ357&gt;0,'Lab test'!AQ357,NA())</f>
        <v>1.9632855828313509</v>
      </c>
      <c r="U356">
        <f>IF('Lab test'!AU357&gt;0,'Lab test'!AU357,NA())</f>
        <v>9.5334823369565225E-2</v>
      </c>
    </row>
    <row r="357" spans="19:21">
      <c r="S357">
        <v>355</v>
      </c>
      <c r="T357">
        <f>IF('Lab test'!AQ358&gt;0,'Lab test'!AQ358,NA())</f>
        <v>1.9382223626249933</v>
      </c>
      <c r="U357">
        <f>IF('Lab test'!AU358&gt;0,'Lab test'!AU358,NA())</f>
        <v>0.15126914254076088</v>
      </c>
    </row>
    <row r="358" spans="19:21">
      <c r="S358">
        <v>356</v>
      </c>
      <c r="T358">
        <f>IF('Lab test'!AQ359&gt;0,'Lab test'!AQ359,NA())</f>
        <v>1.9382223626249933</v>
      </c>
      <c r="U358">
        <f>IF('Lab test'!AU359&gt;0,'Lab test'!AU359,NA())</f>
        <v>0.13478401222826086</v>
      </c>
    </row>
    <row r="359" spans="19:21">
      <c r="S359">
        <v>357</v>
      </c>
      <c r="T359">
        <f>IF('Lab test'!AQ360&gt;0,'Lab test'!AQ360,NA())</f>
        <v>1.9883488030377086</v>
      </c>
      <c r="U359">
        <f>IF('Lab test'!AU360&gt;0,'Lab test'!AU360,NA())</f>
        <v>8.5534850543478272E-2</v>
      </c>
    </row>
    <row r="360" spans="19:21">
      <c r="S360">
        <v>358</v>
      </c>
      <c r="T360">
        <f>IF('Lab test'!AQ361&gt;0,'Lab test'!AQ361,NA())</f>
        <v>1.9298679558895411</v>
      </c>
      <c r="U360">
        <f>IF('Lab test'!AU361&gt;0,'Lab test'!AU361,NA())</f>
        <v>0.12940548913043479</v>
      </c>
    </row>
    <row r="361" spans="19:21">
      <c r="S361">
        <v>359</v>
      </c>
      <c r="T361">
        <f>IF('Lab test'!AQ362&gt;0,'Lab test'!AQ362,NA())</f>
        <v>1.9215135491540878</v>
      </c>
      <c r="U361">
        <f>IF('Lab test'!AU362&gt;0,'Lab test'!AU362,NA())</f>
        <v>0.1452229891304348</v>
      </c>
    </row>
    <row r="362" spans="19:21">
      <c r="S362">
        <v>360</v>
      </c>
      <c r="T362">
        <f>IF('Lab test'!AQ363&gt;0,'Lab test'!AQ363,NA())</f>
        <v>1.9215135491540878</v>
      </c>
      <c r="U362">
        <f>IF('Lab test'!AU363&gt;0,'Lab test'!AU363,NA())</f>
        <v>0.11145606521739131</v>
      </c>
    </row>
    <row r="363" spans="19:21">
      <c r="S363">
        <v>361</v>
      </c>
      <c r="T363">
        <f>IF('Lab test'!AQ364&gt;0,'Lab test'!AQ364,NA())</f>
        <v>1.9549311760958983</v>
      </c>
      <c r="U363">
        <f>IF('Lab test'!AU364&gt;0,'Lab test'!AU364,NA())</f>
        <v>0.13028519429347829</v>
      </c>
    </row>
    <row r="364" spans="19:21">
      <c r="S364">
        <v>362</v>
      </c>
      <c r="T364">
        <f>IF('Lab test'!AQ365&gt;0,'Lab test'!AQ365,NA())</f>
        <v>1.9716399895668035</v>
      </c>
      <c r="U364">
        <f>IF('Lab test'!AU365&gt;0,'Lab test'!AU365,NA())</f>
        <v>0.11450494565217392</v>
      </c>
    </row>
    <row r="365" spans="19:21">
      <c r="S365">
        <v>363</v>
      </c>
      <c r="T365">
        <f>IF('Lab test'!AQ366&gt;0,'Lab test'!AQ366,NA())</f>
        <v>1.904804735683183</v>
      </c>
      <c r="U365">
        <f>IF('Lab test'!AU366&gt;0,'Lab test'!AU366,NA())</f>
        <v>0.12852864945652173</v>
      </c>
    </row>
    <row r="366" spans="19:21">
      <c r="S366">
        <v>364</v>
      </c>
      <c r="T366">
        <f>IF('Lab test'!AQ367&gt;0,'Lab test'!AQ367,NA())</f>
        <v>1.9131591424186352</v>
      </c>
      <c r="U366">
        <f>IF('Lab test'!AU367&gt;0,'Lab test'!AU367,NA())</f>
        <v>0.11374845652173914</v>
      </c>
    </row>
    <row r="367" spans="19:21">
      <c r="S367">
        <v>365</v>
      </c>
      <c r="T367">
        <f>IF('Lab test'!AQ368&gt;0,'Lab test'!AQ368,NA())</f>
        <v>1.9382223626249933</v>
      </c>
      <c r="U367">
        <f>IF('Lab test'!AU368&gt;0,'Lab test'!AU368,NA())</f>
        <v>0.13028519429347829</v>
      </c>
    </row>
    <row r="368" spans="19:21">
      <c r="S368">
        <v>366</v>
      </c>
      <c r="T368">
        <f>IF('Lab test'!AQ369&gt;0,'Lab test'!AQ369,NA())</f>
        <v>1.9215135491540878</v>
      </c>
      <c r="U368">
        <f>IF('Lab test'!AU369&gt;0,'Lab test'!AU369,NA())</f>
        <v>0.1384919551630435</v>
      </c>
    </row>
    <row r="369" spans="19:21">
      <c r="S369">
        <v>367</v>
      </c>
      <c r="T369">
        <f>IF('Lab test'!AQ370&gt;0,'Lab test'!AQ370,NA())</f>
        <v>1.6308962543106174</v>
      </c>
      <c r="U369">
        <f>IF('Lab test'!AU370&gt;0,'Lab test'!AU370,NA())</f>
        <v>0.20765322153209109</v>
      </c>
    </row>
    <row r="370" spans="19:21">
      <c r="S370">
        <v>368</v>
      </c>
      <c r="T370">
        <f>IF('Lab test'!AQ371&gt;0,'Lab test'!AQ371,NA())</f>
        <v>1.6308962543106174</v>
      </c>
      <c r="U370">
        <f>IF('Lab test'!AU371&gt;0,'Lab test'!AU371,NA())</f>
        <v>0.19011652298136647</v>
      </c>
    </row>
    <row r="371" spans="19:21">
      <c r="S371">
        <v>369</v>
      </c>
      <c r="T371">
        <f>IF('Lab test'!AQ372&gt;0,'Lab test'!AQ372,NA())</f>
        <v>1.6308962543106174</v>
      </c>
      <c r="U371">
        <f>IF('Lab test'!AU372&gt;0,'Lab test'!AU372,NA())</f>
        <v>0.16597732919254657</v>
      </c>
    </row>
    <row r="372" spans="19:21">
      <c r="S372">
        <v>370</v>
      </c>
      <c r="T372">
        <f>IF('Lab test'!AQ373&gt;0,'Lab test'!AQ373,NA())</f>
        <v>1.6225326837756908</v>
      </c>
      <c r="U372">
        <f>IF('Lab test'!AU373&gt;0,'Lab test'!AU373,NA())</f>
        <v>0.1615369710144928</v>
      </c>
    </row>
    <row r="373" spans="19:21">
      <c r="S373">
        <v>371</v>
      </c>
      <c r="T373">
        <f>IF('Lab test'!AQ374&gt;0,'Lab test'!AQ374,NA())</f>
        <v>1.4893682008809219</v>
      </c>
      <c r="U373">
        <f>IF('Lab test'!AU374&gt;0,'Lab test'!AU374,NA())</f>
        <v>0.24235425003938041</v>
      </c>
    </row>
    <row r="374" spans="19:21">
      <c r="S374">
        <v>372</v>
      </c>
      <c r="T374">
        <f>IF('Lab test'!AQ375&gt;0,'Lab test'!AQ375,NA())</f>
        <v>1.4633908485399758</v>
      </c>
      <c r="U374">
        <f>IF('Lab test'!AU375&gt;0,'Lab test'!AU375,NA())</f>
        <v>0.22339196639537937</v>
      </c>
    </row>
    <row r="375" spans="19:21">
      <c r="S375">
        <v>373</v>
      </c>
      <c r="T375">
        <f>IF('Lab test'!AQ376&gt;0,'Lab test'!AQ376,NA())</f>
        <v>1.4893682008809219</v>
      </c>
      <c r="U375">
        <f>IF('Lab test'!AU376&gt;0,'Lab test'!AU376,NA())</f>
        <v>0.20177029141506961</v>
      </c>
    </row>
    <row r="376" spans="19:21">
      <c r="S376">
        <v>374</v>
      </c>
      <c r="T376">
        <f>IF('Lab test'!AQ377&gt;0,'Lab test'!AQ377,NA())</f>
        <v>1.4980273183279045</v>
      </c>
      <c r="U376">
        <f>IF('Lab test'!AU377&gt;0,'Lab test'!AU377,NA())</f>
        <v>0.22644876870569705</v>
      </c>
    </row>
    <row r="377" spans="19:21">
      <c r="S377">
        <v>375</v>
      </c>
      <c r="T377">
        <f>IF('Lab test'!AQ378&gt;0,'Lab test'!AQ378,NA())</f>
        <v>1.4980273183279045</v>
      </c>
      <c r="U377">
        <f>IF('Lab test'!AU378&gt;0,'Lab test'!AU378,NA())</f>
        <v>0.24400270937253873</v>
      </c>
    </row>
    <row r="378" spans="19:21">
      <c r="S378">
        <v>376</v>
      </c>
      <c r="T378">
        <f>IF('Lab test'!AQ379&gt;0,'Lab test'!AQ379,NA())</f>
        <v>0.22488032531694971</v>
      </c>
      <c r="U378">
        <f>IF('Lab test'!AU379&gt;0,'Lab test'!AU379,NA())</f>
        <v>0.9667307232158302</v>
      </c>
    </row>
    <row r="379" spans="19:21">
      <c r="S379">
        <v>377</v>
      </c>
      <c r="T379">
        <f>IF('Lab test'!AQ380&gt;0,'Lab test'!AQ380,NA())</f>
        <v>0.22488032531694971</v>
      </c>
      <c r="U379">
        <f>IF('Lab test'!AU380&gt;0,'Lab test'!AU380,NA())</f>
        <v>0.97297777150801645</v>
      </c>
    </row>
    <row r="380" spans="19:21">
      <c r="S380">
        <v>378</v>
      </c>
      <c r="T380">
        <f>IF('Lab test'!AQ381&gt;0,'Lab test'!AQ381,NA())</f>
        <v>0.23974092335795624</v>
      </c>
      <c r="U380">
        <f>IF('Lab test'!AU381&gt;0,'Lab test'!AU381,NA())</f>
        <v>0.77982887538641377</v>
      </c>
    </row>
    <row r="381" spans="19:21">
      <c r="S381">
        <v>379</v>
      </c>
      <c r="T381">
        <f>IF('Lab test'!AQ382&gt;0,'Lab test'!AQ382,NA())</f>
        <v>0.23974092335795624</v>
      </c>
      <c r="U381">
        <f>IF('Lab test'!AU382&gt;0,'Lab test'!AU382,NA())</f>
        <v>0.7887608360736591</v>
      </c>
    </row>
    <row r="382" spans="19:21">
      <c r="S382">
        <v>380</v>
      </c>
      <c r="T382">
        <f>IF('Lab test'!AQ383&gt;0,'Lab test'!AQ383,NA())</f>
        <v>0.28951467015495597</v>
      </c>
      <c r="U382">
        <f>IF('Lab test'!AU383&gt;0,'Lab test'!AU383,NA())</f>
        <v>0.98341477620702389</v>
      </c>
    </row>
    <row r="383" spans="19:21">
      <c r="S383">
        <v>381</v>
      </c>
      <c r="T383">
        <f>IF('Lab test'!AQ384&gt;0,'Lab test'!AQ384,NA())</f>
        <v>0.28951467015495597</v>
      </c>
      <c r="U383">
        <f>IF('Lab test'!AU384&gt;0,'Lab test'!AU384,NA())</f>
        <v>0.94858117751894955</v>
      </c>
    </row>
    <row r="384" spans="19:21">
      <c r="S384">
        <v>382</v>
      </c>
      <c r="T384">
        <f>IF('Lab test'!AQ385&gt;0,'Lab test'!AQ385,NA())</f>
        <v>0.23974092335795624</v>
      </c>
      <c r="U384">
        <f>IF('Lab test'!AU385&gt;0,'Lab test'!AU385,NA())</f>
        <v>0.75990373231486663</v>
      </c>
    </row>
    <row r="385" spans="19:21">
      <c r="S385">
        <v>383</v>
      </c>
      <c r="T385">
        <f>IF('Lab test'!AQ386&gt;0,'Lab test'!AQ386,NA())</f>
        <v>0.22488032531694971</v>
      </c>
      <c r="U385">
        <f>IF('Lab test'!AU386&gt;0,'Lab test'!AU386,NA())</f>
        <v>0.92417270672531104</v>
      </c>
    </row>
    <row r="386" spans="19:21">
      <c r="S386">
        <v>384</v>
      </c>
      <c r="T386">
        <f>IF('Lab test'!AQ387&gt;0,'Lab test'!AQ387,NA())</f>
        <v>0.28951467015495597</v>
      </c>
      <c r="U386">
        <f>IF('Lab test'!AU387&gt;0,'Lab test'!AU387,NA())</f>
        <v>0.96495988948486533</v>
      </c>
    </row>
    <row r="387" spans="19:21">
      <c r="S387">
        <v>385</v>
      </c>
      <c r="T387">
        <f>IF('Lab test'!AQ388&gt;0,'Lab test'!AQ388,NA())</f>
        <v>0.28951467015495597</v>
      </c>
      <c r="U387">
        <f>IF('Lab test'!AU388&gt;0,'Lab test'!AU388,NA())</f>
        <v>0.94442882800646388</v>
      </c>
    </row>
    <row r="388" spans="19:21">
      <c r="S388">
        <v>386</v>
      </c>
      <c r="T388">
        <f>IF('Lab test'!AQ389&gt;0,'Lab test'!AQ389,NA())</f>
        <v>0.91096260846253096</v>
      </c>
      <c r="U388">
        <f>IF('Lab test'!AU389&gt;0,'Lab test'!AU389,NA())</f>
        <v>0.47700358046184671</v>
      </c>
    </row>
    <row r="389" spans="19:21">
      <c r="S389">
        <v>387</v>
      </c>
      <c r="T389">
        <f>IF('Lab test'!AQ390&gt;0,'Lab test'!AQ390,NA())</f>
        <v>0.91096260846253096</v>
      </c>
      <c r="U389">
        <f>IF('Lab test'!AU390&gt;0,'Lab test'!AU390,NA())</f>
        <v>0.41707321880235193</v>
      </c>
    </row>
    <row r="390" spans="19:21">
      <c r="S390">
        <v>388</v>
      </c>
      <c r="T390">
        <f>IF('Lab test'!AQ391&gt;0,'Lab test'!AQ391,NA())</f>
        <v>0.97715251177903528</v>
      </c>
      <c r="U390">
        <f>IF('Lab test'!AU391&gt;0,'Lab test'!AU391,NA())</f>
        <v>0.50370362718279715</v>
      </c>
    </row>
    <row r="391" spans="19:21">
      <c r="S391">
        <v>389</v>
      </c>
      <c r="T391">
        <f>IF('Lab test'!AQ392&gt;0,'Lab test'!AQ392,NA())</f>
        <v>0.7141188168613557</v>
      </c>
      <c r="U391">
        <f>IF('Lab test'!AU392&gt;0,'Lab test'!AU392,NA())</f>
        <v>0.66901409889285135</v>
      </c>
    </row>
    <row r="392" spans="19:21">
      <c r="S392">
        <v>390</v>
      </c>
      <c r="T392">
        <f>IF('Lab test'!AQ393&gt;0,'Lab test'!AQ393,NA())</f>
        <v>0.76986679333632768</v>
      </c>
      <c r="U392">
        <f>IF('Lab test'!AU393&gt;0,'Lab test'!AU393,NA())</f>
        <v>0.66352651842924859</v>
      </c>
    </row>
    <row r="393" spans="19:21">
      <c r="S393">
        <v>391</v>
      </c>
      <c r="T393">
        <f>IF('Lab test'!AQ394&gt;0,'Lab test'!AQ394,NA())</f>
        <v>1.0339664593628208</v>
      </c>
      <c r="U393">
        <f>IF('Lab test'!AU394&gt;0,'Lab test'!AU394,NA())</f>
        <v>0.57594947399032614</v>
      </c>
    </row>
    <row r="394" spans="19:21">
      <c r="S394">
        <v>392</v>
      </c>
      <c r="T394">
        <f>IF('Lab test'!AQ395&gt;0,'Lab test'!AQ395,NA())</f>
        <v>1.1792262274677314</v>
      </c>
      <c r="U394">
        <f>IF('Lab test'!AU395&gt;0,'Lab test'!AU395,NA())</f>
        <v>0.29304071259381648</v>
      </c>
    </row>
    <row r="395" spans="19:21">
      <c r="S395">
        <v>393</v>
      </c>
      <c r="T395">
        <f>IF('Lab test'!AQ396&gt;0,'Lab test'!AQ396,NA())</f>
        <v>1.1792262274677314</v>
      </c>
      <c r="U395">
        <f>IF('Lab test'!AU396&gt;0,'Lab test'!AU396,NA())</f>
        <v>0.42813907384307182</v>
      </c>
    </row>
    <row r="396" spans="19:21">
      <c r="S396">
        <v>394</v>
      </c>
      <c r="T396">
        <f>IF('Lab test'!AQ397&gt;0,'Lab test'!AQ397,NA())</f>
        <v>0.27422137900921711</v>
      </c>
      <c r="U396">
        <f>IF('Lab test'!AU397&gt;0,'Lab test'!AU397,NA())</f>
        <v>1.056</v>
      </c>
    </row>
    <row r="397" spans="19:21">
      <c r="S397">
        <v>395</v>
      </c>
      <c r="T397">
        <f>IF('Lab test'!AQ398&gt;0,'Lab test'!AQ398,NA())</f>
        <v>0.30973625905190222</v>
      </c>
      <c r="U397">
        <f>IF('Lab test'!AU398&gt;0,'Lab test'!AU398,NA())</f>
        <v>1.004</v>
      </c>
    </row>
    <row r="398" spans="19:21">
      <c r="S398">
        <v>396</v>
      </c>
      <c r="T398">
        <f>IF('Lab test'!AQ399&gt;0,'Lab test'!AQ399,NA())</f>
        <v>0.35419696312329474</v>
      </c>
      <c r="U398">
        <f>IF('Lab test'!AU399&gt;0,'Lab test'!AU399,NA())</f>
        <v>0.999</v>
      </c>
    </row>
    <row r="399" spans="19:21">
      <c r="S399">
        <v>397</v>
      </c>
      <c r="T399">
        <f>IF('Lab test'!AQ400&gt;0,'Lab test'!AQ400,NA())</f>
        <v>0.43380091404773102</v>
      </c>
      <c r="U399">
        <f>IF('Lab test'!AU400&gt;0,'Lab test'!AU400,NA())</f>
        <v>0.88000000000000012</v>
      </c>
    </row>
    <row r="400" spans="19:21">
      <c r="S400">
        <v>398</v>
      </c>
      <c r="T400">
        <f>IF('Lab test'!AQ401&gt;0,'Lab test'!AQ401,NA())</f>
        <v>0.28504848843895608</v>
      </c>
      <c r="U400">
        <f>IF('Lab test'!AU401&gt;0,'Lab test'!AU401,NA())</f>
        <v>1.0089999999999999</v>
      </c>
    </row>
    <row r="401" spans="19:21">
      <c r="S401">
        <v>399</v>
      </c>
      <c r="T401">
        <f>IF('Lab test'!AQ402&gt;0,'Lab test'!AQ402,NA())</f>
        <v>0.768687036520039</v>
      </c>
      <c r="U401">
        <f>IF('Lab test'!AU402&gt;0,'Lab test'!AU402,NA())</f>
        <v>0.82899999999999985</v>
      </c>
    </row>
    <row r="402" spans="19:21">
      <c r="S402">
        <v>400</v>
      </c>
      <c r="T402">
        <f>IF('Lab test'!AQ403&gt;0,'Lab test'!AQ403,NA())</f>
        <v>0.61806001674406175</v>
      </c>
      <c r="U402">
        <f>IF('Lab test'!AU403&gt;0,'Lab test'!AU403,NA())</f>
        <v>0.81399999999999995</v>
      </c>
    </row>
    <row r="403" spans="19:21">
      <c r="S403">
        <v>401</v>
      </c>
      <c r="T403">
        <f>IF('Lab test'!AQ404&gt;0,'Lab test'!AQ404,NA())</f>
        <v>0.56472631332742684</v>
      </c>
      <c r="U403">
        <f>IF('Lab test'!AU404&gt;0,'Lab test'!AU404,NA())</f>
        <v>0.88900000000000001</v>
      </c>
    </row>
    <row r="404" spans="19:21">
      <c r="S404">
        <v>402</v>
      </c>
      <c r="T404">
        <f>IF('Lab test'!AQ405&gt;0,'Lab test'!AQ405,NA())</f>
        <v>0.50025952088993719</v>
      </c>
      <c r="U404">
        <f>IF('Lab test'!AU405&gt;0,'Lab test'!AU405,NA())</f>
        <v>0.94099999999999995</v>
      </c>
    </row>
    <row r="405" spans="19:21">
      <c r="S405">
        <v>403</v>
      </c>
      <c r="T405">
        <f>IF('Lab test'!AQ406&gt;0,'Lab test'!AQ406,NA())</f>
        <v>0.33365955692237836</v>
      </c>
      <c r="U405">
        <f>IF('Lab test'!AU406&gt;0,'Lab test'!AU406,NA())</f>
        <v>0.94099999999999995</v>
      </c>
    </row>
    <row r="406" spans="19:21">
      <c r="S406">
        <v>404</v>
      </c>
      <c r="T406">
        <f>IF('Lab test'!AQ407&gt;0,'Lab test'!AQ407,NA())</f>
        <v>0.360310321703327</v>
      </c>
      <c r="U406">
        <f>IF('Lab test'!AU407&gt;0,'Lab test'!AU407,NA())</f>
        <v>1.008</v>
      </c>
    </row>
    <row r="407" spans="19:21">
      <c r="S407">
        <v>405</v>
      </c>
      <c r="T407">
        <f>IF('Lab test'!AQ408&gt;0,'Lab test'!AQ408,NA())</f>
        <v>0.42985053500354037</v>
      </c>
      <c r="U407">
        <f>IF('Lab test'!AU408&gt;0,'Lab test'!AU408,NA())</f>
        <v>0.98899999999999999</v>
      </c>
    </row>
    <row r="408" spans="19:21">
      <c r="S408">
        <v>406</v>
      </c>
      <c r="T408">
        <f>IF('Lab test'!AQ409&gt;0,'Lab test'!AQ409,NA())</f>
        <v>0.42985053500354037</v>
      </c>
      <c r="U408">
        <f>IF('Lab test'!AU409&gt;0,'Lab test'!AU409,NA())</f>
        <v>1.0089999999999999</v>
      </c>
    </row>
    <row r="409" spans="19:21">
      <c r="S409">
        <v>407</v>
      </c>
      <c r="T409">
        <f>IF('Lab test'!AQ410&gt;0,'Lab test'!AQ410,NA())</f>
        <v>0.46175636279042831</v>
      </c>
      <c r="U409">
        <f>IF('Lab test'!AU410&gt;0,'Lab test'!AU410,NA())</f>
        <v>0.95099999999999996</v>
      </c>
    </row>
    <row r="410" spans="19:21">
      <c r="S410">
        <v>408</v>
      </c>
      <c r="T410">
        <f>IF('Lab test'!AQ411&gt;0,'Lab test'!AQ411,NA())</f>
        <v>0.56479884407332515</v>
      </c>
      <c r="U410">
        <f>IF('Lab test'!AU411&gt;0,'Lab test'!AU411,NA())</f>
        <v>0.872</v>
      </c>
    </row>
    <row r="411" spans="19:21">
      <c r="S411">
        <v>409</v>
      </c>
      <c r="T411">
        <f>IF('Lab test'!AQ412&gt;0,'Lab test'!AQ412,NA())</f>
        <v>0.76898849679172598</v>
      </c>
      <c r="U411">
        <f>IF('Lab test'!AU412&gt;0,'Lab test'!AU412,NA())</f>
        <v>0.91200000000000003</v>
      </c>
    </row>
    <row r="412" spans="19:21">
      <c r="S412">
        <v>410</v>
      </c>
      <c r="T412" t="e">
        <f>IF('Lab test'!AQ413&gt;0,'Lab test'!AQ413,NA())</f>
        <v>#N/A</v>
      </c>
      <c r="U412" t="e">
        <f>IF('Lab test'!AU413&gt;0,'Lab test'!AU413,NA())</f>
        <v>#N/A</v>
      </c>
    </row>
    <row r="413" spans="19:21">
      <c r="S413">
        <v>411</v>
      </c>
      <c r="T413" t="e">
        <f>IF('Lab test'!AQ414&gt;0,'Lab test'!AQ414,NA())</f>
        <v>#N/A</v>
      </c>
      <c r="U413" t="e">
        <f>IF('Lab test'!AU414&gt;0,'Lab test'!AU414,NA())</f>
        <v>#N/A</v>
      </c>
    </row>
    <row r="414" spans="19:21">
      <c r="S414">
        <v>412</v>
      </c>
      <c r="T414" t="e">
        <f>IF('Lab test'!AQ415&gt;0,'Lab test'!AQ415,NA())</f>
        <v>#N/A</v>
      </c>
      <c r="U414" t="e">
        <f>IF('Lab test'!AU415&gt;0,'Lab test'!AU415,NA())</f>
        <v>#N/A</v>
      </c>
    </row>
    <row r="415" spans="19:21">
      <c r="S415">
        <v>413</v>
      </c>
      <c r="T415" t="e">
        <f>IF('Lab test'!AQ416&gt;0,'Lab test'!AQ416,NA())</f>
        <v>#N/A</v>
      </c>
      <c r="U415" t="e">
        <f>IF('Lab test'!AU416&gt;0,'Lab test'!AU416,NA())</f>
        <v>#N/A</v>
      </c>
    </row>
    <row r="416" spans="19:21">
      <c r="S416">
        <v>414</v>
      </c>
      <c r="T416" t="e">
        <f>IF('Lab test'!AQ417&gt;0,'Lab test'!AQ417,NA())</f>
        <v>#N/A</v>
      </c>
      <c r="U416" t="e">
        <f>IF('Lab test'!AU417&gt;0,'Lab test'!AU417,NA())</f>
        <v>#N/A</v>
      </c>
    </row>
    <row r="417" spans="19:21">
      <c r="S417">
        <v>415</v>
      </c>
      <c r="T417" t="e">
        <f>IF('Lab test'!AQ418&gt;0,'Lab test'!AQ418,NA())</f>
        <v>#N/A</v>
      </c>
      <c r="U417" t="e">
        <f>IF('Lab test'!AU418&gt;0,'Lab test'!AU418,NA())</f>
        <v>#N/A</v>
      </c>
    </row>
    <row r="418" spans="19:21">
      <c r="S418">
        <v>416</v>
      </c>
      <c r="T418">
        <f>IF('Lab test'!AQ419&gt;0,'Lab test'!AQ419,NA())</f>
        <v>0.26343004554493188</v>
      </c>
      <c r="U418">
        <f>IF('Lab test'!AU419&gt;0,'Lab test'!AU419,NA())</f>
        <v>0.93832837067054176</v>
      </c>
    </row>
    <row r="419" spans="19:21">
      <c r="S419">
        <v>417</v>
      </c>
      <c r="T419">
        <f>IF('Lab test'!AQ420&gt;0,'Lab test'!AQ420,NA())</f>
        <v>0.3477555666755387</v>
      </c>
      <c r="U419">
        <f>IF('Lab test'!AU420&gt;0,'Lab test'!AU420,NA())</f>
        <v>0.78687246647398568</v>
      </c>
    </row>
    <row r="420" spans="19:21">
      <c r="S420">
        <v>418</v>
      </c>
      <c r="T420">
        <f>IF('Lab test'!AQ421&gt;0,'Lab test'!AQ421,NA())</f>
        <v>0.52524477786217494</v>
      </c>
      <c r="U420">
        <f>IF('Lab test'!AU421&gt;0,'Lab test'!AU421,NA())</f>
        <v>0.6899256031818416</v>
      </c>
    </row>
    <row r="421" spans="19:21">
      <c r="S421">
        <v>419</v>
      </c>
      <c r="T421">
        <f>IF('Lab test'!AQ422&gt;0,'Lab test'!AQ422,NA())</f>
        <v>0.50911418700127697</v>
      </c>
      <c r="U421">
        <f>IF('Lab test'!AU422&gt;0,'Lab test'!AU422,NA())</f>
        <v>1.0233330653028985</v>
      </c>
    </row>
    <row r="422" spans="19:21">
      <c r="S422">
        <v>420</v>
      </c>
      <c r="T422">
        <f>IF('Lab test'!AQ423&gt;0,'Lab test'!AQ423,NA())</f>
        <v>0.53114357696186398</v>
      </c>
      <c r="U422">
        <f>IF('Lab test'!AU423&gt;0,'Lab test'!AU423,NA())</f>
        <v>0.85223530437427208</v>
      </c>
    </row>
    <row r="423" spans="19:21">
      <c r="S423">
        <v>421</v>
      </c>
      <c r="T423">
        <f>IF('Lab test'!AQ424&gt;0,'Lab test'!AQ424,NA())</f>
        <v>0.67669428194511583</v>
      </c>
      <c r="U423">
        <f>IF('Lab test'!AU424&gt;0,'Lab test'!AU424,NA())</f>
        <v>0.79607846928771109</v>
      </c>
    </row>
    <row r="424" spans="19:21">
      <c r="S424">
        <v>422</v>
      </c>
      <c r="T424">
        <f>IF('Lab test'!AQ425&gt;0,'Lab test'!AQ425,NA())</f>
        <v>0.4693642741959001</v>
      </c>
      <c r="U424">
        <f>IF('Lab test'!AU425&gt;0,'Lab test'!AU425,NA())</f>
        <v>1.1494521735689953</v>
      </c>
    </row>
    <row r="425" spans="19:21">
      <c r="S425">
        <v>423</v>
      </c>
      <c r="T425">
        <f>IF('Lab test'!AQ426&gt;0,'Lab test'!AQ426,NA())</f>
        <v>0.57485148763586424</v>
      </c>
      <c r="U425">
        <f>IF('Lab test'!AU426&gt;0,'Lab test'!AU426,NA())</f>
        <v>0.84503697907040565</v>
      </c>
    </row>
    <row r="426" spans="19:21">
      <c r="S426">
        <v>424</v>
      </c>
      <c r="T426">
        <f>IF('Lab test'!AQ427&gt;0,'Lab test'!AQ427,NA())</f>
        <v>0.51416280132826886</v>
      </c>
      <c r="U426">
        <f>IF('Lab test'!AU427&gt;0,'Lab test'!AU427,NA())</f>
        <v>0.87989942086025497</v>
      </c>
    </row>
    <row r="427" spans="19:21">
      <c r="S427">
        <v>425</v>
      </c>
      <c r="T427">
        <f>IF('Lab test'!AQ428&gt;0,'Lab test'!AQ428,NA())</f>
        <v>1.1828034630256554</v>
      </c>
      <c r="U427">
        <f>IF('Lab test'!AU428&gt;0,'Lab test'!AU428,NA())</f>
        <v>0.27627135514766743</v>
      </c>
    </row>
    <row r="428" spans="19:21">
      <c r="S428">
        <v>426</v>
      </c>
      <c r="T428">
        <f>IF('Lab test'!AQ429&gt;0,'Lab test'!AQ429,NA())</f>
        <v>1.1828034630256554</v>
      </c>
      <c r="U428">
        <f>IF('Lab test'!AU429&gt;0,'Lab test'!AU429,NA())</f>
        <v>0.3136831011572474</v>
      </c>
    </row>
    <row r="429" spans="19:21">
      <c r="S429">
        <v>427</v>
      </c>
      <c r="T429">
        <f>IF('Lab test'!AQ430&gt;0,'Lab test'!AQ430,NA())</f>
        <v>1.1828034630256554</v>
      </c>
      <c r="U429">
        <f>IF('Lab test'!AU430&gt;0,'Lab test'!AU430,NA())</f>
        <v>0.33238897416203733</v>
      </c>
    </row>
    <row r="430" spans="19:21">
      <c r="S430">
        <v>428</v>
      </c>
      <c r="T430">
        <f>IF('Lab test'!AQ431&gt;0,'Lab test'!AQ431,NA())</f>
        <v>0.89118836804024459</v>
      </c>
      <c r="U430">
        <f>IF('Lab test'!AU431&gt;0,'Lab test'!AU431,NA())</f>
        <v>0.49007988329055813</v>
      </c>
    </row>
    <row r="431" spans="19:21">
      <c r="S431">
        <v>429</v>
      </c>
      <c r="T431">
        <f>IF('Lab test'!AQ432&gt;0,'Lab test'!AQ432,NA())</f>
        <v>1.2914800778037814</v>
      </c>
      <c r="U431">
        <f>IF('Lab test'!AU432&gt;0,'Lab test'!AU432,NA())</f>
        <v>0.16997725164603367</v>
      </c>
    </row>
    <row r="432" spans="19:21">
      <c r="S432">
        <v>430</v>
      </c>
      <c r="T432">
        <f>IF('Lab test'!AQ433&gt;0,'Lab test'!AQ433,NA())</f>
        <v>1.2914800778037814</v>
      </c>
      <c r="U432">
        <f>IF('Lab test'!AU433&gt;0,'Lab test'!AU433,NA())</f>
        <v>0.16997725164603367</v>
      </c>
    </row>
    <row r="433" spans="19:21">
      <c r="S433">
        <v>431</v>
      </c>
      <c r="T433">
        <f>IF('Lab test'!AQ434&gt;0,'Lab test'!AQ434,NA())</f>
        <v>1.2245857832908482</v>
      </c>
      <c r="U433">
        <f>IF('Lab test'!AU434&gt;0,'Lab test'!AU434,NA())</f>
        <v>0.19471223704293225</v>
      </c>
    </row>
    <row r="434" spans="19:21">
      <c r="S434">
        <v>432</v>
      </c>
      <c r="T434">
        <f>IF('Lab test'!AQ435&gt;0,'Lab test'!AQ435,NA())</f>
        <v>1.2245857832908482</v>
      </c>
      <c r="U434">
        <f>IF('Lab test'!AU435&gt;0,'Lab test'!AU435,NA())</f>
        <v>0.20250072652464954</v>
      </c>
    </row>
    <row r="435" spans="19:21">
      <c r="S435">
        <v>433</v>
      </c>
      <c r="T435">
        <f>IF('Lab test'!AQ436&gt;0,'Lab test'!AQ436,NA())</f>
        <v>1.2245857832908482</v>
      </c>
      <c r="U435">
        <f>IF('Lab test'!AU436&gt;0,'Lab test'!AU436,NA())</f>
        <v>0.21807770548808414</v>
      </c>
    </row>
    <row r="436" spans="19:21">
      <c r="S436">
        <v>434</v>
      </c>
      <c r="T436">
        <f>IF('Lab test'!AQ437&gt;0,'Lab test'!AQ437,NA())</f>
        <v>0.91443112921122494</v>
      </c>
      <c r="U436">
        <f>IF('Lab test'!AU437&gt;0,'Lab test'!AU437,NA())</f>
        <v>0.57886648361551429</v>
      </c>
    </row>
    <row r="437" spans="19:21">
      <c r="S437">
        <v>435</v>
      </c>
      <c r="T437">
        <f>IF('Lab test'!AQ438&gt;0,'Lab test'!AQ438,NA())</f>
        <v>0.91443112921122494</v>
      </c>
      <c r="U437">
        <f>IF('Lab test'!AU438&gt;0,'Lab test'!AU438,NA())</f>
        <v>0.61430728873483142</v>
      </c>
    </row>
    <row r="438" spans="19:21">
      <c r="S438">
        <v>436</v>
      </c>
      <c r="T438">
        <f>IF('Lab test'!AQ439&gt;0,'Lab test'!AQ439,NA())</f>
        <v>1.6705108341757928</v>
      </c>
      <c r="U438">
        <f>IF('Lab test'!AU439&gt;0,'Lab test'!AU439,NA())</f>
        <v>9.5221527074229373E-2</v>
      </c>
    </row>
    <row r="439" spans="19:21">
      <c r="S439">
        <v>437</v>
      </c>
      <c r="T439">
        <f>IF('Lab test'!AQ440&gt;0,'Lab test'!AQ440,NA())</f>
        <v>0.69153065309309791</v>
      </c>
      <c r="U439">
        <f>IF('Lab test'!AU440&gt;0,'Lab test'!AU440,NA())</f>
        <v>0.59554011134042495</v>
      </c>
    </row>
    <row r="440" spans="19:21">
      <c r="S440">
        <v>438</v>
      </c>
      <c r="T440">
        <f>IF('Lab test'!AQ441&gt;0,'Lab test'!AQ441,NA())</f>
        <v>0.69153065309309791</v>
      </c>
      <c r="U440">
        <f>IF('Lab test'!AU441&gt;0,'Lab test'!AU441,NA())</f>
        <v>0.73013217650336104</v>
      </c>
    </row>
    <row r="441" spans="19:21">
      <c r="S441">
        <v>439</v>
      </c>
      <c r="T441">
        <f>IF('Lab test'!AQ442&gt;0,'Lab test'!AQ442,NA())</f>
        <v>0.69153065309309791</v>
      </c>
      <c r="U441">
        <f>IF('Lab test'!AU442&gt;0,'Lab test'!AU442,NA())</f>
        <v>0.72655893583531839</v>
      </c>
    </row>
    <row r="442" spans="19:21">
      <c r="S442">
        <v>440</v>
      </c>
      <c r="T442">
        <f>IF('Lab test'!AQ443&gt;0,'Lab test'!AQ443,NA())</f>
        <v>0.69153065309309791</v>
      </c>
      <c r="U442">
        <f>IF('Lab test'!AU443&gt;0,'Lab test'!AU443,NA())</f>
        <v>0.78611294696936096</v>
      </c>
    </row>
    <row r="443" spans="19:21">
      <c r="S443">
        <v>441</v>
      </c>
      <c r="T443">
        <f>IF('Lab test'!AQ444&gt;0,'Lab test'!AQ444,NA())</f>
        <v>0.87351472926276308</v>
      </c>
      <c r="U443">
        <f>IF('Lab test'!AU444&gt;0,'Lab test'!AU444,NA())</f>
        <v>0.42442100934506605</v>
      </c>
    </row>
    <row r="444" spans="19:21">
      <c r="S444">
        <v>442</v>
      </c>
      <c r="T444">
        <f>IF('Lab test'!AQ445&gt;0,'Lab test'!AQ445,NA())</f>
        <v>0.87351472926276308</v>
      </c>
      <c r="U444">
        <f>IF('Lab test'!AU445&gt;0,'Lab test'!AU445,NA())</f>
        <v>0.48721799542163191</v>
      </c>
    </row>
    <row r="445" spans="19:21">
      <c r="S445">
        <v>443</v>
      </c>
      <c r="T445">
        <f>IF('Lab test'!AQ446&gt;0,'Lab test'!AQ446,NA())</f>
        <v>1.3021588759859088</v>
      </c>
      <c r="U445">
        <f>IF('Lab test'!AU446&gt;0,'Lab test'!AU446,NA())</f>
        <v>0.33130823688670968</v>
      </c>
    </row>
    <row r="446" spans="19:21">
      <c r="S446">
        <v>444</v>
      </c>
      <c r="T446">
        <f>IF('Lab test'!AQ447&gt;0,'Lab test'!AQ447,NA())</f>
        <v>1.3021588759859088</v>
      </c>
      <c r="U446">
        <f>IF('Lab test'!AU447&gt;0,'Lab test'!AU447,NA())</f>
        <v>0.24848117766503225</v>
      </c>
    </row>
    <row r="447" spans="19:21">
      <c r="S447">
        <v>445</v>
      </c>
      <c r="T447">
        <f>IF('Lab test'!AQ448&gt;0,'Lab test'!AQ448,NA())</f>
        <v>1.7470294585255262</v>
      </c>
      <c r="U447">
        <f>IF('Lab test'!AU448&gt;0,'Lab test'!AU448,NA())</f>
        <v>0.10285713236678898</v>
      </c>
    </row>
    <row r="448" spans="19:21">
      <c r="S448">
        <v>446</v>
      </c>
      <c r="T448">
        <f>IF('Lab test'!AQ449&gt;0,'Lab test'!AQ449,NA())</f>
        <v>1.7470294585255262</v>
      </c>
      <c r="U448">
        <f>IF('Lab test'!AU449&gt;0,'Lab test'!AU449,NA())</f>
        <v>0.18947366488619016</v>
      </c>
    </row>
    <row r="449" spans="19:21">
      <c r="S449">
        <v>447</v>
      </c>
      <c r="T449">
        <f>IF('Lab test'!AQ450&gt;0,'Lab test'!AQ450,NA())</f>
        <v>1.9532383139788632</v>
      </c>
      <c r="U449">
        <f>IF('Lab test'!AU450&gt;0,'Lab test'!AU450,NA())</f>
        <v>7.7088713942267087E-2</v>
      </c>
    </row>
    <row r="450" spans="19:21">
      <c r="S450">
        <v>448</v>
      </c>
      <c r="T450">
        <f>IF('Lab test'!AQ451&gt;0,'Lab test'!AQ451,NA())</f>
        <v>1.9532383139788632</v>
      </c>
      <c r="U450">
        <f>IF('Lab test'!AU451&gt;0,'Lab test'!AU451,NA())</f>
        <v>0.12342855884014675</v>
      </c>
    </row>
    <row r="451" spans="19:21">
      <c r="S451">
        <v>449</v>
      </c>
      <c r="T451">
        <f>IF('Lab test'!AQ452&gt;0,'Lab test'!AQ452,NA())</f>
        <v>0.66791697647315873</v>
      </c>
      <c r="U451">
        <f>IF('Lab test'!AU452&gt;0,'Lab test'!AU452,NA())</f>
        <v>0.88888919547159806</v>
      </c>
    </row>
    <row r="452" spans="19:21">
      <c r="S452">
        <v>450</v>
      </c>
      <c r="T452">
        <f>IF('Lab test'!AQ453&gt;0,'Lab test'!AQ453,NA())</f>
        <v>0.98406917019690632</v>
      </c>
      <c r="U452">
        <f>IF('Lab test'!AU453&gt;0,'Lab test'!AU453,NA())</f>
        <v>0.40948813843719867</v>
      </c>
    </row>
    <row r="453" spans="19:21">
      <c r="S453">
        <v>451</v>
      </c>
      <c r="T453">
        <f>IF('Lab test'!AQ454&gt;0,'Lab test'!AQ454,NA())</f>
        <v>0.74675388136005527</v>
      </c>
      <c r="U453">
        <f>IF('Lab test'!AU454&gt;0,'Lab test'!AU454,NA())</f>
        <v>0.6962965364527518</v>
      </c>
    </row>
    <row r="454" spans="19:21">
      <c r="S454">
        <v>452</v>
      </c>
      <c r="T454">
        <f>IF('Lab test'!AQ455&gt;0,'Lab test'!AQ455,NA())</f>
        <v>1.1002227795610464</v>
      </c>
      <c r="U454">
        <f>IF('Lab test'!AU455&gt;0,'Lab test'!AU455,NA())</f>
        <v>0.49138576612463836</v>
      </c>
    </row>
    <row r="455" spans="19:21">
      <c r="S455">
        <v>453</v>
      </c>
      <c r="T455">
        <f>IF('Lab test'!AQ456&gt;0,'Lab test'!AQ456,NA())</f>
        <v>1.3916839668057024</v>
      </c>
      <c r="U455">
        <f>IF('Lab test'!AU456&gt;0,'Lab test'!AU456,NA())</f>
        <v>0.25593008652324917</v>
      </c>
    </row>
    <row r="456" spans="19:21">
      <c r="S456">
        <v>454</v>
      </c>
      <c r="T456">
        <f>IF('Lab test'!AQ457&gt;0,'Lab test'!AQ457,NA())</f>
        <v>1.3916839668057024</v>
      </c>
      <c r="U456">
        <f>IF('Lab test'!AU457&gt;0,'Lab test'!AU457,NA())</f>
        <v>0.37536412690076543</v>
      </c>
    </row>
    <row r="457" spans="19:21">
      <c r="S457">
        <v>455</v>
      </c>
      <c r="T457">
        <f>IF('Lab test'!AQ458&gt;0,'Lab test'!AQ458,NA())</f>
        <v>2.8014797159771994</v>
      </c>
      <c r="U457">
        <f>IF('Lab test'!AU458&gt;0,'Lab test'!AU458,NA())</f>
        <v>3.6842104087588902E-2</v>
      </c>
    </row>
    <row r="458" spans="19:21">
      <c r="S458">
        <v>456</v>
      </c>
      <c r="T458">
        <f>IF('Lab test'!AQ459&gt;0,'Lab test'!AQ459,NA())</f>
        <v>2.8014797159771994</v>
      </c>
      <c r="U458">
        <f>IF('Lab test'!AU459&gt;0,'Lab test'!AU459,NA())</f>
        <v>5.7894734994782565E-2</v>
      </c>
    </row>
    <row r="459" spans="19:21">
      <c r="S459">
        <v>457</v>
      </c>
      <c r="T459">
        <f>IF('Lab test'!AQ460&gt;0,'Lab test'!AQ460,NA())</f>
        <v>0.98406917019690632</v>
      </c>
      <c r="U459">
        <f>IF('Lab test'!AU460&gt;0,'Lab test'!AU460,NA())</f>
        <v>0.5971702018875813</v>
      </c>
    </row>
    <row r="460" spans="19:21">
      <c r="S460">
        <v>458</v>
      </c>
      <c r="T460">
        <f>IF('Lab test'!AQ461&gt;0,'Lab test'!AQ461,NA())</f>
        <v>0.94457724666757248</v>
      </c>
      <c r="U460">
        <f>IF('Lab test'!AU461&gt;0,'Lab test'!AU461,NA())</f>
        <v>0.42592607283014072</v>
      </c>
    </row>
    <row r="461" spans="19:21">
      <c r="S461">
        <v>459</v>
      </c>
      <c r="T461">
        <f>IF('Lab test'!AQ462&gt;0,'Lab test'!AQ462,NA())</f>
        <v>1.0988307805859157</v>
      </c>
      <c r="U461">
        <f>IF('Lab test'!AU462&gt;0,'Lab test'!AU462,NA())</f>
        <v>0.34894733730889366</v>
      </c>
    </row>
    <row r="462" spans="19:21">
      <c r="S462">
        <v>460</v>
      </c>
      <c r="T462">
        <f>IF('Lab test'!AQ463&gt;0,'Lab test'!AQ463,NA())</f>
        <v>1.0988307805859157</v>
      </c>
      <c r="U462">
        <f>IF('Lab test'!AU463&gt;0,'Lab test'!AU463,NA())</f>
        <v>0.49947363967743619</v>
      </c>
    </row>
    <row r="463" spans="19:21">
      <c r="S463">
        <v>461</v>
      </c>
      <c r="T463">
        <f>IF('Lab test'!AQ464&gt;0,'Lab test'!AQ464,NA())</f>
        <v>1.0588598348061427</v>
      </c>
      <c r="U463">
        <f>IF('Lab test'!AU464&gt;0,'Lab test'!AU464,NA())</f>
        <v>0.58947363165303313</v>
      </c>
    </row>
    <row r="464" spans="19:21">
      <c r="S464">
        <v>462</v>
      </c>
      <c r="T464">
        <f>IF('Lab test'!AQ465&gt;0,'Lab test'!AQ465,NA())</f>
        <v>1.0988307805859157</v>
      </c>
      <c r="U464">
        <f>IF('Lab test'!AU465&gt;0,'Lab test'!AU465,NA())</f>
        <v>0.24768418844278331</v>
      </c>
    </row>
    <row r="465" spans="19:21">
      <c r="S465">
        <v>463</v>
      </c>
      <c r="T465">
        <f>IF('Lab test'!AQ466&gt;0,'Lab test'!AQ466,NA())</f>
        <v>1.1436993375562656</v>
      </c>
      <c r="U465">
        <f>IF('Lab test'!AU466&gt;0,'Lab test'!AU466,NA())</f>
        <v>0.53052626848772988</v>
      </c>
    </row>
    <row r="466" spans="19:21">
      <c r="S466">
        <v>464</v>
      </c>
      <c r="T466">
        <f>IF('Lab test'!AQ467&gt;0,'Lab test'!AQ467,NA())</f>
        <v>2.7489462732735608</v>
      </c>
      <c r="U466">
        <f>IF('Lab test'!AU467&gt;0,'Lab test'!AU467,NA())</f>
        <v>5.8846795262787806E-2</v>
      </c>
    </row>
    <row r="467" spans="19:21">
      <c r="S467">
        <v>465</v>
      </c>
      <c r="T467">
        <f>IF('Lab test'!AQ468&gt;0,'Lab test'!AQ468,NA())</f>
        <v>2.7219529368722433</v>
      </c>
      <c r="U467">
        <f>IF('Lab test'!AU468&gt;0,'Lab test'!AU468,NA())</f>
        <v>0.10403896169729526</v>
      </c>
    </row>
    <row r="468" spans="19:21">
      <c r="S468">
        <v>466</v>
      </c>
      <c r="T468">
        <f>IF('Lab test'!AQ469&gt;0,'Lab test'!AQ469,NA())</f>
        <v>2.7114739751962613</v>
      </c>
      <c r="U468">
        <f>IF('Lab test'!AU469&gt;0,'Lab test'!AU469,NA())</f>
        <v>5.7982056717038606E-2</v>
      </c>
    </row>
    <row r="469" spans="19:21">
      <c r="S469">
        <v>467</v>
      </c>
      <c r="T469">
        <f>IF('Lab test'!AQ470&gt;0,'Lab test'!AQ470,NA())</f>
        <v>2.7565554226210427</v>
      </c>
      <c r="U469">
        <f>IF('Lab test'!AU470&gt;0,'Lab test'!AU470,NA())</f>
        <v>5.7364641036656873E-2</v>
      </c>
    </row>
    <row r="470" spans="19:21">
      <c r="S470">
        <v>468</v>
      </c>
      <c r="T470">
        <f>IF('Lab test'!AQ471&gt;0,'Lab test'!AQ471,NA())</f>
        <v>2.926890565569622</v>
      </c>
      <c r="U470">
        <f>IF('Lab test'!AU471&gt;0,'Lab test'!AU471,NA())</f>
        <v>7.9947101535250295E-2</v>
      </c>
    </row>
    <row r="471" spans="19:21">
      <c r="S471">
        <v>469</v>
      </c>
      <c r="T471">
        <f>IF('Lab test'!AQ472&gt;0,'Lab test'!AQ472,NA())</f>
        <v>2.6116201014986458</v>
      </c>
      <c r="U471">
        <f>IF('Lab test'!AU472&gt;0,'Lab test'!AU472,NA())</f>
        <v>8.6441010463035081E-2</v>
      </c>
    </row>
    <row r="472" spans="19:21">
      <c r="S472">
        <v>470</v>
      </c>
      <c r="T472">
        <f>IF('Lab test'!AQ473&gt;0,'Lab test'!AQ473,NA())</f>
        <v>2.7974133101936434</v>
      </c>
      <c r="U472">
        <f>IF('Lab test'!AU473&gt;0,'Lab test'!AU473,NA())</f>
        <v>7.8223179068827683E-2</v>
      </c>
    </row>
    <row r="473" spans="19:21">
      <c r="S473">
        <v>471</v>
      </c>
      <c r="T473">
        <f>IF('Lab test'!AQ474&gt;0,'Lab test'!AQ474,NA())</f>
        <v>2.764820974673293</v>
      </c>
      <c r="U473">
        <f>IF('Lab test'!AU474&gt;0,'Lab test'!AU474,NA())</f>
        <v>7.5610290476078437E-2</v>
      </c>
    </row>
    <row r="474" spans="19:21">
      <c r="S474">
        <v>472</v>
      </c>
      <c r="T474">
        <f>IF('Lab test'!AQ475&gt;0,'Lab test'!AQ475,NA())</f>
        <v>2.7887007486023769</v>
      </c>
      <c r="U474">
        <f>IF('Lab test'!AU475&gt;0,'Lab test'!AU475,NA())</f>
        <v>7.8925050521305329E-2</v>
      </c>
    </row>
    <row r="475" spans="19:21">
      <c r="S475">
        <v>473</v>
      </c>
      <c r="T475" t="e">
        <f>IF('Lab test'!AQ476&gt;0,'Lab test'!AQ476,NA())</f>
        <v>#N/A</v>
      </c>
      <c r="U475" t="e">
        <f>IF('Lab test'!AU476&gt;0,'Lab test'!AU476,NA())</f>
        <v>#N/A</v>
      </c>
    </row>
    <row r="476" spans="19:21">
      <c r="S476">
        <v>474</v>
      </c>
      <c r="T476" t="e">
        <f>IF('Lab test'!AQ477&gt;0,'Lab test'!AQ477,NA())</f>
        <v>#N/A</v>
      </c>
      <c r="U476" t="e">
        <f>IF('Lab test'!AU477&gt;0,'Lab test'!AU477,NA())</f>
        <v>#N/A</v>
      </c>
    </row>
    <row r="477" spans="19:21">
      <c r="S477">
        <v>475</v>
      </c>
      <c r="T477" t="e">
        <f>IF('Lab test'!AQ478&gt;0,'Lab test'!AQ478,NA())</f>
        <v>#N/A</v>
      </c>
      <c r="U477" t="e">
        <f>IF('Lab test'!AU478&gt;0,'Lab test'!AU478,NA())</f>
        <v>#N/A</v>
      </c>
    </row>
    <row r="478" spans="19:21">
      <c r="S478">
        <v>476</v>
      </c>
      <c r="T478" t="e">
        <f>IF('Lab test'!AQ479&gt;0,'Lab test'!AQ479,NA())</f>
        <v>#N/A</v>
      </c>
      <c r="U478" t="e">
        <f>IF('Lab test'!AU479&gt;0,'Lab test'!AU479,NA())</f>
        <v>#N/A</v>
      </c>
    </row>
    <row r="479" spans="19:21">
      <c r="S479">
        <v>477</v>
      </c>
      <c r="T479" t="e">
        <f>IF('Lab test'!AQ480&gt;0,'Lab test'!AQ480,NA())</f>
        <v>#N/A</v>
      </c>
      <c r="U479" t="e">
        <f>IF('Lab test'!AU480&gt;0,'Lab test'!AU480,NA())</f>
        <v>#N/A</v>
      </c>
    </row>
    <row r="480" spans="19:21">
      <c r="S480">
        <v>478</v>
      </c>
      <c r="T480" t="e">
        <f>IF('Lab test'!AQ481&gt;0,'Lab test'!AQ481,NA())</f>
        <v>#N/A</v>
      </c>
      <c r="U480" t="e">
        <f>IF('Lab test'!AU481&gt;0,'Lab test'!AU481,NA())</f>
        <v>#N/A</v>
      </c>
    </row>
    <row r="481" spans="19:21">
      <c r="S481">
        <v>479</v>
      </c>
      <c r="T481" t="e">
        <f>IF('Lab test'!AQ482&gt;0,'Lab test'!AQ482,NA())</f>
        <v>#N/A</v>
      </c>
      <c r="U481" t="e">
        <f>IF('Lab test'!AU482&gt;0,'Lab test'!AU482,NA())</f>
        <v>#N/A</v>
      </c>
    </row>
    <row r="482" spans="19:21">
      <c r="S482">
        <v>480</v>
      </c>
      <c r="T482" t="e">
        <f>IF('Lab test'!AQ483&gt;0,'Lab test'!AQ483,NA())</f>
        <v>#N/A</v>
      </c>
      <c r="U482" t="e">
        <f>IF('Lab test'!AU483&gt;0,'Lab test'!AU483,NA())</f>
        <v>#N/A</v>
      </c>
    </row>
    <row r="483" spans="19:21">
      <c r="S483">
        <v>481</v>
      </c>
      <c r="T483" t="e">
        <f>IF('Lab test'!AQ484&gt;0,'Lab test'!AQ484,NA())</f>
        <v>#N/A</v>
      </c>
      <c r="U483" t="e">
        <f>IF('Lab test'!AU484&gt;0,'Lab test'!AU484,NA())</f>
        <v>#N/A</v>
      </c>
    </row>
    <row r="484" spans="19:21">
      <c r="S484">
        <v>482</v>
      </c>
      <c r="T484" t="e">
        <f>IF('Lab test'!AQ485&gt;0,'Lab test'!AQ485,NA())</f>
        <v>#N/A</v>
      </c>
      <c r="U484" t="e">
        <f>IF('Lab test'!AU485&gt;0,'Lab test'!AU485,NA())</f>
        <v>#N/A</v>
      </c>
    </row>
    <row r="485" spans="19:21">
      <c r="S485">
        <v>483</v>
      </c>
      <c r="T485" t="e">
        <f>IF('Lab test'!AQ486&gt;0,'Lab test'!AQ486,NA())</f>
        <v>#N/A</v>
      </c>
      <c r="U485" t="e">
        <f>IF('Lab test'!AU486&gt;0,'Lab test'!AU486,NA())</f>
        <v>#N/A</v>
      </c>
    </row>
    <row r="486" spans="19:21">
      <c r="S486">
        <v>484</v>
      </c>
      <c r="T486" t="e">
        <f>IF('Lab test'!AQ487&gt;0,'Lab test'!AQ487,NA())</f>
        <v>#N/A</v>
      </c>
      <c r="U486" t="e">
        <f>IF('Lab test'!AU487&gt;0,'Lab test'!AU487,NA())</f>
        <v>#N/A</v>
      </c>
    </row>
    <row r="487" spans="19:21">
      <c r="S487">
        <v>485</v>
      </c>
      <c r="T487" t="e">
        <f>IF('Lab test'!AQ488&gt;0,'Lab test'!AQ488,NA())</f>
        <v>#N/A</v>
      </c>
      <c r="U487" t="e">
        <f>IF('Lab test'!AU488&gt;0,'Lab test'!AU488,NA())</f>
        <v>#N/A</v>
      </c>
    </row>
    <row r="488" spans="19:21">
      <c r="S488">
        <v>486</v>
      </c>
      <c r="T488" t="e">
        <f>IF('Lab test'!AQ489&gt;0,'Lab test'!AQ489,NA())</f>
        <v>#N/A</v>
      </c>
      <c r="U488" t="e">
        <f>IF('Lab test'!AU489&gt;0,'Lab test'!AU489,NA())</f>
        <v>#N/A</v>
      </c>
    </row>
    <row r="489" spans="19:21">
      <c r="S489">
        <v>487</v>
      </c>
      <c r="T489" t="e">
        <f>IF('Lab test'!AQ490&gt;0,'Lab test'!AQ490,NA())</f>
        <v>#N/A</v>
      </c>
      <c r="U489" t="e">
        <f>IF('Lab test'!AU490&gt;0,'Lab test'!AU490,NA())</f>
        <v>#N/A</v>
      </c>
    </row>
    <row r="490" spans="19:21">
      <c r="S490">
        <v>488</v>
      </c>
      <c r="T490" t="e">
        <f>IF('Lab test'!AQ491&gt;0,'Lab test'!AQ491,NA())</f>
        <v>#N/A</v>
      </c>
      <c r="U490" t="e">
        <f>IF('Lab test'!AU491&gt;0,'Lab test'!AU491,NA())</f>
        <v>#N/A</v>
      </c>
    </row>
    <row r="491" spans="19:21">
      <c r="S491">
        <v>489</v>
      </c>
      <c r="T491" t="e">
        <f>IF('Lab test'!AQ492&gt;0,'Lab test'!AQ492,NA())</f>
        <v>#N/A</v>
      </c>
      <c r="U491" t="e">
        <f>IF('Lab test'!AU492&gt;0,'Lab test'!AU492,NA())</f>
        <v>#N/A</v>
      </c>
    </row>
    <row r="492" spans="19:21">
      <c r="S492">
        <v>490</v>
      </c>
      <c r="T492" t="e">
        <f>IF('Lab test'!AQ493&gt;0,'Lab test'!AQ493,NA())</f>
        <v>#N/A</v>
      </c>
      <c r="U492" t="e">
        <f>IF('Lab test'!AU493&gt;0,'Lab test'!AU493,NA())</f>
        <v>#N/A</v>
      </c>
    </row>
    <row r="493" spans="19:21">
      <c r="S493">
        <v>491</v>
      </c>
      <c r="T493" t="e">
        <f>IF('Lab test'!AQ494&gt;0,'Lab test'!AQ494,NA())</f>
        <v>#N/A</v>
      </c>
      <c r="U493" t="e">
        <f>IF('Lab test'!AU494&gt;0,'Lab test'!AU494,NA())</f>
        <v>#N/A</v>
      </c>
    </row>
    <row r="494" spans="19:21">
      <c r="S494">
        <v>492</v>
      </c>
      <c r="T494" t="e">
        <f>IF('Lab test'!AQ495&gt;0,'Lab test'!AQ495,NA())</f>
        <v>#N/A</v>
      </c>
      <c r="U494" t="e">
        <f>IF('Lab test'!AU495&gt;0,'Lab test'!AU495,NA())</f>
        <v>#N/A</v>
      </c>
    </row>
    <row r="495" spans="19:21">
      <c r="S495">
        <v>493</v>
      </c>
      <c r="T495">
        <f>IF('Lab test'!AQ496&gt;0,'Lab test'!AQ496,NA())</f>
        <v>0.46423445597154384</v>
      </c>
      <c r="U495">
        <f>IF('Lab test'!AU496&gt;0,'Lab test'!AU496,NA())</f>
        <v>0.82962962962962961</v>
      </c>
    </row>
    <row r="496" spans="19:21">
      <c r="S496">
        <v>494</v>
      </c>
      <c r="T496">
        <f>IF('Lab test'!AQ497&gt;0,'Lab test'!AQ497,NA())</f>
        <v>0.55074084596637307</v>
      </c>
      <c r="U496">
        <f>IF('Lab test'!AU497&gt;0,'Lab test'!AU497,NA())</f>
        <v>0.9</v>
      </c>
    </row>
    <row r="497" spans="19:21">
      <c r="S497">
        <v>495</v>
      </c>
      <c r="T497">
        <f>IF('Lab test'!AQ498&gt;0,'Lab test'!AQ498,NA())</f>
        <v>0.46423445597154384</v>
      </c>
      <c r="U497">
        <f>IF('Lab test'!AU498&gt;0,'Lab test'!AU498,NA())</f>
        <v>0.81481481481481477</v>
      </c>
    </row>
    <row r="498" spans="19:21">
      <c r="S498">
        <v>496</v>
      </c>
      <c r="T498">
        <f>IF('Lab test'!AQ499&gt;0,'Lab test'!AQ499,NA())</f>
        <v>0.55074084596637307</v>
      </c>
      <c r="U498">
        <f>IF('Lab test'!AU499&gt;0,'Lab test'!AU499,NA())</f>
        <v>0.88500000000000001</v>
      </c>
    </row>
    <row r="499" spans="19:21">
      <c r="S499">
        <v>497</v>
      </c>
      <c r="T499">
        <f>IF('Lab test'!AQ500&gt;0,'Lab test'!AQ500,NA())</f>
        <v>0.42378613917792241</v>
      </c>
      <c r="U499">
        <f>IF('Lab test'!AU500&gt;0,'Lab test'!AU500,NA())</f>
        <v>0.80888888888888888</v>
      </c>
    </row>
    <row r="500" spans="19:21">
      <c r="S500">
        <v>498</v>
      </c>
      <c r="T500">
        <f>IF('Lab test'!AQ501&gt;0,'Lab test'!AQ501,NA())</f>
        <v>0.54783454153201261</v>
      </c>
      <c r="U500">
        <f>IF('Lab test'!AU501&gt;0,'Lab test'!AU501,NA())</f>
        <v>0.91249999999999998</v>
      </c>
    </row>
    <row r="501" spans="19:21">
      <c r="S501">
        <v>499</v>
      </c>
      <c r="T501">
        <f>IF('Lab test'!AQ502&gt;0,'Lab test'!AQ502,NA())</f>
        <v>0.58243833816776025</v>
      </c>
      <c r="U501">
        <f>IF('Lab test'!AU502&gt;0,'Lab test'!AU502,NA())</f>
        <v>0.87058823529411766</v>
      </c>
    </row>
    <row r="502" spans="19:21">
      <c r="S502">
        <v>500</v>
      </c>
      <c r="T502">
        <f>IF('Lab test'!AQ503&gt;0,'Lab test'!AQ503,NA())</f>
        <v>0.56589512312144497</v>
      </c>
      <c r="U502">
        <f>IF('Lab test'!AU503&gt;0,'Lab test'!AU503,NA())</f>
        <v>0.91176470588235292</v>
      </c>
    </row>
    <row r="503" spans="19:21">
      <c r="S503">
        <v>501</v>
      </c>
      <c r="T503">
        <f>IF('Lab test'!AQ504&gt;0,'Lab test'!AQ504,NA())</f>
        <v>0.58243833816776025</v>
      </c>
      <c r="U503">
        <f>IF('Lab test'!AU504&gt;0,'Lab test'!AU504,NA())</f>
        <v>0.90352941176470591</v>
      </c>
    </row>
    <row r="504" spans="19:21">
      <c r="S504">
        <v>502</v>
      </c>
      <c r="T504">
        <f>IF('Lab test'!AQ505&gt;0,'Lab test'!AQ505,NA())</f>
        <v>0.50775797138340706</v>
      </c>
      <c r="U504">
        <f>IF('Lab test'!AU505&gt;0,'Lab test'!AU505,NA())</f>
        <v>0.88823529411764701</v>
      </c>
    </row>
    <row r="505" spans="19:21">
      <c r="S505">
        <v>503</v>
      </c>
      <c r="T505">
        <f>IF('Lab test'!AQ506&gt;0,'Lab test'!AQ506,NA())</f>
        <v>0.52094868673804884</v>
      </c>
      <c r="U505">
        <f>IF('Lab test'!AU506&gt;0,'Lab test'!AU506,NA())</f>
        <v>0.8529411764705882</v>
      </c>
    </row>
    <row r="506" spans="19:21">
      <c r="S506">
        <v>504</v>
      </c>
      <c r="T506">
        <f>IF('Lab test'!AQ507&gt;0,'Lab test'!AQ507,NA())</f>
        <v>0.24129977859268206</v>
      </c>
      <c r="U506">
        <f>IF('Lab test'!AU507&gt;0,'Lab test'!AU507,NA())</f>
        <v>1.3702623906705538</v>
      </c>
    </row>
    <row r="507" spans="19:21">
      <c r="S507">
        <v>505</v>
      </c>
      <c r="T507">
        <f>IF('Lab test'!AQ508&gt;0,'Lab test'!AQ508,NA())</f>
        <v>0.25647540059121776</v>
      </c>
      <c r="U507">
        <f>IF('Lab test'!AU508&gt;0,'Lab test'!AU508,NA())</f>
        <v>1.296774193548387</v>
      </c>
    </row>
    <row r="508" spans="19:21">
      <c r="S508">
        <v>506</v>
      </c>
      <c r="T508">
        <f>IF('Lab test'!AQ509&gt;0,'Lab test'!AQ509,NA())</f>
        <v>0.26341393509354877</v>
      </c>
      <c r="U508">
        <f>IF('Lab test'!AU509&gt;0,'Lab test'!AU509,NA())</f>
        <v>1.1559633027522933</v>
      </c>
    </row>
    <row r="509" spans="19:21">
      <c r="S509">
        <v>507</v>
      </c>
      <c r="T509">
        <f>IF('Lab test'!AQ510&gt;0,'Lab test'!AQ510,NA())</f>
        <v>0.22800685913256571</v>
      </c>
      <c r="U509">
        <f>IF('Lab test'!AU510&gt;0,'Lab test'!AU510,NA())</f>
        <v>1.546938775510204</v>
      </c>
    </row>
    <row r="510" spans="19:21">
      <c r="S510">
        <v>508</v>
      </c>
      <c r="T510">
        <f>IF('Lab test'!AQ511&gt;0,'Lab test'!AQ511,NA())</f>
        <v>0.25894552565918427</v>
      </c>
      <c r="U510">
        <f>IF('Lab test'!AU511&gt;0,'Lab test'!AU511,NA())</f>
        <v>1.221518987341772</v>
      </c>
    </row>
    <row r="511" spans="19:21">
      <c r="S511">
        <v>509</v>
      </c>
      <c r="T511">
        <f>IF('Lab test'!AQ512&gt;0,'Lab test'!AQ512,NA())</f>
        <v>0.21635534258758049</v>
      </c>
      <c r="U511">
        <f>IF('Lab test'!AU512&gt;0,'Lab test'!AU512,NA())</f>
        <v>1.4732547597461469</v>
      </c>
    </row>
    <row r="512" spans="19:21">
      <c r="S512">
        <v>510</v>
      </c>
      <c r="T512">
        <f>IF('Lab test'!AQ513&gt;0,'Lab test'!AQ513,NA())</f>
        <v>0.21655140546658899</v>
      </c>
      <c r="U512">
        <f>IF('Lab test'!AU513&gt;0,'Lab test'!AU513,NA())</f>
        <v>1.5882352941176472</v>
      </c>
    </row>
    <row r="513" spans="19:21">
      <c r="S513">
        <v>511</v>
      </c>
      <c r="T513">
        <f>IF('Lab test'!AQ514&gt;0,'Lab test'!AQ514,NA())</f>
        <v>0.1998584534906761</v>
      </c>
      <c r="U513">
        <f>IF('Lab test'!AU514&gt;0,'Lab test'!AU514,NA())</f>
        <v>1.5214723926380367</v>
      </c>
    </row>
    <row r="514" spans="19:21">
      <c r="S514">
        <v>512</v>
      </c>
      <c r="T514">
        <f>IF('Lab test'!AQ515&gt;0,'Lab test'!AQ515,NA())</f>
        <v>0.28470595517876596</v>
      </c>
      <c r="U514">
        <f>IF('Lab test'!AU515&gt;0,'Lab test'!AU515,NA())</f>
        <v>1.2041884816753927</v>
      </c>
    </row>
    <row r="515" spans="19:21">
      <c r="S515">
        <v>513</v>
      </c>
      <c r="T515">
        <f>IF('Lab test'!AQ516&gt;0,'Lab test'!AQ516,NA())</f>
        <v>0.27095858726259175</v>
      </c>
      <c r="U515">
        <f>IF('Lab test'!AU516&gt;0,'Lab test'!AU516,NA())</f>
        <v>1.3179190751445087</v>
      </c>
    </row>
    <row r="516" spans="19:21">
      <c r="S516">
        <v>514</v>
      </c>
      <c r="T516">
        <f>IF('Lab test'!AQ517&gt;0,'Lab test'!AQ517,NA())</f>
        <v>0.26661665377238258</v>
      </c>
      <c r="U516">
        <f>IF('Lab test'!AU517&gt;0,'Lab test'!AU517,NA())</f>
        <v>1.3134328358208955</v>
      </c>
    </row>
    <row r="517" spans="19:21">
      <c r="S517">
        <v>515</v>
      </c>
      <c r="T517">
        <f>IF('Lab test'!AQ518&gt;0,'Lab test'!AQ518,NA())</f>
        <v>0.29495570336891813</v>
      </c>
      <c r="U517">
        <f>IF('Lab test'!AU518&gt;0,'Lab test'!AU518,NA())</f>
        <v>1.0780487804878049</v>
      </c>
    </row>
    <row r="518" spans="19:21">
      <c r="S518">
        <v>516</v>
      </c>
      <c r="T518">
        <f>IF('Lab test'!AQ519&gt;0,'Lab test'!AQ519,NA())</f>
        <v>0.29495570336891813</v>
      </c>
      <c r="U518">
        <f>IF('Lab test'!AU519&gt;0,'Lab test'!AU519,NA())</f>
        <v>1.1219512195121952</v>
      </c>
    </row>
    <row r="519" spans="19:21">
      <c r="S519">
        <v>517</v>
      </c>
      <c r="T519">
        <f>IF('Lab test'!AQ520&gt;0,'Lab test'!AQ520,NA())</f>
        <v>0.27561724240749319</v>
      </c>
      <c r="U519">
        <f>IF('Lab test'!AU520&gt;0,'Lab test'!AU520,NA())</f>
        <v>1.240223463687151</v>
      </c>
    </row>
    <row r="520" spans="19:21">
      <c r="S520">
        <v>518</v>
      </c>
      <c r="T520">
        <f>IF('Lab test'!AQ521&gt;0,'Lab test'!AQ521,NA())</f>
        <v>0.19641927636115525</v>
      </c>
      <c r="U520">
        <f>IF('Lab test'!AU521&gt;0,'Lab test'!AU521,NA())</f>
        <v>1.2529999999999999</v>
      </c>
    </row>
    <row r="521" spans="19:21">
      <c r="S521">
        <v>519</v>
      </c>
      <c r="T521">
        <f>IF('Lab test'!AQ522&gt;0,'Lab test'!AQ522,NA())</f>
        <v>0.19708753746486549</v>
      </c>
      <c r="U521">
        <f>IF('Lab test'!AU522&gt;0,'Lab test'!AU522,NA())</f>
        <v>1.2569999999999999</v>
      </c>
    </row>
    <row r="522" spans="19:21">
      <c r="S522">
        <v>520</v>
      </c>
      <c r="T522">
        <f>IF('Lab test'!AQ523&gt;0,'Lab test'!AQ523,NA())</f>
        <v>0.25347229616623929</v>
      </c>
      <c r="U522">
        <f>IF('Lab test'!AU523&gt;0,'Lab test'!AU523,NA())</f>
        <v>1.135</v>
      </c>
    </row>
    <row r="523" spans="19:21">
      <c r="S523">
        <v>521</v>
      </c>
      <c r="T523">
        <f>IF('Lab test'!AQ524&gt;0,'Lab test'!AQ524,NA())</f>
        <v>0.25355672553545666</v>
      </c>
      <c r="U523">
        <f>IF('Lab test'!AU524&gt;0,'Lab test'!AU524,NA())</f>
        <v>1.127</v>
      </c>
    </row>
    <row r="524" spans="19:21">
      <c r="S524">
        <v>522</v>
      </c>
      <c r="T524">
        <f>IF('Lab test'!AQ525&gt;0,'Lab test'!AQ525,NA())</f>
        <v>0.24994717144247963</v>
      </c>
      <c r="U524">
        <f>IF('Lab test'!AU525&gt;0,'Lab test'!AU525,NA())</f>
        <v>1.1080000000000001</v>
      </c>
    </row>
    <row r="525" spans="19:21">
      <c r="S525">
        <v>523</v>
      </c>
      <c r="T525">
        <f>IF('Lab test'!AQ526&gt;0,'Lab test'!AQ526,NA())</f>
        <v>0.29835528985461507</v>
      </c>
      <c r="U525">
        <f>IF('Lab test'!AU526&gt;0,'Lab test'!AU526,NA())</f>
        <v>1.115</v>
      </c>
    </row>
    <row r="526" spans="19:21">
      <c r="S526">
        <v>524</v>
      </c>
      <c r="T526">
        <f>IF('Lab test'!AQ527&gt;0,'Lab test'!AQ527,NA())</f>
        <v>0.29831572196480871</v>
      </c>
      <c r="U526">
        <f>IF('Lab test'!AU527&gt;0,'Lab test'!AU527,NA())</f>
        <v>1.1100000000000001</v>
      </c>
    </row>
    <row r="527" spans="19:21">
      <c r="S527">
        <v>525</v>
      </c>
      <c r="T527">
        <f>IF('Lab test'!AQ528&gt;0,'Lab test'!AQ528,NA())</f>
        <v>0.33020640121242489</v>
      </c>
      <c r="U527">
        <f>IF('Lab test'!AU528&gt;0,'Lab test'!AU528,NA())</f>
        <v>1.052</v>
      </c>
    </row>
    <row r="528" spans="19:21">
      <c r="S528">
        <v>526</v>
      </c>
      <c r="T528">
        <f>IF('Lab test'!AQ529&gt;0,'Lab test'!AQ529,NA())</f>
        <v>0.3427884630065019</v>
      </c>
      <c r="U528">
        <f>IF('Lab test'!AU529&gt;0,'Lab test'!AU529,NA())</f>
        <v>1.0760000000000001</v>
      </c>
    </row>
    <row r="529" spans="19:21">
      <c r="S529">
        <v>527</v>
      </c>
      <c r="T529">
        <f>IF('Lab test'!AQ530&gt;0,'Lab test'!AQ530,NA())</f>
        <v>0.34288490250275433</v>
      </c>
      <c r="U529">
        <f>IF('Lab test'!AU530&gt;0,'Lab test'!AU530,NA())</f>
        <v>1.069</v>
      </c>
    </row>
    <row r="530" spans="19:21">
      <c r="S530">
        <v>528</v>
      </c>
      <c r="T530">
        <f>IF('Lab test'!AQ531&gt;0,'Lab test'!AQ531,NA())</f>
        <v>0.35500149749190096</v>
      </c>
      <c r="U530">
        <f>IF('Lab test'!AU531&gt;0,'Lab test'!AU531,NA())</f>
        <v>1.0189999999999999</v>
      </c>
    </row>
    <row r="531" spans="19:21">
      <c r="S531">
        <v>529</v>
      </c>
      <c r="T531">
        <f>IF('Lab test'!AQ532&gt;0,'Lab test'!AQ532,NA())</f>
        <v>0.37213987056682507</v>
      </c>
      <c r="U531">
        <f>IF('Lab test'!AU532&gt;0,'Lab test'!AU532,NA())</f>
        <v>1.018</v>
      </c>
    </row>
    <row r="532" spans="19:21">
      <c r="S532">
        <v>530</v>
      </c>
      <c r="T532">
        <f>IF('Lab test'!AQ533&gt;0,'Lab test'!AQ533,NA())</f>
        <v>0.38302528963221549</v>
      </c>
      <c r="U532">
        <f>IF('Lab test'!AU533&gt;0,'Lab test'!AU533,NA())</f>
        <v>0.94499999999999995</v>
      </c>
    </row>
    <row r="533" spans="19:21">
      <c r="S533">
        <v>531</v>
      </c>
      <c r="T533">
        <f>IF('Lab test'!AQ534&gt;0,'Lab test'!AQ534,NA())</f>
        <v>0.38368593487389618</v>
      </c>
      <c r="U533">
        <f>IF('Lab test'!AU534&gt;0,'Lab test'!AU534,NA())</f>
        <v>0.95899999999999996</v>
      </c>
    </row>
    <row r="534" spans="19:21">
      <c r="S534">
        <v>532</v>
      </c>
      <c r="T534">
        <f>IF('Lab test'!AQ535&gt;0,'Lab test'!AQ535,NA())</f>
        <v>0.40707717152378514</v>
      </c>
      <c r="U534">
        <f>IF('Lab test'!AU535&gt;0,'Lab test'!AU535,NA())</f>
        <v>0.94599999999999995</v>
      </c>
    </row>
    <row r="535" spans="19:21">
      <c r="S535">
        <v>533</v>
      </c>
      <c r="T535">
        <f>IF('Lab test'!AQ536&gt;0,'Lab test'!AQ536,NA())</f>
        <v>0.40363177156377028</v>
      </c>
      <c r="U535">
        <f>IF('Lab test'!AU536&gt;0,'Lab test'!AU536,NA())</f>
        <v>0.91700000000000004</v>
      </c>
    </row>
    <row r="536" spans="19:21">
      <c r="S536">
        <v>534</v>
      </c>
      <c r="T536">
        <f>IF('Lab test'!AQ537&gt;0,'Lab test'!AQ537,NA())</f>
        <v>0.38134422624060965</v>
      </c>
      <c r="U536">
        <f>IF('Lab test'!AU537&gt;0,'Lab test'!AU537,NA())</f>
        <v>1.2390000000000001</v>
      </c>
    </row>
    <row r="537" spans="19:21">
      <c r="S537">
        <v>535</v>
      </c>
      <c r="T537">
        <f>IF('Lab test'!AQ538&gt;0,'Lab test'!AQ538,NA())</f>
        <v>0.38312299356921936</v>
      </c>
      <c r="U537">
        <f>IF('Lab test'!AU538&gt;0,'Lab test'!AU538,NA())</f>
        <v>1.234</v>
      </c>
    </row>
    <row r="538" spans="19:21">
      <c r="S538">
        <v>536</v>
      </c>
      <c r="T538">
        <f>IF('Lab test'!AQ539&gt;0,'Lab test'!AQ539,NA())</f>
        <v>0.43752387395572567</v>
      </c>
      <c r="U538">
        <f>IF('Lab test'!AU539&gt;0,'Lab test'!AU539,NA())</f>
        <v>1.056</v>
      </c>
    </row>
    <row r="539" spans="19:21">
      <c r="S539">
        <v>537</v>
      </c>
      <c r="T539">
        <f>IF('Lab test'!AQ540&gt;0,'Lab test'!AQ540,NA())</f>
        <v>0.43766903544548874</v>
      </c>
      <c r="U539">
        <f>IF('Lab test'!AU540&gt;0,'Lab test'!AU540,NA())</f>
        <v>1.054</v>
      </c>
    </row>
    <row r="540" spans="19:21">
      <c r="S540">
        <v>538</v>
      </c>
      <c r="T540">
        <f>IF('Lab test'!AQ541&gt;0,'Lab test'!AQ541,NA())</f>
        <v>0.45089153443557384</v>
      </c>
      <c r="U540">
        <f>IF('Lab test'!AU541&gt;0,'Lab test'!AU541,NA())</f>
        <v>1.1319999999999999</v>
      </c>
    </row>
    <row r="541" spans="19:21">
      <c r="S541">
        <v>539</v>
      </c>
      <c r="T541">
        <f>IF('Lab test'!AQ542&gt;0,'Lab test'!AQ542,NA())</f>
        <v>0.45138823940454592</v>
      </c>
      <c r="U541">
        <f>IF('Lab test'!AU542&gt;0,'Lab test'!AU542,NA())</f>
        <v>1.1319999999999999</v>
      </c>
    </row>
    <row r="542" spans="19:21">
      <c r="S542">
        <v>540</v>
      </c>
      <c r="T542">
        <f>IF('Lab test'!AQ543&gt;0,'Lab test'!AQ543,NA())</f>
        <v>0.20832510228242127</v>
      </c>
      <c r="U542">
        <f>IF('Lab test'!AU543&gt;0,'Lab test'!AU543,NA())</f>
        <v>1.756</v>
      </c>
    </row>
    <row r="543" spans="19:21">
      <c r="S543">
        <v>541</v>
      </c>
      <c r="T543">
        <f>IF('Lab test'!AQ544&gt;0,'Lab test'!AQ544,NA())</f>
        <v>0.20714343166888258</v>
      </c>
      <c r="U543">
        <f>IF('Lab test'!AU544&gt;0,'Lab test'!AU544,NA())</f>
        <v>1.6830000000000001</v>
      </c>
    </row>
    <row r="544" spans="19:21">
      <c r="S544">
        <v>542</v>
      </c>
      <c r="T544">
        <f>IF('Lab test'!AQ545&gt;0,'Lab test'!AQ545,NA())</f>
        <v>0.23132968880070068</v>
      </c>
      <c r="U544">
        <f>IF('Lab test'!AU545&gt;0,'Lab test'!AU545,NA())</f>
        <v>1.494</v>
      </c>
    </row>
    <row r="545" spans="19:21">
      <c r="S545">
        <v>543</v>
      </c>
      <c r="T545">
        <f>IF('Lab test'!AQ546&gt;0,'Lab test'!AQ546,NA())</f>
        <v>0.25965655543785615</v>
      </c>
      <c r="U545">
        <f>IF('Lab test'!AU546&gt;0,'Lab test'!AU546,NA())</f>
        <v>1.4159999999999999</v>
      </c>
    </row>
    <row r="546" spans="19:21">
      <c r="S546">
        <v>544</v>
      </c>
      <c r="T546">
        <f>IF('Lab test'!AQ547&gt;0,'Lab test'!AQ547,NA())</f>
        <v>0.26029836722590582</v>
      </c>
      <c r="U546">
        <f>IF('Lab test'!AU547&gt;0,'Lab test'!AU547,NA())</f>
        <v>1.423</v>
      </c>
    </row>
    <row r="547" spans="19:21">
      <c r="S547">
        <v>545</v>
      </c>
      <c r="T547">
        <f>IF('Lab test'!AQ548&gt;0,'Lab test'!AQ548,NA())</f>
        <v>0.28801808700427434</v>
      </c>
      <c r="U547">
        <f>IF('Lab test'!AU548&gt;0,'Lab test'!AU548,NA())</f>
        <v>1.3240000000000001</v>
      </c>
    </row>
    <row r="548" spans="19:21">
      <c r="S548">
        <v>546</v>
      </c>
      <c r="T548">
        <f>IF('Lab test'!AQ549&gt;0,'Lab test'!AQ549,NA())</f>
        <v>0.27812101617518964</v>
      </c>
      <c r="U548">
        <f>IF('Lab test'!AU549&gt;0,'Lab test'!AU549,NA())</f>
        <v>1.431</v>
      </c>
    </row>
    <row r="549" spans="19:21">
      <c r="S549">
        <v>547</v>
      </c>
      <c r="T549">
        <f>IF('Lab test'!AQ550&gt;0,'Lab test'!AQ550,NA())</f>
        <v>0.28948922286141932</v>
      </c>
      <c r="U549">
        <f>IF('Lab test'!AU550&gt;0,'Lab test'!AU550,NA())</f>
        <v>1.35</v>
      </c>
    </row>
    <row r="550" spans="19:21">
      <c r="S550">
        <v>548</v>
      </c>
      <c r="T550">
        <f>IF('Lab test'!AQ551&gt;0,'Lab test'!AQ551,NA())</f>
        <v>0.27864177175816857</v>
      </c>
      <c r="U550">
        <f>IF('Lab test'!AU551&gt;0,'Lab test'!AU551,NA())</f>
        <v>1.413</v>
      </c>
    </row>
    <row r="551" spans="19:21">
      <c r="S551">
        <v>549</v>
      </c>
      <c r="T551">
        <f>IF('Lab test'!AQ552&gt;0,'Lab test'!AQ552,NA())</f>
        <v>0.32329722449730114</v>
      </c>
      <c r="U551">
        <f>IF('Lab test'!AU552&gt;0,'Lab test'!AU552,NA())</f>
        <v>1.3280000000000001</v>
      </c>
    </row>
    <row r="552" spans="19:21">
      <c r="S552">
        <v>550</v>
      </c>
      <c r="T552">
        <f>IF('Lab test'!AQ553&gt;0,'Lab test'!AQ553,NA())</f>
        <v>0.32329722449730114</v>
      </c>
      <c r="U552">
        <f>IF('Lab test'!AU553&gt;0,'Lab test'!AU553,NA())</f>
        <v>1.3280000000000001</v>
      </c>
    </row>
    <row r="553" spans="19:21">
      <c r="S553">
        <v>551</v>
      </c>
      <c r="T553">
        <f>IF('Lab test'!AQ554&gt;0,'Lab test'!AQ554,NA())</f>
        <v>0.37636024351929254</v>
      </c>
      <c r="U553">
        <f>IF('Lab test'!AU554&gt;0,'Lab test'!AU554,NA())</f>
        <v>1.254</v>
      </c>
    </row>
    <row r="554" spans="19:21">
      <c r="S554">
        <v>552</v>
      </c>
      <c r="T554">
        <f>IF('Lab test'!AQ555&gt;0,'Lab test'!AQ555,NA())</f>
        <v>0.37916969104399589</v>
      </c>
      <c r="U554">
        <f>IF('Lab test'!AU555&gt;0,'Lab test'!AU555,NA())</f>
        <v>1.2330000000000001</v>
      </c>
    </row>
    <row r="555" spans="19:21">
      <c r="S555">
        <v>553</v>
      </c>
      <c r="T555">
        <f>IF('Lab test'!AQ556&gt;0,'Lab test'!AQ556,NA())</f>
        <v>0.39088439044414336</v>
      </c>
      <c r="U555">
        <f>IF('Lab test'!AU556&gt;0,'Lab test'!AU556,NA())</f>
        <v>1.198</v>
      </c>
    </row>
    <row r="556" spans="19:21">
      <c r="S556">
        <v>554</v>
      </c>
      <c r="T556">
        <f>IF('Lab test'!AQ557&gt;0,'Lab test'!AQ557,NA())</f>
        <v>0.38997372249711054</v>
      </c>
      <c r="U556">
        <f>IF('Lab test'!AU557&gt;0,'Lab test'!AU557,NA())</f>
        <v>1.2110000000000001</v>
      </c>
    </row>
    <row r="557" spans="19:21">
      <c r="S557">
        <v>555</v>
      </c>
      <c r="T557">
        <f>IF('Lab test'!AQ558&gt;0,'Lab test'!AQ558,NA())</f>
        <v>0.42425047498696711</v>
      </c>
      <c r="U557">
        <f>IF('Lab test'!AU558&gt;0,'Lab test'!AU558,NA())</f>
        <v>1.1779999999999999</v>
      </c>
    </row>
    <row r="558" spans="19:21">
      <c r="S558">
        <v>556</v>
      </c>
      <c r="T558">
        <f>IF('Lab test'!AQ559&gt;0,'Lab test'!AQ559,NA())</f>
        <v>0.42342609902808787</v>
      </c>
      <c r="U558">
        <f>IF('Lab test'!AU559&gt;0,'Lab test'!AU559,NA())</f>
        <v>1.175</v>
      </c>
    </row>
    <row r="559" spans="19:21">
      <c r="S559">
        <v>557</v>
      </c>
      <c r="T559">
        <f>IF('Lab test'!AQ560&gt;0,'Lab test'!AQ560,NA())</f>
        <v>0.43079623415356721</v>
      </c>
      <c r="U559">
        <f>IF('Lab test'!AU560&gt;0,'Lab test'!AU560,NA())</f>
        <v>1.1850000000000001</v>
      </c>
    </row>
    <row r="560" spans="19:21">
      <c r="S560">
        <v>558</v>
      </c>
      <c r="T560">
        <f>IF('Lab test'!AQ561&gt;0,'Lab test'!AQ561,NA())</f>
        <v>0.43027148458141312</v>
      </c>
      <c r="U560">
        <f>IF('Lab test'!AU561&gt;0,'Lab test'!AU561,NA())</f>
        <v>1.1950000000000001</v>
      </c>
    </row>
    <row r="561" spans="19:21">
      <c r="S561">
        <v>559</v>
      </c>
      <c r="T561">
        <f>IF('Lab test'!AQ562&gt;0,'Lab test'!AQ562,NA())</f>
        <v>0.43114690269690109</v>
      </c>
      <c r="U561">
        <f>IF('Lab test'!AU562&gt;0,'Lab test'!AU562,NA())</f>
        <v>1.1850000000000001</v>
      </c>
    </row>
    <row r="562" spans="19:21">
      <c r="S562">
        <v>560</v>
      </c>
      <c r="T562">
        <f>IF('Lab test'!AQ563&gt;0,'Lab test'!AQ563,NA())</f>
        <v>0.43741115462777957</v>
      </c>
      <c r="U562">
        <f>IF('Lab test'!AU563&gt;0,'Lab test'!AU563,NA())</f>
        <v>1.1719999999999999</v>
      </c>
    </row>
    <row r="563" spans="19:21">
      <c r="S563">
        <v>561</v>
      </c>
      <c r="T563">
        <f>IF('Lab test'!AQ564&gt;0,'Lab test'!AQ564,NA())</f>
        <v>0.45313135590429676</v>
      </c>
      <c r="U563">
        <f>IF('Lab test'!AU564&gt;0,'Lab test'!AU564,NA())</f>
        <v>1.145</v>
      </c>
    </row>
    <row r="564" spans="19:21">
      <c r="S564">
        <v>562</v>
      </c>
      <c r="T564">
        <f>IF('Lab test'!AQ565&gt;0,'Lab test'!AQ565,NA())</f>
        <v>0.45200557864972907</v>
      </c>
      <c r="U564">
        <f>IF('Lab test'!AU565&gt;0,'Lab test'!AU565,NA())</f>
        <v>1.141</v>
      </c>
    </row>
    <row r="565" spans="19:21">
      <c r="S565">
        <v>563</v>
      </c>
      <c r="T565">
        <f>IF('Lab test'!AQ566&gt;0,'Lab test'!AQ566,NA())</f>
        <v>0.50540328080046559</v>
      </c>
      <c r="U565">
        <f>IF('Lab test'!AU566&gt;0,'Lab test'!AU566,NA())</f>
        <v>1.038</v>
      </c>
    </row>
    <row r="566" spans="19:21">
      <c r="S566">
        <v>564</v>
      </c>
      <c r="T566">
        <f>IF('Lab test'!AQ567&gt;0,'Lab test'!AQ567,NA())</f>
        <v>0.50745271177557061</v>
      </c>
      <c r="U566">
        <f>IF('Lab test'!AU567&gt;0,'Lab test'!AU567,NA())</f>
        <v>1.081</v>
      </c>
    </row>
    <row r="567" spans="19:21">
      <c r="S567">
        <v>565</v>
      </c>
      <c r="T567">
        <f>IF('Lab test'!AQ568&gt;0,'Lab test'!AQ568,NA())</f>
        <v>0.50134190520437827</v>
      </c>
      <c r="U567">
        <f>IF('Lab test'!AU568&gt;0,'Lab test'!AU568,NA())</f>
        <v>1.109</v>
      </c>
    </row>
    <row r="568" spans="19:21">
      <c r="S568">
        <v>566</v>
      </c>
      <c r="T568">
        <f>IF('Lab test'!AQ569&gt;0,'Lab test'!AQ569,NA())</f>
        <v>0.56685650811523136</v>
      </c>
      <c r="U568">
        <f>IF('Lab test'!AU569&gt;0,'Lab test'!AU569,NA())</f>
        <v>0.99399999999999999</v>
      </c>
    </row>
    <row r="569" spans="19:21">
      <c r="S569">
        <v>567</v>
      </c>
      <c r="T569">
        <f>IF('Lab test'!AQ570&gt;0,'Lab test'!AQ570,NA())</f>
        <v>0.56733832443533361</v>
      </c>
      <c r="U569">
        <f>IF('Lab test'!AU570&gt;0,'Lab test'!AU570,NA())</f>
        <v>0.995</v>
      </c>
    </row>
    <row r="570" spans="19:21">
      <c r="S570">
        <v>568</v>
      </c>
      <c r="T570" t="e">
        <f>IF('Lab test'!AQ571&gt;0,'Lab test'!AQ571,NA())</f>
        <v>#N/A</v>
      </c>
      <c r="U570" t="e">
        <f>IF('Lab test'!AU571&gt;0,'Lab test'!AU571,NA())</f>
        <v>#N/A</v>
      </c>
    </row>
    <row r="571" spans="19:21">
      <c r="S571">
        <v>569</v>
      </c>
      <c r="T571" t="e">
        <f>IF('Lab test'!AQ572&gt;0,'Lab test'!AQ572,NA())</f>
        <v>#N/A</v>
      </c>
      <c r="U571" t="e">
        <f>IF('Lab test'!AU572&gt;0,'Lab test'!AU572,NA())</f>
        <v>#N/A</v>
      </c>
    </row>
    <row r="572" spans="19:21">
      <c r="S572">
        <v>570</v>
      </c>
      <c r="T572">
        <f>IF('Lab test'!AQ573&gt;0,'Lab test'!AQ573,NA())</f>
        <v>0.65703084006372336</v>
      </c>
      <c r="U572">
        <f>IF('Lab test'!AU573&gt;0,'Lab test'!AU573,NA())</f>
        <v>0.61087866108786615</v>
      </c>
    </row>
    <row r="573" spans="19:21">
      <c r="S573">
        <v>571</v>
      </c>
      <c r="T573">
        <f>IF('Lab test'!AQ574&gt;0,'Lab test'!AQ574,NA())</f>
        <v>0.59472075764221999</v>
      </c>
      <c r="U573">
        <f>IF('Lab test'!AU574&gt;0,'Lab test'!AU574,NA())</f>
        <v>0.60591133004926112</v>
      </c>
    </row>
    <row r="574" spans="19:21">
      <c r="S574">
        <v>572</v>
      </c>
      <c r="T574">
        <f>IF('Lab test'!AQ575&gt;0,'Lab test'!AQ575,NA())</f>
        <v>0.59472075764221999</v>
      </c>
      <c r="U574">
        <f>IF('Lab test'!AU575&gt;0,'Lab test'!AU575,NA())</f>
        <v>0.5714285714285714</v>
      </c>
    </row>
    <row r="575" spans="19:21">
      <c r="S575">
        <v>573</v>
      </c>
      <c r="T575">
        <f>IF('Lab test'!AQ576&gt;0,'Lab test'!AQ576,NA())</f>
        <v>0.67700045695184841</v>
      </c>
      <c r="U575">
        <f>IF('Lab test'!AU576&gt;0,'Lab test'!AU576,NA())</f>
        <v>0.60904255319148937</v>
      </c>
    </row>
    <row r="576" spans="19:21">
      <c r="S576">
        <v>574</v>
      </c>
      <c r="T576">
        <f>IF('Lab test'!AQ577&gt;0,'Lab test'!AQ577,NA())</f>
        <v>0.74187580759138161</v>
      </c>
      <c r="U576">
        <f>IF('Lab test'!AU577&gt;0,'Lab test'!AU577,NA())</f>
        <v>0.57843137254901966</v>
      </c>
    </row>
    <row r="577" spans="19:21">
      <c r="S577">
        <v>575</v>
      </c>
      <c r="T577" t="e">
        <f>IF('Lab test'!AQ578&gt;0,'Lab test'!AQ578,NA())</f>
        <v>#N/A</v>
      </c>
      <c r="U577" t="e">
        <f>IF('Lab test'!AU578&gt;0,'Lab test'!AU578,NA())</f>
        <v>#N/A</v>
      </c>
    </row>
    <row r="578" spans="19:21">
      <c r="S578">
        <v>576</v>
      </c>
      <c r="T578" t="e">
        <f>IF('Lab test'!AQ579&gt;0,'Lab test'!AQ579,NA())</f>
        <v>#N/A</v>
      </c>
      <c r="U578" t="e">
        <f>IF('Lab test'!AU579&gt;0,'Lab test'!AU579,NA())</f>
        <v>#N/A</v>
      </c>
    </row>
    <row r="579" spans="19:21">
      <c r="S579">
        <v>577</v>
      </c>
      <c r="T579" t="e">
        <f>IF('Lab test'!AQ580&gt;0,'Lab test'!AQ580,NA())</f>
        <v>#N/A</v>
      </c>
      <c r="U579" t="e">
        <f>IF('Lab test'!AU580&gt;0,'Lab test'!AU580,NA())</f>
        <v>#N/A</v>
      </c>
    </row>
    <row r="580" spans="19:21">
      <c r="S580">
        <v>578</v>
      </c>
      <c r="T580" t="e">
        <f>IF('Lab test'!AQ581&gt;0,'Lab test'!AQ581,NA())</f>
        <v>#N/A</v>
      </c>
      <c r="U580" t="e">
        <f>IF('Lab test'!AU581&gt;0,'Lab test'!AU581,NA())</f>
        <v>#N/A</v>
      </c>
    </row>
    <row r="581" spans="19:21">
      <c r="S581">
        <v>579</v>
      </c>
      <c r="T581" t="e">
        <f>IF('Lab test'!AQ582&gt;0,'Lab test'!AQ582,NA())</f>
        <v>#N/A</v>
      </c>
      <c r="U581" t="e">
        <f>IF('Lab test'!AU582&gt;0,'Lab test'!AU582,NA())</f>
        <v>#N/A</v>
      </c>
    </row>
    <row r="582" spans="19:21">
      <c r="S582">
        <v>580</v>
      </c>
      <c r="T582" t="e">
        <f>IF('Lab test'!AQ583&gt;0,'Lab test'!AQ583,NA())</f>
        <v>#N/A</v>
      </c>
      <c r="U582" t="e">
        <f>IF('Lab test'!AU583&gt;0,'Lab test'!AU583,NA())</f>
        <v>#N/A</v>
      </c>
    </row>
    <row r="583" spans="19:21">
      <c r="S583">
        <v>581</v>
      </c>
      <c r="T583" t="e">
        <f>IF('Lab test'!AQ584&gt;0,'Lab test'!AQ584,NA())</f>
        <v>#N/A</v>
      </c>
      <c r="U583" t="e">
        <f>IF('Lab test'!AU584&gt;0,'Lab test'!AU584,NA())</f>
        <v>#N/A</v>
      </c>
    </row>
    <row r="584" spans="19:21">
      <c r="S584">
        <v>582</v>
      </c>
      <c r="T584" t="e">
        <f>IF('Lab test'!AQ585&gt;0,'Lab test'!AQ585,NA())</f>
        <v>#N/A</v>
      </c>
      <c r="U584" t="e">
        <f>IF('Lab test'!AU585&gt;0,'Lab test'!AU585,NA())</f>
        <v>#N/A</v>
      </c>
    </row>
    <row r="585" spans="19:21">
      <c r="S585">
        <v>583</v>
      </c>
      <c r="T585" t="e">
        <f>IF('Lab test'!AQ586&gt;0,'Lab test'!AQ586,NA())</f>
        <v>#N/A</v>
      </c>
      <c r="U585" t="e">
        <f>IF('Lab test'!AU586&gt;0,'Lab test'!AU586,NA())</f>
        <v>#N/A</v>
      </c>
    </row>
    <row r="586" spans="19:21">
      <c r="S586">
        <v>584</v>
      </c>
      <c r="T586" t="e">
        <f>IF('Lab test'!AQ587&gt;0,'Lab test'!AQ587,NA())</f>
        <v>#N/A</v>
      </c>
      <c r="U586" t="e">
        <f>IF('Lab test'!AU587&gt;0,'Lab test'!AU587,NA())</f>
        <v>#N/A</v>
      </c>
    </row>
    <row r="587" spans="19:21">
      <c r="S587">
        <v>585</v>
      </c>
      <c r="T587" t="e">
        <f>IF('Lab test'!AQ588&gt;0,'Lab test'!AQ588,NA())</f>
        <v>#N/A</v>
      </c>
      <c r="U587" t="e">
        <f>IF('Lab test'!AU588&gt;0,'Lab test'!AU588,NA())</f>
        <v>#N/A</v>
      </c>
    </row>
    <row r="588" spans="19:21">
      <c r="S588">
        <v>586</v>
      </c>
      <c r="T588">
        <f>IF('Lab test'!AQ589&gt;0,'Lab test'!AQ589,NA())</f>
        <v>1.6979927069158915</v>
      </c>
      <c r="U588">
        <f>IF('Lab test'!AU589&gt;0,'Lab test'!AU589,NA())</f>
        <v>6.8049186129352304E-2</v>
      </c>
    </row>
    <row r="589" spans="19:21">
      <c r="S589">
        <v>587</v>
      </c>
      <c r="T589">
        <f>IF('Lab test'!AQ590&gt;0,'Lab test'!AQ590,NA())</f>
        <v>1.7160330855221739</v>
      </c>
      <c r="U589">
        <f>IF('Lab test'!AU590&gt;0,'Lab test'!AU590,NA())</f>
        <v>8.8463586674812938E-2</v>
      </c>
    </row>
    <row r="590" spans="19:21">
      <c r="S590">
        <v>588</v>
      </c>
      <c r="T590">
        <f>IF('Lab test'!AQ591&gt;0,'Lab test'!AQ591,NA())</f>
        <v>1.7827465266850737</v>
      </c>
      <c r="U590">
        <f>IF('Lab test'!AU591&gt;0,'Lab test'!AU591,NA())</f>
        <v>8.6859004296075348E-2</v>
      </c>
    </row>
    <row r="591" spans="19:21">
      <c r="S591">
        <v>589</v>
      </c>
      <c r="T591">
        <f>IF('Lab test'!AQ592&gt;0,'Lab test'!AQ592,NA())</f>
        <v>1.1699262352480448</v>
      </c>
      <c r="U591">
        <f>IF('Lab test'!AU592&gt;0,'Lab test'!AU592,NA())</f>
        <v>0.16166453715688101</v>
      </c>
    </row>
    <row r="592" spans="19:21">
      <c r="S592">
        <v>590</v>
      </c>
      <c r="T592">
        <f>IF('Lab test'!AQ593&gt;0,'Lab test'!AQ593,NA())</f>
        <v>1.1071927501539178</v>
      </c>
      <c r="U592">
        <f>IF('Lab test'!AU593&gt;0,'Lab test'!AU593,NA())</f>
        <v>0.20237507600746862</v>
      </c>
    </row>
    <row r="593" spans="19:21">
      <c r="S593">
        <v>591</v>
      </c>
      <c r="T593">
        <f>IF('Lab test'!AQ594&gt;0,'Lab test'!AQ594,NA())</f>
        <v>1.1027808496916107</v>
      </c>
      <c r="U593">
        <f>IF('Lab test'!AU594&gt;0,'Lab test'!AU594,NA())</f>
        <v>0.21007635078011105</v>
      </c>
    </row>
    <row r="594" spans="19:21">
      <c r="S594">
        <v>592</v>
      </c>
      <c r="T594">
        <f>IF('Lab test'!AQ595&gt;0,'Lab test'!AQ595,NA())</f>
        <v>1.044830987952263</v>
      </c>
      <c r="U594">
        <f>IF('Lab test'!AU595&gt;0,'Lab test'!AU595,NA())</f>
        <v>0.21744061368289605</v>
      </c>
    </row>
    <row r="595" spans="19:21">
      <c r="S595">
        <v>593</v>
      </c>
      <c r="T595">
        <f>IF('Lab test'!AQ596&gt;0,'Lab test'!AQ596,NA())</f>
        <v>1.0286412473130768</v>
      </c>
      <c r="U595">
        <f>IF('Lab test'!AU596&gt;0,'Lab test'!AU596,NA())</f>
        <v>0.21289086906615384</v>
      </c>
    </row>
    <row r="596" spans="19:21">
      <c r="S596">
        <v>594</v>
      </c>
      <c r="T596">
        <f>IF('Lab test'!AQ597&gt;0,'Lab test'!AQ597,NA())</f>
        <v>0.88612731391844146</v>
      </c>
      <c r="U596">
        <f>IF('Lab test'!AU597&gt;0,'Lab test'!AU597,NA())</f>
        <v>0.43365045052971174</v>
      </c>
    </row>
    <row r="597" spans="19:21">
      <c r="S597">
        <v>595</v>
      </c>
      <c r="T597">
        <f>IF('Lab test'!AQ598&gt;0,'Lab test'!AQ598,NA())</f>
        <v>0.78720599259469148</v>
      </c>
      <c r="U597">
        <f>IF('Lab test'!AU598&gt;0,'Lab test'!AU598,NA())</f>
        <v>0.49875947891637451</v>
      </c>
    </row>
    <row r="598" spans="19:21">
      <c r="S598">
        <v>596</v>
      </c>
      <c r="T598">
        <f>IF('Lab test'!AQ599&gt;0,'Lab test'!AQ599,NA())</f>
        <v>0.7509519609161065</v>
      </c>
      <c r="U598">
        <f>IF('Lab test'!AU599&gt;0,'Lab test'!AU599,NA())</f>
        <v>0.53859593333860656</v>
      </c>
    </row>
    <row r="599" spans="19:21">
      <c r="S599">
        <v>597</v>
      </c>
      <c r="T599">
        <f>IF('Lab test'!AQ600&gt;0,'Lab test'!AQ600,NA())</f>
        <v>0.69996069716312881</v>
      </c>
      <c r="U599">
        <f>IF('Lab test'!AU600&gt;0,'Lab test'!AU600,NA())</f>
        <v>0.57302113020946721</v>
      </c>
    </row>
    <row r="600" spans="19:21">
      <c r="S600">
        <v>598</v>
      </c>
      <c r="T600">
        <f>IF('Lab test'!AQ601&gt;0,'Lab test'!AQ601,NA())</f>
        <v>0.64802419711259707</v>
      </c>
      <c r="U600">
        <f>IF('Lab test'!AU601&gt;0,'Lab test'!AU601,NA())</f>
        <v>0.67599178306953278</v>
      </c>
    </row>
    <row r="601" spans="19:21">
      <c r="S601">
        <v>599</v>
      </c>
      <c r="T601">
        <f>IF('Lab test'!AQ602&gt;0,'Lab test'!AQ602,NA())</f>
        <v>0.63635091959803869</v>
      </c>
      <c r="U601">
        <f>IF('Lab test'!AU602&gt;0,'Lab test'!AU602,NA())</f>
        <v>0.71555018775255785</v>
      </c>
    </row>
    <row r="602" spans="19:21">
      <c r="S602">
        <v>600</v>
      </c>
      <c r="T602">
        <f>IF('Lab test'!AQ603&gt;0,'Lab test'!AQ603,NA())</f>
        <v>0.62072394133270858</v>
      </c>
      <c r="U602">
        <f>IF('Lab test'!AU603&gt;0,'Lab test'!AU603,NA())</f>
        <v>0.69463068194469424</v>
      </c>
    </row>
    <row r="603" spans="19:21">
      <c r="S603">
        <v>601</v>
      </c>
      <c r="T603">
        <f>IF('Lab test'!AQ604&gt;0,'Lab test'!AQ604,NA())</f>
        <v>0.62446595868682853</v>
      </c>
      <c r="U603">
        <f>IF('Lab test'!AU604&gt;0,'Lab test'!AU604,NA())</f>
        <v>0.62049036917671818</v>
      </c>
    </row>
    <row r="604" spans="19:21">
      <c r="S604">
        <v>602</v>
      </c>
      <c r="T604" t="e">
        <f>IF('Lab test'!AQ605&gt;0,'Lab test'!AQ605,NA())</f>
        <v>#N/A</v>
      </c>
      <c r="U604" t="e">
        <f>IF('Lab test'!AU605&gt;0,'Lab test'!AU605,NA())</f>
        <v>#N/A</v>
      </c>
    </row>
    <row r="605" spans="19:21">
      <c r="S605">
        <v>603</v>
      </c>
      <c r="T605" t="e">
        <f>IF('Lab test'!AQ606&gt;0,'Lab test'!AQ606,NA())</f>
        <v>#N/A</v>
      </c>
      <c r="U605" t="e">
        <f>IF('Lab test'!AU606&gt;0,'Lab test'!AU606,NA())</f>
        <v>#N/A</v>
      </c>
    </row>
    <row r="606" spans="19:21">
      <c r="S606">
        <v>604</v>
      </c>
      <c r="T606" t="e">
        <f>IF('Lab test'!AQ607&gt;0,'Lab test'!AQ607,NA())</f>
        <v>#N/A</v>
      </c>
      <c r="U606" t="e">
        <f>IF('Lab test'!AU607&gt;0,'Lab test'!AU607,NA())</f>
        <v>#N/A</v>
      </c>
    </row>
    <row r="607" spans="19:21">
      <c r="S607">
        <v>605</v>
      </c>
      <c r="T607" t="e">
        <f>IF('Lab test'!AQ608&gt;0,'Lab test'!AQ608,NA())</f>
        <v>#N/A</v>
      </c>
      <c r="U607" t="e">
        <f>IF('Lab test'!AU608&gt;0,'Lab test'!AU608,NA())</f>
        <v>#N/A</v>
      </c>
    </row>
    <row r="608" spans="19:21">
      <c r="S608">
        <v>606</v>
      </c>
      <c r="T608" t="e">
        <f>IF('Lab test'!AQ609&gt;0,'Lab test'!AQ609,NA())</f>
        <v>#N/A</v>
      </c>
      <c r="U608" t="e">
        <f>IF('Lab test'!AU609&gt;0,'Lab test'!AU609,NA())</f>
        <v>#N/A</v>
      </c>
    </row>
    <row r="609" spans="19:21">
      <c r="S609">
        <v>607</v>
      </c>
      <c r="T609" t="e">
        <f>IF('Lab test'!AQ610&gt;0,'Lab test'!AQ610,NA())</f>
        <v>#N/A</v>
      </c>
      <c r="U609" t="e">
        <f>IF('Lab test'!AU610&gt;0,'Lab test'!AU610,NA())</f>
        <v>#N/A</v>
      </c>
    </row>
    <row r="610" spans="19:21">
      <c r="S610">
        <v>608</v>
      </c>
      <c r="T610" t="e">
        <f>IF('Lab test'!AQ611&gt;0,'Lab test'!AQ611,NA())</f>
        <v>#N/A</v>
      </c>
      <c r="U610" t="e">
        <f>IF('Lab test'!AU611&gt;0,'Lab test'!AU611,NA())</f>
        <v>#N/A</v>
      </c>
    </row>
    <row r="611" spans="19:21">
      <c r="S611">
        <v>609</v>
      </c>
      <c r="T611" t="e">
        <f>IF('Lab test'!AQ612&gt;0,'Lab test'!AQ612,NA())</f>
        <v>#N/A</v>
      </c>
      <c r="U611" t="e">
        <f>IF('Lab test'!AU612&gt;0,'Lab test'!AU612,NA())</f>
        <v>#N/A</v>
      </c>
    </row>
    <row r="612" spans="19:21">
      <c r="S612">
        <v>610</v>
      </c>
      <c r="T612" t="e">
        <f>IF('Lab test'!AQ613&gt;0,'Lab test'!AQ613,NA())</f>
        <v>#N/A</v>
      </c>
      <c r="U612" t="e">
        <f>IF('Lab test'!AU613&gt;0,'Lab test'!AU613,NA())</f>
        <v>#N/A</v>
      </c>
    </row>
    <row r="613" spans="19:21">
      <c r="S613">
        <v>611</v>
      </c>
      <c r="T613" t="e">
        <f>IF('Lab test'!AQ614&gt;0,'Lab test'!AQ614,NA())</f>
        <v>#N/A</v>
      </c>
      <c r="U613" t="e">
        <f>IF('Lab test'!AU614&gt;0,'Lab test'!AU614,NA())</f>
        <v>#N/A</v>
      </c>
    </row>
    <row r="614" spans="19:21">
      <c r="S614">
        <v>612</v>
      </c>
      <c r="T614" t="e">
        <f>IF('Lab test'!AQ615&gt;0,'Lab test'!AQ615,NA())</f>
        <v>#N/A</v>
      </c>
      <c r="U614" t="e">
        <f>IF('Lab test'!AU615&gt;0,'Lab test'!AU615,NA())</f>
        <v>#N/A</v>
      </c>
    </row>
    <row r="615" spans="19:21">
      <c r="S615">
        <v>613</v>
      </c>
      <c r="T615" t="e">
        <f>IF('Lab test'!AQ616&gt;0,'Lab test'!AQ616,NA())</f>
        <v>#N/A</v>
      </c>
      <c r="U615" t="e">
        <f>IF('Lab test'!AU616&gt;0,'Lab test'!AU616,NA())</f>
        <v>#N/A</v>
      </c>
    </row>
    <row r="616" spans="19:21">
      <c r="S616">
        <v>614</v>
      </c>
      <c r="T616" t="e">
        <f>IF('Lab test'!AQ617&gt;0,'Lab test'!AQ617,NA())</f>
        <v>#N/A</v>
      </c>
      <c r="U616" t="e">
        <f>IF('Lab test'!AU617&gt;0,'Lab test'!AU617,NA())</f>
        <v>#N/A</v>
      </c>
    </row>
    <row r="617" spans="19:21">
      <c r="S617">
        <v>615</v>
      </c>
      <c r="T617" t="e">
        <f>IF('Lab test'!AQ618&gt;0,'Lab test'!AQ618,NA())</f>
        <v>#N/A</v>
      </c>
      <c r="U617" t="e">
        <f>IF('Lab test'!AU618&gt;0,'Lab test'!AU618,NA())</f>
        <v>#N/A</v>
      </c>
    </row>
    <row r="618" spans="19:21">
      <c r="S618">
        <v>616</v>
      </c>
      <c r="T618" t="e">
        <f>IF('Lab test'!AQ619&gt;0,'Lab test'!AQ619,NA())</f>
        <v>#N/A</v>
      </c>
      <c r="U618" t="e">
        <f>IF('Lab test'!AU619&gt;0,'Lab test'!AU619,NA())</f>
        <v>#N/A</v>
      </c>
    </row>
    <row r="619" spans="19:21">
      <c r="S619">
        <v>617</v>
      </c>
      <c r="T619" t="e">
        <f>IF('Lab test'!AQ620&gt;0,'Lab test'!AQ620,NA())</f>
        <v>#N/A</v>
      </c>
      <c r="U619" t="e">
        <f>IF('Lab test'!AU620&gt;0,'Lab test'!AU620,NA())</f>
        <v>#N/A</v>
      </c>
    </row>
    <row r="620" spans="19:21">
      <c r="S620">
        <v>618</v>
      </c>
      <c r="T620" t="e">
        <f>IF('Lab test'!AQ621&gt;0,'Lab test'!AQ621,NA())</f>
        <v>#N/A</v>
      </c>
      <c r="U620" t="e">
        <f>IF('Lab test'!AU621&gt;0,'Lab test'!AU621,NA())</f>
        <v>#N/A</v>
      </c>
    </row>
    <row r="621" spans="19:21">
      <c r="S621">
        <v>619</v>
      </c>
      <c r="T621" t="e">
        <f>IF('Lab test'!AQ622&gt;0,'Lab test'!AQ622,NA())</f>
        <v>#N/A</v>
      </c>
      <c r="U621" t="e">
        <f>IF('Lab test'!AU622&gt;0,'Lab test'!AU622,NA())</f>
        <v>#N/A</v>
      </c>
    </row>
    <row r="622" spans="19:21">
      <c r="S622">
        <v>620</v>
      </c>
      <c r="T622" t="e">
        <f>IF('Lab test'!AQ623&gt;0,'Lab test'!AQ623,NA())</f>
        <v>#N/A</v>
      </c>
      <c r="U622" t="e">
        <f>IF('Lab test'!AU623&gt;0,'Lab test'!AU623,NA())</f>
        <v>#N/A</v>
      </c>
    </row>
    <row r="623" spans="19:21">
      <c r="S623">
        <v>621</v>
      </c>
      <c r="T623" t="e">
        <f>IF('Lab test'!AQ624&gt;0,'Lab test'!AQ624,NA())</f>
        <v>#N/A</v>
      </c>
      <c r="U623" t="e">
        <f>IF('Lab test'!AU624&gt;0,'Lab test'!AU624,NA())</f>
        <v>#N/A</v>
      </c>
    </row>
    <row r="624" spans="19:21">
      <c r="S624">
        <v>622</v>
      </c>
      <c r="T624" t="e">
        <f>IF('Lab test'!AQ625&gt;0,'Lab test'!AQ625,NA())</f>
        <v>#N/A</v>
      </c>
      <c r="U624" t="e">
        <f>IF('Lab test'!AU625&gt;0,'Lab test'!AU625,NA())</f>
        <v>#N/A</v>
      </c>
    </row>
    <row r="625" spans="19:21">
      <c r="S625">
        <v>623</v>
      </c>
      <c r="T625" t="e">
        <f>IF('Lab test'!AQ626&gt;0,'Lab test'!AQ626,NA())</f>
        <v>#N/A</v>
      </c>
      <c r="U625" t="e">
        <f>IF('Lab test'!AU626&gt;0,'Lab test'!AU626,NA())</f>
        <v>#N/A</v>
      </c>
    </row>
    <row r="626" spans="19:21">
      <c r="S626">
        <v>624</v>
      </c>
      <c r="T626" t="e">
        <f>IF('Lab test'!AQ627&gt;0,'Lab test'!AQ627,NA())</f>
        <v>#N/A</v>
      </c>
      <c r="U626" t="e">
        <f>IF('Lab test'!AU627&gt;0,'Lab test'!AU627,NA())</f>
        <v>#N/A</v>
      </c>
    </row>
    <row r="627" spans="19:21">
      <c r="S627">
        <v>625</v>
      </c>
      <c r="T627" t="e">
        <f>IF('Lab test'!AQ628&gt;0,'Lab test'!AQ628,NA())</f>
        <v>#N/A</v>
      </c>
      <c r="U627" t="e">
        <f>IF('Lab test'!AU628&gt;0,'Lab test'!AU628,NA())</f>
        <v>#N/A</v>
      </c>
    </row>
    <row r="628" spans="19:21">
      <c r="S628">
        <v>626</v>
      </c>
      <c r="T628" t="e">
        <f>IF('Lab test'!AQ629&gt;0,'Lab test'!AQ629,NA())</f>
        <v>#N/A</v>
      </c>
      <c r="U628" t="e">
        <f>IF('Lab test'!AU629&gt;0,'Lab test'!AU629,NA())</f>
        <v>#N/A</v>
      </c>
    </row>
    <row r="629" spans="19:21">
      <c r="S629">
        <v>627</v>
      </c>
      <c r="T629" t="e">
        <f>IF('Lab test'!AQ630&gt;0,'Lab test'!AQ630,NA())</f>
        <v>#N/A</v>
      </c>
      <c r="U629" t="e">
        <f>IF('Lab test'!AU630&gt;0,'Lab test'!AU630,NA())</f>
        <v>#N/A</v>
      </c>
    </row>
    <row r="630" spans="19:21">
      <c r="S630">
        <v>628</v>
      </c>
      <c r="T630" t="e">
        <f>IF('Lab test'!AQ631&gt;0,'Lab test'!AQ631,NA())</f>
        <v>#N/A</v>
      </c>
      <c r="U630" t="e">
        <f>IF('Lab test'!AU631&gt;0,'Lab test'!AU631,NA())</f>
        <v>#N/A</v>
      </c>
    </row>
    <row r="631" spans="19:21">
      <c r="S631">
        <v>629</v>
      </c>
      <c r="T631">
        <f>IF('Lab test'!AQ632&gt;0,'Lab test'!AQ632,NA())</f>
        <v>0.78168035347984766</v>
      </c>
      <c r="U631">
        <f>IF('Lab test'!AU632&gt;0,'Lab test'!AU632,NA())</f>
        <v>0.65910423448974254</v>
      </c>
    </row>
    <row r="632" spans="19:21">
      <c r="S632">
        <v>630</v>
      </c>
      <c r="T632">
        <f>IF('Lab test'!AQ633&gt;0,'Lab test'!AQ633,NA())</f>
        <v>0.78177993693823999</v>
      </c>
      <c r="U632">
        <f>IF('Lab test'!AU633&gt;0,'Lab test'!AU633,NA())</f>
        <v>0.73164020018185083</v>
      </c>
    </row>
    <row r="633" spans="19:21">
      <c r="S633">
        <v>631</v>
      </c>
      <c r="T633">
        <f>IF('Lab test'!AQ634&gt;0,'Lab test'!AQ634,NA())</f>
        <v>0.78584018832874736</v>
      </c>
      <c r="U633">
        <f>IF('Lab test'!AU634&gt;0,'Lab test'!AU634,NA())</f>
        <v>0.74197367799895397</v>
      </c>
    </row>
    <row r="634" spans="19:21">
      <c r="S634">
        <v>632</v>
      </c>
      <c r="T634">
        <f>IF('Lab test'!AQ635&gt;0,'Lab test'!AQ635,NA())</f>
        <v>0.97155641252055591</v>
      </c>
      <c r="U634">
        <f>IF('Lab test'!AU635&gt;0,'Lab test'!AU635,NA())</f>
        <v>0.59943327954300518</v>
      </c>
    </row>
    <row r="635" spans="19:21">
      <c r="S635">
        <v>633</v>
      </c>
      <c r="T635">
        <f>IF('Lab test'!AQ636&gt;0,'Lab test'!AQ636,NA())</f>
        <v>1.1003752159579392</v>
      </c>
      <c r="U635">
        <f>IF('Lab test'!AU636&gt;0,'Lab test'!AU636,NA())</f>
        <v>0.47452014010224142</v>
      </c>
    </row>
    <row r="636" spans="19:21">
      <c r="S636">
        <v>634</v>
      </c>
      <c r="T636">
        <f>IF('Lab test'!AQ637&gt;0,'Lab test'!AQ637,NA())</f>
        <v>1.2184529540321307</v>
      </c>
      <c r="U636">
        <f>IF('Lab test'!AU637&gt;0,'Lab test'!AU637,NA())</f>
        <v>0.41147872227061655</v>
      </c>
    </row>
    <row r="637" spans="19:21">
      <c r="S637">
        <v>635</v>
      </c>
      <c r="T637">
        <f>IF('Lab test'!AQ638&gt;0,'Lab test'!AQ638,NA())</f>
        <v>1.2591363721062079</v>
      </c>
      <c r="U637">
        <f>IF('Lab test'!AU638&gt;0,'Lab test'!AU638,NA())</f>
        <v>0.43648770803450215</v>
      </c>
    </row>
    <row r="638" spans="19:21">
      <c r="S638">
        <v>636</v>
      </c>
      <c r="T638">
        <f>IF('Lab test'!AQ639&gt;0,'Lab test'!AQ639,NA())</f>
        <v>1.2184529540321307</v>
      </c>
      <c r="U638">
        <f>IF('Lab test'!AU639&gt;0,'Lab test'!AU639,NA())</f>
        <v>0.42205831742746502</v>
      </c>
    </row>
    <row r="639" spans="19:21">
      <c r="S639">
        <v>637</v>
      </c>
      <c r="T639">
        <f>IF('Lab test'!AQ640&gt;0,'Lab test'!AQ640,NA())</f>
        <v>1.699156790684943</v>
      </c>
      <c r="U639">
        <f>IF('Lab test'!AU640&gt;0,'Lab test'!AU640,NA())</f>
        <v>0.13837693892294989</v>
      </c>
    </row>
    <row r="640" spans="19:21">
      <c r="S640">
        <v>638</v>
      </c>
      <c r="T640">
        <f>IF('Lab test'!AQ641&gt;0,'Lab test'!AQ641,NA())</f>
        <v>1.894386721273368</v>
      </c>
      <c r="U640">
        <f>IF('Lab test'!AU641&gt;0,'Lab test'!AU641,NA())</f>
        <v>7.4429044293290128E-2</v>
      </c>
    </row>
    <row r="641" spans="19:21">
      <c r="S641">
        <v>639</v>
      </c>
      <c r="T641">
        <f>IF('Lab test'!AQ642&gt;0,'Lab test'!AQ642,NA())</f>
        <v>1.9545910119003018</v>
      </c>
      <c r="U641">
        <f>IF('Lab test'!AU642&gt;0,'Lab test'!AU642,NA())</f>
        <v>4.648752281897358E-2</v>
      </c>
    </row>
    <row r="642" spans="19:21">
      <c r="S642">
        <v>640</v>
      </c>
      <c r="T642">
        <f>IF('Lab test'!AQ643&gt;0,'Lab test'!AQ643,NA())</f>
        <v>0.34281948099173432</v>
      </c>
      <c r="U642">
        <f>IF('Lab test'!AU643&gt;0,'Lab test'!AU643,NA())</f>
        <v>1.1842241731176193</v>
      </c>
    </row>
    <row r="643" spans="19:21">
      <c r="S643">
        <v>641</v>
      </c>
      <c r="T643">
        <f>IF('Lab test'!AQ644&gt;0,'Lab test'!AQ644,NA())</f>
        <v>0.34281948099173432</v>
      </c>
      <c r="U643">
        <f>IF('Lab test'!AU644&gt;0,'Lab test'!AU644,NA())</f>
        <v>1.163077312883376</v>
      </c>
    </row>
    <row r="644" spans="19:21">
      <c r="S644">
        <v>642</v>
      </c>
      <c r="T644">
        <f>IF('Lab test'!AQ645&gt;0,'Lab test'!AQ645,NA())</f>
        <v>0.34281948099173432</v>
      </c>
      <c r="U644">
        <f>IF('Lab test'!AU645&gt;0,'Lab test'!AU645,NA())</f>
        <v>1.1654269640205142</v>
      </c>
    </row>
    <row r="645" spans="19:21">
      <c r="S645">
        <v>643</v>
      </c>
      <c r="T645">
        <f>IF('Lab test'!AQ646&gt;0,'Lab test'!AQ646,NA())</f>
        <v>0.39132885715957288</v>
      </c>
      <c r="U645">
        <f>IF('Lab test'!AU646&gt;0,'Lab test'!AU646,NA())</f>
        <v>1.1202160333442182</v>
      </c>
    </row>
    <row r="646" spans="19:21">
      <c r="S646">
        <v>644</v>
      </c>
      <c r="T646">
        <f>IF('Lab test'!AQ647&gt;0,'Lab test'!AQ647,NA())</f>
        <v>0.42872945561881576</v>
      </c>
      <c r="U646">
        <f>IF('Lab test'!AU647&gt;0,'Lab test'!AU647,NA())</f>
        <v>1.1227301564840846</v>
      </c>
    </row>
    <row r="647" spans="19:21">
      <c r="S647">
        <v>645</v>
      </c>
      <c r="T647">
        <f>IF('Lab test'!AQ648&gt;0,'Lab test'!AQ648,NA())</f>
        <v>0.54541103723030948</v>
      </c>
      <c r="U647">
        <f>IF('Lab test'!AU648&gt;0,'Lab test'!AU648,NA())</f>
        <v>0.96771139078826063</v>
      </c>
    </row>
    <row r="648" spans="19:21">
      <c r="S648">
        <v>646</v>
      </c>
      <c r="T648">
        <f>IF('Lab test'!AQ649&gt;0,'Lab test'!AQ649,NA())</f>
        <v>0.42156225176784912</v>
      </c>
      <c r="U648">
        <f>IF('Lab test'!AU649&gt;0,'Lab test'!AU649,NA())</f>
        <v>1.1176821705798701</v>
      </c>
    </row>
    <row r="649" spans="19:21">
      <c r="S649">
        <v>647</v>
      </c>
      <c r="T649">
        <f>IF('Lab test'!AQ650&gt;0,'Lab test'!AQ650,NA())</f>
        <v>0.49141257117512094</v>
      </c>
      <c r="U649">
        <f>IF('Lab test'!AU650&gt;0,'Lab test'!AU650,NA())</f>
        <v>0.96413522634375726</v>
      </c>
    </row>
    <row r="650" spans="19:21">
      <c r="S650">
        <v>648</v>
      </c>
      <c r="T650">
        <f>IF('Lab test'!AQ651&gt;0,'Lab test'!AQ651,NA())</f>
        <v>0.241975947938706</v>
      </c>
      <c r="U650">
        <f>IF('Lab test'!AU651&gt;0,'Lab test'!AU651,NA())</f>
        <v>1.305863045228943</v>
      </c>
    </row>
    <row r="651" spans="19:21">
      <c r="S651">
        <v>649</v>
      </c>
      <c r="T651">
        <f>IF('Lab test'!AQ652&gt;0,'Lab test'!AQ652,NA())</f>
        <v>0.4245053995073802</v>
      </c>
      <c r="U651">
        <f>IF('Lab test'!AU652&gt;0,'Lab test'!AU652,NA())</f>
        <v>1.082152328475152</v>
      </c>
    </row>
    <row r="652" spans="19:21">
      <c r="S652">
        <v>650</v>
      </c>
      <c r="T652">
        <f>IF('Lab test'!AQ653&gt;0,'Lab test'!AQ653,NA())</f>
        <v>0.56320848058467998</v>
      </c>
      <c r="U652">
        <f>IF('Lab test'!AU653&gt;0,'Lab test'!AU653,NA())</f>
        <v>1.039820577489436</v>
      </c>
    </row>
    <row r="653" spans="19:21">
      <c r="S653">
        <v>651</v>
      </c>
      <c r="T653">
        <f>IF('Lab test'!AQ654&gt;0,'Lab test'!AQ654,NA())</f>
        <v>0.71742518528170218</v>
      </c>
      <c r="U653">
        <f>IF('Lab test'!AU654&gt;0,'Lab test'!AU654,NA())</f>
        <v>0.93907398472989767</v>
      </c>
    </row>
    <row r="654" spans="19:21">
      <c r="S654">
        <v>652</v>
      </c>
      <c r="T654">
        <f>IF('Lab test'!AQ655&gt;0,'Lab test'!AQ655,NA())</f>
        <v>0.86415918222963573</v>
      </c>
      <c r="U654">
        <f>IF('Lab test'!AU655&gt;0,'Lab test'!AU655,NA())</f>
        <v>0.83406953996785571</v>
      </c>
    </row>
    <row r="655" spans="19:21">
      <c r="S655">
        <v>653</v>
      </c>
      <c r="T655">
        <f>IF('Lab test'!AQ656&gt;0,'Lab test'!AQ656,NA())</f>
        <v>0.9842089657928268</v>
      </c>
      <c r="U655">
        <f>IF('Lab test'!AU656&gt;0,'Lab test'!AU656,NA())</f>
        <v>0.76843352990906788</v>
      </c>
    </row>
    <row r="656" spans="19:21">
      <c r="S656">
        <v>654</v>
      </c>
      <c r="T656">
        <f>IF('Lab test'!AQ657&gt;0,'Lab test'!AQ657,NA())</f>
        <v>0.24123225295325118</v>
      </c>
      <c r="U656">
        <f>IF('Lab test'!AU657&gt;0,'Lab test'!AU657,NA())</f>
        <v>1.2109756097560975</v>
      </c>
    </row>
    <row r="657" spans="19:21">
      <c r="S657">
        <v>655</v>
      </c>
      <c r="T657">
        <f>IF('Lab test'!AQ658&gt;0,'Lab test'!AQ658,NA())</f>
        <v>0.42320071389874231</v>
      </c>
      <c r="U657">
        <f>IF('Lab test'!AU658&gt;0,'Lab test'!AU658,NA())</f>
        <v>1.0219512195121949</v>
      </c>
    </row>
    <row r="658" spans="19:21">
      <c r="S658">
        <v>656</v>
      </c>
      <c r="T658">
        <f>IF('Lab test'!AQ659&gt;0,'Lab test'!AQ659,NA())</f>
        <v>0.56147750142603015</v>
      </c>
      <c r="U658">
        <f>IF('Lab test'!AU659&gt;0,'Lab test'!AU659,NA())</f>
        <v>0.97926829268292681</v>
      </c>
    </row>
    <row r="659" spans="19:21">
      <c r="S659">
        <v>657</v>
      </c>
      <c r="T659">
        <f>IF('Lab test'!AQ660&gt;0,'Lab test'!AQ660,NA())</f>
        <v>0.71522023261066969</v>
      </c>
      <c r="U659">
        <f>IF('Lab test'!AU660&gt;0,'Lab test'!AU660,NA())</f>
        <v>0.89390243902439015</v>
      </c>
    </row>
    <row r="660" spans="19:21">
      <c r="S660">
        <v>658</v>
      </c>
      <c r="T660">
        <f>IF('Lab test'!AQ661&gt;0,'Lab test'!AQ661,NA())</f>
        <v>0.86150325358906799</v>
      </c>
      <c r="U660">
        <f>IF('Lab test'!AU661&gt;0,'Lab test'!AU661,NA())</f>
        <v>0.83048780487804874</v>
      </c>
    </row>
    <row r="661" spans="19:21">
      <c r="S661">
        <v>659</v>
      </c>
      <c r="T661">
        <f>IF('Lab test'!AQ662&gt;0,'Lab test'!AQ662,NA())</f>
        <v>0.98118407311760436</v>
      </c>
      <c r="U661">
        <f>IF('Lab test'!AU662&gt;0,'Lab test'!AU662,NA())</f>
        <v>0.73780487804878037</v>
      </c>
    </row>
    <row r="662" spans="19:21">
      <c r="S662">
        <v>660</v>
      </c>
      <c r="T662" t="e">
        <f>IF('Lab test'!AQ663&gt;0,'Lab test'!AQ663,NA())</f>
        <v>#N/A</v>
      </c>
      <c r="U662" t="e">
        <f>IF('Lab test'!AU663&gt;0,'Lab test'!AU663,NA())</f>
        <v>#N/A</v>
      </c>
    </row>
    <row r="663" spans="19:21">
      <c r="S663">
        <v>661</v>
      </c>
      <c r="T663" t="e">
        <f>IF('Lab test'!AQ664&gt;0,'Lab test'!AQ664,NA())</f>
        <v>#N/A</v>
      </c>
      <c r="U663" t="e">
        <f>IF('Lab test'!AU664&gt;0,'Lab test'!AU664,NA())</f>
        <v>#N/A</v>
      </c>
    </row>
    <row r="664" spans="19:21">
      <c r="S664">
        <v>662</v>
      </c>
      <c r="T664" t="e">
        <f>IF('Lab test'!AQ665&gt;0,'Lab test'!AQ665,NA())</f>
        <v>#N/A</v>
      </c>
      <c r="U664" t="e">
        <f>IF('Lab test'!AU665&gt;0,'Lab test'!AU665,NA())</f>
        <v>#N/A</v>
      </c>
    </row>
    <row r="665" spans="19:21">
      <c r="S665">
        <v>663</v>
      </c>
      <c r="T665" t="e">
        <f>IF('Lab test'!AQ666&gt;0,'Lab test'!AQ666,NA())</f>
        <v>#N/A</v>
      </c>
      <c r="U665" t="e">
        <f>IF('Lab test'!AU666&gt;0,'Lab test'!AU666,NA())</f>
        <v>#N/A</v>
      </c>
    </row>
    <row r="666" spans="19:21">
      <c r="S666">
        <v>664</v>
      </c>
      <c r="T666" t="e">
        <f>IF('Lab test'!AQ667&gt;0,'Lab test'!AQ667,NA())</f>
        <v>#N/A</v>
      </c>
      <c r="U666" t="e">
        <f>IF('Lab test'!AU667&gt;0,'Lab test'!AU667,NA())</f>
        <v>#N/A</v>
      </c>
    </row>
    <row r="667" spans="19:21">
      <c r="S667">
        <v>665</v>
      </c>
      <c r="T667" t="e">
        <f>IF('Lab test'!AQ668&gt;0,'Lab test'!AQ668,NA())</f>
        <v>#N/A</v>
      </c>
      <c r="U667" t="e">
        <f>IF('Lab test'!AU668&gt;0,'Lab test'!AU668,NA())</f>
        <v>#N/A</v>
      </c>
    </row>
    <row r="668" spans="19:21">
      <c r="S668">
        <v>666</v>
      </c>
      <c r="T668" t="e">
        <f>IF('Lab test'!AQ669&gt;0,'Lab test'!AQ669,NA())</f>
        <v>#N/A</v>
      </c>
      <c r="U668" t="e">
        <f>IF('Lab test'!AU669&gt;0,'Lab test'!AU669,NA())</f>
        <v>#N/A</v>
      </c>
    </row>
    <row r="669" spans="19:21">
      <c r="S669">
        <v>667</v>
      </c>
      <c r="T669" t="e">
        <f>IF('Lab test'!AQ670&gt;0,'Lab test'!AQ670,NA())</f>
        <v>#N/A</v>
      </c>
      <c r="U669" t="e">
        <f>IF('Lab test'!AU670&gt;0,'Lab test'!AU670,NA())</f>
        <v>#N/A</v>
      </c>
    </row>
    <row r="670" spans="19:21">
      <c r="S670">
        <v>668</v>
      </c>
      <c r="T670" t="e">
        <f>IF('Lab test'!AQ671&gt;0,'Lab test'!AQ671,NA())</f>
        <v>#N/A</v>
      </c>
      <c r="U670" t="e">
        <f>IF('Lab test'!AU671&gt;0,'Lab test'!AU671,NA())</f>
        <v>#N/A</v>
      </c>
    </row>
    <row r="671" spans="19:21">
      <c r="S671">
        <v>669</v>
      </c>
      <c r="T671" t="e">
        <f>IF('Lab test'!AQ672&gt;0,'Lab test'!AQ672,NA())</f>
        <v>#N/A</v>
      </c>
      <c r="U671" t="e">
        <f>IF('Lab test'!AU672&gt;0,'Lab test'!AU672,NA())</f>
        <v>#N/A</v>
      </c>
    </row>
    <row r="672" spans="19:21">
      <c r="S672">
        <v>670</v>
      </c>
      <c r="T672" t="e">
        <f>IF('Lab test'!AQ673&gt;0,'Lab test'!AQ673,NA())</f>
        <v>#N/A</v>
      </c>
      <c r="U672" t="e">
        <f>IF('Lab test'!AU673&gt;0,'Lab test'!AU673,NA())</f>
        <v>#N/A</v>
      </c>
    </row>
  </sheetData>
  <mergeCells count="11">
    <mergeCell ref="S1:U1"/>
    <mergeCell ref="E6:E7"/>
    <mergeCell ref="D6:D7"/>
    <mergeCell ref="C6:C7"/>
    <mergeCell ref="B6:B7"/>
    <mergeCell ref="K6:K7"/>
    <mergeCell ref="J6:J7"/>
    <mergeCell ref="I6:I7"/>
    <mergeCell ref="H6:H7"/>
    <mergeCell ref="G6:G7"/>
    <mergeCell ref="F6:F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24166-181C-4543-8492-D316E23566A8}">
  <sheetPr>
    <tabColor rgb="FF00B050"/>
  </sheetPr>
  <dimension ref="B2:AQ674"/>
  <sheetViews>
    <sheetView zoomScaleNormal="100" workbookViewId="0"/>
  </sheetViews>
  <sheetFormatPr defaultRowHeight="15.75"/>
  <cols>
    <col min="2" max="2" width="10.25" customWidth="1"/>
    <col min="4" max="4" width="9.125" bestFit="1" customWidth="1"/>
    <col min="5" max="5" width="9.375" bestFit="1" customWidth="1"/>
    <col min="6" max="6" width="9.625" customWidth="1"/>
    <col min="7" max="10" width="9.125" bestFit="1" customWidth="1"/>
    <col min="29" max="29" width="7.75" bestFit="1" customWidth="1"/>
  </cols>
  <sheetData>
    <row r="2" spans="2:43">
      <c r="B2" s="1082"/>
      <c r="C2" s="1083"/>
      <c r="D2" s="1086" t="s">
        <v>890</v>
      </c>
      <c r="E2" s="1076" t="s">
        <v>902</v>
      </c>
      <c r="F2" s="1076" t="s">
        <v>524</v>
      </c>
      <c r="G2" s="1076" t="s">
        <v>1094</v>
      </c>
      <c r="H2" s="1076" t="s">
        <v>903</v>
      </c>
      <c r="I2" s="1076" t="s">
        <v>904</v>
      </c>
      <c r="J2" s="1074" t="s">
        <v>905</v>
      </c>
      <c r="K2" s="820"/>
      <c r="L2" s="820"/>
      <c r="M2" s="820"/>
    </row>
    <row r="3" spans="2:43">
      <c r="B3" s="1082"/>
      <c r="C3" s="1083"/>
      <c r="D3" s="1086"/>
      <c r="E3" s="1076"/>
      <c r="F3" s="1076"/>
      <c r="G3" s="1076"/>
      <c r="H3" s="1076"/>
      <c r="I3" s="1076"/>
      <c r="J3" s="1074"/>
      <c r="K3" s="820"/>
      <c r="L3" s="820"/>
      <c r="M3" s="820"/>
      <c r="O3" s="1067" t="s">
        <v>1065</v>
      </c>
      <c r="P3" s="1067"/>
      <c r="Q3" s="1067"/>
      <c r="R3" s="1067"/>
      <c r="S3" s="1067"/>
      <c r="T3" s="1067"/>
      <c r="U3" s="1067"/>
      <c r="V3" s="1067"/>
      <c r="W3" s="1067"/>
      <c r="X3" s="1067"/>
      <c r="Y3" s="1067"/>
      <c r="Z3" s="1067"/>
      <c r="AA3" s="1067"/>
      <c r="AC3" s="1067" t="s">
        <v>876</v>
      </c>
      <c r="AD3" s="1067"/>
      <c r="AE3" s="1067"/>
      <c r="AF3" s="1067"/>
      <c r="AG3" s="1067"/>
      <c r="AH3" s="1067"/>
      <c r="AI3" s="1067"/>
      <c r="AK3" s="1067" t="s">
        <v>877</v>
      </c>
      <c r="AL3" s="1067"/>
      <c r="AM3" s="1067"/>
      <c r="AN3" s="1067"/>
      <c r="AO3" s="1067"/>
      <c r="AP3" s="1067"/>
      <c r="AQ3" s="1067"/>
    </row>
    <row r="4" spans="2:43" ht="16.5" thickBot="1">
      <c r="B4" s="1084"/>
      <c r="C4" s="1085"/>
      <c r="D4" s="1087"/>
      <c r="E4" s="1077"/>
      <c r="F4" s="1077"/>
      <c r="G4" s="1077"/>
      <c r="H4" s="1077"/>
      <c r="I4" s="1077"/>
      <c r="J4" s="1075"/>
      <c r="K4" s="820"/>
      <c r="L4" s="820"/>
      <c r="M4" s="820"/>
      <c r="P4" t="s">
        <v>899</v>
      </c>
      <c r="Q4" t="s">
        <v>900</v>
      </c>
      <c r="R4" t="s">
        <v>901</v>
      </c>
      <c r="S4" t="s">
        <v>871</v>
      </c>
      <c r="T4" t="s">
        <v>898</v>
      </c>
      <c r="U4" t="s">
        <v>894</v>
      </c>
      <c r="V4" t="s">
        <v>872</v>
      </c>
      <c r="W4" t="s">
        <v>873</v>
      </c>
      <c r="X4" t="s">
        <v>874</v>
      </c>
      <c r="Y4" t="s">
        <v>1124</v>
      </c>
      <c r="Z4" t="s">
        <v>875</v>
      </c>
      <c r="AA4" t="s">
        <v>21</v>
      </c>
      <c r="AC4" t="s">
        <v>751</v>
      </c>
      <c r="AD4" t="s">
        <v>750</v>
      </c>
      <c r="AE4" t="s">
        <v>523</v>
      </c>
      <c r="AF4" t="s">
        <v>524</v>
      </c>
      <c r="AG4" t="s">
        <v>749</v>
      </c>
      <c r="AH4" t="s">
        <v>870</v>
      </c>
      <c r="AI4" t="s">
        <v>868</v>
      </c>
      <c r="AK4" t="s">
        <v>751</v>
      </c>
      <c r="AL4" t="s">
        <v>750</v>
      </c>
      <c r="AM4" t="s">
        <v>523</v>
      </c>
      <c r="AN4" t="s">
        <v>524</v>
      </c>
      <c r="AO4" t="s">
        <v>749</v>
      </c>
      <c r="AP4" t="s">
        <v>870</v>
      </c>
      <c r="AQ4" t="s">
        <v>868</v>
      </c>
    </row>
    <row r="5" spans="2:43">
      <c r="B5" s="1078" t="s">
        <v>891</v>
      </c>
      <c r="C5" s="747" t="s">
        <v>892</v>
      </c>
      <c r="D5" s="804" cm="1">
        <f t="array" ref="D5">COUNT(IF(ISNUMBER($P$5:$P$674),IF(ISNUMBER($Y$5:$Y$674),IF($Z$5:$Z$674=D$47,$P$5:$P$674))))</f>
        <v>78</v>
      </c>
      <c r="E5" s="831" cm="1">
        <f t="array" ref="E5">COUNT(IF(ISNUMBER($P$5:$P$674),IF(ISNUMBER($Y$5:$Y$674),IF($Z$5:$Z$674=E$47,$P$5:$P$674))))</f>
        <v>36</v>
      </c>
      <c r="F5" s="804" cm="1">
        <f t="array" ref="F5">COUNT(IF(ISNUMBER($P$5:$P$674),IF(ISNUMBER($Y$5:$Y$674),IF($Z$5:$Z$674=F$47,$P$5:$P$674))))</f>
        <v>97</v>
      </c>
      <c r="G5" s="831" cm="1">
        <f t="array" ref="G5">COUNT(IF(ISNUMBER($P$5:$P$674),IF(ISNUMBER($Y$5:$Y$674),IF($Z$5:$Z$674=G$47,$P$5:$P$674))))</f>
        <v>99</v>
      </c>
      <c r="H5" s="804" cm="1">
        <f t="array" ref="H5">COUNT(IF(ISNUMBER($P$5:$P$674),IF(ISNUMBER($Y$5:$Y$674),IF($Z$5:$Z$674=H$47,$P$5:$P$674))))</f>
        <v>262</v>
      </c>
      <c r="I5" s="831" cm="1">
        <f t="array" ref="I5">COUNT(IF(ISNUMBER($P$5:$P$674),IF(ISNUMBER($Y$5:$Y$674),IF($Z$5:$Z$674=I$47,$P$5:$P$674))))</f>
        <v>46</v>
      </c>
      <c r="J5" s="832" cm="1">
        <f t="array" ref="J5">COUNT(IF(ISNUMBER($P$5:$P$674),IF(ISNUMBER($Y$5:$Y$674),IF($Z$5:$Z$674=J$47,$P$5:$P$674))))</f>
        <v>30</v>
      </c>
      <c r="O5">
        <v>1</v>
      </c>
      <c r="P5" s="401">
        <f>'Lab test'!N4</f>
        <v>33.647579999999998</v>
      </c>
      <c r="Q5" s="401">
        <f>'Lab test'!M4</f>
        <v>1.2852399999999999</v>
      </c>
      <c r="R5">
        <f>IF('Lab test'!O4&gt;0,'Lab test'!O4,NA())</f>
        <v>152.4</v>
      </c>
      <c r="S5">
        <f>'Lab test'!Q4</f>
        <v>26.18</v>
      </c>
      <c r="T5" s="401">
        <f>IF('Lab test'!P4&gt;0,'Lab test'!P4,NA())</f>
        <v>0.88521004234513578</v>
      </c>
      <c r="U5" s="401">
        <f>'Lab test'!AZ4</f>
        <v>1965</v>
      </c>
      <c r="V5">
        <f>IF('Lab test'!AQ4&gt;0,'Lab test'!AQ4,NA())</f>
        <v>0.47570278474289773</v>
      </c>
      <c r="W5">
        <f>IF('Lab test'!AU4&gt;0,'Lab test'!AU4,NA())</f>
        <v>1.0371782312925171</v>
      </c>
      <c r="X5">
        <f>IF('Lab test'!AT4&gt;0,'Lab test'!AT4,NA())</f>
        <v>0.23470631808912235</v>
      </c>
      <c r="Y5">
        <f>IF(OR(ISNUMBER(W5),ISNUMBER(X5)),1,NA())</f>
        <v>1</v>
      </c>
      <c r="Z5" t="str">
        <f>'Lab test'!AC4</f>
        <v>Machined</v>
      </c>
      <c r="AA5" t="str">
        <f>'Lab test'!T4</f>
        <v>Aluminium</v>
      </c>
      <c r="AC5" t="e">
        <f>IF(EXACT($AC$4,Z5),W5,NA())</f>
        <v>#N/A</v>
      </c>
      <c r="AD5" t="e">
        <f>IF(EXACT($AD$4,Z5),W5,NA())</f>
        <v>#N/A</v>
      </c>
      <c r="AE5" t="e">
        <f>IF(EXACT($AE$4,Z5),W5,NA())</f>
        <v>#N/A</v>
      </c>
      <c r="AF5">
        <f>IF(EXACT($AF$4,Z5),W5,NA())</f>
        <v>1.0371782312925171</v>
      </c>
      <c r="AG5" t="e">
        <f>IF(EXACT($AG$4,Z5),W5,NA())</f>
        <v>#N/A</v>
      </c>
      <c r="AH5" t="e">
        <f>IF(EXACT($AH$4,Z5),W5,NA())</f>
        <v>#N/A</v>
      </c>
      <c r="AI5" t="e">
        <f>IF(EXACT($AI$4,Z5),W5,NA())</f>
        <v>#N/A</v>
      </c>
      <c r="AK5" t="e">
        <f>IF(EXACT($AK$4,Z5),X5,NA())</f>
        <v>#N/A</v>
      </c>
      <c r="AL5" t="e">
        <f>IF(EXACT($AL$4,Z5),X5,NA())</f>
        <v>#N/A</v>
      </c>
      <c r="AM5" t="e">
        <f>IF(EXACT($AM$4,Z5),X5,NA())</f>
        <v>#N/A</v>
      </c>
      <c r="AN5">
        <f>IF(EXACT($AN$4,Z5),X5,NA())</f>
        <v>0.23470631808912235</v>
      </c>
      <c r="AO5" t="e">
        <f>IF(EXACT($AO$4,Z5),X5,NA())</f>
        <v>#N/A</v>
      </c>
      <c r="AP5" t="e">
        <f>IF(EXACT($AP$4,Z5),X5,NA())</f>
        <v>#N/A</v>
      </c>
      <c r="AQ5" t="e">
        <f>IF(EXACT($AQ$4,Z5),X5,NA())</f>
        <v>#N/A</v>
      </c>
    </row>
    <row r="6" spans="2:43">
      <c r="B6" s="1076"/>
      <c r="C6" s="748" t="s">
        <v>893</v>
      </c>
      <c r="D6" s="718">
        <f t="shared" ref="D6:J6" si="0">D5/SUM($D$5:$J$5)*100</f>
        <v>12.037037037037036</v>
      </c>
      <c r="E6" s="717">
        <f t="shared" si="0"/>
        <v>5.5555555555555554</v>
      </c>
      <c r="F6" s="718">
        <f t="shared" si="0"/>
        <v>14.969135802469136</v>
      </c>
      <c r="G6" s="717">
        <f t="shared" si="0"/>
        <v>15.277777777777779</v>
      </c>
      <c r="H6" s="718">
        <f t="shared" si="0"/>
        <v>40.432098765432102</v>
      </c>
      <c r="I6" s="717">
        <f t="shared" si="0"/>
        <v>7.098765432098765</v>
      </c>
      <c r="J6" s="740">
        <f t="shared" si="0"/>
        <v>4.6296296296296298</v>
      </c>
      <c r="K6" s="821"/>
      <c r="L6" s="821"/>
      <c r="M6" s="821"/>
      <c r="O6">
        <v>2</v>
      </c>
      <c r="P6" s="401">
        <f>'Lab test'!N5</f>
        <v>33.645960000000002</v>
      </c>
      <c r="Q6" s="401">
        <f>'Lab test'!M5</f>
        <v>1.27254</v>
      </c>
      <c r="R6">
        <f>IF('Lab test'!O5&gt;0,'Lab test'!O5,NA())</f>
        <v>228.6</v>
      </c>
      <c r="S6">
        <f>'Lab test'!Q5</f>
        <v>26.44</v>
      </c>
      <c r="T6" s="401">
        <f>IF('Lab test'!P5&gt;0,'Lab test'!P5,NA())</f>
        <v>1.3213338499168563</v>
      </c>
      <c r="U6" s="401">
        <f>'Lab test'!AZ5</f>
        <v>1965</v>
      </c>
      <c r="V6">
        <f>IF('Lab test'!AQ5&gt;0,'Lab test'!AQ5,NA())</f>
        <v>0.47805914917453252</v>
      </c>
      <c r="W6">
        <f>IF('Lab test'!AU5&gt;0,'Lab test'!AU5,NA())</f>
        <v>1.0106292902066485</v>
      </c>
      <c r="X6">
        <f>IF('Lab test'!AT5&gt;0,'Lab test'!AT5,NA())</f>
        <v>0.23096977394057869</v>
      </c>
      <c r="Y6">
        <f t="shared" ref="Y6:Y69" si="1">IF(OR(ISNUMBER(W6),ISNUMBER(X6)),1,NA())</f>
        <v>1</v>
      </c>
      <c r="Z6" t="str">
        <f>'Lab test'!AC5</f>
        <v>Machined</v>
      </c>
      <c r="AA6" t="str">
        <f>'Lab test'!T5</f>
        <v>Aluminium</v>
      </c>
      <c r="AC6" t="e">
        <f t="shared" ref="AC6:AC69" si="2">IF(EXACT($AC$4,Z6),W6,NA())</f>
        <v>#N/A</v>
      </c>
      <c r="AD6" t="e">
        <f t="shared" ref="AD6:AD69" si="3">IF(EXACT($AD$4,Z6),W6,NA())</f>
        <v>#N/A</v>
      </c>
      <c r="AE6" t="e">
        <f t="shared" ref="AE6:AE69" si="4">IF(EXACT($AE$4,Z6),W6,NA())</f>
        <v>#N/A</v>
      </c>
      <c r="AF6">
        <f t="shared" ref="AF6:AF69" si="5">IF(EXACT($AF$4,Z6),W6,NA())</f>
        <v>1.0106292902066485</v>
      </c>
      <c r="AG6" t="e">
        <f t="shared" ref="AG6:AG69" si="6">IF(EXACT($AG$4,Z6),W6,NA())</f>
        <v>#N/A</v>
      </c>
      <c r="AH6" t="e">
        <f t="shared" ref="AH6:AH69" si="7">IF(EXACT($AH$4,Z6),W6,NA())</f>
        <v>#N/A</v>
      </c>
      <c r="AI6" t="e">
        <f t="shared" ref="AI6:AI69" si="8">IF(EXACT($AI$4,Z6),W6,NA())</f>
        <v>#N/A</v>
      </c>
      <c r="AK6" t="e">
        <f t="shared" ref="AK6:AK69" si="9">IF(EXACT($AK$4,Z6),X6,NA())</f>
        <v>#N/A</v>
      </c>
      <c r="AL6" t="e">
        <f t="shared" ref="AL6:AL69" si="10">IF(EXACT($AL$4,Z6),X6,NA())</f>
        <v>#N/A</v>
      </c>
      <c r="AM6" t="e">
        <f t="shared" ref="AM6:AM69" si="11">IF(EXACT($AM$4,Z6),X6,NA())</f>
        <v>#N/A</v>
      </c>
      <c r="AN6">
        <f t="shared" ref="AN6:AN69" si="12">IF(EXACT($AN$4,Z6),X6,NA())</f>
        <v>0.23096977394057869</v>
      </c>
      <c r="AO6" t="e">
        <f t="shared" ref="AO6:AO69" si="13">IF(EXACT($AO$4,Z6),X6,NA())</f>
        <v>#N/A</v>
      </c>
      <c r="AP6" t="e">
        <f t="shared" ref="AP6:AP69" si="14">IF(EXACT($AP$4,Z6),X6,NA())</f>
        <v>#N/A</v>
      </c>
      <c r="AQ6" t="e">
        <f t="shared" ref="AQ6:AQ69" si="15">IF(EXACT($AQ$4,Z6),X6,NA())</f>
        <v>#N/A</v>
      </c>
    </row>
    <row r="7" spans="2:43">
      <c r="B7" s="1078" t="s">
        <v>894</v>
      </c>
      <c r="C7" s="747" t="s">
        <v>895</v>
      </c>
      <c r="D7" s="716" cm="1">
        <f t="array" ref="D7">MIN(IF(ISNUMBER($U$5:$U$674),IF(ISNUMBER($Y$5:$Y$674),IF($Z$5:$Z$674=D$47,$U$5:$U$674))))</f>
        <v>1909</v>
      </c>
      <c r="E7" s="715" cm="1">
        <f t="array" ref="E7">MIN(IF(ISNUMBER($U$5:$U$674),IF(ISNUMBER($Y$5:$Y$674),IF($Z$5:$Z$674=E$47,$U$5:$U$674))))</f>
        <v>1933</v>
      </c>
      <c r="F7" s="716" cm="1">
        <f t="array" ref="F7">MIN(IF(ISNUMBER($U$5:$U$674),IF(ISNUMBER($Y$5:$Y$674),IF($Z$5:$Z$674=F$47,$U$5:$U$674))))</f>
        <v>1933</v>
      </c>
      <c r="G7" s="715" cm="1">
        <f t="array" ref="G7">MIN(IF(ISNUMBER($U$5:$U$674),IF(ISNUMBER($Y$5:$Y$674),IF($Z$5:$Z$674=G$47,$U$5:$U$674))))</f>
        <v>1928</v>
      </c>
      <c r="H7" s="716" cm="1">
        <f t="array" ref="H7">MIN(IF(ISNUMBER($U$5:$U$674),IF(ISNUMBER($Y$5:$Y$674),IF($Z$5:$Z$674=H$47,$U$5:$U$674))))</f>
        <v>1933</v>
      </c>
      <c r="I7" s="715" cm="1">
        <f t="array" ref="I7">MIN(IF(ISNUMBER($U$5:$U$674),IF(ISNUMBER($Y$5:$Y$674),IF($Z$5:$Z$674=I$47,$U$5:$U$674))))</f>
        <v>1962</v>
      </c>
      <c r="J7" s="746" cm="1">
        <f t="array" ref="J7">MIN(IF(ISNUMBER($U$5:$U$674),IF(ISNUMBER($Y$5:$Y$674),IF($Z$5:$Z$674=J$47,$U$5:$U$674))))</f>
        <v>1933</v>
      </c>
      <c r="K7" s="803"/>
      <c r="L7" s="803"/>
      <c r="M7" s="803"/>
      <c r="O7">
        <v>3</v>
      </c>
      <c r="P7" s="401">
        <f>'Lab test'!N6</f>
        <v>33.647579999999998</v>
      </c>
      <c r="Q7" s="401">
        <f>'Lab test'!M6</f>
        <v>1.2852399999999999</v>
      </c>
      <c r="R7">
        <f>IF('Lab test'!O6&gt;0,'Lab test'!O6,NA())</f>
        <v>87.63</v>
      </c>
      <c r="S7">
        <f>'Lab test'!Q6</f>
        <v>26.18</v>
      </c>
      <c r="T7" s="401">
        <f>IF('Lab test'!P6&gt;0,'Lab test'!P6,NA())</f>
        <v>0.508995774348453</v>
      </c>
      <c r="U7" s="401">
        <f>'Lab test'!AZ6</f>
        <v>1965</v>
      </c>
      <c r="V7">
        <f>IF('Lab test'!AQ6&gt;0,'Lab test'!AQ6,NA())</f>
        <v>0.47570278474289773</v>
      </c>
      <c r="W7">
        <f>IF('Lab test'!AU6&gt;0,'Lab test'!AU6,NA())</f>
        <v>1.0292135541008856</v>
      </c>
      <c r="X7">
        <f>IF('Lab test'!AT6&gt;0,'Lab test'!AT6,NA())</f>
        <v>0.23290396628302373</v>
      </c>
      <c r="Y7">
        <f t="shared" si="1"/>
        <v>1</v>
      </c>
      <c r="Z7" t="str">
        <f>'Lab test'!AC6</f>
        <v>Machined</v>
      </c>
      <c r="AA7" t="str">
        <f>'Lab test'!T6</f>
        <v>Aluminium</v>
      </c>
      <c r="AC7" t="e">
        <f t="shared" si="2"/>
        <v>#N/A</v>
      </c>
      <c r="AD7" t="e">
        <f t="shared" si="3"/>
        <v>#N/A</v>
      </c>
      <c r="AE7" t="e">
        <f t="shared" si="4"/>
        <v>#N/A</v>
      </c>
      <c r="AF7">
        <f t="shared" si="5"/>
        <v>1.0292135541008856</v>
      </c>
      <c r="AG7" t="e">
        <f t="shared" si="6"/>
        <v>#N/A</v>
      </c>
      <c r="AH7" t="e">
        <f t="shared" si="7"/>
        <v>#N/A</v>
      </c>
      <c r="AI7" t="e">
        <f t="shared" si="8"/>
        <v>#N/A</v>
      </c>
      <c r="AK7" t="e">
        <f t="shared" si="9"/>
        <v>#N/A</v>
      </c>
      <c r="AL7" t="e">
        <f t="shared" si="10"/>
        <v>#N/A</v>
      </c>
      <c r="AM7" t="e">
        <f t="shared" si="11"/>
        <v>#N/A</v>
      </c>
      <c r="AN7">
        <f t="shared" si="12"/>
        <v>0.23290396628302373</v>
      </c>
      <c r="AO7" t="e">
        <f t="shared" si="13"/>
        <v>#N/A</v>
      </c>
      <c r="AP7" t="e">
        <f t="shared" si="14"/>
        <v>#N/A</v>
      </c>
      <c r="AQ7" t="e">
        <f t="shared" si="15"/>
        <v>#N/A</v>
      </c>
    </row>
    <row r="8" spans="2:43">
      <c r="B8" s="1076"/>
      <c r="C8" s="747" t="s">
        <v>887</v>
      </c>
      <c r="D8" s="803" cm="1">
        <f t="array" ref="D8">MEDIAN(IF(ISNUMBER($U$5:$U$674),IF(ISNUMBER($Y$5:$Y$674),IF($Z$5:$Z$674=D$47,$U$5:$U$674))))</f>
        <v>1938</v>
      </c>
      <c r="E8" s="719" cm="1">
        <f t="array" ref="E8">MEDIAN(IF(ISNUMBER($U$5:$U$674),IF(ISNUMBER($Y$5:$Y$674),IF($Z$5:$Z$674=E$47,$U$5:$U$674))))</f>
        <v>1937</v>
      </c>
      <c r="F8" s="803" cm="1">
        <f t="array" ref="F8">MEDIAN(IF(ISNUMBER($U$5:$U$674),IF(ISNUMBER($Y$5:$Y$674),IF($Z$5:$Z$674=F$47,$U$5:$U$674))))</f>
        <v>1950</v>
      </c>
      <c r="G8" s="719" cm="1">
        <f t="array" ref="G8">MEDIAN(IF(ISNUMBER($U$5:$U$674),IF(ISNUMBER($Y$5:$Y$674),IF($Z$5:$Z$674=G$47,$U$5:$U$674))))</f>
        <v>1977</v>
      </c>
      <c r="H8" s="803" cm="1">
        <f t="array" ref="H8">MEDIAN(IF(ISNUMBER($U$5:$U$674),IF(ISNUMBER($Y$5:$Y$674),IF($Z$5:$Z$674=H$47,$U$5:$U$674))))</f>
        <v>1939</v>
      </c>
      <c r="I8" s="857" cm="1">
        <f t="array" ref="I8">MEDIAN(IF(ISNUMBER($U$5:$U$674),IF(ISNUMBER($Y$5:$Y$674),IF($Z$5:$Z$674=I$47,$U$5:$U$674))))</f>
        <v>1967.5</v>
      </c>
      <c r="J8" s="739" cm="1">
        <f t="array" ref="J8">MEDIAN(IF(ISNUMBER($U$5:$U$674),IF(ISNUMBER($Y$5:$Y$674),IF($Z$5:$Z$674=J$47,$U$5:$U$674))))</f>
        <v>1959</v>
      </c>
      <c r="K8" s="803"/>
      <c r="L8" s="803"/>
      <c r="M8" s="803"/>
      <c r="O8">
        <v>4</v>
      </c>
      <c r="P8" s="401">
        <f>'Lab test'!N7</f>
        <v>33.645960000000002</v>
      </c>
      <c r="Q8" s="401">
        <f>'Lab test'!M7</f>
        <v>1.27254</v>
      </c>
      <c r="R8">
        <f>IF('Lab test'!O7&gt;0,'Lab test'!O7,NA())</f>
        <v>50.8</v>
      </c>
      <c r="S8">
        <f>'Lab test'!Q7</f>
        <v>26.44</v>
      </c>
      <c r="T8" s="401">
        <f>IF('Lab test'!P7&gt;0,'Lab test'!P7,NA())</f>
        <v>0.29362974442596801</v>
      </c>
      <c r="U8" s="401">
        <f>'Lab test'!AZ7</f>
        <v>1965</v>
      </c>
      <c r="V8">
        <f>IF('Lab test'!AQ7&gt;0,'Lab test'!AQ7,NA())</f>
        <v>0.47805914917453252</v>
      </c>
      <c r="W8">
        <f>IF('Lab test'!AU7&gt;0,'Lab test'!AU7,NA())</f>
        <v>1.0548774996791168</v>
      </c>
      <c r="X8">
        <f>IF('Lab test'!AT7&gt;0,'Lab test'!AT7,NA())</f>
        <v>0.241082284074776</v>
      </c>
      <c r="Y8">
        <f t="shared" si="1"/>
        <v>1</v>
      </c>
      <c r="Z8" t="str">
        <f>'Lab test'!AC7</f>
        <v>Machined</v>
      </c>
      <c r="AA8" t="str">
        <f>'Lab test'!T7</f>
        <v>Aluminium</v>
      </c>
      <c r="AC8" t="e">
        <f t="shared" si="2"/>
        <v>#N/A</v>
      </c>
      <c r="AD8" t="e">
        <f t="shared" si="3"/>
        <v>#N/A</v>
      </c>
      <c r="AE8" t="e">
        <f t="shared" si="4"/>
        <v>#N/A</v>
      </c>
      <c r="AF8">
        <f t="shared" si="5"/>
        <v>1.0548774996791168</v>
      </c>
      <c r="AG8" t="e">
        <f t="shared" si="6"/>
        <v>#N/A</v>
      </c>
      <c r="AH8" t="e">
        <f t="shared" si="7"/>
        <v>#N/A</v>
      </c>
      <c r="AI8" t="e">
        <f t="shared" si="8"/>
        <v>#N/A</v>
      </c>
      <c r="AK8" t="e">
        <f t="shared" si="9"/>
        <v>#N/A</v>
      </c>
      <c r="AL8" t="e">
        <f t="shared" si="10"/>
        <v>#N/A</v>
      </c>
      <c r="AM8" t="e">
        <f t="shared" si="11"/>
        <v>#N/A</v>
      </c>
      <c r="AN8">
        <f t="shared" si="12"/>
        <v>0.241082284074776</v>
      </c>
      <c r="AO8" t="e">
        <f t="shared" si="13"/>
        <v>#N/A</v>
      </c>
      <c r="AP8" t="e">
        <f t="shared" si="14"/>
        <v>#N/A</v>
      </c>
      <c r="AQ8" t="e">
        <f t="shared" si="15"/>
        <v>#N/A</v>
      </c>
    </row>
    <row r="9" spans="2:43">
      <c r="B9" s="1079"/>
      <c r="C9" s="747" t="s">
        <v>896</v>
      </c>
      <c r="D9" s="823" cm="1">
        <f t="array" ref="D9">MAX(IF(ISNUMBER($U$5:$U$674),IF(ISNUMBER($Y$5:$Y$674),IF($Z$5:$Z$674=D$47,$U$5:$U$674))))</f>
        <v>2020</v>
      </c>
      <c r="E9" s="828" cm="1">
        <f t="array" ref="E9">MAX(IF(ISNUMBER($U$5:$U$674),IF(ISNUMBER($Y$5:$Y$674),IF($Z$5:$Z$674=E$47,$U$5:$U$674))))</f>
        <v>2016</v>
      </c>
      <c r="F9" s="823" cm="1">
        <f t="array" ref="F9">MAX(IF(ISNUMBER($U$5:$U$674),IF(ISNUMBER($Y$5:$Y$674),IF($Z$5:$Z$674=F$47,$U$5:$U$674))))</f>
        <v>1985</v>
      </c>
      <c r="G9" s="828" cm="1">
        <f t="array" ref="G9">MAX(IF(ISNUMBER($U$5:$U$674),IF(ISNUMBER($Y$5:$Y$674),IF($Z$5:$Z$674=G$47,$U$5:$U$674))))</f>
        <v>2017</v>
      </c>
      <c r="H9" s="823" cm="1">
        <f t="array" ref="H9">MAX(IF(ISNUMBER($U$5:$U$674),IF(ISNUMBER($Y$5:$Y$674),IF($Z$5:$Z$674=H$47,$U$5:$U$674))))</f>
        <v>2016</v>
      </c>
      <c r="I9" s="828" cm="1">
        <f t="array" ref="I9">MAX(IF(ISNUMBER($U$5:$U$674),IF(ISNUMBER($Y$5:$Y$674),IF($Z$5:$Z$674=I$47,$U$5:$U$674))))</f>
        <v>1972</v>
      </c>
      <c r="J9" s="824" cm="1">
        <f t="array" ref="J9">MAX(IF(ISNUMBER($U$5:$U$674),IF(ISNUMBER($Y$5:$Y$674),IF($Z$5:$Z$674=J$47,$U$5:$U$674))))</f>
        <v>2019</v>
      </c>
      <c r="K9" s="803"/>
      <c r="L9" s="803"/>
      <c r="M9" s="803"/>
      <c r="O9">
        <v>5</v>
      </c>
      <c r="P9" s="401">
        <f>'Lab test'!N8</f>
        <v>33.645960000000002</v>
      </c>
      <c r="Q9" s="401">
        <f>'Lab test'!M8</f>
        <v>1.27254</v>
      </c>
      <c r="R9">
        <f>IF('Lab test'!O8&gt;0,'Lab test'!O8,NA())</f>
        <v>99.313999999999993</v>
      </c>
      <c r="S9">
        <f>'Lab test'!Q8</f>
        <v>26.44</v>
      </c>
      <c r="T9" s="401">
        <f>IF('Lab test'!P8&gt;0,'Lab test'!P8,NA())</f>
        <v>0.57404615035276751</v>
      </c>
      <c r="U9" s="401">
        <f>'Lab test'!AZ8</f>
        <v>1965</v>
      </c>
      <c r="V9">
        <f>IF('Lab test'!AQ8&gt;0,'Lab test'!AQ8,NA())</f>
        <v>0.47805914917453252</v>
      </c>
      <c r="W9">
        <f>IF('Lab test'!AU8&gt;0,'Lab test'!AU8,NA())</f>
        <v>1.0283285842638943</v>
      </c>
      <c r="X9">
        <f>IF('Lab test'!AT8&gt;0,'Lab test'!AT8,NA())</f>
        <v>0.23501478034097101</v>
      </c>
      <c r="Y9">
        <f t="shared" si="1"/>
        <v>1</v>
      </c>
      <c r="Z9" t="str">
        <f>'Lab test'!AC8</f>
        <v>Machined</v>
      </c>
      <c r="AA9" t="str">
        <f>'Lab test'!T8</f>
        <v>Aluminium</v>
      </c>
      <c r="AC9" t="e">
        <f t="shared" si="2"/>
        <v>#N/A</v>
      </c>
      <c r="AD9" t="e">
        <f t="shared" si="3"/>
        <v>#N/A</v>
      </c>
      <c r="AE9" t="e">
        <f t="shared" si="4"/>
        <v>#N/A</v>
      </c>
      <c r="AF9">
        <f t="shared" si="5"/>
        <v>1.0283285842638943</v>
      </c>
      <c r="AG9" t="e">
        <f t="shared" si="6"/>
        <v>#N/A</v>
      </c>
      <c r="AH9" t="e">
        <f t="shared" si="7"/>
        <v>#N/A</v>
      </c>
      <c r="AI9" t="e">
        <f t="shared" si="8"/>
        <v>#N/A</v>
      </c>
      <c r="AK9" t="e">
        <f t="shared" si="9"/>
        <v>#N/A</v>
      </c>
      <c r="AL9" t="e">
        <f t="shared" si="10"/>
        <v>#N/A</v>
      </c>
      <c r="AM9" t="e">
        <f t="shared" si="11"/>
        <v>#N/A</v>
      </c>
      <c r="AN9">
        <f t="shared" si="12"/>
        <v>0.23501478034097101</v>
      </c>
      <c r="AO9" t="e">
        <f t="shared" si="13"/>
        <v>#N/A</v>
      </c>
      <c r="AP9" t="e">
        <f t="shared" si="14"/>
        <v>#N/A</v>
      </c>
      <c r="AQ9" t="e">
        <f t="shared" si="15"/>
        <v>#N/A</v>
      </c>
    </row>
    <row r="10" spans="2:43">
      <c r="B10" s="1076" t="s">
        <v>906</v>
      </c>
      <c r="C10" s="749" t="s">
        <v>885</v>
      </c>
      <c r="D10" s="833" cm="1">
        <f t="array" ref="D10">MIN(IF(ISNUMBER($P$5:$P$674),IF(ISNUMBER($Y$5:$Y$674),IF($Z$5:$Z$674=D$47,$P$5:$P$674))))</f>
        <v>12.7</v>
      </c>
      <c r="E10" s="834" cm="1">
        <f t="array" ref="E10">MIN(IF(ISNUMBER($P$5:$P$674),IF(ISNUMBER($Y$5:$Y$674),IF($Z$5:$Z$674=E$47,$P$5:$P$674))))</f>
        <v>153.16200000000001</v>
      </c>
      <c r="F10" s="833" cm="1">
        <f t="array" ref="F10">MIN(IF(ISNUMBER($P$5:$P$674),IF(ISNUMBER($Y$5:$Y$674),IF($Z$5:$Z$674=F$47,$P$5:$P$674))))</f>
        <v>17.585689999999996</v>
      </c>
      <c r="G10" s="834" cm="1">
        <f t="array" ref="G10">MIN(IF(ISNUMBER($P$5:$P$674),IF(ISNUMBER($Y$5:$Y$674),IF($Z$5:$Z$674=G$47,$P$5:$P$674))))</f>
        <v>41.274999999999999</v>
      </c>
      <c r="H10" s="833" cm="1">
        <f t="array" ref="H10">MIN(IF(ISNUMBER($P$5:$P$674),IF(ISNUMBER($Y$5:$Y$674),IF($Z$5:$Z$674=H$47,$P$5:$P$674))))</f>
        <v>23.876000000000001</v>
      </c>
      <c r="I10" s="834" cm="1">
        <f t="array" ref="I10">MIN(IF(ISNUMBER($P$5:$P$674),IF(ISNUMBER($Y$5:$Y$674),IF($Z$5:$Z$674=I$47,$P$5:$P$674))))</f>
        <v>36.83</v>
      </c>
      <c r="J10" s="835" cm="1">
        <f t="array" ref="J10">MIN(IF(ISNUMBER($P$5:$P$674),IF(ISNUMBER($Y$5:$Y$674),IF($Z$5:$Z$674=J$47,$P$5:$P$674))))</f>
        <v>31.75</v>
      </c>
      <c r="K10" s="818"/>
      <c r="L10" s="818"/>
      <c r="M10" s="818"/>
      <c r="O10">
        <v>6</v>
      </c>
      <c r="P10" s="401">
        <f>'Lab test'!N9</f>
        <v>33.663739999999997</v>
      </c>
      <c r="Q10" s="401">
        <f>'Lab test'!M9</f>
        <v>1.26746</v>
      </c>
      <c r="R10">
        <f>IF('Lab test'!O9&gt;0,'Lab test'!O9,NA())</f>
        <v>25.4</v>
      </c>
      <c r="S10">
        <f>'Lab test'!Q9</f>
        <v>26.56</v>
      </c>
      <c r="T10" s="401">
        <f>IF('Lab test'!P9&gt;0,'Lab test'!P9,NA())</f>
        <v>0.14640546958087963</v>
      </c>
      <c r="U10" s="401">
        <f>'Lab test'!AZ9</f>
        <v>1965</v>
      </c>
      <c r="V10">
        <f>IF('Lab test'!AQ9&gt;0,'Lab test'!AQ9,NA())</f>
        <v>0.47914277537453276</v>
      </c>
      <c r="W10">
        <f>IF('Lab test'!AU9&gt;0,'Lab test'!AU9,NA())</f>
        <v>1.0300984982672314</v>
      </c>
      <c r="X10">
        <f>IF('Lab test'!AT9&gt;0,'Lab test'!AT9,NA())</f>
        <v>0.23648774618483362</v>
      </c>
      <c r="Y10">
        <f t="shared" si="1"/>
        <v>1</v>
      </c>
      <c r="Z10" t="str">
        <f>'Lab test'!AC9</f>
        <v>Machined</v>
      </c>
      <c r="AA10" t="str">
        <f>'Lab test'!T9</f>
        <v>Aluminium</v>
      </c>
      <c r="AC10" t="e">
        <f t="shared" si="2"/>
        <v>#N/A</v>
      </c>
      <c r="AD10" t="e">
        <f t="shared" si="3"/>
        <v>#N/A</v>
      </c>
      <c r="AE10" t="e">
        <f t="shared" si="4"/>
        <v>#N/A</v>
      </c>
      <c r="AF10">
        <f t="shared" si="5"/>
        <v>1.0300984982672314</v>
      </c>
      <c r="AG10" t="e">
        <f t="shared" si="6"/>
        <v>#N/A</v>
      </c>
      <c r="AH10" t="e">
        <f t="shared" si="7"/>
        <v>#N/A</v>
      </c>
      <c r="AI10" t="e">
        <f t="shared" si="8"/>
        <v>#N/A</v>
      </c>
      <c r="AK10" t="e">
        <f t="shared" si="9"/>
        <v>#N/A</v>
      </c>
      <c r="AL10" t="e">
        <f t="shared" si="10"/>
        <v>#N/A</v>
      </c>
      <c r="AM10" t="e">
        <f t="shared" si="11"/>
        <v>#N/A</v>
      </c>
      <c r="AN10">
        <f t="shared" si="12"/>
        <v>0.23648774618483362</v>
      </c>
      <c r="AO10" t="e">
        <f t="shared" si="13"/>
        <v>#N/A</v>
      </c>
      <c r="AP10" t="e">
        <f t="shared" si="14"/>
        <v>#N/A</v>
      </c>
      <c r="AQ10" t="e">
        <f t="shared" si="15"/>
        <v>#N/A</v>
      </c>
    </row>
    <row r="11" spans="2:43">
      <c r="B11" s="1076"/>
      <c r="C11" s="747" t="s">
        <v>887</v>
      </c>
      <c r="D11" s="836" cm="1">
        <f t="array" ref="D11">MEDIAN(IF(ISNUMBER($P$5:$P$674),IF(ISNUMBER($Y$5:$Y$674),IF($Z$5:$Z$674=D$47,$P$5:$P$674))))</f>
        <v>25.4</v>
      </c>
      <c r="E11" s="837" cm="1">
        <f t="array" ref="E11">MEDIAN(IF(ISNUMBER($P$5:$P$674),IF(ISNUMBER($Y$5:$Y$674),IF($Z$5:$Z$674=E$47,$P$5:$P$674))))</f>
        <v>280</v>
      </c>
      <c r="F11" s="836" cm="1">
        <f t="array" ref="F11">MEDIAN(IF(ISNUMBER($P$5:$P$674),IF(ISNUMBER($Y$5:$Y$674),IF($Z$5:$Z$674=F$47,$P$5:$P$674))))</f>
        <v>46.320052319146797</v>
      </c>
      <c r="G11" s="837" cm="1">
        <f t="array" ref="G11">MEDIAN(IF(ISNUMBER($P$5:$P$674),IF(ISNUMBER($Y$5:$Y$674),IF($Z$5:$Z$674=G$47,$P$5:$P$674))))</f>
        <v>150</v>
      </c>
      <c r="H11" s="836" cm="1">
        <f t="array" ref="H11">MEDIAN(IF(ISNUMBER($P$5:$P$674),IF(ISNUMBER($Y$5:$Y$674),IF($Z$5:$Z$674=H$47,$P$5:$P$674))))</f>
        <v>161.92500000000001</v>
      </c>
      <c r="I11" s="837" cm="1">
        <f t="array" ref="I11">MEDIAN(IF(ISNUMBER($P$5:$P$674),IF(ISNUMBER($Y$5:$Y$674),IF($Z$5:$Z$674=I$47,$P$5:$P$674))))</f>
        <v>75.564999999999998</v>
      </c>
      <c r="J11" s="838" cm="1">
        <f t="array" ref="J11">MEDIAN(IF(ISNUMBER($P$5:$P$674),IF(ISNUMBER($Y$5:$Y$674),IF($Z$5:$Z$674=J$47,$P$5:$P$674))))</f>
        <v>64</v>
      </c>
      <c r="K11" s="818"/>
      <c r="L11" s="818"/>
      <c r="M11" s="818"/>
      <c r="O11">
        <v>7</v>
      </c>
      <c r="P11" s="401">
        <f>'Lab test'!N10</f>
        <v>33.659520000000001</v>
      </c>
      <c r="Q11" s="401">
        <f>'Lab test'!M10</f>
        <v>1.26492</v>
      </c>
      <c r="R11">
        <f>IF('Lab test'!O10&gt;0,'Lab test'!O10,NA())</f>
        <v>101.6</v>
      </c>
      <c r="S11">
        <f>'Lab test'!Q10</f>
        <v>26.61</v>
      </c>
      <c r="T11" s="401">
        <f>IF('Lab test'!P10&gt;0,'Lab test'!P10,NA())</f>
        <v>0.58514481350212277</v>
      </c>
      <c r="U11" s="401">
        <f>'Lab test'!AZ10</f>
        <v>1965</v>
      </c>
      <c r="V11">
        <f>IF('Lab test'!AQ10&gt;0,'Lab test'!AQ10,NA())</f>
        <v>0.47959353802703941</v>
      </c>
      <c r="W11">
        <f>IF('Lab test'!AU10&gt;0,'Lab test'!AU10,NA())</f>
        <v>1.0300984982672314</v>
      </c>
      <c r="X11">
        <f>IF('Lab test'!AT10&gt;0,'Lab test'!AT10,NA())</f>
        <v>0.23693291615148723</v>
      </c>
      <c r="Y11">
        <f t="shared" si="1"/>
        <v>1</v>
      </c>
      <c r="Z11" t="str">
        <f>'Lab test'!AC10</f>
        <v>Machined</v>
      </c>
      <c r="AA11" t="str">
        <f>'Lab test'!T10</f>
        <v>Aluminium</v>
      </c>
      <c r="AC11" t="e">
        <f t="shared" si="2"/>
        <v>#N/A</v>
      </c>
      <c r="AD11" t="e">
        <f t="shared" si="3"/>
        <v>#N/A</v>
      </c>
      <c r="AE11" t="e">
        <f t="shared" si="4"/>
        <v>#N/A</v>
      </c>
      <c r="AF11">
        <f t="shared" si="5"/>
        <v>1.0300984982672314</v>
      </c>
      <c r="AG11" t="e">
        <f t="shared" si="6"/>
        <v>#N/A</v>
      </c>
      <c r="AH11" t="e">
        <f t="shared" si="7"/>
        <v>#N/A</v>
      </c>
      <c r="AI11" t="e">
        <f t="shared" si="8"/>
        <v>#N/A</v>
      </c>
      <c r="AK11" t="e">
        <f t="shared" si="9"/>
        <v>#N/A</v>
      </c>
      <c r="AL11" t="e">
        <f t="shared" si="10"/>
        <v>#N/A</v>
      </c>
      <c r="AM11" t="e">
        <f t="shared" si="11"/>
        <v>#N/A</v>
      </c>
      <c r="AN11">
        <f t="shared" si="12"/>
        <v>0.23693291615148723</v>
      </c>
      <c r="AO11" t="e">
        <f t="shared" si="13"/>
        <v>#N/A</v>
      </c>
      <c r="AP11" t="e">
        <f t="shared" si="14"/>
        <v>#N/A</v>
      </c>
      <c r="AQ11" t="e">
        <f t="shared" si="15"/>
        <v>#N/A</v>
      </c>
    </row>
    <row r="12" spans="2:43">
      <c r="B12" s="1076"/>
      <c r="C12" s="748" t="s">
        <v>886</v>
      </c>
      <c r="D12" s="839" cm="1">
        <f t="array" ref="D12">MAX(IF(ISNUMBER($P$5:$P$674),IF(ISNUMBER($Y$5:$Y$674),IF($Z$5:$Z$674=D$47,$P$5:$P$674))))</f>
        <v>82.234999999999999</v>
      </c>
      <c r="E12" s="840" cm="1">
        <f t="array" ref="E12">MAX(IF(ISNUMBER($P$5:$P$674),IF(ISNUMBER($Y$5:$Y$674),IF($Z$5:$Z$674=E$47,$P$5:$P$674))))</f>
        <v>1016</v>
      </c>
      <c r="F12" s="839" cm="1">
        <f t="array" ref="F12">MAX(IF(ISNUMBER($P$5:$P$674),IF(ISNUMBER($Y$5:$Y$674),IF($Z$5:$Z$674=F$47,$P$5:$P$674))))</f>
        <v>173.64909906523317</v>
      </c>
      <c r="G12" s="840" cm="1">
        <f t="array" ref="G12">MAX(IF(ISNUMBER($P$5:$P$674),IF(ISNUMBER($Y$5:$Y$674),IF($Z$5:$Z$674=G$47,$P$5:$P$674))))</f>
        <v>893.44500000000005</v>
      </c>
      <c r="H12" s="839" cm="1">
        <f t="array" ref="H12">MAX(IF(ISNUMBER($P$5:$P$674),IF(ISNUMBER($Y$5:$Y$674),IF($Z$5:$Z$674=H$47,$P$5:$P$674))))</f>
        <v>381.31623000000002</v>
      </c>
      <c r="I12" s="840" cm="1">
        <f t="array" ref="I12">MAX(IF(ISNUMBER($P$5:$P$674),IF(ISNUMBER($Y$5:$Y$674),IF($Z$5:$Z$674=I$47,$P$5:$P$674))))</f>
        <v>102.73792000000002</v>
      </c>
      <c r="J12" s="841" cm="1">
        <f t="array" ref="J12">MAX(IF(ISNUMBER($P$5:$P$674),IF(ISNUMBER($Y$5:$Y$674),IF($Z$5:$Z$674=J$47,$P$5:$P$674))))</f>
        <v>762</v>
      </c>
      <c r="K12" s="818"/>
      <c r="L12" s="818"/>
      <c r="M12" s="818"/>
      <c r="O12">
        <v>8</v>
      </c>
      <c r="P12" s="401">
        <f>'Lab test'!N11</f>
        <v>33.668559999999999</v>
      </c>
      <c r="Q12" s="401">
        <f>'Lab test'!M11</f>
        <v>1.2979400000000001</v>
      </c>
      <c r="R12">
        <f>IF('Lab test'!O11&gt;0,'Lab test'!O11,NA())</f>
        <v>25.4</v>
      </c>
      <c r="S12">
        <f>'Lab test'!Q11</f>
        <v>25.94</v>
      </c>
      <c r="T12" s="401">
        <f>IF('Lab test'!P11&gt;0,'Lab test'!P11,NA())</f>
        <v>0.14812358406801054</v>
      </c>
      <c r="U12" s="401">
        <f>'Lab test'!AZ11</f>
        <v>1965</v>
      </c>
      <c r="V12">
        <f>IF('Lab test'!AQ11&gt;0,'Lab test'!AQ11,NA())</f>
        <v>0.47351730583085017</v>
      </c>
      <c r="W12">
        <f>IF('Lab test'!AU11&gt;0,'Lab test'!AU11,NA())</f>
        <v>1.0543465280451803</v>
      </c>
      <c r="X12">
        <f>IF('Lab test'!AT11&gt;0,'Lab test'!AT11,NA())</f>
        <v>0.23640414346969585</v>
      </c>
      <c r="Y12">
        <f t="shared" si="1"/>
        <v>1</v>
      </c>
      <c r="Z12" t="str">
        <f>'Lab test'!AC11</f>
        <v>Machined</v>
      </c>
      <c r="AA12" t="str">
        <f>'Lab test'!T11</f>
        <v>Aluminium</v>
      </c>
      <c r="AC12" t="e">
        <f t="shared" si="2"/>
        <v>#N/A</v>
      </c>
      <c r="AD12" t="e">
        <f t="shared" si="3"/>
        <v>#N/A</v>
      </c>
      <c r="AE12" t="e">
        <f t="shared" si="4"/>
        <v>#N/A</v>
      </c>
      <c r="AF12">
        <f t="shared" si="5"/>
        <v>1.0543465280451803</v>
      </c>
      <c r="AG12" t="e">
        <f t="shared" si="6"/>
        <v>#N/A</v>
      </c>
      <c r="AH12" t="e">
        <f t="shared" si="7"/>
        <v>#N/A</v>
      </c>
      <c r="AI12" t="e">
        <f t="shared" si="8"/>
        <v>#N/A</v>
      </c>
      <c r="AK12" t="e">
        <f t="shared" si="9"/>
        <v>#N/A</v>
      </c>
      <c r="AL12" t="e">
        <f t="shared" si="10"/>
        <v>#N/A</v>
      </c>
      <c r="AM12" t="e">
        <f t="shared" si="11"/>
        <v>#N/A</v>
      </c>
      <c r="AN12">
        <f t="shared" si="12"/>
        <v>0.23640414346969585</v>
      </c>
      <c r="AO12" t="e">
        <f t="shared" si="13"/>
        <v>#N/A</v>
      </c>
      <c r="AP12" t="e">
        <f t="shared" si="14"/>
        <v>#N/A</v>
      </c>
      <c r="AQ12" t="e">
        <f t="shared" si="15"/>
        <v>#N/A</v>
      </c>
    </row>
    <row r="13" spans="2:43">
      <c r="B13" s="1078" t="s">
        <v>907</v>
      </c>
      <c r="C13" s="747" t="s">
        <v>885</v>
      </c>
      <c r="D13" s="725" cm="1">
        <f t="array" ref="D13">MIN(IF(ISNUMBER($Q$5:$Q$674),IF(ISNUMBER($Y$5:$Y$674),IF($Z$5:$Z$674=D$47,$Q$5:$Q$674))))</f>
        <v>0.3175</v>
      </c>
      <c r="E13" s="720" cm="1">
        <f t="array" ref="E13">MIN(IF(ISNUMBER($Q$5:$Q$674),IF(ISNUMBER($Y$5:$Y$674),IF($Z$5:$Z$674=E$47,$Q$5:$Q$674))))</f>
        <v>1.5748</v>
      </c>
      <c r="F13" s="727" cm="1">
        <f t="array" ref="F13">MIN(IF(ISNUMBER($Q$5:$Q$674),IF(ISNUMBER($Y$5:$Y$674),IF($Z$5:$Z$674=F$47,$Q$5:$Q$674))))</f>
        <v>7.8739999999999991E-2</v>
      </c>
      <c r="G13" s="726" cm="1">
        <f t="array" ref="G13">MIN(IF(ISNUMBER($Q$5:$Q$674),IF(ISNUMBER($Y$5:$Y$674),IF($Z$5:$Z$674=G$47,$Q$5:$Q$674))))</f>
        <v>9.4E-2</v>
      </c>
      <c r="H13" s="727" cm="1">
        <f t="array" ref="H13">MIN(IF(ISNUMBER($Q$5:$Q$674),IF(ISNUMBER($Y$5:$Y$674),IF($Z$5:$Z$674=H$47,$Q$5:$Q$674))))</f>
        <v>4.9021999999999996E-2</v>
      </c>
      <c r="I13" s="726" cm="1">
        <f t="array" ref="I13">MIN(IF(ISNUMBER($Q$5:$Q$674),IF(ISNUMBER($Y$5:$Y$674),IF($Z$5:$Z$674=I$47,$Q$5:$Q$674))))</f>
        <v>3.8364583333333334E-2</v>
      </c>
      <c r="J13" s="825" cm="1">
        <f t="array" ref="J13">MIN(IF(ISNUMBER($Q$5:$Q$674),IF(ISNUMBER($Y$5:$Y$674),IF($Z$5:$Z$674=J$47,$Q$5:$Q$674))))</f>
        <v>7.4929999999999997E-2</v>
      </c>
      <c r="K13" s="822"/>
      <c r="L13" s="822"/>
      <c r="M13" s="822"/>
      <c r="O13">
        <v>9</v>
      </c>
      <c r="P13" s="401">
        <f>'Lab test'!N12</f>
        <v>33.656419999999997</v>
      </c>
      <c r="Q13" s="401">
        <f>'Lab test'!M12</f>
        <v>1.3004800000000001</v>
      </c>
      <c r="R13">
        <f>IF('Lab test'!O12&gt;0,'Lab test'!O12,NA())</f>
        <v>12.7</v>
      </c>
      <c r="S13">
        <f>'Lab test'!Q12</f>
        <v>25.88</v>
      </c>
      <c r="T13" s="401">
        <f>IF('Lab test'!P12&gt;0,'Lab test'!P12,NA())</f>
        <v>7.4174338487763627E-2</v>
      </c>
      <c r="U13" s="401">
        <f>'Lab test'!AZ12</f>
        <v>1965</v>
      </c>
      <c r="V13">
        <f>IF('Lab test'!AQ12&gt;0,'Lab test'!AQ12,NA())</f>
        <v>0.47296936733220801</v>
      </c>
      <c r="W13">
        <f>IF('Lab test'!AU12&gt;0,'Lab test'!AU12,NA())</f>
        <v>1.040010114234373</v>
      </c>
      <c r="X13">
        <f>IF('Lab test'!AT12&gt;0,'Lab test'!AT12,NA())</f>
        <v>0.23265028588647044</v>
      </c>
      <c r="Y13">
        <f t="shared" si="1"/>
        <v>1</v>
      </c>
      <c r="Z13" t="str">
        <f>'Lab test'!AC12</f>
        <v>Machined</v>
      </c>
      <c r="AA13" t="str">
        <f>'Lab test'!T12</f>
        <v>Aluminium</v>
      </c>
      <c r="AC13" t="e">
        <f t="shared" si="2"/>
        <v>#N/A</v>
      </c>
      <c r="AD13" t="e">
        <f t="shared" si="3"/>
        <v>#N/A</v>
      </c>
      <c r="AE13" t="e">
        <f t="shared" si="4"/>
        <v>#N/A</v>
      </c>
      <c r="AF13">
        <f t="shared" si="5"/>
        <v>1.040010114234373</v>
      </c>
      <c r="AG13" t="e">
        <f t="shared" si="6"/>
        <v>#N/A</v>
      </c>
      <c r="AH13" t="e">
        <f t="shared" si="7"/>
        <v>#N/A</v>
      </c>
      <c r="AI13" t="e">
        <f t="shared" si="8"/>
        <v>#N/A</v>
      </c>
      <c r="AK13" t="e">
        <f t="shared" si="9"/>
        <v>#N/A</v>
      </c>
      <c r="AL13" t="e">
        <f t="shared" si="10"/>
        <v>#N/A</v>
      </c>
      <c r="AM13" t="e">
        <f t="shared" si="11"/>
        <v>#N/A</v>
      </c>
      <c r="AN13">
        <f t="shared" si="12"/>
        <v>0.23265028588647044</v>
      </c>
      <c r="AO13" t="e">
        <f t="shared" si="13"/>
        <v>#N/A</v>
      </c>
      <c r="AP13" t="e">
        <f t="shared" si="14"/>
        <v>#N/A</v>
      </c>
      <c r="AQ13" t="e">
        <f t="shared" si="15"/>
        <v>#N/A</v>
      </c>
    </row>
    <row r="14" spans="2:43">
      <c r="B14" s="1076"/>
      <c r="C14" s="747" t="s">
        <v>887</v>
      </c>
      <c r="D14" s="404" cm="1">
        <f t="array" ref="D14">MEDIAN(IF(ISNUMBER($Q$5:$Q$674),IF(ISNUMBER($Y$5:$Y$674),IF($Z$5:$Z$674=D$47,$Q$5:$Q$674))))</f>
        <v>1.4732000000000001</v>
      </c>
      <c r="E14" s="722" cm="1">
        <f t="array" ref="E14">MEDIAN(IF(ISNUMBER($Q$5:$Q$674),IF(ISNUMBER($Y$5:$Y$674),IF($Z$5:$Z$674=E$47,$Q$5:$Q$674))))</f>
        <v>6.1975999999999996</v>
      </c>
      <c r="F14" s="728" cm="1">
        <f t="array" ref="F14">MEDIAN(IF(ISNUMBER($Q$5:$Q$674),IF(ISNUMBER($Y$5:$Y$674),IF($Z$5:$Z$674=F$47,$Q$5:$Q$674))))</f>
        <v>0.61214000000000002</v>
      </c>
      <c r="G14" s="723" cm="1">
        <f t="array" ref="G14">MEDIAN(IF(ISNUMBER($Q$5:$Q$674),IF(ISNUMBER($Y$5:$Y$674),IF($Z$5:$Z$674=G$47,$Q$5:$Q$674))))</f>
        <v>0.78739999999999999</v>
      </c>
      <c r="H14" s="728" cm="1">
        <f t="array" ref="H14">MEDIAN(IF(ISNUMBER($Q$5:$Q$674),IF(ISNUMBER($Y$5:$Y$674),IF($Z$5:$Z$674=H$47,$Q$5:$Q$674))))</f>
        <v>0.15151100000000001</v>
      </c>
      <c r="I14" s="724" cm="1">
        <f t="array" ref="I14">MEDIAN(IF(ISNUMBER($Q$5:$Q$674),IF(ISNUMBER($Y$5:$Y$674),IF($Z$5:$Z$674=I$47,$Q$5:$Q$674))))</f>
        <v>9.017E-2</v>
      </c>
      <c r="J14" s="743" cm="1">
        <f t="array" ref="J14">MEDIAN(IF(ISNUMBER($Q$5:$Q$674),IF(ISNUMBER($Y$5:$Y$674),IF($Z$5:$Z$674=J$47,$Q$5:$Q$674))))</f>
        <v>0.76517499999999994</v>
      </c>
      <c r="K14" s="822"/>
      <c r="L14" s="822"/>
      <c r="M14" s="822"/>
      <c r="O14">
        <v>10</v>
      </c>
      <c r="P14" s="401">
        <f>'Lab test'!N13</f>
        <v>33.666069999999998</v>
      </c>
      <c r="Q14" s="401">
        <f>'Lab test'!M13</f>
        <v>1.2928599999999999</v>
      </c>
      <c r="R14">
        <f>IF('Lab test'!O13&gt;0,'Lab test'!O13,NA())</f>
        <v>6.35</v>
      </c>
      <c r="S14">
        <f>'Lab test'!Q13</f>
        <v>26.04</v>
      </c>
      <c r="T14" s="401">
        <f>IF('Lab test'!P13&gt;0,'Lab test'!P13,NA())</f>
        <v>3.6962457794091255E-2</v>
      </c>
      <c r="U14" s="401">
        <f>'Lab test'!AZ13</f>
        <v>1965</v>
      </c>
      <c r="V14" t="e">
        <f>IF('Lab test'!AQ13&gt;0,'Lab test'!AQ13,NA())</f>
        <v>#N/A</v>
      </c>
      <c r="W14" t="e">
        <f>IF('Lab test'!AU13&gt;0,'Lab test'!AU13,NA())</f>
        <v>#N/A</v>
      </c>
      <c r="X14" t="e">
        <f>IF('Lab test'!AT13&gt;0,'Lab test'!AT13,NA())</f>
        <v>#N/A</v>
      </c>
      <c r="Y14" t="e">
        <f t="shared" si="1"/>
        <v>#N/A</v>
      </c>
      <c r="Z14" t="str">
        <f>'Lab test'!AC13</f>
        <v>Machined</v>
      </c>
      <c r="AA14" t="str">
        <f>'Lab test'!T13</f>
        <v>Aluminium</v>
      </c>
      <c r="AC14" t="e">
        <f t="shared" si="2"/>
        <v>#N/A</v>
      </c>
      <c r="AD14" t="e">
        <f t="shared" si="3"/>
        <v>#N/A</v>
      </c>
      <c r="AE14" t="e">
        <f t="shared" si="4"/>
        <v>#N/A</v>
      </c>
      <c r="AF14" t="e">
        <f t="shared" si="5"/>
        <v>#N/A</v>
      </c>
      <c r="AG14" t="e">
        <f t="shared" si="6"/>
        <v>#N/A</v>
      </c>
      <c r="AH14" t="e">
        <f t="shared" si="7"/>
        <v>#N/A</v>
      </c>
      <c r="AI14" t="e">
        <f t="shared" si="8"/>
        <v>#N/A</v>
      </c>
      <c r="AK14" t="e">
        <f t="shared" si="9"/>
        <v>#N/A</v>
      </c>
      <c r="AL14" t="e">
        <f t="shared" si="10"/>
        <v>#N/A</v>
      </c>
      <c r="AM14" t="e">
        <f t="shared" si="11"/>
        <v>#N/A</v>
      </c>
      <c r="AN14" t="e">
        <f t="shared" si="12"/>
        <v>#N/A</v>
      </c>
      <c r="AO14" t="e">
        <f t="shared" si="13"/>
        <v>#N/A</v>
      </c>
      <c r="AP14" t="e">
        <f t="shared" si="14"/>
        <v>#N/A</v>
      </c>
      <c r="AQ14" t="e">
        <f t="shared" si="15"/>
        <v>#N/A</v>
      </c>
    </row>
    <row r="15" spans="2:43">
      <c r="B15" s="1079"/>
      <c r="C15" s="747" t="s">
        <v>886</v>
      </c>
      <c r="D15" s="718" cm="1">
        <f t="array" ref="D15">MAX(IF(ISNUMBER($Q$5:$Q$674),IF(ISNUMBER($Y$5:$Y$674),IF($Z$5:$Z$674=D$47,$Q$5:$Q$674))))</f>
        <v>9.93</v>
      </c>
      <c r="E15" s="717" cm="1">
        <f t="array" ref="E15">MAX(IF(ISNUMBER($Q$5:$Q$674),IF(ISNUMBER($Y$5:$Y$674),IF($Z$5:$Z$674=E$47,$Q$5:$Q$674))))</f>
        <v>12.547599999999999</v>
      </c>
      <c r="F15" s="718" cm="1">
        <f t="array" ref="F15">MAX(IF(ISNUMBER($Q$5:$Q$674),IF(ISNUMBER($Y$5:$Y$674),IF($Z$5:$Z$674=F$47,$Q$5:$Q$674))))</f>
        <v>4.3662600000000005</v>
      </c>
      <c r="G15" s="717" cm="1">
        <f t="array" ref="G15">MAX(IF(ISNUMBER($Q$5:$Q$674),IF(ISNUMBER($Y$5:$Y$674),IF($Z$5:$Z$674=G$47,$Q$5:$Q$674))))</f>
        <v>9.94</v>
      </c>
      <c r="H15" s="718" cm="1">
        <f t="array" ref="H15">MAX(IF(ISNUMBER($Q$5:$Q$674),IF(ISNUMBER($Y$5:$Y$674),IF($Z$5:$Z$674=H$47,$Q$5:$Q$674))))</f>
        <v>2</v>
      </c>
      <c r="I15" s="729" cm="1">
        <f t="array" ref="I15">MAX(IF(ISNUMBER($Q$5:$Q$674),IF(ISNUMBER($Y$5:$Y$674),IF($Z$5:$Z$674=I$47,$Q$5:$Q$674))))</f>
        <v>0.13411200000000001</v>
      </c>
      <c r="J15" s="740" cm="1">
        <f t="array" ref="J15">MAX(IF(ISNUMBER($Q$5:$Q$674),IF(ISNUMBER($Y$5:$Y$674),IF($Z$5:$Z$674=J$47,$Q$5:$Q$674))))</f>
        <v>2.1</v>
      </c>
      <c r="K15" s="822"/>
      <c r="L15" s="822"/>
      <c r="M15" s="822"/>
      <c r="O15">
        <v>11</v>
      </c>
      <c r="P15" s="401">
        <f>'Lab test'!N14</f>
        <v>33.171990000000001</v>
      </c>
      <c r="Q15" s="401">
        <f>'Lab test'!M14</f>
        <v>0.28955999999999998</v>
      </c>
      <c r="R15">
        <f>IF('Lab test'!O14&gt;0,'Lab test'!O14,NA())</f>
        <v>50.8</v>
      </c>
      <c r="S15">
        <f>'Lab test'!Q14</f>
        <v>114.56</v>
      </c>
      <c r="T15" s="401">
        <f>IF('Lab test'!P14&gt;0,'Lab test'!P14,NA())</f>
        <v>0.14307893787851919</v>
      </c>
      <c r="U15" s="401">
        <f>'Lab test'!AZ14</f>
        <v>1965</v>
      </c>
      <c r="V15">
        <f>IF('Lab test'!AQ14&gt;0,'Lab test'!AQ14,NA())</f>
        <v>0.99510148015665967</v>
      </c>
      <c r="W15">
        <f>IF('Lab test'!AU14&gt;0,'Lab test'!AU14,NA())</f>
        <v>0.5846074444872289</v>
      </c>
      <c r="X15">
        <f>IF('Lab test'!AT14&gt;0,'Lab test'!AT14,NA())</f>
        <v>0.57889405009843753</v>
      </c>
      <c r="Y15">
        <f t="shared" si="1"/>
        <v>1</v>
      </c>
      <c r="Z15" t="str">
        <f>'Lab test'!AC14</f>
        <v>Machined</v>
      </c>
      <c r="AA15" t="str">
        <f>'Lab test'!T14</f>
        <v>Aluminium</v>
      </c>
      <c r="AC15" t="e">
        <f t="shared" si="2"/>
        <v>#N/A</v>
      </c>
      <c r="AD15" t="e">
        <f t="shared" si="3"/>
        <v>#N/A</v>
      </c>
      <c r="AE15" t="e">
        <f t="shared" si="4"/>
        <v>#N/A</v>
      </c>
      <c r="AF15">
        <f t="shared" si="5"/>
        <v>0.5846074444872289</v>
      </c>
      <c r="AG15" t="e">
        <f t="shared" si="6"/>
        <v>#N/A</v>
      </c>
      <c r="AH15" t="e">
        <f t="shared" si="7"/>
        <v>#N/A</v>
      </c>
      <c r="AI15" t="e">
        <f t="shared" si="8"/>
        <v>#N/A</v>
      </c>
      <c r="AK15" t="e">
        <f t="shared" si="9"/>
        <v>#N/A</v>
      </c>
      <c r="AL15" t="e">
        <f t="shared" si="10"/>
        <v>#N/A</v>
      </c>
      <c r="AM15" t="e">
        <f t="shared" si="11"/>
        <v>#N/A</v>
      </c>
      <c r="AN15">
        <f t="shared" si="12"/>
        <v>0.57889405009843753</v>
      </c>
      <c r="AO15" t="e">
        <f t="shared" si="13"/>
        <v>#N/A</v>
      </c>
      <c r="AP15" t="e">
        <f t="shared" si="14"/>
        <v>#N/A</v>
      </c>
      <c r="AQ15" t="e">
        <f t="shared" si="15"/>
        <v>#N/A</v>
      </c>
    </row>
    <row r="16" spans="2:43">
      <c r="B16" s="1076" t="s">
        <v>1108</v>
      </c>
      <c r="C16" s="749" t="s">
        <v>885</v>
      </c>
      <c r="D16" s="721" cm="1">
        <f t="array" ref="D16">MIN(IF(ISNUMBER($R$5:$R$674),IF(ISNUMBER($Y$5:$Y$674),IF($Z$5:$Z$674=D$47,$R$5:$R$674))))</f>
        <v>50.8</v>
      </c>
      <c r="E16" s="720" cm="1">
        <f t="array" ref="E16">MIN(IF(ISNUMBER($R$5:$R$674),IF(ISNUMBER($Y$5:$Y$674),IF($Z$5:$Z$674=E$47,$R$5:$R$674))))</f>
        <v>1200</v>
      </c>
      <c r="F16" s="721" cm="1">
        <f t="array" ref="F16">MIN(IF(ISNUMBER($R$5:$R$674),IF(ISNUMBER($Y$5:$Y$674),IF($Z$5:$Z$674=F$47,$R$5:$R$674))))</f>
        <v>6.35</v>
      </c>
      <c r="G16" s="720" cm="1">
        <f t="array" ref="G16">MIN(IF(ISNUMBER($R$5:$R$674),IF(ISNUMBER($Y$5:$Y$674),IF($Z$5:$Z$674=G$47,$R$5:$R$674))))</f>
        <v>7.4</v>
      </c>
      <c r="H16" s="721" cm="1">
        <f t="array" ref="H16">MIN(IF(ISNUMBER($R$5:$R$674),IF(ISNUMBER($Y$5:$Y$674),IF($Z$5:$Z$674=H$47,$R$5:$R$674))))</f>
        <v>5.2916666666666501</v>
      </c>
      <c r="I16" s="720" cm="1">
        <f t="array" ref="I16">MIN(IF(ISNUMBER($R$5:$R$674),IF(ISNUMBER($Y$5:$Y$674),IF($Z$5:$Z$674=I$47,$R$5:$R$674))))</f>
        <v>175.26</v>
      </c>
      <c r="J16" s="741" cm="1">
        <f t="array" ref="J16">MIN(IF(ISNUMBER($R$5:$R$674),IF(ISNUMBER($Y$5:$Y$674),IF($Z$5:$Z$674=J$47,$R$5:$R$674))))</f>
        <v>101.6</v>
      </c>
      <c r="K16" s="822"/>
      <c r="L16" s="822"/>
      <c r="M16" s="822"/>
      <c r="O16">
        <v>12</v>
      </c>
      <c r="P16" s="401">
        <f>'Lab test'!N15</f>
        <v>33.173209999999997</v>
      </c>
      <c r="Q16" s="401">
        <f>'Lab test'!M15</f>
        <v>0.28448000000000001</v>
      </c>
      <c r="R16">
        <f>IF('Lab test'!O15&gt;0,'Lab test'!O15,NA())</f>
        <v>25.4</v>
      </c>
      <c r="S16">
        <f>'Lab test'!Q15</f>
        <v>116.61</v>
      </c>
      <c r="T16" s="401">
        <f>IF('Lab test'!P15&gt;0,'Lab test'!P15,NA())</f>
        <v>7.090524129436114E-2</v>
      </c>
      <c r="U16" s="401">
        <f>'Lab test'!AZ15</f>
        <v>1965</v>
      </c>
      <c r="V16">
        <f>IF('Lab test'!AQ15&gt;0,'Lab test'!AQ15,NA())</f>
        <v>1.0039654620235532</v>
      </c>
      <c r="W16">
        <f>IF('Lab test'!AU15&gt;0,'Lab test'!AU15,NA())</f>
        <v>0.56230635348479008</v>
      </c>
      <c r="X16">
        <f>IF('Lab test'!AT15&gt;0,'Lab test'!AT15,NA())</f>
        <v>0.56677480467050978</v>
      </c>
      <c r="Y16">
        <f t="shared" si="1"/>
        <v>1</v>
      </c>
      <c r="Z16" t="str">
        <f>'Lab test'!AC15</f>
        <v>Machined</v>
      </c>
      <c r="AA16" t="str">
        <f>'Lab test'!T15</f>
        <v>Aluminium</v>
      </c>
      <c r="AC16" t="e">
        <f t="shared" si="2"/>
        <v>#N/A</v>
      </c>
      <c r="AD16" t="e">
        <f t="shared" si="3"/>
        <v>#N/A</v>
      </c>
      <c r="AE16" t="e">
        <f t="shared" si="4"/>
        <v>#N/A</v>
      </c>
      <c r="AF16">
        <f t="shared" si="5"/>
        <v>0.56230635348479008</v>
      </c>
      <c r="AG16" t="e">
        <f t="shared" si="6"/>
        <v>#N/A</v>
      </c>
      <c r="AH16" t="e">
        <f t="shared" si="7"/>
        <v>#N/A</v>
      </c>
      <c r="AI16" t="e">
        <f t="shared" si="8"/>
        <v>#N/A</v>
      </c>
      <c r="AK16" t="e">
        <f t="shared" si="9"/>
        <v>#N/A</v>
      </c>
      <c r="AL16" t="e">
        <f t="shared" si="10"/>
        <v>#N/A</v>
      </c>
      <c r="AM16" t="e">
        <f t="shared" si="11"/>
        <v>#N/A</v>
      </c>
      <c r="AN16">
        <f t="shared" si="12"/>
        <v>0.56677480467050978</v>
      </c>
      <c r="AO16" t="e">
        <f t="shared" si="13"/>
        <v>#N/A</v>
      </c>
      <c r="AP16" t="e">
        <f t="shared" si="14"/>
        <v>#N/A</v>
      </c>
      <c r="AQ16" t="e">
        <f t="shared" si="15"/>
        <v>#N/A</v>
      </c>
    </row>
    <row r="17" spans="2:43">
      <c r="B17" s="1076"/>
      <c r="C17" s="747" t="s">
        <v>887</v>
      </c>
      <c r="D17" s="404" cm="1">
        <f t="array" ref="D17">MEDIAN(IF(ISNUMBER($R$5:$R$674),IF(ISNUMBER($Y$5:$Y$674),IF($Z$5:$Z$674=D$47,$R$5:$R$674))))</f>
        <v>139.76349999999999</v>
      </c>
      <c r="E17" s="722" cm="1">
        <f t="array" ref="E17">MEDIAN(IF(ISNUMBER($R$5:$R$674),IF(ISNUMBER($Y$5:$Y$674),IF($Z$5:$Z$674=E$47,$R$5:$R$674))))</f>
        <v>9144</v>
      </c>
      <c r="F17" s="404" cm="1">
        <f t="array" ref="F17">MEDIAN(IF(ISNUMBER($R$5:$R$674),IF(ISNUMBER($Y$5:$Y$674),IF($Z$5:$Z$674=F$47,$R$5:$R$674))))</f>
        <v>101.6</v>
      </c>
      <c r="G17" s="722" cm="1">
        <f t="array" ref="G17">MEDIAN(IF(ISNUMBER($R$5:$R$674),IF(ISNUMBER($Y$5:$Y$674),IF($Z$5:$Z$674=G$47,$R$5:$R$674))))</f>
        <v>350</v>
      </c>
      <c r="H17" s="404" cm="1">
        <f t="array" ref="H17">MEDIAN(IF(ISNUMBER($R$5:$R$674),IF(ISNUMBER($Y$5:$Y$674),IF($Z$5:$Z$674=H$47,$R$5:$R$674))))</f>
        <v>190.5</v>
      </c>
      <c r="I17" s="722" cm="1">
        <f t="array" ref="I17">MEDIAN(IF(ISNUMBER($R$5:$R$674),IF(ISNUMBER($Y$5:$Y$674),IF($Z$5:$Z$674=I$47,$R$5:$R$674))))</f>
        <v>203.2</v>
      </c>
      <c r="J17" s="742" cm="1">
        <f t="array" ref="J17">MEDIAN(IF(ISNUMBER($R$5:$R$674),IF(ISNUMBER($Y$5:$Y$674),IF($Z$5:$Z$674=J$47,$R$5:$R$674))))</f>
        <v>532</v>
      </c>
      <c r="K17" s="822"/>
      <c r="L17" s="822"/>
      <c r="M17" s="822"/>
      <c r="O17">
        <v>13</v>
      </c>
      <c r="P17" s="401">
        <f>'Lab test'!N16</f>
        <v>33.182560000000002</v>
      </c>
      <c r="Q17" s="401">
        <f>'Lab test'!M16</f>
        <v>0.29210000000000003</v>
      </c>
      <c r="R17">
        <f>IF('Lab test'!O16&gt;0,'Lab test'!O16,NA())</f>
        <v>12.7</v>
      </c>
      <c r="S17">
        <f>'Lab test'!Q16</f>
        <v>113.6</v>
      </c>
      <c r="T17" s="401">
        <f>IF('Lab test'!P16&gt;0,'Lab test'!P16,NA())</f>
        <v>3.5909112113479857E-2</v>
      </c>
      <c r="U17" s="401">
        <f>'Lab test'!AZ16</f>
        <v>1965</v>
      </c>
      <c r="V17">
        <f>IF('Lab test'!AQ16&gt;0,'Lab test'!AQ16,NA())</f>
        <v>0.99092334270835547</v>
      </c>
      <c r="W17">
        <f>IF('Lab test'!AU16&gt;0,'Lab test'!AU16,NA())</f>
        <v>0.63009462199974331</v>
      </c>
      <c r="X17">
        <f>IF('Lab test'!AT16&gt;0,'Lab test'!AT16,NA())</f>
        <v>0.61870822690062544</v>
      </c>
      <c r="Y17">
        <f t="shared" si="1"/>
        <v>1</v>
      </c>
      <c r="Z17" t="str">
        <f>'Lab test'!AC16</f>
        <v>Machined</v>
      </c>
      <c r="AA17" t="str">
        <f>'Lab test'!T16</f>
        <v>Aluminium</v>
      </c>
      <c r="AC17" t="e">
        <f t="shared" si="2"/>
        <v>#N/A</v>
      </c>
      <c r="AD17" t="e">
        <f t="shared" si="3"/>
        <v>#N/A</v>
      </c>
      <c r="AE17" t="e">
        <f t="shared" si="4"/>
        <v>#N/A</v>
      </c>
      <c r="AF17">
        <f t="shared" si="5"/>
        <v>0.63009462199974331</v>
      </c>
      <c r="AG17" t="e">
        <f t="shared" si="6"/>
        <v>#N/A</v>
      </c>
      <c r="AH17" t="e">
        <f t="shared" si="7"/>
        <v>#N/A</v>
      </c>
      <c r="AI17" t="e">
        <f t="shared" si="8"/>
        <v>#N/A</v>
      </c>
      <c r="AK17" t="e">
        <f t="shared" si="9"/>
        <v>#N/A</v>
      </c>
      <c r="AL17" t="e">
        <f t="shared" si="10"/>
        <v>#N/A</v>
      </c>
      <c r="AM17" t="e">
        <f t="shared" si="11"/>
        <v>#N/A</v>
      </c>
      <c r="AN17">
        <f t="shared" si="12"/>
        <v>0.61870822690062544</v>
      </c>
      <c r="AO17" t="e">
        <f t="shared" si="13"/>
        <v>#N/A</v>
      </c>
      <c r="AP17" t="e">
        <f t="shared" si="14"/>
        <v>#N/A</v>
      </c>
      <c r="AQ17" t="e">
        <f t="shared" si="15"/>
        <v>#N/A</v>
      </c>
    </row>
    <row r="18" spans="2:43">
      <c r="B18" s="1076"/>
      <c r="C18" s="748" t="s">
        <v>886</v>
      </c>
      <c r="D18" s="718" cm="1">
        <f t="array" ref="D18">MAX(IF(ISNUMBER($R$5:$R$674),IF(ISNUMBER($Y$5:$Y$674),IF($Z$5:$Z$674=D$47,$R$5:$R$674))))</f>
        <v>505.31</v>
      </c>
      <c r="E18" s="717" cm="1">
        <f t="array" ref="E18">MAX(IF(ISNUMBER($R$5:$R$674),IF(ISNUMBER($Y$5:$Y$674),IF($Z$5:$Z$674=E$47,$R$5:$R$674))))</f>
        <v>11000</v>
      </c>
      <c r="F18" s="718" cm="1">
        <f t="array" ref="F18">MAX(IF(ISNUMBER($R$5:$R$674),IF(ISNUMBER($Y$5:$Y$674),IF($Z$5:$Z$674=F$47,$R$5:$R$674))))</f>
        <v>508</v>
      </c>
      <c r="G18" s="717" cm="1">
        <f t="array" ref="G18">MAX(IF(ISNUMBER($R$5:$R$674),IF(ISNUMBER($Y$5:$Y$674),IF($Z$5:$Z$674=G$47,$R$5:$R$674))))</f>
        <v>3050</v>
      </c>
      <c r="H18" s="718" cm="1">
        <f t="array" ref="H18">MAX(IF(ISNUMBER($R$5:$R$674),IF(ISNUMBER($Y$5:$Y$674),IF($Z$5:$Z$674=H$47,$R$5:$R$674))))</f>
        <v>812.8</v>
      </c>
      <c r="I18" s="717" cm="1">
        <f t="array" ref="I18">MAX(IF(ISNUMBER($R$5:$R$674),IF(ISNUMBER($Y$5:$Y$674),IF($Z$5:$Z$674=I$47,$R$5:$R$674))))</f>
        <v>254</v>
      </c>
      <c r="J18" s="740" cm="1">
        <f t="array" ref="J18">MAX(IF(ISNUMBER($R$5:$R$674),IF(ISNUMBER($Y$5:$Y$674),IF($Z$5:$Z$674=J$47,$R$5:$R$674))))</f>
        <v>2537</v>
      </c>
      <c r="K18" s="822"/>
      <c r="L18" s="822"/>
      <c r="M18" s="822"/>
      <c r="O18">
        <v>14</v>
      </c>
      <c r="P18" s="401">
        <f>'Lab test'!N17</f>
        <v>33.261299999999999</v>
      </c>
      <c r="Q18" s="401">
        <f>'Lab test'!M17</f>
        <v>0.27432000000000001</v>
      </c>
      <c r="R18">
        <f>IF('Lab test'!O17&gt;0,'Lab test'!O17,NA())</f>
        <v>6.35</v>
      </c>
      <c r="S18">
        <f>'Lab test'!Q17</f>
        <v>121.25</v>
      </c>
      <c r="T18" s="401">
        <f>IF('Lab test'!P17&gt;0,'Lab test'!P17,NA())</f>
        <v>1.7337785765043901E-2</v>
      </c>
      <c r="U18" s="401">
        <f>'Lab test'!AZ17</f>
        <v>1965</v>
      </c>
      <c r="V18">
        <f>IF('Lab test'!AQ17&gt;0,'Lab test'!AQ17,NA())</f>
        <v>1.023744937019164</v>
      </c>
      <c r="W18">
        <f>IF('Lab test'!AU17&gt;0,'Lab test'!AU17,NA())</f>
        <v>0.5877933256321396</v>
      </c>
      <c r="X18">
        <f>IF('Lab test'!AT17&gt;0,'Lab test'!AT17,NA())</f>
        <v>0.6160389674554354</v>
      </c>
      <c r="Y18">
        <f t="shared" si="1"/>
        <v>1</v>
      </c>
      <c r="Z18" t="str">
        <f>'Lab test'!AC17</f>
        <v>Machined</v>
      </c>
      <c r="AA18" t="str">
        <f>'Lab test'!T17</f>
        <v>Aluminium</v>
      </c>
      <c r="AC18" t="e">
        <f t="shared" si="2"/>
        <v>#N/A</v>
      </c>
      <c r="AD18" t="e">
        <f t="shared" si="3"/>
        <v>#N/A</v>
      </c>
      <c r="AE18" t="e">
        <f t="shared" si="4"/>
        <v>#N/A</v>
      </c>
      <c r="AF18">
        <f t="shared" si="5"/>
        <v>0.5877933256321396</v>
      </c>
      <c r="AG18" t="e">
        <f t="shared" si="6"/>
        <v>#N/A</v>
      </c>
      <c r="AH18" t="e">
        <f t="shared" si="7"/>
        <v>#N/A</v>
      </c>
      <c r="AI18" t="e">
        <f t="shared" si="8"/>
        <v>#N/A</v>
      </c>
      <c r="AK18" t="e">
        <f t="shared" si="9"/>
        <v>#N/A</v>
      </c>
      <c r="AL18" t="e">
        <f t="shared" si="10"/>
        <v>#N/A</v>
      </c>
      <c r="AM18" t="e">
        <f t="shared" si="11"/>
        <v>#N/A</v>
      </c>
      <c r="AN18">
        <f t="shared" si="12"/>
        <v>0.6160389674554354</v>
      </c>
      <c r="AO18" t="e">
        <f t="shared" si="13"/>
        <v>#N/A</v>
      </c>
      <c r="AP18" t="e">
        <f t="shared" si="14"/>
        <v>#N/A</v>
      </c>
      <c r="AQ18" t="e">
        <f t="shared" si="15"/>
        <v>#N/A</v>
      </c>
    </row>
    <row r="19" spans="2:43">
      <c r="B19" s="1078" t="s">
        <v>897</v>
      </c>
      <c r="C19" s="747" t="s">
        <v>885</v>
      </c>
      <c r="D19" s="721" cm="1">
        <f t="array" ref="D19">MIN(IF(ISNUMBER($S$5:$S$674),IF(ISNUMBER($Y$5:$Y$674),IF($Z$5:$Z$674=D$47,$S$5:$S$674))))</f>
        <v>6.5639479999999999</v>
      </c>
      <c r="E19" s="720" cm="1">
        <f t="array" ref="E19">MIN(IF(ISNUMBER($S$5:$S$674),IF(ISNUMBER($Y$5:$Y$674),IF($Z$5:$Z$674=E$47,$S$5:$S$674))))</f>
        <v>24</v>
      </c>
      <c r="F19" s="721" cm="1">
        <f t="array" ref="F19">MIN(IF(ISNUMBER($S$5:$S$674),IF(ISNUMBER($Y$5:$Y$674),IF($Z$5:$Z$674=F$47,$S$5:$S$674))))</f>
        <v>4.5</v>
      </c>
      <c r="G19" s="720" cm="1">
        <f t="array" ref="G19">MIN(IF(ISNUMBER($S$5:$S$674),IF(ISNUMBER($Y$5:$Y$674),IF($Z$5:$Z$674=G$47,$S$5:$S$674))))</f>
        <v>24.5</v>
      </c>
      <c r="H19" s="721" cm="1">
        <f t="array" ref="H19">MIN(IF(ISNUMBER($S$5:$S$674),IF(ISNUMBER($Y$5:$Y$674),IF($Z$5:$Z$674=H$47,$S$5:$S$674))))</f>
        <v>37.5</v>
      </c>
      <c r="I19" s="720" cm="1">
        <f t="array" ref="I19">MIN(IF(ISNUMBER($S$5:$S$674),IF(ISNUMBER($Y$5:$Y$674),IF($Z$5:$Z$674=I$47,$S$5:$S$674))))</f>
        <v>363.24999999999994</v>
      </c>
      <c r="J19" s="741" cm="1">
        <f t="array" ref="J19">MIN(IF(ISNUMBER($S$5:$S$674),IF(ISNUMBER($Y$5:$Y$674),IF($Z$5:$Z$674=J$47,$S$5:$S$674))))</f>
        <v>30.294117647058826</v>
      </c>
      <c r="K19" s="822"/>
      <c r="L19" s="822"/>
      <c r="M19" s="822"/>
      <c r="O19">
        <v>15</v>
      </c>
      <c r="P19" s="401">
        <f>'Lab test'!N18</f>
        <v>34.78886</v>
      </c>
      <c r="Q19" s="401">
        <f>'Lab test'!M18</f>
        <v>3.5864799999999999</v>
      </c>
      <c r="R19">
        <f>IF('Lab test'!O18&gt;0,'Lab test'!O18,NA())</f>
        <v>101.6</v>
      </c>
      <c r="S19">
        <f>'Lab test'!Q18</f>
        <v>9.6999999999999993</v>
      </c>
      <c r="T19" s="401">
        <f>IF('Lab test'!P18&gt;0,'Lab test'!P18,NA())</f>
        <v>0.93770799380131964</v>
      </c>
      <c r="U19" s="401">
        <f>'Lab test'!AZ18</f>
        <v>1965</v>
      </c>
      <c r="V19">
        <f>IF('Lab test'!AQ18&gt;0,'Lab test'!AQ18,NA())</f>
        <v>0.28955881151529872</v>
      </c>
      <c r="W19">
        <f>IF('Lab test'!AU18&gt;0,'Lab test'!AU18,NA())</f>
        <v>1.2324013605442177</v>
      </c>
      <c r="X19">
        <f>IF('Lab test'!AT18&gt;0,'Lab test'!AT18,NA())</f>
        <v>0.10332983595783488</v>
      </c>
      <c r="Y19">
        <f t="shared" si="1"/>
        <v>1</v>
      </c>
      <c r="Z19" t="str">
        <f>'Lab test'!AC18</f>
        <v>Machined</v>
      </c>
      <c r="AA19" t="str">
        <f>'Lab test'!T18</f>
        <v>Aluminium</v>
      </c>
      <c r="AC19" t="e">
        <f t="shared" si="2"/>
        <v>#N/A</v>
      </c>
      <c r="AD19" t="e">
        <f t="shared" si="3"/>
        <v>#N/A</v>
      </c>
      <c r="AE19" t="e">
        <f t="shared" si="4"/>
        <v>#N/A</v>
      </c>
      <c r="AF19">
        <f t="shared" si="5"/>
        <v>1.2324013605442177</v>
      </c>
      <c r="AG19" t="e">
        <f t="shared" si="6"/>
        <v>#N/A</v>
      </c>
      <c r="AH19" t="e">
        <f t="shared" si="7"/>
        <v>#N/A</v>
      </c>
      <c r="AI19" t="e">
        <f t="shared" si="8"/>
        <v>#N/A</v>
      </c>
      <c r="AK19" t="e">
        <f t="shared" si="9"/>
        <v>#N/A</v>
      </c>
      <c r="AL19" t="e">
        <f t="shared" si="10"/>
        <v>#N/A</v>
      </c>
      <c r="AM19" t="e">
        <f t="shared" si="11"/>
        <v>#N/A</v>
      </c>
      <c r="AN19">
        <f t="shared" si="12"/>
        <v>0.10332983595783488</v>
      </c>
      <c r="AO19" t="e">
        <f t="shared" si="13"/>
        <v>#N/A</v>
      </c>
      <c r="AP19" t="e">
        <f t="shared" si="14"/>
        <v>#N/A</v>
      </c>
      <c r="AQ19" t="e">
        <f t="shared" si="15"/>
        <v>#N/A</v>
      </c>
    </row>
    <row r="20" spans="2:43">
      <c r="B20" s="1076"/>
      <c r="C20" s="747" t="s">
        <v>887</v>
      </c>
      <c r="D20" s="404" cm="1">
        <f t="array" ref="D20">MEDIAN(IF(ISNUMBER($S$5:$S$674),IF(ISNUMBER($Y$5:$Y$674),IF($Z$5:$Z$674=D$47,$S$5:$S$674))))</f>
        <v>23.674999999999997</v>
      </c>
      <c r="E20" s="722" cm="1">
        <f t="array" ref="E20">MEDIAN(IF(ISNUMBER($S$5:$S$674),IF(ISNUMBER($Y$5:$Y$674),IF($Z$5:$Z$674=E$47,$S$5:$S$674))))</f>
        <v>53.817005000000002</v>
      </c>
      <c r="F20" s="404" cm="1">
        <f t="array" ref="F20">MEDIAN(IF(ISNUMBER($S$5:$S$674),IF(ISNUMBER($Y$5:$Y$674),IF($Z$5:$Z$674=F$47,$S$5:$S$674))))</f>
        <v>76.92307692307692</v>
      </c>
      <c r="G20" s="722" cm="1">
        <f t="array" ref="G20">MEDIAN(IF(ISNUMBER($S$5:$S$674),IF(ISNUMBER($Y$5:$Y$674),IF($Z$5:$Z$674=G$47,$S$5:$S$674))))</f>
        <v>160.77170418006432</v>
      </c>
      <c r="H20" s="404" cm="1">
        <f t="array" ref="H20">MEDIAN(IF(ISNUMBER($S$5:$S$674),IF(ISNUMBER($Y$5:$Y$674),IF($Z$5:$Z$674=H$47,$S$5:$S$674))))</f>
        <v>750.00000000000011</v>
      </c>
      <c r="I20" s="722" cm="1">
        <f t="array" ref="I20">MEDIAN(IF(ISNUMBER($S$5:$S$674),IF(ISNUMBER($Y$5:$Y$674),IF($Z$5:$Z$674=I$47,$S$5:$S$674))))</f>
        <v>844.51476793248935</v>
      </c>
      <c r="J20" s="742" cm="1">
        <f t="array" ref="J20">MEDIAN(IF(ISNUMBER($S$5:$S$674),IF(ISNUMBER($Y$5:$Y$674),IF($Z$5:$Z$674=J$47,$S$5:$S$674))))</f>
        <v>200.5</v>
      </c>
      <c r="K20" s="822"/>
      <c r="L20" s="822"/>
      <c r="M20" s="822"/>
      <c r="O20">
        <v>16</v>
      </c>
      <c r="P20" s="401">
        <f>'Lab test'!N19</f>
        <v>35.575189999999999</v>
      </c>
      <c r="Q20" s="401">
        <f>'Lab test'!M19</f>
        <v>2.5374599999999998</v>
      </c>
      <c r="R20">
        <f>IF('Lab test'!O19&gt;0,'Lab test'!O19,NA())</f>
        <v>50.8</v>
      </c>
      <c r="S20">
        <f>'Lab test'!Q19</f>
        <v>14.02</v>
      </c>
      <c r="T20" s="401">
        <f>IF('Lab test'!P19&gt;0,'Lab test'!P19,NA())</f>
        <v>0.38136643963529959</v>
      </c>
      <c r="U20" s="401">
        <f>'Lab test'!AZ19</f>
        <v>1965</v>
      </c>
      <c r="V20">
        <f>IF('Lab test'!AQ19&gt;0,'Lab test'!AQ19,NA())</f>
        <v>0.34811673772961743</v>
      </c>
      <c r="W20">
        <f>IF('Lab test'!AU19&gt;0,'Lab test'!AU19,NA())</f>
        <v>1.1347012963676038</v>
      </c>
      <c r="X20">
        <f>IF('Lab test'!AT19&gt;0,'Lab test'!AT19,NA())</f>
        <v>0.13750907512604812</v>
      </c>
      <c r="Y20">
        <f t="shared" si="1"/>
        <v>1</v>
      </c>
      <c r="Z20" t="str">
        <f>'Lab test'!AC19</f>
        <v>Machined</v>
      </c>
      <c r="AA20" t="str">
        <f>'Lab test'!T19</f>
        <v>Aluminium</v>
      </c>
      <c r="AC20" t="e">
        <f t="shared" si="2"/>
        <v>#N/A</v>
      </c>
      <c r="AD20" t="e">
        <f t="shared" si="3"/>
        <v>#N/A</v>
      </c>
      <c r="AE20" t="e">
        <f t="shared" si="4"/>
        <v>#N/A</v>
      </c>
      <c r="AF20">
        <f t="shared" si="5"/>
        <v>1.1347012963676038</v>
      </c>
      <c r="AG20" t="e">
        <f t="shared" si="6"/>
        <v>#N/A</v>
      </c>
      <c r="AH20" t="e">
        <f t="shared" si="7"/>
        <v>#N/A</v>
      </c>
      <c r="AI20" t="e">
        <f t="shared" si="8"/>
        <v>#N/A</v>
      </c>
      <c r="AK20" t="e">
        <f t="shared" si="9"/>
        <v>#N/A</v>
      </c>
      <c r="AL20" t="e">
        <f t="shared" si="10"/>
        <v>#N/A</v>
      </c>
      <c r="AM20" t="e">
        <f t="shared" si="11"/>
        <v>#N/A</v>
      </c>
      <c r="AN20">
        <f t="shared" si="12"/>
        <v>0.13750907512604812</v>
      </c>
      <c r="AO20" t="e">
        <f t="shared" si="13"/>
        <v>#N/A</v>
      </c>
      <c r="AP20" t="e">
        <f t="shared" si="14"/>
        <v>#N/A</v>
      </c>
      <c r="AQ20" t="e">
        <f t="shared" si="15"/>
        <v>#N/A</v>
      </c>
    </row>
    <row r="21" spans="2:43">
      <c r="B21" s="1079"/>
      <c r="C21" s="747" t="s">
        <v>886</v>
      </c>
      <c r="D21" s="718" cm="1">
        <f t="array" ref="D21">MAX(IF(ISNUMBER($S$5:$S$674),IF(ISNUMBER($Y$5:$Y$674),IF($Z$5:$Z$674=D$47,$S$5:$S$674))))</f>
        <v>49.7</v>
      </c>
      <c r="E21" s="717" cm="1">
        <f t="array" ref="E21">MAX(IF(ISNUMBER($S$5:$S$674),IF(ISNUMBER($Y$5:$Y$674),IF($Z$5:$Z$674=E$47,$S$5:$S$674))))</f>
        <v>172.11703958691911</v>
      </c>
      <c r="F21" s="718" cm="1">
        <f t="array" ref="F21">MAX(IF(ISNUMBER($S$5:$S$674),IF(ISNUMBER($Y$5:$Y$674),IF($Z$5:$Z$674=F$47,$S$5:$S$674))))</f>
        <v>763.35877862595419</v>
      </c>
      <c r="G21" s="717" cm="1">
        <f t="array" ref="G21">MAX(IF(ISNUMBER($S$5:$S$674),IF(ISNUMBER($Y$5:$Y$674),IF($Z$5:$Z$674=G$47,$S$5:$S$674))))</f>
        <v>666.66666666666663</v>
      </c>
      <c r="H21" s="718" cm="1">
        <f t="array" ref="H21">MAX(IF(ISNUMBER($S$5:$S$674),IF(ISNUMBER($Y$5:$Y$674),IF($Z$5:$Z$674=H$47,$S$5:$S$674))))</f>
        <v>3187.5</v>
      </c>
      <c r="I21" s="717" cm="1">
        <f t="array" ref="I21">MAX(IF(ISNUMBER($S$5:$S$674),IF(ISNUMBER($Y$5:$Y$674),IF($Z$5:$Z$674=I$47,$S$5:$S$674))))</f>
        <v>1160</v>
      </c>
      <c r="J21" s="740" cm="1">
        <f t="array" ref="J21">MAX(IF(ISNUMBER($S$5:$S$674),IF(ISNUMBER($Y$5:$Y$674),IF($Z$5:$Z$674=J$47,$S$5:$S$674))))</f>
        <v>990.09900990099004</v>
      </c>
      <c r="K21" s="822"/>
      <c r="L21" s="822"/>
      <c r="M21" s="822"/>
      <c r="O21">
        <v>17</v>
      </c>
      <c r="P21" s="401">
        <f>'Lab test'!N20</f>
        <v>35.194569999999999</v>
      </c>
      <c r="Q21" s="401">
        <f>'Lab test'!M20</f>
        <v>1.78562</v>
      </c>
      <c r="R21">
        <f>IF('Lab test'!O20&gt;0,'Lab test'!O20,NA())</f>
        <v>25.4</v>
      </c>
      <c r="S21">
        <f>'Lab test'!Q20</f>
        <v>19.71</v>
      </c>
      <c r="T21" s="401">
        <f>IF('Lab test'!P20&gt;0,'Lab test'!P20,NA())</f>
        <v>0.16256039364514716</v>
      </c>
      <c r="U21" s="401">
        <f>'Lab test'!AZ20</f>
        <v>1965</v>
      </c>
      <c r="V21">
        <f>IF('Lab test'!AQ20&gt;0,'Lab test'!AQ20,NA())</f>
        <v>0.41275676901614267</v>
      </c>
      <c r="W21">
        <f>IF('Lab test'!AU20&gt;0,'Lab test'!AU20,NA())</f>
        <v>1.0899220895905533</v>
      </c>
      <c r="X21">
        <f>IF('Lab test'!AT20&gt;0,'Lab test'!AT20,NA())</f>
        <v>0.1856880104494715</v>
      </c>
      <c r="Y21">
        <f t="shared" si="1"/>
        <v>1</v>
      </c>
      <c r="Z21" t="str">
        <f>'Lab test'!AC20</f>
        <v>Machined</v>
      </c>
      <c r="AA21" t="str">
        <f>'Lab test'!T20</f>
        <v>Aluminium</v>
      </c>
      <c r="AC21" t="e">
        <f t="shared" si="2"/>
        <v>#N/A</v>
      </c>
      <c r="AD21" t="e">
        <f t="shared" si="3"/>
        <v>#N/A</v>
      </c>
      <c r="AE21" t="e">
        <f t="shared" si="4"/>
        <v>#N/A</v>
      </c>
      <c r="AF21">
        <f t="shared" si="5"/>
        <v>1.0899220895905533</v>
      </c>
      <c r="AG21" t="e">
        <f t="shared" si="6"/>
        <v>#N/A</v>
      </c>
      <c r="AH21" t="e">
        <f t="shared" si="7"/>
        <v>#N/A</v>
      </c>
      <c r="AI21" t="e">
        <f t="shared" si="8"/>
        <v>#N/A</v>
      </c>
      <c r="AK21" t="e">
        <f t="shared" si="9"/>
        <v>#N/A</v>
      </c>
      <c r="AL21" t="e">
        <f t="shared" si="10"/>
        <v>#N/A</v>
      </c>
      <c r="AM21" t="e">
        <f t="shared" si="11"/>
        <v>#N/A</v>
      </c>
      <c r="AN21">
        <f t="shared" si="12"/>
        <v>0.1856880104494715</v>
      </c>
      <c r="AO21" t="e">
        <f t="shared" si="13"/>
        <v>#N/A</v>
      </c>
      <c r="AP21" t="e">
        <f t="shared" si="14"/>
        <v>#N/A</v>
      </c>
      <c r="AQ21" t="e">
        <f t="shared" si="15"/>
        <v>#N/A</v>
      </c>
    </row>
    <row r="22" spans="2:43">
      <c r="B22" s="1081" t="s">
        <v>1061</v>
      </c>
      <c r="C22" s="749" t="s">
        <v>885</v>
      </c>
      <c r="D22" s="842" cm="1">
        <f t="array" ref="D22">MIN(IF(ISNUMBER($T$5:$T$674),IF(ISNUMBER($Y$5:$Y$674),IF($Z$5:$Z$674=D$47,$T$5:$T$674))))</f>
        <v>0.10886621079036346</v>
      </c>
      <c r="E22" s="843" cm="1">
        <f t="array" ref="E22">MIN(IF(ISNUMBER($T$5:$T$674),IF(ISNUMBER($Y$5:$Y$674),IF($Z$5:$Z$674=E$47,$T$5:$T$674))))</f>
        <v>0.13720204080114845</v>
      </c>
      <c r="F22" s="844" cm="1">
        <f t="array" ref="F22">MIN(IF(ISNUMBER($T$5:$T$674),IF(ISNUMBER($Y$5:$Y$674),IF($Z$5:$Z$674=F$47,$T$5:$T$674))))</f>
        <v>1.7337785765043901E-2</v>
      </c>
      <c r="G22" s="845" cm="1">
        <f t="array" ref="G22">MIN(IF(ISNUMBER($T$5:$T$674),IF(ISNUMBER($Y$5:$Y$674),IF($Z$5:$Z$674=G$47,$T$5:$T$674))))</f>
        <v>6.5943714767665931E-3</v>
      </c>
      <c r="H22" s="846" cm="1">
        <f t="array" ref="H22">MIN(IF(ISNUMBER($T$5:$T$674),IF(ISNUMBER($Y$5:$Y$674),IF($Z$5:$Z$674=H$47,$T$5:$T$674))))</f>
        <v>6.3671658437523099E-4</v>
      </c>
      <c r="I22" s="847" cm="1">
        <f t="array" ref="I22">MIN(IF(ISNUMBER($T$5:$T$674),IF(ISNUMBER($Y$5:$Y$674),IF($Z$5:$Z$674=I$47,$T$5:$T$674))))</f>
        <v>5.5496546652443787E-2</v>
      </c>
      <c r="J22" s="848" cm="1">
        <f t="array" ref="J22">MIN(IF(ISNUMBER($T$5:$T$674),IF(ISNUMBER($Y$5:$Y$674),IF($Z$5:$Z$674=J$47,$T$5:$T$674))))</f>
        <v>3.1780497164141407E-2</v>
      </c>
      <c r="K22" s="819"/>
      <c r="L22" s="819"/>
      <c r="M22" s="819"/>
      <c r="O22">
        <v>18</v>
      </c>
      <c r="P22" s="401">
        <f>'Lab test'!N21</f>
        <v>34.734859999999998</v>
      </c>
      <c r="Q22" s="401">
        <f>'Lab test'!M21</f>
        <v>0.77724000000000004</v>
      </c>
      <c r="R22">
        <f>IF('Lab test'!O21&gt;0,'Lab test'!O21,NA())</f>
        <v>50.8</v>
      </c>
      <c r="S22">
        <f>'Lab test'!Q21</f>
        <v>44.69</v>
      </c>
      <c r="T22" s="401">
        <f>IF('Lab test'!P21&gt;0,'Lab test'!P21,NA())</f>
        <v>0.21877261333421341</v>
      </c>
      <c r="U22" s="401">
        <f>'Lab test'!AZ21</f>
        <v>1965</v>
      </c>
      <c r="V22">
        <f>IF('Lab test'!AQ21&gt;0,'Lab test'!AQ21,NA())</f>
        <v>0.6215214163767635</v>
      </c>
      <c r="W22">
        <f>IF('Lab test'!AU21&gt;0,'Lab test'!AU21,NA())</f>
        <v>0.98213343601591574</v>
      </c>
      <c r="X22">
        <f>IF('Lab test'!AT21&gt;0,'Lab test'!AT21,NA())</f>
        <v>0.37938721618464943</v>
      </c>
      <c r="Y22">
        <f t="shared" si="1"/>
        <v>1</v>
      </c>
      <c r="Z22" t="str">
        <f>'Lab test'!AC21</f>
        <v>Machined</v>
      </c>
      <c r="AA22" t="str">
        <f>'Lab test'!T21</f>
        <v>Aluminium</v>
      </c>
      <c r="AC22" t="e">
        <f t="shared" si="2"/>
        <v>#N/A</v>
      </c>
      <c r="AD22" t="e">
        <f t="shared" si="3"/>
        <v>#N/A</v>
      </c>
      <c r="AE22" t="e">
        <f t="shared" si="4"/>
        <v>#N/A</v>
      </c>
      <c r="AF22">
        <f t="shared" si="5"/>
        <v>0.98213343601591574</v>
      </c>
      <c r="AG22" t="e">
        <f t="shared" si="6"/>
        <v>#N/A</v>
      </c>
      <c r="AH22" t="e">
        <f t="shared" si="7"/>
        <v>#N/A</v>
      </c>
      <c r="AI22" t="e">
        <f t="shared" si="8"/>
        <v>#N/A</v>
      </c>
      <c r="AK22" t="e">
        <f t="shared" si="9"/>
        <v>#N/A</v>
      </c>
      <c r="AL22" t="e">
        <f t="shared" si="10"/>
        <v>#N/A</v>
      </c>
      <c r="AM22" t="e">
        <f t="shared" si="11"/>
        <v>#N/A</v>
      </c>
      <c r="AN22">
        <f t="shared" si="12"/>
        <v>0.37938721618464943</v>
      </c>
      <c r="AO22" t="e">
        <f t="shared" si="13"/>
        <v>#N/A</v>
      </c>
      <c r="AP22" t="e">
        <f t="shared" si="14"/>
        <v>#N/A</v>
      </c>
      <c r="AQ22" t="e">
        <f t="shared" si="15"/>
        <v>#N/A</v>
      </c>
    </row>
    <row r="23" spans="2:43">
      <c r="B23" s="1076"/>
      <c r="C23" s="747" t="s">
        <v>887</v>
      </c>
      <c r="D23" s="849" cm="1">
        <f t="array" ref="D23">MEDIAN(IF(ISNUMBER($T$5:$T$674),IF(ISNUMBER($Y$5:$Y$674),IF($Z$5:$Z$674=D$47,$T$5:$T$674))))</f>
        <v>0.52903172414416466</v>
      </c>
      <c r="E23" s="837" cm="1">
        <f t="array" ref="E23">MEDIAN(IF(ISNUMBER($T$5:$T$674),IF(ISNUMBER($Y$5:$Y$674),IF($Z$5:$Z$674=E$47,$T$5:$T$674))))</f>
        <v>2.8625942289714477</v>
      </c>
      <c r="F23" s="849" cm="1">
        <f t="array" ref="F23">MEDIAN(IF(ISNUMBER($T$5:$T$674),IF(ISNUMBER($Y$5:$Y$674),IF($Z$5:$Z$674=F$47,$T$5:$T$674))))</f>
        <v>0.2982169705437257</v>
      </c>
      <c r="G23" s="850" cm="1">
        <f t="array" ref="G23">MEDIAN(IF(ISNUMBER($T$5:$T$674),IF(ISNUMBER($Y$5:$Y$674),IF($Z$5:$Z$674=G$47,$T$5:$T$674))))</f>
        <v>0.1905158688831361</v>
      </c>
      <c r="H23" s="851" cm="1">
        <f t="array" ref="H23">MEDIAN(IF(ISNUMBER($T$5:$T$674),IF(ISNUMBER($Y$5:$Y$674),IF($Z$5:$Z$674=H$47,$T$5:$T$674))))</f>
        <v>5.0655849640385608E-2</v>
      </c>
      <c r="I23" s="850" cm="1">
        <f t="array" ref="I23">MEDIAN(IF(ISNUMBER($T$5:$T$674),IF(ISNUMBER($Y$5:$Y$674),IF($Z$5:$Z$674=I$47,$T$5:$T$674))))</f>
        <v>0.1185414968678624</v>
      </c>
      <c r="J23" s="852" cm="1">
        <f t="array" ref="J23">MEDIAN(IF(ISNUMBER($T$5:$T$674),IF(ISNUMBER($Y$5:$Y$674),IF($Z$5:$Z$674=J$47,$T$5:$T$674))))</f>
        <v>0.22622889249925576</v>
      </c>
      <c r="K23" s="819"/>
      <c r="L23" s="819"/>
      <c r="M23" s="819"/>
      <c r="O23">
        <v>19</v>
      </c>
      <c r="P23" s="401">
        <f>'Lab test'!N22</f>
        <v>34.598149999999997</v>
      </c>
      <c r="Q23" s="401">
        <f>'Lab test'!M22</f>
        <v>0.61214000000000002</v>
      </c>
      <c r="R23">
        <f>IF('Lab test'!O22&gt;0,'Lab test'!O22,NA())</f>
        <v>25.4</v>
      </c>
      <c r="S23">
        <f>'Lab test'!Q22</f>
        <v>56.52</v>
      </c>
      <c r="T23" s="401">
        <f>IF('Lab test'!P22&gt;0,'Lab test'!P22,NA())</f>
        <v>9.7651693735800807E-2</v>
      </c>
      <c r="U23" s="401">
        <f>'Lab test'!AZ22</f>
        <v>1965</v>
      </c>
      <c r="V23">
        <f>IF('Lab test'!AQ22&gt;0,'Lab test'!AQ22,NA())</f>
        <v>0.69895940390994538</v>
      </c>
      <c r="W23">
        <f>IF('Lab test'!AU22&gt;0,'Lab test'!AU22,NA())</f>
        <v>0.90938937235271466</v>
      </c>
      <c r="X23">
        <f>IF('Lab test'!AT22&gt;0,'Lab test'!AT22,NA())</f>
        <v>0.44427694734093015</v>
      </c>
      <c r="Y23">
        <f t="shared" si="1"/>
        <v>1</v>
      </c>
      <c r="Z23" t="str">
        <f>'Lab test'!AC22</f>
        <v>Machined</v>
      </c>
      <c r="AA23" t="str">
        <f>'Lab test'!T22</f>
        <v>Aluminium</v>
      </c>
      <c r="AC23" t="e">
        <f t="shared" si="2"/>
        <v>#N/A</v>
      </c>
      <c r="AD23" t="e">
        <f t="shared" si="3"/>
        <v>#N/A</v>
      </c>
      <c r="AE23" t="e">
        <f t="shared" si="4"/>
        <v>#N/A</v>
      </c>
      <c r="AF23">
        <f t="shared" si="5"/>
        <v>0.90938937235271466</v>
      </c>
      <c r="AG23" t="e">
        <f t="shared" si="6"/>
        <v>#N/A</v>
      </c>
      <c r="AH23" t="e">
        <f t="shared" si="7"/>
        <v>#N/A</v>
      </c>
      <c r="AI23" t="e">
        <f t="shared" si="8"/>
        <v>#N/A</v>
      </c>
      <c r="AK23" t="e">
        <f t="shared" si="9"/>
        <v>#N/A</v>
      </c>
      <c r="AL23" t="e">
        <f t="shared" si="10"/>
        <v>#N/A</v>
      </c>
      <c r="AM23" t="e">
        <f t="shared" si="11"/>
        <v>#N/A</v>
      </c>
      <c r="AN23">
        <f t="shared" si="12"/>
        <v>0.44427694734093015</v>
      </c>
      <c r="AO23" t="e">
        <f t="shared" si="13"/>
        <v>#N/A</v>
      </c>
      <c r="AP23" t="e">
        <f t="shared" si="14"/>
        <v>#N/A</v>
      </c>
      <c r="AQ23" t="e">
        <f t="shared" si="15"/>
        <v>#N/A</v>
      </c>
    </row>
    <row r="24" spans="2:43">
      <c r="B24" s="1076"/>
      <c r="C24" s="748" t="s">
        <v>886</v>
      </c>
      <c r="D24" s="839" cm="1">
        <f t="array" ref="D24">MAX(IF(ISNUMBER($T$5:$T$674),IF(ISNUMBER($Y$5:$Y$674),IF($Z$5:$Z$674=D$47,$T$5:$T$674))))</f>
        <v>2.5150234570940531</v>
      </c>
      <c r="E24" s="840" cm="1">
        <f t="array" ref="E24">MAX(IF(ISNUMBER($T$5:$T$674),IF(ISNUMBER($Y$5:$Y$674),IF($Z$5:$Z$674=E$47,$T$5:$T$674))))</f>
        <v>11.81771367132235</v>
      </c>
      <c r="F24" s="839" cm="1">
        <f t="array" ref="F24">MAX(IF(ISNUMBER($T$5:$T$674),IF(ISNUMBER($Y$5:$Y$674),IF($Z$5:$Z$674=F$47,$T$5:$T$674))))</f>
        <v>3.6564244389453688</v>
      </c>
      <c r="G24" s="840" cm="1">
        <f t="array" ref="G24">MAX(IF(ISNUMBER($T$5:$T$674),IF(ISNUMBER($Y$5:$Y$674),IF($Z$5:$Z$674=G$47,$T$5:$T$674))))</f>
        <v>1.8732881182170547</v>
      </c>
      <c r="H24" s="839" cm="1">
        <f t="array" ref="H24">MAX(IF(ISNUMBER($T$5:$T$674),IF(ISNUMBER($Y$5:$Y$674),IF($Z$5:$Z$674=H$47,$T$5:$T$674))))</f>
        <v>2.5332985933106458</v>
      </c>
      <c r="I24" s="858" cm="1">
        <f t="array" ref="I24">MAX(IF(ISNUMBER($T$5:$T$674),IF(ISNUMBER($Y$5:$Y$674),IF($Z$5:$Z$674=I$47,$T$5:$T$674))))</f>
        <v>0.28888271776099356</v>
      </c>
      <c r="J24" s="841" cm="1">
        <f t="array" ref="J24">MAX(IF(ISNUMBER($T$5:$T$674),IF(ISNUMBER($Y$5:$Y$674),IF($Z$5:$Z$674=J$47,$T$5:$T$674))))</f>
        <v>3.3801420959321113</v>
      </c>
      <c r="K24" s="819"/>
      <c r="L24" s="819"/>
      <c r="M24" s="819"/>
      <c r="O24">
        <v>20</v>
      </c>
      <c r="P24" s="401">
        <f>'Lab test'!N23</f>
        <v>34.488529999999997</v>
      </c>
      <c r="Q24" s="401">
        <f>'Lab test'!M23</f>
        <v>0.38607999999999998</v>
      </c>
      <c r="R24">
        <f>IF('Lab test'!O23&gt;0,'Lab test'!O23,NA())</f>
        <v>50.8</v>
      </c>
      <c r="S24">
        <f>'Lab test'!Q23</f>
        <v>89.33</v>
      </c>
      <c r="T24" s="401">
        <f>IF('Lab test'!P23&gt;0,'Lab test'!P23,NA())</f>
        <v>0.1558440904848622</v>
      </c>
      <c r="U24" s="401">
        <f>'Lab test'!AZ23</f>
        <v>1965</v>
      </c>
      <c r="V24">
        <f>IF('Lab test'!AQ23&gt;0,'Lab test'!AQ23,NA())</f>
        <v>0.87871812185243192</v>
      </c>
      <c r="W24">
        <f>IF('Lab test'!AU23&gt;0,'Lab test'!AU23,NA())</f>
        <v>0.777883660634065</v>
      </c>
      <c r="X24">
        <f>IF('Lab test'!AT23&gt;0,'Lab test'!AT23,NA())</f>
        <v>0.60063939738644889</v>
      </c>
      <c r="Y24">
        <f t="shared" si="1"/>
        <v>1</v>
      </c>
      <c r="Z24" t="str">
        <f>'Lab test'!AC23</f>
        <v>Machined</v>
      </c>
      <c r="AA24" t="str">
        <f>'Lab test'!T23</f>
        <v>Aluminium</v>
      </c>
      <c r="AC24" t="e">
        <f t="shared" si="2"/>
        <v>#N/A</v>
      </c>
      <c r="AD24" t="e">
        <f t="shared" si="3"/>
        <v>#N/A</v>
      </c>
      <c r="AE24" t="e">
        <f t="shared" si="4"/>
        <v>#N/A</v>
      </c>
      <c r="AF24">
        <f t="shared" si="5"/>
        <v>0.777883660634065</v>
      </c>
      <c r="AG24" t="e">
        <f t="shared" si="6"/>
        <v>#N/A</v>
      </c>
      <c r="AH24" t="e">
        <f t="shared" si="7"/>
        <v>#N/A</v>
      </c>
      <c r="AI24" t="e">
        <f t="shared" si="8"/>
        <v>#N/A</v>
      </c>
      <c r="AK24" t="e">
        <f t="shared" si="9"/>
        <v>#N/A</v>
      </c>
      <c r="AL24" t="e">
        <f t="shared" si="10"/>
        <v>#N/A</v>
      </c>
      <c r="AM24" t="e">
        <f t="shared" si="11"/>
        <v>#N/A</v>
      </c>
      <c r="AN24">
        <f t="shared" si="12"/>
        <v>0.60063939738644889</v>
      </c>
      <c r="AO24" t="e">
        <f t="shared" si="13"/>
        <v>#N/A</v>
      </c>
      <c r="AP24" t="e">
        <f t="shared" si="14"/>
        <v>#N/A</v>
      </c>
      <c r="AQ24" t="e">
        <f t="shared" si="15"/>
        <v>#N/A</v>
      </c>
    </row>
    <row r="25" spans="2:43">
      <c r="B25" s="1080" t="s">
        <v>1062</v>
      </c>
      <c r="C25" s="750" t="s">
        <v>885</v>
      </c>
      <c r="D25" s="725" cm="1">
        <f t="array" ref="D25">MIN(IF(ISNUMBER($V$5:$V$674),IF(ISNUMBER($Y$5:$Y$674),IF($Z$5:$Z$674=D$47,$V$5:$V$674))))</f>
        <v>0.17757017871410097</v>
      </c>
      <c r="E25" s="829" cm="1">
        <f t="array" ref="E25">MIN(IF(ISNUMBER($V$5:$V$674),IF(ISNUMBER($Y$5:$Y$674),IF($Z$5:$Z$674=E$47,$V$5:$V$674))))</f>
        <v>0.22488032531694971</v>
      </c>
      <c r="F25" s="725" cm="1">
        <f t="array" ref="F25">MIN(IF(ISNUMBER($V$5:$V$674),IF(ISNUMBER($Y$5:$Y$674),IF($Z$5:$Z$674=F$47,$V$5:$V$674))))</f>
        <v>0.23883157818281384</v>
      </c>
      <c r="G25" s="829" cm="1">
        <f t="array" ref="G25">MIN(IF(ISNUMBER($V$5:$V$674),IF(ISNUMBER($Y$5:$Y$674),IF($Z$5:$Z$674=G$47,$V$5:$V$674))))</f>
        <v>0.25238436792586039</v>
      </c>
      <c r="H25" s="725" cm="1">
        <f t="array" ref="H25">MIN(IF(ISNUMBER($V$5:$V$674),IF(ISNUMBER($Y$5:$Y$674),IF($Z$5:$Z$674=H$47,$V$5:$V$674))))</f>
        <v>0.2502385249863856</v>
      </c>
      <c r="I25" s="829" cm="1">
        <f t="array" ref="I25">MIN(IF(ISNUMBER($V$5:$V$674),IF(ISNUMBER($Y$5:$Y$674),IF($Z$5:$Z$674=I$47,$V$5:$V$674))))</f>
        <v>2.6116201014986458</v>
      </c>
      <c r="J25" s="744" cm="1">
        <f t="array" ref="J25">MIN(IF(ISNUMBER($V$5:$V$674),IF(ISNUMBER($Y$5:$Y$674),IF($Z$5:$Z$674=J$47,$V$5:$V$674))))</f>
        <v>0.94451275863421391</v>
      </c>
      <c r="K25" s="822"/>
      <c r="L25" s="822"/>
      <c r="M25" s="822"/>
      <c r="O25">
        <v>21</v>
      </c>
      <c r="P25" s="401">
        <f>'Lab test'!N24</f>
        <v>34.805720000000001</v>
      </c>
      <c r="Q25" s="401">
        <f>'Lab test'!M24</f>
        <v>3.56616</v>
      </c>
      <c r="R25">
        <f>IF('Lab test'!O24&gt;0,'Lab test'!O24,NA())</f>
        <v>101.6</v>
      </c>
      <c r="S25">
        <f>'Lab test'!Q24</f>
        <v>9.76</v>
      </c>
      <c r="T25" s="401">
        <f>IF('Lab test'!P24&gt;0,'Lab test'!P24,NA())</f>
        <v>0.93436849605324479</v>
      </c>
      <c r="U25" s="401">
        <f>'Lab test'!AZ24</f>
        <v>1965</v>
      </c>
      <c r="V25">
        <f>IF('Lab test'!AQ24&gt;0,'Lab test'!AQ24,NA())</f>
        <v>0.2904529502640128</v>
      </c>
      <c r="W25">
        <f>IF('Lab test'!AU24&gt;0,'Lab test'!AU24,NA())</f>
        <v>1.2389500962649211</v>
      </c>
      <c r="X25">
        <f>IF('Lab test'!AT24&gt;0,'Lab test'!AT24,NA())</f>
        <v>0.10452144329222224</v>
      </c>
      <c r="Y25">
        <f t="shared" si="1"/>
        <v>1</v>
      </c>
      <c r="Z25" t="str">
        <f>'Lab test'!AC24</f>
        <v>Machined</v>
      </c>
      <c r="AA25" t="str">
        <f>'Lab test'!T24</f>
        <v>Aluminium</v>
      </c>
      <c r="AC25" t="e">
        <f t="shared" si="2"/>
        <v>#N/A</v>
      </c>
      <c r="AD25" t="e">
        <f t="shared" si="3"/>
        <v>#N/A</v>
      </c>
      <c r="AE25" t="e">
        <f t="shared" si="4"/>
        <v>#N/A</v>
      </c>
      <c r="AF25">
        <f t="shared" si="5"/>
        <v>1.2389500962649211</v>
      </c>
      <c r="AG25" t="e">
        <f t="shared" si="6"/>
        <v>#N/A</v>
      </c>
      <c r="AH25" t="e">
        <f t="shared" si="7"/>
        <v>#N/A</v>
      </c>
      <c r="AI25" t="e">
        <f t="shared" si="8"/>
        <v>#N/A</v>
      </c>
      <c r="AK25" t="e">
        <f t="shared" si="9"/>
        <v>#N/A</v>
      </c>
      <c r="AL25" t="e">
        <f t="shared" si="10"/>
        <v>#N/A</v>
      </c>
      <c r="AM25" t="e">
        <f t="shared" si="11"/>
        <v>#N/A</v>
      </c>
      <c r="AN25">
        <f t="shared" si="12"/>
        <v>0.10452144329222224</v>
      </c>
      <c r="AO25" t="e">
        <f t="shared" si="13"/>
        <v>#N/A</v>
      </c>
      <c r="AP25" t="e">
        <f t="shared" si="14"/>
        <v>#N/A</v>
      </c>
      <c r="AQ25" t="e">
        <f t="shared" si="15"/>
        <v>#N/A</v>
      </c>
    </row>
    <row r="26" spans="2:43">
      <c r="B26" s="1076"/>
      <c r="C26" s="750" t="s">
        <v>887</v>
      </c>
      <c r="D26" s="728" cm="1">
        <f t="array" ref="D26">MEDIAN(IF(ISNUMBER($V$5:$V$674),IF(ISNUMBER($Y$5:$Y$674),IF($Z$5:$Z$674=D$47,$V$5:$V$674))))</f>
        <v>0.29495570336891813</v>
      </c>
      <c r="E26" s="723" cm="1">
        <f t="array" ref="E26">MEDIAN(IF(ISNUMBER($V$5:$V$674),IF(ISNUMBER($Y$5:$Y$674),IF($Z$5:$Z$674=E$47,$V$5:$V$674))))</f>
        <v>0.33809103473611657</v>
      </c>
      <c r="F26" s="728" cm="1">
        <f t="array" ref="F26">MEDIAN(IF(ISNUMBER($V$5:$V$674),IF(ISNUMBER($Y$5:$Y$674),IF($Z$5:$Z$674=F$47,$V$5:$V$674))))</f>
        <v>0.56320848058467998</v>
      </c>
      <c r="G26" s="723" cm="1">
        <f t="array" ref="G26">MEDIAN(IF(ISNUMBER($V$5:$V$674),IF(ISNUMBER($Y$5:$Y$674),IF($Z$5:$Z$674=G$47,$V$5:$V$674))))</f>
        <v>0.59472075764221999</v>
      </c>
      <c r="H26" s="728" cm="1">
        <f t="array" ref="H26">MEDIAN(IF(ISNUMBER($V$5:$V$674),IF(ISNUMBER($Y$5:$Y$674),IF($Z$5:$Z$674=H$47,$V$5:$V$674))))</f>
        <v>1.3021588759859088</v>
      </c>
      <c r="I26" s="723" cm="1">
        <f t="array" ref="I26">MEDIAN(IF(ISNUMBER($V$5:$V$674),IF(ISNUMBER($Y$5:$Y$674),IF($Z$5:$Z$674=I$47,$V$5:$V$674))))</f>
        <v>2.7565554226210427</v>
      </c>
      <c r="J26" s="743" cm="1">
        <f t="array" ref="J26">MEDIAN(IF(ISNUMBER($V$5:$V$674),IF(ISNUMBER($Y$5:$Y$674),IF($Z$5:$Z$674=J$47,$V$5:$V$674))))</f>
        <v>1.3013240428093602</v>
      </c>
      <c r="K26" s="822"/>
      <c r="L26" s="822"/>
      <c r="M26" s="822"/>
      <c r="O26">
        <v>22</v>
      </c>
      <c r="P26" s="401">
        <f>'Lab test'!N25</f>
        <v>34.780929999999998</v>
      </c>
      <c r="Q26" s="401">
        <f>'Lab test'!M25</f>
        <v>3.5636199999999998</v>
      </c>
      <c r="R26">
        <f>IF('Lab test'!O25&gt;0,'Lab test'!O25,NA())</f>
        <v>38.1</v>
      </c>
      <c r="S26">
        <f>'Lab test'!Q25</f>
        <v>9.76</v>
      </c>
      <c r="T26" s="401">
        <f>IF('Lab test'!P25&gt;0,'Lab test'!P25,NA())</f>
        <v>0.35063792210245931</v>
      </c>
      <c r="U26" s="401">
        <f>'Lab test'!AZ25</f>
        <v>1965</v>
      </c>
      <c r="V26">
        <f>IF('Lab test'!AQ25&gt;0,'Lab test'!AQ25,NA())</f>
        <v>0.29045295192943954</v>
      </c>
      <c r="W26">
        <f>IF('Lab test'!AU25&gt;0,'Lab test'!AU25,NA())</f>
        <v>1.2269145937620329</v>
      </c>
      <c r="X26">
        <f>IF('Lab test'!AT25&gt;0,'Lab test'!AT25,NA())</f>
        <v>0.10350609438872335</v>
      </c>
      <c r="Y26">
        <f t="shared" si="1"/>
        <v>1</v>
      </c>
      <c r="Z26" t="str">
        <f>'Lab test'!AC25</f>
        <v>Machined</v>
      </c>
      <c r="AA26" t="str">
        <f>'Lab test'!T25</f>
        <v>Aluminium</v>
      </c>
      <c r="AC26" t="e">
        <f t="shared" si="2"/>
        <v>#N/A</v>
      </c>
      <c r="AD26" t="e">
        <f t="shared" si="3"/>
        <v>#N/A</v>
      </c>
      <c r="AE26" t="e">
        <f t="shared" si="4"/>
        <v>#N/A</v>
      </c>
      <c r="AF26">
        <f t="shared" si="5"/>
        <v>1.2269145937620329</v>
      </c>
      <c r="AG26" t="e">
        <f t="shared" si="6"/>
        <v>#N/A</v>
      </c>
      <c r="AH26" t="e">
        <f t="shared" si="7"/>
        <v>#N/A</v>
      </c>
      <c r="AI26" t="e">
        <f t="shared" si="8"/>
        <v>#N/A</v>
      </c>
      <c r="AK26" t="e">
        <f t="shared" si="9"/>
        <v>#N/A</v>
      </c>
      <c r="AL26" t="e">
        <f t="shared" si="10"/>
        <v>#N/A</v>
      </c>
      <c r="AM26" t="e">
        <f t="shared" si="11"/>
        <v>#N/A</v>
      </c>
      <c r="AN26">
        <f t="shared" si="12"/>
        <v>0.10350609438872335</v>
      </c>
      <c r="AO26" t="e">
        <f t="shared" si="13"/>
        <v>#N/A</v>
      </c>
      <c r="AP26" t="e">
        <f t="shared" si="14"/>
        <v>#N/A</v>
      </c>
      <c r="AQ26" t="e">
        <f t="shared" si="15"/>
        <v>#N/A</v>
      </c>
    </row>
    <row r="27" spans="2:43">
      <c r="B27" s="1079"/>
      <c r="C27" s="750" t="s">
        <v>886</v>
      </c>
      <c r="D27" s="730" cm="1">
        <f t="array" ref="D27">MAX(IF(ISNUMBER($V$5:$V$674),IF(ISNUMBER($Y$5:$Y$674),IF($Z$5:$Z$674=D$47,$V$5:$V$674))))</f>
        <v>0.56733832443533361</v>
      </c>
      <c r="E27" s="729" cm="1">
        <f t="array" ref="E27">MAX(IF(ISNUMBER($V$5:$V$674),IF(ISNUMBER($Y$5:$Y$674),IF($Z$5:$Z$674=E$47,$V$5:$V$674))))</f>
        <v>0.60720317283264569</v>
      </c>
      <c r="F27" s="730" cm="1">
        <f t="array" ref="F27">MAX(IF(ISNUMBER($V$5:$V$674),IF(ISNUMBER($Y$5:$Y$674),IF($Z$5:$Z$674=F$47,$V$5:$V$674))))</f>
        <v>1.9545910119003018</v>
      </c>
      <c r="G27" s="729" cm="1">
        <f t="array" ref="G27">MAX(IF(ISNUMBER($V$5:$V$674),IF(ISNUMBER($Y$5:$Y$674),IF($Z$5:$Z$674=G$47,$V$5:$V$674))))</f>
        <v>1.5306007792776573</v>
      </c>
      <c r="H27" s="730" cm="1">
        <f t="array" ref="H27">MAX(IF(ISNUMBER($V$5:$V$674),IF(ISNUMBER($Y$5:$Y$674),IF($Z$5:$Z$674=H$47,$V$5:$V$674))))</f>
        <v>2.8822703237311318</v>
      </c>
      <c r="I27" s="729" cm="1">
        <f t="array" ref="I27">MAX(IF(ISNUMBER($V$5:$V$674),IF(ISNUMBER($Y$5:$Y$674),IF($Z$5:$Z$674=I$47,$V$5:$V$674))))</f>
        <v>2.926890565569622</v>
      </c>
      <c r="J27" s="745" cm="1">
        <f t="array" ref="J27">MAX(IF(ISNUMBER($V$5:$V$674),IF(ISNUMBER($Y$5:$Y$674),IF($Z$5:$Z$674=J$47,$V$5:$V$674))))</f>
        <v>1.5794827845583594</v>
      </c>
      <c r="K27" s="822"/>
      <c r="L27" s="822"/>
      <c r="M27" s="822"/>
      <c r="O27">
        <v>23</v>
      </c>
      <c r="P27" s="401">
        <f>'Lab test'!N26</f>
        <v>34.805720000000001</v>
      </c>
      <c r="Q27" s="401">
        <f>'Lab test'!M26</f>
        <v>3.56616</v>
      </c>
      <c r="R27">
        <f>IF('Lab test'!O26&gt;0,'Lab test'!O26,NA())</f>
        <v>25.4</v>
      </c>
      <c r="S27">
        <f>'Lab test'!Q26</f>
        <v>9.76</v>
      </c>
      <c r="T27" s="401">
        <f>IF('Lab test'!P26&gt;0,'Lab test'!P26,NA())</f>
        <v>0.2335921240133112</v>
      </c>
      <c r="U27" s="401">
        <f>'Lab test'!AZ26</f>
        <v>1965</v>
      </c>
      <c r="V27">
        <f>IF('Lab test'!AQ26&gt;0,'Lab test'!AQ26,NA())</f>
        <v>0.2904529502640128</v>
      </c>
      <c r="W27">
        <f>IF('Lab test'!AU26&gt;0,'Lab test'!AU26,NA())</f>
        <v>1.236118213323065</v>
      </c>
      <c r="X27">
        <f>IF('Lab test'!AT26&gt;0,'Lab test'!AT26,NA())</f>
        <v>0.10428253738857871</v>
      </c>
      <c r="Y27">
        <f t="shared" si="1"/>
        <v>1</v>
      </c>
      <c r="Z27" t="str">
        <f>'Lab test'!AC26</f>
        <v>Machined</v>
      </c>
      <c r="AA27" t="str">
        <f>'Lab test'!T26</f>
        <v>Aluminium</v>
      </c>
      <c r="AC27" t="e">
        <f t="shared" si="2"/>
        <v>#N/A</v>
      </c>
      <c r="AD27" t="e">
        <f t="shared" si="3"/>
        <v>#N/A</v>
      </c>
      <c r="AE27" t="e">
        <f t="shared" si="4"/>
        <v>#N/A</v>
      </c>
      <c r="AF27">
        <f t="shared" si="5"/>
        <v>1.236118213323065</v>
      </c>
      <c r="AG27" t="e">
        <f t="shared" si="6"/>
        <v>#N/A</v>
      </c>
      <c r="AH27" t="e">
        <f t="shared" si="7"/>
        <v>#N/A</v>
      </c>
      <c r="AI27" t="e">
        <f t="shared" si="8"/>
        <v>#N/A</v>
      </c>
      <c r="AK27" t="e">
        <f t="shared" si="9"/>
        <v>#N/A</v>
      </c>
      <c r="AL27" t="e">
        <f t="shared" si="10"/>
        <v>#N/A</v>
      </c>
      <c r="AM27" t="e">
        <f t="shared" si="11"/>
        <v>#N/A</v>
      </c>
      <c r="AN27">
        <f t="shared" si="12"/>
        <v>0.10428253738857871</v>
      </c>
      <c r="AO27" t="e">
        <f t="shared" si="13"/>
        <v>#N/A</v>
      </c>
      <c r="AP27" t="e">
        <f t="shared" si="14"/>
        <v>#N/A</v>
      </c>
      <c r="AQ27" t="e">
        <f t="shared" si="15"/>
        <v>#N/A</v>
      </c>
    </row>
    <row r="28" spans="2:43">
      <c r="B28" s="1081" t="s">
        <v>1063</v>
      </c>
      <c r="C28" s="749" t="s">
        <v>885</v>
      </c>
      <c r="D28" s="725" cm="1">
        <f t="array" ref="D28">MIN(IF(ISNUMBER($W$5:$W$674),IF(ISNUMBER($Y$5:$Y$674),IF($Z$5:$Z$674=D$47,$W$5:$W$674))))</f>
        <v>0.91700000000000004</v>
      </c>
      <c r="E28" s="829" cm="1">
        <f t="array" ref="E28">MIN(IF(ISNUMBER($W$5:$W$674),IF(ISNUMBER($Y$5:$Y$674),IF($Z$5:$Z$674=E$47,$W$5:$W$674))))</f>
        <v>0.5138427464008859</v>
      </c>
      <c r="F28" s="727" cm="1">
        <f t="array" ref="F28">MIN(IF(ISNUMBER($W$5:$W$674),IF(ISNUMBER($Y$5:$Y$674),IF($Z$5:$Z$674=F$47,$W$5:$W$674))))</f>
        <v>4.648752281897358E-2</v>
      </c>
      <c r="G28" s="829" cm="1">
        <f t="array" ref="G28">MIN(IF(ISNUMBER($W$5:$W$674),IF(ISNUMBER($Y$5:$Y$674),IF($Z$5:$Z$674=G$47,$W$5:$W$674))))</f>
        <v>0.1533524191250033</v>
      </c>
      <c r="H28" s="727" cm="1">
        <f t="array" ref="H28">MIN(IF(ISNUMBER($W$5:$W$674),IF(ISNUMBER($Y$5:$Y$674),IF($Z$5:$Z$674=H$47,$W$5:$W$674))))</f>
        <v>2.8872668478260873E-2</v>
      </c>
      <c r="I28" s="726" cm="1">
        <f t="array" ref="I28">MIN(IF(ISNUMBER($W$5:$W$674),IF(ISNUMBER($Y$5:$Y$674),IF($Z$5:$Z$674=I$47,$W$5:$W$674))))</f>
        <v>5.7364641036656873E-2</v>
      </c>
      <c r="J28" s="825" cm="1">
        <f t="array" ref="J28">MIN(IF(ISNUMBER($W$5:$W$674),IF(ISNUMBER($Y$5:$Y$674),IF($Z$5:$Z$674=J$47,$W$5:$W$674))))</f>
        <v>8.4590163934426227E-2</v>
      </c>
      <c r="K28" s="822"/>
      <c r="L28" s="822"/>
      <c r="M28" s="822"/>
      <c r="O28">
        <v>24</v>
      </c>
      <c r="P28" s="401">
        <f>'Lab test'!N27</f>
        <v>34.805720000000001</v>
      </c>
      <c r="Q28" s="401">
        <f>'Lab test'!M27</f>
        <v>3.56616</v>
      </c>
      <c r="R28">
        <f>IF('Lab test'!O27&gt;0,'Lab test'!O27,NA())</f>
        <v>12.7</v>
      </c>
      <c r="S28">
        <f>'Lab test'!Q27</f>
        <v>9.76</v>
      </c>
      <c r="T28" s="401">
        <f>IF('Lab test'!P27&gt;0,'Lab test'!P27,NA())</f>
        <v>0.1167960620066556</v>
      </c>
      <c r="U28" s="401">
        <f>'Lab test'!AZ27</f>
        <v>1965</v>
      </c>
      <c r="V28" t="e">
        <f>IF('Lab test'!AQ27&gt;0,'Lab test'!AQ27,NA())</f>
        <v>#N/A</v>
      </c>
      <c r="W28" t="e">
        <f>IF('Lab test'!AU27&gt;0,'Lab test'!AU27,NA())</f>
        <v>#N/A</v>
      </c>
      <c r="X28" t="e">
        <f>IF('Lab test'!AT27&gt;0,'Lab test'!AT27,NA())</f>
        <v>#N/A</v>
      </c>
      <c r="Y28" t="e">
        <f t="shared" si="1"/>
        <v>#N/A</v>
      </c>
      <c r="Z28" t="str">
        <f>'Lab test'!AC27</f>
        <v>Machined</v>
      </c>
      <c r="AA28" t="str">
        <f>'Lab test'!T27</f>
        <v>Aluminium</v>
      </c>
      <c r="AC28" t="e">
        <f t="shared" si="2"/>
        <v>#N/A</v>
      </c>
      <c r="AD28" t="e">
        <f t="shared" si="3"/>
        <v>#N/A</v>
      </c>
      <c r="AE28" t="e">
        <f t="shared" si="4"/>
        <v>#N/A</v>
      </c>
      <c r="AF28" t="e">
        <f t="shared" si="5"/>
        <v>#N/A</v>
      </c>
      <c r="AG28" t="e">
        <f t="shared" si="6"/>
        <v>#N/A</v>
      </c>
      <c r="AH28" t="e">
        <f t="shared" si="7"/>
        <v>#N/A</v>
      </c>
      <c r="AI28" t="e">
        <f t="shared" si="8"/>
        <v>#N/A</v>
      </c>
      <c r="AK28" t="e">
        <f t="shared" si="9"/>
        <v>#N/A</v>
      </c>
      <c r="AL28" t="e">
        <f t="shared" si="10"/>
        <v>#N/A</v>
      </c>
      <c r="AM28" t="e">
        <f t="shared" si="11"/>
        <v>#N/A</v>
      </c>
      <c r="AN28" t="e">
        <f t="shared" si="12"/>
        <v>#N/A</v>
      </c>
      <c r="AO28" t="e">
        <f t="shared" si="13"/>
        <v>#N/A</v>
      </c>
      <c r="AP28" t="e">
        <f t="shared" si="14"/>
        <v>#N/A</v>
      </c>
      <c r="AQ28" t="e">
        <f t="shared" si="15"/>
        <v>#N/A</v>
      </c>
    </row>
    <row r="29" spans="2:43">
      <c r="B29" s="1076"/>
      <c r="C29" s="747" t="s">
        <v>887</v>
      </c>
      <c r="D29" s="728" cm="1">
        <f t="array" ref="D29">MEDIAN(IF(ISNUMBER($W$5:$W$674),IF(ISNUMBER($Y$5:$Y$674),IF($Z$5:$Z$674=D$47,$W$5:$W$674))))</f>
        <v>1.182520339872712</v>
      </c>
      <c r="E29" s="723" cm="1">
        <f t="array" ref="E29">MEDIAN(IF(ISNUMBER($W$5:$W$674),IF(ISNUMBER($Y$5:$Y$674),IF($Z$5:$Z$674=E$47,$W$5:$W$674))))</f>
        <v>0.76623679861100835</v>
      </c>
      <c r="F29" s="728" cm="1">
        <f t="array" ref="F29">MEDIAN(IF(ISNUMBER($W$5:$W$674),IF(ISNUMBER($Y$5:$Y$674),IF($Z$5:$Z$674=F$47,$W$5:$W$674))))</f>
        <v>0.98213343601591574</v>
      </c>
      <c r="G29" s="723" cm="1">
        <f t="array" ref="G29">MEDIAN(IF(ISNUMBER($W$5:$W$674),IF(ISNUMBER($Y$5:$Y$674),IF($Z$5:$Z$674=G$47,$W$5:$W$674))))</f>
        <v>0.79147546788084844</v>
      </c>
      <c r="H29" s="728" cm="1">
        <f t="array" ref="H29">MEDIAN(IF(ISNUMBER($W$5:$W$674),IF(ISNUMBER($Y$5:$Y$674),IF($Z$5:$Z$674=H$47,$W$5:$W$674))))</f>
        <v>0.21289086906615384</v>
      </c>
      <c r="I29" s="724" cm="1">
        <f t="array" ref="I29">MEDIAN(IF(ISNUMBER($W$5:$W$674),IF(ISNUMBER($Y$5:$Y$674),IF($Z$5:$Z$674=I$47,$W$5:$W$674))))</f>
        <v>7.8223179068827683E-2</v>
      </c>
      <c r="J29" s="743" cm="1">
        <f t="array" ref="J29">MEDIAN(IF(ISNUMBER($W$5:$W$674),IF(ISNUMBER($Y$5:$Y$674),IF($Z$5:$Z$674=J$47,$W$5:$W$674))))</f>
        <v>0.15582835156104441</v>
      </c>
      <c r="K29" s="822"/>
      <c r="L29" s="822"/>
      <c r="M29" s="822"/>
      <c r="O29">
        <v>25</v>
      </c>
      <c r="P29" s="401">
        <f>'Lab test'!N28</f>
        <v>35.559109999999997</v>
      </c>
      <c r="Q29" s="401">
        <f>'Lab test'!M28</f>
        <v>2.5527000000000002</v>
      </c>
      <c r="R29">
        <f>IF('Lab test'!O28&gt;0,'Lab test'!O28,NA())</f>
        <v>25.4</v>
      </c>
      <c r="S29">
        <f>'Lab test'!Q28</f>
        <v>13.93</v>
      </c>
      <c r="T29" s="401">
        <f>IF('Lab test'!P28&gt;0,'Lab test'!P28,NA())</f>
        <v>0.19138472917492183</v>
      </c>
      <c r="U29" s="401">
        <f>'Lab test'!AZ28</f>
        <v>1965</v>
      </c>
      <c r="V29">
        <f>IF('Lab test'!AQ28&gt;0,'Lab test'!AQ28,NA())</f>
        <v>0.34699757954794924</v>
      </c>
      <c r="W29">
        <f>IF('Lab test'!AU28&gt;0,'Lab test'!AU28,NA())</f>
        <v>1.1290375304838918</v>
      </c>
      <c r="X29">
        <f>IF('Lab test'!AT28&gt;0,'Lab test'!AT28,NA())</f>
        <v>0.13594438346449247</v>
      </c>
      <c r="Y29">
        <f t="shared" si="1"/>
        <v>1</v>
      </c>
      <c r="Z29" t="str">
        <f>'Lab test'!AC28</f>
        <v>Machined</v>
      </c>
      <c r="AA29" t="str">
        <f>'Lab test'!T28</f>
        <v>Aluminium</v>
      </c>
      <c r="AC29" t="e">
        <f t="shared" si="2"/>
        <v>#N/A</v>
      </c>
      <c r="AD29" t="e">
        <f t="shared" si="3"/>
        <v>#N/A</v>
      </c>
      <c r="AE29" t="e">
        <f t="shared" si="4"/>
        <v>#N/A</v>
      </c>
      <c r="AF29">
        <f t="shared" si="5"/>
        <v>1.1290375304838918</v>
      </c>
      <c r="AG29" t="e">
        <f t="shared" si="6"/>
        <v>#N/A</v>
      </c>
      <c r="AH29" t="e">
        <f t="shared" si="7"/>
        <v>#N/A</v>
      </c>
      <c r="AI29" t="e">
        <f t="shared" si="8"/>
        <v>#N/A</v>
      </c>
      <c r="AK29" t="e">
        <f t="shared" si="9"/>
        <v>#N/A</v>
      </c>
      <c r="AL29" t="e">
        <f t="shared" si="10"/>
        <v>#N/A</v>
      </c>
      <c r="AM29" t="e">
        <f t="shared" si="11"/>
        <v>#N/A</v>
      </c>
      <c r="AN29">
        <f t="shared" si="12"/>
        <v>0.13594438346449247</v>
      </c>
      <c r="AO29" t="e">
        <f t="shared" si="13"/>
        <v>#N/A</v>
      </c>
      <c r="AP29" t="e">
        <f t="shared" si="14"/>
        <v>#N/A</v>
      </c>
      <c r="AQ29" t="e">
        <f t="shared" si="15"/>
        <v>#N/A</v>
      </c>
    </row>
    <row r="30" spans="2:43">
      <c r="B30" s="1076"/>
      <c r="C30" s="748" t="s">
        <v>886</v>
      </c>
      <c r="D30" s="730" cm="1">
        <f t="array" ref="D30">MAX(IF(ISNUMBER($W$5:$W$674),IF(ISNUMBER($Y$5:$Y$674),IF($Z$5:$Z$674=D$47,$W$5:$W$674))))</f>
        <v>1.756</v>
      </c>
      <c r="E30" s="729" cm="1">
        <f t="array" ref="E30">MAX(IF(ISNUMBER($W$5:$W$674),IF(ISNUMBER($Y$5:$Y$674),IF($Z$5:$Z$674=E$47,$W$5:$W$674))))</f>
        <v>1.1243076121164086</v>
      </c>
      <c r="F30" s="730" cm="1">
        <f t="array" ref="F30">MAX(IF(ISNUMBER($W$5:$W$674),IF(ISNUMBER($Y$5:$Y$674),IF($Z$5:$Z$674=F$47,$W$5:$W$674))))</f>
        <v>1.305863045228943</v>
      </c>
      <c r="G30" s="729" cm="1">
        <f t="array" ref="G30">MAX(IF(ISNUMBER($W$5:$W$674),IF(ISNUMBER($Y$5:$Y$674),IF($Z$5:$Z$674=G$47,$W$5:$W$674))))</f>
        <v>1.1494521735689953</v>
      </c>
      <c r="H30" s="730" cm="1">
        <f t="array" ref="H30">MAX(IF(ISNUMBER($W$5:$W$674),IF(ISNUMBER($Y$5:$Y$674),IF($Z$5:$Z$674=H$47,$W$5:$W$674))))</f>
        <v>1.1052631578947369</v>
      </c>
      <c r="I30" s="729" cm="1">
        <f t="array" ref="I30">MAX(IF(ISNUMBER($W$5:$W$674),IF(ISNUMBER($Y$5:$Y$674),IF($Z$5:$Z$674=I$47,$W$5:$W$674))))</f>
        <v>0.10403896169729526</v>
      </c>
      <c r="J30" s="745" cm="1">
        <f t="array" ref="J30">MAX(IF(ISNUMBER($W$5:$W$674),IF(ISNUMBER($Y$5:$Y$674),IF($Z$5:$Z$674=J$47,$W$5:$W$674))))</f>
        <v>0.58947363165303313</v>
      </c>
      <c r="K30" s="822"/>
      <c r="L30" s="822"/>
      <c r="M30" s="822"/>
      <c r="O30">
        <v>26</v>
      </c>
      <c r="P30" s="401">
        <f>'Lab test'!N29</f>
        <v>35.205159999999999</v>
      </c>
      <c r="Q30" s="401">
        <f>'Lab test'!M29</f>
        <v>1.7907</v>
      </c>
      <c r="R30">
        <f>IF('Lab test'!O29&gt;0,'Lab test'!O29,NA())</f>
        <v>50.8</v>
      </c>
      <c r="S30">
        <f>'Lab test'!Q29</f>
        <v>19.66</v>
      </c>
      <c r="T30" s="401">
        <f>IF('Lab test'!P29&gt;0,'Lab test'!P29,NA())</f>
        <v>0.32543603908802227</v>
      </c>
      <c r="U30" s="401">
        <f>'Lab test'!AZ29</f>
        <v>1965</v>
      </c>
      <c r="V30">
        <f>IF('Lab test'!AQ29&gt;0,'Lab test'!AQ29,NA())</f>
        <v>0.41223288877962527</v>
      </c>
      <c r="W30">
        <f>IF('Lab test'!AU29&gt;0,'Lab test'!AU29,NA())</f>
        <v>1.0881521755872159</v>
      </c>
      <c r="X30">
        <f>IF('Lab test'!AT29&gt;0,'Lab test'!AT29,NA())</f>
        <v>0.18491617869933433</v>
      </c>
      <c r="Y30">
        <f t="shared" si="1"/>
        <v>1</v>
      </c>
      <c r="Z30" t="str">
        <f>'Lab test'!AC29</f>
        <v>Machined</v>
      </c>
      <c r="AA30" t="str">
        <f>'Lab test'!T29</f>
        <v>Aluminium</v>
      </c>
      <c r="AC30" t="e">
        <f t="shared" si="2"/>
        <v>#N/A</v>
      </c>
      <c r="AD30" t="e">
        <f t="shared" si="3"/>
        <v>#N/A</v>
      </c>
      <c r="AE30" t="e">
        <f t="shared" si="4"/>
        <v>#N/A</v>
      </c>
      <c r="AF30">
        <f t="shared" si="5"/>
        <v>1.0881521755872159</v>
      </c>
      <c r="AG30" t="e">
        <f t="shared" si="6"/>
        <v>#N/A</v>
      </c>
      <c r="AH30" t="e">
        <f t="shared" si="7"/>
        <v>#N/A</v>
      </c>
      <c r="AI30" t="e">
        <f t="shared" si="8"/>
        <v>#N/A</v>
      </c>
      <c r="AK30" t="e">
        <f t="shared" si="9"/>
        <v>#N/A</v>
      </c>
      <c r="AL30" t="e">
        <f t="shared" si="10"/>
        <v>#N/A</v>
      </c>
      <c r="AM30" t="e">
        <f t="shared" si="11"/>
        <v>#N/A</v>
      </c>
      <c r="AN30">
        <f t="shared" si="12"/>
        <v>0.18491617869933433</v>
      </c>
      <c r="AO30" t="e">
        <f t="shared" si="13"/>
        <v>#N/A</v>
      </c>
      <c r="AP30" t="e">
        <f t="shared" si="14"/>
        <v>#N/A</v>
      </c>
      <c r="AQ30" t="e">
        <f t="shared" si="15"/>
        <v>#N/A</v>
      </c>
    </row>
    <row r="31" spans="2:43">
      <c r="B31" s="1080" t="s">
        <v>1064</v>
      </c>
      <c r="C31" s="747" t="s">
        <v>885</v>
      </c>
      <c r="D31" s="727" cm="1">
        <f t="array" ref="D31">MIN(IF(ISNUMBER($X$5:$X$674),IF(ISNUMBER($Y$5:$Y$674),IF($Z$5:$Z$674=D$47,$X$5:$X$674))))</f>
        <v>4.1065384964786705E-2</v>
      </c>
      <c r="E31" s="726" cm="1">
        <f t="array" ref="E31">MIN(IF(ISNUMBER($X$5:$X$674),IF(ISNUMBER($Y$5:$Y$674),IF($Z$5:$Z$674=E$47,$X$5:$X$674))))</f>
        <v>4.3676006799134234E-2</v>
      </c>
      <c r="F31" s="727" cm="1">
        <f t="array" ref="F31">MIN(IF(ISNUMBER($X$5:$X$674),IF(ISNUMBER($Y$5:$Y$674),IF($Z$5:$Z$674=F$47,$X$5:$X$674))))</f>
        <v>6.1626159686014183E-2</v>
      </c>
      <c r="G31" s="726" cm="1">
        <f t="array" ref="G31">MIN(IF(ISNUMBER($X$5:$X$674),IF(ISNUMBER($Y$5:$Y$674),IF($Z$5:$Z$674=G$47,$X$5:$X$674))))</f>
        <v>6.5115662194649218E-2</v>
      </c>
      <c r="H31" s="727" cm="1">
        <f t="array" ref="H31">MIN(IF(ISNUMBER($X$5:$X$674),IF(ISNUMBER($Y$5:$Y$674),IF($Z$5:$Z$674=H$47,$X$5:$X$674))))</f>
        <v>6.9210826691294761E-2</v>
      </c>
      <c r="I31" s="829" cm="1">
        <f t="array" ref="I31">MIN(IF(ISNUMBER($X$5:$X$674),IF(ISNUMBER($Y$5:$Y$674),IF($Z$5:$Z$674=I$47,$X$5:$X$674))))</f>
        <v>0.42628936420237257</v>
      </c>
      <c r="J31" s="825" cm="1">
        <f t="array" ref="J31">MIN(IF(ISNUMBER($X$5:$X$674),IF(ISNUMBER($Y$5:$Y$674),IF($Z$5:$Z$674=J$47,$X$5:$X$674))))</f>
        <v>7.4469224855689145E-2</v>
      </c>
      <c r="K31" s="822"/>
      <c r="L31" s="822"/>
      <c r="M31" s="822"/>
      <c r="O31">
        <v>27</v>
      </c>
      <c r="P31" s="401">
        <f>'Lab test'!N30</f>
        <v>34.682960000000001</v>
      </c>
      <c r="Q31" s="401">
        <f>'Lab test'!M30</f>
        <v>0.78486</v>
      </c>
      <c r="R31">
        <f>IF('Lab test'!O30&gt;0,'Lab test'!O30,NA())</f>
        <v>25.4</v>
      </c>
      <c r="S31">
        <f>'Lab test'!Q30</f>
        <v>44.19</v>
      </c>
      <c r="T31" s="401">
        <f>IF('Lab test'!P30&gt;0,'Lab test'!P30,NA())</f>
        <v>0.11016802963167525</v>
      </c>
      <c r="U31" s="401">
        <f>'Lab test'!AZ30</f>
        <v>1965</v>
      </c>
      <c r="V31">
        <f>IF('Lab test'!AQ30&gt;0,'Lab test'!AQ30,NA())</f>
        <v>0.61803471886786676</v>
      </c>
      <c r="W31">
        <f>IF('Lab test'!AU30&gt;0,'Lab test'!AU30,NA())</f>
        <v>0.9447879347965602</v>
      </c>
      <c r="X31">
        <f>IF('Lab test'!AT30&gt;0,'Lab test'!AT30,NA())</f>
        <v>0.3608777315798819</v>
      </c>
      <c r="Y31">
        <f t="shared" si="1"/>
        <v>1</v>
      </c>
      <c r="Z31" t="str">
        <f>'Lab test'!AC30</f>
        <v>Machined</v>
      </c>
      <c r="AA31" t="str">
        <f>'Lab test'!T30</f>
        <v>Aluminium</v>
      </c>
      <c r="AC31" t="e">
        <f t="shared" si="2"/>
        <v>#N/A</v>
      </c>
      <c r="AD31" t="e">
        <f t="shared" si="3"/>
        <v>#N/A</v>
      </c>
      <c r="AE31" t="e">
        <f t="shared" si="4"/>
        <v>#N/A</v>
      </c>
      <c r="AF31">
        <f t="shared" si="5"/>
        <v>0.9447879347965602</v>
      </c>
      <c r="AG31" t="e">
        <f t="shared" si="6"/>
        <v>#N/A</v>
      </c>
      <c r="AH31" t="e">
        <f t="shared" si="7"/>
        <v>#N/A</v>
      </c>
      <c r="AI31" t="e">
        <f t="shared" si="8"/>
        <v>#N/A</v>
      </c>
      <c r="AK31" t="e">
        <f t="shared" si="9"/>
        <v>#N/A</v>
      </c>
      <c r="AL31" t="e">
        <f t="shared" si="10"/>
        <v>#N/A</v>
      </c>
      <c r="AM31" t="e">
        <f t="shared" si="11"/>
        <v>#N/A</v>
      </c>
      <c r="AN31">
        <f t="shared" si="12"/>
        <v>0.3608777315798819</v>
      </c>
      <c r="AO31" t="e">
        <f t="shared" si="13"/>
        <v>#N/A</v>
      </c>
      <c r="AP31" t="e">
        <f t="shared" si="14"/>
        <v>#N/A</v>
      </c>
      <c r="AQ31" t="e">
        <f t="shared" si="15"/>
        <v>#N/A</v>
      </c>
    </row>
    <row r="32" spans="2:43">
      <c r="B32" s="1076"/>
      <c r="C32" s="747" t="s">
        <v>887</v>
      </c>
      <c r="D32" s="728" cm="1">
        <f t="array" ref="D32">MEDIAN(IF(ISNUMBER($X$5:$X$674),IF(ISNUMBER($Y$5:$Y$674),IF($Z$5:$Z$674=D$47,$X$5:$X$674))))</f>
        <v>0.10976935892660775</v>
      </c>
      <c r="E32" s="724" cm="1">
        <f t="array" ref="E32">MEDIAN(IF(ISNUMBER($X$5:$X$674),IF(ISNUMBER($Y$5:$Y$674),IF($Z$5:$Z$674=E$47,$X$5:$X$674))))</f>
        <v>8.8239737845505067E-2</v>
      </c>
      <c r="F32" s="728" cm="1">
        <f t="array" ref="F32">MEDIAN(IF(ISNUMBER($X$5:$X$674),IF(ISNUMBER($Y$5:$Y$674),IF($Z$5:$Z$674=F$47,$X$5:$X$674))))</f>
        <v>0.2878682036419668</v>
      </c>
      <c r="G32" s="723" cm="1">
        <f t="array" ref="G32">MEDIAN(IF(ISNUMBER($X$5:$X$674),IF(ISNUMBER($Y$5:$Y$674),IF($Z$5:$Z$674=G$47,$X$5:$X$674))))</f>
        <v>0.30000612220387285</v>
      </c>
      <c r="H32" s="728" cm="1">
        <f t="array" ref="H32">MEDIAN(IF(ISNUMBER($X$5:$X$674),IF(ISNUMBER($Y$5:$Y$674),IF($Z$5:$Z$674=H$47,$X$5:$X$674))))</f>
        <v>0.32754600471722128</v>
      </c>
      <c r="I32" s="723" cm="1">
        <f t="array" ref="I32">MEDIAN(IF(ISNUMBER($X$5:$X$674),IF(ISNUMBER($Y$5:$Y$674),IF($Z$5:$Z$674=I$47,$X$5:$X$674))))</f>
        <v>0.6875</v>
      </c>
      <c r="J32" s="743" cm="1">
        <f t="array" ref="J32">MEDIAN(IF(ISNUMBER($X$5:$X$674),IF(ISNUMBER($Y$5:$Y$674),IF($Z$5:$Z$674=J$47,$X$5:$X$674))))</f>
        <v>0.23200257015078532</v>
      </c>
      <c r="K32" s="822"/>
      <c r="L32" s="822"/>
      <c r="M32" s="822"/>
      <c r="O32">
        <v>28</v>
      </c>
      <c r="P32" s="401">
        <f>'Lab test'!N31</f>
        <v>34.601509999999998</v>
      </c>
      <c r="Q32" s="401">
        <f>'Lab test'!M31</f>
        <v>0.62992000000000004</v>
      </c>
      <c r="R32">
        <f>IF('Lab test'!O31&gt;0,'Lab test'!O31,NA())</f>
        <v>50.8</v>
      </c>
      <c r="S32">
        <f>'Lab test'!Q31</f>
        <v>54.93</v>
      </c>
      <c r="T32" s="401">
        <f>IF('Lab test'!P31&gt;0,'Lab test'!P31,NA())</f>
        <v>0.19809058450577152</v>
      </c>
      <c r="U32" s="401">
        <f>'Lab test'!AZ31</f>
        <v>1965</v>
      </c>
      <c r="V32">
        <f>IF('Lab test'!AQ31&gt;0,'Lab test'!AQ31,NA())</f>
        <v>0.68905790665899724</v>
      </c>
      <c r="W32">
        <f>IF('Lab test'!AU31&gt;0,'Lab test'!AU31,NA())</f>
        <v>0.89629190091130784</v>
      </c>
      <c r="X32">
        <f>IF('Lab test'!AT31&gt;0,'Lab test'!AT31,NA())</f>
        <v>0.42556011044727304</v>
      </c>
      <c r="Y32">
        <f t="shared" si="1"/>
        <v>1</v>
      </c>
      <c r="Z32" t="str">
        <f>'Lab test'!AC31</f>
        <v>Machined</v>
      </c>
      <c r="AA32" t="str">
        <f>'Lab test'!T31</f>
        <v>Aluminium</v>
      </c>
      <c r="AC32" t="e">
        <f t="shared" si="2"/>
        <v>#N/A</v>
      </c>
      <c r="AD32" t="e">
        <f t="shared" si="3"/>
        <v>#N/A</v>
      </c>
      <c r="AE32" t="e">
        <f t="shared" si="4"/>
        <v>#N/A</v>
      </c>
      <c r="AF32">
        <f t="shared" si="5"/>
        <v>0.89629190091130784</v>
      </c>
      <c r="AG32" t="e">
        <f t="shared" si="6"/>
        <v>#N/A</v>
      </c>
      <c r="AH32" t="e">
        <f t="shared" si="7"/>
        <v>#N/A</v>
      </c>
      <c r="AI32" t="e">
        <f t="shared" si="8"/>
        <v>#N/A</v>
      </c>
      <c r="AK32" t="e">
        <f t="shared" si="9"/>
        <v>#N/A</v>
      </c>
      <c r="AL32" t="e">
        <f t="shared" si="10"/>
        <v>#N/A</v>
      </c>
      <c r="AM32" t="e">
        <f t="shared" si="11"/>
        <v>#N/A</v>
      </c>
      <c r="AN32">
        <f t="shared" si="12"/>
        <v>0.42556011044727304</v>
      </c>
      <c r="AO32" t="e">
        <f t="shared" si="13"/>
        <v>#N/A</v>
      </c>
      <c r="AP32" t="e">
        <f t="shared" si="14"/>
        <v>#N/A</v>
      </c>
      <c r="AQ32" t="e">
        <f t="shared" si="15"/>
        <v>#N/A</v>
      </c>
    </row>
    <row r="33" spans="2:43">
      <c r="B33" s="1079"/>
      <c r="C33" s="747" t="s">
        <v>886</v>
      </c>
      <c r="D33" s="730" cm="1">
        <f t="array" ref="D33">MAX(IF(ISNUMBER($X$5:$X$674),IF(ISNUMBER($Y$5:$Y$674),IF($Z$5:$Z$674=D$47,$X$5:$X$674))))</f>
        <v>0.32026341050122636</v>
      </c>
      <c r="E33" s="729" cm="1">
        <f t="array" ref="E33">MAX(IF(ISNUMBER($X$5:$X$674),IF(ISNUMBER($Y$5:$Y$674),IF($Z$5:$Z$674=E$47,$X$5:$X$674))))</f>
        <v>0.26153179250894387</v>
      </c>
      <c r="F33" s="730" cm="1">
        <f t="array" ref="F33">MAX(IF(ISNUMBER($X$5:$X$674),IF(ISNUMBER($Y$5:$Y$674),IF($Z$5:$Z$674=F$47,$X$5:$X$674))))</f>
        <v>0.74435642369191912</v>
      </c>
      <c r="G33" s="729" cm="1">
        <f t="array" ref="G33">MAX(IF(ISNUMBER($X$5:$X$674),IF(ISNUMBER($Y$5:$Y$674),IF($Z$5:$Z$674=G$47,$X$5:$X$674))))</f>
        <v>0.83900341109296039</v>
      </c>
      <c r="H33" s="730" cm="1">
        <f t="array" ref="H33">MAX(IF(ISNUMBER($X$5:$X$674),IF(ISNUMBER($Y$5:$Y$674),IF($Z$5:$Z$674=H$47,$X$5:$X$674))))</f>
        <v>1.6041419259635914</v>
      </c>
      <c r="I33" s="729" cm="1">
        <f t="array" ref="I33">MAX(IF(ISNUMBER($X$5:$X$674),IF(ISNUMBER($Y$5:$Y$674),IF($Z$5:$Z$674=I$47,$X$5:$X$674))))</f>
        <v>0.96</v>
      </c>
      <c r="J33" s="745" cm="1">
        <f t="array" ref="J33">MAX(IF(ISNUMBER($X$5:$X$674),IF(ISNUMBER($Y$5:$Y$674),IF($Z$5:$Z$674=J$47,$X$5:$X$674))))</f>
        <v>0.86642738539875586</v>
      </c>
      <c r="K33" s="822"/>
      <c r="L33" s="822"/>
      <c r="M33" s="822"/>
      <c r="O33">
        <v>29</v>
      </c>
      <c r="P33" s="401">
        <f>'Lab test'!N32</f>
        <v>34.493450000000003</v>
      </c>
      <c r="Q33" s="401">
        <f>'Lab test'!M32</f>
        <v>0.40132000000000001</v>
      </c>
      <c r="R33">
        <f>IF('Lab test'!O32&gt;0,'Lab test'!O32,NA())</f>
        <v>25.4</v>
      </c>
      <c r="S33">
        <f>'Lab test'!Q32</f>
        <v>85.95</v>
      </c>
      <c r="T33" s="401">
        <f>IF('Lab test'!P32&gt;0,'Lab test'!P32,NA())</f>
        <v>7.9428098745692621E-2</v>
      </c>
      <c r="U33" s="401">
        <f>'Lab test'!AZ32</f>
        <v>1965</v>
      </c>
      <c r="V33">
        <f>IF('Lab test'!AQ32&gt;0,'Lab test'!AQ32,NA())</f>
        <v>0.86193359579353368</v>
      </c>
      <c r="W33">
        <f>IF('Lab test'!AU32&gt;0,'Lab test'!AU32,NA())</f>
        <v>0.77328186368887175</v>
      </c>
      <c r="X33">
        <f>IF('Lab test'!AT32&gt;0,'Lab test'!AT32,NA())</f>
        <v>0.57449392656608378</v>
      </c>
      <c r="Y33">
        <f t="shared" si="1"/>
        <v>1</v>
      </c>
      <c r="Z33" t="str">
        <f>'Lab test'!AC32</f>
        <v>Machined</v>
      </c>
      <c r="AA33" t="str">
        <f>'Lab test'!T32</f>
        <v>Aluminium</v>
      </c>
      <c r="AC33" t="e">
        <f t="shared" si="2"/>
        <v>#N/A</v>
      </c>
      <c r="AD33" t="e">
        <f t="shared" si="3"/>
        <v>#N/A</v>
      </c>
      <c r="AE33" t="e">
        <f t="shared" si="4"/>
        <v>#N/A</v>
      </c>
      <c r="AF33">
        <f t="shared" si="5"/>
        <v>0.77328186368887175</v>
      </c>
      <c r="AG33" t="e">
        <f t="shared" si="6"/>
        <v>#N/A</v>
      </c>
      <c r="AH33" t="e">
        <f t="shared" si="7"/>
        <v>#N/A</v>
      </c>
      <c r="AI33" t="e">
        <f t="shared" si="8"/>
        <v>#N/A</v>
      </c>
      <c r="AK33" t="e">
        <f t="shared" si="9"/>
        <v>#N/A</v>
      </c>
      <c r="AL33" t="e">
        <f t="shared" si="10"/>
        <v>#N/A</v>
      </c>
      <c r="AM33" t="e">
        <f t="shared" si="11"/>
        <v>#N/A</v>
      </c>
      <c r="AN33">
        <f t="shared" si="12"/>
        <v>0.57449392656608378</v>
      </c>
      <c r="AO33" t="e">
        <f t="shared" si="13"/>
        <v>#N/A</v>
      </c>
      <c r="AP33" t="e">
        <f t="shared" si="14"/>
        <v>#N/A</v>
      </c>
      <c r="AQ33" t="e">
        <f t="shared" si="15"/>
        <v>#N/A</v>
      </c>
    </row>
    <row r="34" spans="2:43">
      <c r="B34" s="1076" t="s">
        <v>522</v>
      </c>
      <c r="C34" s="749" t="s">
        <v>892</v>
      </c>
      <c r="D34" s="826" cm="1">
        <f t="array" ref="D34">COUNT(IF(ISNUMBER($P$5:$P$674),IF(ISNUMBER($Y$5:$Y$674),IF($AA$5:$AA$674=$B$34,IF($Z$5:$Z$674=D$47,$P$5:$P$674)))))</f>
        <v>28</v>
      </c>
      <c r="E34" s="830" cm="1">
        <f t="array" ref="E34">COUNT(IF(ISNUMBER($P$5:$P$674),IF(ISNUMBER($Y$5:$Y$674),IF($AA$5:$AA$674=$B$34,IF($Z$5:$Z$674=E$47,$P$5:$P$674)))))</f>
        <v>0</v>
      </c>
      <c r="F34" s="826" cm="1">
        <f t="array" ref="F34">COUNT(IF(ISNUMBER($P$5:$P$674),IF(ISNUMBER($Y$5:$Y$674),IF($AA$5:$AA$674=$B$34,IF($Z$5:$Z$674=F$47,$P$5:$P$674)))))</f>
        <v>59</v>
      </c>
      <c r="G34" s="830" cm="1">
        <f t="array" ref="G34">COUNT(IF(ISNUMBER($P$5:$P$674),IF(ISNUMBER($Y$5:$Y$674),IF($AA$5:$AA$674=$B$34,IF($Z$5:$Z$674=G$47,$P$5:$P$674)))))</f>
        <v>0</v>
      </c>
      <c r="H34" s="826" cm="1">
        <f t="array" ref="H34">COUNT(IF(ISNUMBER($P$5:$P$674),IF(ISNUMBER($Y$5:$Y$674),IF($AA$5:$AA$674=$B$34,IF($Z$5:$Z$674=H$47,$P$5:$P$674)))))</f>
        <v>58</v>
      </c>
      <c r="I34" s="830" cm="1">
        <f t="array" ref="I34">COUNT(IF(ISNUMBER($P$5:$P$674),IF(ISNUMBER($Y$5:$Y$674),IF($AA$5:$AA$674=$B$34,IF($Z$5:$Z$674=I$47,$P$5:$P$674)))))</f>
        <v>0</v>
      </c>
      <c r="J34" s="827" cm="1">
        <f t="array" ref="J34">COUNT(IF(ISNUMBER($P$5:$P$674),IF(ISNUMBER($Y$5:$Y$674),IF($AA$5:$AA$674=$B$34,IF($Z$5:$Z$674=J$47,$P$5:$P$674)))))</f>
        <v>8</v>
      </c>
      <c r="K34" s="803"/>
      <c r="L34" s="803"/>
      <c r="M34" s="803"/>
      <c r="O34">
        <v>30</v>
      </c>
      <c r="P34" s="401">
        <f>'Lab test'!N33</f>
        <v>34.813490000000002</v>
      </c>
      <c r="Q34" s="401">
        <f>'Lab test'!M33</f>
        <v>3.5890200000000001</v>
      </c>
      <c r="R34">
        <f>IF('Lab test'!O33&gt;0,'Lab test'!O33,NA())</f>
        <v>101.6</v>
      </c>
      <c r="S34">
        <f>'Lab test'!Q33</f>
        <v>9.6999999999999993</v>
      </c>
      <c r="T34" s="401">
        <f>IF('Lab test'!P33&gt;0,'Lab test'!P33,NA())</f>
        <v>0.93704468775581917</v>
      </c>
      <c r="U34" s="401">
        <f>'Lab test'!AZ33</f>
        <v>1965</v>
      </c>
      <c r="V34">
        <f>IF('Lab test'!AQ33&gt;0,'Lab test'!AQ33,NA())</f>
        <v>0.28955877823379816</v>
      </c>
      <c r="W34">
        <f>IF('Lab test'!AU33&gt;0,'Lab test'!AU33,NA())</f>
        <v>1.2253216531895776</v>
      </c>
      <c r="X34">
        <f>IF('Lab test'!AT33&gt;0,'Lab test'!AT33,NA())</f>
        <v>0.1027362191960427</v>
      </c>
      <c r="Y34">
        <f t="shared" si="1"/>
        <v>1</v>
      </c>
      <c r="Z34" t="str">
        <f>'Lab test'!AC33</f>
        <v>Machined</v>
      </c>
      <c r="AA34" t="str">
        <f>'Lab test'!T33</f>
        <v>Aluminium</v>
      </c>
      <c r="AC34" t="e">
        <f t="shared" si="2"/>
        <v>#N/A</v>
      </c>
      <c r="AD34" t="e">
        <f t="shared" si="3"/>
        <v>#N/A</v>
      </c>
      <c r="AE34" t="e">
        <f t="shared" si="4"/>
        <v>#N/A</v>
      </c>
      <c r="AF34">
        <f t="shared" si="5"/>
        <v>1.2253216531895776</v>
      </c>
      <c r="AG34" t="e">
        <f t="shared" si="6"/>
        <v>#N/A</v>
      </c>
      <c r="AH34" t="e">
        <f t="shared" si="7"/>
        <v>#N/A</v>
      </c>
      <c r="AI34" t="e">
        <f t="shared" si="8"/>
        <v>#N/A</v>
      </c>
      <c r="AK34" t="e">
        <f t="shared" si="9"/>
        <v>#N/A</v>
      </c>
      <c r="AL34" t="e">
        <f t="shared" si="10"/>
        <v>#N/A</v>
      </c>
      <c r="AM34" t="e">
        <f t="shared" si="11"/>
        <v>#N/A</v>
      </c>
      <c r="AN34">
        <f t="shared" si="12"/>
        <v>0.1027362191960427</v>
      </c>
      <c r="AO34" t="e">
        <f t="shared" si="13"/>
        <v>#N/A</v>
      </c>
      <c r="AP34" t="e">
        <f t="shared" si="14"/>
        <v>#N/A</v>
      </c>
      <c r="AQ34" t="e">
        <f t="shared" si="15"/>
        <v>#N/A</v>
      </c>
    </row>
    <row r="35" spans="2:43">
      <c r="B35" s="1076"/>
      <c r="C35" s="748" t="s">
        <v>893</v>
      </c>
      <c r="D35" s="718">
        <f t="shared" ref="D35:J35" si="16">D34/(D$34+D$36+D$38+D$40+D$42)*100</f>
        <v>35.897435897435898</v>
      </c>
      <c r="E35" s="717">
        <f t="shared" si="16"/>
        <v>0</v>
      </c>
      <c r="F35" s="718">
        <f t="shared" si="16"/>
        <v>60.824742268041234</v>
      </c>
      <c r="G35" s="717">
        <f t="shared" si="16"/>
        <v>0</v>
      </c>
      <c r="H35" s="718">
        <f t="shared" si="16"/>
        <v>22.137404580152673</v>
      </c>
      <c r="I35" s="717">
        <f t="shared" si="16"/>
        <v>0</v>
      </c>
      <c r="J35" s="740">
        <f t="shared" si="16"/>
        <v>26.666666666666668</v>
      </c>
      <c r="K35" s="821"/>
      <c r="L35" s="821"/>
      <c r="M35" s="821"/>
      <c r="O35">
        <v>31</v>
      </c>
      <c r="P35" s="401">
        <f>'Lab test'!N34</f>
        <v>43.3324</v>
      </c>
      <c r="Q35" s="401">
        <f>'Lab test'!M34</f>
        <v>2.3113999999999999</v>
      </c>
      <c r="R35">
        <f>IF('Lab test'!O34&gt;0,'Lab test'!O34,NA())</f>
        <v>127.0254</v>
      </c>
      <c r="S35">
        <f>'Lab test'!Q34</f>
        <v>18.7</v>
      </c>
      <c r="T35" s="401">
        <f>IF('Lab test'!P34&gt;0,'Lab test'!P34,NA())</f>
        <v>0.67703171052205713</v>
      </c>
      <c r="U35" s="401">
        <f>'Lab test'!AZ34</f>
        <v>1980</v>
      </c>
      <c r="V35">
        <f>IF('Lab test'!AQ34&gt;0,'Lab test'!AQ34,NA())</f>
        <v>0.19022461668224497</v>
      </c>
      <c r="W35">
        <f>IF('Lab test'!AU34&gt;0,'Lab test'!AU34,NA())</f>
        <v>1.2807080054902387</v>
      </c>
      <c r="X35">
        <f>IF('Lab test'!AT34&gt;0,'Lab test'!AT34,NA())</f>
        <v>4.634293759890018E-2</v>
      </c>
      <c r="Y35">
        <f t="shared" si="1"/>
        <v>1</v>
      </c>
      <c r="Z35" t="str">
        <f>'Lab test'!AC34</f>
        <v>Tubes</v>
      </c>
      <c r="AA35" t="str">
        <f>'Lab test'!T34</f>
        <v>Steel</v>
      </c>
      <c r="AC35" t="e">
        <f t="shared" si="2"/>
        <v>#N/A</v>
      </c>
      <c r="AD35" t="e">
        <f t="shared" si="3"/>
        <v>#N/A</v>
      </c>
      <c r="AE35" t="e">
        <f t="shared" si="4"/>
        <v>#N/A</v>
      </c>
      <c r="AF35" t="e">
        <f t="shared" si="5"/>
        <v>#N/A</v>
      </c>
      <c r="AG35">
        <f t="shared" si="6"/>
        <v>1.2807080054902387</v>
      </c>
      <c r="AH35" t="e">
        <f t="shared" si="7"/>
        <v>#N/A</v>
      </c>
      <c r="AI35" t="e">
        <f t="shared" si="8"/>
        <v>#N/A</v>
      </c>
      <c r="AK35" t="e">
        <f t="shared" si="9"/>
        <v>#N/A</v>
      </c>
      <c r="AL35" t="e">
        <f t="shared" si="10"/>
        <v>#N/A</v>
      </c>
      <c r="AM35" t="e">
        <f t="shared" si="11"/>
        <v>#N/A</v>
      </c>
      <c r="AN35" t="e">
        <f t="shared" si="12"/>
        <v>#N/A</v>
      </c>
      <c r="AO35">
        <f t="shared" si="13"/>
        <v>4.634293759890018E-2</v>
      </c>
      <c r="AP35" t="e">
        <f t="shared" si="14"/>
        <v>#N/A</v>
      </c>
      <c r="AQ35" t="e">
        <f t="shared" si="15"/>
        <v>#N/A</v>
      </c>
    </row>
    <row r="36" spans="2:43">
      <c r="B36" s="1078" t="s">
        <v>163</v>
      </c>
      <c r="C36" s="747" t="s">
        <v>892</v>
      </c>
      <c r="D36" s="826" cm="1">
        <f t="array" ref="D36">COUNT(IF(ISNUMBER($P$5:$P$674),IF(ISNUMBER($Y$5:$Y$674),IF($AA$5:$AA$674=$B$36,IF($Z$5:$Z$674=D$47,$P$5:$P$674)))))</f>
        <v>50</v>
      </c>
      <c r="E36" s="830" cm="1">
        <f t="array" ref="E36">COUNT(IF(ISNUMBER($P$5:$P$674),IF(ISNUMBER($Y$5:$Y$674),IF($AA$5:$AA$674=$B$36,IF($Z$5:$Z$674=E$47,$P$5:$P$674)))))</f>
        <v>36</v>
      </c>
      <c r="F36" s="826" cm="1">
        <f t="array" ref="F36">COUNT(IF(ISNUMBER($P$5:$P$674),IF(ISNUMBER($Y$5:$Y$674),IF($AA$5:$AA$674=$B$36,IF($Z$5:$Z$674=F$47,$P$5:$P$674)))))</f>
        <v>38</v>
      </c>
      <c r="G36" s="830" cm="1">
        <f t="array" ref="G36">COUNT(IF(ISNUMBER($P$5:$P$674),IF(ISNUMBER($Y$5:$Y$674),IF($AA$5:$AA$674=$B$36,IF($Z$5:$Z$674=G$47,$P$5:$P$674)))))</f>
        <v>93</v>
      </c>
      <c r="H36" s="826" cm="1">
        <f t="array" ref="H36">COUNT(IF(ISNUMBER($P$5:$P$674),IF(ISNUMBER($Y$5:$Y$674),IF($AA$5:$AA$674=$B$36,IF($Z$5:$Z$674=H$47,$P$5:$P$674)))))</f>
        <v>174</v>
      </c>
      <c r="I36" s="830" cm="1">
        <f t="array" ref="I36">COUNT(IF(ISNUMBER($P$5:$P$674),IF(ISNUMBER($Y$5:$Y$674),IF($AA$5:$AA$674=$B$36,IF($Z$5:$Z$674=I$47,$P$5:$P$674)))))</f>
        <v>0</v>
      </c>
      <c r="J36" s="827" cm="1">
        <f t="array" ref="J36">COUNT(IF(ISNUMBER($P$5:$P$674),IF(ISNUMBER($Y$5:$Y$674),IF($AA$5:$AA$674=$B$36,IF($Z$5:$Z$674=J$47,$P$5:$P$674)))))</f>
        <v>14</v>
      </c>
      <c r="K36" s="803"/>
      <c r="L36" s="803"/>
      <c r="M36" s="803"/>
      <c r="O36">
        <v>32</v>
      </c>
      <c r="P36" s="401">
        <f>'Lab test'!N35</f>
        <v>43.3324</v>
      </c>
      <c r="Q36" s="401">
        <f>'Lab test'!M35</f>
        <v>2.3622000000000001</v>
      </c>
      <c r="R36">
        <f>IF('Lab test'!O35&gt;0,'Lab test'!O35,NA())</f>
        <v>127.127</v>
      </c>
      <c r="S36">
        <f>'Lab test'!Q35</f>
        <v>18.3</v>
      </c>
      <c r="T36" s="401">
        <f>IF('Lab test'!P35&gt;0,'Lab test'!P35,NA())</f>
        <v>0.68497861940704874</v>
      </c>
      <c r="U36" s="401">
        <f>'Lab test'!AZ35</f>
        <v>1980</v>
      </c>
      <c r="V36">
        <f>IF('Lab test'!AQ35&gt;0,'Lab test'!AQ35,NA())</f>
        <v>0.18816807392247489</v>
      </c>
      <c r="W36">
        <f>IF('Lab test'!AU35&gt;0,'Lab test'!AU35,NA())</f>
        <v>1.310877485246057</v>
      </c>
      <c r="X36">
        <f>IF('Lab test'!AT35&gt;0,'Lab test'!AT35,NA())</f>
        <v>4.641453281394127E-2</v>
      </c>
      <c r="Y36">
        <f t="shared" si="1"/>
        <v>1</v>
      </c>
      <c r="Z36" t="str">
        <f>'Lab test'!AC35</f>
        <v>Tubes</v>
      </c>
      <c r="AA36" t="str">
        <f>'Lab test'!T35</f>
        <v>Steel</v>
      </c>
      <c r="AC36" t="e">
        <f t="shared" si="2"/>
        <v>#N/A</v>
      </c>
      <c r="AD36" t="e">
        <f t="shared" si="3"/>
        <v>#N/A</v>
      </c>
      <c r="AE36" t="e">
        <f t="shared" si="4"/>
        <v>#N/A</v>
      </c>
      <c r="AF36" t="e">
        <f t="shared" si="5"/>
        <v>#N/A</v>
      </c>
      <c r="AG36">
        <f t="shared" si="6"/>
        <v>1.310877485246057</v>
      </c>
      <c r="AH36" t="e">
        <f t="shared" si="7"/>
        <v>#N/A</v>
      </c>
      <c r="AI36" t="e">
        <f t="shared" si="8"/>
        <v>#N/A</v>
      </c>
      <c r="AK36" t="e">
        <f t="shared" si="9"/>
        <v>#N/A</v>
      </c>
      <c r="AL36" t="e">
        <f t="shared" si="10"/>
        <v>#N/A</v>
      </c>
      <c r="AM36" t="e">
        <f t="shared" si="11"/>
        <v>#N/A</v>
      </c>
      <c r="AN36" t="e">
        <f t="shared" si="12"/>
        <v>#N/A</v>
      </c>
      <c r="AO36">
        <f t="shared" si="13"/>
        <v>4.641453281394127E-2</v>
      </c>
      <c r="AP36" t="e">
        <f t="shared" si="14"/>
        <v>#N/A</v>
      </c>
      <c r="AQ36" t="e">
        <f t="shared" si="15"/>
        <v>#N/A</v>
      </c>
    </row>
    <row r="37" spans="2:43">
      <c r="B37" s="1079"/>
      <c r="C37" s="747" t="s">
        <v>893</v>
      </c>
      <c r="D37" s="718">
        <f t="shared" ref="D37:J37" si="17">D36/(D$34+D$36+D$38+D$40+D$42)*100</f>
        <v>64.102564102564102</v>
      </c>
      <c r="E37" s="717">
        <f t="shared" si="17"/>
        <v>100</v>
      </c>
      <c r="F37" s="718">
        <f t="shared" si="17"/>
        <v>39.175257731958766</v>
      </c>
      <c r="G37" s="717">
        <f t="shared" si="17"/>
        <v>93.939393939393938</v>
      </c>
      <c r="H37" s="718">
        <f t="shared" si="17"/>
        <v>66.412213740458014</v>
      </c>
      <c r="I37" s="717">
        <f t="shared" si="17"/>
        <v>0</v>
      </c>
      <c r="J37" s="740">
        <f t="shared" si="17"/>
        <v>46.666666666666664</v>
      </c>
      <c r="K37" s="821"/>
      <c r="L37" s="821"/>
      <c r="M37" s="821"/>
      <c r="O37">
        <v>33</v>
      </c>
      <c r="P37" s="401">
        <f>'Lab test'!N36</f>
        <v>43.3324</v>
      </c>
      <c r="Q37" s="401">
        <f>'Lab test'!M36</f>
        <v>2.3622000000000001</v>
      </c>
      <c r="R37">
        <f>IF('Lab test'!O36&gt;0,'Lab test'!O36,NA())</f>
        <v>254.35560000000001</v>
      </c>
      <c r="S37">
        <f>'Lab test'!Q36</f>
        <v>18.3</v>
      </c>
      <c r="T37" s="401">
        <f>IF('Lab test'!P36&gt;0,'Lab test'!P36,NA())</f>
        <v>1.3705046742741633</v>
      </c>
      <c r="U37" s="401">
        <f>'Lab test'!AZ36</f>
        <v>1980</v>
      </c>
      <c r="V37">
        <f>IF('Lab test'!AQ36&gt;0,'Lab test'!AQ36,NA())</f>
        <v>0.18816807392247489</v>
      </c>
      <c r="W37">
        <f>IF('Lab test'!AU36&gt;0,'Lab test'!AU36,NA())</f>
        <v>1.3383591935321377</v>
      </c>
      <c r="X37">
        <f>IF('Lab test'!AT36&gt;0,'Lab test'!AT36,NA())</f>
        <v>4.738758381632998E-2</v>
      </c>
      <c r="Y37">
        <f t="shared" si="1"/>
        <v>1</v>
      </c>
      <c r="Z37" t="str">
        <f>'Lab test'!AC36</f>
        <v>Tubes</v>
      </c>
      <c r="AA37" t="str">
        <f>'Lab test'!T36</f>
        <v>Steel</v>
      </c>
      <c r="AC37" t="e">
        <f t="shared" si="2"/>
        <v>#N/A</v>
      </c>
      <c r="AD37" t="e">
        <f t="shared" si="3"/>
        <v>#N/A</v>
      </c>
      <c r="AE37" t="e">
        <f t="shared" si="4"/>
        <v>#N/A</v>
      </c>
      <c r="AF37" t="e">
        <f t="shared" si="5"/>
        <v>#N/A</v>
      </c>
      <c r="AG37">
        <f t="shared" si="6"/>
        <v>1.3383591935321377</v>
      </c>
      <c r="AH37" t="e">
        <f t="shared" si="7"/>
        <v>#N/A</v>
      </c>
      <c r="AI37" t="e">
        <f t="shared" si="8"/>
        <v>#N/A</v>
      </c>
      <c r="AK37" t="e">
        <f t="shared" si="9"/>
        <v>#N/A</v>
      </c>
      <c r="AL37" t="e">
        <f t="shared" si="10"/>
        <v>#N/A</v>
      </c>
      <c r="AM37" t="e">
        <f t="shared" si="11"/>
        <v>#N/A</v>
      </c>
      <c r="AN37" t="e">
        <f t="shared" si="12"/>
        <v>#N/A</v>
      </c>
      <c r="AO37">
        <f t="shared" si="13"/>
        <v>4.738758381632998E-2</v>
      </c>
      <c r="AP37" t="e">
        <f t="shared" si="14"/>
        <v>#N/A</v>
      </c>
      <c r="AQ37" t="e">
        <f t="shared" si="15"/>
        <v>#N/A</v>
      </c>
    </row>
    <row r="38" spans="2:43">
      <c r="B38" s="1076" t="s">
        <v>403</v>
      </c>
      <c r="C38" s="749" t="s">
        <v>892</v>
      </c>
      <c r="D38" s="826" cm="1">
        <f t="array" ref="D38">COUNT(IF(ISNUMBER($P$5:$P$674),IF(ISNUMBER($Y$5:$Y$674),IF($AA$5:$AA$674=$B$38,IF($Z$5:$Z$674=D$47,$P$5:$P$674)))))</f>
        <v>0</v>
      </c>
      <c r="E38" s="830" cm="1">
        <f t="array" ref="E38">COUNT(IF(ISNUMBER($P$5:$P$674),IF(ISNUMBER($Y$5:$Y$674),IF($AA$5:$AA$674=$B$38,IF($Z$5:$Z$674=E$47,$P$5:$P$674)))))</f>
        <v>0</v>
      </c>
      <c r="F38" s="826" cm="1">
        <f t="array" ref="F38">COUNT(IF(ISNUMBER($P$5:$P$674),IF(ISNUMBER($Y$5:$Y$674),IF($AA$5:$AA$674=$B$38,IF($Z$5:$Z$674=F$47,$P$5:$P$674)))))</f>
        <v>0</v>
      </c>
      <c r="G38" s="830" cm="1">
        <f t="array" ref="G38">COUNT(IF(ISNUMBER($P$5:$P$674),IF(ISNUMBER($Y$5:$Y$674),IF($AA$5:$AA$674=$B$38,IF($Z$5:$Z$674=G$47,$P$5:$P$674)))))</f>
        <v>0</v>
      </c>
      <c r="H38" s="826" cm="1">
        <f t="array" ref="H38">COUNT(IF(ISNUMBER($P$5:$P$674),IF(ISNUMBER($Y$5:$Y$674),IF($AA$5:$AA$674=$B$38,IF($Z$5:$Z$674=H$47,$P$5:$P$674)))))</f>
        <v>0</v>
      </c>
      <c r="I38" s="830" cm="1">
        <f t="array" ref="I38">COUNT(IF(ISNUMBER($P$5:$P$674),IF(ISNUMBER($Y$5:$Y$674),IF($AA$5:$AA$674=$B$38,IF($Z$5:$Z$674=I$47,$P$5:$P$674)))))</f>
        <v>16</v>
      </c>
      <c r="J38" s="827" cm="1">
        <f t="array" ref="J38">COUNT(IF(ISNUMBER($P$5:$P$674),IF(ISNUMBER($Y$5:$Y$674),IF($AA$5:$AA$674=$B$38,IF($Z$5:$Z$674=J$47,$P$5:$P$674)))))</f>
        <v>0</v>
      </c>
      <c r="K38" s="803"/>
      <c r="L38" s="803"/>
      <c r="M38" s="803"/>
      <c r="O38">
        <v>34</v>
      </c>
      <c r="P38" s="401">
        <f>'Lab test'!N37</f>
        <v>43.205399999999997</v>
      </c>
      <c r="Q38" s="401">
        <f>'Lab test'!M37</f>
        <v>2.3368000000000002</v>
      </c>
      <c r="R38">
        <f>IF('Lab test'!O37&gt;0,'Lab test'!O37,NA())</f>
        <v>126.6952</v>
      </c>
      <c r="S38">
        <f>'Lab test'!Q37</f>
        <v>18.5</v>
      </c>
      <c r="T38" s="401">
        <f>IF('Lab test'!P37&gt;0,'Lab test'!P37,NA())</f>
        <v>0.68196782936566747</v>
      </c>
      <c r="U38" s="401">
        <f>'Lab test'!AZ37</f>
        <v>1980</v>
      </c>
      <c r="V38">
        <f>IF('Lab test'!AQ37&gt;0,'Lab test'!AQ37,NA())</f>
        <v>0.18891052001747102</v>
      </c>
      <c r="W38">
        <f>IF('Lab test'!AU37&gt;0,'Lab test'!AU37,NA())</f>
        <v>1.1507039699495796</v>
      </c>
      <c r="X38">
        <f>IF('Lab test'!AT37&gt;0,'Lab test'!AT37,NA())</f>
        <v>4.1065384964786705E-2</v>
      </c>
      <c r="Y38">
        <f t="shared" si="1"/>
        <v>1</v>
      </c>
      <c r="Z38" t="str">
        <f>'Lab test'!AC37</f>
        <v>Tubes</v>
      </c>
      <c r="AA38" t="str">
        <f>'Lab test'!T37</f>
        <v>Steel</v>
      </c>
      <c r="AC38" t="e">
        <f t="shared" si="2"/>
        <v>#N/A</v>
      </c>
      <c r="AD38" t="e">
        <f t="shared" si="3"/>
        <v>#N/A</v>
      </c>
      <c r="AE38" t="e">
        <f t="shared" si="4"/>
        <v>#N/A</v>
      </c>
      <c r="AF38" t="e">
        <f t="shared" si="5"/>
        <v>#N/A</v>
      </c>
      <c r="AG38">
        <f t="shared" si="6"/>
        <v>1.1507039699495796</v>
      </c>
      <c r="AH38" t="e">
        <f t="shared" si="7"/>
        <v>#N/A</v>
      </c>
      <c r="AI38" t="e">
        <f t="shared" si="8"/>
        <v>#N/A</v>
      </c>
      <c r="AK38" t="e">
        <f t="shared" si="9"/>
        <v>#N/A</v>
      </c>
      <c r="AL38" t="e">
        <f t="shared" si="10"/>
        <v>#N/A</v>
      </c>
      <c r="AM38" t="e">
        <f t="shared" si="11"/>
        <v>#N/A</v>
      </c>
      <c r="AN38" t="e">
        <f t="shared" si="12"/>
        <v>#N/A</v>
      </c>
      <c r="AO38">
        <f t="shared" si="13"/>
        <v>4.1065384964786705E-2</v>
      </c>
      <c r="AP38" t="e">
        <f t="shared" si="14"/>
        <v>#N/A</v>
      </c>
      <c r="AQ38" t="e">
        <f t="shared" si="15"/>
        <v>#N/A</v>
      </c>
    </row>
    <row r="39" spans="2:43">
      <c r="B39" s="1076"/>
      <c r="C39" s="748" t="s">
        <v>893</v>
      </c>
      <c r="D39" s="718">
        <f t="shared" ref="D39:J39" si="18">D38/(D$34+D$36+D$38+D$40+D$42)*100</f>
        <v>0</v>
      </c>
      <c r="E39" s="717">
        <f t="shared" si="18"/>
        <v>0</v>
      </c>
      <c r="F39" s="718">
        <f t="shared" si="18"/>
        <v>0</v>
      </c>
      <c r="G39" s="717">
        <f t="shared" si="18"/>
        <v>0</v>
      </c>
      <c r="H39" s="718">
        <f t="shared" si="18"/>
        <v>0</v>
      </c>
      <c r="I39" s="717">
        <f t="shared" si="18"/>
        <v>34.782608695652172</v>
      </c>
      <c r="J39" s="740">
        <f t="shared" si="18"/>
        <v>0</v>
      </c>
      <c r="K39" s="821"/>
      <c r="L39" s="821"/>
      <c r="M39" s="821"/>
      <c r="O39">
        <v>35</v>
      </c>
      <c r="P39" s="401">
        <f>'Lab test'!N38</f>
        <v>200</v>
      </c>
      <c r="Q39" s="401">
        <f>'Lab test'!M38</f>
        <v>0.5</v>
      </c>
      <c r="R39">
        <f>IF('Lab test'!O38&gt;0,'Lab test'!O38,NA())</f>
        <v>350</v>
      </c>
      <c r="S39">
        <f>'Lab test'!Q38</f>
        <v>400</v>
      </c>
      <c r="T39" s="401">
        <f>IF('Lab test'!P38&gt;0,'Lab test'!P38,NA())</f>
        <v>8.7500000000000008E-2</v>
      </c>
      <c r="U39" s="401">
        <f>'Lab test'!AZ38</f>
        <v>2017</v>
      </c>
      <c r="V39">
        <f>IF('Lab test'!AQ38&gt;0,'Lab test'!AQ38,NA())</f>
        <v>1.1116784305997409</v>
      </c>
      <c r="W39">
        <f>IF('Lab test'!AU38&gt;0,'Lab test'!AU38,NA())</f>
        <v>0.42822134440814413</v>
      </c>
      <c r="X39">
        <f>IF('Lab test'!AT38&gt;0,'Lab test'!AT38,NA())</f>
        <v>0.52920832717373667</v>
      </c>
      <c r="Y39">
        <f t="shared" si="1"/>
        <v>1</v>
      </c>
      <c r="Z39" t="str">
        <f>'Lab test'!AC38</f>
        <v>LTWa</v>
      </c>
      <c r="AA39" t="str">
        <f>'Lab test'!T38</f>
        <v>Steel</v>
      </c>
      <c r="AC39">
        <f t="shared" si="2"/>
        <v>0.42822134440814413</v>
      </c>
      <c r="AD39" t="e">
        <f t="shared" si="3"/>
        <v>#N/A</v>
      </c>
      <c r="AE39" t="e">
        <f t="shared" si="4"/>
        <v>#N/A</v>
      </c>
      <c r="AF39" t="e">
        <f t="shared" si="5"/>
        <v>#N/A</v>
      </c>
      <c r="AG39" t="e">
        <f t="shared" si="6"/>
        <v>#N/A</v>
      </c>
      <c r="AH39" t="e">
        <f t="shared" si="7"/>
        <v>#N/A</v>
      </c>
      <c r="AI39" t="e">
        <f t="shared" si="8"/>
        <v>#N/A</v>
      </c>
      <c r="AK39">
        <f t="shared" si="9"/>
        <v>0.52920832717373667</v>
      </c>
      <c r="AL39" t="e">
        <f t="shared" si="10"/>
        <v>#N/A</v>
      </c>
      <c r="AM39" t="e">
        <f t="shared" si="11"/>
        <v>#N/A</v>
      </c>
      <c r="AN39" t="e">
        <f t="shared" si="12"/>
        <v>#N/A</v>
      </c>
      <c r="AO39" t="e">
        <f t="shared" si="13"/>
        <v>#N/A</v>
      </c>
      <c r="AP39" t="e">
        <f t="shared" si="14"/>
        <v>#N/A</v>
      </c>
      <c r="AQ39" t="e">
        <f t="shared" si="15"/>
        <v>#N/A</v>
      </c>
    </row>
    <row r="40" spans="2:43">
      <c r="B40" s="1078" t="s">
        <v>175</v>
      </c>
      <c r="C40" s="747" t="s">
        <v>892</v>
      </c>
      <c r="D40" s="826" cm="1">
        <f t="array" ref="D40">COUNT(IF(ISNUMBER($P$5:$P$674),IF(ISNUMBER($Y$5:$Y$674),IF($AA$5:$AA$674=$B$40,IF($Z$5:$Z$674=D$47,$P$5:$P$674)))))</f>
        <v>0</v>
      </c>
      <c r="E40" s="830" cm="1">
        <f t="array" ref="E40">COUNT(IF(ISNUMBER($P$5:$P$674),IF(ISNUMBER($Y$5:$Y$674),IF($AA$5:$AA$674=$B$40,IF($Z$5:$Z$674=E$47,$P$5:$P$674)))))</f>
        <v>0</v>
      </c>
      <c r="F40" s="826" cm="1">
        <f t="array" ref="F40">COUNT(IF(ISNUMBER($P$5:$P$674),IF(ISNUMBER($Y$5:$Y$674),IF($AA$5:$AA$674=$B$40,IF($Z$5:$Z$674=F$47,$P$5:$P$674)))))</f>
        <v>0</v>
      </c>
      <c r="G40" s="830" cm="1">
        <f t="array" ref="G40">COUNT(IF(ISNUMBER($P$5:$P$674),IF(ISNUMBER($Y$5:$Y$674),IF($AA$5:$AA$674=$B$40,IF($Z$5:$Z$674=G$47,$P$5:$P$674)))))</f>
        <v>6</v>
      </c>
      <c r="H40" s="826" cm="1">
        <f t="array" ref="H40">COUNT(IF(ISNUMBER($P$5:$P$674),IF(ISNUMBER($Y$5:$Y$674),IF($AA$5:$AA$674=$B$40,IF($Z$5:$Z$674=H$47,$P$5:$P$674)))))</f>
        <v>30</v>
      </c>
      <c r="I40" s="830" cm="1">
        <f t="array" ref="I40">COUNT(IF(ISNUMBER($P$5:$P$674),IF(ISNUMBER($Y$5:$Y$674),IF($AA$5:$AA$674=$B$40,IF($Z$5:$Z$674=I$47,$P$5:$P$674)))))</f>
        <v>0</v>
      </c>
      <c r="J40" s="827" cm="1">
        <f t="array" ref="J40">COUNT(IF(ISNUMBER($P$5:$P$674),IF(ISNUMBER($Y$5:$Y$674),IF($AA$5:$AA$674=$B$40,IF($Z$5:$Z$674=J$47,$P$5:$P$674)))))</f>
        <v>8</v>
      </c>
      <c r="K40" s="803"/>
      <c r="L40" s="803"/>
      <c r="M40" s="803"/>
      <c r="O40">
        <v>36</v>
      </c>
      <c r="P40" s="401">
        <f>'Lab test'!N39</f>
        <v>200</v>
      </c>
      <c r="Q40" s="401">
        <f>'Lab test'!M39</f>
        <v>0.5</v>
      </c>
      <c r="R40">
        <f>IF('Lab test'!O39&gt;0,'Lab test'!O39,NA())</f>
        <v>350</v>
      </c>
      <c r="S40">
        <f>'Lab test'!Q39</f>
        <v>400</v>
      </c>
      <c r="T40" s="401">
        <f>IF('Lab test'!P39&gt;0,'Lab test'!P39,NA())</f>
        <v>8.7500000000000008E-2</v>
      </c>
      <c r="U40" s="401">
        <f>'Lab test'!AZ39</f>
        <v>2017</v>
      </c>
      <c r="V40">
        <f>IF('Lab test'!AQ39&gt;0,'Lab test'!AQ39,NA())</f>
        <v>1.1116784305997409</v>
      </c>
      <c r="W40">
        <f>IF('Lab test'!AU39&gt;0,'Lab test'!AU39,NA())</f>
        <v>0.28915774314220588</v>
      </c>
      <c r="X40">
        <f>IF('Lab test'!AT39&gt;0,'Lab test'!AT39,NA())</f>
        <v>0.35734950519367314</v>
      </c>
      <c r="Y40">
        <f t="shared" si="1"/>
        <v>1</v>
      </c>
      <c r="Z40" t="str">
        <f>'Lab test'!AC39</f>
        <v>LTWa</v>
      </c>
      <c r="AA40" t="str">
        <f>'Lab test'!T39</f>
        <v>Steel</v>
      </c>
      <c r="AC40">
        <f t="shared" si="2"/>
        <v>0.28915774314220588</v>
      </c>
      <c r="AD40" t="e">
        <f t="shared" si="3"/>
        <v>#N/A</v>
      </c>
      <c r="AE40" t="e">
        <f t="shared" si="4"/>
        <v>#N/A</v>
      </c>
      <c r="AF40" t="e">
        <f t="shared" si="5"/>
        <v>#N/A</v>
      </c>
      <c r="AG40" t="e">
        <f t="shared" si="6"/>
        <v>#N/A</v>
      </c>
      <c r="AH40" t="e">
        <f t="shared" si="7"/>
        <v>#N/A</v>
      </c>
      <c r="AI40" t="e">
        <f t="shared" si="8"/>
        <v>#N/A</v>
      </c>
      <c r="AK40">
        <f t="shared" si="9"/>
        <v>0.35734950519367314</v>
      </c>
      <c r="AL40" t="e">
        <f t="shared" si="10"/>
        <v>#N/A</v>
      </c>
      <c r="AM40" t="e">
        <f t="shared" si="11"/>
        <v>#N/A</v>
      </c>
      <c r="AN40" t="e">
        <f t="shared" si="12"/>
        <v>#N/A</v>
      </c>
      <c r="AO40" t="e">
        <f t="shared" si="13"/>
        <v>#N/A</v>
      </c>
      <c r="AP40" t="e">
        <f t="shared" si="14"/>
        <v>#N/A</v>
      </c>
      <c r="AQ40" t="e">
        <f t="shared" si="15"/>
        <v>#N/A</v>
      </c>
    </row>
    <row r="41" spans="2:43">
      <c r="B41" s="1079"/>
      <c r="C41" s="747" t="s">
        <v>893</v>
      </c>
      <c r="D41" s="718">
        <f t="shared" ref="D41:J41" si="19">D40/(D$34+D$36+D$38+D$40+D$42)*100</f>
        <v>0</v>
      </c>
      <c r="E41" s="717">
        <f t="shared" si="19"/>
        <v>0</v>
      </c>
      <c r="F41" s="718">
        <f t="shared" si="19"/>
        <v>0</v>
      </c>
      <c r="G41" s="717">
        <f t="shared" si="19"/>
        <v>6.0606060606060606</v>
      </c>
      <c r="H41" s="718">
        <f t="shared" si="19"/>
        <v>11.450381679389313</v>
      </c>
      <c r="I41" s="717">
        <f t="shared" si="19"/>
        <v>0</v>
      </c>
      <c r="J41" s="740">
        <f t="shared" si="19"/>
        <v>26.666666666666668</v>
      </c>
      <c r="K41" s="821"/>
      <c r="L41" s="821"/>
      <c r="M41" s="821"/>
      <c r="O41">
        <v>37</v>
      </c>
      <c r="P41" s="401">
        <f>'Lab test'!N40</f>
        <v>150</v>
      </c>
      <c r="Q41" s="401">
        <f>'Lab test'!M40</f>
        <v>1</v>
      </c>
      <c r="R41">
        <f>IF('Lab test'!O40&gt;0,'Lab test'!O40,NA())</f>
        <v>350</v>
      </c>
      <c r="S41">
        <f>'Lab test'!Q40</f>
        <v>150</v>
      </c>
      <c r="T41" s="401">
        <f>IF('Lab test'!P40&gt;0,'Lab test'!P40,NA())</f>
        <v>0.1905158688831361</v>
      </c>
      <c r="U41" s="401">
        <f>'Lab test'!AZ40</f>
        <v>2017</v>
      </c>
      <c r="V41">
        <f>IF('Lab test'!AQ40&gt;0,'Lab test'!AQ40,NA())</f>
        <v>0.6807612282568416</v>
      </c>
      <c r="W41">
        <f>IF('Lab test'!AU40&gt;0,'Lab test'!AU40,NA())</f>
        <v>0.65657979823389157</v>
      </c>
      <c r="X41">
        <f>IF('Lab test'!AT40&gt;0,'Lab test'!AT40,NA())</f>
        <v>0.30428261682022567</v>
      </c>
      <c r="Y41">
        <f t="shared" si="1"/>
        <v>1</v>
      </c>
      <c r="Z41" t="str">
        <f>'Lab test'!AC40</f>
        <v>LTWa</v>
      </c>
      <c r="AA41" t="str">
        <f>'Lab test'!T40</f>
        <v>Steel</v>
      </c>
      <c r="AC41">
        <f t="shared" si="2"/>
        <v>0.65657979823389157</v>
      </c>
      <c r="AD41" t="e">
        <f t="shared" si="3"/>
        <v>#N/A</v>
      </c>
      <c r="AE41" t="e">
        <f t="shared" si="4"/>
        <v>#N/A</v>
      </c>
      <c r="AF41" t="e">
        <f t="shared" si="5"/>
        <v>#N/A</v>
      </c>
      <c r="AG41" t="e">
        <f t="shared" si="6"/>
        <v>#N/A</v>
      </c>
      <c r="AH41" t="e">
        <f t="shared" si="7"/>
        <v>#N/A</v>
      </c>
      <c r="AI41" t="e">
        <f t="shared" si="8"/>
        <v>#N/A</v>
      </c>
      <c r="AK41">
        <f t="shared" si="9"/>
        <v>0.30428261682022567</v>
      </c>
      <c r="AL41" t="e">
        <f t="shared" si="10"/>
        <v>#N/A</v>
      </c>
      <c r="AM41" t="e">
        <f t="shared" si="11"/>
        <v>#N/A</v>
      </c>
      <c r="AN41" t="e">
        <f t="shared" si="12"/>
        <v>#N/A</v>
      </c>
      <c r="AO41" t="e">
        <f t="shared" si="13"/>
        <v>#N/A</v>
      </c>
      <c r="AP41" t="e">
        <f t="shared" si="14"/>
        <v>#N/A</v>
      </c>
      <c r="AQ41" t="e">
        <f t="shared" si="15"/>
        <v>#N/A</v>
      </c>
    </row>
    <row r="42" spans="2:43">
      <c r="B42" s="1076" t="s">
        <v>534</v>
      </c>
      <c r="C42" s="749" t="s">
        <v>892</v>
      </c>
      <c r="D42" s="826" cm="1">
        <f t="array" ref="D42">COUNT(IF(ISNUMBER($P$5:$P$674),IF(ISNUMBER($Y$5:$Y$674),IF($AA$5:$AA$674=$B$42,IF($Z$5:$Z$674=D$47,$P$5:$P$674)))))</f>
        <v>0</v>
      </c>
      <c r="E42" s="830" cm="1">
        <f t="array" ref="E42">COUNT(IF(ISNUMBER($P$5:$P$674),IF(ISNUMBER($Y$5:$Y$674),IF($AA$5:$AA$674=$B$42,IF($Z$5:$Z$674=E$47,$P$5:$P$674)))))</f>
        <v>0</v>
      </c>
      <c r="F42" s="826" cm="1">
        <f t="array" ref="F42">COUNT(IF(ISNUMBER($P$5:$P$674),IF(ISNUMBER($Y$5:$Y$674),IF($AA$5:$AA$674=$B$42,IF($Z$5:$Z$674=F$47,$P$5:$P$674)))))</f>
        <v>0</v>
      </c>
      <c r="G42" s="830" cm="1">
        <f t="array" ref="G42">COUNT(IF(ISNUMBER($P$5:$P$674),IF(ISNUMBER($Y$5:$Y$674),IF($AA$5:$AA$674=$B$42,IF($Z$5:$Z$674=G$47,$P$5:$P$674)))))</f>
        <v>0</v>
      </c>
      <c r="H42" s="826" cm="1">
        <f t="array" ref="H42">COUNT(IF(ISNUMBER($P$5:$P$674),IF(ISNUMBER($Y$5:$Y$674),IF($AA$5:$AA$674=$B$42,IF($Z$5:$Z$674=H$47,$P$5:$P$674)))))</f>
        <v>0</v>
      </c>
      <c r="I42" s="830" cm="1">
        <f t="array" ref="I42">COUNT(IF(ISNUMBER($P$5:$P$674),IF(ISNUMBER($Y$5:$Y$674),IF($AA$5:$AA$674=$B$42,IF($Z$5:$Z$674=I$47,$P$5:$P$674)))))</f>
        <v>30</v>
      </c>
      <c r="J42" s="827" cm="1">
        <f t="array" ref="J42">COUNT(IF(ISNUMBER($P$5:$P$674),IF(ISNUMBER($Y$5:$Y$674),IF($AA$5:$AA$674=$B$42,IF($Z$5:$Z$674=J$47,$P$5:$P$674)))))</f>
        <v>0</v>
      </c>
      <c r="K42" s="803"/>
      <c r="L42" s="803"/>
      <c r="M42" s="803"/>
      <c r="O42">
        <v>38</v>
      </c>
      <c r="P42" s="401">
        <f>'Lab test'!N41</f>
        <v>150</v>
      </c>
      <c r="Q42" s="401">
        <f>'Lab test'!M41</f>
        <v>1</v>
      </c>
      <c r="R42">
        <f>IF('Lab test'!O41&gt;0,'Lab test'!O41,NA())</f>
        <v>350</v>
      </c>
      <c r="S42">
        <f>'Lab test'!Q41</f>
        <v>150</v>
      </c>
      <c r="T42" s="401">
        <f>IF('Lab test'!P41&gt;0,'Lab test'!P41,NA())</f>
        <v>0.1905158688831361</v>
      </c>
      <c r="U42" s="401">
        <f>'Lab test'!AZ41</f>
        <v>2017</v>
      </c>
      <c r="V42">
        <f>IF('Lab test'!AQ41&gt;0,'Lab test'!AQ41,NA())</f>
        <v>0.6807612282568416</v>
      </c>
      <c r="W42">
        <f>IF('Lab test'!AU41&gt;0,'Lab test'!AU41,NA())</f>
        <v>0.74324833160076531</v>
      </c>
      <c r="X42">
        <f>IF('Lab test'!AT41&gt;0,'Lab test'!AT41,NA())</f>
        <v>0.34444792224049547</v>
      </c>
      <c r="Y42">
        <f t="shared" si="1"/>
        <v>1</v>
      </c>
      <c r="Z42" t="str">
        <f>'Lab test'!AC41</f>
        <v>LTWa</v>
      </c>
      <c r="AA42" t="str">
        <f>'Lab test'!T41</f>
        <v>Steel</v>
      </c>
      <c r="AC42">
        <f t="shared" si="2"/>
        <v>0.74324833160076531</v>
      </c>
      <c r="AD42" t="e">
        <f t="shared" si="3"/>
        <v>#N/A</v>
      </c>
      <c r="AE42" t="e">
        <f t="shared" si="4"/>
        <v>#N/A</v>
      </c>
      <c r="AF42" t="e">
        <f t="shared" si="5"/>
        <v>#N/A</v>
      </c>
      <c r="AG42" t="e">
        <f t="shared" si="6"/>
        <v>#N/A</v>
      </c>
      <c r="AH42" t="e">
        <f t="shared" si="7"/>
        <v>#N/A</v>
      </c>
      <c r="AI42" t="e">
        <f t="shared" si="8"/>
        <v>#N/A</v>
      </c>
      <c r="AK42">
        <f t="shared" si="9"/>
        <v>0.34444792224049547</v>
      </c>
      <c r="AL42" t="e">
        <f t="shared" si="10"/>
        <v>#N/A</v>
      </c>
      <c r="AM42" t="e">
        <f t="shared" si="11"/>
        <v>#N/A</v>
      </c>
      <c r="AN42" t="e">
        <f t="shared" si="12"/>
        <v>#N/A</v>
      </c>
      <c r="AO42" t="e">
        <f t="shared" si="13"/>
        <v>#N/A</v>
      </c>
      <c r="AP42" t="e">
        <f t="shared" si="14"/>
        <v>#N/A</v>
      </c>
      <c r="AQ42" t="e">
        <f t="shared" si="15"/>
        <v>#N/A</v>
      </c>
    </row>
    <row r="43" spans="2:43">
      <c r="B43" s="1076"/>
      <c r="C43" s="748" t="s">
        <v>893</v>
      </c>
      <c r="D43" s="718">
        <f t="shared" ref="D43:J43" si="20">D42/(D$34+D$36+D$38+D$40+D$42)*100</f>
        <v>0</v>
      </c>
      <c r="E43" s="717">
        <f t="shared" si="20"/>
        <v>0</v>
      </c>
      <c r="F43" s="718">
        <f t="shared" si="20"/>
        <v>0</v>
      </c>
      <c r="G43" s="717">
        <f t="shared" si="20"/>
        <v>0</v>
      </c>
      <c r="H43" s="718">
        <f t="shared" si="20"/>
        <v>0</v>
      </c>
      <c r="I43" s="717">
        <f t="shared" si="20"/>
        <v>65.217391304347828</v>
      </c>
      <c r="J43" s="740">
        <f t="shared" si="20"/>
        <v>0</v>
      </c>
      <c r="K43" s="821"/>
      <c r="L43" s="821"/>
      <c r="M43" s="821"/>
      <c r="O43">
        <v>39</v>
      </c>
      <c r="P43" s="401">
        <f>'Lab test'!N42</f>
        <v>150</v>
      </c>
      <c r="Q43" s="401">
        <f>'Lab test'!M42</f>
        <v>3</v>
      </c>
      <c r="R43">
        <f>IF('Lab test'!O42&gt;0,'Lab test'!O42,NA())</f>
        <v>350</v>
      </c>
      <c r="S43">
        <f>'Lab test'!Q42</f>
        <v>50</v>
      </c>
      <c r="T43" s="401">
        <f>IF('Lab test'!P42&gt;0,'Lab test'!P42,NA())</f>
        <v>0.32998316455372217</v>
      </c>
      <c r="U43" s="401">
        <f>'Lab test'!AZ42</f>
        <v>2017</v>
      </c>
      <c r="V43">
        <f>IF('Lab test'!AQ42&gt;0,'Lab test'!AQ42,NA())</f>
        <v>0.39303767838794779</v>
      </c>
      <c r="W43">
        <f>IF('Lab test'!AU42&gt;0,'Lab test'!AU42,NA())</f>
        <v>0.89163536600162485</v>
      </c>
      <c r="X43">
        <f>IF('Lab test'!AT42&gt;0,'Lab test'!AT42,NA())</f>
        <v>0.1377385978806222</v>
      </c>
      <c r="Y43">
        <f t="shared" si="1"/>
        <v>1</v>
      </c>
      <c r="Z43" t="str">
        <f>'Lab test'!AC42</f>
        <v>LTWa</v>
      </c>
      <c r="AA43" t="str">
        <f>'Lab test'!T42</f>
        <v>Steel</v>
      </c>
      <c r="AC43">
        <f t="shared" si="2"/>
        <v>0.89163536600162485</v>
      </c>
      <c r="AD43" t="e">
        <f t="shared" si="3"/>
        <v>#N/A</v>
      </c>
      <c r="AE43" t="e">
        <f t="shared" si="4"/>
        <v>#N/A</v>
      </c>
      <c r="AF43" t="e">
        <f t="shared" si="5"/>
        <v>#N/A</v>
      </c>
      <c r="AG43" t="e">
        <f t="shared" si="6"/>
        <v>#N/A</v>
      </c>
      <c r="AH43" t="e">
        <f t="shared" si="7"/>
        <v>#N/A</v>
      </c>
      <c r="AI43" t="e">
        <f t="shared" si="8"/>
        <v>#N/A</v>
      </c>
      <c r="AK43">
        <f t="shared" si="9"/>
        <v>0.1377385978806222</v>
      </c>
      <c r="AL43" t="e">
        <f t="shared" si="10"/>
        <v>#N/A</v>
      </c>
      <c r="AM43" t="e">
        <f t="shared" si="11"/>
        <v>#N/A</v>
      </c>
      <c r="AN43" t="e">
        <f t="shared" si="12"/>
        <v>#N/A</v>
      </c>
      <c r="AO43" t="e">
        <f t="shared" si="13"/>
        <v>#N/A</v>
      </c>
      <c r="AP43" t="e">
        <f t="shared" si="14"/>
        <v>#N/A</v>
      </c>
      <c r="AQ43" t="e">
        <f t="shared" si="15"/>
        <v>#N/A</v>
      </c>
    </row>
    <row r="44" spans="2:43">
      <c r="O44">
        <v>40</v>
      </c>
      <c r="P44" s="401">
        <f>'Lab test'!N43</f>
        <v>150</v>
      </c>
      <c r="Q44" s="401">
        <f>'Lab test'!M43</f>
        <v>3</v>
      </c>
      <c r="R44">
        <f>IF('Lab test'!O43&gt;0,'Lab test'!O43,NA())</f>
        <v>350</v>
      </c>
      <c r="S44">
        <f>'Lab test'!Q43</f>
        <v>50</v>
      </c>
      <c r="T44" s="401">
        <f>IF('Lab test'!P43&gt;0,'Lab test'!P43,NA())</f>
        <v>0.32998316455372217</v>
      </c>
      <c r="U44" s="401">
        <f>'Lab test'!AZ43</f>
        <v>2017</v>
      </c>
      <c r="V44">
        <f>IF('Lab test'!AQ43&gt;0,'Lab test'!AQ43,NA())</f>
        <v>0.39303767838794779</v>
      </c>
      <c r="W44">
        <f>IF('Lab test'!AU43&gt;0,'Lab test'!AU43,NA())</f>
        <v>0.9018780108540736</v>
      </c>
      <c r="X44">
        <f>IF('Lab test'!AT43&gt;0,'Lab test'!AT43,NA())</f>
        <v>0.13932086748808736</v>
      </c>
      <c r="Y44">
        <f t="shared" si="1"/>
        <v>1</v>
      </c>
      <c r="Z44" t="str">
        <f>'Lab test'!AC43</f>
        <v>LTWa</v>
      </c>
      <c r="AA44" t="str">
        <f>'Lab test'!T43</f>
        <v>Steel</v>
      </c>
      <c r="AC44">
        <f t="shared" si="2"/>
        <v>0.9018780108540736</v>
      </c>
      <c r="AD44" t="e">
        <f t="shared" si="3"/>
        <v>#N/A</v>
      </c>
      <c r="AE44" t="e">
        <f t="shared" si="4"/>
        <v>#N/A</v>
      </c>
      <c r="AF44" t="e">
        <f t="shared" si="5"/>
        <v>#N/A</v>
      </c>
      <c r="AG44" t="e">
        <f t="shared" si="6"/>
        <v>#N/A</v>
      </c>
      <c r="AH44" t="e">
        <f t="shared" si="7"/>
        <v>#N/A</v>
      </c>
      <c r="AI44" t="e">
        <f t="shared" si="8"/>
        <v>#N/A</v>
      </c>
      <c r="AK44">
        <f t="shared" si="9"/>
        <v>0.13932086748808736</v>
      </c>
      <c r="AL44" t="e">
        <f t="shared" si="10"/>
        <v>#N/A</v>
      </c>
      <c r="AM44" t="e">
        <f t="shared" si="11"/>
        <v>#N/A</v>
      </c>
      <c r="AN44" t="e">
        <f t="shared" si="12"/>
        <v>#N/A</v>
      </c>
      <c r="AO44" t="e">
        <f t="shared" si="13"/>
        <v>#N/A</v>
      </c>
      <c r="AP44" t="e">
        <f t="shared" si="14"/>
        <v>#N/A</v>
      </c>
      <c r="AQ44" t="e">
        <f t="shared" si="15"/>
        <v>#N/A</v>
      </c>
    </row>
    <row r="45" spans="2:43">
      <c r="O45">
        <v>41</v>
      </c>
      <c r="P45" s="401">
        <f>'Lab test'!N44</f>
        <v>200</v>
      </c>
      <c r="Q45" s="401">
        <f>'Lab test'!M44</f>
        <v>0.6</v>
      </c>
      <c r="R45">
        <f>IF('Lab test'!O44&gt;0,'Lab test'!O44,NA())</f>
        <v>350</v>
      </c>
      <c r="S45">
        <f>'Lab test'!Q44</f>
        <v>333.33333333333337</v>
      </c>
      <c r="T45" s="401">
        <f>IF('Lab test'!P44&gt;0,'Lab test'!P44,NA())</f>
        <v>9.585144756340408E-2</v>
      </c>
      <c r="U45" s="401">
        <f>'Lab test'!AZ44</f>
        <v>2017</v>
      </c>
      <c r="V45">
        <f>IF('Lab test'!AQ44&gt;0,'Lab test'!AQ44,NA())</f>
        <v>1.3986844385452473</v>
      </c>
      <c r="W45">
        <f>IF('Lab test'!AU44&gt;0,'Lab test'!AU44,NA())</f>
        <v>0.1533524191250033</v>
      </c>
      <c r="X45">
        <f>IF('Lab test'!AT44&gt;0,'Lab test'!AT44,NA())</f>
        <v>0.30000612220387285</v>
      </c>
      <c r="Y45">
        <f t="shared" si="1"/>
        <v>1</v>
      </c>
      <c r="Z45" t="str">
        <f>'Lab test'!AC44</f>
        <v>LTWa</v>
      </c>
      <c r="AA45" t="str">
        <f>'Lab test'!T44</f>
        <v>Steel</v>
      </c>
      <c r="AC45">
        <f t="shared" si="2"/>
        <v>0.1533524191250033</v>
      </c>
      <c r="AD45" t="e">
        <f t="shared" si="3"/>
        <v>#N/A</v>
      </c>
      <c r="AE45" t="e">
        <f t="shared" si="4"/>
        <v>#N/A</v>
      </c>
      <c r="AF45" t="e">
        <f t="shared" si="5"/>
        <v>#N/A</v>
      </c>
      <c r="AG45" t="e">
        <f t="shared" si="6"/>
        <v>#N/A</v>
      </c>
      <c r="AH45" t="e">
        <f t="shared" si="7"/>
        <v>#N/A</v>
      </c>
      <c r="AI45" t="e">
        <f t="shared" si="8"/>
        <v>#N/A</v>
      </c>
      <c r="AK45">
        <f t="shared" si="9"/>
        <v>0.30000612220387285</v>
      </c>
      <c r="AL45" t="e">
        <f t="shared" si="10"/>
        <v>#N/A</v>
      </c>
      <c r="AM45" t="e">
        <f t="shared" si="11"/>
        <v>#N/A</v>
      </c>
      <c r="AN45" t="e">
        <f t="shared" si="12"/>
        <v>#N/A</v>
      </c>
      <c r="AO45" t="e">
        <f t="shared" si="13"/>
        <v>#N/A</v>
      </c>
      <c r="AP45" t="e">
        <f t="shared" si="14"/>
        <v>#N/A</v>
      </c>
      <c r="AQ45" t="e">
        <f t="shared" si="15"/>
        <v>#N/A</v>
      </c>
    </row>
    <row r="46" spans="2:43">
      <c r="O46">
        <v>42</v>
      </c>
      <c r="P46" s="401">
        <f>'Lab test'!N45</f>
        <v>200</v>
      </c>
      <c r="Q46" s="401">
        <f>'Lab test'!M45</f>
        <v>0.6</v>
      </c>
      <c r="R46">
        <f>IF('Lab test'!O45&gt;0,'Lab test'!O45,NA())</f>
        <v>350</v>
      </c>
      <c r="S46">
        <f>'Lab test'!Q45</f>
        <v>333.33333333333337</v>
      </c>
      <c r="T46" s="401">
        <f>IF('Lab test'!P45&gt;0,'Lab test'!P45,NA())</f>
        <v>9.585144756340408E-2</v>
      </c>
      <c r="U46" s="401">
        <f>'Lab test'!AZ45</f>
        <v>2017</v>
      </c>
      <c r="V46">
        <f>IF('Lab test'!AQ45&gt;0,'Lab test'!AQ45,NA())</f>
        <v>1.3986844385452473</v>
      </c>
      <c r="W46">
        <f>IF('Lab test'!AU45&gt;0,'Lab test'!AU45,NA())</f>
        <v>0.19082705307784759</v>
      </c>
      <c r="X46">
        <f>IF('Lab test'!AT45&gt;0,'Lab test'!AT45,NA())</f>
        <v>0.37331842909378327</v>
      </c>
      <c r="Y46">
        <f t="shared" si="1"/>
        <v>1</v>
      </c>
      <c r="Z46" t="str">
        <f>'Lab test'!AC45</f>
        <v>LTWa</v>
      </c>
      <c r="AA46" t="str">
        <f>'Lab test'!T45</f>
        <v>Steel</v>
      </c>
      <c r="AC46">
        <f t="shared" si="2"/>
        <v>0.19082705307784759</v>
      </c>
      <c r="AD46" t="e">
        <f t="shared" si="3"/>
        <v>#N/A</v>
      </c>
      <c r="AE46" t="e">
        <f t="shared" si="4"/>
        <v>#N/A</v>
      </c>
      <c r="AF46" t="e">
        <f t="shared" si="5"/>
        <v>#N/A</v>
      </c>
      <c r="AG46" t="e">
        <f t="shared" si="6"/>
        <v>#N/A</v>
      </c>
      <c r="AH46" t="e">
        <f t="shared" si="7"/>
        <v>#N/A</v>
      </c>
      <c r="AI46" t="e">
        <f t="shared" si="8"/>
        <v>#N/A</v>
      </c>
      <c r="AK46">
        <f t="shared" si="9"/>
        <v>0.37331842909378327</v>
      </c>
      <c r="AL46" t="e">
        <f t="shared" si="10"/>
        <v>#N/A</v>
      </c>
      <c r="AM46" t="e">
        <f t="shared" si="11"/>
        <v>#N/A</v>
      </c>
      <c r="AN46" t="e">
        <f t="shared" si="12"/>
        <v>#N/A</v>
      </c>
      <c r="AO46" t="e">
        <f t="shared" si="13"/>
        <v>#N/A</v>
      </c>
      <c r="AP46" t="e">
        <f t="shared" si="14"/>
        <v>#N/A</v>
      </c>
      <c r="AQ46" t="e">
        <f t="shared" si="15"/>
        <v>#N/A</v>
      </c>
    </row>
    <row r="47" spans="2:43">
      <c r="D47" t="s">
        <v>749</v>
      </c>
      <c r="E47" t="s">
        <v>870</v>
      </c>
      <c r="F47" t="s">
        <v>524</v>
      </c>
      <c r="G47" t="s">
        <v>751</v>
      </c>
      <c r="H47" t="s">
        <v>750</v>
      </c>
      <c r="I47" t="s">
        <v>523</v>
      </c>
      <c r="J47" t="s">
        <v>868</v>
      </c>
      <c r="O47">
        <v>43</v>
      </c>
      <c r="P47" s="401">
        <f>'Lab test'!N46</f>
        <v>150</v>
      </c>
      <c r="Q47" s="401">
        <f>'Lab test'!M46</f>
        <v>1</v>
      </c>
      <c r="R47">
        <f>IF('Lab test'!O46&gt;0,'Lab test'!O46,NA())</f>
        <v>350</v>
      </c>
      <c r="S47">
        <f>'Lab test'!Q46</f>
        <v>150</v>
      </c>
      <c r="T47" s="401">
        <f>IF('Lab test'!P46&gt;0,'Lab test'!P46,NA())</f>
        <v>0.1905158688831361</v>
      </c>
      <c r="U47" s="401">
        <f>'Lab test'!AZ46</f>
        <v>2017</v>
      </c>
      <c r="V47">
        <f>IF('Lab test'!AQ46&gt;0,'Lab test'!AQ46,NA())</f>
        <v>0.9382660450974899</v>
      </c>
      <c r="W47">
        <f>IF('Lab test'!AU46&gt;0,'Lab test'!AU46,NA())</f>
        <v>0.51366152640248863</v>
      </c>
      <c r="X47">
        <f>IF('Lab test'!AT46&gt;0,'Lab test'!AT46,NA())</f>
        <v>0.45219841717054027</v>
      </c>
      <c r="Y47">
        <f t="shared" si="1"/>
        <v>1</v>
      </c>
      <c r="Z47" t="str">
        <f>'Lab test'!AC46</f>
        <v>LTWa</v>
      </c>
      <c r="AA47" t="str">
        <f>'Lab test'!T46</f>
        <v>Steel</v>
      </c>
      <c r="AC47">
        <f t="shared" si="2"/>
        <v>0.51366152640248863</v>
      </c>
      <c r="AD47" t="e">
        <f t="shared" si="3"/>
        <v>#N/A</v>
      </c>
      <c r="AE47" t="e">
        <f t="shared" si="4"/>
        <v>#N/A</v>
      </c>
      <c r="AF47" t="e">
        <f t="shared" si="5"/>
        <v>#N/A</v>
      </c>
      <c r="AG47" t="e">
        <f t="shared" si="6"/>
        <v>#N/A</v>
      </c>
      <c r="AH47" t="e">
        <f t="shared" si="7"/>
        <v>#N/A</v>
      </c>
      <c r="AI47" t="e">
        <f t="shared" si="8"/>
        <v>#N/A</v>
      </c>
      <c r="AK47">
        <f t="shared" si="9"/>
        <v>0.45219841717054027</v>
      </c>
      <c r="AL47" t="e">
        <f t="shared" si="10"/>
        <v>#N/A</v>
      </c>
      <c r="AM47" t="e">
        <f t="shared" si="11"/>
        <v>#N/A</v>
      </c>
      <c r="AN47" t="e">
        <f t="shared" si="12"/>
        <v>#N/A</v>
      </c>
      <c r="AO47" t="e">
        <f t="shared" si="13"/>
        <v>#N/A</v>
      </c>
      <c r="AP47" t="e">
        <f t="shared" si="14"/>
        <v>#N/A</v>
      </c>
      <c r="AQ47" t="e">
        <f t="shared" si="15"/>
        <v>#N/A</v>
      </c>
    </row>
    <row r="48" spans="2:43">
      <c r="O48">
        <v>44</v>
      </c>
      <c r="P48" s="401">
        <f>'Lab test'!N47</f>
        <v>150</v>
      </c>
      <c r="Q48" s="401">
        <f>'Lab test'!M47</f>
        <v>1</v>
      </c>
      <c r="R48">
        <f>IF('Lab test'!O47&gt;0,'Lab test'!O47,NA())</f>
        <v>350</v>
      </c>
      <c r="S48">
        <f>'Lab test'!Q47</f>
        <v>150</v>
      </c>
      <c r="T48" s="401">
        <f>IF('Lab test'!P47&gt;0,'Lab test'!P47,NA())</f>
        <v>0.1905158688831361</v>
      </c>
      <c r="U48" s="401">
        <f>'Lab test'!AZ47</f>
        <v>2017</v>
      </c>
      <c r="V48">
        <f>IF('Lab test'!AQ47&gt;0,'Lab test'!AQ47,NA())</f>
        <v>0.9382660450974899</v>
      </c>
      <c r="W48">
        <f>IF('Lab test'!AU47&gt;0,'Lab test'!AU47,NA())</f>
        <v>0.53549006894460627</v>
      </c>
      <c r="X48">
        <f>IF('Lab test'!AT47&gt;0,'Lab test'!AT47,NA())</f>
        <v>0.47141502553873432</v>
      </c>
      <c r="Y48">
        <f t="shared" si="1"/>
        <v>1</v>
      </c>
      <c r="Z48" t="str">
        <f>'Lab test'!AC47</f>
        <v>LTWa</v>
      </c>
      <c r="AA48" t="str">
        <f>'Lab test'!T47</f>
        <v>Steel</v>
      </c>
      <c r="AC48">
        <f t="shared" si="2"/>
        <v>0.53549006894460627</v>
      </c>
      <c r="AD48" t="e">
        <f t="shared" si="3"/>
        <v>#N/A</v>
      </c>
      <c r="AE48" t="e">
        <f t="shared" si="4"/>
        <v>#N/A</v>
      </c>
      <c r="AF48" t="e">
        <f t="shared" si="5"/>
        <v>#N/A</v>
      </c>
      <c r="AG48" t="e">
        <f t="shared" si="6"/>
        <v>#N/A</v>
      </c>
      <c r="AH48" t="e">
        <f t="shared" si="7"/>
        <v>#N/A</v>
      </c>
      <c r="AI48" t="e">
        <f t="shared" si="8"/>
        <v>#N/A</v>
      </c>
      <c r="AK48">
        <f t="shared" si="9"/>
        <v>0.47141502553873432</v>
      </c>
      <c r="AL48" t="e">
        <f t="shared" si="10"/>
        <v>#N/A</v>
      </c>
      <c r="AM48" t="e">
        <f t="shared" si="11"/>
        <v>#N/A</v>
      </c>
      <c r="AN48" t="e">
        <f t="shared" si="12"/>
        <v>#N/A</v>
      </c>
      <c r="AO48" t="e">
        <f t="shared" si="13"/>
        <v>#N/A</v>
      </c>
      <c r="AP48" t="e">
        <f t="shared" si="14"/>
        <v>#N/A</v>
      </c>
      <c r="AQ48" t="e">
        <f t="shared" si="15"/>
        <v>#N/A</v>
      </c>
    </row>
    <row r="49" spans="3:43">
      <c r="C49" t="s">
        <v>1107</v>
      </c>
      <c r="O49">
        <v>45</v>
      </c>
      <c r="P49" s="401">
        <f>'Lab test'!N48</f>
        <v>150</v>
      </c>
      <c r="Q49" s="401">
        <f>'Lab test'!M48</f>
        <v>3</v>
      </c>
      <c r="R49">
        <f>IF('Lab test'!O48&gt;0,'Lab test'!O48,NA())</f>
        <v>350</v>
      </c>
      <c r="S49">
        <f>'Lab test'!Q48</f>
        <v>50</v>
      </c>
      <c r="T49" s="401">
        <f>IF('Lab test'!P48&gt;0,'Lab test'!P48,NA())</f>
        <v>0.32998316455372217</v>
      </c>
      <c r="U49" s="401">
        <f>'Lab test'!AZ48</f>
        <v>2017</v>
      </c>
      <c r="V49">
        <f>IF('Lab test'!AQ48&gt;0,'Lab test'!AQ48,NA())</f>
        <v>0.54170815370852132</v>
      </c>
      <c r="W49">
        <f>IF('Lab test'!AU48&gt;0,'Lab test'!AU48,NA())</f>
        <v>0.83137273947858403</v>
      </c>
      <c r="X49">
        <f>IF('Lab test'!AT48&gt;0,'Lab test'!AT48,NA())</f>
        <v>0.24396443802461787</v>
      </c>
      <c r="Y49">
        <f t="shared" si="1"/>
        <v>1</v>
      </c>
      <c r="Z49" t="str">
        <f>'Lab test'!AC48</f>
        <v>LTWa</v>
      </c>
      <c r="AA49" t="str">
        <f>'Lab test'!T48</f>
        <v>Steel</v>
      </c>
      <c r="AC49">
        <f t="shared" si="2"/>
        <v>0.83137273947858403</v>
      </c>
      <c r="AD49" t="e">
        <f t="shared" si="3"/>
        <v>#N/A</v>
      </c>
      <c r="AE49" t="e">
        <f t="shared" si="4"/>
        <v>#N/A</v>
      </c>
      <c r="AF49" t="e">
        <f t="shared" si="5"/>
        <v>#N/A</v>
      </c>
      <c r="AG49" t="e">
        <f t="shared" si="6"/>
        <v>#N/A</v>
      </c>
      <c r="AH49" t="e">
        <f t="shared" si="7"/>
        <v>#N/A</v>
      </c>
      <c r="AI49" t="e">
        <f t="shared" si="8"/>
        <v>#N/A</v>
      </c>
      <c r="AK49">
        <f t="shared" si="9"/>
        <v>0.24396443802461787</v>
      </c>
      <c r="AL49" t="e">
        <f t="shared" si="10"/>
        <v>#N/A</v>
      </c>
      <c r="AM49" t="e">
        <f t="shared" si="11"/>
        <v>#N/A</v>
      </c>
      <c r="AN49" t="e">
        <f t="shared" si="12"/>
        <v>#N/A</v>
      </c>
      <c r="AO49" t="e">
        <f t="shared" si="13"/>
        <v>#N/A</v>
      </c>
      <c r="AP49" t="e">
        <f t="shared" si="14"/>
        <v>#N/A</v>
      </c>
      <c r="AQ49" t="e">
        <f t="shared" si="15"/>
        <v>#N/A</v>
      </c>
    </row>
    <row r="50" spans="3:43">
      <c r="O50">
        <v>46</v>
      </c>
      <c r="P50" s="401">
        <f>'Lab test'!N49</f>
        <v>150</v>
      </c>
      <c r="Q50" s="401">
        <f>'Lab test'!M49</f>
        <v>3</v>
      </c>
      <c r="R50">
        <f>IF('Lab test'!O49&gt;0,'Lab test'!O49,NA())</f>
        <v>350</v>
      </c>
      <c r="S50">
        <f>'Lab test'!Q49</f>
        <v>50</v>
      </c>
      <c r="T50" s="401">
        <f>IF('Lab test'!P49&gt;0,'Lab test'!P49,NA())</f>
        <v>0.32998316455372217</v>
      </c>
      <c r="U50" s="401">
        <f>'Lab test'!AZ49</f>
        <v>2017</v>
      </c>
      <c r="V50">
        <f>IF('Lab test'!AQ49&gt;0,'Lab test'!AQ49,NA())</f>
        <v>0.54170815370852132</v>
      </c>
      <c r="W50">
        <f>IF('Lab test'!AU49&gt;0,'Lab test'!AU49,NA())</f>
        <v>0.84251726963721796</v>
      </c>
      <c r="X50">
        <f>IF('Lab test'!AT49&gt;0,'Lab test'!AT49,NA())</f>
        <v>0.24723477503242589</v>
      </c>
      <c r="Y50">
        <f t="shared" si="1"/>
        <v>1</v>
      </c>
      <c r="Z50" t="str">
        <f>'Lab test'!AC49</f>
        <v>LTWa</v>
      </c>
      <c r="AA50" t="str">
        <f>'Lab test'!T49</f>
        <v>Steel</v>
      </c>
      <c r="AC50">
        <f t="shared" si="2"/>
        <v>0.84251726963721796</v>
      </c>
      <c r="AD50" t="e">
        <f t="shared" si="3"/>
        <v>#N/A</v>
      </c>
      <c r="AE50" t="e">
        <f t="shared" si="4"/>
        <v>#N/A</v>
      </c>
      <c r="AF50" t="e">
        <f t="shared" si="5"/>
        <v>#N/A</v>
      </c>
      <c r="AG50" t="e">
        <f t="shared" si="6"/>
        <v>#N/A</v>
      </c>
      <c r="AH50" t="e">
        <f t="shared" si="7"/>
        <v>#N/A</v>
      </c>
      <c r="AI50" t="e">
        <f t="shared" si="8"/>
        <v>#N/A</v>
      </c>
      <c r="AK50">
        <f t="shared" si="9"/>
        <v>0.24723477503242589</v>
      </c>
      <c r="AL50" t="e">
        <f t="shared" si="10"/>
        <v>#N/A</v>
      </c>
      <c r="AM50" t="e">
        <f t="shared" si="11"/>
        <v>#N/A</v>
      </c>
      <c r="AN50" t="e">
        <f t="shared" si="12"/>
        <v>#N/A</v>
      </c>
      <c r="AO50" t="e">
        <f t="shared" si="13"/>
        <v>#N/A</v>
      </c>
      <c r="AP50" t="e">
        <f t="shared" si="14"/>
        <v>#N/A</v>
      </c>
      <c r="AQ50" t="e">
        <f t="shared" si="15"/>
        <v>#N/A</v>
      </c>
    </row>
    <row r="51" spans="3:43">
      <c r="O51">
        <v>47</v>
      </c>
      <c r="P51" s="401">
        <f>'Lab test'!N50</f>
        <v>250</v>
      </c>
      <c r="Q51" s="401">
        <f>'Lab test'!M50</f>
        <v>0.5</v>
      </c>
      <c r="R51">
        <f>IF('Lab test'!O50&gt;0,'Lab test'!O50,NA())</f>
        <v>500</v>
      </c>
      <c r="S51">
        <f>'Lab test'!Q50</f>
        <v>500</v>
      </c>
      <c r="T51" s="401">
        <f>IF('Lab test'!P50&gt;0,'Lab test'!P50,NA())</f>
        <v>8.9442719099991588E-2</v>
      </c>
      <c r="U51" s="401">
        <f>'Lab test'!AZ50</f>
        <v>2015</v>
      </c>
      <c r="V51">
        <f>IF('Lab test'!AQ50&gt;0,'Lab test'!AQ50,NA())</f>
        <v>0.95932605377995417</v>
      </c>
      <c r="W51">
        <f>IF('Lab test'!AU50&gt;0,'Lab test'!AU50,NA())</f>
        <v>0.41572751646701595</v>
      </c>
      <c r="X51">
        <f>IF('Lab test'!AT50&gt;0,'Lab test'!AT50,NA())</f>
        <v>0.38259672626337743</v>
      </c>
      <c r="Y51">
        <f t="shared" si="1"/>
        <v>1</v>
      </c>
      <c r="Z51" t="str">
        <f>'Lab test'!AC50</f>
        <v>LTWa</v>
      </c>
      <c r="AA51" t="str">
        <f>'Lab test'!T50</f>
        <v>Steel</v>
      </c>
      <c r="AC51">
        <f t="shared" si="2"/>
        <v>0.41572751646701595</v>
      </c>
      <c r="AD51" t="e">
        <f t="shared" si="3"/>
        <v>#N/A</v>
      </c>
      <c r="AE51" t="e">
        <f t="shared" si="4"/>
        <v>#N/A</v>
      </c>
      <c r="AF51" t="e">
        <f t="shared" si="5"/>
        <v>#N/A</v>
      </c>
      <c r="AG51" t="e">
        <f t="shared" si="6"/>
        <v>#N/A</v>
      </c>
      <c r="AH51" t="e">
        <f t="shared" si="7"/>
        <v>#N/A</v>
      </c>
      <c r="AI51" t="e">
        <f t="shared" si="8"/>
        <v>#N/A</v>
      </c>
      <c r="AK51">
        <f t="shared" si="9"/>
        <v>0.38259672626337743</v>
      </c>
      <c r="AL51" t="e">
        <f t="shared" si="10"/>
        <v>#N/A</v>
      </c>
      <c r="AM51" t="e">
        <f t="shared" si="11"/>
        <v>#N/A</v>
      </c>
      <c r="AN51" t="e">
        <f t="shared" si="12"/>
        <v>#N/A</v>
      </c>
      <c r="AO51" t="e">
        <f t="shared" si="13"/>
        <v>#N/A</v>
      </c>
      <c r="AP51" t="e">
        <f t="shared" si="14"/>
        <v>#N/A</v>
      </c>
      <c r="AQ51" t="e">
        <f t="shared" si="15"/>
        <v>#N/A</v>
      </c>
    </row>
    <row r="52" spans="3:43">
      <c r="O52">
        <v>48</v>
      </c>
      <c r="P52" s="401">
        <f>'Lab test'!N51</f>
        <v>350</v>
      </c>
      <c r="Q52" s="401">
        <f>'Lab test'!M51</f>
        <v>0.8</v>
      </c>
      <c r="R52">
        <f>IF('Lab test'!O51&gt;0,'Lab test'!O51,NA())</f>
        <v>450</v>
      </c>
      <c r="S52">
        <f>'Lab test'!Q51</f>
        <v>437.5</v>
      </c>
      <c r="T52" s="401">
        <f>IF('Lab test'!P51&gt;0,'Lab test'!P51,NA())</f>
        <v>6.146889990862596E-2</v>
      </c>
      <c r="U52" s="401">
        <f>'Lab test'!AZ51</f>
        <v>2004</v>
      </c>
      <c r="V52">
        <f>IF('Lab test'!AQ51&gt;0,'Lab test'!AQ51,NA())</f>
        <v>1.0455230378367246</v>
      </c>
      <c r="W52">
        <f>IF('Lab test'!AU51&gt;0,'Lab test'!AU51,NA())</f>
        <v>0.29887391387072509</v>
      </c>
      <c r="X52">
        <f>IF('Lab test'!AT51&gt;0,'Lab test'!AT51,NA())</f>
        <v>0.32670458130080182</v>
      </c>
      <c r="Y52">
        <f t="shared" si="1"/>
        <v>1</v>
      </c>
      <c r="Z52" t="str">
        <f>'Lab test'!AC51</f>
        <v>LTWb</v>
      </c>
      <c r="AA52" t="str">
        <f>'Lab test'!T51</f>
        <v>Steel</v>
      </c>
      <c r="AC52" t="e">
        <f t="shared" si="2"/>
        <v>#N/A</v>
      </c>
      <c r="AD52">
        <f t="shared" si="3"/>
        <v>0.29887391387072509</v>
      </c>
      <c r="AE52" t="e">
        <f t="shared" si="4"/>
        <v>#N/A</v>
      </c>
      <c r="AF52" t="e">
        <f t="shared" si="5"/>
        <v>#N/A</v>
      </c>
      <c r="AG52" t="e">
        <f t="shared" si="6"/>
        <v>#N/A</v>
      </c>
      <c r="AH52" t="e">
        <f t="shared" si="7"/>
        <v>#N/A</v>
      </c>
      <c r="AI52" t="e">
        <f t="shared" si="8"/>
        <v>#N/A</v>
      </c>
      <c r="AK52" t="e">
        <f t="shared" si="9"/>
        <v>#N/A</v>
      </c>
      <c r="AL52">
        <f t="shared" si="10"/>
        <v>0.32670458130080182</v>
      </c>
      <c r="AM52" t="e">
        <f t="shared" si="11"/>
        <v>#N/A</v>
      </c>
      <c r="AN52" t="e">
        <f t="shared" si="12"/>
        <v>#N/A</v>
      </c>
      <c r="AO52" t="e">
        <f t="shared" si="13"/>
        <v>#N/A</v>
      </c>
      <c r="AP52" t="e">
        <f t="shared" si="14"/>
        <v>#N/A</v>
      </c>
      <c r="AQ52" t="e">
        <f t="shared" si="15"/>
        <v>#N/A</v>
      </c>
    </row>
    <row r="53" spans="3:43">
      <c r="O53">
        <v>49</v>
      </c>
      <c r="P53" s="401">
        <f>'Lab test'!N52</f>
        <v>350</v>
      </c>
      <c r="Q53" s="401">
        <f>'Lab test'!M52</f>
        <v>0.8</v>
      </c>
      <c r="R53">
        <f>IF('Lab test'!O52&gt;0,'Lab test'!O52,NA())</f>
        <v>450</v>
      </c>
      <c r="S53">
        <f>'Lab test'!Q52</f>
        <v>437.5</v>
      </c>
      <c r="T53" s="401">
        <f>IF('Lab test'!P52&gt;0,'Lab test'!P52,NA())</f>
        <v>6.146889990862596E-2</v>
      </c>
      <c r="U53" s="401">
        <f>'Lab test'!AZ52</f>
        <v>2004</v>
      </c>
      <c r="V53">
        <f>IF('Lab test'!AQ52&gt;0,'Lab test'!AQ52,NA())</f>
        <v>1.0455230378367246</v>
      </c>
      <c r="W53">
        <f>IF('Lab test'!AU52&gt;0,'Lab test'!AU52,NA())</f>
        <v>0.24918383371184996</v>
      </c>
      <c r="X53">
        <f>IF('Lab test'!AT52&gt;0,'Lab test'!AT52,NA())</f>
        <v>0.2723874392563127</v>
      </c>
      <c r="Y53">
        <f t="shared" si="1"/>
        <v>1</v>
      </c>
      <c r="Z53" t="str">
        <f>'Lab test'!AC52</f>
        <v>LTWb</v>
      </c>
      <c r="AA53" t="str">
        <f>'Lab test'!T52</f>
        <v>Steel</v>
      </c>
      <c r="AC53" t="e">
        <f t="shared" si="2"/>
        <v>#N/A</v>
      </c>
      <c r="AD53">
        <f t="shared" si="3"/>
        <v>0.24918383371184996</v>
      </c>
      <c r="AE53" t="e">
        <f t="shared" si="4"/>
        <v>#N/A</v>
      </c>
      <c r="AF53" t="e">
        <f t="shared" si="5"/>
        <v>#N/A</v>
      </c>
      <c r="AG53" t="e">
        <f t="shared" si="6"/>
        <v>#N/A</v>
      </c>
      <c r="AH53" t="e">
        <f t="shared" si="7"/>
        <v>#N/A</v>
      </c>
      <c r="AI53" t="e">
        <f t="shared" si="8"/>
        <v>#N/A</v>
      </c>
      <c r="AK53" t="e">
        <f t="shared" si="9"/>
        <v>#N/A</v>
      </c>
      <c r="AL53">
        <f t="shared" si="10"/>
        <v>0.2723874392563127</v>
      </c>
      <c r="AM53" t="e">
        <f t="shared" si="11"/>
        <v>#N/A</v>
      </c>
      <c r="AN53" t="e">
        <f t="shared" si="12"/>
        <v>#N/A</v>
      </c>
      <c r="AO53" t="e">
        <f t="shared" si="13"/>
        <v>#N/A</v>
      </c>
      <c r="AP53" t="e">
        <f t="shared" si="14"/>
        <v>#N/A</v>
      </c>
      <c r="AQ53" t="e">
        <f t="shared" si="15"/>
        <v>#N/A</v>
      </c>
    </row>
    <row r="54" spans="3:43">
      <c r="O54">
        <v>50</v>
      </c>
      <c r="P54" s="401">
        <f>'Lab test'!N53</f>
        <v>350</v>
      </c>
      <c r="Q54" s="401">
        <f>'Lab test'!M53</f>
        <v>0.8</v>
      </c>
      <c r="R54">
        <f>IF('Lab test'!O53&gt;0,'Lab test'!O53,NA())</f>
        <v>450</v>
      </c>
      <c r="S54">
        <f>'Lab test'!Q53</f>
        <v>437.5</v>
      </c>
      <c r="T54" s="401">
        <f>IF('Lab test'!P53&gt;0,'Lab test'!P53,NA())</f>
        <v>6.146889990862596E-2</v>
      </c>
      <c r="U54" s="401">
        <f>'Lab test'!AZ53</f>
        <v>2004</v>
      </c>
      <c r="V54">
        <f>IF('Lab test'!AQ53&gt;0,'Lab test'!AQ53,NA())</f>
        <v>1.0455230378367246</v>
      </c>
      <c r="W54">
        <f>IF('Lab test'!AU53&gt;0,'Lab test'!AU53,NA())</f>
        <v>0.25780167049217145</v>
      </c>
      <c r="X54">
        <f>IF('Lab test'!AT53&gt;0,'Lab test'!AT53,NA())</f>
        <v>0.2818077554042499</v>
      </c>
      <c r="Y54">
        <f t="shared" si="1"/>
        <v>1</v>
      </c>
      <c r="Z54" t="str">
        <f>'Lab test'!AC53</f>
        <v>LTWb</v>
      </c>
      <c r="AA54" t="str">
        <f>'Lab test'!T53</f>
        <v>Steel</v>
      </c>
      <c r="AC54" t="e">
        <f t="shared" si="2"/>
        <v>#N/A</v>
      </c>
      <c r="AD54">
        <f t="shared" si="3"/>
        <v>0.25780167049217145</v>
      </c>
      <c r="AE54" t="e">
        <f t="shared" si="4"/>
        <v>#N/A</v>
      </c>
      <c r="AF54" t="e">
        <f t="shared" si="5"/>
        <v>#N/A</v>
      </c>
      <c r="AG54" t="e">
        <f t="shared" si="6"/>
        <v>#N/A</v>
      </c>
      <c r="AH54" t="e">
        <f t="shared" si="7"/>
        <v>#N/A</v>
      </c>
      <c r="AI54" t="e">
        <f t="shared" si="8"/>
        <v>#N/A</v>
      </c>
      <c r="AK54" t="e">
        <f t="shared" si="9"/>
        <v>#N/A</v>
      </c>
      <c r="AL54">
        <f t="shared" si="10"/>
        <v>0.2818077554042499</v>
      </c>
      <c r="AM54" t="e">
        <f t="shared" si="11"/>
        <v>#N/A</v>
      </c>
      <c r="AN54" t="e">
        <f t="shared" si="12"/>
        <v>#N/A</v>
      </c>
      <c r="AO54" t="e">
        <f t="shared" si="13"/>
        <v>#N/A</v>
      </c>
      <c r="AP54" t="e">
        <f t="shared" si="14"/>
        <v>#N/A</v>
      </c>
      <c r="AQ54" t="e">
        <f t="shared" si="15"/>
        <v>#N/A</v>
      </c>
    </row>
    <row r="55" spans="3:43">
      <c r="O55">
        <v>51</v>
      </c>
      <c r="P55" s="401">
        <f>'Lab test'!N54</f>
        <v>350</v>
      </c>
      <c r="Q55" s="401">
        <f>'Lab test'!M54</f>
        <v>0.8</v>
      </c>
      <c r="R55">
        <f>IF('Lab test'!O54&gt;0,'Lab test'!O54,NA())</f>
        <v>450</v>
      </c>
      <c r="S55">
        <f>'Lab test'!Q54</f>
        <v>437.5</v>
      </c>
      <c r="T55" s="401">
        <f>IF('Lab test'!P54&gt;0,'Lab test'!P54,NA())</f>
        <v>6.146889990862596E-2</v>
      </c>
      <c r="U55" s="401">
        <f>'Lab test'!AZ54</f>
        <v>2004</v>
      </c>
      <c r="V55">
        <f>IF('Lab test'!AQ54&gt;0,'Lab test'!AQ54,NA())</f>
        <v>1.0455230378367246</v>
      </c>
      <c r="W55">
        <f>IF('Lab test'!AU54&gt;0,'Lab test'!AU54,NA())</f>
        <v>0.25670152111596023</v>
      </c>
      <c r="X55">
        <f>IF('Lab test'!AT54&gt;0,'Lab test'!AT54,NA())</f>
        <v>0.28060516185344947</v>
      </c>
      <c r="Y55">
        <f t="shared" si="1"/>
        <v>1</v>
      </c>
      <c r="Z55" t="str">
        <f>'Lab test'!AC54</f>
        <v>LTWb</v>
      </c>
      <c r="AA55" t="str">
        <f>'Lab test'!T54</f>
        <v>Steel</v>
      </c>
      <c r="AC55" t="e">
        <f t="shared" si="2"/>
        <v>#N/A</v>
      </c>
      <c r="AD55">
        <f t="shared" si="3"/>
        <v>0.25670152111596023</v>
      </c>
      <c r="AE55" t="e">
        <f t="shared" si="4"/>
        <v>#N/A</v>
      </c>
      <c r="AF55" t="e">
        <f t="shared" si="5"/>
        <v>#N/A</v>
      </c>
      <c r="AG55" t="e">
        <f t="shared" si="6"/>
        <v>#N/A</v>
      </c>
      <c r="AH55" t="e">
        <f t="shared" si="7"/>
        <v>#N/A</v>
      </c>
      <c r="AI55" t="e">
        <f t="shared" si="8"/>
        <v>#N/A</v>
      </c>
      <c r="AK55" t="e">
        <f t="shared" si="9"/>
        <v>#N/A</v>
      </c>
      <c r="AL55">
        <f t="shared" si="10"/>
        <v>0.28060516185344947</v>
      </c>
      <c r="AM55" t="e">
        <f t="shared" si="11"/>
        <v>#N/A</v>
      </c>
      <c r="AN55" t="e">
        <f t="shared" si="12"/>
        <v>#N/A</v>
      </c>
      <c r="AO55" t="e">
        <f t="shared" si="13"/>
        <v>#N/A</v>
      </c>
      <c r="AP55" t="e">
        <f t="shared" si="14"/>
        <v>#N/A</v>
      </c>
      <c r="AQ55" t="e">
        <f t="shared" si="15"/>
        <v>#N/A</v>
      </c>
    </row>
    <row r="56" spans="3:43">
      <c r="O56">
        <v>52</v>
      </c>
      <c r="P56" s="401">
        <f>'Lab test'!N55</f>
        <v>350</v>
      </c>
      <c r="Q56" s="401">
        <f>'Lab test'!M55</f>
        <v>1</v>
      </c>
      <c r="R56">
        <f>IF('Lab test'!O55&gt;0,'Lab test'!O55,NA())</f>
        <v>450</v>
      </c>
      <c r="S56">
        <f>'Lab test'!Q55</f>
        <v>350</v>
      </c>
      <c r="T56" s="401">
        <f>IF('Lab test'!P55&gt;0,'Lab test'!P55,NA())</f>
        <v>6.872431934890913E-2</v>
      </c>
      <c r="U56" s="401">
        <f>'Lab test'!AZ55</f>
        <v>2004</v>
      </c>
      <c r="V56">
        <f>IF('Lab test'!AQ55&gt;0,'Lab test'!AQ55,NA())</f>
        <v>0.93514423385800027</v>
      </c>
      <c r="W56">
        <f>IF('Lab test'!AU55&gt;0,'Lab test'!AU55,NA())</f>
        <v>0.35527490522448896</v>
      </c>
      <c r="X56">
        <f>IF('Lab test'!AT55&gt;0,'Lab test'!AT55,NA())</f>
        <v>0.31068603520413929</v>
      </c>
      <c r="Y56">
        <f t="shared" si="1"/>
        <v>1</v>
      </c>
      <c r="Z56" t="str">
        <f>'Lab test'!AC55</f>
        <v>LTWb</v>
      </c>
      <c r="AA56" t="str">
        <f>'Lab test'!T55</f>
        <v>Steel</v>
      </c>
      <c r="AC56" t="e">
        <f t="shared" si="2"/>
        <v>#N/A</v>
      </c>
      <c r="AD56">
        <f t="shared" si="3"/>
        <v>0.35527490522448896</v>
      </c>
      <c r="AE56" t="e">
        <f t="shared" si="4"/>
        <v>#N/A</v>
      </c>
      <c r="AF56" t="e">
        <f t="shared" si="5"/>
        <v>#N/A</v>
      </c>
      <c r="AG56" t="e">
        <f t="shared" si="6"/>
        <v>#N/A</v>
      </c>
      <c r="AH56" t="e">
        <f t="shared" si="7"/>
        <v>#N/A</v>
      </c>
      <c r="AI56" t="e">
        <f t="shared" si="8"/>
        <v>#N/A</v>
      </c>
      <c r="AK56" t="e">
        <f t="shared" si="9"/>
        <v>#N/A</v>
      </c>
      <c r="AL56">
        <f t="shared" si="10"/>
        <v>0.31068603520413929</v>
      </c>
      <c r="AM56" t="e">
        <f t="shared" si="11"/>
        <v>#N/A</v>
      </c>
      <c r="AN56" t="e">
        <f t="shared" si="12"/>
        <v>#N/A</v>
      </c>
      <c r="AO56" t="e">
        <f t="shared" si="13"/>
        <v>#N/A</v>
      </c>
      <c r="AP56" t="e">
        <f t="shared" si="14"/>
        <v>#N/A</v>
      </c>
      <c r="AQ56" t="e">
        <f t="shared" si="15"/>
        <v>#N/A</v>
      </c>
    </row>
    <row r="57" spans="3:43">
      <c r="O57">
        <v>53</v>
      </c>
      <c r="P57" s="401">
        <f>'Lab test'!N56</f>
        <v>350</v>
      </c>
      <c r="Q57" s="401">
        <f>'Lab test'!M56</f>
        <v>1</v>
      </c>
      <c r="R57">
        <f>IF('Lab test'!O56&gt;0,'Lab test'!O56,NA())</f>
        <v>450</v>
      </c>
      <c r="S57">
        <f>'Lab test'!Q56</f>
        <v>350</v>
      </c>
      <c r="T57" s="401">
        <f>IF('Lab test'!P56&gt;0,'Lab test'!P56,NA())</f>
        <v>6.872431934890913E-2</v>
      </c>
      <c r="U57" s="401">
        <f>'Lab test'!AZ56</f>
        <v>2004</v>
      </c>
      <c r="V57">
        <f>IF('Lab test'!AQ56&gt;0,'Lab test'!AQ56,NA())</f>
        <v>0.93514423385800027</v>
      </c>
      <c r="W57">
        <f>IF('Lab test'!AU56&gt;0,'Lab test'!AU56,NA())</f>
        <v>0.34104630662549001</v>
      </c>
      <c r="X57">
        <f>IF('Lab test'!AT56&gt;0,'Lab test'!AT56,NA())</f>
        <v>0.29824320059852344</v>
      </c>
      <c r="Y57">
        <f t="shared" si="1"/>
        <v>1</v>
      </c>
      <c r="Z57" t="str">
        <f>'Lab test'!AC56</f>
        <v>LTWb</v>
      </c>
      <c r="AA57" t="str">
        <f>'Lab test'!T56</f>
        <v>Steel</v>
      </c>
      <c r="AC57" t="e">
        <f t="shared" si="2"/>
        <v>#N/A</v>
      </c>
      <c r="AD57">
        <f t="shared" si="3"/>
        <v>0.34104630662549001</v>
      </c>
      <c r="AE57" t="e">
        <f t="shared" si="4"/>
        <v>#N/A</v>
      </c>
      <c r="AF57" t="e">
        <f t="shared" si="5"/>
        <v>#N/A</v>
      </c>
      <c r="AG57" t="e">
        <f t="shared" si="6"/>
        <v>#N/A</v>
      </c>
      <c r="AH57" t="e">
        <f t="shared" si="7"/>
        <v>#N/A</v>
      </c>
      <c r="AI57" t="e">
        <f t="shared" si="8"/>
        <v>#N/A</v>
      </c>
      <c r="AK57" t="e">
        <f t="shared" si="9"/>
        <v>#N/A</v>
      </c>
      <c r="AL57">
        <f t="shared" si="10"/>
        <v>0.29824320059852344</v>
      </c>
      <c r="AM57" t="e">
        <f t="shared" si="11"/>
        <v>#N/A</v>
      </c>
      <c r="AN57" t="e">
        <f t="shared" si="12"/>
        <v>#N/A</v>
      </c>
      <c r="AO57" t="e">
        <f t="shared" si="13"/>
        <v>#N/A</v>
      </c>
      <c r="AP57" t="e">
        <f t="shared" si="14"/>
        <v>#N/A</v>
      </c>
      <c r="AQ57" t="e">
        <f t="shared" si="15"/>
        <v>#N/A</v>
      </c>
    </row>
    <row r="58" spans="3:43">
      <c r="O58">
        <v>54</v>
      </c>
      <c r="P58" s="401">
        <f>'Lab test'!N57</f>
        <v>350</v>
      </c>
      <c r="Q58" s="401">
        <f>'Lab test'!M57</f>
        <v>1</v>
      </c>
      <c r="R58">
        <f>IF('Lab test'!O57&gt;0,'Lab test'!O57,NA())</f>
        <v>450</v>
      </c>
      <c r="S58">
        <f>'Lab test'!Q57</f>
        <v>350</v>
      </c>
      <c r="T58" s="401">
        <f>IF('Lab test'!P57&gt;0,'Lab test'!P57,NA())</f>
        <v>6.872431934890913E-2</v>
      </c>
      <c r="U58" s="401">
        <f>'Lab test'!AZ57</f>
        <v>2004</v>
      </c>
      <c r="V58">
        <f>IF('Lab test'!AQ57&gt;0,'Lab test'!AQ57,NA())</f>
        <v>0.93514423385800027</v>
      </c>
      <c r="W58">
        <f>IF('Lab test'!AU57&gt;0,'Lab test'!AU57,NA())</f>
        <v>0.32197705077116157</v>
      </c>
      <c r="X58">
        <f>IF('Lab test'!AT57&gt;0,'Lab test'!AT57,NA())</f>
        <v>0.2815672366940899</v>
      </c>
      <c r="Y58">
        <f t="shared" si="1"/>
        <v>1</v>
      </c>
      <c r="Z58" t="str">
        <f>'Lab test'!AC57</f>
        <v>LTWb</v>
      </c>
      <c r="AA58" t="str">
        <f>'Lab test'!T57</f>
        <v>Steel</v>
      </c>
      <c r="AC58" t="e">
        <f t="shared" si="2"/>
        <v>#N/A</v>
      </c>
      <c r="AD58">
        <f t="shared" si="3"/>
        <v>0.32197705077116157</v>
      </c>
      <c r="AE58" t="e">
        <f t="shared" si="4"/>
        <v>#N/A</v>
      </c>
      <c r="AF58" t="e">
        <f t="shared" si="5"/>
        <v>#N/A</v>
      </c>
      <c r="AG58" t="e">
        <f t="shared" si="6"/>
        <v>#N/A</v>
      </c>
      <c r="AH58" t="e">
        <f t="shared" si="7"/>
        <v>#N/A</v>
      </c>
      <c r="AI58" t="e">
        <f t="shared" si="8"/>
        <v>#N/A</v>
      </c>
      <c r="AK58" t="e">
        <f t="shared" si="9"/>
        <v>#N/A</v>
      </c>
      <c r="AL58">
        <f t="shared" si="10"/>
        <v>0.2815672366940899</v>
      </c>
      <c r="AM58" t="e">
        <f t="shared" si="11"/>
        <v>#N/A</v>
      </c>
      <c r="AN58" t="e">
        <f t="shared" si="12"/>
        <v>#N/A</v>
      </c>
      <c r="AO58" t="e">
        <f t="shared" si="13"/>
        <v>#N/A</v>
      </c>
      <c r="AP58" t="e">
        <f t="shared" si="14"/>
        <v>#N/A</v>
      </c>
      <c r="AQ58" t="e">
        <f t="shared" si="15"/>
        <v>#N/A</v>
      </c>
    </row>
    <row r="59" spans="3:43">
      <c r="O59">
        <v>55</v>
      </c>
      <c r="P59" s="401">
        <f>'Lab test'!N58</f>
        <v>350</v>
      </c>
      <c r="Q59" s="401">
        <f>'Lab test'!M58</f>
        <v>1</v>
      </c>
      <c r="R59">
        <f>IF('Lab test'!O58&gt;0,'Lab test'!O58,NA())</f>
        <v>450</v>
      </c>
      <c r="S59">
        <f>'Lab test'!Q58</f>
        <v>350</v>
      </c>
      <c r="T59" s="401">
        <f>IF('Lab test'!P58&gt;0,'Lab test'!P58,NA())</f>
        <v>6.872431934890913E-2</v>
      </c>
      <c r="U59" s="401">
        <f>'Lab test'!AZ58</f>
        <v>2004</v>
      </c>
      <c r="V59">
        <f>IF('Lab test'!AQ58&gt;0,'Lab test'!AQ58,NA())</f>
        <v>0.93514423385800027</v>
      </c>
      <c r="W59">
        <f>IF('Lab test'!AU58&gt;0,'Lab test'!AU58,NA())</f>
        <v>0.36246254781573584</v>
      </c>
      <c r="X59">
        <f>IF('Lab test'!AT58&gt;0,'Lab test'!AT58,NA())</f>
        <v>0.31697159082965648</v>
      </c>
      <c r="Y59">
        <f t="shared" si="1"/>
        <v>1</v>
      </c>
      <c r="Z59" t="str">
        <f>'Lab test'!AC58</f>
        <v>LTWb</v>
      </c>
      <c r="AA59" t="str">
        <f>'Lab test'!T58</f>
        <v>Steel</v>
      </c>
      <c r="AC59" t="e">
        <f t="shared" si="2"/>
        <v>#N/A</v>
      </c>
      <c r="AD59">
        <f t="shared" si="3"/>
        <v>0.36246254781573584</v>
      </c>
      <c r="AE59" t="e">
        <f t="shared" si="4"/>
        <v>#N/A</v>
      </c>
      <c r="AF59" t="e">
        <f t="shared" si="5"/>
        <v>#N/A</v>
      </c>
      <c r="AG59" t="e">
        <f t="shared" si="6"/>
        <v>#N/A</v>
      </c>
      <c r="AH59" t="e">
        <f t="shared" si="7"/>
        <v>#N/A</v>
      </c>
      <c r="AI59" t="e">
        <f t="shared" si="8"/>
        <v>#N/A</v>
      </c>
      <c r="AK59" t="e">
        <f t="shared" si="9"/>
        <v>#N/A</v>
      </c>
      <c r="AL59">
        <f t="shared" si="10"/>
        <v>0.31697159082965648</v>
      </c>
      <c r="AM59" t="e">
        <f t="shared" si="11"/>
        <v>#N/A</v>
      </c>
      <c r="AN59" t="e">
        <f t="shared" si="12"/>
        <v>#N/A</v>
      </c>
      <c r="AO59" t="e">
        <f t="shared" si="13"/>
        <v>#N/A</v>
      </c>
      <c r="AP59" t="e">
        <f t="shared" si="14"/>
        <v>#N/A</v>
      </c>
      <c r="AQ59" t="e">
        <f t="shared" si="15"/>
        <v>#N/A</v>
      </c>
    </row>
    <row r="60" spans="3:43">
      <c r="O60">
        <v>56</v>
      </c>
      <c r="P60" s="401">
        <f>'Lab test'!N59</f>
        <v>350</v>
      </c>
      <c r="Q60" s="401">
        <f>'Lab test'!M59</f>
        <v>1.25</v>
      </c>
      <c r="R60">
        <f>IF('Lab test'!O59&gt;0,'Lab test'!O59,NA())</f>
        <v>450</v>
      </c>
      <c r="S60">
        <f>'Lab test'!Q59</f>
        <v>280</v>
      </c>
      <c r="T60" s="401">
        <f>IF('Lab test'!P59&gt;0,'Lab test'!P59,NA())</f>
        <v>7.6836124885782453E-2</v>
      </c>
      <c r="U60" s="401">
        <f>'Lab test'!AZ59</f>
        <v>2004</v>
      </c>
      <c r="V60">
        <f>IF('Lab test'!AQ59&gt;0,'Lab test'!AQ59,NA())</f>
        <v>0.83641843026937968</v>
      </c>
      <c r="W60">
        <f>IF('Lab test'!AU59&gt;0,'Lab test'!AU59,NA())</f>
        <v>0.375635003013572</v>
      </c>
      <c r="X60">
        <f>IF('Lab test'!AT59&gt;0,'Lab test'!AT59,NA())</f>
        <v>0.2627926668706061</v>
      </c>
      <c r="Y60">
        <f t="shared" si="1"/>
        <v>1</v>
      </c>
      <c r="Z60" t="str">
        <f>'Lab test'!AC59</f>
        <v>LTWb</v>
      </c>
      <c r="AA60" t="str">
        <f>'Lab test'!T59</f>
        <v>Steel</v>
      </c>
      <c r="AC60" t="e">
        <f t="shared" si="2"/>
        <v>#N/A</v>
      </c>
      <c r="AD60">
        <f t="shared" si="3"/>
        <v>0.375635003013572</v>
      </c>
      <c r="AE60" t="e">
        <f t="shared" si="4"/>
        <v>#N/A</v>
      </c>
      <c r="AF60" t="e">
        <f t="shared" si="5"/>
        <v>#N/A</v>
      </c>
      <c r="AG60" t="e">
        <f t="shared" si="6"/>
        <v>#N/A</v>
      </c>
      <c r="AH60" t="e">
        <f t="shared" si="7"/>
        <v>#N/A</v>
      </c>
      <c r="AI60" t="e">
        <f t="shared" si="8"/>
        <v>#N/A</v>
      </c>
      <c r="AK60" t="e">
        <f t="shared" si="9"/>
        <v>#N/A</v>
      </c>
      <c r="AL60">
        <f t="shared" si="10"/>
        <v>0.2627926668706061</v>
      </c>
      <c r="AM60" t="e">
        <f t="shared" si="11"/>
        <v>#N/A</v>
      </c>
      <c r="AN60" t="e">
        <f t="shared" si="12"/>
        <v>#N/A</v>
      </c>
      <c r="AO60" t="e">
        <f t="shared" si="13"/>
        <v>#N/A</v>
      </c>
      <c r="AP60" t="e">
        <f t="shared" si="14"/>
        <v>#N/A</v>
      </c>
      <c r="AQ60" t="e">
        <f t="shared" si="15"/>
        <v>#N/A</v>
      </c>
    </row>
    <row r="61" spans="3:43">
      <c r="O61">
        <v>57</v>
      </c>
      <c r="P61" s="401">
        <f>'Lab test'!N60</f>
        <v>350</v>
      </c>
      <c r="Q61" s="401">
        <f>'Lab test'!M60</f>
        <v>1.25</v>
      </c>
      <c r="R61">
        <f>IF('Lab test'!O60&gt;0,'Lab test'!O60,NA())</f>
        <v>450</v>
      </c>
      <c r="S61">
        <f>'Lab test'!Q60</f>
        <v>280</v>
      </c>
      <c r="T61" s="401">
        <f>IF('Lab test'!P60&gt;0,'Lab test'!P60,NA())</f>
        <v>7.6836124885782453E-2</v>
      </c>
      <c r="U61" s="401">
        <f>'Lab test'!AZ60</f>
        <v>2004</v>
      </c>
      <c r="V61">
        <f>IF('Lab test'!AQ60&gt;0,'Lab test'!AQ60,NA())</f>
        <v>0.83641843026937968</v>
      </c>
      <c r="W61">
        <f>IF('Lab test'!AU60&gt;0,'Lab test'!AU60,NA())</f>
        <v>0.37669114641473478</v>
      </c>
      <c r="X61">
        <f>IF('Lab test'!AT60&gt;0,'Lab test'!AT60,NA())</f>
        <v>0.26353154034821785</v>
      </c>
      <c r="Y61">
        <f t="shared" si="1"/>
        <v>1</v>
      </c>
      <c r="Z61" t="str">
        <f>'Lab test'!AC60</f>
        <v>LTWb</v>
      </c>
      <c r="AA61" t="str">
        <f>'Lab test'!T60</f>
        <v>Steel</v>
      </c>
      <c r="AC61" t="e">
        <f t="shared" si="2"/>
        <v>#N/A</v>
      </c>
      <c r="AD61">
        <f t="shared" si="3"/>
        <v>0.37669114641473478</v>
      </c>
      <c r="AE61" t="e">
        <f t="shared" si="4"/>
        <v>#N/A</v>
      </c>
      <c r="AF61" t="e">
        <f t="shared" si="5"/>
        <v>#N/A</v>
      </c>
      <c r="AG61" t="e">
        <f t="shared" si="6"/>
        <v>#N/A</v>
      </c>
      <c r="AH61" t="e">
        <f t="shared" si="7"/>
        <v>#N/A</v>
      </c>
      <c r="AI61" t="e">
        <f t="shared" si="8"/>
        <v>#N/A</v>
      </c>
      <c r="AK61" t="e">
        <f t="shared" si="9"/>
        <v>#N/A</v>
      </c>
      <c r="AL61">
        <f t="shared" si="10"/>
        <v>0.26353154034821785</v>
      </c>
      <c r="AM61" t="e">
        <f t="shared" si="11"/>
        <v>#N/A</v>
      </c>
      <c r="AN61" t="e">
        <f t="shared" si="12"/>
        <v>#N/A</v>
      </c>
      <c r="AO61" t="e">
        <f t="shared" si="13"/>
        <v>#N/A</v>
      </c>
      <c r="AP61" t="e">
        <f t="shared" si="14"/>
        <v>#N/A</v>
      </c>
      <c r="AQ61" t="e">
        <f t="shared" si="15"/>
        <v>#N/A</v>
      </c>
    </row>
    <row r="62" spans="3:43">
      <c r="O62">
        <v>58</v>
      </c>
      <c r="P62" s="401">
        <f>'Lab test'!N61</f>
        <v>350</v>
      </c>
      <c r="Q62" s="401">
        <f>'Lab test'!M61</f>
        <v>1.25</v>
      </c>
      <c r="R62">
        <f>IF('Lab test'!O61&gt;0,'Lab test'!O61,NA())</f>
        <v>450</v>
      </c>
      <c r="S62">
        <f>'Lab test'!Q61</f>
        <v>280</v>
      </c>
      <c r="T62" s="401">
        <f>IF('Lab test'!P61&gt;0,'Lab test'!P61,NA())</f>
        <v>7.6836124885782453E-2</v>
      </c>
      <c r="U62" s="401">
        <f>'Lab test'!AZ61</f>
        <v>2004</v>
      </c>
      <c r="V62">
        <f>IF('Lab test'!AQ61&gt;0,'Lab test'!AQ61,NA())</f>
        <v>0.83641843026937968</v>
      </c>
      <c r="W62">
        <f>IF('Lab test'!AU61&gt;0,'Lab test'!AU61,NA())</f>
        <v>0.36354802853359763</v>
      </c>
      <c r="X62">
        <f>IF('Lab test'!AT61&gt;0,'Lab test'!AT61,NA())</f>
        <v>0.25433667040460406</v>
      </c>
      <c r="Y62">
        <f t="shared" si="1"/>
        <v>1</v>
      </c>
      <c r="Z62" t="str">
        <f>'Lab test'!AC61</f>
        <v>LTWb</v>
      </c>
      <c r="AA62" t="str">
        <f>'Lab test'!T61</f>
        <v>Steel</v>
      </c>
      <c r="AC62" t="e">
        <f t="shared" si="2"/>
        <v>#N/A</v>
      </c>
      <c r="AD62">
        <f t="shared" si="3"/>
        <v>0.36354802853359763</v>
      </c>
      <c r="AE62" t="e">
        <f t="shared" si="4"/>
        <v>#N/A</v>
      </c>
      <c r="AF62" t="e">
        <f t="shared" si="5"/>
        <v>#N/A</v>
      </c>
      <c r="AG62" t="e">
        <f t="shared" si="6"/>
        <v>#N/A</v>
      </c>
      <c r="AH62" t="e">
        <f t="shared" si="7"/>
        <v>#N/A</v>
      </c>
      <c r="AI62" t="e">
        <f t="shared" si="8"/>
        <v>#N/A</v>
      </c>
      <c r="AK62" t="e">
        <f t="shared" si="9"/>
        <v>#N/A</v>
      </c>
      <c r="AL62">
        <f t="shared" si="10"/>
        <v>0.25433667040460406</v>
      </c>
      <c r="AM62" t="e">
        <f t="shared" si="11"/>
        <v>#N/A</v>
      </c>
      <c r="AN62" t="e">
        <f t="shared" si="12"/>
        <v>#N/A</v>
      </c>
      <c r="AO62" t="e">
        <f t="shared" si="13"/>
        <v>#N/A</v>
      </c>
      <c r="AP62" t="e">
        <f t="shared" si="14"/>
        <v>#N/A</v>
      </c>
      <c r="AQ62" t="e">
        <f t="shared" si="15"/>
        <v>#N/A</v>
      </c>
    </row>
    <row r="63" spans="3:43">
      <c r="O63">
        <v>59</v>
      </c>
      <c r="P63" s="401">
        <f>'Lab test'!N62</f>
        <v>350</v>
      </c>
      <c r="Q63" s="401">
        <f>'Lab test'!M62</f>
        <v>1.25</v>
      </c>
      <c r="R63">
        <f>IF('Lab test'!O62&gt;0,'Lab test'!O62,NA())</f>
        <v>450</v>
      </c>
      <c r="S63">
        <f>'Lab test'!Q62</f>
        <v>280</v>
      </c>
      <c r="T63" s="401">
        <f>IF('Lab test'!P62&gt;0,'Lab test'!P62,NA())</f>
        <v>7.6836124885782453E-2</v>
      </c>
      <c r="U63" s="401">
        <f>'Lab test'!AZ62</f>
        <v>2004</v>
      </c>
      <c r="V63">
        <f>IF('Lab test'!AQ62&gt;0,'Lab test'!AQ62,NA())</f>
        <v>0.83641843026937968</v>
      </c>
      <c r="W63">
        <f>IF('Lab test'!AU62&gt;0,'Lab test'!AU62,NA())</f>
        <v>0.33644034790375221</v>
      </c>
      <c r="X63">
        <f>IF('Lab test'!AT62&gt;0,'Lab test'!AT62,NA())</f>
        <v>0.23537225114590049</v>
      </c>
      <c r="Y63">
        <f t="shared" si="1"/>
        <v>1</v>
      </c>
      <c r="Z63" t="str">
        <f>'Lab test'!AC62</f>
        <v>LTWb</v>
      </c>
      <c r="AA63" t="str">
        <f>'Lab test'!T62</f>
        <v>Steel</v>
      </c>
      <c r="AC63" t="e">
        <f t="shared" si="2"/>
        <v>#N/A</v>
      </c>
      <c r="AD63">
        <f t="shared" si="3"/>
        <v>0.33644034790375221</v>
      </c>
      <c r="AE63" t="e">
        <f t="shared" si="4"/>
        <v>#N/A</v>
      </c>
      <c r="AF63" t="e">
        <f t="shared" si="5"/>
        <v>#N/A</v>
      </c>
      <c r="AG63" t="e">
        <f t="shared" si="6"/>
        <v>#N/A</v>
      </c>
      <c r="AH63" t="e">
        <f t="shared" si="7"/>
        <v>#N/A</v>
      </c>
      <c r="AI63" t="e">
        <f t="shared" si="8"/>
        <v>#N/A</v>
      </c>
      <c r="AK63" t="e">
        <f t="shared" si="9"/>
        <v>#N/A</v>
      </c>
      <c r="AL63">
        <f t="shared" si="10"/>
        <v>0.23537225114590049</v>
      </c>
      <c r="AM63" t="e">
        <f t="shared" si="11"/>
        <v>#N/A</v>
      </c>
      <c r="AN63" t="e">
        <f t="shared" si="12"/>
        <v>#N/A</v>
      </c>
      <c r="AO63" t="e">
        <f t="shared" si="13"/>
        <v>#N/A</v>
      </c>
      <c r="AP63" t="e">
        <f t="shared" si="14"/>
        <v>#N/A</v>
      </c>
      <c r="AQ63" t="e">
        <f t="shared" si="15"/>
        <v>#N/A</v>
      </c>
    </row>
    <row r="64" spans="3:43">
      <c r="O64">
        <v>60</v>
      </c>
      <c r="P64" s="401">
        <f>'Lab test'!N63</f>
        <v>101.6</v>
      </c>
      <c r="Q64" s="401">
        <f>'Lab test'!M63</f>
        <v>0.11734800000000001</v>
      </c>
      <c r="R64">
        <f>IF('Lab test'!O63&gt;0,'Lab test'!O63,NA())</f>
        <v>254</v>
      </c>
      <c r="S64">
        <f>'Lab test'!Q63</f>
        <v>865.80086580086572</v>
      </c>
      <c r="T64" s="401">
        <f>IF('Lab test'!P63&gt;0,'Lab test'!P63,NA())</f>
        <v>8.4963227339832151E-2</v>
      </c>
      <c r="U64" s="401">
        <f>'Lab test'!AZ63</f>
        <v>1962</v>
      </c>
      <c r="V64" t="e">
        <f>IF('Lab test'!AQ63&gt;0,'Lab test'!AQ63,NA())</f>
        <v>#N/A</v>
      </c>
      <c r="W64" t="e">
        <f>IF('Lab test'!AU63&gt;0,'Lab test'!AU63,NA())</f>
        <v>#N/A</v>
      </c>
      <c r="X64">
        <f>IF('Lab test'!AT63&gt;0,'Lab test'!AT63,NA())</f>
        <v>0.76004473552548202</v>
      </c>
      <c r="Y64">
        <f t="shared" si="1"/>
        <v>1</v>
      </c>
      <c r="Z64" t="str">
        <f>'Lab test'!AC63</f>
        <v>Electroforming</v>
      </c>
      <c r="AA64" t="str">
        <f>'Lab test'!T63</f>
        <v>Copper</v>
      </c>
      <c r="AC64" t="e">
        <f t="shared" si="2"/>
        <v>#N/A</v>
      </c>
      <c r="AD64" t="e">
        <f t="shared" si="3"/>
        <v>#N/A</v>
      </c>
      <c r="AE64" t="e">
        <f t="shared" si="4"/>
        <v>#N/A</v>
      </c>
      <c r="AF64" t="e">
        <f t="shared" si="5"/>
        <v>#N/A</v>
      </c>
      <c r="AG64" t="e">
        <f t="shared" si="6"/>
        <v>#N/A</v>
      </c>
      <c r="AH64" t="e">
        <f t="shared" si="7"/>
        <v>#N/A</v>
      </c>
      <c r="AI64" t="e">
        <f t="shared" si="8"/>
        <v>#N/A</v>
      </c>
      <c r="AK64" t="e">
        <f t="shared" si="9"/>
        <v>#N/A</v>
      </c>
      <c r="AL64" t="e">
        <f t="shared" si="10"/>
        <v>#N/A</v>
      </c>
      <c r="AM64">
        <f t="shared" si="11"/>
        <v>0.76004473552548202</v>
      </c>
      <c r="AN64" t="e">
        <f t="shared" si="12"/>
        <v>#N/A</v>
      </c>
      <c r="AO64" t="e">
        <f t="shared" si="13"/>
        <v>#N/A</v>
      </c>
      <c r="AP64" t="e">
        <f t="shared" si="14"/>
        <v>#N/A</v>
      </c>
      <c r="AQ64" t="e">
        <f t="shared" si="15"/>
        <v>#N/A</v>
      </c>
    </row>
    <row r="65" spans="15:43">
      <c r="O65">
        <v>61</v>
      </c>
      <c r="P65" s="401">
        <f>'Lab test'!N64</f>
        <v>101.6</v>
      </c>
      <c r="Q65" s="401">
        <f>'Lab test'!M64</f>
        <v>0.11302999999999999</v>
      </c>
      <c r="R65">
        <f>IF('Lab test'!O64&gt;0,'Lab test'!O64,NA())</f>
        <v>254</v>
      </c>
      <c r="S65">
        <f>'Lab test'!Q64</f>
        <v>898.87640449438209</v>
      </c>
      <c r="T65" s="401">
        <f>IF('Lab test'!P64&gt;0,'Lab test'!P64,NA())</f>
        <v>8.338540040078958E-2</v>
      </c>
      <c r="U65" s="401">
        <f>'Lab test'!AZ64</f>
        <v>1962</v>
      </c>
      <c r="V65" t="e">
        <f>IF('Lab test'!AQ64&gt;0,'Lab test'!AQ64,NA())</f>
        <v>#N/A</v>
      </c>
      <c r="W65" t="e">
        <f>IF('Lab test'!AU64&gt;0,'Lab test'!AU64,NA())</f>
        <v>#N/A</v>
      </c>
      <c r="X65">
        <f>IF('Lab test'!AT64&gt;0,'Lab test'!AT64,NA())</f>
        <v>0.72369476991339388</v>
      </c>
      <c r="Y65">
        <f t="shared" si="1"/>
        <v>1</v>
      </c>
      <c r="Z65" t="str">
        <f>'Lab test'!AC64</f>
        <v>Electroforming</v>
      </c>
      <c r="AA65" t="str">
        <f>'Lab test'!T64</f>
        <v>Copper</v>
      </c>
      <c r="AC65" t="e">
        <f t="shared" si="2"/>
        <v>#N/A</v>
      </c>
      <c r="AD65" t="e">
        <f t="shared" si="3"/>
        <v>#N/A</v>
      </c>
      <c r="AE65" t="e">
        <f t="shared" si="4"/>
        <v>#N/A</v>
      </c>
      <c r="AF65" t="e">
        <f t="shared" si="5"/>
        <v>#N/A</v>
      </c>
      <c r="AG65" t="e">
        <f t="shared" si="6"/>
        <v>#N/A</v>
      </c>
      <c r="AH65" t="e">
        <f t="shared" si="7"/>
        <v>#N/A</v>
      </c>
      <c r="AI65" t="e">
        <f t="shared" si="8"/>
        <v>#N/A</v>
      </c>
      <c r="AK65" t="e">
        <f t="shared" si="9"/>
        <v>#N/A</v>
      </c>
      <c r="AL65" t="e">
        <f t="shared" si="10"/>
        <v>#N/A</v>
      </c>
      <c r="AM65">
        <f t="shared" si="11"/>
        <v>0.72369476991339388</v>
      </c>
      <c r="AN65" t="e">
        <f t="shared" si="12"/>
        <v>#N/A</v>
      </c>
      <c r="AO65" t="e">
        <f t="shared" si="13"/>
        <v>#N/A</v>
      </c>
      <c r="AP65" t="e">
        <f t="shared" si="14"/>
        <v>#N/A</v>
      </c>
      <c r="AQ65" t="e">
        <f t="shared" si="15"/>
        <v>#N/A</v>
      </c>
    </row>
    <row r="66" spans="15:43">
      <c r="O66">
        <v>62</v>
      </c>
      <c r="P66" s="401">
        <f>'Lab test'!N65</f>
        <v>101.6</v>
      </c>
      <c r="Q66" s="401">
        <f>'Lab test'!M65</f>
        <v>0.11430000000000003</v>
      </c>
      <c r="R66">
        <f>IF('Lab test'!O65&gt;0,'Lab test'!O65,NA())</f>
        <v>254</v>
      </c>
      <c r="S66">
        <f>'Lab test'!Q65</f>
        <v>888.88888888888869</v>
      </c>
      <c r="T66" s="401">
        <f>IF('Lab test'!P65&gt;0,'Lab test'!P65,NA())</f>
        <v>8.3852549156242115E-2</v>
      </c>
      <c r="U66" s="401">
        <f>'Lab test'!AZ65</f>
        <v>1962</v>
      </c>
      <c r="V66" t="e">
        <f>IF('Lab test'!AQ65&gt;0,'Lab test'!AQ65,NA())</f>
        <v>#N/A</v>
      </c>
      <c r="W66" t="e">
        <f>IF('Lab test'!AU65&gt;0,'Lab test'!AU65,NA())</f>
        <v>#N/A</v>
      </c>
      <c r="X66">
        <f>IF('Lab test'!AT65&gt;0,'Lab test'!AT65,NA())</f>
        <v>0.71873795642083627</v>
      </c>
      <c r="Y66">
        <f t="shared" si="1"/>
        <v>1</v>
      </c>
      <c r="Z66" t="str">
        <f>'Lab test'!AC65</f>
        <v>Electroforming</v>
      </c>
      <c r="AA66" t="str">
        <f>'Lab test'!T65</f>
        <v>Copper</v>
      </c>
      <c r="AC66" t="e">
        <f t="shared" si="2"/>
        <v>#N/A</v>
      </c>
      <c r="AD66" t="e">
        <f t="shared" si="3"/>
        <v>#N/A</v>
      </c>
      <c r="AE66" t="e">
        <f t="shared" si="4"/>
        <v>#N/A</v>
      </c>
      <c r="AF66" t="e">
        <f t="shared" si="5"/>
        <v>#N/A</v>
      </c>
      <c r="AG66" t="e">
        <f t="shared" si="6"/>
        <v>#N/A</v>
      </c>
      <c r="AH66" t="e">
        <f t="shared" si="7"/>
        <v>#N/A</v>
      </c>
      <c r="AI66" t="e">
        <f t="shared" si="8"/>
        <v>#N/A</v>
      </c>
      <c r="AK66" t="e">
        <f t="shared" si="9"/>
        <v>#N/A</v>
      </c>
      <c r="AL66" t="e">
        <f t="shared" si="10"/>
        <v>#N/A</v>
      </c>
      <c r="AM66">
        <f t="shared" si="11"/>
        <v>0.71873795642083627</v>
      </c>
      <c r="AN66" t="e">
        <f t="shared" si="12"/>
        <v>#N/A</v>
      </c>
      <c r="AO66" t="e">
        <f t="shared" si="13"/>
        <v>#N/A</v>
      </c>
      <c r="AP66" t="e">
        <f t="shared" si="14"/>
        <v>#N/A</v>
      </c>
      <c r="AQ66" t="e">
        <f t="shared" si="15"/>
        <v>#N/A</v>
      </c>
    </row>
    <row r="67" spans="15:43">
      <c r="O67">
        <v>63</v>
      </c>
      <c r="P67" s="401">
        <f>'Lab test'!N66</f>
        <v>203.2</v>
      </c>
      <c r="Q67" s="401">
        <f>'Lab test'!M66</f>
        <v>0.254</v>
      </c>
      <c r="R67">
        <f>IF('Lab test'!O66&gt;0,'Lab test'!O66,NA())</f>
        <v>406.4</v>
      </c>
      <c r="S67">
        <f>'Lab test'!Q66</f>
        <v>800</v>
      </c>
      <c r="T67" s="401">
        <f>IF('Lab test'!P66&gt;0,'Lab test'!P66,NA())</f>
        <v>7.0710678118654752E-2</v>
      </c>
      <c r="U67" s="401">
        <f>'Lab test'!AZ66</f>
        <v>1960</v>
      </c>
      <c r="V67">
        <f>IF('Lab test'!AQ66&gt;0,'Lab test'!AQ66,NA())</f>
        <v>1.3043572584079364</v>
      </c>
      <c r="W67">
        <f>IF('Lab test'!AU66&gt;0,'Lab test'!AU66,NA())</f>
        <v>0.30105781050075592</v>
      </c>
      <c r="X67">
        <f>IF('Lab test'!AT66&gt;0,'Lab test'!AT66,NA())</f>
        <v>0.51220406089760762</v>
      </c>
      <c r="Y67">
        <f t="shared" si="1"/>
        <v>1</v>
      </c>
      <c r="Z67" t="str">
        <f>'Lab test'!AC66</f>
        <v>LTWb</v>
      </c>
      <c r="AA67" t="str">
        <f>'Lab test'!T66</f>
        <v>Steel</v>
      </c>
      <c r="AC67" t="e">
        <f t="shared" si="2"/>
        <v>#N/A</v>
      </c>
      <c r="AD67">
        <f t="shared" si="3"/>
        <v>0.30105781050075592</v>
      </c>
      <c r="AE67" t="e">
        <f t="shared" si="4"/>
        <v>#N/A</v>
      </c>
      <c r="AF67" t="e">
        <f t="shared" si="5"/>
        <v>#N/A</v>
      </c>
      <c r="AG67" t="e">
        <f t="shared" si="6"/>
        <v>#N/A</v>
      </c>
      <c r="AH67" t="e">
        <f t="shared" si="7"/>
        <v>#N/A</v>
      </c>
      <c r="AI67" t="e">
        <f t="shared" si="8"/>
        <v>#N/A</v>
      </c>
      <c r="AK67" t="e">
        <f t="shared" si="9"/>
        <v>#N/A</v>
      </c>
      <c r="AL67">
        <f t="shared" si="10"/>
        <v>0.51220406089760762</v>
      </c>
      <c r="AM67" t="e">
        <f t="shared" si="11"/>
        <v>#N/A</v>
      </c>
      <c r="AN67" t="e">
        <f t="shared" si="12"/>
        <v>#N/A</v>
      </c>
      <c r="AO67" t="e">
        <f t="shared" si="13"/>
        <v>#N/A</v>
      </c>
      <c r="AP67" t="e">
        <f t="shared" si="14"/>
        <v>#N/A</v>
      </c>
      <c r="AQ67" t="e">
        <f t="shared" si="15"/>
        <v>#N/A</v>
      </c>
    </row>
    <row r="68" spans="15:43">
      <c r="O68">
        <v>64</v>
      </c>
      <c r="P68" s="401">
        <f>'Lab test'!N67</f>
        <v>203.2</v>
      </c>
      <c r="Q68" s="401">
        <f>'Lab test'!M67</f>
        <v>0.254</v>
      </c>
      <c r="R68">
        <f>IF('Lab test'!O67&gt;0,'Lab test'!O67,NA())</f>
        <v>406.4</v>
      </c>
      <c r="S68">
        <f>'Lab test'!Q67</f>
        <v>800</v>
      </c>
      <c r="T68" s="401">
        <f>IF('Lab test'!P67&gt;0,'Lab test'!P67,NA())</f>
        <v>7.0710678118654752E-2</v>
      </c>
      <c r="U68" s="401">
        <f>'Lab test'!AZ67</f>
        <v>1960</v>
      </c>
      <c r="V68">
        <f>IF('Lab test'!AQ67&gt;0,'Lab test'!AQ67,NA())</f>
        <v>1.3043572584079364</v>
      </c>
      <c r="W68">
        <f>IF('Lab test'!AU67&gt;0,'Lab test'!AU67,NA())</f>
        <v>0.25929817872161881</v>
      </c>
      <c r="X68">
        <f>IF('Lab test'!AT67&gt;0,'Lab test'!AT67,NA())</f>
        <v>0.44115640083761687</v>
      </c>
      <c r="Y68">
        <f t="shared" si="1"/>
        <v>1</v>
      </c>
      <c r="Z68" t="str">
        <f>'Lab test'!AC67</f>
        <v>LTWb</v>
      </c>
      <c r="AA68" t="str">
        <f>'Lab test'!T67</f>
        <v>Steel</v>
      </c>
      <c r="AC68" t="e">
        <f t="shared" si="2"/>
        <v>#N/A</v>
      </c>
      <c r="AD68">
        <f t="shared" si="3"/>
        <v>0.25929817872161881</v>
      </c>
      <c r="AE68" t="e">
        <f t="shared" si="4"/>
        <v>#N/A</v>
      </c>
      <c r="AF68" t="e">
        <f t="shared" si="5"/>
        <v>#N/A</v>
      </c>
      <c r="AG68" t="e">
        <f t="shared" si="6"/>
        <v>#N/A</v>
      </c>
      <c r="AH68" t="e">
        <f t="shared" si="7"/>
        <v>#N/A</v>
      </c>
      <c r="AI68" t="e">
        <f t="shared" si="8"/>
        <v>#N/A</v>
      </c>
      <c r="AK68" t="e">
        <f t="shared" si="9"/>
        <v>#N/A</v>
      </c>
      <c r="AL68">
        <f t="shared" si="10"/>
        <v>0.44115640083761687</v>
      </c>
      <c r="AM68" t="e">
        <f t="shared" si="11"/>
        <v>#N/A</v>
      </c>
      <c r="AN68" t="e">
        <f t="shared" si="12"/>
        <v>#N/A</v>
      </c>
      <c r="AO68" t="e">
        <f t="shared" si="13"/>
        <v>#N/A</v>
      </c>
      <c r="AP68" t="e">
        <f t="shared" si="14"/>
        <v>#N/A</v>
      </c>
      <c r="AQ68" t="e">
        <f t="shared" si="15"/>
        <v>#N/A</v>
      </c>
    </row>
    <row r="69" spans="15:43">
      <c r="O69">
        <v>65</v>
      </c>
      <c r="P69" s="401">
        <f>'Lab test'!N68</f>
        <v>203.2</v>
      </c>
      <c r="Q69" s="401">
        <f>'Lab test'!M68</f>
        <v>0.254</v>
      </c>
      <c r="R69">
        <f>IF('Lab test'!O68&gt;0,'Lab test'!O68,NA())</f>
        <v>203.2</v>
      </c>
      <c r="S69">
        <f>'Lab test'!Q68</f>
        <v>800</v>
      </c>
      <c r="T69" s="401">
        <f>IF('Lab test'!P68&gt;0,'Lab test'!P68,NA())</f>
        <v>3.5355339059327376E-2</v>
      </c>
      <c r="U69" s="401">
        <f>'Lab test'!AZ68</f>
        <v>1960</v>
      </c>
      <c r="V69">
        <f>IF('Lab test'!AQ68&gt;0,'Lab test'!AQ68,NA())</f>
        <v>1.3043572584079364</v>
      </c>
      <c r="W69">
        <f>IF('Lab test'!AU68&gt;0,'Lab test'!AU68,NA())</f>
        <v>0.32533666618630075</v>
      </c>
      <c r="X69">
        <f>IF('Lab test'!AT68&gt;0,'Lab test'!AT68,NA())</f>
        <v>0.55351084000225337</v>
      </c>
      <c r="Y69">
        <f t="shared" si="1"/>
        <v>1</v>
      </c>
      <c r="Z69" t="str">
        <f>'Lab test'!AC68</f>
        <v>LTWb</v>
      </c>
      <c r="AA69" t="str">
        <f>'Lab test'!T68</f>
        <v>Steel</v>
      </c>
      <c r="AC69" t="e">
        <f t="shared" si="2"/>
        <v>#N/A</v>
      </c>
      <c r="AD69">
        <f t="shared" si="3"/>
        <v>0.32533666618630075</v>
      </c>
      <c r="AE69" t="e">
        <f t="shared" si="4"/>
        <v>#N/A</v>
      </c>
      <c r="AF69" t="e">
        <f t="shared" si="5"/>
        <v>#N/A</v>
      </c>
      <c r="AG69" t="e">
        <f t="shared" si="6"/>
        <v>#N/A</v>
      </c>
      <c r="AH69" t="e">
        <f t="shared" si="7"/>
        <v>#N/A</v>
      </c>
      <c r="AI69" t="e">
        <f t="shared" si="8"/>
        <v>#N/A</v>
      </c>
      <c r="AK69" t="e">
        <f t="shared" si="9"/>
        <v>#N/A</v>
      </c>
      <c r="AL69">
        <f t="shared" si="10"/>
        <v>0.55351084000225337</v>
      </c>
      <c r="AM69" t="e">
        <f t="shared" si="11"/>
        <v>#N/A</v>
      </c>
      <c r="AN69" t="e">
        <f t="shared" si="12"/>
        <v>#N/A</v>
      </c>
      <c r="AO69" t="e">
        <f t="shared" si="13"/>
        <v>#N/A</v>
      </c>
      <c r="AP69" t="e">
        <f t="shared" si="14"/>
        <v>#N/A</v>
      </c>
      <c r="AQ69" t="e">
        <f t="shared" si="15"/>
        <v>#N/A</v>
      </c>
    </row>
    <row r="70" spans="15:43">
      <c r="O70">
        <v>66</v>
      </c>
      <c r="P70" s="401">
        <f>'Lab test'!N69</f>
        <v>203.2</v>
      </c>
      <c r="Q70" s="401">
        <f>'Lab test'!M69</f>
        <v>0.254</v>
      </c>
      <c r="R70">
        <f>IF('Lab test'!O69&gt;0,'Lab test'!O69,NA())</f>
        <v>203.2</v>
      </c>
      <c r="S70">
        <f>'Lab test'!Q69</f>
        <v>800</v>
      </c>
      <c r="T70" s="401">
        <f>IF('Lab test'!P69&gt;0,'Lab test'!P69,NA())</f>
        <v>3.5355339059327376E-2</v>
      </c>
      <c r="U70" s="401">
        <f>'Lab test'!AZ69</f>
        <v>1960</v>
      </c>
      <c r="V70">
        <f>IF('Lab test'!AQ69&gt;0,'Lab test'!AQ69,NA())</f>
        <v>1.3043572584079364</v>
      </c>
      <c r="W70">
        <f>IF('Lab test'!AU69&gt;0,'Lab test'!AU69,NA())</f>
        <v>0.25832702449419703</v>
      </c>
      <c r="X70">
        <f>IF('Lab test'!AT69&gt;0,'Lab test'!AT69,NA())</f>
        <v>0.43950412967343105</v>
      </c>
      <c r="Y70">
        <f t="shared" ref="Y70:Y133" si="21">IF(OR(ISNUMBER(W70),ISNUMBER(X70)),1,NA())</f>
        <v>1</v>
      </c>
      <c r="Z70" t="str">
        <f>'Lab test'!AC69</f>
        <v>LTWb</v>
      </c>
      <c r="AA70" t="str">
        <f>'Lab test'!T69</f>
        <v>Steel</v>
      </c>
      <c r="AC70" t="e">
        <f t="shared" ref="AC70:AC133" si="22">IF(EXACT($AC$4,Z70),W70,NA())</f>
        <v>#N/A</v>
      </c>
      <c r="AD70">
        <f t="shared" ref="AD70:AD133" si="23">IF(EXACT($AD$4,Z70),W70,NA())</f>
        <v>0.25832702449419703</v>
      </c>
      <c r="AE70" t="e">
        <f t="shared" ref="AE70:AE133" si="24">IF(EXACT($AE$4,Z70),W70,NA())</f>
        <v>#N/A</v>
      </c>
      <c r="AF70" t="e">
        <f t="shared" ref="AF70:AF133" si="25">IF(EXACT($AF$4,Z70),W70,NA())</f>
        <v>#N/A</v>
      </c>
      <c r="AG70" t="e">
        <f t="shared" ref="AG70:AG133" si="26">IF(EXACT($AG$4,Z70),W70,NA())</f>
        <v>#N/A</v>
      </c>
      <c r="AH70" t="e">
        <f t="shared" ref="AH70:AH133" si="27">IF(EXACT($AH$4,Z70),W70,NA())</f>
        <v>#N/A</v>
      </c>
      <c r="AI70" t="e">
        <f t="shared" ref="AI70:AI133" si="28">IF(EXACT($AI$4,Z70),W70,NA())</f>
        <v>#N/A</v>
      </c>
      <c r="AK70" t="e">
        <f t="shared" ref="AK70:AK133" si="29">IF(EXACT($AK$4,Z70),X70,NA())</f>
        <v>#N/A</v>
      </c>
      <c r="AL70">
        <f t="shared" ref="AL70:AL133" si="30">IF(EXACT($AL$4,Z70),X70,NA())</f>
        <v>0.43950412967343105</v>
      </c>
      <c r="AM70" t="e">
        <f t="shared" ref="AM70:AM133" si="31">IF(EXACT($AM$4,Z70),X70,NA())</f>
        <v>#N/A</v>
      </c>
      <c r="AN70" t="e">
        <f t="shared" ref="AN70:AN133" si="32">IF(EXACT($AN$4,Z70),X70,NA())</f>
        <v>#N/A</v>
      </c>
      <c r="AO70" t="e">
        <f t="shared" ref="AO70:AO133" si="33">IF(EXACT($AO$4,Z70),X70,NA())</f>
        <v>#N/A</v>
      </c>
      <c r="AP70" t="e">
        <f t="shared" ref="AP70:AP133" si="34">IF(EXACT($AP$4,Z70),X70,NA())</f>
        <v>#N/A</v>
      </c>
      <c r="AQ70" t="e">
        <f t="shared" ref="AQ70:AQ133" si="35">IF(EXACT($AQ$4,Z70),X70,NA())</f>
        <v>#N/A</v>
      </c>
    </row>
    <row r="71" spans="15:43">
      <c r="O71">
        <v>67</v>
      </c>
      <c r="P71" s="401">
        <f>'Lab test'!N70</f>
        <v>203.2</v>
      </c>
      <c r="Q71" s="401">
        <f>'Lab test'!M70</f>
        <v>0.50800000000000001</v>
      </c>
      <c r="R71">
        <f>IF('Lab test'!O70&gt;0,'Lab test'!O70,NA())</f>
        <v>406.4</v>
      </c>
      <c r="S71">
        <f>'Lab test'!Q70</f>
        <v>400</v>
      </c>
      <c r="T71" s="401">
        <f>IF('Lab test'!P70&gt;0,'Lab test'!P70,NA())</f>
        <v>0.1</v>
      </c>
      <c r="U71" s="401">
        <f>'Lab test'!AZ70</f>
        <v>1960</v>
      </c>
      <c r="V71">
        <f>IF('Lab test'!AQ70&gt;0,'Lab test'!AQ70,NA())</f>
        <v>1.2959690218293991</v>
      </c>
      <c r="W71">
        <f>IF('Lab test'!AU70&gt;0,'Lab test'!AU70,NA())</f>
        <v>0.35612351643482798</v>
      </c>
      <c r="X71">
        <f>IF('Lab test'!AT70&gt;0,'Lab test'!AT70,NA())</f>
        <v>0.59812216143527075</v>
      </c>
      <c r="Y71">
        <f t="shared" si="21"/>
        <v>1</v>
      </c>
      <c r="Z71" t="str">
        <f>'Lab test'!AC70</f>
        <v>LTWb</v>
      </c>
      <c r="AA71" t="str">
        <f>'Lab test'!T70</f>
        <v>Steel</v>
      </c>
      <c r="AC71" t="e">
        <f t="shared" si="22"/>
        <v>#N/A</v>
      </c>
      <c r="AD71">
        <f t="shared" si="23"/>
        <v>0.35612351643482798</v>
      </c>
      <c r="AE71" t="e">
        <f t="shared" si="24"/>
        <v>#N/A</v>
      </c>
      <c r="AF71" t="e">
        <f t="shared" si="25"/>
        <v>#N/A</v>
      </c>
      <c r="AG71" t="e">
        <f t="shared" si="26"/>
        <v>#N/A</v>
      </c>
      <c r="AH71" t="e">
        <f t="shared" si="27"/>
        <v>#N/A</v>
      </c>
      <c r="AI71" t="e">
        <f t="shared" si="28"/>
        <v>#N/A</v>
      </c>
      <c r="AK71" t="e">
        <f t="shared" si="29"/>
        <v>#N/A</v>
      </c>
      <c r="AL71">
        <f t="shared" si="30"/>
        <v>0.59812216143527075</v>
      </c>
      <c r="AM71" t="e">
        <f t="shared" si="31"/>
        <v>#N/A</v>
      </c>
      <c r="AN71" t="e">
        <f t="shared" si="32"/>
        <v>#N/A</v>
      </c>
      <c r="AO71" t="e">
        <f t="shared" si="33"/>
        <v>#N/A</v>
      </c>
      <c r="AP71" t="e">
        <f t="shared" si="34"/>
        <v>#N/A</v>
      </c>
      <c r="AQ71" t="e">
        <f t="shared" si="35"/>
        <v>#N/A</v>
      </c>
    </row>
    <row r="72" spans="15:43">
      <c r="O72">
        <v>68</v>
      </c>
      <c r="P72" s="401">
        <f>'Lab test'!N71</f>
        <v>203.2</v>
      </c>
      <c r="Q72" s="401">
        <f>'Lab test'!M71</f>
        <v>0.50800000000000001</v>
      </c>
      <c r="R72">
        <f>IF('Lab test'!O71&gt;0,'Lab test'!O71,NA())</f>
        <v>406.4</v>
      </c>
      <c r="S72">
        <f>'Lab test'!Q71</f>
        <v>400</v>
      </c>
      <c r="T72" s="401">
        <f>IF('Lab test'!P71&gt;0,'Lab test'!P71,NA())</f>
        <v>0.1</v>
      </c>
      <c r="U72" s="401">
        <f>'Lab test'!AZ71</f>
        <v>1960</v>
      </c>
      <c r="V72">
        <f>IF('Lab test'!AQ71&gt;0,'Lab test'!AQ71,NA())</f>
        <v>1.2959690218293991</v>
      </c>
      <c r="W72">
        <f>IF('Lab test'!AU71&gt;0,'Lab test'!AU71,NA())</f>
        <v>0.29316245275574232</v>
      </c>
      <c r="X72">
        <f>IF('Lab test'!AT71&gt;0,'Lab test'!AT71,NA())</f>
        <v>0.49237680692737751</v>
      </c>
      <c r="Y72">
        <f t="shared" si="21"/>
        <v>1</v>
      </c>
      <c r="Z72" t="str">
        <f>'Lab test'!AC71</f>
        <v>LTWb</v>
      </c>
      <c r="AA72" t="str">
        <f>'Lab test'!T71</f>
        <v>Steel</v>
      </c>
      <c r="AC72" t="e">
        <f t="shared" si="22"/>
        <v>#N/A</v>
      </c>
      <c r="AD72">
        <f t="shared" si="23"/>
        <v>0.29316245275574232</v>
      </c>
      <c r="AE72" t="e">
        <f t="shared" si="24"/>
        <v>#N/A</v>
      </c>
      <c r="AF72" t="e">
        <f t="shared" si="25"/>
        <v>#N/A</v>
      </c>
      <c r="AG72" t="e">
        <f t="shared" si="26"/>
        <v>#N/A</v>
      </c>
      <c r="AH72" t="e">
        <f t="shared" si="27"/>
        <v>#N/A</v>
      </c>
      <c r="AI72" t="e">
        <f t="shared" si="28"/>
        <v>#N/A</v>
      </c>
      <c r="AK72" t="e">
        <f t="shared" si="29"/>
        <v>#N/A</v>
      </c>
      <c r="AL72">
        <f t="shared" si="30"/>
        <v>0.49237680692737751</v>
      </c>
      <c r="AM72" t="e">
        <f t="shared" si="31"/>
        <v>#N/A</v>
      </c>
      <c r="AN72" t="e">
        <f t="shared" si="32"/>
        <v>#N/A</v>
      </c>
      <c r="AO72" t="e">
        <f t="shared" si="33"/>
        <v>#N/A</v>
      </c>
      <c r="AP72" t="e">
        <f t="shared" si="34"/>
        <v>#N/A</v>
      </c>
      <c r="AQ72" t="e">
        <f t="shared" si="35"/>
        <v>#N/A</v>
      </c>
    </row>
    <row r="73" spans="15:43">
      <c r="O73">
        <v>69</v>
      </c>
      <c r="P73" s="401">
        <f>'Lab test'!N72</f>
        <v>203.2</v>
      </c>
      <c r="Q73" s="401">
        <f>'Lab test'!M72</f>
        <v>0.50800000000000001</v>
      </c>
      <c r="R73">
        <f>IF('Lab test'!O72&gt;0,'Lab test'!O72,NA())</f>
        <v>203.2</v>
      </c>
      <c r="S73">
        <f>'Lab test'!Q72</f>
        <v>400</v>
      </c>
      <c r="T73" s="401">
        <f>IF('Lab test'!P72&gt;0,'Lab test'!P72,NA())</f>
        <v>0.05</v>
      </c>
      <c r="U73" s="401">
        <f>'Lab test'!AZ72</f>
        <v>1960</v>
      </c>
      <c r="V73">
        <f>IF('Lab test'!AQ72&gt;0,'Lab test'!AQ72,NA())</f>
        <v>1.2959690218293991</v>
      </c>
      <c r="W73">
        <f>IF('Lab test'!AU72&gt;0,'Lab test'!AU72,NA())</f>
        <v>0.26364945415617097</v>
      </c>
      <c r="X73">
        <f>IF('Lab test'!AT72&gt;0,'Lab test'!AT72,NA())</f>
        <v>0.44280867200180263</v>
      </c>
      <c r="Y73">
        <f t="shared" si="21"/>
        <v>1</v>
      </c>
      <c r="Z73" t="str">
        <f>'Lab test'!AC72</f>
        <v>LTWb</v>
      </c>
      <c r="AA73" t="str">
        <f>'Lab test'!T72</f>
        <v>Steel</v>
      </c>
      <c r="AC73" t="e">
        <f t="shared" si="22"/>
        <v>#N/A</v>
      </c>
      <c r="AD73">
        <f t="shared" si="23"/>
        <v>0.26364945415617097</v>
      </c>
      <c r="AE73" t="e">
        <f t="shared" si="24"/>
        <v>#N/A</v>
      </c>
      <c r="AF73" t="e">
        <f t="shared" si="25"/>
        <v>#N/A</v>
      </c>
      <c r="AG73" t="e">
        <f t="shared" si="26"/>
        <v>#N/A</v>
      </c>
      <c r="AH73" t="e">
        <f t="shared" si="27"/>
        <v>#N/A</v>
      </c>
      <c r="AI73" t="e">
        <f t="shared" si="28"/>
        <v>#N/A</v>
      </c>
      <c r="AK73" t="e">
        <f t="shared" si="29"/>
        <v>#N/A</v>
      </c>
      <c r="AL73">
        <f t="shared" si="30"/>
        <v>0.44280867200180263</v>
      </c>
      <c r="AM73" t="e">
        <f t="shared" si="31"/>
        <v>#N/A</v>
      </c>
      <c r="AN73" t="e">
        <f t="shared" si="32"/>
        <v>#N/A</v>
      </c>
      <c r="AO73" t="e">
        <f t="shared" si="33"/>
        <v>#N/A</v>
      </c>
      <c r="AP73" t="e">
        <f t="shared" si="34"/>
        <v>#N/A</v>
      </c>
      <c r="AQ73" t="e">
        <f t="shared" si="35"/>
        <v>#N/A</v>
      </c>
    </row>
    <row r="74" spans="15:43">
      <c r="O74">
        <v>70</v>
      </c>
      <c r="P74" s="401">
        <f>'Lab test'!N73</f>
        <v>203.2</v>
      </c>
      <c r="Q74" s="401">
        <f>'Lab test'!M73</f>
        <v>0.50800000000000001</v>
      </c>
      <c r="R74">
        <f>IF('Lab test'!O73&gt;0,'Lab test'!O73,NA())</f>
        <v>203.2</v>
      </c>
      <c r="S74">
        <f>'Lab test'!Q73</f>
        <v>400</v>
      </c>
      <c r="T74" s="401">
        <f>IF('Lab test'!P73&gt;0,'Lab test'!P73,NA())</f>
        <v>0.05</v>
      </c>
      <c r="U74" s="401">
        <f>'Lab test'!AZ73</f>
        <v>1960</v>
      </c>
      <c r="V74">
        <f>IF('Lab test'!AQ73&gt;0,'Lab test'!AQ73,NA())</f>
        <v>1.2959690218293991</v>
      </c>
      <c r="W74">
        <f>IF('Lab test'!AU73&gt;0,'Lab test'!AU73,NA())</f>
        <v>0.34038325051505652</v>
      </c>
      <c r="X74">
        <f>IF('Lab test'!AT73&gt;0,'Lab test'!AT73,NA())</f>
        <v>0.57168582280829738</v>
      </c>
      <c r="Y74">
        <f t="shared" si="21"/>
        <v>1</v>
      </c>
      <c r="Z74" t="str">
        <f>'Lab test'!AC73</f>
        <v>LTWb</v>
      </c>
      <c r="AA74" t="str">
        <f>'Lab test'!T73</f>
        <v>Steel</v>
      </c>
      <c r="AC74" t="e">
        <f t="shared" si="22"/>
        <v>#N/A</v>
      </c>
      <c r="AD74">
        <f t="shared" si="23"/>
        <v>0.34038325051505652</v>
      </c>
      <c r="AE74" t="e">
        <f t="shared" si="24"/>
        <v>#N/A</v>
      </c>
      <c r="AF74" t="e">
        <f t="shared" si="25"/>
        <v>#N/A</v>
      </c>
      <c r="AG74" t="e">
        <f t="shared" si="26"/>
        <v>#N/A</v>
      </c>
      <c r="AH74" t="e">
        <f t="shared" si="27"/>
        <v>#N/A</v>
      </c>
      <c r="AI74" t="e">
        <f t="shared" si="28"/>
        <v>#N/A</v>
      </c>
      <c r="AK74" t="e">
        <f t="shared" si="29"/>
        <v>#N/A</v>
      </c>
      <c r="AL74">
        <f t="shared" si="30"/>
        <v>0.57168582280829738</v>
      </c>
      <c r="AM74" t="e">
        <f t="shared" si="31"/>
        <v>#N/A</v>
      </c>
      <c r="AN74" t="e">
        <f t="shared" si="32"/>
        <v>#N/A</v>
      </c>
      <c r="AO74" t="e">
        <f t="shared" si="33"/>
        <v>#N/A</v>
      </c>
      <c r="AP74" t="e">
        <f t="shared" si="34"/>
        <v>#N/A</v>
      </c>
      <c r="AQ74" t="e">
        <f t="shared" si="35"/>
        <v>#N/A</v>
      </c>
    </row>
    <row r="75" spans="15:43">
      <c r="O75">
        <v>71</v>
      </c>
      <c r="P75" s="401">
        <f>'Lab test'!N74</f>
        <v>76.2</v>
      </c>
      <c r="Q75" s="401">
        <f>'Lab test'!M74</f>
        <v>0.20319999999999999</v>
      </c>
      <c r="R75">
        <f>IF('Lab test'!O74&gt;0,'Lab test'!O74,NA())</f>
        <v>152.4</v>
      </c>
      <c r="S75">
        <f>'Lab test'!Q74</f>
        <v>375</v>
      </c>
      <c r="T75" s="401">
        <f>IF('Lab test'!P74&gt;0,'Lab test'!P74,NA())</f>
        <v>0.10327955589886445</v>
      </c>
      <c r="U75" s="401">
        <f>'Lab test'!AZ74</f>
        <v>1960</v>
      </c>
      <c r="V75">
        <f>IF('Lab test'!AQ74&gt;0,'Lab test'!AQ74,NA())</f>
        <v>0.86360671149709767</v>
      </c>
      <c r="W75">
        <f>IF('Lab test'!AU74&gt;0,'Lab test'!AU74,NA())</f>
        <v>0.71778489718164218</v>
      </c>
      <c r="X75">
        <f>IF('Lab test'!AT74&gt;0,'Lab test'!AT74,NA())</f>
        <v>0.53533585719620902</v>
      </c>
      <c r="Y75">
        <f t="shared" si="21"/>
        <v>1</v>
      </c>
      <c r="Z75" t="str">
        <f>'Lab test'!AC74</f>
        <v>LTWb</v>
      </c>
      <c r="AA75" t="str">
        <f>'Lab test'!T74</f>
        <v>Steel</v>
      </c>
      <c r="AC75" t="e">
        <f t="shared" si="22"/>
        <v>#N/A</v>
      </c>
      <c r="AD75">
        <f t="shared" si="23"/>
        <v>0.71778489718164218</v>
      </c>
      <c r="AE75" t="e">
        <f t="shared" si="24"/>
        <v>#N/A</v>
      </c>
      <c r="AF75" t="e">
        <f t="shared" si="25"/>
        <v>#N/A</v>
      </c>
      <c r="AG75" t="e">
        <f t="shared" si="26"/>
        <v>#N/A</v>
      </c>
      <c r="AH75" t="e">
        <f t="shared" si="27"/>
        <v>#N/A</v>
      </c>
      <c r="AI75" t="e">
        <f t="shared" si="28"/>
        <v>#N/A</v>
      </c>
      <c r="AK75" t="e">
        <f t="shared" si="29"/>
        <v>#N/A</v>
      </c>
      <c r="AL75">
        <f t="shared" si="30"/>
        <v>0.53533585719620902</v>
      </c>
      <c r="AM75" t="e">
        <f t="shared" si="31"/>
        <v>#N/A</v>
      </c>
      <c r="AN75" t="e">
        <f t="shared" si="32"/>
        <v>#N/A</v>
      </c>
      <c r="AO75" t="e">
        <f t="shared" si="33"/>
        <v>#N/A</v>
      </c>
      <c r="AP75" t="e">
        <f t="shared" si="34"/>
        <v>#N/A</v>
      </c>
      <c r="AQ75" t="e">
        <f t="shared" si="35"/>
        <v>#N/A</v>
      </c>
    </row>
    <row r="76" spans="15:43">
      <c r="O76">
        <v>72</v>
      </c>
      <c r="P76" s="401">
        <f>'Lab test'!N75</f>
        <v>76.2</v>
      </c>
      <c r="Q76" s="401">
        <f>'Lab test'!M75</f>
        <v>0.254</v>
      </c>
      <c r="R76">
        <f>IF('Lab test'!O75&gt;0,'Lab test'!O75,NA())</f>
        <v>152.4</v>
      </c>
      <c r="S76">
        <f>'Lab test'!Q75</f>
        <v>300</v>
      </c>
      <c r="T76" s="401">
        <f>IF('Lab test'!P75&gt;0,'Lab test'!P75,NA())</f>
        <v>0.11547005383792515</v>
      </c>
      <c r="U76" s="401">
        <f>'Lab test'!AZ75</f>
        <v>1960</v>
      </c>
      <c r="V76">
        <f>IF('Lab test'!AQ75&gt;0,'Lab test'!AQ75,NA())</f>
        <v>0.74964264803580472</v>
      </c>
      <c r="W76">
        <f>IF('Lab test'!AU75&gt;0,'Lab test'!AU75,NA())</f>
        <v>0.80266698178777074</v>
      </c>
      <c r="X76">
        <f>IF('Lab test'!AT75&gt;0,'Lab test'!AT75,NA())</f>
        <v>0.45107002782273187</v>
      </c>
      <c r="Y76">
        <f t="shared" si="21"/>
        <v>1</v>
      </c>
      <c r="Z76" t="str">
        <f>'Lab test'!AC75</f>
        <v>LTWb</v>
      </c>
      <c r="AA76" t="str">
        <f>'Lab test'!T75</f>
        <v>Steel</v>
      </c>
      <c r="AC76" t="e">
        <f t="shared" si="22"/>
        <v>#N/A</v>
      </c>
      <c r="AD76">
        <f t="shared" si="23"/>
        <v>0.80266698178777074</v>
      </c>
      <c r="AE76" t="e">
        <f t="shared" si="24"/>
        <v>#N/A</v>
      </c>
      <c r="AF76" t="e">
        <f t="shared" si="25"/>
        <v>#N/A</v>
      </c>
      <c r="AG76" t="e">
        <f t="shared" si="26"/>
        <v>#N/A</v>
      </c>
      <c r="AH76" t="e">
        <f t="shared" si="27"/>
        <v>#N/A</v>
      </c>
      <c r="AI76" t="e">
        <f t="shared" si="28"/>
        <v>#N/A</v>
      </c>
      <c r="AK76" t="e">
        <f t="shared" si="29"/>
        <v>#N/A</v>
      </c>
      <c r="AL76">
        <f t="shared" si="30"/>
        <v>0.45107002782273187</v>
      </c>
      <c r="AM76" t="e">
        <f t="shared" si="31"/>
        <v>#N/A</v>
      </c>
      <c r="AN76" t="e">
        <f t="shared" si="32"/>
        <v>#N/A</v>
      </c>
      <c r="AO76" t="e">
        <f t="shared" si="33"/>
        <v>#N/A</v>
      </c>
      <c r="AP76" t="e">
        <f t="shared" si="34"/>
        <v>#N/A</v>
      </c>
      <c r="AQ76" t="e">
        <f t="shared" si="35"/>
        <v>#N/A</v>
      </c>
    </row>
    <row r="77" spans="15:43">
      <c r="O77">
        <v>73</v>
      </c>
      <c r="P77" s="401">
        <f>'Lab test'!N76</f>
        <v>76.2</v>
      </c>
      <c r="Q77" s="401">
        <f>'Lab test'!M76</f>
        <v>0.254</v>
      </c>
      <c r="R77">
        <f>IF('Lab test'!O76&gt;0,'Lab test'!O76,NA())</f>
        <v>381</v>
      </c>
      <c r="S77">
        <f>'Lab test'!Q76</f>
        <v>300</v>
      </c>
      <c r="T77" s="401">
        <f>IF('Lab test'!P76&gt;0,'Lab test'!P76,NA())</f>
        <v>0.28867513459481287</v>
      </c>
      <c r="U77" s="401">
        <f>'Lab test'!AZ76</f>
        <v>1960</v>
      </c>
      <c r="V77">
        <f>IF('Lab test'!AQ76&gt;0,'Lab test'!AQ76,NA())</f>
        <v>0.79875243134875684</v>
      </c>
      <c r="W77">
        <f>IF('Lab test'!AU76&gt;0,'Lab test'!AU76,NA())</f>
        <v>0.72771823441473038</v>
      </c>
      <c r="X77">
        <f>IF('Lab test'!AT76&gt;0,'Lab test'!AT76,NA())</f>
        <v>0.46428819713621844</v>
      </c>
      <c r="Y77">
        <f t="shared" si="21"/>
        <v>1</v>
      </c>
      <c r="Z77" t="str">
        <f>'Lab test'!AC76</f>
        <v>LTWb</v>
      </c>
      <c r="AA77" t="str">
        <f>'Lab test'!T76</f>
        <v>Steel</v>
      </c>
      <c r="AC77" t="e">
        <f t="shared" si="22"/>
        <v>#N/A</v>
      </c>
      <c r="AD77">
        <f t="shared" si="23"/>
        <v>0.72771823441473038</v>
      </c>
      <c r="AE77" t="e">
        <f t="shared" si="24"/>
        <v>#N/A</v>
      </c>
      <c r="AF77" t="e">
        <f t="shared" si="25"/>
        <v>#N/A</v>
      </c>
      <c r="AG77" t="e">
        <f t="shared" si="26"/>
        <v>#N/A</v>
      </c>
      <c r="AH77" t="e">
        <f t="shared" si="27"/>
        <v>#N/A</v>
      </c>
      <c r="AI77" t="e">
        <f t="shared" si="28"/>
        <v>#N/A</v>
      </c>
      <c r="AK77" t="e">
        <f t="shared" si="29"/>
        <v>#N/A</v>
      </c>
      <c r="AL77">
        <f t="shared" si="30"/>
        <v>0.46428819713621844</v>
      </c>
      <c r="AM77" t="e">
        <f t="shared" si="31"/>
        <v>#N/A</v>
      </c>
      <c r="AN77" t="e">
        <f t="shared" si="32"/>
        <v>#N/A</v>
      </c>
      <c r="AO77" t="e">
        <f t="shared" si="33"/>
        <v>#N/A</v>
      </c>
      <c r="AP77" t="e">
        <f t="shared" si="34"/>
        <v>#N/A</v>
      </c>
      <c r="AQ77" t="e">
        <f t="shared" si="35"/>
        <v>#N/A</v>
      </c>
    </row>
    <row r="78" spans="15:43">
      <c r="O78">
        <v>74</v>
      </c>
      <c r="P78" s="401">
        <f>'Lab test'!N77</f>
        <v>76.2</v>
      </c>
      <c r="Q78" s="401">
        <f>'Lab test'!M77</f>
        <v>0.254</v>
      </c>
      <c r="R78">
        <f>IF('Lab test'!O77&gt;0,'Lab test'!O77,NA())</f>
        <v>76.2</v>
      </c>
      <c r="S78">
        <f>'Lab test'!Q77</f>
        <v>300</v>
      </c>
      <c r="T78" s="401">
        <f>IF('Lab test'!P77&gt;0,'Lab test'!P77,NA())</f>
        <v>5.7735026918962574E-2</v>
      </c>
      <c r="U78" s="401">
        <f>'Lab test'!AZ77</f>
        <v>1960</v>
      </c>
      <c r="V78">
        <f>IF('Lab test'!AQ77&gt;0,'Lab test'!AQ77,NA())</f>
        <v>0.79875243134875684</v>
      </c>
      <c r="W78">
        <f>IF('Lab test'!AU77&gt;0,'Lab test'!AU77,NA())</f>
        <v>0.78469261575680871</v>
      </c>
      <c r="X78">
        <f>IF('Lab test'!AT77&gt;0,'Lab test'!AT77,NA())</f>
        <v>0.50063816274830664</v>
      </c>
      <c r="Y78">
        <f t="shared" si="21"/>
        <v>1</v>
      </c>
      <c r="Z78" t="str">
        <f>'Lab test'!AC77</f>
        <v>LTWb</v>
      </c>
      <c r="AA78" t="str">
        <f>'Lab test'!T77</f>
        <v>Steel</v>
      </c>
      <c r="AC78" t="e">
        <f t="shared" si="22"/>
        <v>#N/A</v>
      </c>
      <c r="AD78">
        <f t="shared" si="23"/>
        <v>0.78469261575680871</v>
      </c>
      <c r="AE78" t="e">
        <f t="shared" si="24"/>
        <v>#N/A</v>
      </c>
      <c r="AF78" t="e">
        <f t="shared" si="25"/>
        <v>#N/A</v>
      </c>
      <c r="AG78" t="e">
        <f t="shared" si="26"/>
        <v>#N/A</v>
      </c>
      <c r="AH78" t="e">
        <f t="shared" si="27"/>
        <v>#N/A</v>
      </c>
      <c r="AI78" t="e">
        <f t="shared" si="28"/>
        <v>#N/A</v>
      </c>
      <c r="AK78" t="e">
        <f t="shared" si="29"/>
        <v>#N/A</v>
      </c>
      <c r="AL78">
        <f t="shared" si="30"/>
        <v>0.50063816274830664</v>
      </c>
      <c r="AM78" t="e">
        <f t="shared" si="31"/>
        <v>#N/A</v>
      </c>
      <c r="AN78" t="e">
        <f t="shared" si="32"/>
        <v>#N/A</v>
      </c>
      <c r="AO78" t="e">
        <f t="shared" si="33"/>
        <v>#N/A</v>
      </c>
      <c r="AP78" t="e">
        <f t="shared" si="34"/>
        <v>#N/A</v>
      </c>
      <c r="AQ78" t="e">
        <f t="shared" si="35"/>
        <v>#N/A</v>
      </c>
    </row>
    <row r="79" spans="15:43">
      <c r="O79">
        <v>75</v>
      </c>
      <c r="P79" s="401">
        <f>'Lab test'!N78</f>
        <v>75.895200000000003</v>
      </c>
      <c r="Q79" s="401">
        <f>'Lab test'!M78</f>
        <v>0.30480000000000002</v>
      </c>
      <c r="R79">
        <f>IF('Lab test'!O78&gt;0,'Lab test'!O78,NA())</f>
        <v>303.58080000000001</v>
      </c>
      <c r="S79">
        <f>'Lab test'!Q78</f>
        <v>249</v>
      </c>
      <c r="T79" s="401">
        <f>IF('Lab test'!P78&gt;0,'Lab test'!P78,NA())</f>
        <v>0.25348970020979117</v>
      </c>
      <c r="U79" s="401">
        <f>'Lab test'!AZ78</f>
        <v>1960</v>
      </c>
      <c r="V79">
        <f>IF('Lab test'!AQ78&gt;0,'Lab test'!AQ78,NA())</f>
        <v>0.70155827817383309</v>
      </c>
      <c r="W79">
        <f>IF('Lab test'!AU78&gt;0,'Lab test'!AU78,NA())</f>
        <v>0.83589776406469851</v>
      </c>
      <c r="X79">
        <f>IF('Lab test'!AT78&gt;0,'Lab test'!AT78,NA())</f>
        <v>0.41141551988227176</v>
      </c>
      <c r="Y79">
        <f t="shared" si="21"/>
        <v>1</v>
      </c>
      <c r="Z79" t="str">
        <f>'Lab test'!AC78</f>
        <v>LTWb</v>
      </c>
      <c r="AA79" t="str">
        <f>'Lab test'!T78</f>
        <v>Steel</v>
      </c>
      <c r="AC79" t="e">
        <f t="shared" si="22"/>
        <v>#N/A</v>
      </c>
      <c r="AD79">
        <f t="shared" si="23"/>
        <v>0.83589776406469851</v>
      </c>
      <c r="AE79" t="e">
        <f t="shared" si="24"/>
        <v>#N/A</v>
      </c>
      <c r="AF79" t="e">
        <f t="shared" si="25"/>
        <v>#N/A</v>
      </c>
      <c r="AG79" t="e">
        <f t="shared" si="26"/>
        <v>#N/A</v>
      </c>
      <c r="AH79" t="e">
        <f t="shared" si="27"/>
        <v>#N/A</v>
      </c>
      <c r="AI79" t="e">
        <f t="shared" si="28"/>
        <v>#N/A</v>
      </c>
      <c r="AK79" t="e">
        <f t="shared" si="29"/>
        <v>#N/A</v>
      </c>
      <c r="AL79">
        <f t="shared" si="30"/>
        <v>0.41141551988227176</v>
      </c>
      <c r="AM79" t="e">
        <f t="shared" si="31"/>
        <v>#N/A</v>
      </c>
      <c r="AN79" t="e">
        <f t="shared" si="32"/>
        <v>#N/A</v>
      </c>
      <c r="AO79" t="e">
        <f t="shared" si="33"/>
        <v>#N/A</v>
      </c>
      <c r="AP79" t="e">
        <f t="shared" si="34"/>
        <v>#N/A</v>
      </c>
      <c r="AQ79" t="e">
        <f t="shared" si="35"/>
        <v>#N/A</v>
      </c>
    </row>
    <row r="80" spans="15:43">
      <c r="O80">
        <v>76</v>
      </c>
      <c r="P80" s="401">
        <f>'Lab test'!N79</f>
        <v>75.895200000000003</v>
      </c>
      <c r="Q80" s="401">
        <f>'Lab test'!M79</f>
        <v>0.30480000000000002</v>
      </c>
      <c r="R80">
        <f>IF('Lab test'!O79&gt;0,'Lab test'!O79,NA())</f>
        <v>151.79040000000001</v>
      </c>
      <c r="S80">
        <f>'Lab test'!Q79</f>
        <v>249</v>
      </c>
      <c r="T80" s="401">
        <f>IF('Lab test'!P79&gt;0,'Lab test'!P79,NA())</f>
        <v>0.12674485010489558</v>
      </c>
      <c r="U80" s="401">
        <f>'Lab test'!AZ79</f>
        <v>1960</v>
      </c>
      <c r="V80">
        <f>IF('Lab test'!AQ79&gt;0,'Lab test'!AQ79,NA())</f>
        <v>0.70155827817383309</v>
      </c>
      <c r="W80">
        <f>IF('Lab test'!AU79&gt;0,'Lab test'!AU79,NA())</f>
        <v>0.8627539171270181</v>
      </c>
      <c r="X80">
        <f>IF('Lab test'!AT79&gt;0,'Lab test'!AT79,NA())</f>
        <v>0.42463368919575839</v>
      </c>
      <c r="Y80">
        <f t="shared" si="21"/>
        <v>1</v>
      </c>
      <c r="Z80" t="str">
        <f>'Lab test'!AC79</f>
        <v>LTWb</v>
      </c>
      <c r="AA80" t="str">
        <f>'Lab test'!T79</f>
        <v>Steel</v>
      </c>
      <c r="AC80" t="e">
        <f t="shared" si="22"/>
        <v>#N/A</v>
      </c>
      <c r="AD80">
        <f t="shared" si="23"/>
        <v>0.8627539171270181</v>
      </c>
      <c r="AE80" t="e">
        <f t="shared" si="24"/>
        <v>#N/A</v>
      </c>
      <c r="AF80" t="e">
        <f t="shared" si="25"/>
        <v>#N/A</v>
      </c>
      <c r="AG80" t="e">
        <f t="shared" si="26"/>
        <v>#N/A</v>
      </c>
      <c r="AH80" t="e">
        <f t="shared" si="27"/>
        <v>#N/A</v>
      </c>
      <c r="AI80" t="e">
        <f t="shared" si="28"/>
        <v>#N/A</v>
      </c>
      <c r="AK80" t="e">
        <f t="shared" si="29"/>
        <v>#N/A</v>
      </c>
      <c r="AL80">
        <f t="shared" si="30"/>
        <v>0.42463368919575839</v>
      </c>
      <c r="AM80" t="e">
        <f t="shared" si="31"/>
        <v>#N/A</v>
      </c>
      <c r="AN80" t="e">
        <f t="shared" si="32"/>
        <v>#N/A</v>
      </c>
      <c r="AO80" t="e">
        <f t="shared" si="33"/>
        <v>#N/A</v>
      </c>
      <c r="AP80" t="e">
        <f t="shared" si="34"/>
        <v>#N/A</v>
      </c>
      <c r="AQ80" t="e">
        <f t="shared" si="35"/>
        <v>#N/A</v>
      </c>
    </row>
    <row r="81" spans="15:43">
      <c r="O81">
        <v>77</v>
      </c>
      <c r="P81" s="401">
        <f>'Lab test'!N80</f>
        <v>72.009</v>
      </c>
      <c r="Q81" s="401">
        <f>'Lab test'!M80</f>
        <v>7.3151999999999995E-2</v>
      </c>
      <c r="R81">
        <f>IF('Lab test'!O80&gt;0,'Lab test'!O80,NA())</f>
        <v>152.39999999999998</v>
      </c>
      <c r="S81">
        <f>'Lab test'!Q80</f>
        <v>984.37500000000011</v>
      </c>
      <c r="T81" s="401">
        <f>IF('Lab test'!P80&gt;0,'Lab test'!P80,NA())</f>
        <v>6.7455582890124502E-2</v>
      </c>
      <c r="U81" s="401">
        <f>'Lab test'!AZ80</f>
        <v>1934</v>
      </c>
      <c r="V81">
        <f>IF('Lab test'!AQ80&gt;0,'Lab test'!AQ80,NA())</f>
        <v>1.7210211525783869</v>
      </c>
      <c r="W81">
        <f>IF('Lab test'!AU80&gt;0,'Lab test'!AU80,NA())</f>
        <v>8.1418793104341983E-2</v>
      </c>
      <c r="X81">
        <f>IF('Lab test'!AT80&gt;0,'Lab test'!AT80,NA())</f>
        <v>0.2411554474956889</v>
      </c>
      <c r="Y81">
        <f t="shared" si="21"/>
        <v>1</v>
      </c>
      <c r="Z81" t="str">
        <f>'Lab test'!AC80</f>
        <v>LTWb</v>
      </c>
      <c r="AA81" t="str">
        <f>'Lab test'!T80</f>
        <v>Steel</v>
      </c>
      <c r="AC81" t="e">
        <f t="shared" si="22"/>
        <v>#N/A</v>
      </c>
      <c r="AD81">
        <f t="shared" si="23"/>
        <v>8.1418793104341983E-2</v>
      </c>
      <c r="AE81" t="e">
        <f t="shared" si="24"/>
        <v>#N/A</v>
      </c>
      <c r="AF81" t="e">
        <f t="shared" si="25"/>
        <v>#N/A</v>
      </c>
      <c r="AG81" t="e">
        <f t="shared" si="26"/>
        <v>#N/A</v>
      </c>
      <c r="AH81" t="e">
        <f t="shared" si="27"/>
        <v>#N/A</v>
      </c>
      <c r="AI81" t="e">
        <f t="shared" si="28"/>
        <v>#N/A</v>
      </c>
      <c r="AK81" t="e">
        <f t="shared" si="29"/>
        <v>#N/A</v>
      </c>
      <c r="AL81">
        <f t="shared" si="30"/>
        <v>0.2411554474956889</v>
      </c>
      <c r="AM81" t="e">
        <f t="shared" si="31"/>
        <v>#N/A</v>
      </c>
      <c r="AN81" t="e">
        <f t="shared" si="32"/>
        <v>#N/A</v>
      </c>
      <c r="AO81" t="e">
        <f t="shared" si="33"/>
        <v>#N/A</v>
      </c>
      <c r="AP81" t="e">
        <f t="shared" si="34"/>
        <v>#N/A</v>
      </c>
      <c r="AQ81" t="e">
        <f t="shared" si="35"/>
        <v>#N/A</v>
      </c>
    </row>
    <row r="82" spans="15:43">
      <c r="O82">
        <v>78</v>
      </c>
      <c r="P82" s="401">
        <f>'Lab test'!N81</f>
        <v>72.009</v>
      </c>
      <c r="Q82" s="401">
        <f>'Lab test'!M81</f>
        <v>7.0611999999999994E-2</v>
      </c>
      <c r="R82">
        <f>IF('Lab test'!O81&gt;0,'Lab test'!O81,NA())</f>
        <v>152.39999999999998</v>
      </c>
      <c r="S82">
        <f>'Lab test'!Q81</f>
        <v>1019.7841726618706</v>
      </c>
      <c r="T82" s="401">
        <f>IF('Lab test'!P81&gt;0,'Lab test'!P81,NA())</f>
        <v>6.6274132772494526E-2</v>
      </c>
      <c r="U82" s="401">
        <f>'Lab test'!AZ81</f>
        <v>1934</v>
      </c>
      <c r="V82">
        <f>IF('Lab test'!AQ81&gt;0,'Lab test'!AQ81,NA())</f>
        <v>1.7517013072344625</v>
      </c>
      <c r="W82">
        <f>IF('Lab test'!AU81&gt;0,'Lab test'!AU81,NA())</f>
        <v>8.6828336277165408E-2</v>
      </c>
      <c r="X82">
        <f>IF('Lab test'!AT81&gt;0,'Lab test'!AT81,NA())</f>
        <v>0.26642905703710262</v>
      </c>
      <c r="Y82">
        <f t="shared" si="21"/>
        <v>1</v>
      </c>
      <c r="Z82" t="str">
        <f>'Lab test'!AC81</f>
        <v>LTWb</v>
      </c>
      <c r="AA82" t="str">
        <f>'Lab test'!T81</f>
        <v>Steel</v>
      </c>
      <c r="AC82" t="e">
        <f t="shared" si="22"/>
        <v>#N/A</v>
      </c>
      <c r="AD82">
        <f t="shared" si="23"/>
        <v>8.6828336277165408E-2</v>
      </c>
      <c r="AE82" t="e">
        <f t="shared" si="24"/>
        <v>#N/A</v>
      </c>
      <c r="AF82" t="e">
        <f t="shared" si="25"/>
        <v>#N/A</v>
      </c>
      <c r="AG82" t="e">
        <f t="shared" si="26"/>
        <v>#N/A</v>
      </c>
      <c r="AH82" t="e">
        <f t="shared" si="27"/>
        <v>#N/A</v>
      </c>
      <c r="AI82" t="e">
        <f t="shared" si="28"/>
        <v>#N/A</v>
      </c>
      <c r="AK82" t="e">
        <f t="shared" si="29"/>
        <v>#N/A</v>
      </c>
      <c r="AL82">
        <f t="shared" si="30"/>
        <v>0.26642905703710262</v>
      </c>
      <c r="AM82" t="e">
        <f t="shared" si="31"/>
        <v>#N/A</v>
      </c>
      <c r="AN82" t="e">
        <f t="shared" si="32"/>
        <v>#N/A</v>
      </c>
      <c r="AO82" t="e">
        <f t="shared" si="33"/>
        <v>#N/A</v>
      </c>
      <c r="AP82" t="e">
        <f t="shared" si="34"/>
        <v>#N/A</v>
      </c>
      <c r="AQ82" t="e">
        <f t="shared" si="35"/>
        <v>#N/A</v>
      </c>
    </row>
    <row r="83" spans="15:43">
      <c r="O83">
        <v>79</v>
      </c>
      <c r="P83" s="401">
        <f>'Lab test'!N82</f>
        <v>47.625</v>
      </c>
      <c r="Q83" s="401">
        <f>'Lab test'!M82</f>
        <v>7.4167999999999998E-2</v>
      </c>
      <c r="R83">
        <f>IF('Lab test'!O82&gt;0,'Lab test'!O82,NA())</f>
        <v>152.39999999999998</v>
      </c>
      <c r="S83">
        <f>'Lab test'!Q82</f>
        <v>642.1232876712329</v>
      </c>
      <c r="T83" s="401">
        <f>IF('Lab test'!P82&gt;0,'Lab test'!P82,NA())</f>
        <v>0.12628180127529592</v>
      </c>
      <c r="U83" s="401">
        <f>'Lab test'!AZ82</f>
        <v>1934</v>
      </c>
      <c r="V83">
        <f>IF('Lab test'!AQ82&gt;0,'Lab test'!AQ82,NA())</f>
        <v>1.3900010576948674</v>
      </c>
      <c r="W83">
        <f>IF('Lab test'!AU82&gt;0,'Lab test'!AU82,NA())</f>
        <v>0.12447982158240503</v>
      </c>
      <c r="X83">
        <f>IF('Lab test'!AT82&gt;0,'Lab test'!AT82,NA())</f>
        <v>0.24050782929894216</v>
      </c>
      <c r="Y83">
        <f t="shared" si="21"/>
        <v>1</v>
      </c>
      <c r="Z83" t="str">
        <f>'Lab test'!AC82</f>
        <v>LTWb</v>
      </c>
      <c r="AA83" t="str">
        <f>'Lab test'!T82</f>
        <v>Steel</v>
      </c>
      <c r="AC83" t="e">
        <f t="shared" si="22"/>
        <v>#N/A</v>
      </c>
      <c r="AD83">
        <f t="shared" si="23"/>
        <v>0.12447982158240503</v>
      </c>
      <c r="AE83" t="e">
        <f t="shared" si="24"/>
        <v>#N/A</v>
      </c>
      <c r="AF83" t="e">
        <f t="shared" si="25"/>
        <v>#N/A</v>
      </c>
      <c r="AG83" t="e">
        <f t="shared" si="26"/>
        <v>#N/A</v>
      </c>
      <c r="AH83" t="e">
        <f t="shared" si="27"/>
        <v>#N/A</v>
      </c>
      <c r="AI83" t="e">
        <f t="shared" si="28"/>
        <v>#N/A</v>
      </c>
      <c r="AK83" t="e">
        <f t="shared" si="29"/>
        <v>#N/A</v>
      </c>
      <c r="AL83">
        <f t="shared" si="30"/>
        <v>0.24050782929894216</v>
      </c>
      <c r="AM83" t="e">
        <f t="shared" si="31"/>
        <v>#N/A</v>
      </c>
      <c r="AN83" t="e">
        <f t="shared" si="32"/>
        <v>#N/A</v>
      </c>
      <c r="AO83" t="e">
        <f t="shared" si="33"/>
        <v>#N/A</v>
      </c>
      <c r="AP83" t="e">
        <f t="shared" si="34"/>
        <v>#N/A</v>
      </c>
      <c r="AQ83" t="e">
        <f t="shared" si="35"/>
        <v>#N/A</v>
      </c>
    </row>
    <row r="84" spans="15:43">
      <c r="O84">
        <v>80</v>
      </c>
      <c r="P84" s="401">
        <f>'Lab test'!N83</f>
        <v>47.625</v>
      </c>
      <c r="Q84" s="401">
        <f>'Lab test'!M83</f>
        <v>7.0611999999999994E-2</v>
      </c>
      <c r="R84">
        <f>IF('Lab test'!O83&gt;0,'Lab test'!O83,NA())</f>
        <v>152.39999999999998</v>
      </c>
      <c r="S84">
        <f>'Lab test'!Q83</f>
        <v>674.46043165467631</v>
      </c>
      <c r="T84" s="401">
        <f>IF('Lab test'!P83&gt;0,'Lab test'!P83,NA())</f>
        <v>0.12321731480058581</v>
      </c>
      <c r="U84" s="401">
        <f>'Lab test'!AZ83</f>
        <v>1934</v>
      </c>
      <c r="V84">
        <f>IF('Lab test'!AQ83&gt;0,'Lab test'!AQ83,NA())</f>
        <v>1.4245711945951272</v>
      </c>
      <c r="W84">
        <f>IF('Lab test'!AU83&gt;0,'Lab test'!AU83,NA())</f>
        <v>0.16397159184501497</v>
      </c>
      <c r="X84">
        <f>IF('Lab test'!AT83&gt;0,'Lab test'!AT83,NA())</f>
        <v>0.33276445491164647</v>
      </c>
      <c r="Y84">
        <f t="shared" si="21"/>
        <v>1</v>
      </c>
      <c r="Z84" t="str">
        <f>'Lab test'!AC83</f>
        <v>LTWb</v>
      </c>
      <c r="AA84" t="str">
        <f>'Lab test'!T83</f>
        <v>Steel</v>
      </c>
      <c r="AC84" t="e">
        <f t="shared" si="22"/>
        <v>#N/A</v>
      </c>
      <c r="AD84">
        <f t="shared" si="23"/>
        <v>0.16397159184501497</v>
      </c>
      <c r="AE84" t="e">
        <f t="shared" si="24"/>
        <v>#N/A</v>
      </c>
      <c r="AF84" t="e">
        <f t="shared" si="25"/>
        <v>#N/A</v>
      </c>
      <c r="AG84" t="e">
        <f t="shared" si="26"/>
        <v>#N/A</v>
      </c>
      <c r="AH84" t="e">
        <f t="shared" si="27"/>
        <v>#N/A</v>
      </c>
      <c r="AI84" t="e">
        <f t="shared" si="28"/>
        <v>#N/A</v>
      </c>
      <c r="AK84" t="e">
        <f t="shared" si="29"/>
        <v>#N/A</v>
      </c>
      <c r="AL84">
        <f t="shared" si="30"/>
        <v>0.33276445491164647</v>
      </c>
      <c r="AM84" t="e">
        <f t="shared" si="31"/>
        <v>#N/A</v>
      </c>
      <c r="AN84" t="e">
        <f t="shared" si="32"/>
        <v>#N/A</v>
      </c>
      <c r="AO84" t="e">
        <f t="shared" si="33"/>
        <v>#N/A</v>
      </c>
      <c r="AP84" t="e">
        <f t="shared" si="34"/>
        <v>#N/A</v>
      </c>
      <c r="AQ84" t="e">
        <f t="shared" si="35"/>
        <v>#N/A</v>
      </c>
    </row>
    <row r="85" spans="15:43">
      <c r="O85">
        <v>81</v>
      </c>
      <c r="P85" s="401">
        <f>'Lab test'!N84</f>
        <v>23.939499999999999</v>
      </c>
      <c r="Q85" s="401">
        <f>'Lab test'!M84</f>
        <v>7.2135999999999992E-2</v>
      </c>
      <c r="R85">
        <f>IF('Lab test'!O84&gt;0,'Lab test'!O84,NA())</f>
        <v>152.39999999999998</v>
      </c>
      <c r="S85">
        <f>'Lab test'!Q84</f>
        <v>331.86619718309862</v>
      </c>
      <c r="T85" s="401">
        <f>IF('Lab test'!P84&gt;0,'Lab test'!P84,NA())</f>
        <v>0.34945268531428747</v>
      </c>
      <c r="U85" s="401">
        <f>'Lab test'!AZ84</f>
        <v>1934</v>
      </c>
      <c r="V85">
        <f>IF('Lab test'!AQ84&gt;0,'Lab test'!AQ84,NA())</f>
        <v>0.99928053952212859</v>
      </c>
      <c r="W85">
        <f>IF('Lab test'!AU84&gt;0,'Lab test'!AU84,NA())</f>
        <v>0.29426774669959133</v>
      </c>
      <c r="X85">
        <f>IF('Lab test'!AT84&gt;0,'Lab test'!AT84,NA())</f>
        <v>0.29384447099213151</v>
      </c>
      <c r="Y85">
        <f t="shared" si="21"/>
        <v>1</v>
      </c>
      <c r="Z85" t="str">
        <f>'Lab test'!AC84</f>
        <v>LTWb</v>
      </c>
      <c r="AA85" t="str">
        <f>'Lab test'!T84</f>
        <v>Steel</v>
      </c>
      <c r="AC85" t="e">
        <f t="shared" si="22"/>
        <v>#N/A</v>
      </c>
      <c r="AD85">
        <f t="shared" si="23"/>
        <v>0.29426774669959133</v>
      </c>
      <c r="AE85" t="e">
        <f t="shared" si="24"/>
        <v>#N/A</v>
      </c>
      <c r="AF85" t="e">
        <f t="shared" si="25"/>
        <v>#N/A</v>
      </c>
      <c r="AG85" t="e">
        <f t="shared" si="26"/>
        <v>#N/A</v>
      </c>
      <c r="AH85" t="e">
        <f t="shared" si="27"/>
        <v>#N/A</v>
      </c>
      <c r="AI85" t="e">
        <f t="shared" si="28"/>
        <v>#N/A</v>
      </c>
      <c r="AK85" t="e">
        <f t="shared" si="29"/>
        <v>#N/A</v>
      </c>
      <c r="AL85">
        <f t="shared" si="30"/>
        <v>0.29384447099213151</v>
      </c>
      <c r="AM85" t="e">
        <f t="shared" si="31"/>
        <v>#N/A</v>
      </c>
      <c r="AN85" t="e">
        <f t="shared" si="32"/>
        <v>#N/A</v>
      </c>
      <c r="AO85" t="e">
        <f t="shared" si="33"/>
        <v>#N/A</v>
      </c>
      <c r="AP85" t="e">
        <f t="shared" si="34"/>
        <v>#N/A</v>
      </c>
      <c r="AQ85" t="e">
        <f t="shared" si="35"/>
        <v>#N/A</v>
      </c>
    </row>
    <row r="86" spans="15:43">
      <c r="O86">
        <v>82</v>
      </c>
      <c r="P86" s="401">
        <f>'Lab test'!N85</f>
        <v>23.939499999999999</v>
      </c>
      <c r="Q86" s="401">
        <f>'Lab test'!M85</f>
        <v>6.9087999999999997E-2</v>
      </c>
      <c r="R86">
        <f>IF('Lab test'!O85&gt;0,'Lab test'!O85,NA())</f>
        <v>152.39999999999998</v>
      </c>
      <c r="S86">
        <f>'Lab test'!Q85</f>
        <v>346.50735294117646</v>
      </c>
      <c r="T86" s="401">
        <f>IF('Lab test'!P85&gt;0,'Lab test'!P85,NA())</f>
        <v>0.34199020228509303</v>
      </c>
      <c r="U86" s="401">
        <f>'Lab test'!AZ85</f>
        <v>1934</v>
      </c>
      <c r="V86">
        <f>IF('Lab test'!AQ85&gt;0,'Lab test'!AQ85,NA())</f>
        <v>1.021085591297769</v>
      </c>
      <c r="W86">
        <f>IF('Lab test'!AU85&gt;0,'Lab test'!AU85,NA())</f>
        <v>0.41620410022873988</v>
      </c>
      <c r="X86">
        <f>IF('Lab test'!AT85&gt;0,'Lab test'!AT85,NA())</f>
        <v>0.43394096457861686</v>
      </c>
      <c r="Y86">
        <f t="shared" si="21"/>
        <v>1</v>
      </c>
      <c r="Z86" t="str">
        <f>'Lab test'!AC85</f>
        <v>LTWb</v>
      </c>
      <c r="AA86" t="str">
        <f>'Lab test'!T85</f>
        <v>Steel</v>
      </c>
      <c r="AC86" t="e">
        <f t="shared" si="22"/>
        <v>#N/A</v>
      </c>
      <c r="AD86">
        <f t="shared" si="23"/>
        <v>0.41620410022873988</v>
      </c>
      <c r="AE86" t="e">
        <f t="shared" si="24"/>
        <v>#N/A</v>
      </c>
      <c r="AF86" t="e">
        <f t="shared" si="25"/>
        <v>#N/A</v>
      </c>
      <c r="AG86" t="e">
        <f t="shared" si="26"/>
        <v>#N/A</v>
      </c>
      <c r="AH86" t="e">
        <f t="shared" si="27"/>
        <v>#N/A</v>
      </c>
      <c r="AI86" t="e">
        <f t="shared" si="28"/>
        <v>#N/A</v>
      </c>
      <c r="AK86" t="e">
        <f t="shared" si="29"/>
        <v>#N/A</v>
      </c>
      <c r="AL86">
        <f t="shared" si="30"/>
        <v>0.43394096457861686</v>
      </c>
      <c r="AM86" t="e">
        <f t="shared" si="31"/>
        <v>#N/A</v>
      </c>
      <c r="AN86" t="e">
        <f t="shared" si="32"/>
        <v>#N/A</v>
      </c>
      <c r="AO86" t="e">
        <f t="shared" si="33"/>
        <v>#N/A</v>
      </c>
      <c r="AP86" t="e">
        <f t="shared" si="34"/>
        <v>#N/A</v>
      </c>
      <c r="AQ86" t="e">
        <f t="shared" si="35"/>
        <v>#N/A</v>
      </c>
    </row>
    <row r="87" spans="15:43">
      <c r="O87">
        <v>83</v>
      </c>
      <c r="P87" s="401">
        <f>'Lab test'!N86</f>
        <v>72.009</v>
      </c>
      <c r="Q87" s="401">
        <f>'Lab test'!M86</f>
        <v>5.5118E-2</v>
      </c>
      <c r="R87">
        <f>IF('Lab test'!O86&gt;0,'Lab test'!O86,NA())</f>
        <v>152.39999999999998</v>
      </c>
      <c r="S87">
        <f>'Lab test'!Q86</f>
        <v>1306.4516129032259</v>
      </c>
      <c r="T87" s="401">
        <f>IF('Lab test'!P86&gt;0,'Lab test'!P86,NA())</f>
        <v>5.8553319684838241E-2</v>
      </c>
      <c r="U87" s="401">
        <f>'Lab test'!AZ86</f>
        <v>1934</v>
      </c>
      <c r="V87">
        <f>IF('Lab test'!AQ86&gt;0,'Lab test'!AQ86,NA())</f>
        <v>1.9826798145395317</v>
      </c>
      <c r="W87">
        <f>IF('Lab test'!AU86&gt;0,'Lab test'!AU86,NA())</f>
        <v>3.4505954836150668E-2</v>
      </c>
      <c r="X87">
        <f>IF('Lab test'!AT86&gt;0,'Lab test'!AT86,NA())</f>
        <v>0.13564357259641754</v>
      </c>
      <c r="Y87">
        <f t="shared" si="21"/>
        <v>1</v>
      </c>
      <c r="Z87" t="str">
        <f>'Lab test'!AC86</f>
        <v>LTWb</v>
      </c>
      <c r="AA87" t="str">
        <f>'Lab test'!T86</f>
        <v>Steel</v>
      </c>
      <c r="AC87" t="e">
        <f t="shared" si="22"/>
        <v>#N/A</v>
      </c>
      <c r="AD87">
        <f t="shared" si="23"/>
        <v>3.4505954836150668E-2</v>
      </c>
      <c r="AE87" t="e">
        <f t="shared" si="24"/>
        <v>#N/A</v>
      </c>
      <c r="AF87" t="e">
        <f t="shared" si="25"/>
        <v>#N/A</v>
      </c>
      <c r="AG87" t="e">
        <f t="shared" si="26"/>
        <v>#N/A</v>
      </c>
      <c r="AH87" t="e">
        <f t="shared" si="27"/>
        <v>#N/A</v>
      </c>
      <c r="AI87" t="e">
        <f t="shared" si="28"/>
        <v>#N/A</v>
      </c>
      <c r="AK87" t="e">
        <f t="shared" si="29"/>
        <v>#N/A</v>
      </c>
      <c r="AL87">
        <f t="shared" si="30"/>
        <v>0.13564357259641754</v>
      </c>
      <c r="AM87" t="e">
        <f t="shared" si="31"/>
        <v>#N/A</v>
      </c>
      <c r="AN87" t="e">
        <f t="shared" si="32"/>
        <v>#N/A</v>
      </c>
      <c r="AO87" t="e">
        <f t="shared" si="33"/>
        <v>#N/A</v>
      </c>
      <c r="AP87" t="e">
        <f t="shared" si="34"/>
        <v>#N/A</v>
      </c>
      <c r="AQ87" t="e">
        <f t="shared" si="35"/>
        <v>#N/A</v>
      </c>
    </row>
    <row r="88" spans="15:43">
      <c r="O88">
        <v>84</v>
      </c>
      <c r="P88" s="401">
        <f>'Lab test'!N87</f>
        <v>72.009</v>
      </c>
      <c r="Q88" s="401">
        <f>'Lab test'!M87</f>
        <v>5.3593999999999996E-2</v>
      </c>
      <c r="R88">
        <f>IF('Lab test'!O87&gt;0,'Lab test'!O87,NA())</f>
        <v>152.39999999999998</v>
      </c>
      <c r="S88">
        <f>'Lab test'!Q87</f>
        <v>1343.6018957345973</v>
      </c>
      <c r="T88" s="401">
        <f>IF('Lab test'!P87&gt;0,'Lab test'!P87,NA())</f>
        <v>5.7738152491526175E-2</v>
      </c>
      <c r="U88" s="401">
        <f>'Lab test'!AZ87</f>
        <v>1934</v>
      </c>
      <c r="V88">
        <f>IF('Lab test'!AQ87&gt;0,'Lab test'!AQ87,NA())</f>
        <v>2.0106719734485279</v>
      </c>
      <c r="W88">
        <f>IF('Lab test'!AU87&gt;0,'Lab test'!AU87,NA())</f>
        <v>3.8288785255329569E-2</v>
      </c>
      <c r="X88">
        <f>IF('Lab test'!AT87&gt;0,'Lab test'!AT87,NA())</f>
        <v>0.15479396936850673</v>
      </c>
      <c r="Y88">
        <f t="shared" si="21"/>
        <v>1</v>
      </c>
      <c r="Z88" t="str">
        <f>'Lab test'!AC87</f>
        <v>LTWb</v>
      </c>
      <c r="AA88" t="str">
        <f>'Lab test'!T87</f>
        <v>Steel</v>
      </c>
      <c r="AC88" t="e">
        <f t="shared" si="22"/>
        <v>#N/A</v>
      </c>
      <c r="AD88">
        <f t="shared" si="23"/>
        <v>3.8288785255329569E-2</v>
      </c>
      <c r="AE88" t="e">
        <f t="shared" si="24"/>
        <v>#N/A</v>
      </c>
      <c r="AF88" t="e">
        <f t="shared" si="25"/>
        <v>#N/A</v>
      </c>
      <c r="AG88" t="e">
        <f t="shared" si="26"/>
        <v>#N/A</v>
      </c>
      <c r="AH88" t="e">
        <f t="shared" si="27"/>
        <v>#N/A</v>
      </c>
      <c r="AI88" t="e">
        <f t="shared" si="28"/>
        <v>#N/A</v>
      </c>
      <c r="AK88" t="e">
        <f t="shared" si="29"/>
        <v>#N/A</v>
      </c>
      <c r="AL88">
        <f t="shared" si="30"/>
        <v>0.15479396936850673</v>
      </c>
      <c r="AM88" t="e">
        <f t="shared" si="31"/>
        <v>#N/A</v>
      </c>
      <c r="AN88" t="e">
        <f t="shared" si="32"/>
        <v>#N/A</v>
      </c>
      <c r="AO88" t="e">
        <f t="shared" si="33"/>
        <v>#N/A</v>
      </c>
      <c r="AP88" t="e">
        <f t="shared" si="34"/>
        <v>#N/A</v>
      </c>
      <c r="AQ88" t="e">
        <f t="shared" si="35"/>
        <v>#N/A</v>
      </c>
    </row>
    <row r="89" spans="15:43">
      <c r="O89">
        <v>85</v>
      </c>
      <c r="P89" s="401">
        <f>'Lab test'!N88</f>
        <v>47.625</v>
      </c>
      <c r="Q89" s="401">
        <f>'Lab test'!M88</f>
        <v>5.5371999999999998E-2</v>
      </c>
      <c r="R89">
        <f>IF('Lab test'!O88&gt;0,'Lab test'!O88,NA())</f>
        <v>152.39999999999998</v>
      </c>
      <c r="S89">
        <f>'Lab test'!Q88</f>
        <v>860.09174311926608</v>
      </c>
      <c r="T89" s="401">
        <f>IF('Lab test'!P88&gt;0,'Lab test'!P88,NA())</f>
        <v>0.10911327447504572</v>
      </c>
      <c r="U89" s="401">
        <f>'Lab test'!AZ88</f>
        <v>1934</v>
      </c>
      <c r="V89">
        <f>IF('Lab test'!AQ88&gt;0,'Lab test'!AQ88,NA())</f>
        <v>1.6087120305460052</v>
      </c>
      <c r="W89">
        <f>IF('Lab test'!AU88&gt;0,'Lab test'!AU88,NA())</f>
        <v>9.0883936512525992E-2</v>
      </c>
      <c r="X89">
        <f>IF('Lab test'!AT88&gt;0,'Lab test'!AT88,NA())</f>
        <v>0.2352034831345686</v>
      </c>
      <c r="Y89">
        <f t="shared" si="21"/>
        <v>1</v>
      </c>
      <c r="Z89" t="str">
        <f>'Lab test'!AC88</f>
        <v>LTWb</v>
      </c>
      <c r="AA89" t="str">
        <f>'Lab test'!T88</f>
        <v>Steel</v>
      </c>
      <c r="AC89" t="e">
        <f t="shared" si="22"/>
        <v>#N/A</v>
      </c>
      <c r="AD89">
        <f t="shared" si="23"/>
        <v>9.0883936512525992E-2</v>
      </c>
      <c r="AE89" t="e">
        <f t="shared" si="24"/>
        <v>#N/A</v>
      </c>
      <c r="AF89" t="e">
        <f t="shared" si="25"/>
        <v>#N/A</v>
      </c>
      <c r="AG89" t="e">
        <f t="shared" si="26"/>
        <v>#N/A</v>
      </c>
      <c r="AH89" t="e">
        <f t="shared" si="27"/>
        <v>#N/A</v>
      </c>
      <c r="AI89" t="e">
        <f t="shared" si="28"/>
        <v>#N/A</v>
      </c>
      <c r="AK89" t="e">
        <f t="shared" si="29"/>
        <v>#N/A</v>
      </c>
      <c r="AL89">
        <f t="shared" si="30"/>
        <v>0.2352034831345686</v>
      </c>
      <c r="AM89" t="e">
        <f t="shared" si="31"/>
        <v>#N/A</v>
      </c>
      <c r="AN89" t="e">
        <f t="shared" si="32"/>
        <v>#N/A</v>
      </c>
      <c r="AO89" t="e">
        <f t="shared" si="33"/>
        <v>#N/A</v>
      </c>
      <c r="AP89" t="e">
        <f t="shared" si="34"/>
        <v>#N/A</v>
      </c>
      <c r="AQ89" t="e">
        <f t="shared" si="35"/>
        <v>#N/A</v>
      </c>
    </row>
    <row r="90" spans="15:43">
      <c r="O90">
        <v>86</v>
      </c>
      <c r="P90" s="401">
        <f>'Lab test'!N89</f>
        <v>47.625</v>
      </c>
      <c r="Q90" s="401">
        <f>'Lab test'!M89</f>
        <v>5.4101999999999997E-2</v>
      </c>
      <c r="R90">
        <f>IF('Lab test'!O89&gt;0,'Lab test'!O89,NA())</f>
        <v>152.39999999999998</v>
      </c>
      <c r="S90">
        <f>'Lab test'!Q89</f>
        <v>880.28169014084506</v>
      </c>
      <c r="T90" s="401">
        <f>IF('Lab test'!P89&gt;0,'Lab test'!P89,NA())</f>
        <v>0.10785471709665738</v>
      </c>
      <c r="U90" s="401">
        <f>'Lab test'!AZ89</f>
        <v>1934</v>
      </c>
      <c r="V90">
        <f>IF('Lab test'!AQ89&gt;0,'Lab test'!AQ89,NA())</f>
        <v>1.6274841014414423</v>
      </c>
      <c r="W90">
        <f>IF('Lab test'!AU89&gt;0,'Lab test'!AU89,NA())</f>
        <v>0.11120120750457747</v>
      </c>
      <c r="X90">
        <f>IF('Lab test'!AT89&gt;0,'Lab test'!AT89,NA())</f>
        <v>0.29453913877225468</v>
      </c>
      <c r="Y90">
        <f t="shared" si="21"/>
        <v>1</v>
      </c>
      <c r="Z90" t="str">
        <f>'Lab test'!AC89</f>
        <v>LTWb</v>
      </c>
      <c r="AA90" t="str">
        <f>'Lab test'!T89</f>
        <v>Steel</v>
      </c>
      <c r="AC90" t="e">
        <f t="shared" si="22"/>
        <v>#N/A</v>
      </c>
      <c r="AD90">
        <f t="shared" si="23"/>
        <v>0.11120120750457747</v>
      </c>
      <c r="AE90" t="e">
        <f t="shared" si="24"/>
        <v>#N/A</v>
      </c>
      <c r="AF90" t="e">
        <f t="shared" si="25"/>
        <v>#N/A</v>
      </c>
      <c r="AG90" t="e">
        <f t="shared" si="26"/>
        <v>#N/A</v>
      </c>
      <c r="AH90" t="e">
        <f t="shared" si="27"/>
        <v>#N/A</v>
      </c>
      <c r="AI90" t="e">
        <f t="shared" si="28"/>
        <v>#N/A</v>
      </c>
      <c r="AK90" t="e">
        <f t="shared" si="29"/>
        <v>#N/A</v>
      </c>
      <c r="AL90">
        <f t="shared" si="30"/>
        <v>0.29453913877225468</v>
      </c>
      <c r="AM90" t="e">
        <f t="shared" si="31"/>
        <v>#N/A</v>
      </c>
      <c r="AN90" t="e">
        <f t="shared" si="32"/>
        <v>#N/A</v>
      </c>
      <c r="AO90" t="e">
        <f t="shared" si="33"/>
        <v>#N/A</v>
      </c>
      <c r="AP90" t="e">
        <f t="shared" si="34"/>
        <v>#N/A</v>
      </c>
      <c r="AQ90" t="e">
        <f t="shared" si="35"/>
        <v>#N/A</v>
      </c>
    </row>
    <row r="91" spans="15:43">
      <c r="O91">
        <v>87</v>
      </c>
      <c r="P91" s="401">
        <f>'Lab test'!N90</f>
        <v>23.939499999999999</v>
      </c>
      <c r="Q91" s="401">
        <f>'Lab test'!M90</f>
        <v>5.2069999999999991E-2</v>
      </c>
      <c r="R91">
        <f>IF('Lab test'!O90&gt;0,'Lab test'!O90,NA())</f>
        <v>152.39999999999998</v>
      </c>
      <c r="S91">
        <f>'Lab test'!Q90</f>
        <v>459.75609756097566</v>
      </c>
      <c r="T91" s="401">
        <f>IF('Lab test'!P90&gt;0,'Lab test'!P90,NA())</f>
        <v>0.29689722786195405</v>
      </c>
      <c r="U91" s="401">
        <f>'Lab test'!AZ90</f>
        <v>1934</v>
      </c>
      <c r="V91">
        <f>IF('Lab test'!AQ90&gt;0,'Lab test'!AQ90,NA())</f>
        <v>1.1761688394095855</v>
      </c>
      <c r="W91">
        <f>IF('Lab test'!AU90&gt;0,'Lab test'!AU90,NA())</f>
        <v>0.19371481349938846</v>
      </c>
      <c r="X91">
        <f>IF('Lab test'!AT90&gt;0,'Lab test'!AT90,NA())</f>
        <v>0.26797986958233588</v>
      </c>
      <c r="Y91">
        <f t="shared" si="21"/>
        <v>1</v>
      </c>
      <c r="Z91" t="str">
        <f>'Lab test'!AC90</f>
        <v>LTWb</v>
      </c>
      <c r="AA91" t="str">
        <f>'Lab test'!T90</f>
        <v>Steel</v>
      </c>
      <c r="AC91" t="e">
        <f t="shared" si="22"/>
        <v>#N/A</v>
      </c>
      <c r="AD91">
        <f t="shared" si="23"/>
        <v>0.19371481349938846</v>
      </c>
      <c r="AE91" t="e">
        <f t="shared" si="24"/>
        <v>#N/A</v>
      </c>
      <c r="AF91" t="e">
        <f t="shared" si="25"/>
        <v>#N/A</v>
      </c>
      <c r="AG91" t="e">
        <f t="shared" si="26"/>
        <v>#N/A</v>
      </c>
      <c r="AH91" t="e">
        <f t="shared" si="27"/>
        <v>#N/A</v>
      </c>
      <c r="AI91" t="e">
        <f t="shared" si="28"/>
        <v>#N/A</v>
      </c>
      <c r="AK91" t="e">
        <f t="shared" si="29"/>
        <v>#N/A</v>
      </c>
      <c r="AL91">
        <f t="shared" si="30"/>
        <v>0.26797986958233588</v>
      </c>
      <c r="AM91" t="e">
        <f t="shared" si="31"/>
        <v>#N/A</v>
      </c>
      <c r="AN91" t="e">
        <f t="shared" si="32"/>
        <v>#N/A</v>
      </c>
      <c r="AO91" t="e">
        <f t="shared" si="33"/>
        <v>#N/A</v>
      </c>
      <c r="AP91" t="e">
        <f t="shared" si="34"/>
        <v>#N/A</v>
      </c>
      <c r="AQ91" t="e">
        <f t="shared" si="35"/>
        <v>#N/A</v>
      </c>
    </row>
    <row r="92" spans="15:43">
      <c r="O92">
        <v>88</v>
      </c>
      <c r="P92" s="401">
        <f>'Lab test'!N91</f>
        <v>23.939499999999999</v>
      </c>
      <c r="Q92" s="401">
        <f>'Lab test'!M91</f>
        <v>5.156199999999999E-2</v>
      </c>
      <c r="R92">
        <f>IF('Lab test'!O91&gt;0,'Lab test'!O91,NA())</f>
        <v>152.39999999999998</v>
      </c>
      <c r="S92">
        <f>'Lab test'!Q91</f>
        <v>464.28571428571433</v>
      </c>
      <c r="T92" s="401">
        <f>IF('Lab test'!P91&gt;0,'Lab test'!P91,NA())</f>
        <v>0.29544539897650313</v>
      </c>
      <c r="U92" s="401">
        <f>'Lab test'!AZ91</f>
        <v>1934</v>
      </c>
      <c r="V92">
        <f>IF('Lab test'!AQ91&gt;0,'Lab test'!AQ91,NA())</f>
        <v>1.1819485736722875</v>
      </c>
      <c r="W92">
        <f>IF('Lab test'!AU91&gt;0,'Lab test'!AU91,NA())</f>
        <v>0.23212022446925107</v>
      </c>
      <c r="X92">
        <f>IF('Lab test'!AT91&gt;0,'Lab test'!AT91,NA())</f>
        <v>0.32427251782276756</v>
      </c>
      <c r="Y92">
        <f t="shared" si="21"/>
        <v>1</v>
      </c>
      <c r="Z92" t="str">
        <f>'Lab test'!AC91</f>
        <v>LTWb</v>
      </c>
      <c r="AA92" t="str">
        <f>'Lab test'!T91</f>
        <v>Steel</v>
      </c>
      <c r="AC92" t="e">
        <f t="shared" si="22"/>
        <v>#N/A</v>
      </c>
      <c r="AD92">
        <f t="shared" si="23"/>
        <v>0.23212022446925107</v>
      </c>
      <c r="AE92" t="e">
        <f t="shared" si="24"/>
        <v>#N/A</v>
      </c>
      <c r="AF92" t="e">
        <f t="shared" si="25"/>
        <v>#N/A</v>
      </c>
      <c r="AG92" t="e">
        <f t="shared" si="26"/>
        <v>#N/A</v>
      </c>
      <c r="AH92" t="e">
        <f t="shared" si="27"/>
        <v>#N/A</v>
      </c>
      <c r="AI92" t="e">
        <f t="shared" si="28"/>
        <v>#N/A</v>
      </c>
      <c r="AK92" t="e">
        <f t="shared" si="29"/>
        <v>#N/A</v>
      </c>
      <c r="AL92">
        <f t="shared" si="30"/>
        <v>0.32427251782276756</v>
      </c>
      <c r="AM92" t="e">
        <f t="shared" si="31"/>
        <v>#N/A</v>
      </c>
      <c r="AN92" t="e">
        <f t="shared" si="32"/>
        <v>#N/A</v>
      </c>
      <c r="AO92" t="e">
        <f t="shared" si="33"/>
        <v>#N/A</v>
      </c>
      <c r="AP92" t="e">
        <f t="shared" si="34"/>
        <v>#N/A</v>
      </c>
      <c r="AQ92" t="e">
        <f t="shared" si="35"/>
        <v>#N/A</v>
      </c>
    </row>
    <row r="93" spans="15:43">
      <c r="O93">
        <v>89</v>
      </c>
      <c r="P93" s="401">
        <f>'Lab test'!N92</f>
        <v>72.009</v>
      </c>
      <c r="Q93" s="401">
        <f>'Lab test'!M92</f>
        <v>6.7055999999999991E-2</v>
      </c>
      <c r="R93">
        <f>IF('Lab test'!O92&gt;0,'Lab test'!O92,NA())</f>
        <v>304.79999999999995</v>
      </c>
      <c r="S93">
        <f>'Lab test'!Q92</f>
        <v>1073.8636363636365</v>
      </c>
      <c r="T93" s="401">
        <f>IF('Lab test'!P92&gt;0,'Lab test'!P92,NA())</f>
        <v>0.12916760725701965</v>
      </c>
      <c r="U93" s="401">
        <f>'Lab test'!AZ92</f>
        <v>1934</v>
      </c>
      <c r="V93">
        <f>IF('Lab test'!AQ92&gt;0,'Lab test'!AQ92,NA())</f>
        <v>1.797547968546114</v>
      </c>
      <c r="W93">
        <f>IF('Lab test'!AU92&gt;0,'Lab test'!AU92,NA())</f>
        <v>6.7548364638132477E-2</v>
      </c>
      <c r="X93">
        <f>IF('Lab test'!AT92&gt;0,'Lab test'!AT92,NA())</f>
        <v>0.21826083698616702</v>
      </c>
      <c r="Y93">
        <f t="shared" si="21"/>
        <v>1</v>
      </c>
      <c r="Z93" t="str">
        <f>'Lab test'!AC92</f>
        <v>LTWb</v>
      </c>
      <c r="AA93" t="str">
        <f>'Lab test'!T92</f>
        <v>Steel</v>
      </c>
      <c r="AC93" t="e">
        <f t="shared" si="22"/>
        <v>#N/A</v>
      </c>
      <c r="AD93">
        <f t="shared" si="23"/>
        <v>6.7548364638132477E-2</v>
      </c>
      <c r="AE93" t="e">
        <f t="shared" si="24"/>
        <v>#N/A</v>
      </c>
      <c r="AF93" t="e">
        <f t="shared" si="25"/>
        <v>#N/A</v>
      </c>
      <c r="AG93" t="e">
        <f t="shared" si="26"/>
        <v>#N/A</v>
      </c>
      <c r="AH93" t="e">
        <f t="shared" si="27"/>
        <v>#N/A</v>
      </c>
      <c r="AI93" t="e">
        <f t="shared" si="28"/>
        <v>#N/A</v>
      </c>
      <c r="AK93" t="e">
        <f t="shared" si="29"/>
        <v>#N/A</v>
      </c>
      <c r="AL93">
        <f t="shared" si="30"/>
        <v>0.21826083698616702</v>
      </c>
      <c r="AM93" t="e">
        <f t="shared" si="31"/>
        <v>#N/A</v>
      </c>
      <c r="AN93" t="e">
        <f t="shared" si="32"/>
        <v>#N/A</v>
      </c>
      <c r="AO93" t="e">
        <f t="shared" si="33"/>
        <v>#N/A</v>
      </c>
      <c r="AP93" t="e">
        <f t="shared" si="34"/>
        <v>#N/A</v>
      </c>
      <c r="AQ93" t="e">
        <f t="shared" si="35"/>
        <v>#N/A</v>
      </c>
    </row>
    <row r="94" spans="15:43">
      <c r="O94">
        <v>90</v>
      </c>
      <c r="P94" s="401">
        <f>'Lab test'!N93</f>
        <v>47.625</v>
      </c>
      <c r="Q94" s="401">
        <f>'Lab test'!M93</f>
        <v>6.9596000000000005E-2</v>
      </c>
      <c r="R94">
        <f>IF('Lab test'!O93&gt;0,'Lab test'!O93,NA())</f>
        <v>304.79999999999995</v>
      </c>
      <c r="S94">
        <f>'Lab test'!Q93</f>
        <v>684.30656934306569</v>
      </c>
      <c r="T94" s="401">
        <f>IF('Lab test'!P93&gt;0,'Lab test'!P93,NA())</f>
        <v>0.24465529492192342</v>
      </c>
      <c r="U94" s="401">
        <f>'Lab test'!AZ93</f>
        <v>1934</v>
      </c>
      <c r="V94">
        <f>IF('Lab test'!AQ93&gt;0,'Lab test'!AQ93,NA())</f>
        <v>1.434931848879802</v>
      </c>
      <c r="W94">
        <f>IF('Lab test'!AU93&gt;0,'Lab test'!AU93,NA())</f>
        <v>0.15059868805898122</v>
      </c>
      <c r="X94">
        <f>IF('Lab test'!AT93&gt;0,'Lab test'!AT93,NA())</f>
        <v>0.31008712796085569</v>
      </c>
      <c r="Y94">
        <f t="shared" si="21"/>
        <v>1</v>
      </c>
      <c r="Z94" t="str">
        <f>'Lab test'!AC93</f>
        <v>LTWb</v>
      </c>
      <c r="AA94" t="str">
        <f>'Lab test'!T93</f>
        <v>Steel</v>
      </c>
      <c r="AC94" t="e">
        <f t="shared" si="22"/>
        <v>#N/A</v>
      </c>
      <c r="AD94">
        <f t="shared" si="23"/>
        <v>0.15059868805898122</v>
      </c>
      <c r="AE94" t="e">
        <f t="shared" si="24"/>
        <v>#N/A</v>
      </c>
      <c r="AF94" t="e">
        <f t="shared" si="25"/>
        <v>#N/A</v>
      </c>
      <c r="AG94" t="e">
        <f t="shared" si="26"/>
        <v>#N/A</v>
      </c>
      <c r="AH94" t="e">
        <f t="shared" si="27"/>
        <v>#N/A</v>
      </c>
      <c r="AI94" t="e">
        <f t="shared" si="28"/>
        <v>#N/A</v>
      </c>
      <c r="AK94" t="e">
        <f t="shared" si="29"/>
        <v>#N/A</v>
      </c>
      <c r="AL94">
        <f t="shared" si="30"/>
        <v>0.31008712796085569</v>
      </c>
      <c r="AM94" t="e">
        <f t="shared" si="31"/>
        <v>#N/A</v>
      </c>
      <c r="AN94" t="e">
        <f t="shared" si="32"/>
        <v>#N/A</v>
      </c>
      <c r="AO94" t="e">
        <f t="shared" si="33"/>
        <v>#N/A</v>
      </c>
      <c r="AP94" t="e">
        <f t="shared" si="34"/>
        <v>#N/A</v>
      </c>
      <c r="AQ94" t="e">
        <f t="shared" si="35"/>
        <v>#N/A</v>
      </c>
    </row>
    <row r="95" spans="15:43">
      <c r="O95">
        <v>91</v>
      </c>
      <c r="P95" s="401">
        <f>'Lab test'!N94</f>
        <v>23.939499999999999</v>
      </c>
      <c r="Q95" s="401">
        <f>'Lab test'!M94</f>
        <v>6.9596000000000005E-2</v>
      </c>
      <c r="R95">
        <f>IF('Lab test'!O94&gt;0,'Lab test'!O94,NA())</f>
        <v>304.79999999999995</v>
      </c>
      <c r="S95">
        <f>'Lab test'!Q94</f>
        <v>343.978102189781</v>
      </c>
      <c r="T95" s="401">
        <f>IF('Lab test'!P94&gt;0,'Lab test'!P94,NA())</f>
        <v>0.68649043283858446</v>
      </c>
      <c r="U95" s="401">
        <f>'Lab test'!AZ94</f>
        <v>1934</v>
      </c>
      <c r="V95">
        <f>IF('Lab test'!AQ94&gt;0,'Lab test'!AQ94,NA())</f>
        <v>1.0173521762696611</v>
      </c>
      <c r="W95">
        <f>IF('Lab test'!AU94&gt;0,'Lab test'!AU94,NA())</f>
        <v>0.25200969786464456</v>
      </c>
      <c r="X95">
        <f>IF('Lab test'!AT94&gt;0,'Lab test'!AT94,NA())</f>
        <v>0.26083141088404099</v>
      </c>
      <c r="Y95">
        <f t="shared" si="21"/>
        <v>1</v>
      </c>
      <c r="Z95" t="str">
        <f>'Lab test'!AC94</f>
        <v>LTWb</v>
      </c>
      <c r="AA95" t="str">
        <f>'Lab test'!T94</f>
        <v>Steel</v>
      </c>
      <c r="AC95" t="e">
        <f t="shared" si="22"/>
        <v>#N/A</v>
      </c>
      <c r="AD95">
        <f t="shared" si="23"/>
        <v>0.25200969786464456</v>
      </c>
      <c r="AE95" t="e">
        <f t="shared" si="24"/>
        <v>#N/A</v>
      </c>
      <c r="AF95" t="e">
        <f t="shared" si="25"/>
        <v>#N/A</v>
      </c>
      <c r="AG95" t="e">
        <f t="shared" si="26"/>
        <v>#N/A</v>
      </c>
      <c r="AH95" t="e">
        <f t="shared" si="27"/>
        <v>#N/A</v>
      </c>
      <c r="AI95" t="e">
        <f t="shared" si="28"/>
        <v>#N/A</v>
      </c>
      <c r="AK95" t="e">
        <f t="shared" si="29"/>
        <v>#N/A</v>
      </c>
      <c r="AL95">
        <f t="shared" si="30"/>
        <v>0.26083141088404099</v>
      </c>
      <c r="AM95" t="e">
        <f t="shared" si="31"/>
        <v>#N/A</v>
      </c>
      <c r="AN95" t="e">
        <f t="shared" si="32"/>
        <v>#N/A</v>
      </c>
      <c r="AO95" t="e">
        <f t="shared" si="33"/>
        <v>#N/A</v>
      </c>
      <c r="AP95" t="e">
        <f t="shared" si="34"/>
        <v>#N/A</v>
      </c>
      <c r="AQ95" t="e">
        <f t="shared" si="35"/>
        <v>#N/A</v>
      </c>
    </row>
    <row r="96" spans="15:43">
      <c r="O96">
        <v>92</v>
      </c>
      <c r="P96" s="401">
        <f>'Lab test'!N95</f>
        <v>72.009</v>
      </c>
      <c r="Q96" s="401">
        <f>'Lab test'!M95</f>
        <v>5.0546000000000001E-2</v>
      </c>
      <c r="R96">
        <f>IF('Lab test'!O95&gt;0,'Lab test'!O95,NA())</f>
        <v>304.79999999999995</v>
      </c>
      <c r="S96">
        <f>'Lab test'!Q95</f>
        <v>1424.6231155778894</v>
      </c>
      <c r="T96" s="401">
        <f>IF('Lab test'!P95&gt;0,'Lab test'!P95,NA())</f>
        <v>0.11214455434258878</v>
      </c>
      <c r="U96" s="401">
        <f>'Lab test'!AZ95</f>
        <v>1934</v>
      </c>
      <c r="V96">
        <f>IF('Lab test'!AQ95&gt;0,'Lab test'!AQ95,NA())</f>
        <v>2.0704078890671718</v>
      </c>
      <c r="W96">
        <f>IF('Lab test'!AU95&gt;0,'Lab test'!AU95,NA())</f>
        <v>4.0102563353280905E-2</v>
      </c>
      <c r="X96">
        <f>IF('Lab test'!AT95&gt;0,'Lab test'!AT95,NA())</f>
        <v>0.17190320000870835</v>
      </c>
      <c r="Y96">
        <f t="shared" si="21"/>
        <v>1</v>
      </c>
      <c r="Z96" t="str">
        <f>'Lab test'!AC95</f>
        <v>LTWb</v>
      </c>
      <c r="AA96" t="str">
        <f>'Lab test'!T95</f>
        <v>Steel</v>
      </c>
      <c r="AC96" t="e">
        <f t="shared" si="22"/>
        <v>#N/A</v>
      </c>
      <c r="AD96">
        <f t="shared" si="23"/>
        <v>4.0102563353280905E-2</v>
      </c>
      <c r="AE96" t="e">
        <f t="shared" si="24"/>
        <v>#N/A</v>
      </c>
      <c r="AF96" t="e">
        <f t="shared" si="25"/>
        <v>#N/A</v>
      </c>
      <c r="AG96" t="e">
        <f t="shared" si="26"/>
        <v>#N/A</v>
      </c>
      <c r="AH96" t="e">
        <f t="shared" si="27"/>
        <v>#N/A</v>
      </c>
      <c r="AI96" t="e">
        <f t="shared" si="28"/>
        <v>#N/A</v>
      </c>
      <c r="AK96" t="e">
        <f t="shared" si="29"/>
        <v>#N/A</v>
      </c>
      <c r="AL96">
        <f t="shared" si="30"/>
        <v>0.17190320000870835</v>
      </c>
      <c r="AM96" t="e">
        <f t="shared" si="31"/>
        <v>#N/A</v>
      </c>
      <c r="AN96" t="e">
        <f t="shared" si="32"/>
        <v>#N/A</v>
      </c>
      <c r="AO96" t="e">
        <f t="shared" si="33"/>
        <v>#N/A</v>
      </c>
      <c r="AP96" t="e">
        <f t="shared" si="34"/>
        <v>#N/A</v>
      </c>
      <c r="AQ96" t="e">
        <f t="shared" si="35"/>
        <v>#N/A</v>
      </c>
    </row>
    <row r="97" spans="15:43">
      <c r="O97">
        <v>93</v>
      </c>
      <c r="P97" s="401">
        <f>'Lab test'!N96</f>
        <v>47.625</v>
      </c>
      <c r="Q97" s="401">
        <f>'Lab test'!M96</f>
        <v>5.1053999999999988E-2</v>
      </c>
      <c r="R97">
        <f>IF('Lab test'!O96&gt;0,'Lab test'!O96,NA())</f>
        <v>304.79999999999995</v>
      </c>
      <c r="S97">
        <f>'Lab test'!Q96</f>
        <v>932.8358208955226</v>
      </c>
      <c r="T97" s="401">
        <f>IF('Lab test'!P96&gt;0,'Lab test'!P96,NA())</f>
        <v>0.20954503095993468</v>
      </c>
      <c r="U97" s="401">
        <f>'Lab test'!AZ96</f>
        <v>1934</v>
      </c>
      <c r="V97">
        <f>IF('Lab test'!AQ96&gt;0,'Lab test'!AQ96,NA())</f>
        <v>1.6753614870861464</v>
      </c>
      <c r="W97">
        <f>IF('Lab test'!AU96&gt;0,'Lab test'!AU96,NA())</f>
        <v>7.263099613412656E-2</v>
      </c>
      <c r="X97">
        <f>IF('Lab test'!AT96&gt;0,'Lab test'!AT96,NA())</f>
        <v>0.20386330282968676</v>
      </c>
      <c r="Y97">
        <f t="shared" si="21"/>
        <v>1</v>
      </c>
      <c r="Z97" t="str">
        <f>'Lab test'!AC96</f>
        <v>LTWb</v>
      </c>
      <c r="AA97" t="str">
        <f>'Lab test'!T96</f>
        <v>Steel</v>
      </c>
      <c r="AC97" t="e">
        <f t="shared" si="22"/>
        <v>#N/A</v>
      </c>
      <c r="AD97">
        <f t="shared" si="23"/>
        <v>7.263099613412656E-2</v>
      </c>
      <c r="AE97" t="e">
        <f t="shared" si="24"/>
        <v>#N/A</v>
      </c>
      <c r="AF97" t="e">
        <f t="shared" si="25"/>
        <v>#N/A</v>
      </c>
      <c r="AG97" t="e">
        <f t="shared" si="26"/>
        <v>#N/A</v>
      </c>
      <c r="AH97" t="e">
        <f t="shared" si="27"/>
        <v>#N/A</v>
      </c>
      <c r="AI97" t="e">
        <f t="shared" si="28"/>
        <v>#N/A</v>
      </c>
      <c r="AK97" t="e">
        <f t="shared" si="29"/>
        <v>#N/A</v>
      </c>
      <c r="AL97">
        <f t="shared" si="30"/>
        <v>0.20386330282968676</v>
      </c>
      <c r="AM97" t="e">
        <f t="shared" si="31"/>
        <v>#N/A</v>
      </c>
      <c r="AN97" t="e">
        <f t="shared" si="32"/>
        <v>#N/A</v>
      </c>
      <c r="AO97" t="e">
        <f t="shared" si="33"/>
        <v>#N/A</v>
      </c>
      <c r="AP97" t="e">
        <f t="shared" si="34"/>
        <v>#N/A</v>
      </c>
      <c r="AQ97" t="e">
        <f t="shared" si="35"/>
        <v>#N/A</v>
      </c>
    </row>
    <row r="98" spans="15:43">
      <c r="O98">
        <v>94</v>
      </c>
      <c r="P98" s="401">
        <f>'Lab test'!N97</f>
        <v>23.939499999999999</v>
      </c>
      <c r="Q98" s="401">
        <f>'Lab test'!M97</f>
        <v>7.1119999999999989E-2</v>
      </c>
      <c r="R98">
        <f>IF('Lab test'!O97&gt;0,'Lab test'!O97,NA())</f>
        <v>609.59999999999991</v>
      </c>
      <c r="S98">
        <f>'Lab test'!Q97</f>
        <v>336.60714285714289</v>
      </c>
      <c r="T98" s="401">
        <f>IF('Lab test'!P97&gt;0,'Lab test'!P97,NA())</f>
        <v>1.3879320963327308</v>
      </c>
      <c r="U98" s="401">
        <f>'Lab test'!AZ97</f>
        <v>1934</v>
      </c>
      <c r="V98">
        <f>IF('Lab test'!AQ97&gt;0,'Lab test'!AQ97,NA())</f>
        <v>1.0063929462860501</v>
      </c>
      <c r="W98">
        <f>IF('Lab test'!AU97&gt;0,'Lab test'!AU97,NA())</f>
        <v>0.25295994902458802</v>
      </c>
      <c r="X98">
        <f>IF('Lab test'!AT97&gt;0,'Lab test'!AT97,NA())</f>
        <v>0.2562046061708273</v>
      </c>
      <c r="Y98">
        <f t="shared" si="21"/>
        <v>1</v>
      </c>
      <c r="Z98" t="str">
        <f>'Lab test'!AC97</f>
        <v>LTWb</v>
      </c>
      <c r="AA98" t="str">
        <f>'Lab test'!T97</f>
        <v>Steel</v>
      </c>
      <c r="AC98" t="e">
        <f t="shared" si="22"/>
        <v>#N/A</v>
      </c>
      <c r="AD98">
        <f t="shared" si="23"/>
        <v>0.25295994902458802</v>
      </c>
      <c r="AE98" t="e">
        <f t="shared" si="24"/>
        <v>#N/A</v>
      </c>
      <c r="AF98" t="e">
        <f t="shared" si="25"/>
        <v>#N/A</v>
      </c>
      <c r="AG98" t="e">
        <f t="shared" si="26"/>
        <v>#N/A</v>
      </c>
      <c r="AH98" t="e">
        <f t="shared" si="27"/>
        <v>#N/A</v>
      </c>
      <c r="AI98" t="e">
        <f t="shared" si="28"/>
        <v>#N/A</v>
      </c>
      <c r="AK98" t="e">
        <f t="shared" si="29"/>
        <v>#N/A</v>
      </c>
      <c r="AL98">
        <f t="shared" si="30"/>
        <v>0.2562046061708273</v>
      </c>
      <c r="AM98" t="e">
        <f t="shared" si="31"/>
        <v>#N/A</v>
      </c>
      <c r="AN98" t="e">
        <f t="shared" si="32"/>
        <v>#N/A</v>
      </c>
      <c r="AO98" t="e">
        <f t="shared" si="33"/>
        <v>#N/A</v>
      </c>
      <c r="AP98" t="e">
        <f t="shared" si="34"/>
        <v>#N/A</v>
      </c>
      <c r="AQ98" t="e">
        <f t="shared" si="35"/>
        <v>#N/A</v>
      </c>
    </row>
    <row r="99" spans="15:43">
      <c r="O99">
        <v>95</v>
      </c>
      <c r="P99" s="401">
        <f>'Lab test'!N98</f>
        <v>23.939499999999999</v>
      </c>
      <c r="Q99" s="401">
        <f>'Lab test'!M98</f>
        <v>5.0546000000000001E-2</v>
      </c>
      <c r="R99">
        <f>IF('Lab test'!O98&gt;0,'Lab test'!O98,NA())</f>
        <v>762</v>
      </c>
      <c r="S99">
        <f>'Lab test'!Q98</f>
        <v>473.6180904522613</v>
      </c>
      <c r="T99" s="401">
        <f>IF('Lab test'!P98&gt;0,'Lab test'!P98,NA())</f>
        <v>1.4626006247856018</v>
      </c>
      <c r="U99" s="401">
        <f>'Lab test'!AZ98</f>
        <v>1934</v>
      </c>
      <c r="V99">
        <f>IF('Lab test'!AQ98&gt;0,'Lab test'!AQ98,NA())</f>
        <v>1.1937683534406605</v>
      </c>
      <c r="W99">
        <f>IF('Lab test'!AU98&gt;0,'Lab test'!AU98,NA())</f>
        <v>0.13551900719384577</v>
      </c>
      <c r="X99">
        <f>IF('Lab test'!AT98&gt;0,'Lab test'!AT98,NA())</f>
        <v>0.19312581729373399</v>
      </c>
      <c r="Y99">
        <f t="shared" si="21"/>
        <v>1</v>
      </c>
      <c r="Z99" t="str">
        <f>'Lab test'!AC98</f>
        <v>LTWb</v>
      </c>
      <c r="AA99" t="str">
        <f>'Lab test'!T98</f>
        <v>Steel</v>
      </c>
      <c r="AC99" t="e">
        <f t="shared" si="22"/>
        <v>#N/A</v>
      </c>
      <c r="AD99">
        <f t="shared" si="23"/>
        <v>0.13551900719384577</v>
      </c>
      <c r="AE99" t="e">
        <f t="shared" si="24"/>
        <v>#N/A</v>
      </c>
      <c r="AF99" t="e">
        <f t="shared" si="25"/>
        <v>#N/A</v>
      </c>
      <c r="AG99" t="e">
        <f t="shared" si="26"/>
        <v>#N/A</v>
      </c>
      <c r="AH99" t="e">
        <f t="shared" si="27"/>
        <v>#N/A</v>
      </c>
      <c r="AI99" t="e">
        <f t="shared" si="28"/>
        <v>#N/A</v>
      </c>
      <c r="AK99" t="e">
        <f t="shared" si="29"/>
        <v>#N/A</v>
      </c>
      <c r="AL99">
        <f t="shared" si="30"/>
        <v>0.19312581729373399</v>
      </c>
      <c r="AM99" t="e">
        <f t="shared" si="31"/>
        <v>#N/A</v>
      </c>
      <c r="AN99" t="e">
        <f t="shared" si="32"/>
        <v>#N/A</v>
      </c>
      <c r="AO99" t="e">
        <f t="shared" si="33"/>
        <v>#N/A</v>
      </c>
      <c r="AP99" t="e">
        <f t="shared" si="34"/>
        <v>#N/A</v>
      </c>
      <c r="AQ99" t="e">
        <f t="shared" si="35"/>
        <v>#N/A</v>
      </c>
    </row>
    <row r="100" spans="15:43">
      <c r="O100">
        <v>96</v>
      </c>
      <c r="P100" s="401">
        <f>'Lab test'!N99</f>
        <v>72.009</v>
      </c>
      <c r="Q100" s="401">
        <f>'Lab test'!M99</f>
        <v>0.14808199999999999</v>
      </c>
      <c r="R100">
        <f>IF('Lab test'!O99&gt;0,'Lab test'!O99,NA())</f>
        <v>152.39999999999998</v>
      </c>
      <c r="S100">
        <f>'Lab test'!Q99</f>
        <v>486.27787307032594</v>
      </c>
      <c r="T100" s="401">
        <f>IF('Lab test'!P99&gt;0,'Lab test'!P99,NA())</f>
        <v>9.5974516502575158E-2</v>
      </c>
      <c r="U100" s="401">
        <f>'Lab test'!AZ99</f>
        <v>1934</v>
      </c>
      <c r="V100">
        <f>IF('Lab test'!AQ99&gt;0,'Lab test'!AQ99,NA())</f>
        <v>1.1956060729533817</v>
      </c>
      <c r="W100">
        <f>IF('Lab test'!AU99&gt;0,'Lab test'!AU99,NA())</f>
        <v>0.22254779560069551</v>
      </c>
      <c r="X100">
        <f>IF('Lab test'!AT99&gt;0,'Lab test'!AT99,NA())</f>
        <v>0.31812626123732268</v>
      </c>
      <c r="Y100">
        <f t="shared" si="21"/>
        <v>1</v>
      </c>
      <c r="Z100" t="str">
        <f>'Lab test'!AC99</f>
        <v>LTWb</v>
      </c>
      <c r="AA100" t="str">
        <f>'Lab test'!T99</f>
        <v>Brass</v>
      </c>
      <c r="AC100" t="e">
        <f t="shared" si="22"/>
        <v>#N/A</v>
      </c>
      <c r="AD100">
        <f t="shared" si="23"/>
        <v>0.22254779560069551</v>
      </c>
      <c r="AE100" t="e">
        <f t="shared" si="24"/>
        <v>#N/A</v>
      </c>
      <c r="AF100" t="e">
        <f t="shared" si="25"/>
        <v>#N/A</v>
      </c>
      <c r="AG100" t="e">
        <f t="shared" si="26"/>
        <v>#N/A</v>
      </c>
      <c r="AH100" t="e">
        <f t="shared" si="27"/>
        <v>#N/A</v>
      </c>
      <c r="AI100" t="e">
        <f t="shared" si="28"/>
        <v>#N/A</v>
      </c>
      <c r="AK100" t="e">
        <f t="shared" si="29"/>
        <v>#N/A</v>
      </c>
      <c r="AL100">
        <f t="shared" si="30"/>
        <v>0.31812626123732268</v>
      </c>
      <c r="AM100" t="e">
        <f t="shared" si="31"/>
        <v>#N/A</v>
      </c>
      <c r="AN100" t="e">
        <f t="shared" si="32"/>
        <v>#N/A</v>
      </c>
      <c r="AO100" t="e">
        <f t="shared" si="33"/>
        <v>#N/A</v>
      </c>
      <c r="AP100" t="e">
        <f t="shared" si="34"/>
        <v>#N/A</v>
      </c>
      <c r="AQ100" t="e">
        <f t="shared" si="35"/>
        <v>#N/A</v>
      </c>
    </row>
    <row r="101" spans="15:43">
      <c r="O101">
        <v>97</v>
      </c>
      <c r="P101" s="401">
        <f>'Lab test'!N100</f>
        <v>47.625</v>
      </c>
      <c r="Q101" s="401">
        <f>'Lab test'!M100</f>
        <v>0.15138399999999999</v>
      </c>
      <c r="R101">
        <f>IF('Lab test'!O100&gt;0,'Lab test'!O100,NA())</f>
        <v>152.39999999999998</v>
      </c>
      <c r="S101">
        <f>'Lab test'!Q100</f>
        <v>314.59731543624162</v>
      </c>
      <c r="T101" s="401">
        <f>IF('Lab test'!P100&gt;0,'Lab test'!P100,NA())</f>
        <v>0.18041492916792295</v>
      </c>
      <c r="U101" s="401">
        <f>'Lab test'!AZ100</f>
        <v>1934</v>
      </c>
      <c r="V101">
        <f>IF('Lab test'!AQ100&gt;0,'Lab test'!AQ100,NA())</f>
        <v>0.96166401276432378</v>
      </c>
      <c r="W101">
        <f>IF('Lab test'!AU100&gt;0,'Lab test'!AU100,NA())</f>
        <v>0.24711013921243075</v>
      </c>
      <c r="X101">
        <f>IF('Lab test'!AT100&gt;0,'Lab test'!AT100,NA())</f>
        <v>0.22852688182856856</v>
      </c>
      <c r="Y101">
        <f t="shared" si="21"/>
        <v>1</v>
      </c>
      <c r="Z101" t="str">
        <f>'Lab test'!AC100</f>
        <v>LTWb</v>
      </c>
      <c r="AA101" t="str">
        <f>'Lab test'!T100</f>
        <v>Brass</v>
      </c>
      <c r="AC101" t="e">
        <f t="shared" si="22"/>
        <v>#N/A</v>
      </c>
      <c r="AD101">
        <f t="shared" si="23"/>
        <v>0.24711013921243075</v>
      </c>
      <c r="AE101" t="e">
        <f t="shared" si="24"/>
        <v>#N/A</v>
      </c>
      <c r="AF101" t="e">
        <f t="shared" si="25"/>
        <v>#N/A</v>
      </c>
      <c r="AG101" t="e">
        <f t="shared" si="26"/>
        <v>#N/A</v>
      </c>
      <c r="AH101" t="e">
        <f t="shared" si="27"/>
        <v>#N/A</v>
      </c>
      <c r="AI101" t="e">
        <f t="shared" si="28"/>
        <v>#N/A</v>
      </c>
      <c r="AK101" t="e">
        <f t="shared" si="29"/>
        <v>#N/A</v>
      </c>
      <c r="AL101">
        <f t="shared" si="30"/>
        <v>0.22852688182856856</v>
      </c>
      <c r="AM101" t="e">
        <f t="shared" si="31"/>
        <v>#N/A</v>
      </c>
      <c r="AN101" t="e">
        <f t="shared" si="32"/>
        <v>#N/A</v>
      </c>
      <c r="AO101" t="e">
        <f t="shared" si="33"/>
        <v>#N/A</v>
      </c>
      <c r="AP101" t="e">
        <f t="shared" si="34"/>
        <v>#N/A</v>
      </c>
      <c r="AQ101" t="e">
        <f t="shared" si="35"/>
        <v>#N/A</v>
      </c>
    </row>
    <row r="102" spans="15:43">
      <c r="O102">
        <v>98</v>
      </c>
      <c r="P102" s="401">
        <f>'Lab test'!N101</f>
        <v>47.625</v>
      </c>
      <c r="Q102" s="401">
        <f>'Lab test'!M101</f>
        <v>0.14986000000000002</v>
      </c>
      <c r="R102">
        <f>IF('Lab test'!O101&gt;0,'Lab test'!O101,NA())</f>
        <v>152.39999999999998</v>
      </c>
      <c r="S102">
        <f>'Lab test'!Q101</f>
        <v>317.79661016949149</v>
      </c>
      <c r="T102" s="401">
        <f>IF('Lab test'!P101&gt;0,'Lab test'!P101,NA())</f>
        <v>0.1795045031932811</v>
      </c>
      <c r="U102" s="401">
        <f>'Lab test'!AZ101</f>
        <v>1934</v>
      </c>
      <c r="V102">
        <f>IF('Lab test'!AQ101&gt;0,'Lab test'!AQ101,NA())</f>
        <v>0.96654146085350201</v>
      </c>
      <c r="W102">
        <f>IF('Lab test'!AU101&gt;0,'Lab test'!AU101,NA())</f>
        <v>0.2362238705192902</v>
      </c>
      <c r="X102">
        <f>IF('Lab test'!AT101&gt;0,'Lab test'!AT101,NA())</f>
        <v>0.22068090572493562</v>
      </c>
      <c r="Y102">
        <f t="shared" si="21"/>
        <v>1</v>
      </c>
      <c r="Z102" t="str">
        <f>'Lab test'!AC101</f>
        <v>LTWb</v>
      </c>
      <c r="AA102" t="str">
        <f>'Lab test'!T101</f>
        <v>Brass</v>
      </c>
      <c r="AC102" t="e">
        <f t="shared" si="22"/>
        <v>#N/A</v>
      </c>
      <c r="AD102">
        <f t="shared" si="23"/>
        <v>0.2362238705192902</v>
      </c>
      <c r="AE102" t="e">
        <f t="shared" si="24"/>
        <v>#N/A</v>
      </c>
      <c r="AF102" t="e">
        <f t="shared" si="25"/>
        <v>#N/A</v>
      </c>
      <c r="AG102" t="e">
        <f t="shared" si="26"/>
        <v>#N/A</v>
      </c>
      <c r="AH102" t="e">
        <f t="shared" si="27"/>
        <v>#N/A</v>
      </c>
      <c r="AI102" t="e">
        <f t="shared" si="28"/>
        <v>#N/A</v>
      </c>
      <c r="AK102" t="e">
        <f t="shared" si="29"/>
        <v>#N/A</v>
      </c>
      <c r="AL102">
        <f t="shared" si="30"/>
        <v>0.22068090572493562</v>
      </c>
      <c r="AM102" t="e">
        <f t="shared" si="31"/>
        <v>#N/A</v>
      </c>
      <c r="AN102" t="e">
        <f t="shared" si="32"/>
        <v>#N/A</v>
      </c>
      <c r="AO102" t="e">
        <f t="shared" si="33"/>
        <v>#N/A</v>
      </c>
      <c r="AP102" t="e">
        <f t="shared" si="34"/>
        <v>#N/A</v>
      </c>
      <c r="AQ102" t="e">
        <f t="shared" si="35"/>
        <v>#N/A</v>
      </c>
    </row>
    <row r="103" spans="15:43">
      <c r="O103">
        <v>99</v>
      </c>
      <c r="P103" s="401">
        <f>'Lab test'!N102</f>
        <v>23.939499999999999</v>
      </c>
      <c r="Q103" s="401">
        <f>'Lab test'!M102</f>
        <v>0.14808199999999999</v>
      </c>
      <c r="R103">
        <f>IF('Lab test'!O102&gt;0,'Lab test'!O102,NA())</f>
        <v>152.39999999999998</v>
      </c>
      <c r="S103">
        <f>'Lab test'!Q102</f>
        <v>161.66380789022298</v>
      </c>
      <c r="T103" s="401">
        <f>IF('Lab test'!P102&gt;0,'Lab test'!P102,NA())</f>
        <v>0.50068374206148569</v>
      </c>
      <c r="U103" s="401">
        <f>'Lab test'!AZ102</f>
        <v>1934</v>
      </c>
      <c r="V103">
        <f>IF('Lab test'!AQ102&gt;0,'Lab test'!AQ102,NA())</f>
        <v>0.6893698099828417</v>
      </c>
      <c r="W103">
        <f>IF('Lab test'!AU102&gt;0,'Lab test'!AU102,NA())</f>
        <v>0.68140383445120845</v>
      </c>
      <c r="X103">
        <f>IF('Lab test'!AT102&gt;0,'Lab test'!AT102,NA())</f>
        <v>0.3238240450206778</v>
      </c>
      <c r="Y103">
        <f t="shared" si="21"/>
        <v>1</v>
      </c>
      <c r="Z103" t="str">
        <f>'Lab test'!AC102</f>
        <v>LTWb</v>
      </c>
      <c r="AA103" t="str">
        <f>'Lab test'!T102</f>
        <v>Brass</v>
      </c>
      <c r="AC103" t="e">
        <f t="shared" si="22"/>
        <v>#N/A</v>
      </c>
      <c r="AD103">
        <f t="shared" si="23"/>
        <v>0.68140383445120845</v>
      </c>
      <c r="AE103" t="e">
        <f t="shared" si="24"/>
        <v>#N/A</v>
      </c>
      <c r="AF103" t="e">
        <f t="shared" si="25"/>
        <v>#N/A</v>
      </c>
      <c r="AG103" t="e">
        <f t="shared" si="26"/>
        <v>#N/A</v>
      </c>
      <c r="AH103" t="e">
        <f t="shared" si="27"/>
        <v>#N/A</v>
      </c>
      <c r="AI103" t="e">
        <f t="shared" si="28"/>
        <v>#N/A</v>
      </c>
      <c r="AK103" t="e">
        <f t="shared" si="29"/>
        <v>#N/A</v>
      </c>
      <c r="AL103">
        <f t="shared" si="30"/>
        <v>0.3238240450206778</v>
      </c>
      <c r="AM103" t="e">
        <f t="shared" si="31"/>
        <v>#N/A</v>
      </c>
      <c r="AN103" t="e">
        <f t="shared" si="32"/>
        <v>#N/A</v>
      </c>
      <c r="AO103" t="e">
        <f t="shared" si="33"/>
        <v>#N/A</v>
      </c>
      <c r="AP103" t="e">
        <f t="shared" si="34"/>
        <v>#N/A</v>
      </c>
      <c r="AQ103" t="e">
        <f t="shared" si="35"/>
        <v>#N/A</v>
      </c>
    </row>
    <row r="104" spans="15:43">
      <c r="O104">
        <v>100</v>
      </c>
      <c r="P104" s="401">
        <f>'Lab test'!N103</f>
        <v>72.009</v>
      </c>
      <c r="Q104" s="401">
        <f>'Lab test'!M103</f>
        <v>7.5691999999999995E-2</v>
      </c>
      <c r="R104">
        <f>IF('Lab test'!O103&gt;0,'Lab test'!O103,NA())</f>
        <v>152.39999999999998</v>
      </c>
      <c r="S104">
        <f>'Lab test'!Q103</f>
        <v>951.34228187919473</v>
      </c>
      <c r="T104" s="401">
        <f>IF('Lab test'!P103&gt;0,'Lab test'!P103,NA())</f>
        <v>6.8616693678336629E-2</v>
      </c>
      <c r="U104" s="401">
        <f>'Lab test'!AZ103</f>
        <v>1934</v>
      </c>
      <c r="V104">
        <f>IF('Lab test'!AQ103&gt;0,'Lab test'!AQ103,NA())</f>
        <v>1.7039554411480944</v>
      </c>
      <c r="W104">
        <f>IF('Lab test'!AU103&gt;0,'Lab test'!AU103,NA())</f>
        <v>7.7329952997042248E-2</v>
      </c>
      <c r="X104">
        <f>IF('Lab test'!AT103&gt;0,'Lab test'!AT103,NA())</f>
        <v>0.2245247458937866</v>
      </c>
      <c r="Y104">
        <f t="shared" si="21"/>
        <v>1</v>
      </c>
      <c r="Z104" t="str">
        <f>'Lab test'!AC103</f>
        <v>LTWb</v>
      </c>
      <c r="AA104" t="str">
        <f>'Lab test'!T103</f>
        <v>Brass</v>
      </c>
      <c r="AC104" t="e">
        <f t="shared" si="22"/>
        <v>#N/A</v>
      </c>
      <c r="AD104">
        <f t="shared" si="23"/>
        <v>7.7329952997042248E-2</v>
      </c>
      <c r="AE104" t="e">
        <f t="shared" si="24"/>
        <v>#N/A</v>
      </c>
      <c r="AF104" t="e">
        <f t="shared" si="25"/>
        <v>#N/A</v>
      </c>
      <c r="AG104" t="e">
        <f t="shared" si="26"/>
        <v>#N/A</v>
      </c>
      <c r="AH104" t="e">
        <f t="shared" si="27"/>
        <v>#N/A</v>
      </c>
      <c r="AI104" t="e">
        <f t="shared" si="28"/>
        <v>#N/A</v>
      </c>
      <c r="AK104" t="e">
        <f t="shared" si="29"/>
        <v>#N/A</v>
      </c>
      <c r="AL104">
        <f t="shared" si="30"/>
        <v>0.2245247458937866</v>
      </c>
      <c r="AM104" t="e">
        <f t="shared" si="31"/>
        <v>#N/A</v>
      </c>
      <c r="AN104" t="e">
        <f t="shared" si="32"/>
        <v>#N/A</v>
      </c>
      <c r="AO104" t="e">
        <f t="shared" si="33"/>
        <v>#N/A</v>
      </c>
      <c r="AP104" t="e">
        <f t="shared" si="34"/>
        <v>#N/A</v>
      </c>
      <c r="AQ104" t="e">
        <f t="shared" si="35"/>
        <v>#N/A</v>
      </c>
    </row>
    <row r="105" spans="15:43">
      <c r="O105">
        <v>101</v>
      </c>
      <c r="P105" s="401">
        <f>'Lab test'!N104</f>
        <v>23.939499999999999</v>
      </c>
      <c r="Q105" s="401">
        <f>'Lab test'!M104</f>
        <v>7.493000000000001E-2</v>
      </c>
      <c r="R105">
        <f>IF('Lab test'!O104&gt;0,'Lab test'!O104,NA())</f>
        <v>152.39999999999998</v>
      </c>
      <c r="S105">
        <f>'Lab test'!Q104</f>
        <v>319.49152542372877</v>
      </c>
      <c r="T105" s="401">
        <f>IF('Lab test'!P104&gt;0,'Lab test'!P104,NA())</f>
        <v>0.35615596305533065</v>
      </c>
      <c r="U105" s="401">
        <f>'Lab test'!AZ104</f>
        <v>1934</v>
      </c>
      <c r="V105">
        <f>IF('Lab test'!AQ104&gt;0,'Lab test'!AQ104,NA())</f>
        <v>0.98745998471764174</v>
      </c>
      <c r="W105">
        <f>IF('Lab test'!AU104&gt;0,'Lab test'!AU104,NA())</f>
        <v>0.27841065362787754</v>
      </c>
      <c r="X105">
        <f>IF('Lab test'!AT104&gt;0,'Lab test'!AT104,NA())</f>
        <v>0.27147188655279747</v>
      </c>
      <c r="Y105">
        <f t="shared" si="21"/>
        <v>1</v>
      </c>
      <c r="Z105" t="str">
        <f>'Lab test'!AC104</f>
        <v>LTWb</v>
      </c>
      <c r="AA105" t="str">
        <f>'Lab test'!T104</f>
        <v>Brass</v>
      </c>
      <c r="AC105" t="e">
        <f t="shared" si="22"/>
        <v>#N/A</v>
      </c>
      <c r="AD105">
        <f t="shared" si="23"/>
        <v>0.27841065362787754</v>
      </c>
      <c r="AE105" t="e">
        <f t="shared" si="24"/>
        <v>#N/A</v>
      </c>
      <c r="AF105" t="e">
        <f t="shared" si="25"/>
        <v>#N/A</v>
      </c>
      <c r="AG105" t="e">
        <f t="shared" si="26"/>
        <v>#N/A</v>
      </c>
      <c r="AH105" t="e">
        <f t="shared" si="27"/>
        <v>#N/A</v>
      </c>
      <c r="AI105" t="e">
        <f t="shared" si="28"/>
        <v>#N/A</v>
      </c>
      <c r="AK105" t="e">
        <f t="shared" si="29"/>
        <v>#N/A</v>
      </c>
      <c r="AL105">
        <f t="shared" si="30"/>
        <v>0.27147188655279747</v>
      </c>
      <c r="AM105" t="e">
        <f t="shared" si="31"/>
        <v>#N/A</v>
      </c>
      <c r="AN105" t="e">
        <f t="shared" si="32"/>
        <v>#N/A</v>
      </c>
      <c r="AO105" t="e">
        <f t="shared" si="33"/>
        <v>#N/A</v>
      </c>
      <c r="AP105" t="e">
        <f t="shared" si="34"/>
        <v>#N/A</v>
      </c>
      <c r="AQ105" t="e">
        <f t="shared" si="35"/>
        <v>#N/A</v>
      </c>
    </row>
    <row r="106" spans="15:43">
      <c r="O106">
        <v>102</v>
      </c>
      <c r="P106" s="401">
        <f>'Lab test'!N105</f>
        <v>23.939499999999999</v>
      </c>
      <c r="Q106" s="401">
        <f>'Lab test'!M105</f>
        <v>7.5184000000000001E-2</v>
      </c>
      <c r="R106">
        <f>IF('Lab test'!O105&gt;0,'Lab test'!O105,NA())</f>
        <v>152.39999999999998</v>
      </c>
      <c r="S106">
        <f>'Lab test'!Q105</f>
        <v>318.41216216216213</v>
      </c>
      <c r="T106" s="401">
        <f>IF('Lab test'!P105&gt;0,'Lab test'!P105,NA())</f>
        <v>0.35675910652390364</v>
      </c>
      <c r="U106" s="401">
        <f>'Lab test'!AZ105</f>
        <v>1934</v>
      </c>
      <c r="V106">
        <f>IF('Lab test'!AQ105&gt;0,'Lab test'!AQ105,NA())</f>
        <v>0.98579056681248256</v>
      </c>
      <c r="W106">
        <f>IF('Lab test'!AU105&gt;0,'Lab test'!AU105,NA())</f>
        <v>0.3109239161777691</v>
      </c>
      <c r="X106">
        <f>IF('Lab test'!AT105&gt;0,'Lab test'!AT105,NA())</f>
        <v>0.30215058897453856</v>
      </c>
      <c r="Y106">
        <f t="shared" si="21"/>
        <v>1</v>
      </c>
      <c r="Z106" t="str">
        <f>'Lab test'!AC105</f>
        <v>LTWb</v>
      </c>
      <c r="AA106" t="str">
        <f>'Lab test'!T105</f>
        <v>Brass</v>
      </c>
      <c r="AC106" t="e">
        <f t="shared" si="22"/>
        <v>#N/A</v>
      </c>
      <c r="AD106">
        <f t="shared" si="23"/>
        <v>0.3109239161777691</v>
      </c>
      <c r="AE106" t="e">
        <f t="shared" si="24"/>
        <v>#N/A</v>
      </c>
      <c r="AF106" t="e">
        <f t="shared" si="25"/>
        <v>#N/A</v>
      </c>
      <c r="AG106" t="e">
        <f t="shared" si="26"/>
        <v>#N/A</v>
      </c>
      <c r="AH106" t="e">
        <f t="shared" si="27"/>
        <v>#N/A</v>
      </c>
      <c r="AI106" t="e">
        <f t="shared" si="28"/>
        <v>#N/A</v>
      </c>
      <c r="AK106" t="e">
        <f t="shared" si="29"/>
        <v>#N/A</v>
      </c>
      <c r="AL106">
        <f t="shared" si="30"/>
        <v>0.30215058897453856</v>
      </c>
      <c r="AM106" t="e">
        <f t="shared" si="31"/>
        <v>#N/A</v>
      </c>
      <c r="AN106" t="e">
        <f t="shared" si="32"/>
        <v>#N/A</v>
      </c>
      <c r="AO106" t="e">
        <f t="shared" si="33"/>
        <v>#N/A</v>
      </c>
      <c r="AP106" t="e">
        <f t="shared" si="34"/>
        <v>#N/A</v>
      </c>
      <c r="AQ106" t="e">
        <f t="shared" si="35"/>
        <v>#N/A</v>
      </c>
    </row>
    <row r="107" spans="15:43">
      <c r="O107">
        <v>103</v>
      </c>
      <c r="P107" s="401">
        <f>'Lab test'!N106</f>
        <v>72.009</v>
      </c>
      <c r="Q107" s="401">
        <f>'Lab test'!M106</f>
        <v>5.3593999999999996E-2</v>
      </c>
      <c r="R107">
        <f>IF('Lab test'!O106&gt;0,'Lab test'!O106,NA())</f>
        <v>152.39999999999998</v>
      </c>
      <c r="S107">
        <f>'Lab test'!Q106</f>
        <v>1343.6018957345973</v>
      </c>
      <c r="T107" s="401">
        <f>IF('Lab test'!P106&gt;0,'Lab test'!P106,NA())</f>
        <v>5.7738152491526175E-2</v>
      </c>
      <c r="U107" s="401">
        <f>'Lab test'!AZ106</f>
        <v>1934</v>
      </c>
      <c r="V107">
        <f>IF('Lab test'!AQ106&gt;0,'Lab test'!AQ106,NA())</f>
        <v>2.02500051528239</v>
      </c>
      <c r="W107">
        <f>IF('Lab test'!AU106&gt;0,'Lab test'!AU106,NA())</f>
        <v>4.0381948452635229E-2</v>
      </c>
      <c r="X107">
        <f>IF('Lab test'!AT106&gt;0,'Lab test'!AT106,NA())</f>
        <v>0.16559131164643109</v>
      </c>
      <c r="Y107">
        <f t="shared" si="21"/>
        <v>1</v>
      </c>
      <c r="Z107" t="str">
        <f>'Lab test'!AC106</f>
        <v>LTWb</v>
      </c>
      <c r="AA107" t="str">
        <f>'Lab test'!T106</f>
        <v>Brass</v>
      </c>
      <c r="AC107" t="e">
        <f t="shared" si="22"/>
        <v>#N/A</v>
      </c>
      <c r="AD107">
        <f t="shared" si="23"/>
        <v>4.0381948452635229E-2</v>
      </c>
      <c r="AE107" t="e">
        <f t="shared" si="24"/>
        <v>#N/A</v>
      </c>
      <c r="AF107" t="e">
        <f t="shared" si="25"/>
        <v>#N/A</v>
      </c>
      <c r="AG107" t="e">
        <f t="shared" si="26"/>
        <v>#N/A</v>
      </c>
      <c r="AH107" t="e">
        <f t="shared" si="27"/>
        <v>#N/A</v>
      </c>
      <c r="AI107" t="e">
        <f t="shared" si="28"/>
        <v>#N/A</v>
      </c>
      <c r="AK107" t="e">
        <f t="shared" si="29"/>
        <v>#N/A</v>
      </c>
      <c r="AL107">
        <f t="shared" si="30"/>
        <v>0.16559131164643109</v>
      </c>
      <c r="AM107" t="e">
        <f t="shared" si="31"/>
        <v>#N/A</v>
      </c>
      <c r="AN107" t="e">
        <f t="shared" si="32"/>
        <v>#N/A</v>
      </c>
      <c r="AO107" t="e">
        <f t="shared" si="33"/>
        <v>#N/A</v>
      </c>
      <c r="AP107" t="e">
        <f t="shared" si="34"/>
        <v>#N/A</v>
      </c>
      <c r="AQ107" t="e">
        <f t="shared" si="35"/>
        <v>#N/A</v>
      </c>
    </row>
    <row r="108" spans="15:43">
      <c r="O108">
        <v>104</v>
      </c>
      <c r="P108" s="401">
        <f>'Lab test'!N107</f>
        <v>72.009</v>
      </c>
      <c r="Q108" s="401">
        <f>'Lab test'!M107</f>
        <v>5.1053999999999988E-2</v>
      </c>
      <c r="R108">
        <f>IF('Lab test'!O107&gt;0,'Lab test'!O107,NA())</f>
        <v>152.39999999999998</v>
      </c>
      <c r="S108">
        <f>'Lab test'!Q107</f>
        <v>1410.4477611940301</v>
      </c>
      <c r="T108" s="401">
        <f>IF('Lab test'!P107&gt;0,'Lab test'!P107,NA())</f>
        <v>5.6353342978340749E-2</v>
      </c>
      <c r="U108" s="401">
        <f>'Lab test'!AZ107</f>
        <v>1934</v>
      </c>
      <c r="V108">
        <f>IF('Lab test'!AQ107&gt;0,'Lab test'!AQ107,NA())</f>
        <v>2.0747622477646366</v>
      </c>
      <c r="W108">
        <f>IF('Lab test'!AU107&gt;0,'Lab test'!AU107,NA())</f>
        <v>4.0464136950164348E-2</v>
      </c>
      <c r="X108">
        <f>IF('Lab test'!AT107&gt;0,'Lab test'!AT107,NA())</f>
        <v>0.17418347712143262</v>
      </c>
      <c r="Y108">
        <f t="shared" si="21"/>
        <v>1</v>
      </c>
      <c r="Z108" t="str">
        <f>'Lab test'!AC107</f>
        <v>LTWb</v>
      </c>
      <c r="AA108" t="str">
        <f>'Lab test'!T107</f>
        <v>Brass</v>
      </c>
      <c r="AC108" t="e">
        <f t="shared" si="22"/>
        <v>#N/A</v>
      </c>
      <c r="AD108">
        <f t="shared" si="23"/>
        <v>4.0464136950164348E-2</v>
      </c>
      <c r="AE108" t="e">
        <f t="shared" si="24"/>
        <v>#N/A</v>
      </c>
      <c r="AF108" t="e">
        <f t="shared" si="25"/>
        <v>#N/A</v>
      </c>
      <c r="AG108" t="e">
        <f t="shared" si="26"/>
        <v>#N/A</v>
      </c>
      <c r="AH108" t="e">
        <f t="shared" si="27"/>
        <v>#N/A</v>
      </c>
      <c r="AI108" t="e">
        <f t="shared" si="28"/>
        <v>#N/A</v>
      </c>
      <c r="AK108" t="e">
        <f t="shared" si="29"/>
        <v>#N/A</v>
      </c>
      <c r="AL108">
        <f t="shared" si="30"/>
        <v>0.17418347712143262</v>
      </c>
      <c r="AM108" t="e">
        <f t="shared" si="31"/>
        <v>#N/A</v>
      </c>
      <c r="AN108" t="e">
        <f t="shared" si="32"/>
        <v>#N/A</v>
      </c>
      <c r="AO108" t="e">
        <f t="shared" si="33"/>
        <v>#N/A</v>
      </c>
      <c r="AP108" t="e">
        <f t="shared" si="34"/>
        <v>#N/A</v>
      </c>
      <c r="AQ108" t="e">
        <f t="shared" si="35"/>
        <v>#N/A</v>
      </c>
    </row>
    <row r="109" spans="15:43">
      <c r="O109">
        <v>105</v>
      </c>
      <c r="P109" s="401">
        <f>'Lab test'!N108</f>
        <v>47.625</v>
      </c>
      <c r="Q109" s="401">
        <f>'Lab test'!M108</f>
        <v>5.4101999999999997E-2</v>
      </c>
      <c r="R109">
        <f>IF('Lab test'!O108&gt;0,'Lab test'!O108,NA())</f>
        <v>152.39999999999998</v>
      </c>
      <c r="S109">
        <f>'Lab test'!Q108</f>
        <v>880.28169014084506</v>
      </c>
      <c r="T109" s="401">
        <f>IF('Lab test'!P108&gt;0,'Lab test'!P108,NA())</f>
        <v>0.10785471709665738</v>
      </c>
      <c r="U109" s="401">
        <f>'Lab test'!AZ108</f>
        <v>1934</v>
      </c>
      <c r="V109">
        <f>IF('Lab test'!AQ108&gt;0,'Lab test'!AQ108,NA())</f>
        <v>1.6390819524780058</v>
      </c>
      <c r="W109">
        <f>IF('Lab test'!AU108&gt;0,'Lab test'!AU108,NA())</f>
        <v>6.5982759430172205E-2</v>
      </c>
      <c r="X109">
        <f>IF('Lab test'!AT108&gt;0,'Lab test'!AT108,NA())</f>
        <v>0.17726859836157469</v>
      </c>
      <c r="Y109">
        <f t="shared" si="21"/>
        <v>1</v>
      </c>
      <c r="Z109" t="str">
        <f>'Lab test'!AC108</f>
        <v>LTWb</v>
      </c>
      <c r="AA109" t="str">
        <f>'Lab test'!T108</f>
        <v>Brass</v>
      </c>
      <c r="AC109" t="e">
        <f t="shared" si="22"/>
        <v>#N/A</v>
      </c>
      <c r="AD109">
        <f t="shared" si="23"/>
        <v>6.5982759430172205E-2</v>
      </c>
      <c r="AE109" t="e">
        <f t="shared" si="24"/>
        <v>#N/A</v>
      </c>
      <c r="AF109" t="e">
        <f t="shared" si="25"/>
        <v>#N/A</v>
      </c>
      <c r="AG109" t="e">
        <f t="shared" si="26"/>
        <v>#N/A</v>
      </c>
      <c r="AH109" t="e">
        <f t="shared" si="27"/>
        <v>#N/A</v>
      </c>
      <c r="AI109" t="e">
        <f t="shared" si="28"/>
        <v>#N/A</v>
      </c>
      <c r="AK109" t="e">
        <f t="shared" si="29"/>
        <v>#N/A</v>
      </c>
      <c r="AL109">
        <f t="shared" si="30"/>
        <v>0.17726859836157469</v>
      </c>
      <c r="AM109" t="e">
        <f t="shared" si="31"/>
        <v>#N/A</v>
      </c>
      <c r="AN109" t="e">
        <f t="shared" si="32"/>
        <v>#N/A</v>
      </c>
      <c r="AO109" t="e">
        <f t="shared" si="33"/>
        <v>#N/A</v>
      </c>
      <c r="AP109" t="e">
        <f t="shared" si="34"/>
        <v>#N/A</v>
      </c>
      <c r="AQ109" t="e">
        <f t="shared" si="35"/>
        <v>#N/A</v>
      </c>
    </row>
    <row r="110" spans="15:43">
      <c r="O110">
        <v>106</v>
      </c>
      <c r="P110" s="401">
        <f>'Lab test'!N109</f>
        <v>47.625</v>
      </c>
      <c r="Q110" s="401">
        <f>'Lab test'!M109</f>
        <v>5.2577999999999993E-2</v>
      </c>
      <c r="R110">
        <f>IF('Lab test'!O109&gt;0,'Lab test'!O109,NA())</f>
        <v>152.39999999999998</v>
      </c>
      <c r="S110">
        <f>'Lab test'!Q109</f>
        <v>905.79710144927549</v>
      </c>
      <c r="T110" s="401">
        <f>IF('Lab test'!P109&gt;0,'Lab test'!P109,NA())</f>
        <v>0.10632478544535134</v>
      </c>
      <c r="U110" s="401">
        <f>'Lab test'!AZ109</f>
        <v>1934</v>
      </c>
      <c r="V110">
        <f>IF('Lab test'!AQ109&gt;0,'Lab test'!AQ109,NA())</f>
        <v>1.6626670775048462</v>
      </c>
      <c r="W110">
        <f>IF('Lab test'!AU109&gt;0,'Lab test'!AU109,NA())</f>
        <v>5.7993904801096403E-2</v>
      </c>
      <c r="X110">
        <f>IF('Lab test'!AT109&gt;0,'Lab test'!AT109,NA())</f>
        <v>0.16032193507127626</v>
      </c>
      <c r="Y110">
        <f t="shared" si="21"/>
        <v>1</v>
      </c>
      <c r="Z110" t="str">
        <f>'Lab test'!AC109</f>
        <v>LTWb</v>
      </c>
      <c r="AA110" t="str">
        <f>'Lab test'!T109</f>
        <v>Brass</v>
      </c>
      <c r="AC110" t="e">
        <f t="shared" si="22"/>
        <v>#N/A</v>
      </c>
      <c r="AD110">
        <f t="shared" si="23"/>
        <v>5.7993904801096403E-2</v>
      </c>
      <c r="AE110" t="e">
        <f t="shared" si="24"/>
        <v>#N/A</v>
      </c>
      <c r="AF110" t="e">
        <f t="shared" si="25"/>
        <v>#N/A</v>
      </c>
      <c r="AG110" t="e">
        <f t="shared" si="26"/>
        <v>#N/A</v>
      </c>
      <c r="AH110" t="e">
        <f t="shared" si="27"/>
        <v>#N/A</v>
      </c>
      <c r="AI110" t="e">
        <f t="shared" si="28"/>
        <v>#N/A</v>
      </c>
      <c r="AK110" t="e">
        <f t="shared" si="29"/>
        <v>#N/A</v>
      </c>
      <c r="AL110">
        <f t="shared" si="30"/>
        <v>0.16032193507127626</v>
      </c>
      <c r="AM110" t="e">
        <f t="shared" si="31"/>
        <v>#N/A</v>
      </c>
      <c r="AN110" t="e">
        <f t="shared" si="32"/>
        <v>#N/A</v>
      </c>
      <c r="AO110" t="e">
        <f t="shared" si="33"/>
        <v>#N/A</v>
      </c>
      <c r="AP110" t="e">
        <f t="shared" si="34"/>
        <v>#N/A</v>
      </c>
      <c r="AQ110" t="e">
        <f t="shared" si="35"/>
        <v>#N/A</v>
      </c>
    </row>
    <row r="111" spans="15:43">
      <c r="O111">
        <v>107</v>
      </c>
      <c r="P111" s="401">
        <f>'Lab test'!N110</f>
        <v>72.263000000000005</v>
      </c>
      <c r="Q111" s="401">
        <f>'Lab test'!M110</f>
        <v>0.15087599999999998</v>
      </c>
      <c r="R111">
        <f>IF('Lab test'!O110&gt;0,'Lab test'!O110,NA())</f>
        <v>304.79999999999995</v>
      </c>
      <c r="S111">
        <f>'Lab test'!Q110</f>
        <v>478.95622895622904</v>
      </c>
      <c r="T111" s="401">
        <f>IF('Lab test'!P110&gt;0,'Lab test'!P110,NA())</f>
        <v>0.1927307726345221</v>
      </c>
      <c r="U111" s="401">
        <f>'Lab test'!AZ110</f>
        <v>1934</v>
      </c>
      <c r="V111">
        <f>IF('Lab test'!AQ110&gt;0,'Lab test'!AQ110,NA())</f>
        <v>1.1865711122003584</v>
      </c>
      <c r="W111">
        <f>IF('Lab test'!AU110&gt;0,'Lab test'!AU110,NA())</f>
        <v>0.20206531913178805</v>
      </c>
      <c r="X111">
        <f>IF('Lab test'!AT110&gt;0,'Lab test'!AT110,NA())</f>
        <v>0.28449806900749747</v>
      </c>
      <c r="Y111">
        <f t="shared" si="21"/>
        <v>1</v>
      </c>
      <c r="Z111" t="str">
        <f>'Lab test'!AC110</f>
        <v>LTWb</v>
      </c>
      <c r="AA111" t="str">
        <f>'Lab test'!T110</f>
        <v>Brass</v>
      </c>
      <c r="AC111" t="e">
        <f t="shared" si="22"/>
        <v>#N/A</v>
      </c>
      <c r="AD111">
        <f t="shared" si="23"/>
        <v>0.20206531913178805</v>
      </c>
      <c r="AE111" t="e">
        <f t="shared" si="24"/>
        <v>#N/A</v>
      </c>
      <c r="AF111" t="e">
        <f t="shared" si="25"/>
        <v>#N/A</v>
      </c>
      <c r="AG111" t="e">
        <f t="shared" si="26"/>
        <v>#N/A</v>
      </c>
      <c r="AH111" t="e">
        <f t="shared" si="27"/>
        <v>#N/A</v>
      </c>
      <c r="AI111" t="e">
        <f t="shared" si="28"/>
        <v>#N/A</v>
      </c>
      <c r="AK111" t="e">
        <f t="shared" si="29"/>
        <v>#N/A</v>
      </c>
      <c r="AL111">
        <f t="shared" si="30"/>
        <v>0.28449806900749747</v>
      </c>
      <c r="AM111" t="e">
        <f t="shared" si="31"/>
        <v>#N/A</v>
      </c>
      <c r="AN111" t="e">
        <f t="shared" si="32"/>
        <v>#N/A</v>
      </c>
      <c r="AO111" t="e">
        <f t="shared" si="33"/>
        <v>#N/A</v>
      </c>
      <c r="AP111" t="e">
        <f t="shared" si="34"/>
        <v>#N/A</v>
      </c>
      <c r="AQ111" t="e">
        <f t="shared" si="35"/>
        <v>#N/A</v>
      </c>
    </row>
    <row r="112" spans="15:43">
      <c r="O112">
        <v>108</v>
      </c>
      <c r="P112" s="401">
        <f>'Lab test'!N111</f>
        <v>72.263000000000005</v>
      </c>
      <c r="Q112" s="401">
        <f>'Lab test'!M111</f>
        <v>0.14858999999999997</v>
      </c>
      <c r="R112">
        <f>IF('Lab test'!O111&gt;0,'Lab test'!O111,NA())</f>
        <v>304.79999999999995</v>
      </c>
      <c r="S112">
        <f>'Lab test'!Q111</f>
        <v>486.32478632478643</v>
      </c>
      <c r="T112" s="401">
        <f>IF('Lab test'!P111&gt;0,'Lab test'!P111,NA())</f>
        <v>0.19126511811189179</v>
      </c>
      <c r="U112" s="401">
        <f>'Lab test'!AZ111</f>
        <v>1934</v>
      </c>
      <c r="V112">
        <f>IF('Lab test'!AQ111&gt;0,'Lab test'!AQ111,NA())</f>
        <v>1.1956637441145663</v>
      </c>
      <c r="W112">
        <f>IF('Lab test'!AU111&gt;0,'Lab test'!AU111,NA())</f>
        <v>0.28203180703949543</v>
      </c>
      <c r="X112">
        <f>IF('Lab test'!AT111&gt;0,'Lab test'!AT111,NA())</f>
        <v>0.40319599621383334</v>
      </c>
      <c r="Y112">
        <f t="shared" si="21"/>
        <v>1</v>
      </c>
      <c r="Z112" t="str">
        <f>'Lab test'!AC111</f>
        <v>LTWb</v>
      </c>
      <c r="AA112" t="str">
        <f>'Lab test'!T111</f>
        <v>Brass</v>
      </c>
      <c r="AC112" t="e">
        <f t="shared" si="22"/>
        <v>#N/A</v>
      </c>
      <c r="AD112">
        <f t="shared" si="23"/>
        <v>0.28203180703949543</v>
      </c>
      <c r="AE112" t="e">
        <f t="shared" si="24"/>
        <v>#N/A</v>
      </c>
      <c r="AF112" t="e">
        <f t="shared" si="25"/>
        <v>#N/A</v>
      </c>
      <c r="AG112" t="e">
        <f t="shared" si="26"/>
        <v>#N/A</v>
      </c>
      <c r="AH112" t="e">
        <f t="shared" si="27"/>
        <v>#N/A</v>
      </c>
      <c r="AI112" t="e">
        <f t="shared" si="28"/>
        <v>#N/A</v>
      </c>
      <c r="AK112" t="e">
        <f t="shared" si="29"/>
        <v>#N/A</v>
      </c>
      <c r="AL112">
        <f t="shared" si="30"/>
        <v>0.40319599621383334</v>
      </c>
      <c r="AM112" t="e">
        <f t="shared" si="31"/>
        <v>#N/A</v>
      </c>
      <c r="AN112" t="e">
        <f t="shared" si="32"/>
        <v>#N/A</v>
      </c>
      <c r="AO112" t="e">
        <f t="shared" si="33"/>
        <v>#N/A</v>
      </c>
      <c r="AP112" t="e">
        <f t="shared" si="34"/>
        <v>#N/A</v>
      </c>
      <c r="AQ112" t="e">
        <f t="shared" si="35"/>
        <v>#N/A</v>
      </c>
    </row>
    <row r="113" spans="15:43">
      <c r="O113">
        <v>109</v>
      </c>
      <c r="P113" s="401">
        <f>'Lab test'!N112</f>
        <v>72.263000000000005</v>
      </c>
      <c r="Q113" s="401">
        <f>'Lab test'!M112</f>
        <v>0.14858999999999997</v>
      </c>
      <c r="R113">
        <f>IF('Lab test'!O112&gt;0,'Lab test'!O112,NA())</f>
        <v>304.79999999999995</v>
      </c>
      <c r="S113">
        <f>'Lab test'!Q112</f>
        <v>486.32478632478643</v>
      </c>
      <c r="T113" s="401">
        <f>IF('Lab test'!P112&gt;0,'Lab test'!P112,NA())</f>
        <v>0.19126511811189179</v>
      </c>
      <c r="U113" s="401">
        <f>'Lab test'!AZ112</f>
        <v>1934</v>
      </c>
      <c r="V113">
        <f>IF('Lab test'!AQ112&gt;0,'Lab test'!AQ112,NA())</f>
        <v>1.1956637441145663</v>
      </c>
      <c r="W113">
        <f>IF('Lab test'!AU112&gt;0,'Lab test'!AU112,NA())</f>
        <v>0.26883733653472369</v>
      </c>
      <c r="X113">
        <f>IF('Lab test'!AT112&gt;0,'Lab test'!AT112,NA())</f>
        <v>0.38433302563073002</v>
      </c>
      <c r="Y113">
        <f t="shared" si="21"/>
        <v>1</v>
      </c>
      <c r="Z113" t="str">
        <f>'Lab test'!AC112</f>
        <v>LTWb</v>
      </c>
      <c r="AA113" t="str">
        <f>'Lab test'!T112</f>
        <v>Brass</v>
      </c>
      <c r="AC113" t="e">
        <f t="shared" si="22"/>
        <v>#N/A</v>
      </c>
      <c r="AD113">
        <f t="shared" si="23"/>
        <v>0.26883733653472369</v>
      </c>
      <c r="AE113" t="e">
        <f t="shared" si="24"/>
        <v>#N/A</v>
      </c>
      <c r="AF113" t="e">
        <f t="shared" si="25"/>
        <v>#N/A</v>
      </c>
      <c r="AG113" t="e">
        <f t="shared" si="26"/>
        <v>#N/A</v>
      </c>
      <c r="AH113" t="e">
        <f t="shared" si="27"/>
        <v>#N/A</v>
      </c>
      <c r="AI113" t="e">
        <f t="shared" si="28"/>
        <v>#N/A</v>
      </c>
      <c r="AK113" t="e">
        <f t="shared" si="29"/>
        <v>#N/A</v>
      </c>
      <c r="AL113">
        <f t="shared" si="30"/>
        <v>0.38433302563073002</v>
      </c>
      <c r="AM113" t="e">
        <f t="shared" si="31"/>
        <v>#N/A</v>
      </c>
      <c r="AN113" t="e">
        <f t="shared" si="32"/>
        <v>#N/A</v>
      </c>
      <c r="AO113" t="e">
        <f t="shared" si="33"/>
        <v>#N/A</v>
      </c>
      <c r="AP113" t="e">
        <f t="shared" si="34"/>
        <v>#N/A</v>
      </c>
      <c r="AQ113" t="e">
        <f t="shared" si="35"/>
        <v>#N/A</v>
      </c>
    </row>
    <row r="114" spans="15:43">
      <c r="O114">
        <v>110</v>
      </c>
      <c r="P114" s="401">
        <f>'Lab test'!N113</f>
        <v>47.625</v>
      </c>
      <c r="Q114" s="401">
        <f>'Lab test'!M113</f>
        <v>0.151892</v>
      </c>
      <c r="R114">
        <f>IF('Lab test'!O113&gt;0,'Lab test'!O113,NA())</f>
        <v>304.79999999999995</v>
      </c>
      <c r="S114">
        <f>'Lab test'!Q113</f>
        <v>313.54515050167225</v>
      </c>
      <c r="T114" s="401">
        <f>IF('Lab test'!P113&gt;0,'Lab test'!P113,NA())</f>
        <v>0.36143477050960843</v>
      </c>
      <c r="U114" s="401">
        <f>'Lab test'!AZ113</f>
        <v>1934</v>
      </c>
      <c r="V114">
        <f>IF('Lab test'!AQ113&gt;0,'Lab test'!AQ113,NA())</f>
        <v>0.96005453211704062</v>
      </c>
      <c r="W114">
        <f>IF('Lab test'!AU113&gt;0,'Lab test'!AU113,NA())</f>
        <v>0.26782738586847804</v>
      </c>
      <c r="X114">
        <f>IF('Lab test'!AT113&gt;0,'Lab test'!AT113,NA())</f>
        <v>0.24685776158599904</v>
      </c>
      <c r="Y114">
        <f t="shared" si="21"/>
        <v>1</v>
      </c>
      <c r="Z114" t="str">
        <f>'Lab test'!AC113</f>
        <v>LTWb</v>
      </c>
      <c r="AA114" t="str">
        <f>'Lab test'!T113</f>
        <v>Brass</v>
      </c>
      <c r="AC114" t="e">
        <f t="shared" si="22"/>
        <v>#N/A</v>
      </c>
      <c r="AD114">
        <f t="shared" si="23"/>
        <v>0.26782738586847804</v>
      </c>
      <c r="AE114" t="e">
        <f t="shared" si="24"/>
        <v>#N/A</v>
      </c>
      <c r="AF114" t="e">
        <f t="shared" si="25"/>
        <v>#N/A</v>
      </c>
      <c r="AG114" t="e">
        <f t="shared" si="26"/>
        <v>#N/A</v>
      </c>
      <c r="AH114" t="e">
        <f t="shared" si="27"/>
        <v>#N/A</v>
      </c>
      <c r="AI114" t="e">
        <f t="shared" si="28"/>
        <v>#N/A</v>
      </c>
      <c r="AK114" t="e">
        <f t="shared" si="29"/>
        <v>#N/A</v>
      </c>
      <c r="AL114">
        <f t="shared" si="30"/>
        <v>0.24685776158599904</v>
      </c>
      <c r="AM114" t="e">
        <f t="shared" si="31"/>
        <v>#N/A</v>
      </c>
      <c r="AN114" t="e">
        <f t="shared" si="32"/>
        <v>#N/A</v>
      </c>
      <c r="AO114" t="e">
        <f t="shared" si="33"/>
        <v>#N/A</v>
      </c>
      <c r="AP114" t="e">
        <f t="shared" si="34"/>
        <v>#N/A</v>
      </c>
      <c r="AQ114" t="e">
        <f t="shared" si="35"/>
        <v>#N/A</v>
      </c>
    </row>
    <row r="115" spans="15:43">
      <c r="O115">
        <v>111</v>
      </c>
      <c r="P115" s="401">
        <f>'Lab test'!N114</f>
        <v>23.939499999999999</v>
      </c>
      <c r="Q115" s="401">
        <f>'Lab test'!M114</f>
        <v>0.14909800000000001</v>
      </c>
      <c r="R115">
        <f>IF('Lab test'!O114&gt;0,'Lab test'!O114,NA())</f>
        <v>304.79999999999995</v>
      </c>
      <c r="S115">
        <f>'Lab test'!Q114</f>
        <v>160.56218057921635</v>
      </c>
      <c r="T115" s="401">
        <f>IF('Lab test'!P114&gt;0,'Lab test'!P114,NA())</f>
        <v>1.0047968348599594</v>
      </c>
      <c r="U115" s="401">
        <f>'Lab test'!AZ114</f>
        <v>1934</v>
      </c>
      <c r="V115">
        <f>IF('Lab test'!AQ114&gt;0,'Lab test'!AQ114,NA())</f>
        <v>0.68701700513324093</v>
      </c>
      <c r="W115">
        <f>IF('Lab test'!AU114&gt;0,'Lab test'!AU114,NA())</f>
        <v>0.79683095538849746</v>
      </c>
      <c r="X115">
        <f>IF('Lab test'!AT114&gt;0,'Lab test'!AT114,NA())</f>
        <v>0.37609812741173981</v>
      </c>
      <c r="Y115">
        <f t="shared" si="21"/>
        <v>1</v>
      </c>
      <c r="Z115" t="str">
        <f>'Lab test'!AC114</f>
        <v>LTWb</v>
      </c>
      <c r="AA115" t="str">
        <f>'Lab test'!T114</f>
        <v>Brass</v>
      </c>
      <c r="AC115" t="e">
        <f t="shared" si="22"/>
        <v>#N/A</v>
      </c>
      <c r="AD115">
        <f t="shared" si="23"/>
        <v>0.79683095538849746</v>
      </c>
      <c r="AE115" t="e">
        <f t="shared" si="24"/>
        <v>#N/A</v>
      </c>
      <c r="AF115" t="e">
        <f t="shared" si="25"/>
        <v>#N/A</v>
      </c>
      <c r="AG115" t="e">
        <f t="shared" si="26"/>
        <v>#N/A</v>
      </c>
      <c r="AH115" t="e">
        <f t="shared" si="27"/>
        <v>#N/A</v>
      </c>
      <c r="AI115" t="e">
        <f t="shared" si="28"/>
        <v>#N/A</v>
      </c>
      <c r="AK115" t="e">
        <f t="shared" si="29"/>
        <v>#N/A</v>
      </c>
      <c r="AL115">
        <f t="shared" si="30"/>
        <v>0.37609812741173981</v>
      </c>
      <c r="AM115" t="e">
        <f t="shared" si="31"/>
        <v>#N/A</v>
      </c>
      <c r="AN115" t="e">
        <f t="shared" si="32"/>
        <v>#N/A</v>
      </c>
      <c r="AO115" t="e">
        <f t="shared" si="33"/>
        <v>#N/A</v>
      </c>
      <c r="AP115" t="e">
        <f t="shared" si="34"/>
        <v>#N/A</v>
      </c>
      <c r="AQ115" t="e">
        <f t="shared" si="35"/>
        <v>#N/A</v>
      </c>
    </row>
    <row r="116" spans="15:43">
      <c r="O116">
        <v>112</v>
      </c>
      <c r="P116" s="401">
        <f>'Lab test'!N115</f>
        <v>72.009</v>
      </c>
      <c r="Q116" s="401">
        <f>'Lab test'!M115</f>
        <v>4.9021999999999996E-2</v>
      </c>
      <c r="R116">
        <f>IF('Lab test'!O115&gt;0,'Lab test'!O115,NA())</f>
        <v>304.79999999999995</v>
      </c>
      <c r="S116">
        <f>'Lab test'!Q115</f>
        <v>1468.9119170984457</v>
      </c>
      <c r="T116" s="401">
        <f>IF('Lab test'!P115&gt;0,'Lab test'!P115,NA())</f>
        <v>0.11044099373320267</v>
      </c>
      <c r="U116" s="401">
        <f>'Lab test'!AZ115</f>
        <v>1934</v>
      </c>
      <c r="V116">
        <f>IF('Lab test'!AQ115&gt;0,'Lab test'!AQ115,NA())</f>
        <v>2.1173259057998375</v>
      </c>
      <c r="W116">
        <f>IF('Lab test'!AU115&gt;0,'Lab test'!AU115,NA())</f>
        <v>5.01683415185235E-2</v>
      </c>
      <c r="X116">
        <f>IF('Lab test'!AT115&gt;0,'Lab test'!AT115,NA())</f>
        <v>0.22490813621020811</v>
      </c>
      <c r="Y116">
        <f t="shared" si="21"/>
        <v>1</v>
      </c>
      <c r="Z116" t="str">
        <f>'Lab test'!AC115</f>
        <v>LTWb</v>
      </c>
      <c r="AA116" t="str">
        <f>'Lab test'!T115</f>
        <v>Brass</v>
      </c>
      <c r="AC116" t="e">
        <f t="shared" si="22"/>
        <v>#N/A</v>
      </c>
      <c r="AD116">
        <f t="shared" si="23"/>
        <v>5.01683415185235E-2</v>
      </c>
      <c r="AE116" t="e">
        <f t="shared" si="24"/>
        <v>#N/A</v>
      </c>
      <c r="AF116" t="e">
        <f t="shared" si="25"/>
        <v>#N/A</v>
      </c>
      <c r="AG116" t="e">
        <f t="shared" si="26"/>
        <v>#N/A</v>
      </c>
      <c r="AH116" t="e">
        <f t="shared" si="27"/>
        <v>#N/A</v>
      </c>
      <c r="AI116" t="e">
        <f t="shared" si="28"/>
        <v>#N/A</v>
      </c>
      <c r="AK116" t="e">
        <f t="shared" si="29"/>
        <v>#N/A</v>
      </c>
      <c r="AL116">
        <f t="shared" si="30"/>
        <v>0.22490813621020811</v>
      </c>
      <c r="AM116" t="e">
        <f t="shared" si="31"/>
        <v>#N/A</v>
      </c>
      <c r="AN116" t="e">
        <f t="shared" si="32"/>
        <v>#N/A</v>
      </c>
      <c r="AO116" t="e">
        <f t="shared" si="33"/>
        <v>#N/A</v>
      </c>
      <c r="AP116" t="e">
        <f t="shared" si="34"/>
        <v>#N/A</v>
      </c>
      <c r="AQ116" t="e">
        <f t="shared" si="35"/>
        <v>#N/A</v>
      </c>
    </row>
    <row r="117" spans="15:43">
      <c r="O117">
        <v>113</v>
      </c>
      <c r="P117" s="401">
        <f>'Lab test'!N116</f>
        <v>47.625</v>
      </c>
      <c r="Q117" s="401">
        <f>'Lab test'!M116</f>
        <v>5.2577999999999993E-2</v>
      </c>
      <c r="R117">
        <f>IF('Lab test'!O116&gt;0,'Lab test'!O116,NA())</f>
        <v>304.79999999999995</v>
      </c>
      <c r="S117">
        <f>'Lab test'!Q116</f>
        <v>905.79710144927549</v>
      </c>
      <c r="T117" s="401">
        <f>IF('Lab test'!P116&gt;0,'Lab test'!P116,NA())</f>
        <v>0.21264957089070269</v>
      </c>
      <c r="U117" s="401">
        <f>'Lab test'!AZ116</f>
        <v>1934</v>
      </c>
      <c r="V117">
        <f>IF('Lab test'!AQ116&gt;0,'Lab test'!AQ116,NA())</f>
        <v>1.6626670775048462</v>
      </c>
      <c r="W117">
        <f>IF('Lab test'!AU116&gt;0,'Lab test'!AU116,NA())</f>
        <v>7.2138759630632113E-2</v>
      </c>
      <c r="X117">
        <f>IF('Lab test'!AT116&gt;0,'Lab test'!AT116,NA())</f>
        <v>0.19942484606427047</v>
      </c>
      <c r="Y117">
        <f t="shared" si="21"/>
        <v>1</v>
      </c>
      <c r="Z117" t="str">
        <f>'Lab test'!AC116</f>
        <v>LTWb</v>
      </c>
      <c r="AA117" t="str">
        <f>'Lab test'!T116</f>
        <v>Brass</v>
      </c>
      <c r="AC117" t="e">
        <f t="shared" si="22"/>
        <v>#N/A</v>
      </c>
      <c r="AD117">
        <f t="shared" si="23"/>
        <v>7.2138759630632113E-2</v>
      </c>
      <c r="AE117" t="e">
        <f t="shared" si="24"/>
        <v>#N/A</v>
      </c>
      <c r="AF117" t="e">
        <f t="shared" si="25"/>
        <v>#N/A</v>
      </c>
      <c r="AG117" t="e">
        <f t="shared" si="26"/>
        <v>#N/A</v>
      </c>
      <c r="AH117" t="e">
        <f t="shared" si="27"/>
        <v>#N/A</v>
      </c>
      <c r="AI117" t="e">
        <f t="shared" si="28"/>
        <v>#N/A</v>
      </c>
      <c r="AK117" t="e">
        <f t="shared" si="29"/>
        <v>#N/A</v>
      </c>
      <c r="AL117">
        <f t="shared" si="30"/>
        <v>0.19942484606427047</v>
      </c>
      <c r="AM117" t="e">
        <f t="shared" si="31"/>
        <v>#N/A</v>
      </c>
      <c r="AN117" t="e">
        <f t="shared" si="32"/>
        <v>#N/A</v>
      </c>
      <c r="AO117" t="e">
        <f t="shared" si="33"/>
        <v>#N/A</v>
      </c>
      <c r="AP117" t="e">
        <f t="shared" si="34"/>
        <v>#N/A</v>
      </c>
      <c r="AQ117" t="e">
        <f t="shared" si="35"/>
        <v>#N/A</v>
      </c>
    </row>
    <row r="118" spans="15:43">
      <c r="O118">
        <v>114</v>
      </c>
      <c r="P118" s="401">
        <f>'Lab test'!N117</f>
        <v>72.009</v>
      </c>
      <c r="Q118" s="401">
        <f>'Lab test'!M117</f>
        <v>0.150368</v>
      </c>
      <c r="R118">
        <f>IF('Lab test'!O117&gt;0,'Lab test'!O117,NA())</f>
        <v>762</v>
      </c>
      <c r="S118">
        <f>'Lab test'!Q117</f>
        <v>478.88513513513516</v>
      </c>
      <c r="T118" s="401">
        <f>IF('Lab test'!P117&gt;0,'Lab test'!P117,NA())</f>
        <v>0.48356238758233866</v>
      </c>
      <c r="U118" s="401">
        <f>'Lab test'!AZ117</f>
        <v>1934</v>
      </c>
      <c r="V118">
        <f>IF('Lab test'!AQ117&gt;0,'Lab test'!AQ117,NA())</f>
        <v>1.1864830446485537</v>
      </c>
      <c r="W118">
        <f>IF('Lab test'!AU117&gt;0,'Lab test'!AU117,NA())</f>
        <v>0.20019202117574061</v>
      </c>
      <c r="X118">
        <f>IF('Lab test'!AT117&gt;0,'Lab test'!AT117,NA())</f>
        <v>0.281818719324606</v>
      </c>
      <c r="Y118">
        <f t="shared" si="21"/>
        <v>1</v>
      </c>
      <c r="Z118" t="str">
        <f>'Lab test'!AC117</f>
        <v>LTWb</v>
      </c>
      <c r="AA118" t="str">
        <f>'Lab test'!T117</f>
        <v>Brass</v>
      </c>
      <c r="AC118" t="e">
        <f t="shared" si="22"/>
        <v>#N/A</v>
      </c>
      <c r="AD118">
        <f t="shared" si="23"/>
        <v>0.20019202117574061</v>
      </c>
      <c r="AE118" t="e">
        <f t="shared" si="24"/>
        <v>#N/A</v>
      </c>
      <c r="AF118" t="e">
        <f t="shared" si="25"/>
        <v>#N/A</v>
      </c>
      <c r="AG118" t="e">
        <f t="shared" si="26"/>
        <v>#N/A</v>
      </c>
      <c r="AH118" t="e">
        <f t="shared" si="27"/>
        <v>#N/A</v>
      </c>
      <c r="AI118" t="e">
        <f t="shared" si="28"/>
        <v>#N/A</v>
      </c>
      <c r="AK118" t="e">
        <f t="shared" si="29"/>
        <v>#N/A</v>
      </c>
      <c r="AL118">
        <f t="shared" si="30"/>
        <v>0.281818719324606</v>
      </c>
      <c r="AM118" t="e">
        <f t="shared" si="31"/>
        <v>#N/A</v>
      </c>
      <c r="AN118" t="e">
        <f t="shared" si="32"/>
        <v>#N/A</v>
      </c>
      <c r="AO118" t="e">
        <f t="shared" si="33"/>
        <v>#N/A</v>
      </c>
      <c r="AP118" t="e">
        <f t="shared" si="34"/>
        <v>#N/A</v>
      </c>
      <c r="AQ118" t="e">
        <f t="shared" si="35"/>
        <v>#N/A</v>
      </c>
    </row>
    <row r="119" spans="15:43">
      <c r="O119">
        <v>115</v>
      </c>
      <c r="P119" s="401">
        <f>'Lab test'!N118</f>
        <v>47.625</v>
      </c>
      <c r="Q119" s="401">
        <f>'Lab test'!M118</f>
        <v>0.150114</v>
      </c>
      <c r="R119">
        <f>IF('Lab test'!O118&gt;0,'Lab test'!O118,NA())</f>
        <v>762</v>
      </c>
      <c r="S119">
        <f>'Lab test'!Q118</f>
        <v>317.25888324873097</v>
      </c>
      <c r="T119" s="401">
        <f>IF('Lab test'!P118&gt;0,'Lab test'!P118,NA())</f>
        <v>0.89828280624756474</v>
      </c>
      <c r="U119" s="401">
        <f>'Lab test'!AZ118</f>
        <v>1934</v>
      </c>
      <c r="V119">
        <f>IF('Lab test'!AQ118&gt;0,'Lab test'!AQ118,NA())</f>
        <v>0.96572339768462767</v>
      </c>
      <c r="W119">
        <f>IF('Lab test'!AU118&gt;0,'Lab test'!AU118,NA())</f>
        <v>0.3032025024069207</v>
      </c>
      <c r="X119">
        <f>IF('Lab test'!AT118&gt;0,'Lab test'!AT118,NA())</f>
        <v>0.28277322742828476</v>
      </c>
      <c r="Y119">
        <f t="shared" si="21"/>
        <v>1</v>
      </c>
      <c r="Z119" t="str">
        <f>'Lab test'!AC118</f>
        <v>LTWb</v>
      </c>
      <c r="AA119" t="str">
        <f>'Lab test'!T118</f>
        <v>Brass</v>
      </c>
      <c r="AC119" t="e">
        <f t="shared" si="22"/>
        <v>#N/A</v>
      </c>
      <c r="AD119">
        <f t="shared" si="23"/>
        <v>0.3032025024069207</v>
      </c>
      <c r="AE119" t="e">
        <f t="shared" si="24"/>
        <v>#N/A</v>
      </c>
      <c r="AF119" t="e">
        <f t="shared" si="25"/>
        <v>#N/A</v>
      </c>
      <c r="AG119" t="e">
        <f t="shared" si="26"/>
        <v>#N/A</v>
      </c>
      <c r="AH119" t="e">
        <f t="shared" si="27"/>
        <v>#N/A</v>
      </c>
      <c r="AI119" t="e">
        <f t="shared" si="28"/>
        <v>#N/A</v>
      </c>
      <c r="AK119" t="e">
        <f t="shared" si="29"/>
        <v>#N/A</v>
      </c>
      <c r="AL119">
        <f t="shared" si="30"/>
        <v>0.28277322742828476</v>
      </c>
      <c r="AM119" t="e">
        <f t="shared" si="31"/>
        <v>#N/A</v>
      </c>
      <c r="AN119" t="e">
        <f t="shared" si="32"/>
        <v>#N/A</v>
      </c>
      <c r="AO119" t="e">
        <f t="shared" si="33"/>
        <v>#N/A</v>
      </c>
      <c r="AP119" t="e">
        <f t="shared" si="34"/>
        <v>#N/A</v>
      </c>
      <c r="AQ119" t="e">
        <f t="shared" si="35"/>
        <v>#N/A</v>
      </c>
    </row>
    <row r="120" spans="15:43">
      <c r="O120">
        <v>116</v>
      </c>
      <c r="P120" s="401">
        <f>'Lab test'!N119</f>
        <v>23.939499999999999</v>
      </c>
      <c r="Q120" s="401">
        <f>'Lab test'!M119</f>
        <v>0.151638</v>
      </c>
      <c r="R120">
        <f>IF('Lab test'!O119&gt;0,'Lab test'!O119,NA())</f>
        <v>762</v>
      </c>
      <c r="S120">
        <f>'Lab test'!Q119</f>
        <v>157.87269681742043</v>
      </c>
      <c r="T120" s="401">
        <f>IF('Lab test'!P119&gt;0,'Lab test'!P119,NA())</f>
        <v>2.5332985933106458</v>
      </c>
      <c r="U120" s="401">
        <f>'Lab test'!AZ119</f>
        <v>1934</v>
      </c>
      <c r="V120">
        <f>IF('Lab test'!AQ119&gt;0,'Lab test'!AQ119,NA())</f>
        <v>0.68123879482235938</v>
      </c>
      <c r="W120">
        <f>IF('Lab test'!AU119&gt;0,'Lab test'!AU119,NA())</f>
        <v>0.82739001284851976</v>
      </c>
      <c r="X120">
        <f>IF('Lab test'!AT119&gt;0,'Lab test'!AT119,NA())</f>
        <v>0.3839803660553287</v>
      </c>
      <c r="Y120">
        <f t="shared" si="21"/>
        <v>1</v>
      </c>
      <c r="Z120" t="str">
        <f>'Lab test'!AC119</f>
        <v>LTWb</v>
      </c>
      <c r="AA120" t="str">
        <f>'Lab test'!T119</f>
        <v>Brass</v>
      </c>
      <c r="AC120" t="e">
        <f t="shared" si="22"/>
        <v>#N/A</v>
      </c>
      <c r="AD120">
        <f t="shared" si="23"/>
        <v>0.82739001284851976</v>
      </c>
      <c r="AE120" t="e">
        <f t="shared" si="24"/>
        <v>#N/A</v>
      </c>
      <c r="AF120" t="e">
        <f t="shared" si="25"/>
        <v>#N/A</v>
      </c>
      <c r="AG120" t="e">
        <f t="shared" si="26"/>
        <v>#N/A</v>
      </c>
      <c r="AH120" t="e">
        <f t="shared" si="27"/>
        <v>#N/A</v>
      </c>
      <c r="AI120" t="e">
        <f t="shared" si="28"/>
        <v>#N/A</v>
      </c>
      <c r="AK120" t="e">
        <f t="shared" si="29"/>
        <v>#N/A</v>
      </c>
      <c r="AL120">
        <f t="shared" si="30"/>
        <v>0.3839803660553287</v>
      </c>
      <c r="AM120" t="e">
        <f t="shared" si="31"/>
        <v>#N/A</v>
      </c>
      <c r="AN120" t="e">
        <f t="shared" si="32"/>
        <v>#N/A</v>
      </c>
      <c r="AO120" t="e">
        <f t="shared" si="33"/>
        <v>#N/A</v>
      </c>
      <c r="AP120" t="e">
        <f t="shared" si="34"/>
        <v>#N/A</v>
      </c>
      <c r="AQ120" t="e">
        <f t="shared" si="35"/>
        <v>#N/A</v>
      </c>
    </row>
    <row r="121" spans="15:43">
      <c r="O121">
        <v>117</v>
      </c>
      <c r="P121" s="401">
        <f>'Lab test'!N120</f>
        <v>47.625</v>
      </c>
      <c r="Q121" s="401">
        <f>'Lab test'!M120</f>
        <v>7.4929999999999997E-2</v>
      </c>
      <c r="R121">
        <f>IF('Lab test'!O120&gt;0,'Lab test'!O120,NA())</f>
        <v>152.39999999999998</v>
      </c>
      <c r="S121">
        <f>'Lab test'!Q120</f>
        <v>635.59322033898309</v>
      </c>
      <c r="T121" s="401">
        <f>IF('Lab test'!P120&gt;0,'Lab test'!P120,NA())</f>
        <v>0.12692885146149133</v>
      </c>
      <c r="U121" s="401">
        <f>'Lab test'!AZ120</f>
        <v>1934</v>
      </c>
      <c r="V121">
        <f>IF('Lab test'!AQ120&gt;0,'Lab test'!AQ120,NA())</f>
        <v>1.3927701890768724</v>
      </c>
      <c r="W121">
        <f>IF('Lab test'!AU120&gt;0,'Lab test'!AU120,NA())</f>
        <v>0.12406715888618183</v>
      </c>
      <c r="X121">
        <f>IF('Lab test'!AT120&gt;0,'Lab test'!AT120,NA())</f>
        <v>0.24066656654645777</v>
      </c>
      <c r="Y121">
        <f t="shared" si="21"/>
        <v>1</v>
      </c>
      <c r="Z121" t="str">
        <f>'Lab test'!AC120</f>
        <v>Miscellaneous</v>
      </c>
      <c r="AA121" t="str">
        <f>'Lab test'!T120</f>
        <v>Brass</v>
      </c>
      <c r="AC121" t="e">
        <f t="shared" si="22"/>
        <v>#N/A</v>
      </c>
      <c r="AD121" t="e">
        <f t="shared" si="23"/>
        <v>#N/A</v>
      </c>
      <c r="AE121" t="e">
        <f t="shared" si="24"/>
        <v>#N/A</v>
      </c>
      <c r="AF121" t="e">
        <f t="shared" si="25"/>
        <v>#N/A</v>
      </c>
      <c r="AG121" t="e">
        <f t="shared" si="26"/>
        <v>#N/A</v>
      </c>
      <c r="AH121" t="e">
        <f t="shared" si="27"/>
        <v>#N/A</v>
      </c>
      <c r="AI121">
        <f t="shared" si="28"/>
        <v>0.12406715888618183</v>
      </c>
      <c r="AK121" t="e">
        <f t="shared" si="29"/>
        <v>#N/A</v>
      </c>
      <c r="AL121" t="e">
        <f t="shared" si="30"/>
        <v>#N/A</v>
      </c>
      <c r="AM121" t="e">
        <f t="shared" si="31"/>
        <v>#N/A</v>
      </c>
      <c r="AN121" t="e">
        <f t="shared" si="32"/>
        <v>#N/A</v>
      </c>
      <c r="AO121" t="e">
        <f t="shared" si="33"/>
        <v>#N/A</v>
      </c>
      <c r="AP121" t="e">
        <f t="shared" si="34"/>
        <v>#N/A</v>
      </c>
      <c r="AQ121">
        <f t="shared" si="35"/>
        <v>0.24066656654645777</v>
      </c>
    </row>
    <row r="122" spans="15:43">
      <c r="O122">
        <v>118</v>
      </c>
      <c r="P122" s="401">
        <f>'Lab test'!N121</f>
        <v>47.625</v>
      </c>
      <c r="Q122" s="401">
        <f>'Lab test'!M121</f>
        <v>7.4929999999999997E-2</v>
      </c>
      <c r="R122">
        <f>IF('Lab test'!O121&gt;0,'Lab test'!O121,NA())</f>
        <v>152.39999999999998</v>
      </c>
      <c r="S122">
        <f>'Lab test'!Q121</f>
        <v>635.59322033898309</v>
      </c>
      <c r="T122" s="401">
        <f>IF('Lab test'!P121&gt;0,'Lab test'!P121,NA())</f>
        <v>0.12692885146149133</v>
      </c>
      <c r="U122" s="401">
        <f>'Lab test'!AZ121</f>
        <v>1934</v>
      </c>
      <c r="V122">
        <f>IF('Lab test'!AQ121&gt;0,'Lab test'!AQ121,NA())</f>
        <v>1.3927701890768724</v>
      </c>
      <c r="W122">
        <f>IF('Lab test'!AU121&gt;0,'Lab test'!AU121,NA())</f>
        <v>0.12108954707291349</v>
      </c>
      <c r="X122">
        <f>IF('Lab test'!AT121&gt;0,'Lab test'!AT121,NA())</f>
        <v>0.23489056894934279</v>
      </c>
      <c r="Y122">
        <f t="shared" si="21"/>
        <v>1</v>
      </c>
      <c r="Z122" t="str">
        <f>'Lab test'!AC121</f>
        <v>Miscellaneous</v>
      </c>
      <c r="AA122" t="str">
        <f>'Lab test'!T121</f>
        <v>Brass</v>
      </c>
      <c r="AC122" t="e">
        <f t="shared" si="22"/>
        <v>#N/A</v>
      </c>
      <c r="AD122" t="e">
        <f t="shared" si="23"/>
        <v>#N/A</v>
      </c>
      <c r="AE122" t="e">
        <f t="shared" si="24"/>
        <v>#N/A</v>
      </c>
      <c r="AF122" t="e">
        <f t="shared" si="25"/>
        <v>#N/A</v>
      </c>
      <c r="AG122" t="e">
        <f t="shared" si="26"/>
        <v>#N/A</v>
      </c>
      <c r="AH122" t="e">
        <f t="shared" si="27"/>
        <v>#N/A</v>
      </c>
      <c r="AI122">
        <f t="shared" si="28"/>
        <v>0.12108954707291349</v>
      </c>
      <c r="AK122" t="e">
        <f t="shared" si="29"/>
        <v>#N/A</v>
      </c>
      <c r="AL122" t="e">
        <f t="shared" si="30"/>
        <v>#N/A</v>
      </c>
      <c r="AM122" t="e">
        <f t="shared" si="31"/>
        <v>#N/A</v>
      </c>
      <c r="AN122" t="e">
        <f t="shared" si="32"/>
        <v>#N/A</v>
      </c>
      <c r="AO122" t="e">
        <f t="shared" si="33"/>
        <v>#N/A</v>
      </c>
      <c r="AP122" t="e">
        <f t="shared" si="34"/>
        <v>#N/A</v>
      </c>
      <c r="AQ122">
        <f t="shared" si="35"/>
        <v>0.23489056894934279</v>
      </c>
    </row>
    <row r="123" spans="15:43">
      <c r="O123">
        <v>119</v>
      </c>
      <c r="P123" s="401">
        <f>'Lab test'!N122</f>
        <v>47.625</v>
      </c>
      <c r="Q123" s="401">
        <f>'Lab test'!M122</f>
        <v>7.4929999999999997E-2</v>
      </c>
      <c r="R123">
        <f>IF('Lab test'!O122&gt;0,'Lab test'!O122,NA())</f>
        <v>152.39999999999998</v>
      </c>
      <c r="S123">
        <f>'Lab test'!Q122</f>
        <v>635.59322033898309</v>
      </c>
      <c r="T123" s="401">
        <f>IF('Lab test'!P122&gt;0,'Lab test'!P122,NA())</f>
        <v>0.12692885146149133</v>
      </c>
      <c r="U123" s="401">
        <f>'Lab test'!AZ122</f>
        <v>1934</v>
      </c>
      <c r="V123">
        <f>IF('Lab test'!AQ122&gt;0,'Lab test'!AQ122,NA())</f>
        <v>1.3927701890768724</v>
      </c>
      <c r="W123">
        <f>IF('Lab test'!AU122&gt;0,'Lab test'!AU122,NA())</f>
        <v>0.15582835156104441</v>
      </c>
      <c r="X123">
        <f>IF('Lab test'!AT122&gt;0,'Lab test'!AT122,NA())</f>
        <v>0.30227720758235099</v>
      </c>
      <c r="Y123">
        <f t="shared" si="21"/>
        <v>1</v>
      </c>
      <c r="Z123" t="str">
        <f>'Lab test'!AC122</f>
        <v>Miscellaneous</v>
      </c>
      <c r="AA123" t="str">
        <f>'Lab test'!T122</f>
        <v>Brass</v>
      </c>
      <c r="AC123" t="e">
        <f t="shared" si="22"/>
        <v>#N/A</v>
      </c>
      <c r="AD123" t="e">
        <f t="shared" si="23"/>
        <v>#N/A</v>
      </c>
      <c r="AE123" t="e">
        <f t="shared" si="24"/>
        <v>#N/A</v>
      </c>
      <c r="AF123" t="e">
        <f t="shared" si="25"/>
        <v>#N/A</v>
      </c>
      <c r="AG123" t="e">
        <f t="shared" si="26"/>
        <v>#N/A</v>
      </c>
      <c r="AH123" t="e">
        <f t="shared" si="27"/>
        <v>#N/A</v>
      </c>
      <c r="AI123">
        <f t="shared" si="28"/>
        <v>0.15582835156104441</v>
      </c>
      <c r="AK123" t="e">
        <f t="shared" si="29"/>
        <v>#N/A</v>
      </c>
      <c r="AL123" t="e">
        <f t="shared" si="30"/>
        <v>#N/A</v>
      </c>
      <c r="AM123" t="e">
        <f t="shared" si="31"/>
        <v>#N/A</v>
      </c>
      <c r="AN123" t="e">
        <f t="shared" si="32"/>
        <v>#N/A</v>
      </c>
      <c r="AO123" t="e">
        <f t="shared" si="33"/>
        <v>#N/A</v>
      </c>
      <c r="AP123" t="e">
        <f t="shared" si="34"/>
        <v>#N/A</v>
      </c>
      <c r="AQ123">
        <f t="shared" si="35"/>
        <v>0.30227720758235099</v>
      </c>
    </row>
    <row r="124" spans="15:43">
      <c r="O124">
        <v>120</v>
      </c>
      <c r="P124" s="401">
        <f>'Lab test'!N123</f>
        <v>47.625</v>
      </c>
      <c r="Q124" s="401">
        <f>'Lab test'!M123</f>
        <v>7.4929999999999997E-2</v>
      </c>
      <c r="R124">
        <f>IF('Lab test'!O123&gt;0,'Lab test'!O123,NA())</f>
        <v>152.39999999999998</v>
      </c>
      <c r="S124">
        <f>'Lab test'!Q123</f>
        <v>635.59322033898309</v>
      </c>
      <c r="T124" s="401">
        <f>IF('Lab test'!P123&gt;0,'Lab test'!P123,NA())</f>
        <v>0.12692885146149133</v>
      </c>
      <c r="U124" s="401">
        <f>'Lab test'!AZ123</f>
        <v>1934</v>
      </c>
      <c r="V124">
        <f>IF('Lab test'!AQ123&gt;0,'Lab test'!AQ123,NA())</f>
        <v>1.3927701890768724</v>
      </c>
      <c r="W124">
        <f>IF('Lab test'!AU123&gt;0,'Lab test'!AU123,NA())</f>
        <v>0.14094029249470261</v>
      </c>
      <c r="X124">
        <f>IF('Lab test'!AT123&gt;0,'Lab test'!AT123,NA())</f>
        <v>0.27339721959677615</v>
      </c>
      <c r="Y124">
        <f t="shared" si="21"/>
        <v>1</v>
      </c>
      <c r="Z124" t="str">
        <f>'Lab test'!AC123</f>
        <v>Miscellaneous</v>
      </c>
      <c r="AA124" t="str">
        <f>'Lab test'!T123</f>
        <v>Brass</v>
      </c>
      <c r="AC124" t="e">
        <f t="shared" si="22"/>
        <v>#N/A</v>
      </c>
      <c r="AD124" t="e">
        <f t="shared" si="23"/>
        <v>#N/A</v>
      </c>
      <c r="AE124" t="e">
        <f t="shared" si="24"/>
        <v>#N/A</v>
      </c>
      <c r="AF124" t="e">
        <f t="shared" si="25"/>
        <v>#N/A</v>
      </c>
      <c r="AG124" t="e">
        <f t="shared" si="26"/>
        <v>#N/A</v>
      </c>
      <c r="AH124" t="e">
        <f t="shared" si="27"/>
        <v>#N/A</v>
      </c>
      <c r="AI124">
        <f t="shared" si="28"/>
        <v>0.14094029249470261</v>
      </c>
      <c r="AK124" t="e">
        <f t="shared" si="29"/>
        <v>#N/A</v>
      </c>
      <c r="AL124" t="e">
        <f t="shared" si="30"/>
        <v>#N/A</v>
      </c>
      <c r="AM124" t="e">
        <f t="shared" si="31"/>
        <v>#N/A</v>
      </c>
      <c r="AN124" t="e">
        <f t="shared" si="32"/>
        <v>#N/A</v>
      </c>
      <c r="AO124" t="e">
        <f t="shared" si="33"/>
        <v>#N/A</v>
      </c>
      <c r="AP124" t="e">
        <f t="shared" si="34"/>
        <v>#N/A</v>
      </c>
      <c r="AQ124">
        <f t="shared" si="35"/>
        <v>0.27339721959677615</v>
      </c>
    </row>
    <row r="125" spans="15:43">
      <c r="O125">
        <v>121</v>
      </c>
      <c r="P125" s="401">
        <f>'Lab test'!N124</f>
        <v>47.625</v>
      </c>
      <c r="Q125" s="401">
        <f>'Lab test'!M124</f>
        <v>7.4929999999999997E-2</v>
      </c>
      <c r="R125">
        <f>IF('Lab test'!O124&gt;0,'Lab test'!O124,NA())</f>
        <v>152.39999999999998</v>
      </c>
      <c r="S125">
        <f>'Lab test'!Q124</f>
        <v>635.59322033898309</v>
      </c>
      <c r="T125" s="401">
        <f>IF('Lab test'!P124&gt;0,'Lab test'!P124,NA())</f>
        <v>0.12692885146149133</v>
      </c>
      <c r="U125" s="401">
        <f>'Lab test'!AZ124</f>
        <v>1934</v>
      </c>
      <c r="V125">
        <f>IF('Lab test'!AQ124&gt;0,'Lab test'!AQ124,NA())</f>
        <v>1.3927701890768724</v>
      </c>
      <c r="W125">
        <f>IF('Lab test'!AU124&gt;0,'Lab test'!AU124,NA())</f>
        <v>0.17865670879610185</v>
      </c>
      <c r="X125">
        <f>IF('Lab test'!AT124&gt;0,'Lab test'!AT124,NA())</f>
        <v>0.34655985582689924</v>
      </c>
      <c r="Y125">
        <f t="shared" si="21"/>
        <v>1</v>
      </c>
      <c r="Z125" t="str">
        <f>'Lab test'!AC124</f>
        <v>Miscellaneous</v>
      </c>
      <c r="AA125" t="str">
        <f>'Lab test'!T124</f>
        <v>Brass</v>
      </c>
      <c r="AC125" t="e">
        <f t="shared" si="22"/>
        <v>#N/A</v>
      </c>
      <c r="AD125" t="e">
        <f t="shared" si="23"/>
        <v>#N/A</v>
      </c>
      <c r="AE125" t="e">
        <f t="shared" si="24"/>
        <v>#N/A</v>
      </c>
      <c r="AF125" t="e">
        <f t="shared" si="25"/>
        <v>#N/A</v>
      </c>
      <c r="AG125" t="e">
        <f t="shared" si="26"/>
        <v>#N/A</v>
      </c>
      <c r="AH125" t="e">
        <f t="shared" si="27"/>
        <v>#N/A</v>
      </c>
      <c r="AI125">
        <f t="shared" si="28"/>
        <v>0.17865670879610185</v>
      </c>
      <c r="AK125" t="e">
        <f t="shared" si="29"/>
        <v>#N/A</v>
      </c>
      <c r="AL125" t="e">
        <f t="shared" si="30"/>
        <v>#N/A</v>
      </c>
      <c r="AM125" t="e">
        <f t="shared" si="31"/>
        <v>#N/A</v>
      </c>
      <c r="AN125" t="e">
        <f t="shared" si="32"/>
        <v>#N/A</v>
      </c>
      <c r="AO125" t="e">
        <f t="shared" si="33"/>
        <v>#N/A</v>
      </c>
      <c r="AP125" t="e">
        <f t="shared" si="34"/>
        <v>#N/A</v>
      </c>
      <c r="AQ125">
        <f t="shared" si="35"/>
        <v>0.34655985582689924</v>
      </c>
    </row>
    <row r="126" spans="15:43">
      <c r="O126">
        <v>122</v>
      </c>
      <c r="P126" s="401">
        <f>'Lab test'!N125</f>
        <v>47.625</v>
      </c>
      <c r="Q126" s="401">
        <f>'Lab test'!M125</f>
        <v>7.4929999999999997E-2</v>
      </c>
      <c r="R126">
        <f>IF('Lab test'!O125&gt;0,'Lab test'!O125,NA())</f>
        <v>152.39999999999998</v>
      </c>
      <c r="S126">
        <f>'Lab test'!Q125</f>
        <v>635.59322033898309</v>
      </c>
      <c r="T126" s="401">
        <f>IF('Lab test'!P125&gt;0,'Lab test'!P125,NA())</f>
        <v>0.12692885146149133</v>
      </c>
      <c r="U126" s="401">
        <f>'Lab test'!AZ125</f>
        <v>1934</v>
      </c>
      <c r="V126">
        <f>IF('Lab test'!AQ125&gt;0,'Lab test'!AQ125,NA())</f>
        <v>1.3927701890768724</v>
      </c>
      <c r="W126">
        <f>IF('Lab test'!AU125&gt;0,'Lab test'!AU125,NA())</f>
        <v>0.15086566520559713</v>
      </c>
      <c r="X126">
        <f>IF('Lab test'!AT125&gt;0,'Lab test'!AT125,NA())</f>
        <v>0.29265054492049269</v>
      </c>
      <c r="Y126">
        <f t="shared" si="21"/>
        <v>1</v>
      </c>
      <c r="Z126" t="str">
        <f>'Lab test'!AC125</f>
        <v>Miscellaneous</v>
      </c>
      <c r="AA126" t="str">
        <f>'Lab test'!T125</f>
        <v>Brass</v>
      </c>
      <c r="AC126" t="e">
        <f t="shared" si="22"/>
        <v>#N/A</v>
      </c>
      <c r="AD126" t="e">
        <f t="shared" si="23"/>
        <v>#N/A</v>
      </c>
      <c r="AE126" t="e">
        <f t="shared" si="24"/>
        <v>#N/A</v>
      </c>
      <c r="AF126" t="e">
        <f t="shared" si="25"/>
        <v>#N/A</v>
      </c>
      <c r="AG126" t="e">
        <f t="shared" si="26"/>
        <v>#N/A</v>
      </c>
      <c r="AH126" t="e">
        <f t="shared" si="27"/>
        <v>#N/A</v>
      </c>
      <c r="AI126">
        <f t="shared" si="28"/>
        <v>0.15086566520559713</v>
      </c>
      <c r="AK126" t="e">
        <f t="shared" si="29"/>
        <v>#N/A</v>
      </c>
      <c r="AL126" t="e">
        <f t="shared" si="30"/>
        <v>#N/A</v>
      </c>
      <c r="AM126" t="e">
        <f t="shared" si="31"/>
        <v>#N/A</v>
      </c>
      <c r="AN126" t="e">
        <f t="shared" si="32"/>
        <v>#N/A</v>
      </c>
      <c r="AO126" t="e">
        <f t="shared" si="33"/>
        <v>#N/A</v>
      </c>
      <c r="AP126" t="e">
        <f t="shared" si="34"/>
        <v>#N/A</v>
      </c>
      <c r="AQ126">
        <f t="shared" si="35"/>
        <v>0.29265054492049269</v>
      </c>
    </row>
    <row r="127" spans="15:43">
      <c r="O127">
        <v>123</v>
      </c>
      <c r="P127" s="401">
        <f>'Lab test'!N126</f>
        <v>47.625</v>
      </c>
      <c r="Q127" s="401">
        <f>'Lab test'!M126</f>
        <v>7.4929999999999997E-2</v>
      </c>
      <c r="R127">
        <f>IF('Lab test'!O126&gt;0,'Lab test'!O126,NA())</f>
        <v>152.39999999999998</v>
      </c>
      <c r="S127">
        <f>'Lab test'!Q126</f>
        <v>635.59322033898309</v>
      </c>
      <c r="T127" s="401">
        <f>IF('Lab test'!P126&gt;0,'Lab test'!P126,NA())</f>
        <v>0.12692885146149133</v>
      </c>
      <c r="U127" s="401">
        <f>'Lab test'!AZ126</f>
        <v>1934</v>
      </c>
      <c r="V127">
        <f>IF('Lab test'!AQ126&gt;0,'Lab test'!AQ126,NA())</f>
        <v>1.3927701890768724</v>
      </c>
      <c r="W127">
        <f>IF('Lab test'!AU126&gt;0,'Lab test'!AU126,NA())</f>
        <v>0.11811193525964513</v>
      </c>
      <c r="X127">
        <f>IF('Lab test'!AT126&gt;0,'Lab test'!AT126,NA())</f>
        <v>0.22911457135222785</v>
      </c>
      <c r="Y127">
        <f t="shared" si="21"/>
        <v>1</v>
      </c>
      <c r="Z127" t="str">
        <f>'Lab test'!AC126</f>
        <v>Miscellaneous</v>
      </c>
      <c r="AA127" t="str">
        <f>'Lab test'!T126</f>
        <v>Brass</v>
      </c>
      <c r="AC127" t="e">
        <f t="shared" si="22"/>
        <v>#N/A</v>
      </c>
      <c r="AD127" t="e">
        <f t="shared" si="23"/>
        <v>#N/A</v>
      </c>
      <c r="AE127" t="e">
        <f t="shared" si="24"/>
        <v>#N/A</v>
      </c>
      <c r="AF127" t="e">
        <f t="shared" si="25"/>
        <v>#N/A</v>
      </c>
      <c r="AG127" t="e">
        <f t="shared" si="26"/>
        <v>#N/A</v>
      </c>
      <c r="AH127" t="e">
        <f t="shared" si="27"/>
        <v>#N/A</v>
      </c>
      <c r="AI127">
        <f t="shared" si="28"/>
        <v>0.11811193525964513</v>
      </c>
      <c r="AK127" t="e">
        <f t="shared" si="29"/>
        <v>#N/A</v>
      </c>
      <c r="AL127" t="e">
        <f t="shared" si="30"/>
        <v>#N/A</v>
      </c>
      <c r="AM127" t="e">
        <f t="shared" si="31"/>
        <v>#N/A</v>
      </c>
      <c r="AN127" t="e">
        <f t="shared" si="32"/>
        <v>#N/A</v>
      </c>
      <c r="AO127" t="e">
        <f t="shared" si="33"/>
        <v>#N/A</v>
      </c>
      <c r="AP127" t="e">
        <f t="shared" si="34"/>
        <v>#N/A</v>
      </c>
      <c r="AQ127">
        <f t="shared" si="35"/>
        <v>0.22911457135222785</v>
      </c>
    </row>
    <row r="128" spans="15:43">
      <c r="O128">
        <v>124</v>
      </c>
      <c r="P128" s="401">
        <f>'Lab test'!N127</f>
        <v>47.625</v>
      </c>
      <c r="Q128" s="401">
        <f>'Lab test'!M127</f>
        <v>7.4929999999999997E-2</v>
      </c>
      <c r="R128">
        <f>IF('Lab test'!O127&gt;0,'Lab test'!O127,NA())</f>
        <v>152.39999999999998</v>
      </c>
      <c r="S128">
        <f>'Lab test'!Q127</f>
        <v>635.59322033898309</v>
      </c>
      <c r="T128" s="401">
        <f>IF('Lab test'!P127&gt;0,'Lab test'!P127,NA())</f>
        <v>0.12692885146149133</v>
      </c>
      <c r="U128" s="401">
        <f>'Lab test'!AZ127</f>
        <v>1934</v>
      </c>
      <c r="V128">
        <f>IF('Lab test'!AQ127&gt;0,'Lab test'!AQ127,NA())</f>
        <v>1.3927701890768724</v>
      </c>
      <c r="W128">
        <f>IF('Lab test'!AU127&gt;0,'Lab test'!AU127,NA())</f>
        <v>0.12208208434400294</v>
      </c>
      <c r="X128">
        <f>IF('Lab test'!AT127&gt;0,'Lab test'!AT127,NA())</f>
        <v>0.23681590148171447</v>
      </c>
      <c r="Y128">
        <f t="shared" si="21"/>
        <v>1</v>
      </c>
      <c r="Z128" t="str">
        <f>'Lab test'!AC127</f>
        <v>Miscellaneous</v>
      </c>
      <c r="AA128" t="str">
        <f>'Lab test'!T127</f>
        <v>Brass</v>
      </c>
      <c r="AC128" t="e">
        <f t="shared" si="22"/>
        <v>#N/A</v>
      </c>
      <c r="AD128" t="e">
        <f t="shared" si="23"/>
        <v>#N/A</v>
      </c>
      <c r="AE128" t="e">
        <f t="shared" si="24"/>
        <v>#N/A</v>
      </c>
      <c r="AF128" t="e">
        <f t="shared" si="25"/>
        <v>#N/A</v>
      </c>
      <c r="AG128" t="e">
        <f t="shared" si="26"/>
        <v>#N/A</v>
      </c>
      <c r="AH128" t="e">
        <f t="shared" si="27"/>
        <v>#N/A</v>
      </c>
      <c r="AI128">
        <f t="shared" si="28"/>
        <v>0.12208208434400294</v>
      </c>
      <c r="AK128" t="e">
        <f t="shared" si="29"/>
        <v>#N/A</v>
      </c>
      <c r="AL128" t="e">
        <f t="shared" si="30"/>
        <v>#N/A</v>
      </c>
      <c r="AM128" t="e">
        <f t="shared" si="31"/>
        <v>#N/A</v>
      </c>
      <c r="AN128" t="e">
        <f t="shared" si="32"/>
        <v>#N/A</v>
      </c>
      <c r="AO128" t="e">
        <f t="shared" si="33"/>
        <v>#N/A</v>
      </c>
      <c r="AP128" t="e">
        <f t="shared" si="34"/>
        <v>#N/A</v>
      </c>
      <c r="AQ128">
        <f t="shared" si="35"/>
        <v>0.23681590148171447</v>
      </c>
    </row>
    <row r="129" spans="15:43">
      <c r="O129">
        <v>125</v>
      </c>
      <c r="P129" s="401">
        <f>'Lab test'!N128</f>
        <v>161.92500000000001</v>
      </c>
      <c r="Q129" s="401">
        <f>'Lab test'!M128</f>
        <v>0.21589999999999998</v>
      </c>
      <c r="R129">
        <f>IF('Lab test'!O128&gt;0,'Lab test'!O128,NA())</f>
        <v>227.54166663915001</v>
      </c>
      <c r="S129">
        <f>'Lab test'!Q128</f>
        <v>750.00000000000011</v>
      </c>
      <c r="T129" s="401">
        <f>IF('Lab test'!P128&gt;0,'Lab test'!P128,NA())</f>
        <v>5.1311699280771207E-2</v>
      </c>
      <c r="U129" s="401">
        <f>'Lab test'!AZ128</f>
        <v>1939</v>
      </c>
      <c r="V129" t="e">
        <f>IF('Lab test'!AQ128&gt;0,'Lab test'!AQ128,NA())</f>
        <v>#N/A</v>
      </c>
      <c r="W129" t="e">
        <f>IF('Lab test'!AU128&gt;0,'Lab test'!AU128,NA())</f>
        <v>#N/A</v>
      </c>
      <c r="X129">
        <f>IF('Lab test'!AT128&gt;0,'Lab test'!AT128,NA())</f>
        <v>0.38955393689032747</v>
      </c>
      <c r="Y129">
        <f t="shared" si="21"/>
        <v>1</v>
      </c>
      <c r="Z129" t="str">
        <f>'Lab test'!AC128</f>
        <v>LTWb</v>
      </c>
      <c r="AA129" t="str">
        <f>'Lab test'!T128</f>
        <v>Steel</v>
      </c>
      <c r="AC129" t="e">
        <f t="shared" si="22"/>
        <v>#N/A</v>
      </c>
      <c r="AD129" t="e">
        <f t="shared" si="23"/>
        <v>#N/A</v>
      </c>
      <c r="AE129" t="e">
        <f t="shared" si="24"/>
        <v>#N/A</v>
      </c>
      <c r="AF129" t="e">
        <f t="shared" si="25"/>
        <v>#N/A</v>
      </c>
      <c r="AG129" t="e">
        <f t="shared" si="26"/>
        <v>#N/A</v>
      </c>
      <c r="AH129" t="e">
        <f t="shared" si="27"/>
        <v>#N/A</v>
      </c>
      <c r="AI129" t="e">
        <f t="shared" si="28"/>
        <v>#N/A</v>
      </c>
      <c r="AK129" t="e">
        <f t="shared" si="29"/>
        <v>#N/A</v>
      </c>
      <c r="AL129">
        <f t="shared" si="30"/>
        <v>0.38955393689032747</v>
      </c>
      <c r="AM129" t="e">
        <f t="shared" si="31"/>
        <v>#N/A</v>
      </c>
      <c r="AN129" t="e">
        <f t="shared" si="32"/>
        <v>#N/A</v>
      </c>
      <c r="AO129" t="e">
        <f t="shared" si="33"/>
        <v>#N/A</v>
      </c>
      <c r="AP129" t="e">
        <f t="shared" si="34"/>
        <v>#N/A</v>
      </c>
      <c r="AQ129" t="e">
        <f t="shared" si="35"/>
        <v>#N/A</v>
      </c>
    </row>
    <row r="130" spans="15:43">
      <c r="O130">
        <v>126</v>
      </c>
      <c r="P130" s="401">
        <f>'Lab test'!N129</f>
        <v>161.92500000000001</v>
      </c>
      <c r="Q130" s="401">
        <f>'Lab test'!M129</f>
        <v>0.21589999999999998</v>
      </c>
      <c r="R130">
        <f>IF('Lab test'!O129&gt;0,'Lab test'!O129,NA())</f>
        <v>227.54166663915001</v>
      </c>
      <c r="S130">
        <f>'Lab test'!Q129</f>
        <v>750.00000000000011</v>
      </c>
      <c r="T130" s="401">
        <f>IF('Lab test'!P129&gt;0,'Lab test'!P129,NA())</f>
        <v>5.1311699280771207E-2</v>
      </c>
      <c r="U130" s="401">
        <f>'Lab test'!AZ129</f>
        <v>1939</v>
      </c>
      <c r="V130" t="e">
        <f>IF('Lab test'!AQ129&gt;0,'Lab test'!AQ129,NA())</f>
        <v>#N/A</v>
      </c>
      <c r="W130" t="e">
        <f>IF('Lab test'!AU129&gt;0,'Lab test'!AU129,NA())</f>
        <v>#N/A</v>
      </c>
      <c r="X130">
        <f>IF('Lab test'!AT129&gt;0,'Lab test'!AT129,NA())</f>
        <v>0.41931936541541204</v>
      </c>
      <c r="Y130">
        <f t="shared" si="21"/>
        <v>1</v>
      </c>
      <c r="Z130" t="str">
        <f>'Lab test'!AC129</f>
        <v>LTWb</v>
      </c>
      <c r="AA130" t="str">
        <f>'Lab test'!T129</f>
        <v>Steel</v>
      </c>
      <c r="AC130" t="e">
        <f t="shared" si="22"/>
        <v>#N/A</v>
      </c>
      <c r="AD130" t="e">
        <f t="shared" si="23"/>
        <v>#N/A</v>
      </c>
      <c r="AE130" t="e">
        <f t="shared" si="24"/>
        <v>#N/A</v>
      </c>
      <c r="AF130" t="e">
        <f t="shared" si="25"/>
        <v>#N/A</v>
      </c>
      <c r="AG130" t="e">
        <f t="shared" si="26"/>
        <v>#N/A</v>
      </c>
      <c r="AH130" t="e">
        <f t="shared" si="27"/>
        <v>#N/A</v>
      </c>
      <c r="AI130" t="e">
        <f t="shared" si="28"/>
        <v>#N/A</v>
      </c>
      <c r="AK130" t="e">
        <f t="shared" si="29"/>
        <v>#N/A</v>
      </c>
      <c r="AL130">
        <f t="shared" si="30"/>
        <v>0.41931936541541204</v>
      </c>
      <c r="AM130" t="e">
        <f t="shared" si="31"/>
        <v>#N/A</v>
      </c>
      <c r="AN130" t="e">
        <f t="shared" si="32"/>
        <v>#N/A</v>
      </c>
      <c r="AO130" t="e">
        <f t="shared" si="33"/>
        <v>#N/A</v>
      </c>
      <c r="AP130" t="e">
        <f t="shared" si="34"/>
        <v>#N/A</v>
      </c>
      <c r="AQ130" t="e">
        <f t="shared" si="35"/>
        <v>#N/A</v>
      </c>
    </row>
    <row r="131" spans="15:43">
      <c r="O131">
        <v>127</v>
      </c>
      <c r="P131" s="401">
        <f>'Lab test'!N130</f>
        <v>161.92500000000001</v>
      </c>
      <c r="Q131" s="401">
        <f>'Lab test'!M130</f>
        <v>0.21589999999999998</v>
      </c>
      <c r="R131">
        <f>IF('Lab test'!O130&gt;0,'Lab test'!O130,NA())</f>
        <v>227.54166663915001</v>
      </c>
      <c r="S131">
        <f>'Lab test'!Q130</f>
        <v>750.00000000000011</v>
      </c>
      <c r="T131" s="401">
        <f>IF('Lab test'!P130&gt;0,'Lab test'!P130,NA())</f>
        <v>5.1311699280771207E-2</v>
      </c>
      <c r="U131" s="401">
        <f>'Lab test'!AZ130</f>
        <v>1939</v>
      </c>
      <c r="V131" t="e">
        <f>IF('Lab test'!AQ130&gt;0,'Lab test'!AQ130,NA())</f>
        <v>#N/A</v>
      </c>
      <c r="W131" t="e">
        <f>IF('Lab test'!AU130&gt;0,'Lab test'!AU130,NA())</f>
        <v>#N/A</v>
      </c>
      <c r="X131">
        <f>IF('Lab test'!AT130&gt;0,'Lab test'!AT130,NA())</f>
        <v>0.3022897964821582</v>
      </c>
      <c r="Y131">
        <f t="shared" si="21"/>
        <v>1</v>
      </c>
      <c r="Z131" t="str">
        <f>'Lab test'!AC130</f>
        <v>LTWb</v>
      </c>
      <c r="AA131" t="str">
        <f>'Lab test'!T130</f>
        <v>Steel</v>
      </c>
      <c r="AC131" t="e">
        <f t="shared" si="22"/>
        <v>#N/A</v>
      </c>
      <c r="AD131" t="e">
        <f t="shared" si="23"/>
        <v>#N/A</v>
      </c>
      <c r="AE131" t="e">
        <f t="shared" si="24"/>
        <v>#N/A</v>
      </c>
      <c r="AF131" t="e">
        <f t="shared" si="25"/>
        <v>#N/A</v>
      </c>
      <c r="AG131" t="e">
        <f t="shared" si="26"/>
        <v>#N/A</v>
      </c>
      <c r="AH131" t="e">
        <f t="shared" si="27"/>
        <v>#N/A</v>
      </c>
      <c r="AI131" t="e">
        <f t="shared" si="28"/>
        <v>#N/A</v>
      </c>
      <c r="AK131" t="e">
        <f t="shared" si="29"/>
        <v>#N/A</v>
      </c>
      <c r="AL131">
        <f t="shared" si="30"/>
        <v>0.3022897964821582</v>
      </c>
      <c r="AM131" t="e">
        <f t="shared" si="31"/>
        <v>#N/A</v>
      </c>
      <c r="AN131" t="e">
        <f t="shared" si="32"/>
        <v>#N/A</v>
      </c>
      <c r="AO131" t="e">
        <f t="shared" si="33"/>
        <v>#N/A</v>
      </c>
      <c r="AP131" t="e">
        <f t="shared" si="34"/>
        <v>#N/A</v>
      </c>
      <c r="AQ131" t="e">
        <f t="shared" si="35"/>
        <v>#N/A</v>
      </c>
    </row>
    <row r="132" spans="15:43">
      <c r="O132">
        <v>128</v>
      </c>
      <c r="P132" s="401">
        <f>'Lab test'!N131</f>
        <v>161.92500000000001</v>
      </c>
      <c r="Q132" s="401">
        <f>'Lab test'!M131</f>
        <v>0.21589999999999998</v>
      </c>
      <c r="R132">
        <f>IF('Lab test'!O131&gt;0,'Lab test'!O131,NA())</f>
        <v>177.80000005080004</v>
      </c>
      <c r="S132">
        <f>'Lab test'!Q131</f>
        <v>750.00000000000011</v>
      </c>
      <c r="T132" s="401">
        <f>IF('Lab test'!P131&gt;0,'Lab test'!P131,NA())</f>
        <v>4.0094723175232501E-2</v>
      </c>
      <c r="U132" s="401">
        <f>'Lab test'!AZ131</f>
        <v>1939</v>
      </c>
      <c r="V132" t="e">
        <f>IF('Lab test'!AQ131&gt;0,'Lab test'!AQ131,NA())</f>
        <v>#N/A</v>
      </c>
      <c r="W132" t="e">
        <f>IF('Lab test'!AU131&gt;0,'Lab test'!AU131,NA())</f>
        <v>#N/A</v>
      </c>
      <c r="X132">
        <f>IF('Lab test'!AT131&gt;0,'Lab test'!AT131,NA())</f>
        <v>0.3022897964821582</v>
      </c>
      <c r="Y132">
        <f t="shared" si="21"/>
        <v>1</v>
      </c>
      <c r="Z132" t="str">
        <f>'Lab test'!AC131</f>
        <v>LTWb</v>
      </c>
      <c r="AA132" t="str">
        <f>'Lab test'!T131</f>
        <v>Steel</v>
      </c>
      <c r="AC132" t="e">
        <f t="shared" si="22"/>
        <v>#N/A</v>
      </c>
      <c r="AD132" t="e">
        <f t="shared" si="23"/>
        <v>#N/A</v>
      </c>
      <c r="AE132" t="e">
        <f t="shared" si="24"/>
        <v>#N/A</v>
      </c>
      <c r="AF132" t="e">
        <f t="shared" si="25"/>
        <v>#N/A</v>
      </c>
      <c r="AG132" t="e">
        <f t="shared" si="26"/>
        <v>#N/A</v>
      </c>
      <c r="AH132" t="e">
        <f t="shared" si="27"/>
        <v>#N/A</v>
      </c>
      <c r="AI132" t="e">
        <f t="shared" si="28"/>
        <v>#N/A</v>
      </c>
      <c r="AK132" t="e">
        <f t="shared" si="29"/>
        <v>#N/A</v>
      </c>
      <c r="AL132">
        <f t="shared" si="30"/>
        <v>0.3022897964821582</v>
      </c>
      <c r="AM132" t="e">
        <f t="shared" si="31"/>
        <v>#N/A</v>
      </c>
      <c r="AN132" t="e">
        <f t="shared" si="32"/>
        <v>#N/A</v>
      </c>
      <c r="AO132" t="e">
        <f t="shared" si="33"/>
        <v>#N/A</v>
      </c>
      <c r="AP132" t="e">
        <f t="shared" si="34"/>
        <v>#N/A</v>
      </c>
      <c r="AQ132" t="e">
        <f t="shared" si="35"/>
        <v>#N/A</v>
      </c>
    </row>
    <row r="133" spans="15:43">
      <c r="O133">
        <v>129</v>
      </c>
      <c r="P133" s="401">
        <f>'Lab test'!N132</f>
        <v>161.92500000000001</v>
      </c>
      <c r="Q133" s="401">
        <f>'Lab test'!M132</f>
        <v>0.21589999999999998</v>
      </c>
      <c r="R133">
        <f>IF('Lab test'!O132&gt;0,'Lab test'!O132,NA())</f>
        <v>129.116666680425</v>
      </c>
      <c r="S133">
        <f>'Lab test'!Q132</f>
        <v>750.00000000000011</v>
      </c>
      <c r="T133" s="401">
        <f>IF('Lab test'!P132&gt;0,'Lab test'!P132,NA())</f>
        <v>2.9116406110131006E-2</v>
      </c>
      <c r="U133" s="401">
        <f>'Lab test'!AZ132</f>
        <v>1939</v>
      </c>
      <c r="V133" t="e">
        <f>IF('Lab test'!AQ132&gt;0,'Lab test'!AQ132,NA())</f>
        <v>#N/A</v>
      </c>
      <c r="W133" t="e">
        <f>IF('Lab test'!AU132&gt;0,'Lab test'!AU132,NA())</f>
        <v>#N/A</v>
      </c>
      <c r="X133">
        <f>IF('Lab test'!AT132&gt;0,'Lab test'!AT132,NA())</f>
        <v>0.34456571405760156</v>
      </c>
      <c r="Y133">
        <f t="shared" si="21"/>
        <v>1</v>
      </c>
      <c r="Z133" t="str">
        <f>'Lab test'!AC132</f>
        <v>LTWb</v>
      </c>
      <c r="AA133" t="str">
        <f>'Lab test'!T132</f>
        <v>Steel</v>
      </c>
      <c r="AC133" t="e">
        <f t="shared" si="22"/>
        <v>#N/A</v>
      </c>
      <c r="AD133" t="e">
        <f t="shared" si="23"/>
        <v>#N/A</v>
      </c>
      <c r="AE133" t="e">
        <f t="shared" si="24"/>
        <v>#N/A</v>
      </c>
      <c r="AF133" t="e">
        <f t="shared" si="25"/>
        <v>#N/A</v>
      </c>
      <c r="AG133" t="e">
        <f t="shared" si="26"/>
        <v>#N/A</v>
      </c>
      <c r="AH133" t="e">
        <f t="shared" si="27"/>
        <v>#N/A</v>
      </c>
      <c r="AI133" t="e">
        <f t="shared" si="28"/>
        <v>#N/A</v>
      </c>
      <c r="AK133" t="e">
        <f t="shared" si="29"/>
        <v>#N/A</v>
      </c>
      <c r="AL133">
        <f t="shared" si="30"/>
        <v>0.34456571405760156</v>
      </c>
      <c r="AM133" t="e">
        <f t="shared" si="31"/>
        <v>#N/A</v>
      </c>
      <c r="AN133" t="e">
        <f t="shared" si="32"/>
        <v>#N/A</v>
      </c>
      <c r="AO133" t="e">
        <f t="shared" si="33"/>
        <v>#N/A</v>
      </c>
      <c r="AP133" t="e">
        <f t="shared" si="34"/>
        <v>#N/A</v>
      </c>
      <c r="AQ133" t="e">
        <f t="shared" si="35"/>
        <v>#N/A</v>
      </c>
    </row>
    <row r="134" spans="15:43">
      <c r="O134">
        <v>130</v>
      </c>
      <c r="P134" s="401">
        <f>'Lab test'!N133</f>
        <v>161.92500000000001</v>
      </c>
      <c r="Q134" s="401">
        <f>'Lab test'!M133</f>
        <v>0.21589999999999998</v>
      </c>
      <c r="R134">
        <f>IF('Lab test'!O133&gt;0,'Lab test'!O133,NA())</f>
        <v>126.47083339260001</v>
      </c>
      <c r="S134">
        <f>'Lab test'!Q133</f>
        <v>750.00000000000011</v>
      </c>
      <c r="T134" s="401">
        <f>IF('Lab test'!P133&gt;0,'Lab test'!P133,NA())</f>
        <v>2.8519758454265715E-2</v>
      </c>
      <c r="U134" s="401">
        <f>'Lab test'!AZ133</f>
        <v>1939</v>
      </c>
      <c r="V134" t="e">
        <f>IF('Lab test'!AQ133&gt;0,'Lab test'!AQ133,NA())</f>
        <v>#N/A</v>
      </c>
      <c r="W134" t="e">
        <f>IF('Lab test'!AU133&gt;0,'Lab test'!AU133,NA())</f>
        <v>#N/A</v>
      </c>
      <c r="X134">
        <f>IF('Lab test'!AT133&gt;0,'Lab test'!AT133,NA())</f>
        <v>0.32806042722189011</v>
      </c>
      <c r="Y134">
        <f t="shared" ref="Y134:Y197" si="36">IF(OR(ISNUMBER(W134),ISNUMBER(X134)),1,NA())</f>
        <v>1</v>
      </c>
      <c r="Z134" t="str">
        <f>'Lab test'!AC133</f>
        <v>LTWb</v>
      </c>
      <c r="AA134" t="str">
        <f>'Lab test'!T133</f>
        <v>Steel</v>
      </c>
      <c r="AC134" t="e">
        <f t="shared" ref="AC134:AC197" si="37">IF(EXACT($AC$4,Z134),W134,NA())</f>
        <v>#N/A</v>
      </c>
      <c r="AD134" t="e">
        <f t="shared" ref="AD134:AD197" si="38">IF(EXACT($AD$4,Z134),W134,NA())</f>
        <v>#N/A</v>
      </c>
      <c r="AE134" t="e">
        <f t="shared" ref="AE134:AE197" si="39">IF(EXACT($AE$4,Z134),W134,NA())</f>
        <v>#N/A</v>
      </c>
      <c r="AF134" t="e">
        <f t="shared" ref="AF134:AF197" si="40">IF(EXACT($AF$4,Z134),W134,NA())</f>
        <v>#N/A</v>
      </c>
      <c r="AG134" t="e">
        <f t="shared" ref="AG134:AG197" si="41">IF(EXACT($AG$4,Z134),W134,NA())</f>
        <v>#N/A</v>
      </c>
      <c r="AH134" t="e">
        <f t="shared" ref="AH134:AH197" si="42">IF(EXACT($AH$4,Z134),W134,NA())</f>
        <v>#N/A</v>
      </c>
      <c r="AI134" t="e">
        <f t="shared" ref="AI134:AI197" si="43">IF(EXACT($AI$4,Z134),W134,NA())</f>
        <v>#N/A</v>
      </c>
      <c r="AK134" t="e">
        <f t="shared" ref="AK134:AK197" si="44">IF(EXACT($AK$4,Z134),X134,NA())</f>
        <v>#N/A</v>
      </c>
      <c r="AL134">
        <f t="shared" ref="AL134:AL197" si="45">IF(EXACT($AL$4,Z134),X134,NA())</f>
        <v>0.32806042722189011</v>
      </c>
      <c r="AM134" t="e">
        <f t="shared" ref="AM134:AM197" si="46">IF(EXACT($AM$4,Z134),X134,NA())</f>
        <v>#N/A</v>
      </c>
      <c r="AN134" t="e">
        <f t="shared" ref="AN134:AN197" si="47">IF(EXACT($AN$4,Z134),X134,NA())</f>
        <v>#N/A</v>
      </c>
      <c r="AO134" t="e">
        <f t="shared" ref="AO134:AO197" si="48">IF(EXACT($AO$4,Z134),X134,NA())</f>
        <v>#N/A</v>
      </c>
      <c r="AP134" t="e">
        <f t="shared" ref="AP134:AP197" si="49">IF(EXACT($AP$4,Z134),X134,NA())</f>
        <v>#N/A</v>
      </c>
      <c r="AQ134" t="e">
        <f t="shared" ref="AQ134:AQ197" si="50">IF(EXACT($AQ$4,Z134),X134,NA())</f>
        <v>#N/A</v>
      </c>
    </row>
    <row r="135" spans="15:43">
      <c r="O135">
        <v>131</v>
      </c>
      <c r="P135" s="401">
        <f>'Lab test'!N134</f>
        <v>161.92500000000001</v>
      </c>
      <c r="Q135" s="401">
        <f>'Lab test'!M134</f>
        <v>0.21589999999999998</v>
      </c>
      <c r="R135">
        <f>IF('Lab test'!O134&gt;0,'Lab test'!O134,NA())</f>
        <v>74.083333354500013</v>
      </c>
      <c r="S135">
        <f>'Lab test'!Q134</f>
        <v>750.00000000000011</v>
      </c>
      <c r="T135" s="401">
        <f>IF('Lab test'!P134&gt;0,'Lab test'!P134,NA())</f>
        <v>1.6706134656346877E-2</v>
      </c>
      <c r="U135" s="401">
        <f>'Lab test'!AZ134</f>
        <v>1939</v>
      </c>
      <c r="V135" t="e">
        <f>IF('Lab test'!AQ134&gt;0,'Lab test'!AQ134,NA())</f>
        <v>#N/A</v>
      </c>
      <c r="W135" t="e">
        <f>IF('Lab test'!AU134&gt;0,'Lab test'!AU134,NA())</f>
        <v>#N/A</v>
      </c>
      <c r="X135">
        <f>IF('Lab test'!AT134&gt;0,'Lab test'!AT134,NA())</f>
        <v>0.31234577184605744</v>
      </c>
      <c r="Y135">
        <f t="shared" si="36"/>
        <v>1</v>
      </c>
      <c r="Z135" t="str">
        <f>'Lab test'!AC134</f>
        <v>LTWb</v>
      </c>
      <c r="AA135" t="str">
        <f>'Lab test'!T134</f>
        <v>Steel</v>
      </c>
      <c r="AC135" t="e">
        <f t="shared" si="37"/>
        <v>#N/A</v>
      </c>
      <c r="AD135" t="e">
        <f t="shared" si="38"/>
        <v>#N/A</v>
      </c>
      <c r="AE135" t="e">
        <f t="shared" si="39"/>
        <v>#N/A</v>
      </c>
      <c r="AF135" t="e">
        <f t="shared" si="40"/>
        <v>#N/A</v>
      </c>
      <c r="AG135" t="e">
        <f t="shared" si="41"/>
        <v>#N/A</v>
      </c>
      <c r="AH135" t="e">
        <f t="shared" si="42"/>
        <v>#N/A</v>
      </c>
      <c r="AI135" t="e">
        <f t="shared" si="43"/>
        <v>#N/A</v>
      </c>
      <c r="AK135" t="e">
        <f t="shared" si="44"/>
        <v>#N/A</v>
      </c>
      <c r="AL135">
        <f t="shared" si="45"/>
        <v>0.31234577184605744</v>
      </c>
      <c r="AM135" t="e">
        <f t="shared" si="46"/>
        <v>#N/A</v>
      </c>
      <c r="AN135" t="e">
        <f t="shared" si="47"/>
        <v>#N/A</v>
      </c>
      <c r="AO135" t="e">
        <f t="shared" si="48"/>
        <v>#N/A</v>
      </c>
      <c r="AP135" t="e">
        <f t="shared" si="49"/>
        <v>#N/A</v>
      </c>
      <c r="AQ135" t="e">
        <f t="shared" si="50"/>
        <v>#N/A</v>
      </c>
    </row>
    <row r="136" spans="15:43">
      <c r="O136">
        <v>132</v>
      </c>
      <c r="P136" s="401">
        <f>'Lab test'!N135</f>
        <v>161.92500000000001</v>
      </c>
      <c r="Q136" s="401">
        <f>'Lab test'!M135</f>
        <v>0.21589999999999998</v>
      </c>
      <c r="R136">
        <f>IF('Lab test'!O135&gt;0,'Lab test'!O135,NA())</f>
        <v>50.799999968250006</v>
      </c>
      <c r="S136">
        <f>'Lab test'!Q135</f>
        <v>750.00000000000011</v>
      </c>
      <c r="T136" s="401">
        <f>IF('Lab test'!P135&gt;0,'Lab test'!P135,NA())</f>
        <v>1.1455635182490761E-2</v>
      </c>
      <c r="U136" s="401">
        <f>'Lab test'!AZ135</f>
        <v>1939</v>
      </c>
      <c r="V136" t="e">
        <f>IF('Lab test'!AQ135&gt;0,'Lab test'!AQ135,NA())</f>
        <v>#N/A</v>
      </c>
      <c r="W136" t="e">
        <f>IF('Lab test'!AU135&gt;0,'Lab test'!AU135,NA())</f>
        <v>#N/A</v>
      </c>
      <c r="X136">
        <f>IF('Lab test'!AT135&gt;0,'Lab test'!AT135,NA())</f>
        <v>0.53159753422996803</v>
      </c>
      <c r="Y136">
        <f t="shared" si="36"/>
        <v>1</v>
      </c>
      <c r="Z136" t="str">
        <f>'Lab test'!AC135</f>
        <v>LTWb</v>
      </c>
      <c r="AA136" t="str">
        <f>'Lab test'!T135</f>
        <v>Steel</v>
      </c>
      <c r="AC136" t="e">
        <f t="shared" si="37"/>
        <v>#N/A</v>
      </c>
      <c r="AD136" t="e">
        <f t="shared" si="38"/>
        <v>#N/A</v>
      </c>
      <c r="AE136" t="e">
        <f t="shared" si="39"/>
        <v>#N/A</v>
      </c>
      <c r="AF136" t="e">
        <f t="shared" si="40"/>
        <v>#N/A</v>
      </c>
      <c r="AG136" t="e">
        <f t="shared" si="41"/>
        <v>#N/A</v>
      </c>
      <c r="AH136" t="e">
        <f t="shared" si="42"/>
        <v>#N/A</v>
      </c>
      <c r="AI136" t="e">
        <f t="shared" si="43"/>
        <v>#N/A</v>
      </c>
      <c r="AK136" t="e">
        <f t="shared" si="44"/>
        <v>#N/A</v>
      </c>
      <c r="AL136">
        <f t="shared" si="45"/>
        <v>0.53159753422996803</v>
      </c>
      <c r="AM136" t="e">
        <f t="shared" si="46"/>
        <v>#N/A</v>
      </c>
      <c r="AN136" t="e">
        <f t="shared" si="47"/>
        <v>#N/A</v>
      </c>
      <c r="AO136" t="e">
        <f t="shared" si="48"/>
        <v>#N/A</v>
      </c>
      <c r="AP136" t="e">
        <f t="shared" si="49"/>
        <v>#N/A</v>
      </c>
      <c r="AQ136" t="e">
        <f t="shared" si="50"/>
        <v>#N/A</v>
      </c>
    </row>
    <row r="137" spans="15:43">
      <c r="O137">
        <v>133</v>
      </c>
      <c r="P137" s="401">
        <f>'Lab test'!N136</f>
        <v>161.92500000000001</v>
      </c>
      <c r="Q137" s="401">
        <f>'Lab test'!M136</f>
        <v>0.21589999999999998</v>
      </c>
      <c r="R137">
        <f>IF('Lab test'!O136&gt;0,'Lab test'!O136,NA())</f>
        <v>25.929166674075002</v>
      </c>
      <c r="S137">
        <f>'Lab test'!Q136</f>
        <v>750.00000000000011</v>
      </c>
      <c r="T137" s="401">
        <f>IF('Lab test'!P136&gt;0,'Lab test'!P136,NA())</f>
        <v>5.8471471297214059E-3</v>
      </c>
      <c r="U137" s="401">
        <f>'Lab test'!AZ136</f>
        <v>1939</v>
      </c>
      <c r="V137" t="e">
        <f>IF('Lab test'!AQ136&gt;0,'Lab test'!AQ136,NA())</f>
        <v>#N/A</v>
      </c>
      <c r="W137" t="e">
        <f>IF('Lab test'!AU136&gt;0,'Lab test'!AU136,NA())</f>
        <v>#N/A</v>
      </c>
      <c r="X137">
        <f>IF('Lab test'!AT136&gt;0,'Lab test'!AT136,NA())</f>
        <v>0.56292975945594959</v>
      </c>
      <c r="Y137">
        <f t="shared" si="36"/>
        <v>1</v>
      </c>
      <c r="Z137" t="str">
        <f>'Lab test'!AC136</f>
        <v>LTWb</v>
      </c>
      <c r="AA137" t="str">
        <f>'Lab test'!T136</f>
        <v>Steel</v>
      </c>
      <c r="AC137" t="e">
        <f t="shared" si="37"/>
        <v>#N/A</v>
      </c>
      <c r="AD137" t="e">
        <f t="shared" si="38"/>
        <v>#N/A</v>
      </c>
      <c r="AE137" t="e">
        <f t="shared" si="39"/>
        <v>#N/A</v>
      </c>
      <c r="AF137" t="e">
        <f t="shared" si="40"/>
        <v>#N/A</v>
      </c>
      <c r="AG137" t="e">
        <f t="shared" si="41"/>
        <v>#N/A</v>
      </c>
      <c r="AH137" t="e">
        <f t="shared" si="42"/>
        <v>#N/A</v>
      </c>
      <c r="AI137" t="e">
        <f t="shared" si="43"/>
        <v>#N/A</v>
      </c>
      <c r="AK137" t="e">
        <f t="shared" si="44"/>
        <v>#N/A</v>
      </c>
      <c r="AL137">
        <f t="shared" si="45"/>
        <v>0.56292975945594959</v>
      </c>
      <c r="AM137" t="e">
        <f t="shared" si="46"/>
        <v>#N/A</v>
      </c>
      <c r="AN137" t="e">
        <f t="shared" si="47"/>
        <v>#N/A</v>
      </c>
      <c r="AO137" t="e">
        <f t="shared" si="48"/>
        <v>#N/A</v>
      </c>
      <c r="AP137" t="e">
        <f t="shared" si="49"/>
        <v>#N/A</v>
      </c>
      <c r="AQ137" t="e">
        <f t="shared" si="50"/>
        <v>#N/A</v>
      </c>
    </row>
    <row r="138" spans="15:43">
      <c r="O138">
        <v>134</v>
      </c>
      <c r="P138" s="401">
        <f>'Lab test'!N137</f>
        <v>161.92500000000001</v>
      </c>
      <c r="Q138" s="401">
        <f>'Lab test'!M137</f>
        <v>0.21589999999999998</v>
      </c>
      <c r="R138">
        <f>IF('Lab test'!O137&gt;0,'Lab test'!O137,NA())</f>
        <v>39.687499965074998</v>
      </c>
      <c r="S138">
        <f>'Lab test'!Q137</f>
        <v>750.00000000000011</v>
      </c>
      <c r="T138" s="401">
        <f>IF('Lab test'!P137&gt;0,'Lab test'!P137,NA())</f>
        <v>8.9497149840387282E-3</v>
      </c>
      <c r="U138" s="401">
        <f>'Lab test'!AZ137</f>
        <v>1939</v>
      </c>
      <c r="V138" t="e">
        <f>IF('Lab test'!AQ137&gt;0,'Lab test'!AQ137,NA())</f>
        <v>#N/A</v>
      </c>
      <c r="W138" t="e">
        <f>IF('Lab test'!AU137&gt;0,'Lab test'!AU137,NA())</f>
        <v>#N/A</v>
      </c>
      <c r="X138">
        <f>IF('Lab test'!AT137&gt;0,'Lab test'!AT137,NA())</f>
        <v>0.62609995658685913</v>
      </c>
      <c r="Y138">
        <f t="shared" si="36"/>
        <v>1</v>
      </c>
      <c r="Z138" t="str">
        <f>'Lab test'!AC137</f>
        <v>LTWb</v>
      </c>
      <c r="AA138" t="str">
        <f>'Lab test'!T137</f>
        <v>Steel</v>
      </c>
      <c r="AC138" t="e">
        <f t="shared" si="37"/>
        <v>#N/A</v>
      </c>
      <c r="AD138" t="e">
        <f t="shared" si="38"/>
        <v>#N/A</v>
      </c>
      <c r="AE138" t="e">
        <f t="shared" si="39"/>
        <v>#N/A</v>
      </c>
      <c r="AF138" t="e">
        <f t="shared" si="40"/>
        <v>#N/A</v>
      </c>
      <c r="AG138" t="e">
        <f t="shared" si="41"/>
        <v>#N/A</v>
      </c>
      <c r="AH138" t="e">
        <f t="shared" si="42"/>
        <v>#N/A</v>
      </c>
      <c r="AI138" t="e">
        <f t="shared" si="43"/>
        <v>#N/A</v>
      </c>
      <c r="AK138" t="e">
        <f t="shared" si="44"/>
        <v>#N/A</v>
      </c>
      <c r="AL138">
        <f t="shared" si="45"/>
        <v>0.62609995658685913</v>
      </c>
      <c r="AM138" t="e">
        <f t="shared" si="46"/>
        <v>#N/A</v>
      </c>
      <c r="AN138" t="e">
        <f t="shared" si="47"/>
        <v>#N/A</v>
      </c>
      <c r="AO138" t="e">
        <f t="shared" si="48"/>
        <v>#N/A</v>
      </c>
      <c r="AP138" t="e">
        <f t="shared" si="49"/>
        <v>#N/A</v>
      </c>
      <c r="AQ138" t="e">
        <f t="shared" si="50"/>
        <v>#N/A</v>
      </c>
    </row>
    <row r="139" spans="15:43">
      <c r="O139">
        <v>135</v>
      </c>
      <c r="P139" s="401">
        <f>'Lab test'!N138</f>
        <v>161.92500000000001</v>
      </c>
      <c r="Q139" s="401">
        <f>'Lab test'!M138</f>
        <v>0.21589999999999998</v>
      </c>
      <c r="R139">
        <f>IF('Lab test'!O138&gt;0,'Lab test'!O138,NA())</f>
        <v>12.700000073025</v>
      </c>
      <c r="S139">
        <f>'Lab test'!Q138</f>
        <v>750.00000000000011</v>
      </c>
      <c r="T139" s="401">
        <f>IF('Lab test'!P138&gt;0,'Lab test'!P138,NA())</f>
        <v>2.8639088138801088E-3</v>
      </c>
      <c r="U139" s="401">
        <f>'Lab test'!AZ138</f>
        <v>1939</v>
      </c>
      <c r="V139" t="e">
        <f>IF('Lab test'!AQ138&gt;0,'Lab test'!AQ138,NA())</f>
        <v>#N/A</v>
      </c>
      <c r="W139" t="e">
        <f>IF('Lab test'!AU138&gt;0,'Lab test'!AU138,NA())</f>
        <v>#N/A</v>
      </c>
      <c r="X139">
        <f>IF('Lab test'!AT138&gt;0,'Lab test'!AT138,NA())</f>
        <v>0.95027323887179593</v>
      </c>
      <c r="Y139">
        <f t="shared" si="36"/>
        <v>1</v>
      </c>
      <c r="Z139" t="str">
        <f>'Lab test'!AC138</f>
        <v>LTWb</v>
      </c>
      <c r="AA139" t="str">
        <f>'Lab test'!T138</f>
        <v>Steel</v>
      </c>
      <c r="AC139" t="e">
        <f t="shared" si="37"/>
        <v>#N/A</v>
      </c>
      <c r="AD139" t="e">
        <f t="shared" si="38"/>
        <v>#N/A</v>
      </c>
      <c r="AE139" t="e">
        <f t="shared" si="39"/>
        <v>#N/A</v>
      </c>
      <c r="AF139" t="e">
        <f t="shared" si="40"/>
        <v>#N/A</v>
      </c>
      <c r="AG139" t="e">
        <f t="shared" si="41"/>
        <v>#N/A</v>
      </c>
      <c r="AH139" t="e">
        <f t="shared" si="42"/>
        <v>#N/A</v>
      </c>
      <c r="AI139" t="e">
        <f t="shared" si="43"/>
        <v>#N/A</v>
      </c>
      <c r="AK139" t="e">
        <f t="shared" si="44"/>
        <v>#N/A</v>
      </c>
      <c r="AL139">
        <f t="shared" si="45"/>
        <v>0.95027323887179593</v>
      </c>
      <c r="AM139" t="e">
        <f t="shared" si="46"/>
        <v>#N/A</v>
      </c>
      <c r="AN139" t="e">
        <f t="shared" si="47"/>
        <v>#N/A</v>
      </c>
      <c r="AO139" t="e">
        <f t="shared" si="48"/>
        <v>#N/A</v>
      </c>
      <c r="AP139" t="e">
        <f t="shared" si="49"/>
        <v>#N/A</v>
      </c>
      <c r="AQ139" t="e">
        <f t="shared" si="50"/>
        <v>#N/A</v>
      </c>
    </row>
    <row r="140" spans="15:43">
      <c r="O140">
        <v>136</v>
      </c>
      <c r="P140" s="401">
        <f>'Lab test'!N139</f>
        <v>161.92500000000001</v>
      </c>
      <c r="Q140" s="401">
        <f>'Lab test'!M139</f>
        <v>0.21589999999999998</v>
      </c>
      <c r="R140">
        <f>IF('Lab test'!O139&gt;0,'Lab test'!O139,NA())</f>
        <v>12.700000073025</v>
      </c>
      <c r="S140">
        <f>'Lab test'!Q139</f>
        <v>750.00000000000011</v>
      </c>
      <c r="T140" s="401">
        <f>IF('Lab test'!P139&gt;0,'Lab test'!P139,NA())</f>
        <v>2.8639088138801088E-3</v>
      </c>
      <c r="U140" s="401">
        <f>'Lab test'!AZ139</f>
        <v>1939</v>
      </c>
      <c r="V140" t="e">
        <f>IF('Lab test'!AQ139&gt;0,'Lab test'!AQ139,NA())</f>
        <v>#N/A</v>
      </c>
      <c r="W140" t="e">
        <f>IF('Lab test'!AU139&gt;0,'Lab test'!AU139,NA())</f>
        <v>#N/A</v>
      </c>
      <c r="X140">
        <f>IF('Lab test'!AT139&gt;0,'Lab test'!AT139,NA())</f>
        <v>1.0743456653442474</v>
      </c>
      <c r="Y140">
        <f t="shared" si="36"/>
        <v>1</v>
      </c>
      <c r="Z140" t="str">
        <f>'Lab test'!AC139</f>
        <v>LTWb</v>
      </c>
      <c r="AA140" t="str">
        <f>'Lab test'!T139</f>
        <v>Steel</v>
      </c>
      <c r="AC140" t="e">
        <f t="shared" si="37"/>
        <v>#N/A</v>
      </c>
      <c r="AD140" t="e">
        <f t="shared" si="38"/>
        <v>#N/A</v>
      </c>
      <c r="AE140" t="e">
        <f t="shared" si="39"/>
        <v>#N/A</v>
      </c>
      <c r="AF140" t="e">
        <f t="shared" si="40"/>
        <v>#N/A</v>
      </c>
      <c r="AG140" t="e">
        <f t="shared" si="41"/>
        <v>#N/A</v>
      </c>
      <c r="AH140" t="e">
        <f t="shared" si="42"/>
        <v>#N/A</v>
      </c>
      <c r="AI140" t="e">
        <f t="shared" si="43"/>
        <v>#N/A</v>
      </c>
      <c r="AK140" t="e">
        <f t="shared" si="44"/>
        <v>#N/A</v>
      </c>
      <c r="AL140">
        <f t="shared" si="45"/>
        <v>1.0743456653442474</v>
      </c>
      <c r="AM140" t="e">
        <f t="shared" si="46"/>
        <v>#N/A</v>
      </c>
      <c r="AN140" t="e">
        <f t="shared" si="47"/>
        <v>#N/A</v>
      </c>
      <c r="AO140" t="e">
        <f t="shared" si="48"/>
        <v>#N/A</v>
      </c>
      <c r="AP140" t="e">
        <f t="shared" si="49"/>
        <v>#N/A</v>
      </c>
      <c r="AQ140" t="e">
        <f t="shared" si="50"/>
        <v>#N/A</v>
      </c>
    </row>
    <row r="141" spans="15:43">
      <c r="O141">
        <v>137</v>
      </c>
      <c r="P141" s="401">
        <f>'Lab test'!N140</f>
        <v>161.92500000000001</v>
      </c>
      <c r="Q141" s="401">
        <f>'Lab test'!M140</f>
        <v>0.21589999999999998</v>
      </c>
      <c r="R141">
        <f>IF('Lab test'!O140&gt;0,'Lab test'!O140,NA())</f>
        <v>5.8208332656000001</v>
      </c>
      <c r="S141">
        <f>'Lab test'!Q140</f>
        <v>750.00000000000011</v>
      </c>
      <c r="T141" s="401">
        <f>IF('Lab test'!P140&gt;0,'Lab test'!P140,NA())</f>
        <v>1.3126248502066098E-3</v>
      </c>
      <c r="U141" s="401">
        <f>'Lab test'!AZ140</f>
        <v>1939</v>
      </c>
      <c r="V141" t="e">
        <f>IF('Lab test'!AQ140&gt;0,'Lab test'!AQ140,NA())</f>
        <v>#N/A</v>
      </c>
      <c r="W141" t="e">
        <f>IF('Lab test'!AU140&gt;0,'Lab test'!AU140,NA())</f>
        <v>#N/A</v>
      </c>
      <c r="X141">
        <f>IF('Lab test'!AT140&gt;0,'Lab test'!AT140,NA())</f>
        <v>1.6041419259635914</v>
      </c>
      <c r="Y141">
        <f t="shared" si="36"/>
        <v>1</v>
      </c>
      <c r="Z141" t="str">
        <f>'Lab test'!AC140</f>
        <v>LTWb</v>
      </c>
      <c r="AA141" t="str">
        <f>'Lab test'!T140</f>
        <v>Steel</v>
      </c>
      <c r="AC141" t="e">
        <f t="shared" si="37"/>
        <v>#N/A</v>
      </c>
      <c r="AD141" t="e">
        <f t="shared" si="38"/>
        <v>#N/A</v>
      </c>
      <c r="AE141" t="e">
        <f t="shared" si="39"/>
        <v>#N/A</v>
      </c>
      <c r="AF141" t="e">
        <f t="shared" si="40"/>
        <v>#N/A</v>
      </c>
      <c r="AG141" t="e">
        <f t="shared" si="41"/>
        <v>#N/A</v>
      </c>
      <c r="AH141" t="e">
        <f t="shared" si="42"/>
        <v>#N/A</v>
      </c>
      <c r="AI141" t="e">
        <f t="shared" si="43"/>
        <v>#N/A</v>
      </c>
      <c r="AK141" t="e">
        <f t="shared" si="44"/>
        <v>#N/A</v>
      </c>
      <c r="AL141">
        <f t="shared" si="45"/>
        <v>1.6041419259635914</v>
      </c>
      <c r="AM141" t="e">
        <f t="shared" si="46"/>
        <v>#N/A</v>
      </c>
      <c r="AN141" t="e">
        <f t="shared" si="47"/>
        <v>#N/A</v>
      </c>
      <c r="AO141" t="e">
        <f t="shared" si="48"/>
        <v>#N/A</v>
      </c>
      <c r="AP141" t="e">
        <f t="shared" si="49"/>
        <v>#N/A</v>
      </c>
      <c r="AQ141" t="e">
        <f t="shared" si="50"/>
        <v>#N/A</v>
      </c>
    </row>
    <row r="142" spans="15:43">
      <c r="O142">
        <v>138</v>
      </c>
      <c r="P142" s="401">
        <f>'Lab test'!N141</f>
        <v>161.92500000000001</v>
      </c>
      <c r="Q142" s="401">
        <f>'Lab test'!M141</f>
        <v>0.15239999999999998</v>
      </c>
      <c r="R142">
        <f>IF('Lab test'!O141&gt;0,'Lab test'!O141,NA())</f>
        <v>127.04172857142849</v>
      </c>
      <c r="S142">
        <f>'Lab test'!Q141</f>
        <v>1062.5000000000002</v>
      </c>
      <c r="T142" s="401">
        <f>IF('Lab test'!P141&gt;0,'Lab test'!P141,NA())</f>
        <v>2.4069552678570028E-2</v>
      </c>
      <c r="U142" s="401">
        <f>'Lab test'!AZ141</f>
        <v>1939</v>
      </c>
      <c r="V142" t="e">
        <f>IF('Lab test'!AQ141&gt;0,'Lab test'!AQ141,NA())</f>
        <v>#N/A</v>
      </c>
      <c r="W142" t="e">
        <f>IF('Lab test'!AU141&gt;0,'Lab test'!AU141,NA())</f>
        <v>#N/A</v>
      </c>
      <c r="X142">
        <f>IF('Lab test'!AT141&gt;0,'Lab test'!AT141,NA())</f>
        <v>0.39762280324794341</v>
      </c>
      <c r="Y142">
        <f t="shared" si="36"/>
        <v>1</v>
      </c>
      <c r="Z142" t="str">
        <f>'Lab test'!AC141</f>
        <v>LTWb</v>
      </c>
      <c r="AA142" t="str">
        <f>'Lab test'!T141</f>
        <v>Steel</v>
      </c>
      <c r="AC142" t="e">
        <f t="shared" si="37"/>
        <v>#N/A</v>
      </c>
      <c r="AD142" t="e">
        <f t="shared" si="38"/>
        <v>#N/A</v>
      </c>
      <c r="AE142" t="e">
        <f t="shared" si="39"/>
        <v>#N/A</v>
      </c>
      <c r="AF142" t="e">
        <f t="shared" si="40"/>
        <v>#N/A</v>
      </c>
      <c r="AG142" t="e">
        <f t="shared" si="41"/>
        <v>#N/A</v>
      </c>
      <c r="AH142" t="e">
        <f t="shared" si="42"/>
        <v>#N/A</v>
      </c>
      <c r="AI142" t="e">
        <f t="shared" si="43"/>
        <v>#N/A</v>
      </c>
      <c r="AK142" t="e">
        <f t="shared" si="44"/>
        <v>#N/A</v>
      </c>
      <c r="AL142">
        <f t="shared" si="45"/>
        <v>0.39762280324794341</v>
      </c>
      <c r="AM142" t="e">
        <f t="shared" si="46"/>
        <v>#N/A</v>
      </c>
      <c r="AN142" t="e">
        <f t="shared" si="47"/>
        <v>#N/A</v>
      </c>
      <c r="AO142" t="e">
        <f t="shared" si="48"/>
        <v>#N/A</v>
      </c>
      <c r="AP142" t="e">
        <f t="shared" si="49"/>
        <v>#N/A</v>
      </c>
      <c r="AQ142" t="e">
        <f t="shared" si="50"/>
        <v>#N/A</v>
      </c>
    </row>
    <row r="143" spans="15:43">
      <c r="O143">
        <v>139</v>
      </c>
      <c r="P143" s="401">
        <f>'Lab test'!N142</f>
        <v>161.92500000000001</v>
      </c>
      <c r="Q143" s="401">
        <f>'Lab test'!M142</f>
        <v>0.15239999999999998</v>
      </c>
      <c r="R143">
        <f>IF('Lab test'!O142&gt;0,'Lab test'!O142,NA())</f>
        <v>126.48655714285714</v>
      </c>
      <c r="S143">
        <f>'Lab test'!Q142</f>
        <v>1062.5000000000002</v>
      </c>
      <c r="T143" s="401">
        <f>IF('Lab test'!P142&gt;0,'Lab test'!P142,NA())</f>
        <v>2.3964368908670972E-2</v>
      </c>
      <c r="U143" s="401">
        <f>'Lab test'!AZ142</f>
        <v>1939</v>
      </c>
      <c r="V143" t="e">
        <f>IF('Lab test'!AQ142&gt;0,'Lab test'!AQ142,NA())</f>
        <v>#N/A</v>
      </c>
      <c r="W143" t="e">
        <f>IF('Lab test'!AU142&gt;0,'Lab test'!AU142,NA())</f>
        <v>#N/A</v>
      </c>
      <c r="X143">
        <f>IF('Lab test'!AT142&gt;0,'Lab test'!AT142,NA())</f>
        <v>0.35110762238948906</v>
      </c>
      <c r="Y143">
        <f t="shared" si="36"/>
        <v>1</v>
      </c>
      <c r="Z143" t="str">
        <f>'Lab test'!AC142</f>
        <v>LTWb</v>
      </c>
      <c r="AA143" t="str">
        <f>'Lab test'!T142</f>
        <v>Steel</v>
      </c>
      <c r="AC143" t="e">
        <f t="shared" si="37"/>
        <v>#N/A</v>
      </c>
      <c r="AD143" t="e">
        <f t="shared" si="38"/>
        <v>#N/A</v>
      </c>
      <c r="AE143" t="e">
        <f t="shared" si="39"/>
        <v>#N/A</v>
      </c>
      <c r="AF143" t="e">
        <f t="shared" si="40"/>
        <v>#N/A</v>
      </c>
      <c r="AG143" t="e">
        <f t="shared" si="41"/>
        <v>#N/A</v>
      </c>
      <c r="AH143" t="e">
        <f t="shared" si="42"/>
        <v>#N/A</v>
      </c>
      <c r="AI143" t="e">
        <f t="shared" si="43"/>
        <v>#N/A</v>
      </c>
      <c r="AK143" t="e">
        <f t="shared" si="44"/>
        <v>#N/A</v>
      </c>
      <c r="AL143">
        <f t="shared" si="45"/>
        <v>0.35110762238948906</v>
      </c>
      <c r="AM143" t="e">
        <f t="shared" si="46"/>
        <v>#N/A</v>
      </c>
      <c r="AN143" t="e">
        <f t="shared" si="47"/>
        <v>#N/A</v>
      </c>
      <c r="AO143" t="e">
        <f t="shared" si="48"/>
        <v>#N/A</v>
      </c>
      <c r="AP143" t="e">
        <f t="shared" si="49"/>
        <v>#N/A</v>
      </c>
      <c r="AQ143" t="e">
        <f t="shared" si="50"/>
        <v>#N/A</v>
      </c>
    </row>
    <row r="144" spans="15:43">
      <c r="O144">
        <v>140</v>
      </c>
      <c r="P144" s="401">
        <f>'Lab test'!N143</f>
        <v>161.92500000000001</v>
      </c>
      <c r="Q144" s="401">
        <f>'Lab test'!M143</f>
        <v>0.15239999999999998</v>
      </c>
      <c r="R144">
        <f>IF('Lab test'!O143&gt;0,'Lab test'!O143,NA())</f>
        <v>77.631471428571359</v>
      </c>
      <c r="S144">
        <f>'Lab test'!Q143</f>
        <v>1062.5000000000002</v>
      </c>
      <c r="T144" s="401">
        <f>IF('Lab test'!P143&gt;0,'Lab test'!P143,NA())</f>
        <v>1.4708197157552986E-2</v>
      </c>
      <c r="U144" s="401">
        <f>'Lab test'!AZ143</f>
        <v>1939</v>
      </c>
      <c r="V144" t="e">
        <f>IF('Lab test'!AQ143&gt;0,'Lab test'!AQ143,NA())</f>
        <v>#N/A</v>
      </c>
      <c r="W144" t="e">
        <f>IF('Lab test'!AU143&gt;0,'Lab test'!AU143,NA())</f>
        <v>#N/A</v>
      </c>
      <c r="X144">
        <f>IF('Lab test'!AT143&gt;0,'Lab test'!AT143,NA())</f>
        <v>0.3118761317731959</v>
      </c>
      <c r="Y144">
        <f t="shared" si="36"/>
        <v>1</v>
      </c>
      <c r="Z144" t="str">
        <f>'Lab test'!AC143</f>
        <v>LTWb</v>
      </c>
      <c r="AA144" t="str">
        <f>'Lab test'!T143</f>
        <v>Steel</v>
      </c>
      <c r="AC144" t="e">
        <f t="shared" si="37"/>
        <v>#N/A</v>
      </c>
      <c r="AD144" t="e">
        <f t="shared" si="38"/>
        <v>#N/A</v>
      </c>
      <c r="AE144" t="e">
        <f t="shared" si="39"/>
        <v>#N/A</v>
      </c>
      <c r="AF144" t="e">
        <f t="shared" si="40"/>
        <v>#N/A</v>
      </c>
      <c r="AG144" t="e">
        <f t="shared" si="41"/>
        <v>#N/A</v>
      </c>
      <c r="AH144" t="e">
        <f t="shared" si="42"/>
        <v>#N/A</v>
      </c>
      <c r="AI144" t="e">
        <f t="shared" si="43"/>
        <v>#N/A</v>
      </c>
      <c r="AK144" t="e">
        <f t="shared" si="44"/>
        <v>#N/A</v>
      </c>
      <c r="AL144">
        <f t="shared" si="45"/>
        <v>0.3118761317731959</v>
      </c>
      <c r="AM144" t="e">
        <f t="shared" si="46"/>
        <v>#N/A</v>
      </c>
      <c r="AN144" t="e">
        <f t="shared" si="47"/>
        <v>#N/A</v>
      </c>
      <c r="AO144" t="e">
        <f t="shared" si="48"/>
        <v>#N/A</v>
      </c>
      <c r="AP144" t="e">
        <f t="shared" si="49"/>
        <v>#N/A</v>
      </c>
      <c r="AQ144" t="e">
        <f t="shared" si="50"/>
        <v>#N/A</v>
      </c>
    </row>
    <row r="145" spans="15:43">
      <c r="O145">
        <v>141</v>
      </c>
      <c r="P145" s="401">
        <f>'Lab test'!N144</f>
        <v>161.92500000000001</v>
      </c>
      <c r="Q145" s="401">
        <f>'Lab test'!M144</f>
        <v>0.15239999999999998</v>
      </c>
      <c r="R145">
        <f>IF('Lab test'!O144&gt;0,'Lab test'!O144,NA())</f>
        <v>77.076300000000003</v>
      </c>
      <c r="S145">
        <f>'Lab test'!Q144</f>
        <v>1062.5000000000002</v>
      </c>
      <c r="T145" s="401">
        <f>IF('Lab test'!P144&gt;0,'Lab test'!P144,NA())</f>
        <v>1.460301338765393E-2</v>
      </c>
      <c r="U145" s="401">
        <f>'Lab test'!AZ144</f>
        <v>1939</v>
      </c>
      <c r="V145" t="e">
        <f>IF('Lab test'!AQ144&gt;0,'Lab test'!AQ144,NA())</f>
        <v>#N/A</v>
      </c>
      <c r="W145" t="e">
        <f>IF('Lab test'!AU144&gt;0,'Lab test'!AU144,NA())</f>
        <v>#N/A</v>
      </c>
      <c r="X145">
        <f>IF('Lab test'!AT144&gt;0,'Lab test'!AT144,NA())</f>
        <v>0.2992070328369692</v>
      </c>
      <c r="Y145">
        <f t="shared" si="36"/>
        <v>1</v>
      </c>
      <c r="Z145" t="str">
        <f>'Lab test'!AC144</f>
        <v>LTWb</v>
      </c>
      <c r="AA145" t="str">
        <f>'Lab test'!T144</f>
        <v>Steel</v>
      </c>
      <c r="AC145" t="e">
        <f t="shared" si="37"/>
        <v>#N/A</v>
      </c>
      <c r="AD145" t="e">
        <f t="shared" si="38"/>
        <v>#N/A</v>
      </c>
      <c r="AE145" t="e">
        <f t="shared" si="39"/>
        <v>#N/A</v>
      </c>
      <c r="AF145" t="e">
        <f t="shared" si="40"/>
        <v>#N/A</v>
      </c>
      <c r="AG145" t="e">
        <f t="shared" si="41"/>
        <v>#N/A</v>
      </c>
      <c r="AH145" t="e">
        <f t="shared" si="42"/>
        <v>#N/A</v>
      </c>
      <c r="AI145" t="e">
        <f t="shared" si="43"/>
        <v>#N/A</v>
      </c>
      <c r="AK145" t="e">
        <f t="shared" si="44"/>
        <v>#N/A</v>
      </c>
      <c r="AL145">
        <f t="shared" si="45"/>
        <v>0.2992070328369692</v>
      </c>
      <c r="AM145" t="e">
        <f t="shared" si="46"/>
        <v>#N/A</v>
      </c>
      <c r="AN145" t="e">
        <f t="shared" si="47"/>
        <v>#N/A</v>
      </c>
      <c r="AO145" t="e">
        <f t="shared" si="48"/>
        <v>#N/A</v>
      </c>
      <c r="AP145" t="e">
        <f t="shared" si="49"/>
        <v>#N/A</v>
      </c>
      <c r="AQ145" t="e">
        <f t="shared" si="50"/>
        <v>#N/A</v>
      </c>
    </row>
    <row r="146" spans="15:43">
      <c r="O146">
        <v>142</v>
      </c>
      <c r="P146" s="401">
        <f>'Lab test'!N145</f>
        <v>161.92500000000001</v>
      </c>
      <c r="Q146" s="401">
        <f>'Lab test'!M145</f>
        <v>0.15239999999999998</v>
      </c>
      <c r="R146">
        <f>IF('Lab test'!O145&gt;0,'Lab test'!O145,NA())</f>
        <v>52.093585714285602</v>
      </c>
      <c r="S146">
        <f>'Lab test'!Q145</f>
        <v>1062.5000000000002</v>
      </c>
      <c r="T146" s="401">
        <f>IF('Lab test'!P145&gt;0,'Lab test'!P145,NA())</f>
        <v>9.8697437421958519E-3</v>
      </c>
      <c r="U146" s="401">
        <f>'Lab test'!AZ145</f>
        <v>1939</v>
      </c>
      <c r="V146" t="e">
        <f>IF('Lab test'!AQ145&gt;0,'Lab test'!AQ145,NA())</f>
        <v>#N/A</v>
      </c>
      <c r="W146" t="e">
        <f>IF('Lab test'!AU145&gt;0,'Lab test'!AU145,NA())</f>
        <v>#N/A</v>
      </c>
      <c r="X146">
        <f>IF('Lab test'!AT145&gt;0,'Lab test'!AT145,NA())</f>
        <v>0.41939904410146706</v>
      </c>
      <c r="Y146">
        <f t="shared" si="36"/>
        <v>1</v>
      </c>
      <c r="Z146" t="str">
        <f>'Lab test'!AC145</f>
        <v>LTWb</v>
      </c>
      <c r="AA146" t="str">
        <f>'Lab test'!T145</f>
        <v>Steel</v>
      </c>
      <c r="AC146" t="e">
        <f t="shared" si="37"/>
        <v>#N/A</v>
      </c>
      <c r="AD146" t="e">
        <f t="shared" si="38"/>
        <v>#N/A</v>
      </c>
      <c r="AE146" t="e">
        <f t="shared" si="39"/>
        <v>#N/A</v>
      </c>
      <c r="AF146" t="e">
        <f t="shared" si="40"/>
        <v>#N/A</v>
      </c>
      <c r="AG146" t="e">
        <f t="shared" si="41"/>
        <v>#N/A</v>
      </c>
      <c r="AH146" t="e">
        <f t="shared" si="42"/>
        <v>#N/A</v>
      </c>
      <c r="AI146" t="e">
        <f t="shared" si="43"/>
        <v>#N/A</v>
      </c>
      <c r="AK146" t="e">
        <f t="shared" si="44"/>
        <v>#N/A</v>
      </c>
      <c r="AL146">
        <f t="shared" si="45"/>
        <v>0.41939904410146706</v>
      </c>
      <c r="AM146" t="e">
        <f t="shared" si="46"/>
        <v>#N/A</v>
      </c>
      <c r="AN146" t="e">
        <f t="shared" si="47"/>
        <v>#N/A</v>
      </c>
      <c r="AO146" t="e">
        <f t="shared" si="48"/>
        <v>#N/A</v>
      </c>
      <c r="AP146" t="e">
        <f t="shared" si="49"/>
        <v>#N/A</v>
      </c>
      <c r="AQ146" t="e">
        <f t="shared" si="50"/>
        <v>#N/A</v>
      </c>
    </row>
    <row r="147" spans="15:43">
      <c r="O147">
        <v>143</v>
      </c>
      <c r="P147" s="401">
        <f>'Lab test'!N146</f>
        <v>161.92500000000001</v>
      </c>
      <c r="Q147" s="401">
        <f>'Lab test'!M146</f>
        <v>0.15239999999999998</v>
      </c>
      <c r="R147">
        <f>IF('Lab test'!O146&gt;0,'Lab test'!O146,NA())</f>
        <v>52.371171428571365</v>
      </c>
      <c r="S147">
        <f>'Lab test'!Q146</f>
        <v>1062.5000000000002</v>
      </c>
      <c r="T147" s="401">
        <f>IF('Lab test'!P146&gt;0,'Lab test'!P146,NA())</f>
        <v>9.9223356271453955E-3</v>
      </c>
      <c r="U147" s="401">
        <f>'Lab test'!AZ146</f>
        <v>1939</v>
      </c>
      <c r="V147" t="e">
        <f>IF('Lab test'!AQ146&gt;0,'Lab test'!AQ146,NA())</f>
        <v>#N/A</v>
      </c>
      <c r="W147" t="e">
        <f>IF('Lab test'!AU146&gt;0,'Lab test'!AU146,NA())</f>
        <v>#N/A</v>
      </c>
      <c r="X147">
        <f>IF('Lab test'!AT146&gt;0,'Lab test'!AT146,NA())</f>
        <v>0.44499639812222946</v>
      </c>
      <c r="Y147">
        <f t="shared" si="36"/>
        <v>1</v>
      </c>
      <c r="Z147" t="str">
        <f>'Lab test'!AC146</f>
        <v>LTWb</v>
      </c>
      <c r="AA147" t="str">
        <f>'Lab test'!T146</f>
        <v>Steel</v>
      </c>
      <c r="AC147" t="e">
        <f t="shared" si="37"/>
        <v>#N/A</v>
      </c>
      <c r="AD147" t="e">
        <f t="shared" si="38"/>
        <v>#N/A</v>
      </c>
      <c r="AE147" t="e">
        <f t="shared" si="39"/>
        <v>#N/A</v>
      </c>
      <c r="AF147" t="e">
        <f t="shared" si="40"/>
        <v>#N/A</v>
      </c>
      <c r="AG147" t="e">
        <f t="shared" si="41"/>
        <v>#N/A</v>
      </c>
      <c r="AH147" t="e">
        <f t="shared" si="42"/>
        <v>#N/A</v>
      </c>
      <c r="AI147" t="e">
        <f t="shared" si="43"/>
        <v>#N/A</v>
      </c>
      <c r="AK147" t="e">
        <f t="shared" si="44"/>
        <v>#N/A</v>
      </c>
      <c r="AL147">
        <f t="shared" si="45"/>
        <v>0.44499639812222946</v>
      </c>
      <c r="AM147" t="e">
        <f t="shared" si="46"/>
        <v>#N/A</v>
      </c>
      <c r="AN147" t="e">
        <f t="shared" si="47"/>
        <v>#N/A</v>
      </c>
      <c r="AO147" t="e">
        <f t="shared" si="48"/>
        <v>#N/A</v>
      </c>
      <c r="AP147" t="e">
        <f t="shared" si="49"/>
        <v>#N/A</v>
      </c>
      <c r="AQ147" t="e">
        <f t="shared" si="50"/>
        <v>#N/A</v>
      </c>
    </row>
    <row r="148" spans="15:43">
      <c r="O148">
        <v>144</v>
      </c>
      <c r="P148" s="401">
        <f>'Lab test'!N147</f>
        <v>161.92500000000001</v>
      </c>
      <c r="Q148" s="401">
        <f>'Lab test'!M147</f>
        <v>0.15239999999999998</v>
      </c>
      <c r="R148">
        <f>IF('Lab test'!O147&gt;0,'Lab test'!O147,NA())</f>
        <v>39.04705714285712</v>
      </c>
      <c r="S148">
        <f>'Lab test'!Q147</f>
        <v>1062.5000000000002</v>
      </c>
      <c r="T148" s="401">
        <f>IF('Lab test'!P147&gt;0,'Lab test'!P147,NA())</f>
        <v>7.3979251495677727E-3</v>
      </c>
      <c r="U148" s="401">
        <f>'Lab test'!AZ147</f>
        <v>1939</v>
      </c>
      <c r="V148" t="e">
        <f>IF('Lab test'!AQ147&gt;0,'Lab test'!AQ147,NA())</f>
        <v>#N/A</v>
      </c>
      <c r="W148" t="e">
        <f>IF('Lab test'!AU147&gt;0,'Lab test'!AU147,NA())</f>
        <v>#N/A</v>
      </c>
      <c r="X148">
        <f>IF('Lab test'!AT147&gt;0,'Lab test'!AT147,NA())</f>
        <v>0.46109873569917537</v>
      </c>
      <c r="Y148">
        <f t="shared" si="36"/>
        <v>1</v>
      </c>
      <c r="Z148" t="str">
        <f>'Lab test'!AC147</f>
        <v>LTWb</v>
      </c>
      <c r="AA148" t="str">
        <f>'Lab test'!T147</f>
        <v>Steel</v>
      </c>
      <c r="AC148" t="e">
        <f t="shared" si="37"/>
        <v>#N/A</v>
      </c>
      <c r="AD148" t="e">
        <f t="shared" si="38"/>
        <v>#N/A</v>
      </c>
      <c r="AE148" t="e">
        <f t="shared" si="39"/>
        <v>#N/A</v>
      </c>
      <c r="AF148" t="e">
        <f t="shared" si="40"/>
        <v>#N/A</v>
      </c>
      <c r="AG148" t="e">
        <f t="shared" si="41"/>
        <v>#N/A</v>
      </c>
      <c r="AH148" t="e">
        <f t="shared" si="42"/>
        <v>#N/A</v>
      </c>
      <c r="AI148" t="e">
        <f t="shared" si="43"/>
        <v>#N/A</v>
      </c>
      <c r="AK148" t="e">
        <f t="shared" si="44"/>
        <v>#N/A</v>
      </c>
      <c r="AL148">
        <f t="shared" si="45"/>
        <v>0.46109873569917537</v>
      </c>
      <c r="AM148" t="e">
        <f t="shared" si="46"/>
        <v>#N/A</v>
      </c>
      <c r="AN148" t="e">
        <f t="shared" si="47"/>
        <v>#N/A</v>
      </c>
      <c r="AO148" t="e">
        <f t="shared" si="48"/>
        <v>#N/A</v>
      </c>
      <c r="AP148" t="e">
        <f t="shared" si="49"/>
        <v>#N/A</v>
      </c>
      <c r="AQ148" t="e">
        <f t="shared" si="50"/>
        <v>#N/A</v>
      </c>
    </row>
    <row r="149" spans="15:43">
      <c r="O149">
        <v>145</v>
      </c>
      <c r="P149" s="401">
        <f>'Lab test'!N148</f>
        <v>161.92500000000001</v>
      </c>
      <c r="Q149" s="401">
        <f>'Lab test'!M148</f>
        <v>0.15239999999999998</v>
      </c>
      <c r="R149">
        <f>IF('Lab test'!O148&gt;0,'Lab test'!O148,NA())</f>
        <v>22.669500000000003</v>
      </c>
      <c r="S149">
        <f>'Lab test'!Q148</f>
        <v>1062.5000000000002</v>
      </c>
      <c r="T149" s="401">
        <f>IF('Lab test'!P148&gt;0,'Lab test'!P148,NA())</f>
        <v>4.2950039375452744E-3</v>
      </c>
      <c r="U149" s="401">
        <f>'Lab test'!AZ148</f>
        <v>1939</v>
      </c>
      <c r="V149" t="e">
        <f>IF('Lab test'!AQ148&gt;0,'Lab test'!AQ148,NA())</f>
        <v>#N/A</v>
      </c>
      <c r="W149" t="e">
        <f>IF('Lab test'!AU148&gt;0,'Lab test'!AU148,NA())</f>
        <v>#N/A</v>
      </c>
      <c r="X149">
        <f>IF('Lab test'!AT148&gt;0,'Lab test'!AT148,NA())</f>
        <v>0.60196979325447642</v>
      </c>
      <c r="Y149">
        <f t="shared" si="36"/>
        <v>1</v>
      </c>
      <c r="Z149" t="str">
        <f>'Lab test'!AC148</f>
        <v>LTWb</v>
      </c>
      <c r="AA149" t="str">
        <f>'Lab test'!T148</f>
        <v>Steel</v>
      </c>
      <c r="AC149" t="e">
        <f t="shared" si="37"/>
        <v>#N/A</v>
      </c>
      <c r="AD149" t="e">
        <f t="shared" si="38"/>
        <v>#N/A</v>
      </c>
      <c r="AE149" t="e">
        <f t="shared" si="39"/>
        <v>#N/A</v>
      </c>
      <c r="AF149" t="e">
        <f t="shared" si="40"/>
        <v>#N/A</v>
      </c>
      <c r="AG149" t="e">
        <f t="shared" si="41"/>
        <v>#N/A</v>
      </c>
      <c r="AH149" t="e">
        <f t="shared" si="42"/>
        <v>#N/A</v>
      </c>
      <c r="AI149" t="e">
        <f t="shared" si="43"/>
        <v>#N/A</v>
      </c>
      <c r="AK149" t="e">
        <f t="shared" si="44"/>
        <v>#N/A</v>
      </c>
      <c r="AL149">
        <f t="shared" si="45"/>
        <v>0.60196979325447642</v>
      </c>
      <c r="AM149" t="e">
        <f t="shared" si="46"/>
        <v>#N/A</v>
      </c>
      <c r="AN149" t="e">
        <f t="shared" si="47"/>
        <v>#N/A</v>
      </c>
      <c r="AO149" t="e">
        <f t="shared" si="48"/>
        <v>#N/A</v>
      </c>
      <c r="AP149" t="e">
        <f t="shared" si="49"/>
        <v>#N/A</v>
      </c>
      <c r="AQ149" t="e">
        <f t="shared" si="50"/>
        <v>#N/A</v>
      </c>
    </row>
    <row r="150" spans="15:43">
      <c r="O150">
        <v>146</v>
      </c>
      <c r="P150" s="401">
        <f>'Lab test'!N149</f>
        <v>161.92500000000001</v>
      </c>
      <c r="Q150" s="401">
        <f>'Lab test'!M149</f>
        <v>0.15239999999999998</v>
      </c>
      <c r="R150">
        <f>IF('Lab test'!O149&gt;0,'Lab test'!O149,NA())</f>
        <v>14.61951428571429</v>
      </c>
      <c r="S150">
        <f>'Lab test'!Q149</f>
        <v>1062.5000000000002</v>
      </c>
      <c r="T150" s="401">
        <f>IF('Lab test'!P149&gt;0,'Lab test'!P149,NA())</f>
        <v>2.7698392740087893E-3</v>
      </c>
      <c r="U150" s="401">
        <f>'Lab test'!AZ149</f>
        <v>1939</v>
      </c>
      <c r="V150" t="e">
        <f>IF('Lab test'!AQ149&gt;0,'Lab test'!AQ149,NA())</f>
        <v>#N/A</v>
      </c>
      <c r="W150" t="e">
        <f>IF('Lab test'!AU149&gt;0,'Lab test'!AU149,NA())</f>
        <v>#N/A</v>
      </c>
      <c r="X150">
        <f>IF('Lab test'!AT149&gt;0,'Lab test'!AT149,NA())</f>
        <v>0.82402182416060177</v>
      </c>
      <c r="Y150">
        <f t="shared" si="36"/>
        <v>1</v>
      </c>
      <c r="Z150" t="str">
        <f>'Lab test'!AC149</f>
        <v>LTWb</v>
      </c>
      <c r="AA150" t="str">
        <f>'Lab test'!T149</f>
        <v>Steel</v>
      </c>
      <c r="AC150" t="e">
        <f t="shared" si="37"/>
        <v>#N/A</v>
      </c>
      <c r="AD150" t="e">
        <f t="shared" si="38"/>
        <v>#N/A</v>
      </c>
      <c r="AE150" t="e">
        <f t="shared" si="39"/>
        <v>#N/A</v>
      </c>
      <c r="AF150" t="e">
        <f t="shared" si="40"/>
        <v>#N/A</v>
      </c>
      <c r="AG150" t="e">
        <f t="shared" si="41"/>
        <v>#N/A</v>
      </c>
      <c r="AH150" t="e">
        <f t="shared" si="42"/>
        <v>#N/A</v>
      </c>
      <c r="AI150" t="e">
        <f t="shared" si="43"/>
        <v>#N/A</v>
      </c>
      <c r="AK150" t="e">
        <f t="shared" si="44"/>
        <v>#N/A</v>
      </c>
      <c r="AL150">
        <f t="shared" si="45"/>
        <v>0.82402182416060177</v>
      </c>
      <c r="AM150" t="e">
        <f t="shared" si="46"/>
        <v>#N/A</v>
      </c>
      <c r="AN150" t="e">
        <f t="shared" si="47"/>
        <v>#N/A</v>
      </c>
      <c r="AO150" t="e">
        <f t="shared" si="48"/>
        <v>#N/A</v>
      </c>
      <c r="AP150" t="e">
        <f t="shared" si="49"/>
        <v>#N/A</v>
      </c>
      <c r="AQ150" t="e">
        <f t="shared" si="50"/>
        <v>#N/A</v>
      </c>
    </row>
    <row r="151" spans="15:43">
      <c r="O151">
        <v>147</v>
      </c>
      <c r="P151" s="401">
        <f>'Lab test'!N150</f>
        <v>161.92500000000001</v>
      </c>
      <c r="Q151" s="401">
        <f>'Lab test'!M150</f>
        <v>0.15239999999999998</v>
      </c>
      <c r="R151">
        <f>IF('Lab test'!O150&gt;0,'Lab test'!O150,NA())</f>
        <v>6.5695285714285605</v>
      </c>
      <c r="S151">
        <f>'Lab test'!Q150</f>
        <v>1062.5000000000002</v>
      </c>
      <c r="T151" s="401">
        <f>IF('Lab test'!P150&gt;0,'Lab test'!P150,NA())</f>
        <v>1.2446746104723017E-3</v>
      </c>
      <c r="U151" s="401">
        <f>'Lab test'!AZ150</f>
        <v>1939</v>
      </c>
      <c r="V151" t="e">
        <f>IF('Lab test'!AQ150&gt;0,'Lab test'!AQ150,NA())</f>
        <v>#N/A</v>
      </c>
      <c r="W151" t="e">
        <f>IF('Lab test'!AU150&gt;0,'Lab test'!AU150,NA())</f>
        <v>#N/A</v>
      </c>
      <c r="X151">
        <f>IF('Lab test'!AT150&gt;0,'Lab test'!AT150,NA())</f>
        <v>1.2475045270927856</v>
      </c>
      <c r="Y151">
        <f t="shared" si="36"/>
        <v>1</v>
      </c>
      <c r="Z151" t="str">
        <f>'Lab test'!AC150</f>
        <v>LTWb</v>
      </c>
      <c r="AA151" t="str">
        <f>'Lab test'!T150</f>
        <v>Steel</v>
      </c>
      <c r="AC151" t="e">
        <f t="shared" si="37"/>
        <v>#N/A</v>
      </c>
      <c r="AD151" t="e">
        <f t="shared" si="38"/>
        <v>#N/A</v>
      </c>
      <c r="AE151" t="e">
        <f t="shared" si="39"/>
        <v>#N/A</v>
      </c>
      <c r="AF151" t="e">
        <f t="shared" si="40"/>
        <v>#N/A</v>
      </c>
      <c r="AG151" t="e">
        <f t="shared" si="41"/>
        <v>#N/A</v>
      </c>
      <c r="AH151" t="e">
        <f t="shared" si="42"/>
        <v>#N/A</v>
      </c>
      <c r="AI151" t="e">
        <f t="shared" si="43"/>
        <v>#N/A</v>
      </c>
      <c r="AK151" t="e">
        <f t="shared" si="44"/>
        <v>#N/A</v>
      </c>
      <c r="AL151">
        <f t="shared" si="45"/>
        <v>1.2475045270927856</v>
      </c>
      <c r="AM151" t="e">
        <f t="shared" si="46"/>
        <v>#N/A</v>
      </c>
      <c r="AN151" t="e">
        <f t="shared" si="47"/>
        <v>#N/A</v>
      </c>
      <c r="AO151" t="e">
        <f t="shared" si="48"/>
        <v>#N/A</v>
      </c>
      <c r="AP151" t="e">
        <f t="shared" si="49"/>
        <v>#N/A</v>
      </c>
      <c r="AQ151" t="e">
        <f t="shared" si="50"/>
        <v>#N/A</v>
      </c>
    </row>
    <row r="152" spans="15:43">
      <c r="O152">
        <v>148</v>
      </c>
      <c r="P152" s="401">
        <f>'Lab test'!N151</f>
        <v>161.92500000000001</v>
      </c>
      <c r="Q152" s="401">
        <f>'Lab test'!M151</f>
        <v>0.127</v>
      </c>
      <c r="R152">
        <f>IF('Lab test'!O151&gt;0,'Lab test'!O151,NA())</f>
        <v>227.54166666666595</v>
      </c>
      <c r="S152">
        <f>'Lab test'!Q151</f>
        <v>1275</v>
      </c>
      <c r="T152" s="401">
        <f>IF('Lab test'!P151&gt;0,'Lab test'!P151,NA())</f>
        <v>3.9354276871375313E-2</v>
      </c>
      <c r="U152" s="401">
        <f>'Lab test'!AZ151</f>
        <v>1939</v>
      </c>
      <c r="V152" t="e">
        <f>IF('Lab test'!AQ151&gt;0,'Lab test'!AQ151,NA())</f>
        <v>#N/A</v>
      </c>
      <c r="W152" t="e">
        <f>IF('Lab test'!AU151&gt;0,'Lab test'!AU151,NA())</f>
        <v>#N/A</v>
      </c>
      <c r="X152">
        <f>IF('Lab test'!AT151&gt;0,'Lab test'!AT151,NA())</f>
        <v>0.29222202097363392</v>
      </c>
      <c r="Y152">
        <f t="shared" si="36"/>
        <v>1</v>
      </c>
      <c r="Z152" t="str">
        <f>'Lab test'!AC151</f>
        <v>LTWb</v>
      </c>
      <c r="AA152" t="str">
        <f>'Lab test'!T151</f>
        <v>Steel</v>
      </c>
      <c r="AC152" t="e">
        <f t="shared" si="37"/>
        <v>#N/A</v>
      </c>
      <c r="AD152" t="e">
        <f t="shared" si="38"/>
        <v>#N/A</v>
      </c>
      <c r="AE152" t="e">
        <f t="shared" si="39"/>
        <v>#N/A</v>
      </c>
      <c r="AF152" t="e">
        <f t="shared" si="40"/>
        <v>#N/A</v>
      </c>
      <c r="AG152" t="e">
        <f t="shared" si="41"/>
        <v>#N/A</v>
      </c>
      <c r="AH152" t="e">
        <f t="shared" si="42"/>
        <v>#N/A</v>
      </c>
      <c r="AI152" t="e">
        <f t="shared" si="43"/>
        <v>#N/A</v>
      </c>
      <c r="AK152" t="e">
        <f t="shared" si="44"/>
        <v>#N/A</v>
      </c>
      <c r="AL152">
        <f t="shared" si="45"/>
        <v>0.29222202097363392</v>
      </c>
      <c r="AM152" t="e">
        <f t="shared" si="46"/>
        <v>#N/A</v>
      </c>
      <c r="AN152" t="e">
        <f t="shared" si="47"/>
        <v>#N/A</v>
      </c>
      <c r="AO152" t="e">
        <f t="shared" si="48"/>
        <v>#N/A</v>
      </c>
      <c r="AP152" t="e">
        <f t="shared" si="49"/>
        <v>#N/A</v>
      </c>
      <c r="AQ152" t="e">
        <f t="shared" si="50"/>
        <v>#N/A</v>
      </c>
    </row>
    <row r="153" spans="15:43">
      <c r="O153">
        <v>149</v>
      </c>
      <c r="P153" s="401">
        <f>'Lab test'!N152</f>
        <v>161.92500000000001</v>
      </c>
      <c r="Q153" s="401">
        <f>'Lab test'!M152</f>
        <v>0.127</v>
      </c>
      <c r="R153">
        <f>IF('Lab test'!O152&gt;0,'Lab test'!O152,NA())</f>
        <v>227.01249999999914</v>
      </c>
      <c r="S153">
        <f>'Lab test'!Q152</f>
        <v>1275</v>
      </c>
      <c r="T153" s="401">
        <f>IF('Lab test'!P152&gt;0,'Lab test'!P152,NA())</f>
        <v>3.9262755297255807E-2</v>
      </c>
      <c r="U153" s="401">
        <f>'Lab test'!AZ152</f>
        <v>1939</v>
      </c>
      <c r="V153" t="e">
        <f>IF('Lab test'!AQ152&gt;0,'Lab test'!AQ152,NA())</f>
        <v>#N/A</v>
      </c>
      <c r="W153" t="e">
        <f>IF('Lab test'!AU152&gt;0,'Lab test'!AU152,NA())</f>
        <v>#N/A</v>
      </c>
      <c r="X153">
        <f>IF('Lab test'!AT152&gt;0,'Lab test'!AT152,NA())</f>
        <v>0.234304685559169</v>
      </c>
      <c r="Y153">
        <f t="shared" si="36"/>
        <v>1</v>
      </c>
      <c r="Z153" t="str">
        <f>'Lab test'!AC152</f>
        <v>LTWb</v>
      </c>
      <c r="AA153" t="str">
        <f>'Lab test'!T152</f>
        <v>Steel</v>
      </c>
      <c r="AC153" t="e">
        <f t="shared" si="37"/>
        <v>#N/A</v>
      </c>
      <c r="AD153" t="e">
        <f t="shared" si="38"/>
        <v>#N/A</v>
      </c>
      <c r="AE153" t="e">
        <f t="shared" si="39"/>
        <v>#N/A</v>
      </c>
      <c r="AF153" t="e">
        <f t="shared" si="40"/>
        <v>#N/A</v>
      </c>
      <c r="AG153" t="e">
        <f t="shared" si="41"/>
        <v>#N/A</v>
      </c>
      <c r="AH153" t="e">
        <f t="shared" si="42"/>
        <v>#N/A</v>
      </c>
      <c r="AI153" t="e">
        <f t="shared" si="43"/>
        <v>#N/A</v>
      </c>
      <c r="AK153" t="e">
        <f t="shared" si="44"/>
        <v>#N/A</v>
      </c>
      <c r="AL153">
        <f t="shared" si="45"/>
        <v>0.234304685559169</v>
      </c>
      <c r="AM153" t="e">
        <f t="shared" si="46"/>
        <v>#N/A</v>
      </c>
      <c r="AN153" t="e">
        <f t="shared" si="47"/>
        <v>#N/A</v>
      </c>
      <c r="AO153" t="e">
        <f t="shared" si="48"/>
        <v>#N/A</v>
      </c>
      <c r="AP153" t="e">
        <f t="shared" si="49"/>
        <v>#N/A</v>
      </c>
      <c r="AQ153" t="e">
        <f t="shared" si="50"/>
        <v>#N/A</v>
      </c>
    </row>
    <row r="154" spans="15:43">
      <c r="O154">
        <v>150</v>
      </c>
      <c r="P154" s="401">
        <f>'Lab test'!N153</f>
        <v>161.92500000000001</v>
      </c>
      <c r="Q154" s="401">
        <f>'Lab test'!M153</f>
        <v>0.127</v>
      </c>
      <c r="R154">
        <f>IF('Lab test'!O153&gt;0,'Lab test'!O153,NA())</f>
        <v>227.01249999999914</v>
      </c>
      <c r="S154">
        <f>'Lab test'!Q153</f>
        <v>1275</v>
      </c>
      <c r="T154" s="401">
        <f>IF('Lab test'!P153&gt;0,'Lab test'!P153,NA())</f>
        <v>3.9262755297255807E-2</v>
      </c>
      <c r="U154" s="401">
        <f>'Lab test'!AZ153</f>
        <v>1939</v>
      </c>
      <c r="V154" t="e">
        <f>IF('Lab test'!AQ153&gt;0,'Lab test'!AQ153,NA())</f>
        <v>#N/A</v>
      </c>
      <c r="W154" t="e">
        <f>IF('Lab test'!AU153&gt;0,'Lab test'!AU153,NA())</f>
        <v>#N/A</v>
      </c>
      <c r="X154">
        <f>IF('Lab test'!AT153&gt;0,'Lab test'!AT153,NA())</f>
        <v>0.22126347205761535</v>
      </c>
      <c r="Y154">
        <f t="shared" si="36"/>
        <v>1</v>
      </c>
      <c r="Z154" t="str">
        <f>'Lab test'!AC153</f>
        <v>LTWb</v>
      </c>
      <c r="AA154" t="str">
        <f>'Lab test'!T153</f>
        <v>Steel</v>
      </c>
      <c r="AC154" t="e">
        <f t="shared" si="37"/>
        <v>#N/A</v>
      </c>
      <c r="AD154" t="e">
        <f t="shared" si="38"/>
        <v>#N/A</v>
      </c>
      <c r="AE154" t="e">
        <f t="shared" si="39"/>
        <v>#N/A</v>
      </c>
      <c r="AF154" t="e">
        <f t="shared" si="40"/>
        <v>#N/A</v>
      </c>
      <c r="AG154" t="e">
        <f t="shared" si="41"/>
        <v>#N/A</v>
      </c>
      <c r="AH154" t="e">
        <f t="shared" si="42"/>
        <v>#N/A</v>
      </c>
      <c r="AI154" t="e">
        <f t="shared" si="43"/>
        <v>#N/A</v>
      </c>
      <c r="AK154" t="e">
        <f t="shared" si="44"/>
        <v>#N/A</v>
      </c>
      <c r="AL154">
        <f t="shared" si="45"/>
        <v>0.22126347205761535</v>
      </c>
      <c r="AM154" t="e">
        <f t="shared" si="46"/>
        <v>#N/A</v>
      </c>
      <c r="AN154" t="e">
        <f t="shared" si="47"/>
        <v>#N/A</v>
      </c>
      <c r="AO154" t="e">
        <f t="shared" si="48"/>
        <v>#N/A</v>
      </c>
      <c r="AP154" t="e">
        <f t="shared" si="49"/>
        <v>#N/A</v>
      </c>
      <c r="AQ154" t="e">
        <f t="shared" si="50"/>
        <v>#N/A</v>
      </c>
    </row>
    <row r="155" spans="15:43">
      <c r="O155">
        <v>151</v>
      </c>
      <c r="P155" s="401">
        <f>'Lab test'!N154</f>
        <v>161.92500000000001</v>
      </c>
      <c r="Q155" s="401">
        <f>'Lab test'!M154</f>
        <v>0.127</v>
      </c>
      <c r="R155">
        <f>IF('Lab test'!O154&gt;0,'Lab test'!O154,NA())</f>
        <v>226.48333333333233</v>
      </c>
      <c r="S155">
        <f>'Lab test'!Q154</f>
        <v>1275</v>
      </c>
      <c r="T155" s="401">
        <f>IF('Lab test'!P154&gt;0,'Lab test'!P154,NA())</f>
        <v>3.9171233723136308E-2</v>
      </c>
      <c r="U155" s="401">
        <f>'Lab test'!AZ154</f>
        <v>1939</v>
      </c>
      <c r="V155" t="e">
        <f>IF('Lab test'!AQ154&gt;0,'Lab test'!AQ154,NA())</f>
        <v>#N/A</v>
      </c>
      <c r="W155" t="e">
        <f>IF('Lab test'!AU154&gt;0,'Lab test'!AU154,NA())</f>
        <v>#N/A</v>
      </c>
      <c r="X155">
        <f>IF('Lab test'!AT154&gt;0,'Lab test'!AT154,NA())</f>
        <v>0.21239512485531817</v>
      </c>
      <c r="Y155">
        <f t="shared" si="36"/>
        <v>1</v>
      </c>
      <c r="Z155" t="str">
        <f>'Lab test'!AC154</f>
        <v>LTWb</v>
      </c>
      <c r="AA155" t="str">
        <f>'Lab test'!T154</f>
        <v>Steel</v>
      </c>
      <c r="AC155" t="e">
        <f t="shared" si="37"/>
        <v>#N/A</v>
      </c>
      <c r="AD155" t="e">
        <f t="shared" si="38"/>
        <v>#N/A</v>
      </c>
      <c r="AE155" t="e">
        <f t="shared" si="39"/>
        <v>#N/A</v>
      </c>
      <c r="AF155" t="e">
        <f t="shared" si="40"/>
        <v>#N/A</v>
      </c>
      <c r="AG155" t="e">
        <f t="shared" si="41"/>
        <v>#N/A</v>
      </c>
      <c r="AH155" t="e">
        <f t="shared" si="42"/>
        <v>#N/A</v>
      </c>
      <c r="AI155" t="e">
        <f t="shared" si="43"/>
        <v>#N/A</v>
      </c>
      <c r="AK155" t="e">
        <f t="shared" si="44"/>
        <v>#N/A</v>
      </c>
      <c r="AL155">
        <f t="shared" si="45"/>
        <v>0.21239512485531817</v>
      </c>
      <c r="AM155" t="e">
        <f t="shared" si="46"/>
        <v>#N/A</v>
      </c>
      <c r="AN155" t="e">
        <f t="shared" si="47"/>
        <v>#N/A</v>
      </c>
      <c r="AO155" t="e">
        <f t="shared" si="48"/>
        <v>#N/A</v>
      </c>
      <c r="AP155" t="e">
        <f t="shared" si="49"/>
        <v>#N/A</v>
      </c>
      <c r="AQ155" t="e">
        <f t="shared" si="50"/>
        <v>#N/A</v>
      </c>
    </row>
    <row r="156" spans="15:43">
      <c r="O156">
        <v>152</v>
      </c>
      <c r="P156" s="401">
        <f>'Lab test'!N155</f>
        <v>161.92500000000001</v>
      </c>
      <c r="Q156" s="401">
        <f>'Lab test'!M155</f>
        <v>0.127</v>
      </c>
      <c r="R156">
        <f>IF('Lab test'!O155&gt;0,'Lab test'!O155,NA())</f>
        <v>177.79999999999927</v>
      </c>
      <c r="S156">
        <f>'Lab test'!Q155</f>
        <v>1275</v>
      </c>
      <c r="T156" s="401">
        <f>IF('Lab test'!P155&gt;0,'Lab test'!P155,NA())</f>
        <v>3.07512489041444E-2</v>
      </c>
      <c r="U156" s="401">
        <f>'Lab test'!AZ155</f>
        <v>1939</v>
      </c>
      <c r="V156" t="e">
        <f>IF('Lab test'!AQ155&gt;0,'Lab test'!AQ155,NA())</f>
        <v>#N/A</v>
      </c>
      <c r="W156" t="e">
        <f>IF('Lab test'!AU155&gt;0,'Lab test'!AU155,NA())</f>
        <v>#N/A</v>
      </c>
      <c r="X156">
        <f>IF('Lab test'!AT155&gt;0,'Lab test'!AT155,NA())</f>
        <v>0.2089481221860954</v>
      </c>
      <c r="Y156">
        <f t="shared" si="36"/>
        <v>1</v>
      </c>
      <c r="Z156" t="str">
        <f>'Lab test'!AC155</f>
        <v>LTWb</v>
      </c>
      <c r="AA156" t="str">
        <f>'Lab test'!T155</f>
        <v>Steel</v>
      </c>
      <c r="AC156" t="e">
        <f t="shared" si="37"/>
        <v>#N/A</v>
      </c>
      <c r="AD156" t="e">
        <f t="shared" si="38"/>
        <v>#N/A</v>
      </c>
      <c r="AE156" t="e">
        <f t="shared" si="39"/>
        <v>#N/A</v>
      </c>
      <c r="AF156" t="e">
        <f t="shared" si="40"/>
        <v>#N/A</v>
      </c>
      <c r="AG156" t="e">
        <f t="shared" si="41"/>
        <v>#N/A</v>
      </c>
      <c r="AH156" t="e">
        <f t="shared" si="42"/>
        <v>#N/A</v>
      </c>
      <c r="AI156" t="e">
        <f t="shared" si="43"/>
        <v>#N/A</v>
      </c>
      <c r="AK156" t="e">
        <f t="shared" si="44"/>
        <v>#N/A</v>
      </c>
      <c r="AL156">
        <f t="shared" si="45"/>
        <v>0.2089481221860954</v>
      </c>
      <c r="AM156" t="e">
        <f t="shared" si="46"/>
        <v>#N/A</v>
      </c>
      <c r="AN156" t="e">
        <f t="shared" si="47"/>
        <v>#N/A</v>
      </c>
      <c r="AO156" t="e">
        <f t="shared" si="48"/>
        <v>#N/A</v>
      </c>
      <c r="AP156" t="e">
        <f t="shared" si="49"/>
        <v>#N/A</v>
      </c>
      <c r="AQ156" t="e">
        <f t="shared" si="50"/>
        <v>#N/A</v>
      </c>
    </row>
    <row r="157" spans="15:43">
      <c r="O157">
        <v>153</v>
      </c>
      <c r="P157" s="401">
        <f>'Lab test'!N156</f>
        <v>161.92500000000001</v>
      </c>
      <c r="Q157" s="401">
        <f>'Lab test'!M156</f>
        <v>0.127</v>
      </c>
      <c r="R157">
        <f>IF('Lab test'!O156&gt;0,'Lab test'!O156,NA())</f>
        <v>177.79999999999927</v>
      </c>
      <c r="S157">
        <f>'Lab test'!Q156</f>
        <v>1275</v>
      </c>
      <c r="T157" s="401">
        <f>IF('Lab test'!P156&gt;0,'Lab test'!P156,NA())</f>
        <v>3.07512489041444E-2</v>
      </c>
      <c r="U157" s="401">
        <f>'Lab test'!AZ156</f>
        <v>1939</v>
      </c>
      <c r="V157" t="e">
        <f>IF('Lab test'!AQ156&gt;0,'Lab test'!AQ156,NA())</f>
        <v>#N/A</v>
      </c>
      <c r="W157" t="e">
        <f>IF('Lab test'!AU156&gt;0,'Lab test'!AU156,NA())</f>
        <v>#N/A</v>
      </c>
      <c r="X157">
        <f>IF('Lab test'!AT156&gt;0,'Lab test'!AT156,NA())</f>
        <v>0.20555706160786749</v>
      </c>
      <c r="Y157">
        <f t="shared" si="36"/>
        <v>1</v>
      </c>
      <c r="Z157" t="str">
        <f>'Lab test'!AC156</f>
        <v>LTWb</v>
      </c>
      <c r="AA157" t="str">
        <f>'Lab test'!T156</f>
        <v>Steel</v>
      </c>
      <c r="AC157" t="e">
        <f t="shared" si="37"/>
        <v>#N/A</v>
      </c>
      <c r="AD157" t="e">
        <f t="shared" si="38"/>
        <v>#N/A</v>
      </c>
      <c r="AE157" t="e">
        <f t="shared" si="39"/>
        <v>#N/A</v>
      </c>
      <c r="AF157" t="e">
        <f t="shared" si="40"/>
        <v>#N/A</v>
      </c>
      <c r="AG157" t="e">
        <f t="shared" si="41"/>
        <v>#N/A</v>
      </c>
      <c r="AH157" t="e">
        <f t="shared" si="42"/>
        <v>#N/A</v>
      </c>
      <c r="AI157" t="e">
        <f t="shared" si="43"/>
        <v>#N/A</v>
      </c>
      <c r="AK157" t="e">
        <f t="shared" si="44"/>
        <v>#N/A</v>
      </c>
      <c r="AL157">
        <f t="shared" si="45"/>
        <v>0.20555706160786749</v>
      </c>
      <c r="AM157" t="e">
        <f t="shared" si="46"/>
        <v>#N/A</v>
      </c>
      <c r="AN157" t="e">
        <f t="shared" si="47"/>
        <v>#N/A</v>
      </c>
      <c r="AO157" t="e">
        <f t="shared" si="48"/>
        <v>#N/A</v>
      </c>
      <c r="AP157" t="e">
        <f t="shared" si="49"/>
        <v>#N/A</v>
      </c>
      <c r="AQ157" t="e">
        <f t="shared" si="50"/>
        <v>#N/A</v>
      </c>
    </row>
    <row r="158" spans="15:43">
      <c r="O158">
        <v>154</v>
      </c>
      <c r="P158" s="401">
        <f>'Lab test'!N157</f>
        <v>161.92500000000001</v>
      </c>
      <c r="Q158" s="401">
        <f>'Lab test'!M157</f>
        <v>0.127</v>
      </c>
      <c r="R158">
        <f>IF('Lab test'!O157&gt;0,'Lab test'!O157,NA())</f>
        <v>129.11666666666656</v>
      </c>
      <c r="S158">
        <f>'Lab test'!Q157</f>
        <v>1275</v>
      </c>
      <c r="T158" s="401">
        <f>IF('Lab test'!P157&gt;0,'Lab test'!P157,NA())</f>
        <v>2.2331264085152555E-2</v>
      </c>
      <c r="U158" s="401">
        <f>'Lab test'!AZ157</f>
        <v>1939</v>
      </c>
      <c r="V158" t="e">
        <f>IF('Lab test'!AQ157&gt;0,'Lab test'!AQ157,NA())</f>
        <v>#N/A</v>
      </c>
      <c r="W158" t="e">
        <f>IF('Lab test'!AU157&gt;0,'Lab test'!AU157,NA())</f>
        <v>#N/A</v>
      </c>
      <c r="X158">
        <f>IF('Lab test'!AT157&gt;0,'Lab test'!AT157,NA())</f>
        <v>0.24012649456431293</v>
      </c>
      <c r="Y158">
        <f t="shared" si="36"/>
        <v>1</v>
      </c>
      <c r="Z158" t="str">
        <f>'Lab test'!AC157</f>
        <v>LTWb</v>
      </c>
      <c r="AA158" t="str">
        <f>'Lab test'!T157</f>
        <v>Steel</v>
      </c>
      <c r="AC158" t="e">
        <f t="shared" si="37"/>
        <v>#N/A</v>
      </c>
      <c r="AD158" t="e">
        <f t="shared" si="38"/>
        <v>#N/A</v>
      </c>
      <c r="AE158" t="e">
        <f t="shared" si="39"/>
        <v>#N/A</v>
      </c>
      <c r="AF158" t="e">
        <f t="shared" si="40"/>
        <v>#N/A</v>
      </c>
      <c r="AG158" t="e">
        <f t="shared" si="41"/>
        <v>#N/A</v>
      </c>
      <c r="AH158" t="e">
        <f t="shared" si="42"/>
        <v>#N/A</v>
      </c>
      <c r="AI158" t="e">
        <f t="shared" si="43"/>
        <v>#N/A</v>
      </c>
      <c r="AK158" t="e">
        <f t="shared" si="44"/>
        <v>#N/A</v>
      </c>
      <c r="AL158">
        <f t="shared" si="45"/>
        <v>0.24012649456431293</v>
      </c>
      <c r="AM158" t="e">
        <f t="shared" si="46"/>
        <v>#N/A</v>
      </c>
      <c r="AN158" t="e">
        <f t="shared" si="47"/>
        <v>#N/A</v>
      </c>
      <c r="AO158" t="e">
        <f t="shared" si="48"/>
        <v>#N/A</v>
      </c>
      <c r="AP158" t="e">
        <f t="shared" si="49"/>
        <v>#N/A</v>
      </c>
      <c r="AQ158" t="e">
        <f t="shared" si="50"/>
        <v>#N/A</v>
      </c>
    </row>
    <row r="159" spans="15:43">
      <c r="O159">
        <v>155</v>
      </c>
      <c r="P159" s="401">
        <f>'Lab test'!N158</f>
        <v>161.92500000000001</v>
      </c>
      <c r="Q159" s="401">
        <f>'Lab test'!M158</f>
        <v>0.127</v>
      </c>
      <c r="R159">
        <f>IF('Lab test'!O158&gt;0,'Lab test'!O158,NA())</f>
        <v>97.895833333333215</v>
      </c>
      <c r="S159">
        <f>'Lab test'!Q158</f>
        <v>1275</v>
      </c>
      <c r="T159" s="401">
        <f>IF('Lab test'!P158&gt;0,'Lab test'!P158,NA())</f>
        <v>1.6931491212103363E-2</v>
      </c>
      <c r="U159" s="401">
        <f>'Lab test'!AZ158</f>
        <v>1939</v>
      </c>
      <c r="V159" t="e">
        <f>IF('Lab test'!AQ158&gt;0,'Lab test'!AQ158,NA())</f>
        <v>#N/A</v>
      </c>
      <c r="W159" t="e">
        <f>IF('Lab test'!AU158&gt;0,'Lab test'!AU158,NA())</f>
        <v>#N/A</v>
      </c>
      <c r="X159">
        <f>IF('Lab test'!AT158&gt;0,'Lab test'!AT158,NA())</f>
        <v>0.26273835390627037</v>
      </c>
      <c r="Y159">
        <f t="shared" si="36"/>
        <v>1</v>
      </c>
      <c r="Z159" t="str">
        <f>'Lab test'!AC158</f>
        <v>LTWb</v>
      </c>
      <c r="AA159" t="str">
        <f>'Lab test'!T158</f>
        <v>Steel</v>
      </c>
      <c r="AC159" t="e">
        <f t="shared" si="37"/>
        <v>#N/A</v>
      </c>
      <c r="AD159" t="e">
        <f t="shared" si="38"/>
        <v>#N/A</v>
      </c>
      <c r="AE159" t="e">
        <f t="shared" si="39"/>
        <v>#N/A</v>
      </c>
      <c r="AF159" t="e">
        <f t="shared" si="40"/>
        <v>#N/A</v>
      </c>
      <c r="AG159" t="e">
        <f t="shared" si="41"/>
        <v>#N/A</v>
      </c>
      <c r="AH159" t="e">
        <f t="shared" si="42"/>
        <v>#N/A</v>
      </c>
      <c r="AI159" t="e">
        <f t="shared" si="43"/>
        <v>#N/A</v>
      </c>
      <c r="AK159" t="e">
        <f t="shared" si="44"/>
        <v>#N/A</v>
      </c>
      <c r="AL159">
        <f t="shared" si="45"/>
        <v>0.26273835390627037</v>
      </c>
      <c r="AM159" t="e">
        <f t="shared" si="46"/>
        <v>#N/A</v>
      </c>
      <c r="AN159" t="e">
        <f t="shared" si="47"/>
        <v>#N/A</v>
      </c>
      <c r="AO159" t="e">
        <f t="shared" si="48"/>
        <v>#N/A</v>
      </c>
      <c r="AP159" t="e">
        <f t="shared" si="49"/>
        <v>#N/A</v>
      </c>
      <c r="AQ159" t="e">
        <f t="shared" si="50"/>
        <v>#N/A</v>
      </c>
    </row>
    <row r="160" spans="15:43">
      <c r="O160">
        <v>156</v>
      </c>
      <c r="P160" s="401">
        <f>'Lab test'!N159</f>
        <v>161.92500000000001</v>
      </c>
      <c r="Q160" s="401">
        <f>'Lab test'!M159</f>
        <v>0.127</v>
      </c>
      <c r="R160">
        <f>IF('Lab test'!O159&gt;0,'Lab test'!O159,NA())</f>
        <v>72.495833333333238</v>
      </c>
      <c r="S160">
        <f>'Lab test'!Q159</f>
        <v>1275</v>
      </c>
      <c r="T160" s="401">
        <f>IF('Lab test'!P159&gt;0,'Lab test'!P159,NA())</f>
        <v>1.2538455654368437E-2</v>
      </c>
      <c r="U160" s="401">
        <f>'Lab test'!AZ159</f>
        <v>1939</v>
      </c>
      <c r="V160" t="e">
        <f>IF('Lab test'!AQ159&gt;0,'Lab test'!AQ159,NA())</f>
        <v>#N/A</v>
      </c>
      <c r="W160" t="e">
        <f>IF('Lab test'!AU159&gt;0,'Lab test'!AU159,NA())</f>
        <v>#N/A</v>
      </c>
      <c r="X160">
        <f>IF('Lab test'!AT159&gt;0,'Lab test'!AT159,NA())</f>
        <v>0.28747949175132603</v>
      </c>
      <c r="Y160">
        <f t="shared" si="36"/>
        <v>1</v>
      </c>
      <c r="Z160" t="str">
        <f>'Lab test'!AC159</f>
        <v>LTWb</v>
      </c>
      <c r="AA160" t="str">
        <f>'Lab test'!T159</f>
        <v>Steel</v>
      </c>
      <c r="AC160" t="e">
        <f t="shared" si="37"/>
        <v>#N/A</v>
      </c>
      <c r="AD160" t="e">
        <f t="shared" si="38"/>
        <v>#N/A</v>
      </c>
      <c r="AE160" t="e">
        <f t="shared" si="39"/>
        <v>#N/A</v>
      </c>
      <c r="AF160" t="e">
        <f t="shared" si="40"/>
        <v>#N/A</v>
      </c>
      <c r="AG160" t="e">
        <f t="shared" si="41"/>
        <v>#N/A</v>
      </c>
      <c r="AH160" t="e">
        <f t="shared" si="42"/>
        <v>#N/A</v>
      </c>
      <c r="AI160" t="e">
        <f t="shared" si="43"/>
        <v>#N/A</v>
      </c>
      <c r="AK160" t="e">
        <f t="shared" si="44"/>
        <v>#N/A</v>
      </c>
      <c r="AL160">
        <f t="shared" si="45"/>
        <v>0.28747949175132603</v>
      </c>
      <c r="AM160" t="e">
        <f t="shared" si="46"/>
        <v>#N/A</v>
      </c>
      <c r="AN160" t="e">
        <f t="shared" si="47"/>
        <v>#N/A</v>
      </c>
      <c r="AO160" t="e">
        <f t="shared" si="48"/>
        <v>#N/A</v>
      </c>
      <c r="AP160" t="e">
        <f t="shared" si="49"/>
        <v>#N/A</v>
      </c>
      <c r="AQ160" t="e">
        <f t="shared" si="50"/>
        <v>#N/A</v>
      </c>
    </row>
    <row r="161" spans="15:43">
      <c r="O161">
        <v>157</v>
      </c>
      <c r="P161" s="401">
        <f>'Lab test'!N160</f>
        <v>161.92500000000001</v>
      </c>
      <c r="Q161" s="401">
        <f>'Lab test'!M160</f>
        <v>0.127</v>
      </c>
      <c r="R161">
        <f>IF('Lab test'!O160&gt;0,'Lab test'!O160,NA())</f>
        <v>50.799999999999933</v>
      </c>
      <c r="S161">
        <f>'Lab test'!Q160</f>
        <v>1275</v>
      </c>
      <c r="T161" s="401">
        <f>IF('Lab test'!P160&gt;0,'Lab test'!P160,NA())</f>
        <v>8.7860711154698536E-3</v>
      </c>
      <c r="U161" s="401">
        <f>'Lab test'!AZ160</f>
        <v>1939</v>
      </c>
      <c r="V161" t="e">
        <f>IF('Lab test'!AQ160&gt;0,'Lab test'!AQ160,NA())</f>
        <v>#N/A</v>
      </c>
      <c r="W161" t="e">
        <f>IF('Lab test'!AU160&gt;0,'Lab test'!AU160,NA())</f>
        <v>#N/A</v>
      </c>
      <c r="X161">
        <f>IF('Lab test'!AT160&gt;0,'Lab test'!AT160,NA())</f>
        <v>0.34699777623386224</v>
      </c>
      <c r="Y161">
        <f t="shared" si="36"/>
        <v>1</v>
      </c>
      <c r="Z161" t="str">
        <f>'Lab test'!AC160</f>
        <v>LTWb</v>
      </c>
      <c r="AA161" t="str">
        <f>'Lab test'!T160</f>
        <v>Steel</v>
      </c>
      <c r="AC161" t="e">
        <f t="shared" si="37"/>
        <v>#N/A</v>
      </c>
      <c r="AD161" t="e">
        <f t="shared" si="38"/>
        <v>#N/A</v>
      </c>
      <c r="AE161" t="e">
        <f t="shared" si="39"/>
        <v>#N/A</v>
      </c>
      <c r="AF161" t="e">
        <f t="shared" si="40"/>
        <v>#N/A</v>
      </c>
      <c r="AG161" t="e">
        <f t="shared" si="41"/>
        <v>#N/A</v>
      </c>
      <c r="AH161" t="e">
        <f t="shared" si="42"/>
        <v>#N/A</v>
      </c>
      <c r="AI161" t="e">
        <f t="shared" si="43"/>
        <v>#N/A</v>
      </c>
      <c r="AK161" t="e">
        <f t="shared" si="44"/>
        <v>#N/A</v>
      </c>
      <c r="AL161">
        <f t="shared" si="45"/>
        <v>0.34699777623386224</v>
      </c>
      <c r="AM161" t="e">
        <f t="shared" si="46"/>
        <v>#N/A</v>
      </c>
      <c r="AN161" t="e">
        <f t="shared" si="47"/>
        <v>#N/A</v>
      </c>
      <c r="AO161" t="e">
        <f t="shared" si="48"/>
        <v>#N/A</v>
      </c>
      <c r="AP161" t="e">
        <f t="shared" si="49"/>
        <v>#N/A</v>
      </c>
      <c r="AQ161" t="e">
        <f t="shared" si="50"/>
        <v>#N/A</v>
      </c>
    </row>
    <row r="162" spans="15:43">
      <c r="O162">
        <v>158</v>
      </c>
      <c r="P162" s="401">
        <f>'Lab test'!N161</f>
        <v>161.92500000000001</v>
      </c>
      <c r="Q162" s="401">
        <f>'Lab test'!M161</f>
        <v>0.127</v>
      </c>
      <c r="R162">
        <f>IF('Lab test'!O161&gt;0,'Lab test'!O161,NA())</f>
        <v>35.983333333333299</v>
      </c>
      <c r="S162">
        <f>'Lab test'!Q161</f>
        <v>1275</v>
      </c>
      <c r="T162" s="401">
        <f>IF('Lab test'!P161&gt;0,'Lab test'!P161,NA())</f>
        <v>6.2234670401244818E-3</v>
      </c>
      <c r="U162" s="401">
        <f>'Lab test'!AZ161</f>
        <v>1939</v>
      </c>
      <c r="V162" t="e">
        <f>IF('Lab test'!AQ161&gt;0,'Lab test'!AQ161,NA())</f>
        <v>#N/A</v>
      </c>
      <c r="W162" t="e">
        <f>IF('Lab test'!AU161&gt;0,'Lab test'!AU161,NA())</f>
        <v>#N/A</v>
      </c>
      <c r="X162">
        <f>IF('Lab test'!AT161&gt;0,'Lab test'!AT161,NA())</f>
        <v>0.45084144898790657</v>
      </c>
      <c r="Y162">
        <f t="shared" si="36"/>
        <v>1</v>
      </c>
      <c r="Z162" t="str">
        <f>'Lab test'!AC161</f>
        <v>LTWb</v>
      </c>
      <c r="AA162" t="str">
        <f>'Lab test'!T161</f>
        <v>Steel</v>
      </c>
      <c r="AC162" t="e">
        <f t="shared" si="37"/>
        <v>#N/A</v>
      </c>
      <c r="AD162" t="e">
        <f t="shared" si="38"/>
        <v>#N/A</v>
      </c>
      <c r="AE162" t="e">
        <f t="shared" si="39"/>
        <v>#N/A</v>
      </c>
      <c r="AF162" t="e">
        <f t="shared" si="40"/>
        <v>#N/A</v>
      </c>
      <c r="AG162" t="e">
        <f t="shared" si="41"/>
        <v>#N/A</v>
      </c>
      <c r="AH162" t="e">
        <f t="shared" si="42"/>
        <v>#N/A</v>
      </c>
      <c r="AI162" t="e">
        <f t="shared" si="43"/>
        <v>#N/A</v>
      </c>
      <c r="AK162" t="e">
        <f t="shared" si="44"/>
        <v>#N/A</v>
      </c>
      <c r="AL162">
        <f t="shared" si="45"/>
        <v>0.45084144898790657</v>
      </c>
      <c r="AM162" t="e">
        <f t="shared" si="46"/>
        <v>#N/A</v>
      </c>
      <c r="AN162" t="e">
        <f t="shared" si="47"/>
        <v>#N/A</v>
      </c>
      <c r="AO162" t="e">
        <f t="shared" si="48"/>
        <v>#N/A</v>
      </c>
      <c r="AP162" t="e">
        <f t="shared" si="49"/>
        <v>#N/A</v>
      </c>
      <c r="AQ162" t="e">
        <f t="shared" si="50"/>
        <v>#N/A</v>
      </c>
    </row>
    <row r="163" spans="15:43">
      <c r="O163">
        <v>159</v>
      </c>
      <c r="P163" s="401">
        <f>'Lab test'!N162</f>
        <v>161.92500000000001</v>
      </c>
      <c r="Q163" s="401">
        <f>'Lab test'!M162</f>
        <v>0.127</v>
      </c>
      <c r="R163">
        <f>IF('Lab test'!O162&gt;0,'Lab test'!O162,NA())</f>
        <v>25.929166666666607</v>
      </c>
      <c r="S163">
        <f>'Lab test'!Q162</f>
        <v>1275</v>
      </c>
      <c r="T163" s="401">
        <f>IF('Lab test'!P162&gt;0,'Lab test'!P162,NA())</f>
        <v>4.4845571318543999E-3</v>
      </c>
      <c r="U163" s="401">
        <f>'Lab test'!AZ162</f>
        <v>1939</v>
      </c>
      <c r="V163" t="e">
        <f>IF('Lab test'!AQ162&gt;0,'Lab test'!AQ162,NA())</f>
        <v>#N/A</v>
      </c>
      <c r="W163" t="e">
        <f>IF('Lab test'!AU162&gt;0,'Lab test'!AU162,NA())</f>
        <v>#N/A</v>
      </c>
      <c r="X163">
        <f>IF('Lab test'!AT162&gt;0,'Lab test'!AT162,NA())</f>
        <v>0.58098904895370651</v>
      </c>
      <c r="Y163">
        <f t="shared" si="36"/>
        <v>1</v>
      </c>
      <c r="Z163" t="str">
        <f>'Lab test'!AC162</f>
        <v>LTWb</v>
      </c>
      <c r="AA163" t="str">
        <f>'Lab test'!T162</f>
        <v>Steel</v>
      </c>
      <c r="AC163" t="e">
        <f t="shared" si="37"/>
        <v>#N/A</v>
      </c>
      <c r="AD163" t="e">
        <f t="shared" si="38"/>
        <v>#N/A</v>
      </c>
      <c r="AE163" t="e">
        <f t="shared" si="39"/>
        <v>#N/A</v>
      </c>
      <c r="AF163" t="e">
        <f t="shared" si="40"/>
        <v>#N/A</v>
      </c>
      <c r="AG163" t="e">
        <f t="shared" si="41"/>
        <v>#N/A</v>
      </c>
      <c r="AH163" t="e">
        <f t="shared" si="42"/>
        <v>#N/A</v>
      </c>
      <c r="AI163" t="e">
        <f t="shared" si="43"/>
        <v>#N/A</v>
      </c>
      <c r="AK163" t="e">
        <f t="shared" si="44"/>
        <v>#N/A</v>
      </c>
      <c r="AL163">
        <f t="shared" si="45"/>
        <v>0.58098904895370651</v>
      </c>
      <c r="AM163" t="e">
        <f t="shared" si="46"/>
        <v>#N/A</v>
      </c>
      <c r="AN163" t="e">
        <f t="shared" si="47"/>
        <v>#N/A</v>
      </c>
      <c r="AO163" t="e">
        <f t="shared" si="48"/>
        <v>#N/A</v>
      </c>
      <c r="AP163" t="e">
        <f t="shared" si="49"/>
        <v>#N/A</v>
      </c>
      <c r="AQ163" t="e">
        <f t="shared" si="50"/>
        <v>#N/A</v>
      </c>
    </row>
    <row r="164" spans="15:43">
      <c r="O164">
        <v>160</v>
      </c>
      <c r="P164" s="401">
        <f>'Lab test'!N163</f>
        <v>161.92500000000001</v>
      </c>
      <c r="Q164" s="401">
        <f>'Lab test'!M163</f>
        <v>0.127</v>
      </c>
      <c r="R164">
        <f>IF('Lab test'!O163&gt;0,'Lab test'!O163,NA())</f>
        <v>13.758333333333317</v>
      </c>
      <c r="S164">
        <f>'Lab test'!Q163</f>
        <v>1275</v>
      </c>
      <c r="T164" s="401">
        <f>IF('Lab test'!P163&gt;0,'Lab test'!P163,NA())</f>
        <v>2.3795609271064187E-3</v>
      </c>
      <c r="U164" s="401">
        <f>'Lab test'!AZ163</f>
        <v>1939</v>
      </c>
      <c r="V164" t="e">
        <f>IF('Lab test'!AQ163&gt;0,'Lab test'!AQ163,NA())</f>
        <v>#N/A</v>
      </c>
      <c r="W164" t="e">
        <f>IF('Lab test'!AU163&gt;0,'Lab test'!AU163,NA())</f>
        <v>#N/A</v>
      </c>
      <c r="X164">
        <f>IF('Lab test'!AT163&gt;0,'Lab test'!AT163,NA())</f>
        <v>0.6731666479539854</v>
      </c>
      <c r="Y164">
        <f t="shared" si="36"/>
        <v>1</v>
      </c>
      <c r="Z164" t="str">
        <f>'Lab test'!AC163</f>
        <v>LTWb</v>
      </c>
      <c r="AA164" t="str">
        <f>'Lab test'!T163</f>
        <v>Steel</v>
      </c>
      <c r="AC164" t="e">
        <f t="shared" si="37"/>
        <v>#N/A</v>
      </c>
      <c r="AD164" t="e">
        <f t="shared" si="38"/>
        <v>#N/A</v>
      </c>
      <c r="AE164" t="e">
        <f t="shared" si="39"/>
        <v>#N/A</v>
      </c>
      <c r="AF164" t="e">
        <f t="shared" si="40"/>
        <v>#N/A</v>
      </c>
      <c r="AG164" t="e">
        <f t="shared" si="41"/>
        <v>#N/A</v>
      </c>
      <c r="AH164" t="e">
        <f t="shared" si="42"/>
        <v>#N/A</v>
      </c>
      <c r="AI164" t="e">
        <f t="shared" si="43"/>
        <v>#N/A</v>
      </c>
      <c r="AK164" t="e">
        <f t="shared" si="44"/>
        <v>#N/A</v>
      </c>
      <c r="AL164">
        <f t="shared" si="45"/>
        <v>0.6731666479539854</v>
      </c>
      <c r="AM164" t="e">
        <f t="shared" si="46"/>
        <v>#N/A</v>
      </c>
      <c r="AN164" t="e">
        <f t="shared" si="47"/>
        <v>#N/A</v>
      </c>
      <c r="AO164" t="e">
        <f t="shared" si="48"/>
        <v>#N/A</v>
      </c>
      <c r="AP164" t="e">
        <f t="shared" si="49"/>
        <v>#N/A</v>
      </c>
      <c r="AQ164" t="e">
        <f t="shared" si="50"/>
        <v>#N/A</v>
      </c>
    </row>
    <row r="165" spans="15:43">
      <c r="O165">
        <v>161</v>
      </c>
      <c r="P165" s="401">
        <f>'Lab test'!N164</f>
        <v>161.92500000000001</v>
      </c>
      <c r="Q165" s="401">
        <f>'Lab test'!M164</f>
        <v>0.127</v>
      </c>
      <c r="R165">
        <f>IF('Lab test'!O164&gt;0,'Lab test'!O164,NA())</f>
        <v>6.3499999999999837</v>
      </c>
      <c r="S165">
        <f>'Lab test'!Q164</f>
        <v>1275</v>
      </c>
      <c r="T165" s="401">
        <f>IF('Lab test'!P164&gt;0,'Lab test'!P164,NA())</f>
        <v>1.0982588894337302E-3</v>
      </c>
      <c r="U165" s="401">
        <f>'Lab test'!AZ164</f>
        <v>1939</v>
      </c>
      <c r="V165" t="e">
        <f>IF('Lab test'!AQ164&gt;0,'Lab test'!AQ164,NA())</f>
        <v>#N/A</v>
      </c>
      <c r="W165" t="e">
        <f>IF('Lab test'!AU164&gt;0,'Lab test'!AU164,NA())</f>
        <v>#N/A</v>
      </c>
      <c r="X165">
        <f>IF('Lab test'!AT164&gt;0,'Lab test'!AT164,NA())</f>
        <v>0.95698059107511413</v>
      </c>
      <c r="Y165">
        <f t="shared" si="36"/>
        <v>1</v>
      </c>
      <c r="Z165" t="str">
        <f>'Lab test'!AC164</f>
        <v>LTWb</v>
      </c>
      <c r="AA165" t="str">
        <f>'Lab test'!T164</f>
        <v>Steel</v>
      </c>
      <c r="AC165" t="e">
        <f t="shared" si="37"/>
        <v>#N/A</v>
      </c>
      <c r="AD165" t="e">
        <f t="shared" si="38"/>
        <v>#N/A</v>
      </c>
      <c r="AE165" t="e">
        <f t="shared" si="39"/>
        <v>#N/A</v>
      </c>
      <c r="AF165" t="e">
        <f t="shared" si="40"/>
        <v>#N/A</v>
      </c>
      <c r="AG165" t="e">
        <f t="shared" si="41"/>
        <v>#N/A</v>
      </c>
      <c r="AH165" t="e">
        <f t="shared" si="42"/>
        <v>#N/A</v>
      </c>
      <c r="AI165" t="e">
        <f t="shared" si="43"/>
        <v>#N/A</v>
      </c>
      <c r="AK165" t="e">
        <f t="shared" si="44"/>
        <v>#N/A</v>
      </c>
      <c r="AL165">
        <f t="shared" si="45"/>
        <v>0.95698059107511413</v>
      </c>
      <c r="AM165" t="e">
        <f t="shared" si="46"/>
        <v>#N/A</v>
      </c>
      <c r="AN165" t="e">
        <f t="shared" si="47"/>
        <v>#N/A</v>
      </c>
      <c r="AO165" t="e">
        <f t="shared" si="48"/>
        <v>#N/A</v>
      </c>
      <c r="AP165" t="e">
        <f t="shared" si="49"/>
        <v>#N/A</v>
      </c>
      <c r="AQ165" t="e">
        <f t="shared" si="50"/>
        <v>#N/A</v>
      </c>
    </row>
    <row r="166" spans="15:43">
      <c r="O166">
        <v>162</v>
      </c>
      <c r="P166" s="401">
        <f>'Lab test'!N165</f>
        <v>161.92500000000001</v>
      </c>
      <c r="Q166" s="401">
        <f>'Lab test'!M165</f>
        <v>0.127</v>
      </c>
      <c r="R166">
        <f>IF('Lab test'!O165&gt;0,'Lab test'!O165,NA())</f>
        <v>12.699999999999983</v>
      </c>
      <c r="S166">
        <f>'Lab test'!Q165</f>
        <v>1275</v>
      </c>
      <c r="T166" s="401">
        <f>IF('Lab test'!P165&gt;0,'Lab test'!P165,NA())</f>
        <v>2.1965177788674634E-3</v>
      </c>
      <c r="U166" s="401">
        <f>'Lab test'!AZ165</f>
        <v>1939</v>
      </c>
      <c r="V166" t="e">
        <f>IF('Lab test'!AQ165&gt;0,'Lab test'!AQ165,NA())</f>
        <v>#N/A</v>
      </c>
      <c r="W166" t="e">
        <f>IF('Lab test'!AU165&gt;0,'Lab test'!AU165,NA())</f>
        <v>#N/A</v>
      </c>
      <c r="X166">
        <f>IF('Lab test'!AT165&gt;0,'Lab test'!AT165,NA())</f>
        <v>0.86749444058465663</v>
      </c>
      <c r="Y166">
        <f t="shared" si="36"/>
        <v>1</v>
      </c>
      <c r="Z166" t="str">
        <f>'Lab test'!AC165</f>
        <v>LTWb</v>
      </c>
      <c r="AA166" t="str">
        <f>'Lab test'!T165</f>
        <v>Steel</v>
      </c>
      <c r="AC166" t="e">
        <f t="shared" si="37"/>
        <v>#N/A</v>
      </c>
      <c r="AD166" t="e">
        <f t="shared" si="38"/>
        <v>#N/A</v>
      </c>
      <c r="AE166" t="e">
        <f t="shared" si="39"/>
        <v>#N/A</v>
      </c>
      <c r="AF166" t="e">
        <f t="shared" si="40"/>
        <v>#N/A</v>
      </c>
      <c r="AG166" t="e">
        <f t="shared" si="41"/>
        <v>#N/A</v>
      </c>
      <c r="AH166" t="e">
        <f t="shared" si="42"/>
        <v>#N/A</v>
      </c>
      <c r="AI166" t="e">
        <f t="shared" si="43"/>
        <v>#N/A</v>
      </c>
      <c r="AK166" t="e">
        <f t="shared" si="44"/>
        <v>#N/A</v>
      </c>
      <c r="AL166">
        <f t="shared" si="45"/>
        <v>0.86749444058465663</v>
      </c>
      <c r="AM166" t="e">
        <f t="shared" si="46"/>
        <v>#N/A</v>
      </c>
      <c r="AN166" t="e">
        <f t="shared" si="47"/>
        <v>#N/A</v>
      </c>
      <c r="AO166" t="e">
        <f t="shared" si="48"/>
        <v>#N/A</v>
      </c>
      <c r="AP166" t="e">
        <f t="shared" si="49"/>
        <v>#N/A</v>
      </c>
      <c r="AQ166" t="e">
        <f t="shared" si="50"/>
        <v>#N/A</v>
      </c>
    </row>
    <row r="167" spans="15:43">
      <c r="O167">
        <v>163</v>
      </c>
      <c r="P167" s="401">
        <f>'Lab test'!N166</f>
        <v>161.92500000000001</v>
      </c>
      <c r="Q167" s="401">
        <f>'Lab test'!M166</f>
        <v>0.10160000000000001</v>
      </c>
      <c r="R167">
        <f>IF('Lab test'!O166&gt;0,'Lab test'!O166,NA())</f>
        <v>125.65379999999985</v>
      </c>
      <c r="S167">
        <f>'Lab test'!Q166</f>
        <v>1593.75</v>
      </c>
      <c r="T167" s="401">
        <f>IF('Lab test'!P166&gt;0,'Lab test'!P166,NA())</f>
        <v>1.9438001995283016E-2</v>
      </c>
      <c r="U167" s="401">
        <f>'Lab test'!AZ166</f>
        <v>1939</v>
      </c>
      <c r="V167" t="e">
        <f>IF('Lab test'!AQ166&gt;0,'Lab test'!AQ166,NA())</f>
        <v>#N/A</v>
      </c>
      <c r="W167" t="e">
        <f>IF('Lab test'!AU166&gt;0,'Lab test'!AU166,NA())</f>
        <v>#N/A</v>
      </c>
      <c r="X167">
        <f>IF('Lab test'!AT166&gt;0,'Lab test'!AT166,NA())</f>
        <v>0.30177159481585053</v>
      </c>
      <c r="Y167">
        <f t="shared" si="36"/>
        <v>1</v>
      </c>
      <c r="Z167" t="str">
        <f>'Lab test'!AC166</f>
        <v>LTWb</v>
      </c>
      <c r="AA167" t="str">
        <f>'Lab test'!T166</f>
        <v>Steel</v>
      </c>
      <c r="AC167" t="e">
        <f t="shared" si="37"/>
        <v>#N/A</v>
      </c>
      <c r="AD167" t="e">
        <f t="shared" si="38"/>
        <v>#N/A</v>
      </c>
      <c r="AE167" t="e">
        <f t="shared" si="39"/>
        <v>#N/A</v>
      </c>
      <c r="AF167" t="e">
        <f t="shared" si="40"/>
        <v>#N/A</v>
      </c>
      <c r="AG167" t="e">
        <f t="shared" si="41"/>
        <v>#N/A</v>
      </c>
      <c r="AH167" t="e">
        <f t="shared" si="42"/>
        <v>#N/A</v>
      </c>
      <c r="AI167" t="e">
        <f t="shared" si="43"/>
        <v>#N/A</v>
      </c>
      <c r="AK167" t="e">
        <f t="shared" si="44"/>
        <v>#N/A</v>
      </c>
      <c r="AL167">
        <f t="shared" si="45"/>
        <v>0.30177159481585053</v>
      </c>
      <c r="AM167" t="e">
        <f t="shared" si="46"/>
        <v>#N/A</v>
      </c>
      <c r="AN167" t="e">
        <f t="shared" si="47"/>
        <v>#N/A</v>
      </c>
      <c r="AO167" t="e">
        <f t="shared" si="48"/>
        <v>#N/A</v>
      </c>
      <c r="AP167" t="e">
        <f t="shared" si="49"/>
        <v>#N/A</v>
      </c>
      <c r="AQ167" t="e">
        <f t="shared" si="50"/>
        <v>#N/A</v>
      </c>
    </row>
    <row r="168" spans="15:43">
      <c r="O168">
        <v>164</v>
      </c>
      <c r="P168" s="401">
        <f>'Lab test'!N167</f>
        <v>161.92500000000001</v>
      </c>
      <c r="Q168" s="401">
        <f>'Lab test'!M167</f>
        <v>0.10160000000000001</v>
      </c>
      <c r="R168">
        <f>IF('Lab test'!O167&gt;0,'Lab test'!O167,NA())</f>
        <v>125.93138571428561</v>
      </c>
      <c r="S168">
        <f>'Lab test'!Q167</f>
        <v>1593.75</v>
      </c>
      <c r="T168" s="401">
        <f>IF('Lab test'!P167&gt;0,'Lab test'!P167,NA())</f>
        <v>1.9480943089528864E-2</v>
      </c>
      <c r="U168" s="401">
        <f>'Lab test'!AZ167</f>
        <v>1939</v>
      </c>
      <c r="V168" t="e">
        <f>IF('Lab test'!AQ167&gt;0,'Lab test'!AQ167,NA())</f>
        <v>#N/A</v>
      </c>
      <c r="W168" t="e">
        <f>IF('Lab test'!AU167&gt;0,'Lab test'!AU167,NA())</f>
        <v>#N/A</v>
      </c>
      <c r="X168">
        <f>IF('Lab test'!AT167&gt;0,'Lab test'!AT167,NA())</f>
        <v>0.20777116908169746</v>
      </c>
      <c r="Y168">
        <f t="shared" si="36"/>
        <v>1</v>
      </c>
      <c r="Z168" t="str">
        <f>'Lab test'!AC167</f>
        <v>LTWb</v>
      </c>
      <c r="AA168" t="str">
        <f>'Lab test'!T167</f>
        <v>Steel</v>
      </c>
      <c r="AC168" t="e">
        <f t="shared" si="37"/>
        <v>#N/A</v>
      </c>
      <c r="AD168" t="e">
        <f t="shared" si="38"/>
        <v>#N/A</v>
      </c>
      <c r="AE168" t="e">
        <f t="shared" si="39"/>
        <v>#N/A</v>
      </c>
      <c r="AF168" t="e">
        <f t="shared" si="40"/>
        <v>#N/A</v>
      </c>
      <c r="AG168" t="e">
        <f t="shared" si="41"/>
        <v>#N/A</v>
      </c>
      <c r="AH168" t="e">
        <f t="shared" si="42"/>
        <v>#N/A</v>
      </c>
      <c r="AI168" t="e">
        <f t="shared" si="43"/>
        <v>#N/A</v>
      </c>
      <c r="AK168" t="e">
        <f t="shared" si="44"/>
        <v>#N/A</v>
      </c>
      <c r="AL168">
        <f t="shared" si="45"/>
        <v>0.20777116908169746</v>
      </c>
      <c r="AM168" t="e">
        <f t="shared" si="46"/>
        <v>#N/A</v>
      </c>
      <c r="AN168" t="e">
        <f t="shared" si="47"/>
        <v>#N/A</v>
      </c>
      <c r="AO168" t="e">
        <f t="shared" si="48"/>
        <v>#N/A</v>
      </c>
      <c r="AP168" t="e">
        <f t="shared" si="49"/>
        <v>#N/A</v>
      </c>
      <c r="AQ168" t="e">
        <f t="shared" si="50"/>
        <v>#N/A</v>
      </c>
    </row>
    <row r="169" spans="15:43">
      <c r="O169">
        <v>165</v>
      </c>
      <c r="P169" s="401">
        <f>'Lab test'!N168</f>
        <v>161.92500000000001</v>
      </c>
      <c r="Q169" s="401">
        <f>'Lab test'!M168</f>
        <v>0.10160000000000001</v>
      </c>
      <c r="R169">
        <f>IF('Lab test'!O168&gt;0,'Lab test'!O168,NA())</f>
        <v>125.65379999999985</v>
      </c>
      <c r="S169">
        <f>'Lab test'!Q168</f>
        <v>1593.75</v>
      </c>
      <c r="T169" s="401">
        <f>IF('Lab test'!P168&gt;0,'Lab test'!P168,NA())</f>
        <v>1.9438001995283016E-2</v>
      </c>
      <c r="U169" s="401">
        <f>'Lab test'!AZ168</f>
        <v>1939</v>
      </c>
      <c r="V169" t="e">
        <f>IF('Lab test'!AQ168&gt;0,'Lab test'!AQ168,NA())</f>
        <v>#N/A</v>
      </c>
      <c r="W169" t="e">
        <f>IF('Lab test'!AU168&gt;0,'Lab test'!AU168,NA())</f>
        <v>#N/A</v>
      </c>
      <c r="X169">
        <f>IF('Lab test'!AT168&gt;0,'Lab test'!AT168,NA())</f>
        <v>0.19010419228441863</v>
      </c>
      <c r="Y169">
        <f t="shared" si="36"/>
        <v>1</v>
      </c>
      <c r="Z169" t="str">
        <f>'Lab test'!AC168</f>
        <v>LTWb</v>
      </c>
      <c r="AA169" t="str">
        <f>'Lab test'!T168</f>
        <v>Steel</v>
      </c>
      <c r="AC169" t="e">
        <f t="shared" si="37"/>
        <v>#N/A</v>
      </c>
      <c r="AD169" t="e">
        <f t="shared" si="38"/>
        <v>#N/A</v>
      </c>
      <c r="AE169" t="e">
        <f t="shared" si="39"/>
        <v>#N/A</v>
      </c>
      <c r="AF169" t="e">
        <f t="shared" si="40"/>
        <v>#N/A</v>
      </c>
      <c r="AG169" t="e">
        <f t="shared" si="41"/>
        <v>#N/A</v>
      </c>
      <c r="AH169" t="e">
        <f t="shared" si="42"/>
        <v>#N/A</v>
      </c>
      <c r="AI169" t="e">
        <f t="shared" si="43"/>
        <v>#N/A</v>
      </c>
      <c r="AK169" t="e">
        <f t="shared" si="44"/>
        <v>#N/A</v>
      </c>
      <c r="AL169">
        <f t="shared" si="45"/>
        <v>0.19010419228441863</v>
      </c>
      <c r="AM169" t="e">
        <f t="shared" si="46"/>
        <v>#N/A</v>
      </c>
      <c r="AN169" t="e">
        <f t="shared" si="47"/>
        <v>#N/A</v>
      </c>
      <c r="AO169" t="e">
        <f t="shared" si="48"/>
        <v>#N/A</v>
      </c>
      <c r="AP169" t="e">
        <f t="shared" si="49"/>
        <v>#N/A</v>
      </c>
      <c r="AQ169" t="e">
        <f t="shared" si="50"/>
        <v>#N/A</v>
      </c>
    </row>
    <row r="170" spans="15:43">
      <c r="O170">
        <v>166</v>
      </c>
      <c r="P170" s="401">
        <f>'Lab test'!N169</f>
        <v>161.92500000000001</v>
      </c>
      <c r="Q170" s="401">
        <f>'Lab test'!M169</f>
        <v>0.10160000000000001</v>
      </c>
      <c r="R170">
        <f>IF('Lab test'!O169&gt;0,'Lab test'!O169,NA())</f>
        <v>123.98828571428561</v>
      </c>
      <c r="S170">
        <f>'Lab test'!Q169</f>
        <v>1593.75</v>
      </c>
      <c r="T170" s="401">
        <f>IF('Lab test'!P169&gt;0,'Lab test'!P169,NA())</f>
        <v>1.9180355429807991E-2</v>
      </c>
      <c r="U170" s="401">
        <f>'Lab test'!AZ169</f>
        <v>1939</v>
      </c>
      <c r="V170" t="e">
        <f>IF('Lab test'!AQ169&gt;0,'Lab test'!AQ169,NA())</f>
        <v>#N/A</v>
      </c>
      <c r="W170" t="e">
        <f>IF('Lab test'!AU169&gt;0,'Lab test'!AU169,NA())</f>
        <v>#N/A</v>
      </c>
      <c r="X170">
        <f>IF('Lab test'!AT169&gt;0,'Lab test'!AT169,NA())</f>
        <v>0.18675531753105906</v>
      </c>
      <c r="Y170">
        <f t="shared" si="36"/>
        <v>1</v>
      </c>
      <c r="Z170" t="str">
        <f>'Lab test'!AC169</f>
        <v>LTWb</v>
      </c>
      <c r="AA170" t="str">
        <f>'Lab test'!T169</f>
        <v>Steel</v>
      </c>
      <c r="AC170" t="e">
        <f t="shared" si="37"/>
        <v>#N/A</v>
      </c>
      <c r="AD170" t="e">
        <f t="shared" si="38"/>
        <v>#N/A</v>
      </c>
      <c r="AE170" t="e">
        <f t="shared" si="39"/>
        <v>#N/A</v>
      </c>
      <c r="AF170" t="e">
        <f t="shared" si="40"/>
        <v>#N/A</v>
      </c>
      <c r="AG170" t="e">
        <f t="shared" si="41"/>
        <v>#N/A</v>
      </c>
      <c r="AH170" t="e">
        <f t="shared" si="42"/>
        <v>#N/A</v>
      </c>
      <c r="AI170" t="e">
        <f t="shared" si="43"/>
        <v>#N/A</v>
      </c>
      <c r="AK170" t="e">
        <f t="shared" si="44"/>
        <v>#N/A</v>
      </c>
      <c r="AL170">
        <f t="shared" si="45"/>
        <v>0.18675531753105906</v>
      </c>
      <c r="AM170" t="e">
        <f t="shared" si="46"/>
        <v>#N/A</v>
      </c>
      <c r="AN170" t="e">
        <f t="shared" si="47"/>
        <v>#N/A</v>
      </c>
      <c r="AO170" t="e">
        <f t="shared" si="48"/>
        <v>#N/A</v>
      </c>
      <c r="AP170" t="e">
        <f t="shared" si="49"/>
        <v>#N/A</v>
      </c>
      <c r="AQ170" t="e">
        <f t="shared" si="50"/>
        <v>#N/A</v>
      </c>
    </row>
    <row r="171" spans="15:43">
      <c r="O171">
        <v>167</v>
      </c>
      <c r="P171" s="401">
        <f>'Lab test'!N170</f>
        <v>161.92500000000001</v>
      </c>
      <c r="Q171" s="401">
        <f>'Lab test'!M170</f>
        <v>0.10160000000000001</v>
      </c>
      <c r="R171">
        <f>IF('Lab test'!O170&gt;0,'Lab test'!O170,NA())</f>
        <v>77.631471428571359</v>
      </c>
      <c r="S171">
        <f>'Lab test'!Q170</f>
        <v>1593.75</v>
      </c>
      <c r="T171" s="401">
        <f>IF('Lab test'!P170&gt;0,'Lab test'!P170,NA())</f>
        <v>1.2009192690752913E-2</v>
      </c>
      <c r="U171" s="401">
        <f>'Lab test'!AZ170</f>
        <v>1939</v>
      </c>
      <c r="V171" t="e">
        <f>IF('Lab test'!AQ170&gt;0,'Lab test'!AQ170,NA())</f>
        <v>#N/A</v>
      </c>
      <c r="W171" t="e">
        <f>IF('Lab test'!AU170&gt;0,'Lab test'!AU170,NA())</f>
        <v>#N/A</v>
      </c>
      <c r="X171">
        <f>IF('Lab test'!AT170&gt;0,'Lab test'!AT170,NA())</f>
        <v>0.22307975292688204</v>
      </c>
      <c r="Y171">
        <f t="shared" si="36"/>
        <v>1</v>
      </c>
      <c r="Z171" t="str">
        <f>'Lab test'!AC170</f>
        <v>LTWb</v>
      </c>
      <c r="AA171" t="str">
        <f>'Lab test'!T170</f>
        <v>Steel</v>
      </c>
      <c r="AC171" t="e">
        <f t="shared" si="37"/>
        <v>#N/A</v>
      </c>
      <c r="AD171" t="e">
        <f t="shared" si="38"/>
        <v>#N/A</v>
      </c>
      <c r="AE171" t="e">
        <f t="shared" si="39"/>
        <v>#N/A</v>
      </c>
      <c r="AF171" t="e">
        <f t="shared" si="40"/>
        <v>#N/A</v>
      </c>
      <c r="AG171" t="e">
        <f t="shared" si="41"/>
        <v>#N/A</v>
      </c>
      <c r="AH171" t="e">
        <f t="shared" si="42"/>
        <v>#N/A</v>
      </c>
      <c r="AI171" t="e">
        <f t="shared" si="43"/>
        <v>#N/A</v>
      </c>
      <c r="AK171" t="e">
        <f t="shared" si="44"/>
        <v>#N/A</v>
      </c>
      <c r="AL171">
        <f t="shared" si="45"/>
        <v>0.22307975292688204</v>
      </c>
      <c r="AM171" t="e">
        <f t="shared" si="46"/>
        <v>#N/A</v>
      </c>
      <c r="AN171" t="e">
        <f t="shared" si="47"/>
        <v>#N/A</v>
      </c>
      <c r="AO171" t="e">
        <f t="shared" si="48"/>
        <v>#N/A</v>
      </c>
      <c r="AP171" t="e">
        <f t="shared" si="49"/>
        <v>#N/A</v>
      </c>
      <c r="AQ171" t="e">
        <f t="shared" si="50"/>
        <v>#N/A</v>
      </c>
    </row>
    <row r="172" spans="15:43">
      <c r="O172">
        <v>168</v>
      </c>
      <c r="P172" s="401">
        <f>'Lab test'!N171</f>
        <v>161.92500000000001</v>
      </c>
      <c r="Q172" s="401">
        <f>'Lab test'!M171</f>
        <v>0.10160000000000001</v>
      </c>
      <c r="R172">
        <f>IF('Lab test'!O171&gt;0,'Lab test'!O171,NA())</f>
        <v>50.98324285714272</v>
      </c>
      <c r="S172">
        <f>'Lab test'!Q171</f>
        <v>1593.75</v>
      </c>
      <c r="T172" s="401">
        <f>IF('Lab test'!P171&gt;0,'Lab test'!P171,NA())</f>
        <v>7.8868476431523758E-3</v>
      </c>
      <c r="U172" s="401">
        <f>'Lab test'!AZ171</f>
        <v>1939</v>
      </c>
      <c r="V172" t="e">
        <f>IF('Lab test'!AQ171&gt;0,'Lab test'!AQ171,NA())</f>
        <v>#N/A</v>
      </c>
      <c r="W172" t="e">
        <f>IF('Lab test'!AU171&gt;0,'Lab test'!AU171,NA())</f>
        <v>#N/A</v>
      </c>
      <c r="X172">
        <f>IF('Lab test'!AT171&gt;0,'Lab test'!AT171,NA())</f>
        <v>0.28273292921091303</v>
      </c>
      <c r="Y172">
        <f t="shared" si="36"/>
        <v>1</v>
      </c>
      <c r="Z172" t="str">
        <f>'Lab test'!AC171</f>
        <v>LTWb</v>
      </c>
      <c r="AA172" t="str">
        <f>'Lab test'!T171</f>
        <v>Steel</v>
      </c>
      <c r="AC172" t="e">
        <f t="shared" si="37"/>
        <v>#N/A</v>
      </c>
      <c r="AD172" t="e">
        <f t="shared" si="38"/>
        <v>#N/A</v>
      </c>
      <c r="AE172" t="e">
        <f t="shared" si="39"/>
        <v>#N/A</v>
      </c>
      <c r="AF172" t="e">
        <f t="shared" si="40"/>
        <v>#N/A</v>
      </c>
      <c r="AG172" t="e">
        <f t="shared" si="41"/>
        <v>#N/A</v>
      </c>
      <c r="AH172" t="e">
        <f t="shared" si="42"/>
        <v>#N/A</v>
      </c>
      <c r="AI172" t="e">
        <f t="shared" si="43"/>
        <v>#N/A</v>
      </c>
      <c r="AK172" t="e">
        <f t="shared" si="44"/>
        <v>#N/A</v>
      </c>
      <c r="AL172">
        <f t="shared" si="45"/>
        <v>0.28273292921091303</v>
      </c>
      <c r="AM172" t="e">
        <f t="shared" si="46"/>
        <v>#N/A</v>
      </c>
      <c r="AN172" t="e">
        <f t="shared" si="47"/>
        <v>#N/A</v>
      </c>
      <c r="AO172" t="e">
        <f t="shared" si="48"/>
        <v>#N/A</v>
      </c>
      <c r="AP172" t="e">
        <f t="shared" si="49"/>
        <v>#N/A</v>
      </c>
      <c r="AQ172" t="e">
        <f t="shared" si="50"/>
        <v>#N/A</v>
      </c>
    </row>
    <row r="173" spans="15:43">
      <c r="O173">
        <v>169</v>
      </c>
      <c r="P173" s="401">
        <f>'Lab test'!N172</f>
        <v>161.92500000000001</v>
      </c>
      <c r="Q173" s="401">
        <f>'Lab test'!M172</f>
        <v>0.10160000000000001</v>
      </c>
      <c r="R173">
        <f>IF('Lab test'!O172&gt;0,'Lab test'!O172,NA())</f>
        <v>50.428071428571364</v>
      </c>
      <c r="S173">
        <f>'Lab test'!Q172</f>
        <v>1593.75</v>
      </c>
      <c r="T173" s="401">
        <f>IF('Lab test'!P172&gt;0,'Lab test'!P172,NA())</f>
        <v>7.8009654546607092E-3</v>
      </c>
      <c r="U173" s="401">
        <f>'Lab test'!AZ172</f>
        <v>1939</v>
      </c>
      <c r="V173" t="e">
        <f>IF('Lab test'!AQ172&gt;0,'Lab test'!AQ172,NA())</f>
        <v>#N/A</v>
      </c>
      <c r="W173" t="e">
        <f>IF('Lab test'!AU172&gt;0,'Lab test'!AU172,NA())</f>
        <v>#N/A</v>
      </c>
      <c r="X173">
        <f>IF('Lab test'!AT172&gt;0,'Lab test'!AT172,NA())</f>
        <v>0.30177159481585053</v>
      </c>
      <c r="Y173">
        <f t="shared" si="36"/>
        <v>1</v>
      </c>
      <c r="Z173" t="str">
        <f>'Lab test'!AC172</f>
        <v>LTWb</v>
      </c>
      <c r="AA173" t="str">
        <f>'Lab test'!T172</f>
        <v>Steel</v>
      </c>
      <c r="AC173" t="e">
        <f t="shared" si="37"/>
        <v>#N/A</v>
      </c>
      <c r="AD173" t="e">
        <f t="shared" si="38"/>
        <v>#N/A</v>
      </c>
      <c r="AE173" t="e">
        <f t="shared" si="39"/>
        <v>#N/A</v>
      </c>
      <c r="AF173" t="e">
        <f t="shared" si="40"/>
        <v>#N/A</v>
      </c>
      <c r="AG173" t="e">
        <f t="shared" si="41"/>
        <v>#N/A</v>
      </c>
      <c r="AH173" t="e">
        <f t="shared" si="42"/>
        <v>#N/A</v>
      </c>
      <c r="AI173" t="e">
        <f t="shared" si="43"/>
        <v>#N/A</v>
      </c>
      <c r="AK173" t="e">
        <f t="shared" si="44"/>
        <v>#N/A</v>
      </c>
      <c r="AL173">
        <f t="shared" si="45"/>
        <v>0.30177159481585053</v>
      </c>
      <c r="AM173" t="e">
        <f t="shared" si="46"/>
        <v>#N/A</v>
      </c>
      <c r="AN173" t="e">
        <f t="shared" si="47"/>
        <v>#N/A</v>
      </c>
      <c r="AO173" t="e">
        <f t="shared" si="48"/>
        <v>#N/A</v>
      </c>
      <c r="AP173" t="e">
        <f t="shared" si="49"/>
        <v>#N/A</v>
      </c>
      <c r="AQ173" t="e">
        <f t="shared" si="50"/>
        <v>#N/A</v>
      </c>
    </row>
    <row r="174" spans="15:43">
      <c r="O174">
        <v>170</v>
      </c>
      <c r="P174" s="401">
        <f>'Lab test'!N173</f>
        <v>161.92500000000001</v>
      </c>
      <c r="Q174" s="401">
        <f>'Lab test'!M173</f>
        <v>0.10160000000000001</v>
      </c>
      <c r="R174">
        <f>IF('Lab test'!O173&gt;0,'Lab test'!O173,NA())</f>
        <v>49.595314285714245</v>
      </c>
      <c r="S174">
        <f>'Lab test'!Q173</f>
        <v>1593.75</v>
      </c>
      <c r="T174" s="401">
        <f>IF('Lab test'!P173&gt;0,'Lab test'!P173,NA())</f>
        <v>7.672142171923196E-3</v>
      </c>
      <c r="U174" s="401">
        <f>'Lab test'!AZ173</f>
        <v>1939</v>
      </c>
      <c r="V174" t="e">
        <f>IF('Lab test'!AQ173&gt;0,'Lab test'!AQ173,NA())</f>
        <v>#N/A</v>
      </c>
      <c r="W174" t="e">
        <f>IF('Lab test'!AU173&gt;0,'Lab test'!AU173,NA())</f>
        <v>#N/A</v>
      </c>
      <c r="X174">
        <f>IF('Lab test'!AT173&gt;0,'Lab test'!AT173,NA())</f>
        <v>0.33772528047119454</v>
      </c>
      <c r="Y174">
        <f t="shared" si="36"/>
        <v>1</v>
      </c>
      <c r="Z174" t="str">
        <f>'Lab test'!AC173</f>
        <v>LTWb</v>
      </c>
      <c r="AA174" t="str">
        <f>'Lab test'!T173</f>
        <v>Steel</v>
      </c>
      <c r="AC174" t="e">
        <f t="shared" si="37"/>
        <v>#N/A</v>
      </c>
      <c r="AD174" t="e">
        <f t="shared" si="38"/>
        <v>#N/A</v>
      </c>
      <c r="AE174" t="e">
        <f t="shared" si="39"/>
        <v>#N/A</v>
      </c>
      <c r="AF174" t="e">
        <f t="shared" si="40"/>
        <v>#N/A</v>
      </c>
      <c r="AG174" t="e">
        <f t="shared" si="41"/>
        <v>#N/A</v>
      </c>
      <c r="AH174" t="e">
        <f t="shared" si="42"/>
        <v>#N/A</v>
      </c>
      <c r="AI174" t="e">
        <f t="shared" si="43"/>
        <v>#N/A</v>
      </c>
      <c r="AK174" t="e">
        <f t="shared" si="44"/>
        <v>#N/A</v>
      </c>
      <c r="AL174">
        <f t="shared" si="45"/>
        <v>0.33772528047119454</v>
      </c>
      <c r="AM174" t="e">
        <f t="shared" si="46"/>
        <v>#N/A</v>
      </c>
      <c r="AN174" t="e">
        <f t="shared" si="47"/>
        <v>#N/A</v>
      </c>
      <c r="AO174" t="e">
        <f t="shared" si="48"/>
        <v>#N/A</v>
      </c>
      <c r="AP174" t="e">
        <f t="shared" si="49"/>
        <v>#N/A</v>
      </c>
      <c r="AQ174" t="e">
        <f t="shared" si="50"/>
        <v>#N/A</v>
      </c>
    </row>
    <row r="175" spans="15:43">
      <c r="O175">
        <v>171</v>
      </c>
      <c r="P175" s="401">
        <f>'Lab test'!N174</f>
        <v>161.92500000000001</v>
      </c>
      <c r="Q175" s="401">
        <f>'Lab test'!M174</f>
        <v>0.10160000000000001</v>
      </c>
      <c r="R175">
        <f>IF('Lab test'!O174&gt;0,'Lab test'!O174,NA())</f>
        <v>39.04705714285712</v>
      </c>
      <c r="S175">
        <f>'Lab test'!Q174</f>
        <v>1593.75</v>
      </c>
      <c r="T175" s="401">
        <f>IF('Lab test'!P174&gt;0,'Lab test'!P174,NA())</f>
        <v>6.040380590581324E-3</v>
      </c>
      <c r="U175" s="401">
        <f>'Lab test'!AZ174</f>
        <v>1939</v>
      </c>
      <c r="V175" t="e">
        <f>IF('Lab test'!AQ174&gt;0,'Lab test'!AQ174,NA())</f>
        <v>#N/A</v>
      </c>
      <c r="W175" t="e">
        <f>IF('Lab test'!AU174&gt;0,'Lab test'!AU174,NA())</f>
        <v>#N/A</v>
      </c>
      <c r="X175">
        <f>IF('Lab test'!AT174&gt;0,'Lab test'!AT174,NA())</f>
        <v>0.39866208841663964</v>
      </c>
      <c r="Y175">
        <f t="shared" si="36"/>
        <v>1</v>
      </c>
      <c r="Z175" t="str">
        <f>'Lab test'!AC174</f>
        <v>LTWb</v>
      </c>
      <c r="AA175" t="str">
        <f>'Lab test'!T174</f>
        <v>Steel</v>
      </c>
      <c r="AC175" t="e">
        <f t="shared" si="37"/>
        <v>#N/A</v>
      </c>
      <c r="AD175" t="e">
        <f t="shared" si="38"/>
        <v>#N/A</v>
      </c>
      <c r="AE175" t="e">
        <f t="shared" si="39"/>
        <v>#N/A</v>
      </c>
      <c r="AF175" t="e">
        <f t="shared" si="40"/>
        <v>#N/A</v>
      </c>
      <c r="AG175" t="e">
        <f t="shared" si="41"/>
        <v>#N/A</v>
      </c>
      <c r="AH175" t="e">
        <f t="shared" si="42"/>
        <v>#N/A</v>
      </c>
      <c r="AI175" t="e">
        <f t="shared" si="43"/>
        <v>#N/A</v>
      </c>
      <c r="AK175" t="e">
        <f t="shared" si="44"/>
        <v>#N/A</v>
      </c>
      <c r="AL175">
        <f t="shared" si="45"/>
        <v>0.39866208841663964</v>
      </c>
      <c r="AM175" t="e">
        <f t="shared" si="46"/>
        <v>#N/A</v>
      </c>
      <c r="AN175" t="e">
        <f t="shared" si="47"/>
        <v>#N/A</v>
      </c>
      <c r="AO175" t="e">
        <f t="shared" si="48"/>
        <v>#N/A</v>
      </c>
      <c r="AP175" t="e">
        <f t="shared" si="49"/>
        <v>#N/A</v>
      </c>
      <c r="AQ175" t="e">
        <f t="shared" si="50"/>
        <v>#N/A</v>
      </c>
    </row>
    <row r="176" spans="15:43">
      <c r="O176">
        <v>172</v>
      </c>
      <c r="P176" s="401">
        <f>'Lab test'!N175</f>
        <v>161.92500000000001</v>
      </c>
      <c r="Q176" s="401">
        <f>'Lab test'!M175</f>
        <v>0.10160000000000001</v>
      </c>
      <c r="R176">
        <f>IF('Lab test'!O175&gt;0,'Lab test'!O175,NA())</f>
        <v>24.335014285714241</v>
      </c>
      <c r="S176">
        <f>'Lab test'!Q175</f>
        <v>1593.75</v>
      </c>
      <c r="T176" s="401">
        <f>IF('Lab test'!P175&gt;0,'Lab test'!P175,NA())</f>
        <v>3.7645025955518629E-3</v>
      </c>
      <c r="U176" s="401">
        <f>'Lab test'!AZ175</f>
        <v>1939</v>
      </c>
      <c r="V176" t="e">
        <f>IF('Lab test'!AQ175&gt;0,'Lab test'!AQ175,NA())</f>
        <v>#N/A</v>
      </c>
      <c r="W176" t="e">
        <f>IF('Lab test'!AU175&gt;0,'Lab test'!AU175,NA())</f>
        <v>#N/A</v>
      </c>
      <c r="X176">
        <f>IF('Lab test'!AT175&gt;0,'Lab test'!AT175,NA())</f>
        <v>0.57902592908259642</v>
      </c>
      <c r="Y176">
        <f t="shared" si="36"/>
        <v>1</v>
      </c>
      <c r="Z176" t="str">
        <f>'Lab test'!AC175</f>
        <v>LTWb</v>
      </c>
      <c r="AA176" t="str">
        <f>'Lab test'!T175</f>
        <v>Steel</v>
      </c>
      <c r="AC176" t="e">
        <f t="shared" si="37"/>
        <v>#N/A</v>
      </c>
      <c r="AD176" t="e">
        <f t="shared" si="38"/>
        <v>#N/A</v>
      </c>
      <c r="AE176" t="e">
        <f t="shared" si="39"/>
        <v>#N/A</v>
      </c>
      <c r="AF176" t="e">
        <f t="shared" si="40"/>
        <v>#N/A</v>
      </c>
      <c r="AG176" t="e">
        <f t="shared" si="41"/>
        <v>#N/A</v>
      </c>
      <c r="AH176" t="e">
        <f t="shared" si="42"/>
        <v>#N/A</v>
      </c>
      <c r="AI176" t="e">
        <f t="shared" si="43"/>
        <v>#N/A</v>
      </c>
      <c r="AK176" t="e">
        <f t="shared" si="44"/>
        <v>#N/A</v>
      </c>
      <c r="AL176">
        <f t="shared" si="45"/>
        <v>0.57902592908259642</v>
      </c>
      <c r="AM176" t="e">
        <f t="shared" si="46"/>
        <v>#N/A</v>
      </c>
      <c r="AN176" t="e">
        <f t="shared" si="47"/>
        <v>#N/A</v>
      </c>
      <c r="AO176" t="e">
        <f t="shared" si="48"/>
        <v>#N/A</v>
      </c>
      <c r="AP176" t="e">
        <f t="shared" si="49"/>
        <v>#N/A</v>
      </c>
      <c r="AQ176" t="e">
        <f t="shared" si="50"/>
        <v>#N/A</v>
      </c>
    </row>
    <row r="177" spans="15:43">
      <c r="O177">
        <v>173</v>
      </c>
      <c r="P177" s="401">
        <f>'Lab test'!N176</f>
        <v>161.92500000000001</v>
      </c>
      <c r="Q177" s="401">
        <f>'Lab test'!M176</f>
        <v>0.10160000000000001</v>
      </c>
      <c r="R177">
        <f>IF('Lab test'!O176&gt;0,'Lab test'!O176,NA())</f>
        <v>14.61951428571429</v>
      </c>
      <c r="S177">
        <f>'Lab test'!Q176</f>
        <v>1593.75</v>
      </c>
      <c r="T177" s="401">
        <f>IF('Lab test'!P176&gt;0,'Lab test'!P176,NA())</f>
        <v>2.2615642969475119E-3</v>
      </c>
      <c r="U177" s="401">
        <f>'Lab test'!AZ176</f>
        <v>1939</v>
      </c>
      <c r="V177" t="e">
        <f>IF('Lab test'!AQ176&gt;0,'Lab test'!AQ176,NA())</f>
        <v>#N/A</v>
      </c>
      <c r="W177" t="e">
        <f>IF('Lab test'!AU176&gt;0,'Lab test'!AU176,NA())</f>
        <v>#N/A</v>
      </c>
      <c r="X177">
        <f>IF('Lab test'!AT176&gt;0,'Lab test'!AT176,NA())</f>
        <v>0.84099049368239565</v>
      </c>
      <c r="Y177">
        <f t="shared" si="36"/>
        <v>1</v>
      </c>
      <c r="Z177" t="str">
        <f>'Lab test'!AC176</f>
        <v>LTWb</v>
      </c>
      <c r="AA177" t="str">
        <f>'Lab test'!T176</f>
        <v>Steel</v>
      </c>
      <c r="AC177" t="e">
        <f t="shared" si="37"/>
        <v>#N/A</v>
      </c>
      <c r="AD177" t="e">
        <f t="shared" si="38"/>
        <v>#N/A</v>
      </c>
      <c r="AE177" t="e">
        <f t="shared" si="39"/>
        <v>#N/A</v>
      </c>
      <c r="AF177" t="e">
        <f t="shared" si="40"/>
        <v>#N/A</v>
      </c>
      <c r="AG177" t="e">
        <f t="shared" si="41"/>
        <v>#N/A</v>
      </c>
      <c r="AH177" t="e">
        <f t="shared" si="42"/>
        <v>#N/A</v>
      </c>
      <c r="AI177" t="e">
        <f t="shared" si="43"/>
        <v>#N/A</v>
      </c>
      <c r="AK177" t="e">
        <f t="shared" si="44"/>
        <v>#N/A</v>
      </c>
      <c r="AL177">
        <f t="shared" si="45"/>
        <v>0.84099049368239565</v>
      </c>
      <c r="AM177" t="e">
        <f t="shared" si="46"/>
        <v>#N/A</v>
      </c>
      <c r="AN177" t="e">
        <f t="shared" si="47"/>
        <v>#N/A</v>
      </c>
      <c r="AO177" t="e">
        <f t="shared" si="48"/>
        <v>#N/A</v>
      </c>
      <c r="AP177" t="e">
        <f t="shared" si="49"/>
        <v>#N/A</v>
      </c>
      <c r="AQ177" t="e">
        <f t="shared" si="50"/>
        <v>#N/A</v>
      </c>
    </row>
    <row r="178" spans="15:43">
      <c r="O178">
        <v>174</v>
      </c>
      <c r="P178" s="401">
        <f>'Lab test'!N177</f>
        <v>161.92500000000001</v>
      </c>
      <c r="Q178" s="401">
        <f>'Lab test'!M177</f>
        <v>0.10160000000000001</v>
      </c>
      <c r="R178">
        <f>IF('Lab test'!O177&gt;0,'Lab test'!O177,NA())</f>
        <v>6.0143571428571372</v>
      </c>
      <c r="S178">
        <f>'Lab test'!Q177</f>
        <v>1593.75</v>
      </c>
      <c r="T178" s="401">
        <f>IF('Lab test'!P177&gt;0,'Lab test'!P177,NA())</f>
        <v>9.3039037532650687E-4</v>
      </c>
      <c r="U178" s="401">
        <f>'Lab test'!AZ177</f>
        <v>1939</v>
      </c>
      <c r="V178" t="e">
        <f>IF('Lab test'!AQ177&gt;0,'Lab test'!AQ177,NA())</f>
        <v>#N/A</v>
      </c>
      <c r="W178" t="e">
        <f>IF('Lab test'!AU177&gt;0,'Lab test'!AU177,NA())</f>
        <v>#N/A</v>
      </c>
      <c r="X178">
        <f>IF('Lab test'!AT177&gt;0,'Lab test'!AT177,NA())</f>
        <v>1.0045655139823491</v>
      </c>
      <c r="Y178">
        <f t="shared" si="36"/>
        <v>1</v>
      </c>
      <c r="Z178" t="str">
        <f>'Lab test'!AC177</f>
        <v>LTWb</v>
      </c>
      <c r="AA178" t="str">
        <f>'Lab test'!T177</f>
        <v>Steel</v>
      </c>
      <c r="AC178" t="e">
        <f t="shared" si="37"/>
        <v>#N/A</v>
      </c>
      <c r="AD178" t="e">
        <f t="shared" si="38"/>
        <v>#N/A</v>
      </c>
      <c r="AE178" t="e">
        <f t="shared" si="39"/>
        <v>#N/A</v>
      </c>
      <c r="AF178" t="e">
        <f t="shared" si="40"/>
        <v>#N/A</v>
      </c>
      <c r="AG178" t="e">
        <f t="shared" si="41"/>
        <v>#N/A</v>
      </c>
      <c r="AH178" t="e">
        <f t="shared" si="42"/>
        <v>#N/A</v>
      </c>
      <c r="AI178" t="e">
        <f t="shared" si="43"/>
        <v>#N/A</v>
      </c>
      <c r="AK178" t="e">
        <f t="shared" si="44"/>
        <v>#N/A</v>
      </c>
      <c r="AL178">
        <f t="shared" si="45"/>
        <v>1.0045655139823491</v>
      </c>
      <c r="AM178" t="e">
        <f t="shared" si="46"/>
        <v>#N/A</v>
      </c>
      <c r="AN178" t="e">
        <f t="shared" si="47"/>
        <v>#N/A</v>
      </c>
      <c r="AO178" t="e">
        <f t="shared" si="48"/>
        <v>#N/A</v>
      </c>
      <c r="AP178" t="e">
        <f t="shared" si="49"/>
        <v>#N/A</v>
      </c>
      <c r="AQ178" t="e">
        <f t="shared" si="50"/>
        <v>#N/A</v>
      </c>
    </row>
    <row r="179" spans="15:43">
      <c r="O179">
        <v>175</v>
      </c>
      <c r="P179" s="401">
        <f>'Lab test'!N178</f>
        <v>161.92500000000001</v>
      </c>
      <c r="Q179" s="401">
        <f>'Lab test'!M178</f>
        <v>7.619999999999999E-2</v>
      </c>
      <c r="R179">
        <f>IF('Lab test'!O178&gt;0,'Lab test'!O178,NA())</f>
        <v>226.48333333333233</v>
      </c>
      <c r="S179">
        <f>'Lab test'!Q178</f>
        <v>2125.0000000000005</v>
      </c>
      <c r="T179" s="401">
        <f>IF('Lab test'!P178&gt;0,'Lab test'!P178,NA())</f>
        <v>3.0341907172021051E-2</v>
      </c>
      <c r="U179" s="401">
        <f>'Lab test'!AZ178</f>
        <v>1939</v>
      </c>
      <c r="V179" t="e">
        <f>IF('Lab test'!AQ178&gt;0,'Lab test'!AQ178,NA())</f>
        <v>#N/A</v>
      </c>
      <c r="W179" t="e">
        <f>IF('Lab test'!AU178&gt;0,'Lab test'!AU178,NA())</f>
        <v>#N/A</v>
      </c>
      <c r="X179">
        <f>IF('Lab test'!AT178&gt;0,'Lab test'!AT178,NA())</f>
        <v>0.22572326583598407</v>
      </c>
      <c r="Y179">
        <f t="shared" si="36"/>
        <v>1</v>
      </c>
      <c r="Z179" t="str">
        <f>'Lab test'!AC178</f>
        <v>LTWb</v>
      </c>
      <c r="AA179" t="str">
        <f>'Lab test'!T178</f>
        <v>Steel</v>
      </c>
      <c r="AC179" t="e">
        <f t="shared" si="37"/>
        <v>#N/A</v>
      </c>
      <c r="AD179" t="e">
        <f t="shared" si="38"/>
        <v>#N/A</v>
      </c>
      <c r="AE179" t="e">
        <f t="shared" si="39"/>
        <v>#N/A</v>
      </c>
      <c r="AF179" t="e">
        <f t="shared" si="40"/>
        <v>#N/A</v>
      </c>
      <c r="AG179" t="e">
        <f t="shared" si="41"/>
        <v>#N/A</v>
      </c>
      <c r="AH179" t="e">
        <f t="shared" si="42"/>
        <v>#N/A</v>
      </c>
      <c r="AI179" t="e">
        <f t="shared" si="43"/>
        <v>#N/A</v>
      </c>
      <c r="AK179" t="e">
        <f t="shared" si="44"/>
        <v>#N/A</v>
      </c>
      <c r="AL179">
        <f t="shared" si="45"/>
        <v>0.22572326583598407</v>
      </c>
      <c r="AM179" t="e">
        <f t="shared" si="46"/>
        <v>#N/A</v>
      </c>
      <c r="AN179" t="e">
        <f t="shared" si="47"/>
        <v>#N/A</v>
      </c>
      <c r="AO179" t="e">
        <f t="shared" si="48"/>
        <v>#N/A</v>
      </c>
      <c r="AP179" t="e">
        <f t="shared" si="49"/>
        <v>#N/A</v>
      </c>
      <c r="AQ179" t="e">
        <f t="shared" si="50"/>
        <v>#N/A</v>
      </c>
    </row>
    <row r="180" spans="15:43">
      <c r="O180">
        <v>176</v>
      </c>
      <c r="P180" s="401">
        <f>'Lab test'!N179</f>
        <v>161.92500000000001</v>
      </c>
      <c r="Q180" s="401">
        <f>'Lab test'!M179</f>
        <v>7.619999999999999E-2</v>
      </c>
      <c r="R180">
        <f>IF('Lab test'!O179&gt;0,'Lab test'!O179,NA())</f>
        <v>227.54166666666595</v>
      </c>
      <c r="S180">
        <f>'Lab test'!Q179</f>
        <v>2125.0000000000005</v>
      </c>
      <c r="T180" s="401">
        <f>IF('Lab test'!P179&gt;0,'Lab test'!P179,NA())</f>
        <v>3.0483691784974457E-2</v>
      </c>
      <c r="U180" s="401">
        <f>'Lab test'!AZ179</f>
        <v>1939</v>
      </c>
      <c r="V180" t="e">
        <f>IF('Lab test'!AQ179&gt;0,'Lab test'!AQ179,NA())</f>
        <v>#N/A</v>
      </c>
      <c r="W180" t="e">
        <f>IF('Lab test'!AU179&gt;0,'Lab test'!AU179,NA())</f>
        <v>#N/A</v>
      </c>
      <c r="X180">
        <f>IF('Lab test'!AT179&gt;0,'Lab test'!AT179,NA())</f>
        <v>0.19322737104026258</v>
      </c>
      <c r="Y180">
        <f t="shared" si="36"/>
        <v>1</v>
      </c>
      <c r="Z180" t="str">
        <f>'Lab test'!AC179</f>
        <v>LTWb</v>
      </c>
      <c r="AA180" t="str">
        <f>'Lab test'!T179</f>
        <v>Steel</v>
      </c>
      <c r="AC180" t="e">
        <f t="shared" si="37"/>
        <v>#N/A</v>
      </c>
      <c r="AD180" t="e">
        <f t="shared" si="38"/>
        <v>#N/A</v>
      </c>
      <c r="AE180" t="e">
        <f t="shared" si="39"/>
        <v>#N/A</v>
      </c>
      <c r="AF180" t="e">
        <f t="shared" si="40"/>
        <v>#N/A</v>
      </c>
      <c r="AG180" t="e">
        <f t="shared" si="41"/>
        <v>#N/A</v>
      </c>
      <c r="AH180" t="e">
        <f t="shared" si="42"/>
        <v>#N/A</v>
      </c>
      <c r="AI180" t="e">
        <f t="shared" si="43"/>
        <v>#N/A</v>
      </c>
      <c r="AK180" t="e">
        <f t="shared" si="44"/>
        <v>#N/A</v>
      </c>
      <c r="AL180">
        <f t="shared" si="45"/>
        <v>0.19322737104026258</v>
      </c>
      <c r="AM180" t="e">
        <f t="shared" si="46"/>
        <v>#N/A</v>
      </c>
      <c r="AN180" t="e">
        <f t="shared" si="47"/>
        <v>#N/A</v>
      </c>
      <c r="AO180" t="e">
        <f t="shared" si="48"/>
        <v>#N/A</v>
      </c>
      <c r="AP180" t="e">
        <f t="shared" si="49"/>
        <v>#N/A</v>
      </c>
      <c r="AQ180" t="e">
        <f t="shared" si="50"/>
        <v>#N/A</v>
      </c>
    </row>
    <row r="181" spans="15:43">
      <c r="O181">
        <v>177</v>
      </c>
      <c r="P181" s="401">
        <f>'Lab test'!N180</f>
        <v>161.92500000000001</v>
      </c>
      <c r="Q181" s="401">
        <f>'Lab test'!M180</f>
        <v>7.619999999999999E-2</v>
      </c>
      <c r="R181">
        <f>IF('Lab test'!O180&gt;0,'Lab test'!O180,NA())</f>
        <v>227.54166666666595</v>
      </c>
      <c r="S181">
        <f>'Lab test'!Q180</f>
        <v>2125.0000000000005</v>
      </c>
      <c r="T181" s="401">
        <f>IF('Lab test'!P180&gt;0,'Lab test'!P180,NA())</f>
        <v>3.0483691784974457E-2</v>
      </c>
      <c r="U181" s="401">
        <f>'Lab test'!AZ180</f>
        <v>1939</v>
      </c>
      <c r="V181" t="e">
        <f>IF('Lab test'!AQ180&gt;0,'Lab test'!AQ180,NA())</f>
        <v>#N/A</v>
      </c>
      <c r="W181" t="e">
        <f>IF('Lab test'!AU180&gt;0,'Lab test'!AU180,NA())</f>
        <v>#N/A</v>
      </c>
      <c r="X181">
        <f>IF('Lab test'!AT180&gt;0,'Lab test'!AT180,NA())</f>
        <v>0.18548272435530894</v>
      </c>
      <c r="Y181">
        <f t="shared" si="36"/>
        <v>1</v>
      </c>
      <c r="Z181" t="str">
        <f>'Lab test'!AC180</f>
        <v>LTWb</v>
      </c>
      <c r="AA181" t="str">
        <f>'Lab test'!T180</f>
        <v>Steel</v>
      </c>
      <c r="AC181" t="e">
        <f t="shared" si="37"/>
        <v>#N/A</v>
      </c>
      <c r="AD181" t="e">
        <f t="shared" si="38"/>
        <v>#N/A</v>
      </c>
      <c r="AE181" t="e">
        <f t="shared" si="39"/>
        <v>#N/A</v>
      </c>
      <c r="AF181" t="e">
        <f t="shared" si="40"/>
        <v>#N/A</v>
      </c>
      <c r="AG181" t="e">
        <f t="shared" si="41"/>
        <v>#N/A</v>
      </c>
      <c r="AH181" t="e">
        <f t="shared" si="42"/>
        <v>#N/A</v>
      </c>
      <c r="AI181" t="e">
        <f t="shared" si="43"/>
        <v>#N/A</v>
      </c>
      <c r="AK181" t="e">
        <f t="shared" si="44"/>
        <v>#N/A</v>
      </c>
      <c r="AL181">
        <f t="shared" si="45"/>
        <v>0.18548272435530894</v>
      </c>
      <c r="AM181" t="e">
        <f t="shared" si="46"/>
        <v>#N/A</v>
      </c>
      <c r="AN181" t="e">
        <f t="shared" si="47"/>
        <v>#N/A</v>
      </c>
      <c r="AO181" t="e">
        <f t="shared" si="48"/>
        <v>#N/A</v>
      </c>
      <c r="AP181" t="e">
        <f t="shared" si="49"/>
        <v>#N/A</v>
      </c>
      <c r="AQ181" t="e">
        <f t="shared" si="50"/>
        <v>#N/A</v>
      </c>
    </row>
    <row r="182" spans="15:43">
      <c r="O182">
        <v>178</v>
      </c>
      <c r="P182" s="401">
        <f>'Lab test'!N181</f>
        <v>161.92500000000001</v>
      </c>
      <c r="Q182" s="401">
        <f>'Lab test'!M181</f>
        <v>7.619999999999999E-2</v>
      </c>
      <c r="R182">
        <f>IF('Lab test'!O181&gt;0,'Lab test'!O181,NA())</f>
        <v>177.79999999999927</v>
      </c>
      <c r="S182">
        <f>'Lab test'!Q181</f>
        <v>2125.0000000000005</v>
      </c>
      <c r="T182" s="401">
        <f>IF('Lab test'!P181&gt;0,'Lab test'!P181,NA())</f>
        <v>2.3819814976166066E-2</v>
      </c>
      <c r="U182" s="401">
        <f>'Lab test'!AZ181</f>
        <v>1939</v>
      </c>
      <c r="V182" t="e">
        <f>IF('Lab test'!AQ181&gt;0,'Lab test'!AQ181,NA())</f>
        <v>#N/A</v>
      </c>
      <c r="W182" t="e">
        <f>IF('Lab test'!AU181&gt;0,'Lab test'!AU181,NA())</f>
        <v>#N/A</v>
      </c>
      <c r="X182">
        <f>IF('Lab test'!AT181&gt;0,'Lab test'!AT181,NA())</f>
        <v>0.18700641382567429</v>
      </c>
      <c r="Y182">
        <f t="shared" si="36"/>
        <v>1</v>
      </c>
      <c r="Z182" t="str">
        <f>'Lab test'!AC181</f>
        <v>LTWb</v>
      </c>
      <c r="AA182" t="str">
        <f>'Lab test'!T181</f>
        <v>Steel</v>
      </c>
      <c r="AC182" t="e">
        <f t="shared" si="37"/>
        <v>#N/A</v>
      </c>
      <c r="AD182" t="e">
        <f t="shared" si="38"/>
        <v>#N/A</v>
      </c>
      <c r="AE182" t="e">
        <f t="shared" si="39"/>
        <v>#N/A</v>
      </c>
      <c r="AF182" t="e">
        <f t="shared" si="40"/>
        <v>#N/A</v>
      </c>
      <c r="AG182" t="e">
        <f t="shared" si="41"/>
        <v>#N/A</v>
      </c>
      <c r="AH182" t="e">
        <f t="shared" si="42"/>
        <v>#N/A</v>
      </c>
      <c r="AI182" t="e">
        <f t="shared" si="43"/>
        <v>#N/A</v>
      </c>
      <c r="AK182" t="e">
        <f t="shared" si="44"/>
        <v>#N/A</v>
      </c>
      <c r="AL182">
        <f t="shared" si="45"/>
        <v>0.18700641382567429</v>
      </c>
      <c r="AM182" t="e">
        <f t="shared" si="46"/>
        <v>#N/A</v>
      </c>
      <c r="AN182" t="e">
        <f t="shared" si="47"/>
        <v>#N/A</v>
      </c>
      <c r="AO182" t="e">
        <f t="shared" si="48"/>
        <v>#N/A</v>
      </c>
      <c r="AP182" t="e">
        <f t="shared" si="49"/>
        <v>#N/A</v>
      </c>
      <c r="AQ182" t="e">
        <f t="shared" si="50"/>
        <v>#N/A</v>
      </c>
    </row>
    <row r="183" spans="15:43">
      <c r="O183">
        <v>179</v>
      </c>
      <c r="P183" s="401">
        <f>'Lab test'!N182</f>
        <v>161.92500000000001</v>
      </c>
      <c r="Q183" s="401">
        <f>'Lab test'!M182</f>
        <v>7.619999999999999E-2</v>
      </c>
      <c r="R183">
        <f>IF('Lab test'!O182&gt;0,'Lab test'!O182,NA())</f>
        <v>177.79999999999927</v>
      </c>
      <c r="S183">
        <f>'Lab test'!Q182</f>
        <v>2125.0000000000005</v>
      </c>
      <c r="T183" s="401">
        <f>IF('Lab test'!P182&gt;0,'Lab test'!P182,NA())</f>
        <v>2.3819814976166066E-2</v>
      </c>
      <c r="U183" s="401">
        <f>'Lab test'!AZ182</f>
        <v>1939</v>
      </c>
      <c r="V183" t="e">
        <f>IF('Lab test'!AQ182&gt;0,'Lab test'!AQ182,NA())</f>
        <v>#N/A</v>
      </c>
      <c r="W183" t="e">
        <f>IF('Lab test'!AU182&gt;0,'Lab test'!AU182,NA())</f>
        <v>#N/A</v>
      </c>
      <c r="X183">
        <f>IF('Lab test'!AT182&gt;0,'Lab test'!AT182,NA())</f>
        <v>0.18247248837939781</v>
      </c>
      <c r="Y183">
        <f t="shared" si="36"/>
        <v>1</v>
      </c>
      <c r="Z183" t="str">
        <f>'Lab test'!AC182</f>
        <v>LTWb</v>
      </c>
      <c r="AA183" t="str">
        <f>'Lab test'!T182</f>
        <v>Steel</v>
      </c>
      <c r="AC183" t="e">
        <f t="shared" si="37"/>
        <v>#N/A</v>
      </c>
      <c r="AD183" t="e">
        <f t="shared" si="38"/>
        <v>#N/A</v>
      </c>
      <c r="AE183" t="e">
        <f t="shared" si="39"/>
        <v>#N/A</v>
      </c>
      <c r="AF183" t="e">
        <f t="shared" si="40"/>
        <v>#N/A</v>
      </c>
      <c r="AG183" t="e">
        <f t="shared" si="41"/>
        <v>#N/A</v>
      </c>
      <c r="AH183" t="e">
        <f t="shared" si="42"/>
        <v>#N/A</v>
      </c>
      <c r="AI183" t="e">
        <f t="shared" si="43"/>
        <v>#N/A</v>
      </c>
      <c r="AK183" t="e">
        <f t="shared" si="44"/>
        <v>#N/A</v>
      </c>
      <c r="AL183">
        <f t="shared" si="45"/>
        <v>0.18247248837939781</v>
      </c>
      <c r="AM183" t="e">
        <f t="shared" si="46"/>
        <v>#N/A</v>
      </c>
      <c r="AN183" t="e">
        <f t="shared" si="47"/>
        <v>#N/A</v>
      </c>
      <c r="AO183" t="e">
        <f t="shared" si="48"/>
        <v>#N/A</v>
      </c>
      <c r="AP183" t="e">
        <f t="shared" si="49"/>
        <v>#N/A</v>
      </c>
      <c r="AQ183" t="e">
        <f t="shared" si="50"/>
        <v>#N/A</v>
      </c>
    </row>
    <row r="184" spans="15:43">
      <c r="O184">
        <v>180</v>
      </c>
      <c r="P184" s="401">
        <f>'Lab test'!N183</f>
        <v>161.92500000000001</v>
      </c>
      <c r="Q184" s="401">
        <f>'Lab test'!M183</f>
        <v>7.619999999999999E-2</v>
      </c>
      <c r="R184">
        <f>IF('Lab test'!O183&gt;0,'Lab test'!O183,NA())</f>
        <v>129.6458333333332</v>
      </c>
      <c r="S184">
        <f>'Lab test'!Q183</f>
        <v>2125.0000000000005</v>
      </c>
      <c r="T184" s="401">
        <f>IF('Lab test'!P183&gt;0,'Lab test'!P183,NA())</f>
        <v>1.736861508678781E-2</v>
      </c>
      <c r="U184" s="401">
        <f>'Lab test'!AZ183</f>
        <v>1939</v>
      </c>
      <c r="V184" t="e">
        <f>IF('Lab test'!AQ183&gt;0,'Lab test'!AQ183,NA())</f>
        <v>#N/A</v>
      </c>
      <c r="W184" t="e">
        <f>IF('Lab test'!AU183&gt;0,'Lab test'!AU183,NA())</f>
        <v>#N/A</v>
      </c>
      <c r="X184">
        <f>IF('Lab test'!AT183&gt;0,'Lab test'!AT183,NA())</f>
        <v>0.18854261998518254</v>
      </c>
      <c r="Y184">
        <f t="shared" si="36"/>
        <v>1</v>
      </c>
      <c r="Z184" t="str">
        <f>'Lab test'!AC183</f>
        <v>LTWb</v>
      </c>
      <c r="AA184" t="str">
        <f>'Lab test'!T183</f>
        <v>Steel</v>
      </c>
      <c r="AC184" t="e">
        <f t="shared" si="37"/>
        <v>#N/A</v>
      </c>
      <c r="AD184" t="e">
        <f t="shared" si="38"/>
        <v>#N/A</v>
      </c>
      <c r="AE184" t="e">
        <f t="shared" si="39"/>
        <v>#N/A</v>
      </c>
      <c r="AF184" t="e">
        <f t="shared" si="40"/>
        <v>#N/A</v>
      </c>
      <c r="AG184" t="e">
        <f t="shared" si="41"/>
        <v>#N/A</v>
      </c>
      <c r="AH184" t="e">
        <f t="shared" si="42"/>
        <v>#N/A</v>
      </c>
      <c r="AI184" t="e">
        <f t="shared" si="43"/>
        <v>#N/A</v>
      </c>
      <c r="AK184" t="e">
        <f t="shared" si="44"/>
        <v>#N/A</v>
      </c>
      <c r="AL184">
        <f t="shared" si="45"/>
        <v>0.18854261998518254</v>
      </c>
      <c r="AM184" t="e">
        <f t="shared" si="46"/>
        <v>#N/A</v>
      </c>
      <c r="AN184" t="e">
        <f t="shared" si="47"/>
        <v>#N/A</v>
      </c>
      <c r="AO184" t="e">
        <f t="shared" si="48"/>
        <v>#N/A</v>
      </c>
      <c r="AP184" t="e">
        <f t="shared" si="49"/>
        <v>#N/A</v>
      </c>
      <c r="AQ184" t="e">
        <f t="shared" si="50"/>
        <v>#N/A</v>
      </c>
    </row>
    <row r="185" spans="15:43">
      <c r="O185">
        <v>181</v>
      </c>
      <c r="P185" s="401">
        <f>'Lab test'!N184</f>
        <v>161.92500000000001</v>
      </c>
      <c r="Q185" s="401">
        <f>'Lab test'!M184</f>
        <v>7.619999999999999E-2</v>
      </c>
      <c r="R185">
        <f>IF('Lab test'!O184&gt;0,'Lab test'!O184,NA())</f>
        <v>76.729166666666544</v>
      </c>
      <c r="S185">
        <f>'Lab test'!Q184</f>
        <v>2125.0000000000005</v>
      </c>
      <c r="T185" s="401">
        <f>IF('Lab test'!P184&gt;0,'Lab test'!P184,NA())</f>
        <v>1.0279384439119309E-2</v>
      </c>
      <c r="U185" s="401">
        <f>'Lab test'!AZ184</f>
        <v>1939</v>
      </c>
      <c r="V185" t="e">
        <f>IF('Lab test'!AQ184&gt;0,'Lab test'!AQ184,NA())</f>
        <v>#N/A</v>
      </c>
      <c r="W185" t="e">
        <f>IF('Lab test'!AU184&gt;0,'Lab test'!AU184,NA())</f>
        <v>#N/A</v>
      </c>
      <c r="X185">
        <f>IF('Lab test'!AT184&gt;0,'Lab test'!AT184,NA())</f>
        <v>0.26368413783907368</v>
      </c>
      <c r="Y185">
        <f t="shared" si="36"/>
        <v>1</v>
      </c>
      <c r="Z185" t="str">
        <f>'Lab test'!AC184</f>
        <v>LTWb</v>
      </c>
      <c r="AA185" t="str">
        <f>'Lab test'!T184</f>
        <v>Steel</v>
      </c>
      <c r="AC185" t="e">
        <f t="shared" si="37"/>
        <v>#N/A</v>
      </c>
      <c r="AD185" t="e">
        <f t="shared" si="38"/>
        <v>#N/A</v>
      </c>
      <c r="AE185" t="e">
        <f t="shared" si="39"/>
        <v>#N/A</v>
      </c>
      <c r="AF185" t="e">
        <f t="shared" si="40"/>
        <v>#N/A</v>
      </c>
      <c r="AG185" t="e">
        <f t="shared" si="41"/>
        <v>#N/A</v>
      </c>
      <c r="AH185" t="e">
        <f t="shared" si="42"/>
        <v>#N/A</v>
      </c>
      <c r="AI185" t="e">
        <f t="shared" si="43"/>
        <v>#N/A</v>
      </c>
      <c r="AK185" t="e">
        <f t="shared" si="44"/>
        <v>#N/A</v>
      </c>
      <c r="AL185">
        <f t="shared" si="45"/>
        <v>0.26368413783907368</v>
      </c>
      <c r="AM185" t="e">
        <f t="shared" si="46"/>
        <v>#N/A</v>
      </c>
      <c r="AN185" t="e">
        <f t="shared" si="47"/>
        <v>#N/A</v>
      </c>
      <c r="AO185" t="e">
        <f t="shared" si="48"/>
        <v>#N/A</v>
      </c>
      <c r="AP185" t="e">
        <f t="shared" si="49"/>
        <v>#N/A</v>
      </c>
      <c r="AQ185" t="e">
        <f t="shared" si="50"/>
        <v>#N/A</v>
      </c>
    </row>
    <row r="186" spans="15:43">
      <c r="O186">
        <v>182</v>
      </c>
      <c r="P186" s="401">
        <f>'Lab test'!N185</f>
        <v>161.92500000000001</v>
      </c>
      <c r="Q186" s="401">
        <f>'Lab test'!M185</f>
        <v>7.619999999999999E-2</v>
      </c>
      <c r="R186">
        <f>IF('Lab test'!O185&gt;0,'Lab test'!O185,NA())</f>
        <v>76.199999999999903</v>
      </c>
      <c r="S186">
        <f>'Lab test'!Q185</f>
        <v>2125.0000000000005</v>
      </c>
      <c r="T186" s="401">
        <f>IF('Lab test'!P185&gt;0,'Lab test'!P185,NA())</f>
        <v>1.0208492132642629E-2</v>
      </c>
      <c r="U186" s="401">
        <f>'Lab test'!AZ185</f>
        <v>1939</v>
      </c>
      <c r="V186" t="e">
        <f>IF('Lab test'!AQ185&gt;0,'Lab test'!AQ185,NA())</f>
        <v>#N/A</v>
      </c>
      <c r="W186" t="e">
        <f>IF('Lab test'!AU185&gt;0,'Lab test'!AU185,NA())</f>
        <v>#N/A</v>
      </c>
      <c r="X186">
        <f>IF('Lab test'!AT185&gt;0,'Lab test'!AT185,NA())</f>
        <v>0.25519482428669626</v>
      </c>
      <c r="Y186">
        <f t="shared" si="36"/>
        <v>1</v>
      </c>
      <c r="Z186" t="str">
        <f>'Lab test'!AC185</f>
        <v>LTWb</v>
      </c>
      <c r="AA186" t="str">
        <f>'Lab test'!T185</f>
        <v>Steel</v>
      </c>
      <c r="AC186" t="e">
        <f t="shared" si="37"/>
        <v>#N/A</v>
      </c>
      <c r="AD186" t="e">
        <f t="shared" si="38"/>
        <v>#N/A</v>
      </c>
      <c r="AE186" t="e">
        <f t="shared" si="39"/>
        <v>#N/A</v>
      </c>
      <c r="AF186" t="e">
        <f t="shared" si="40"/>
        <v>#N/A</v>
      </c>
      <c r="AG186" t="e">
        <f t="shared" si="41"/>
        <v>#N/A</v>
      </c>
      <c r="AH186" t="e">
        <f t="shared" si="42"/>
        <v>#N/A</v>
      </c>
      <c r="AI186" t="e">
        <f t="shared" si="43"/>
        <v>#N/A</v>
      </c>
      <c r="AK186" t="e">
        <f t="shared" si="44"/>
        <v>#N/A</v>
      </c>
      <c r="AL186">
        <f t="shared" si="45"/>
        <v>0.25519482428669626</v>
      </c>
      <c r="AM186" t="e">
        <f t="shared" si="46"/>
        <v>#N/A</v>
      </c>
      <c r="AN186" t="e">
        <f t="shared" si="47"/>
        <v>#N/A</v>
      </c>
      <c r="AO186" t="e">
        <f t="shared" si="48"/>
        <v>#N/A</v>
      </c>
      <c r="AP186" t="e">
        <f t="shared" si="49"/>
        <v>#N/A</v>
      </c>
      <c r="AQ186" t="e">
        <f t="shared" si="50"/>
        <v>#N/A</v>
      </c>
    </row>
    <row r="187" spans="15:43">
      <c r="O187">
        <v>183</v>
      </c>
      <c r="P187" s="401">
        <f>'Lab test'!N186</f>
        <v>161.92500000000001</v>
      </c>
      <c r="Q187" s="401">
        <f>'Lab test'!M186</f>
        <v>7.619999999999999E-2</v>
      </c>
      <c r="R187">
        <f>IF('Lab test'!O186&gt;0,'Lab test'!O186,NA())</f>
        <v>39.158333333333317</v>
      </c>
      <c r="S187">
        <f>'Lab test'!Q186</f>
        <v>2125.0000000000005</v>
      </c>
      <c r="T187" s="401">
        <f>IF('Lab test'!P186&gt;0,'Lab test'!P186,NA())</f>
        <v>5.2460306792746891E-3</v>
      </c>
      <c r="U187" s="401">
        <f>'Lab test'!AZ186</f>
        <v>1939</v>
      </c>
      <c r="V187" t="e">
        <f>IF('Lab test'!AQ186&gt;0,'Lab test'!AQ186,NA())</f>
        <v>#N/A</v>
      </c>
      <c r="W187" t="e">
        <f>IF('Lab test'!AU186&gt;0,'Lab test'!AU186,NA())</f>
        <v>#N/A</v>
      </c>
      <c r="X187">
        <f>IF('Lab test'!AT186&gt;0,'Lab test'!AT186,NA())</f>
        <v>0.38104004151776222</v>
      </c>
      <c r="Y187">
        <f t="shared" si="36"/>
        <v>1</v>
      </c>
      <c r="Z187" t="str">
        <f>'Lab test'!AC186</f>
        <v>LTWb</v>
      </c>
      <c r="AA187" t="str">
        <f>'Lab test'!T186</f>
        <v>Steel</v>
      </c>
      <c r="AC187" t="e">
        <f t="shared" si="37"/>
        <v>#N/A</v>
      </c>
      <c r="AD187" t="e">
        <f t="shared" si="38"/>
        <v>#N/A</v>
      </c>
      <c r="AE187" t="e">
        <f t="shared" si="39"/>
        <v>#N/A</v>
      </c>
      <c r="AF187" t="e">
        <f t="shared" si="40"/>
        <v>#N/A</v>
      </c>
      <c r="AG187" t="e">
        <f t="shared" si="41"/>
        <v>#N/A</v>
      </c>
      <c r="AH187" t="e">
        <f t="shared" si="42"/>
        <v>#N/A</v>
      </c>
      <c r="AI187" t="e">
        <f t="shared" si="43"/>
        <v>#N/A</v>
      </c>
      <c r="AK187" t="e">
        <f t="shared" si="44"/>
        <v>#N/A</v>
      </c>
      <c r="AL187">
        <f t="shared" si="45"/>
        <v>0.38104004151776222</v>
      </c>
      <c r="AM187" t="e">
        <f t="shared" si="46"/>
        <v>#N/A</v>
      </c>
      <c r="AN187" t="e">
        <f t="shared" si="47"/>
        <v>#N/A</v>
      </c>
      <c r="AO187" t="e">
        <f t="shared" si="48"/>
        <v>#N/A</v>
      </c>
      <c r="AP187" t="e">
        <f t="shared" si="49"/>
        <v>#N/A</v>
      </c>
      <c r="AQ187" t="e">
        <f t="shared" si="50"/>
        <v>#N/A</v>
      </c>
    </row>
    <row r="188" spans="15:43">
      <c r="O188">
        <v>184</v>
      </c>
      <c r="P188" s="401">
        <f>'Lab test'!N187</f>
        <v>161.92500000000001</v>
      </c>
      <c r="Q188" s="401">
        <f>'Lab test'!M187</f>
        <v>7.619999999999999E-2</v>
      </c>
      <c r="R188">
        <f>IF('Lab test'!O187&gt;0,'Lab test'!O187,NA())</f>
        <v>38.629166666666507</v>
      </c>
      <c r="S188">
        <f>'Lab test'!Q187</f>
        <v>2125.0000000000005</v>
      </c>
      <c r="T188" s="401">
        <f>IF('Lab test'!P187&gt;0,'Lab test'!P187,NA())</f>
        <v>5.1751383727979845E-3</v>
      </c>
      <c r="U188" s="401">
        <f>'Lab test'!AZ187</f>
        <v>1939</v>
      </c>
      <c r="V188" t="e">
        <f>IF('Lab test'!AQ187&gt;0,'Lab test'!AQ187,NA())</f>
        <v>#N/A</v>
      </c>
      <c r="W188" t="e">
        <f>IF('Lab test'!AU187&gt;0,'Lab test'!AU187,NA())</f>
        <v>#N/A</v>
      </c>
      <c r="X188">
        <f>IF('Lab test'!AT187&gt;0,'Lab test'!AT187,NA())</f>
        <v>0.33156524979597468</v>
      </c>
      <c r="Y188">
        <f t="shared" si="36"/>
        <v>1</v>
      </c>
      <c r="Z188" t="str">
        <f>'Lab test'!AC187</f>
        <v>LTWb</v>
      </c>
      <c r="AA188" t="str">
        <f>'Lab test'!T187</f>
        <v>Steel</v>
      </c>
      <c r="AC188" t="e">
        <f t="shared" si="37"/>
        <v>#N/A</v>
      </c>
      <c r="AD188" t="e">
        <f t="shared" si="38"/>
        <v>#N/A</v>
      </c>
      <c r="AE188" t="e">
        <f t="shared" si="39"/>
        <v>#N/A</v>
      </c>
      <c r="AF188" t="e">
        <f t="shared" si="40"/>
        <v>#N/A</v>
      </c>
      <c r="AG188" t="e">
        <f t="shared" si="41"/>
        <v>#N/A</v>
      </c>
      <c r="AH188" t="e">
        <f t="shared" si="42"/>
        <v>#N/A</v>
      </c>
      <c r="AI188" t="e">
        <f t="shared" si="43"/>
        <v>#N/A</v>
      </c>
      <c r="AK188" t="e">
        <f t="shared" si="44"/>
        <v>#N/A</v>
      </c>
      <c r="AL188">
        <f t="shared" si="45"/>
        <v>0.33156524979597468</v>
      </c>
      <c r="AM188" t="e">
        <f t="shared" si="46"/>
        <v>#N/A</v>
      </c>
      <c r="AN188" t="e">
        <f t="shared" si="47"/>
        <v>#N/A</v>
      </c>
      <c r="AO188" t="e">
        <f t="shared" si="48"/>
        <v>#N/A</v>
      </c>
      <c r="AP188" t="e">
        <f t="shared" si="49"/>
        <v>#N/A</v>
      </c>
      <c r="AQ188" t="e">
        <f t="shared" si="50"/>
        <v>#N/A</v>
      </c>
    </row>
    <row r="189" spans="15:43">
      <c r="O189">
        <v>185</v>
      </c>
      <c r="P189" s="401">
        <f>'Lab test'!N188</f>
        <v>161.92500000000001</v>
      </c>
      <c r="Q189" s="401">
        <f>'Lab test'!M188</f>
        <v>7.619999999999999E-2</v>
      </c>
      <c r="R189">
        <f>IF('Lab test'!O188&gt;0,'Lab test'!O188,NA())</f>
        <v>23.812499999999876</v>
      </c>
      <c r="S189">
        <f>'Lab test'!Q188</f>
        <v>2125.0000000000005</v>
      </c>
      <c r="T189" s="401">
        <f>IF('Lab test'!P188&gt;0,'Lab test'!P188,NA())</f>
        <v>3.1901537914508088E-3</v>
      </c>
      <c r="U189" s="401">
        <f>'Lab test'!AZ188</f>
        <v>1939</v>
      </c>
      <c r="V189" t="e">
        <f>IF('Lab test'!AQ188&gt;0,'Lab test'!AQ188,NA())</f>
        <v>#N/A</v>
      </c>
      <c r="W189" t="e">
        <f>IF('Lab test'!AU188&gt;0,'Lab test'!AU188,NA())</f>
        <v>#N/A</v>
      </c>
      <c r="X189">
        <f>IF('Lab test'!AT188&gt;0,'Lab test'!AT188,NA())</f>
        <v>0.56894380066558803</v>
      </c>
      <c r="Y189">
        <f t="shared" si="36"/>
        <v>1</v>
      </c>
      <c r="Z189" t="str">
        <f>'Lab test'!AC188</f>
        <v>LTWb</v>
      </c>
      <c r="AA189" t="str">
        <f>'Lab test'!T188</f>
        <v>Steel</v>
      </c>
      <c r="AC189" t="e">
        <f t="shared" si="37"/>
        <v>#N/A</v>
      </c>
      <c r="AD189" t="e">
        <f t="shared" si="38"/>
        <v>#N/A</v>
      </c>
      <c r="AE189" t="e">
        <f t="shared" si="39"/>
        <v>#N/A</v>
      </c>
      <c r="AF189" t="e">
        <f t="shared" si="40"/>
        <v>#N/A</v>
      </c>
      <c r="AG189" t="e">
        <f t="shared" si="41"/>
        <v>#N/A</v>
      </c>
      <c r="AH189" t="e">
        <f t="shared" si="42"/>
        <v>#N/A</v>
      </c>
      <c r="AI189" t="e">
        <f t="shared" si="43"/>
        <v>#N/A</v>
      </c>
      <c r="AK189" t="e">
        <f t="shared" si="44"/>
        <v>#N/A</v>
      </c>
      <c r="AL189">
        <f t="shared" si="45"/>
        <v>0.56894380066558803</v>
      </c>
      <c r="AM189" t="e">
        <f t="shared" si="46"/>
        <v>#N/A</v>
      </c>
      <c r="AN189" t="e">
        <f t="shared" si="47"/>
        <v>#N/A</v>
      </c>
      <c r="AO189" t="e">
        <f t="shared" si="48"/>
        <v>#N/A</v>
      </c>
      <c r="AP189" t="e">
        <f t="shared" si="49"/>
        <v>#N/A</v>
      </c>
      <c r="AQ189" t="e">
        <f t="shared" si="50"/>
        <v>#N/A</v>
      </c>
    </row>
    <row r="190" spans="15:43">
      <c r="O190">
        <v>186</v>
      </c>
      <c r="P190" s="401">
        <f>'Lab test'!N189</f>
        <v>161.92500000000001</v>
      </c>
      <c r="Q190" s="401">
        <f>'Lab test'!M189</f>
        <v>7.619999999999999E-2</v>
      </c>
      <c r="R190">
        <f>IF('Lab test'!O189&gt;0,'Lab test'!O189,NA())</f>
        <v>25.929166666666607</v>
      </c>
      <c r="S190">
        <f>'Lab test'!Q189</f>
        <v>2125.0000000000005</v>
      </c>
      <c r="T190" s="401">
        <f>IF('Lab test'!P189&gt;0,'Lab test'!P189,NA())</f>
        <v>3.4737230173575578E-3</v>
      </c>
      <c r="U190" s="401">
        <f>'Lab test'!AZ189</f>
        <v>1939</v>
      </c>
      <c r="V190" t="e">
        <f>IF('Lab test'!AQ189&gt;0,'Lab test'!AQ189,NA())</f>
        <v>#N/A</v>
      </c>
      <c r="W190" t="e">
        <f>IF('Lab test'!AU189&gt;0,'Lab test'!AU189,NA())</f>
        <v>#N/A</v>
      </c>
      <c r="X190">
        <f>IF('Lab test'!AT189&gt;0,'Lab test'!AT189,NA())</f>
        <v>0.48703670162272333</v>
      </c>
      <c r="Y190">
        <f t="shared" si="36"/>
        <v>1</v>
      </c>
      <c r="Z190" t="str">
        <f>'Lab test'!AC189</f>
        <v>LTWb</v>
      </c>
      <c r="AA190" t="str">
        <f>'Lab test'!T189</f>
        <v>Steel</v>
      </c>
      <c r="AC190" t="e">
        <f t="shared" si="37"/>
        <v>#N/A</v>
      </c>
      <c r="AD190" t="e">
        <f t="shared" si="38"/>
        <v>#N/A</v>
      </c>
      <c r="AE190" t="e">
        <f t="shared" si="39"/>
        <v>#N/A</v>
      </c>
      <c r="AF190" t="e">
        <f t="shared" si="40"/>
        <v>#N/A</v>
      </c>
      <c r="AG190" t="e">
        <f t="shared" si="41"/>
        <v>#N/A</v>
      </c>
      <c r="AH190" t="e">
        <f t="shared" si="42"/>
        <v>#N/A</v>
      </c>
      <c r="AI190" t="e">
        <f t="shared" si="43"/>
        <v>#N/A</v>
      </c>
      <c r="AK190" t="e">
        <f t="shared" si="44"/>
        <v>#N/A</v>
      </c>
      <c r="AL190">
        <f t="shared" si="45"/>
        <v>0.48703670162272333</v>
      </c>
      <c r="AM190" t="e">
        <f t="shared" si="46"/>
        <v>#N/A</v>
      </c>
      <c r="AN190" t="e">
        <f t="shared" si="47"/>
        <v>#N/A</v>
      </c>
      <c r="AO190" t="e">
        <f t="shared" si="48"/>
        <v>#N/A</v>
      </c>
      <c r="AP190" t="e">
        <f t="shared" si="49"/>
        <v>#N/A</v>
      </c>
      <c r="AQ190" t="e">
        <f t="shared" si="50"/>
        <v>#N/A</v>
      </c>
    </row>
    <row r="191" spans="15:43">
      <c r="O191">
        <v>187</v>
      </c>
      <c r="P191" s="401">
        <f>'Lab test'!N190</f>
        <v>161.92500000000001</v>
      </c>
      <c r="Q191" s="401">
        <f>'Lab test'!M190</f>
        <v>7.619999999999999E-2</v>
      </c>
      <c r="R191">
        <f>IF('Lab test'!O190&gt;0,'Lab test'!O190,NA())</f>
        <v>23.812499999999876</v>
      </c>
      <c r="S191">
        <f>'Lab test'!Q190</f>
        <v>2125.0000000000005</v>
      </c>
      <c r="T191" s="401">
        <f>IF('Lab test'!P190&gt;0,'Lab test'!P190,NA())</f>
        <v>3.1901537914508088E-3</v>
      </c>
      <c r="U191" s="401">
        <f>'Lab test'!AZ190</f>
        <v>1939</v>
      </c>
      <c r="V191" t="e">
        <f>IF('Lab test'!AQ190&gt;0,'Lab test'!AQ190,NA())</f>
        <v>#N/A</v>
      </c>
      <c r="W191" t="e">
        <f>IF('Lab test'!AU190&gt;0,'Lab test'!AU190,NA())</f>
        <v>#N/A</v>
      </c>
      <c r="X191">
        <f>IF('Lab test'!AT190&gt;0,'Lab test'!AT190,NA())</f>
        <v>0.46370681088827237</v>
      </c>
      <c r="Y191">
        <f t="shared" si="36"/>
        <v>1</v>
      </c>
      <c r="Z191" t="str">
        <f>'Lab test'!AC190</f>
        <v>LTWb</v>
      </c>
      <c r="AA191" t="str">
        <f>'Lab test'!T190</f>
        <v>Steel</v>
      </c>
      <c r="AC191" t="e">
        <f t="shared" si="37"/>
        <v>#N/A</v>
      </c>
      <c r="AD191" t="e">
        <f t="shared" si="38"/>
        <v>#N/A</v>
      </c>
      <c r="AE191" t="e">
        <f t="shared" si="39"/>
        <v>#N/A</v>
      </c>
      <c r="AF191" t="e">
        <f t="shared" si="40"/>
        <v>#N/A</v>
      </c>
      <c r="AG191" t="e">
        <f t="shared" si="41"/>
        <v>#N/A</v>
      </c>
      <c r="AH191" t="e">
        <f t="shared" si="42"/>
        <v>#N/A</v>
      </c>
      <c r="AI191" t="e">
        <f t="shared" si="43"/>
        <v>#N/A</v>
      </c>
      <c r="AK191" t="e">
        <f t="shared" si="44"/>
        <v>#N/A</v>
      </c>
      <c r="AL191">
        <f t="shared" si="45"/>
        <v>0.46370681088827237</v>
      </c>
      <c r="AM191" t="e">
        <f t="shared" si="46"/>
        <v>#N/A</v>
      </c>
      <c r="AN191" t="e">
        <f t="shared" si="47"/>
        <v>#N/A</v>
      </c>
      <c r="AO191" t="e">
        <f t="shared" si="48"/>
        <v>#N/A</v>
      </c>
      <c r="AP191" t="e">
        <f t="shared" si="49"/>
        <v>#N/A</v>
      </c>
      <c r="AQ191" t="e">
        <f t="shared" si="50"/>
        <v>#N/A</v>
      </c>
    </row>
    <row r="192" spans="15:43">
      <c r="O192">
        <v>188</v>
      </c>
      <c r="P192" s="401">
        <f>'Lab test'!N191</f>
        <v>161.92500000000001</v>
      </c>
      <c r="Q192" s="401">
        <f>'Lab test'!M191</f>
        <v>7.619999999999999E-2</v>
      </c>
      <c r="R192">
        <f>IF('Lab test'!O191&gt;0,'Lab test'!O191,NA())</f>
        <v>22.224999999999948</v>
      </c>
      <c r="S192">
        <f>'Lab test'!Q191</f>
        <v>2125.0000000000005</v>
      </c>
      <c r="T192" s="401">
        <f>IF('Lab test'!P191&gt;0,'Lab test'!P191,NA())</f>
        <v>2.9774768720207639E-3</v>
      </c>
      <c r="U192" s="401">
        <f>'Lab test'!AZ191</f>
        <v>1939</v>
      </c>
      <c r="V192" t="e">
        <f>IF('Lab test'!AQ191&gt;0,'Lab test'!AQ191,NA())</f>
        <v>#N/A</v>
      </c>
      <c r="W192" t="e">
        <f>IF('Lab test'!AU191&gt;0,'Lab test'!AU191,NA())</f>
        <v>#N/A</v>
      </c>
      <c r="X192">
        <f>IF('Lab test'!AT191&gt;0,'Lab test'!AT191,NA())</f>
        <v>0.51574252256048314</v>
      </c>
      <c r="Y192">
        <f t="shared" si="36"/>
        <v>1</v>
      </c>
      <c r="Z192" t="str">
        <f>'Lab test'!AC191</f>
        <v>LTWb</v>
      </c>
      <c r="AA192" t="str">
        <f>'Lab test'!T191</f>
        <v>Steel</v>
      </c>
      <c r="AC192" t="e">
        <f t="shared" si="37"/>
        <v>#N/A</v>
      </c>
      <c r="AD192" t="e">
        <f t="shared" si="38"/>
        <v>#N/A</v>
      </c>
      <c r="AE192" t="e">
        <f t="shared" si="39"/>
        <v>#N/A</v>
      </c>
      <c r="AF192" t="e">
        <f t="shared" si="40"/>
        <v>#N/A</v>
      </c>
      <c r="AG192" t="e">
        <f t="shared" si="41"/>
        <v>#N/A</v>
      </c>
      <c r="AH192" t="e">
        <f t="shared" si="42"/>
        <v>#N/A</v>
      </c>
      <c r="AI192" t="e">
        <f t="shared" si="43"/>
        <v>#N/A</v>
      </c>
      <c r="AK192" t="e">
        <f t="shared" si="44"/>
        <v>#N/A</v>
      </c>
      <c r="AL192">
        <f t="shared" si="45"/>
        <v>0.51574252256048314</v>
      </c>
      <c r="AM192" t="e">
        <f t="shared" si="46"/>
        <v>#N/A</v>
      </c>
      <c r="AN192" t="e">
        <f t="shared" si="47"/>
        <v>#N/A</v>
      </c>
      <c r="AO192" t="e">
        <f t="shared" si="48"/>
        <v>#N/A</v>
      </c>
      <c r="AP192" t="e">
        <f t="shared" si="49"/>
        <v>#N/A</v>
      </c>
      <c r="AQ192" t="e">
        <f t="shared" si="50"/>
        <v>#N/A</v>
      </c>
    </row>
    <row r="193" spans="15:43">
      <c r="O193">
        <v>189</v>
      </c>
      <c r="P193" s="401">
        <f>'Lab test'!N192</f>
        <v>161.92500000000001</v>
      </c>
      <c r="Q193" s="401">
        <f>'Lab test'!M192</f>
        <v>7.619999999999999E-2</v>
      </c>
      <c r="R193">
        <f>IF('Lab test'!O192&gt;0,'Lab test'!O192,NA())</f>
        <v>13.229166666666659</v>
      </c>
      <c r="S193">
        <f>'Lab test'!Q192</f>
        <v>2125.0000000000005</v>
      </c>
      <c r="T193" s="401">
        <f>IF('Lab test'!P192&gt;0,'Lab test'!P192,NA())</f>
        <v>1.7723076619171243E-3</v>
      </c>
      <c r="U193" s="401">
        <f>'Lab test'!AZ192</f>
        <v>1939</v>
      </c>
      <c r="V193" t="e">
        <f>IF('Lab test'!AQ192&gt;0,'Lab test'!AQ192,NA())</f>
        <v>#N/A</v>
      </c>
      <c r="W193" t="e">
        <f>IF('Lab test'!AU192&gt;0,'Lab test'!AU192,NA())</f>
        <v>#N/A</v>
      </c>
      <c r="X193">
        <f>IF('Lab test'!AT192&gt;0,'Lab test'!AT192,NA())</f>
        <v>0.70379844054274177</v>
      </c>
      <c r="Y193">
        <f t="shared" si="36"/>
        <v>1</v>
      </c>
      <c r="Z193" t="str">
        <f>'Lab test'!AC192</f>
        <v>LTWb</v>
      </c>
      <c r="AA193" t="str">
        <f>'Lab test'!T192</f>
        <v>Steel</v>
      </c>
      <c r="AC193" t="e">
        <f t="shared" si="37"/>
        <v>#N/A</v>
      </c>
      <c r="AD193" t="e">
        <f t="shared" si="38"/>
        <v>#N/A</v>
      </c>
      <c r="AE193" t="e">
        <f t="shared" si="39"/>
        <v>#N/A</v>
      </c>
      <c r="AF193" t="e">
        <f t="shared" si="40"/>
        <v>#N/A</v>
      </c>
      <c r="AG193" t="e">
        <f t="shared" si="41"/>
        <v>#N/A</v>
      </c>
      <c r="AH193" t="e">
        <f t="shared" si="42"/>
        <v>#N/A</v>
      </c>
      <c r="AI193" t="e">
        <f t="shared" si="43"/>
        <v>#N/A</v>
      </c>
      <c r="AK193" t="e">
        <f t="shared" si="44"/>
        <v>#N/A</v>
      </c>
      <c r="AL193">
        <f t="shared" si="45"/>
        <v>0.70379844054274177</v>
      </c>
      <c r="AM193" t="e">
        <f t="shared" si="46"/>
        <v>#N/A</v>
      </c>
      <c r="AN193" t="e">
        <f t="shared" si="47"/>
        <v>#N/A</v>
      </c>
      <c r="AO193" t="e">
        <f t="shared" si="48"/>
        <v>#N/A</v>
      </c>
      <c r="AP193" t="e">
        <f t="shared" si="49"/>
        <v>#N/A</v>
      </c>
      <c r="AQ193" t="e">
        <f t="shared" si="50"/>
        <v>#N/A</v>
      </c>
    </row>
    <row r="194" spans="15:43">
      <c r="O194">
        <v>190</v>
      </c>
      <c r="P194" s="401">
        <f>'Lab test'!N193</f>
        <v>161.92500000000001</v>
      </c>
      <c r="Q194" s="401">
        <f>'Lab test'!M193</f>
        <v>7.619999999999999E-2</v>
      </c>
      <c r="R194">
        <f>IF('Lab test'!O193&gt;0,'Lab test'!O193,NA())</f>
        <v>13.229166666666659</v>
      </c>
      <c r="S194">
        <f>'Lab test'!Q193</f>
        <v>2125.0000000000005</v>
      </c>
      <c r="T194" s="401">
        <f>IF('Lab test'!P193&gt;0,'Lab test'!P193,NA())</f>
        <v>1.7723076619171243E-3</v>
      </c>
      <c r="U194" s="401">
        <f>'Lab test'!AZ193</f>
        <v>1939</v>
      </c>
      <c r="V194" t="e">
        <f>IF('Lab test'!AQ193&gt;0,'Lab test'!AQ193,NA())</f>
        <v>#N/A</v>
      </c>
      <c r="W194" t="e">
        <f>IF('Lab test'!AU193&gt;0,'Lab test'!AU193,NA())</f>
        <v>#N/A</v>
      </c>
      <c r="X194">
        <f>IF('Lab test'!AT193&gt;0,'Lab test'!AT193,NA())</f>
        <v>0.78277647551548768</v>
      </c>
      <c r="Y194">
        <f t="shared" si="36"/>
        <v>1</v>
      </c>
      <c r="Z194" t="str">
        <f>'Lab test'!AC193</f>
        <v>LTWb</v>
      </c>
      <c r="AA194" t="str">
        <f>'Lab test'!T193</f>
        <v>Steel</v>
      </c>
      <c r="AC194" t="e">
        <f t="shared" si="37"/>
        <v>#N/A</v>
      </c>
      <c r="AD194" t="e">
        <f t="shared" si="38"/>
        <v>#N/A</v>
      </c>
      <c r="AE194" t="e">
        <f t="shared" si="39"/>
        <v>#N/A</v>
      </c>
      <c r="AF194" t="e">
        <f t="shared" si="40"/>
        <v>#N/A</v>
      </c>
      <c r="AG194" t="e">
        <f t="shared" si="41"/>
        <v>#N/A</v>
      </c>
      <c r="AH194" t="e">
        <f t="shared" si="42"/>
        <v>#N/A</v>
      </c>
      <c r="AI194" t="e">
        <f t="shared" si="43"/>
        <v>#N/A</v>
      </c>
      <c r="AK194" t="e">
        <f t="shared" si="44"/>
        <v>#N/A</v>
      </c>
      <c r="AL194">
        <f t="shared" si="45"/>
        <v>0.78277647551548768</v>
      </c>
      <c r="AM194" t="e">
        <f t="shared" si="46"/>
        <v>#N/A</v>
      </c>
      <c r="AN194" t="e">
        <f t="shared" si="47"/>
        <v>#N/A</v>
      </c>
      <c r="AO194" t="e">
        <f t="shared" si="48"/>
        <v>#N/A</v>
      </c>
      <c r="AP194" t="e">
        <f t="shared" si="49"/>
        <v>#N/A</v>
      </c>
      <c r="AQ194" t="e">
        <f t="shared" si="50"/>
        <v>#N/A</v>
      </c>
    </row>
    <row r="195" spans="15:43">
      <c r="O195">
        <v>191</v>
      </c>
      <c r="P195" s="401">
        <f>'Lab test'!N194</f>
        <v>161.92500000000001</v>
      </c>
      <c r="Q195" s="401">
        <f>'Lab test'!M194</f>
        <v>7.619999999999999E-2</v>
      </c>
      <c r="R195">
        <f>IF('Lab test'!O194&gt;0,'Lab test'!O194,NA())</f>
        <v>5.2916666666666501</v>
      </c>
      <c r="S195">
        <f>'Lab test'!Q194</f>
        <v>2125.0000000000005</v>
      </c>
      <c r="T195" s="401">
        <f>IF('Lab test'!P194&gt;0,'Lab test'!P194,NA())</f>
        <v>7.0892306476684789E-4</v>
      </c>
      <c r="U195" s="401">
        <f>'Lab test'!AZ194</f>
        <v>1939</v>
      </c>
      <c r="V195" t="e">
        <f>IF('Lab test'!AQ194&gt;0,'Lab test'!AQ194,NA())</f>
        <v>#N/A</v>
      </c>
      <c r="W195" t="e">
        <f>IF('Lab test'!AU194&gt;0,'Lab test'!AU194,NA())</f>
        <v>#N/A</v>
      </c>
      <c r="X195">
        <f>IF('Lab test'!AT194&gt;0,'Lab test'!AT194,NA())</f>
        <v>1.033810603795414</v>
      </c>
      <c r="Y195">
        <f t="shared" si="36"/>
        <v>1</v>
      </c>
      <c r="Z195" t="str">
        <f>'Lab test'!AC194</f>
        <v>LTWb</v>
      </c>
      <c r="AA195" t="str">
        <f>'Lab test'!T194</f>
        <v>Steel</v>
      </c>
      <c r="AC195" t="e">
        <f t="shared" si="37"/>
        <v>#N/A</v>
      </c>
      <c r="AD195" t="e">
        <f t="shared" si="38"/>
        <v>#N/A</v>
      </c>
      <c r="AE195" t="e">
        <f t="shared" si="39"/>
        <v>#N/A</v>
      </c>
      <c r="AF195" t="e">
        <f t="shared" si="40"/>
        <v>#N/A</v>
      </c>
      <c r="AG195" t="e">
        <f t="shared" si="41"/>
        <v>#N/A</v>
      </c>
      <c r="AH195" t="e">
        <f t="shared" si="42"/>
        <v>#N/A</v>
      </c>
      <c r="AI195" t="e">
        <f t="shared" si="43"/>
        <v>#N/A</v>
      </c>
      <c r="AK195" t="e">
        <f t="shared" si="44"/>
        <v>#N/A</v>
      </c>
      <c r="AL195">
        <f t="shared" si="45"/>
        <v>1.033810603795414</v>
      </c>
      <c r="AM195" t="e">
        <f t="shared" si="46"/>
        <v>#N/A</v>
      </c>
      <c r="AN195" t="e">
        <f t="shared" si="47"/>
        <v>#N/A</v>
      </c>
      <c r="AO195" t="e">
        <f t="shared" si="48"/>
        <v>#N/A</v>
      </c>
      <c r="AP195" t="e">
        <f t="shared" si="49"/>
        <v>#N/A</v>
      </c>
      <c r="AQ195" t="e">
        <f t="shared" si="50"/>
        <v>#N/A</v>
      </c>
    </row>
    <row r="196" spans="15:43">
      <c r="O196">
        <v>192</v>
      </c>
      <c r="P196" s="401">
        <f>'Lab test'!N195</f>
        <v>161.92500000000001</v>
      </c>
      <c r="Q196" s="401">
        <f>'Lab test'!M195</f>
        <v>7.619999999999999E-2</v>
      </c>
      <c r="R196">
        <f>IF('Lab test'!O195&gt;0,'Lab test'!O195,NA())</f>
        <v>5.2916666666666501</v>
      </c>
      <c r="S196">
        <f>'Lab test'!Q195</f>
        <v>2125.0000000000005</v>
      </c>
      <c r="T196" s="401">
        <f>IF('Lab test'!P195&gt;0,'Lab test'!P195,NA())</f>
        <v>7.0892306476684789E-4</v>
      </c>
      <c r="U196" s="401">
        <f>'Lab test'!AZ195</f>
        <v>1939</v>
      </c>
      <c r="V196" t="e">
        <f>IF('Lab test'!AQ195&gt;0,'Lab test'!AQ195,NA())</f>
        <v>#N/A</v>
      </c>
      <c r="W196" t="e">
        <f>IF('Lab test'!AU195&gt;0,'Lab test'!AU195,NA())</f>
        <v>#N/A</v>
      </c>
      <c r="X196">
        <f>IF('Lab test'!AT195&gt;0,'Lab test'!AT195,NA())</f>
        <v>1.168790086410471</v>
      </c>
      <c r="Y196">
        <f t="shared" si="36"/>
        <v>1</v>
      </c>
      <c r="Z196" t="str">
        <f>'Lab test'!AC195</f>
        <v>LTWb</v>
      </c>
      <c r="AA196" t="str">
        <f>'Lab test'!T195</f>
        <v>Steel</v>
      </c>
      <c r="AC196" t="e">
        <f t="shared" si="37"/>
        <v>#N/A</v>
      </c>
      <c r="AD196" t="e">
        <f t="shared" si="38"/>
        <v>#N/A</v>
      </c>
      <c r="AE196" t="e">
        <f t="shared" si="39"/>
        <v>#N/A</v>
      </c>
      <c r="AF196" t="e">
        <f t="shared" si="40"/>
        <v>#N/A</v>
      </c>
      <c r="AG196" t="e">
        <f t="shared" si="41"/>
        <v>#N/A</v>
      </c>
      <c r="AH196" t="e">
        <f t="shared" si="42"/>
        <v>#N/A</v>
      </c>
      <c r="AI196" t="e">
        <f t="shared" si="43"/>
        <v>#N/A</v>
      </c>
      <c r="AK196" t="e">
        <f t="shared" si="44"/>
        <v>#N/A</v>
      </c>
      <c r="AL196">
        <f t="shared" si="45"/>
        <v>1.168790086410471</v>
      </c>
      <c r="AM196" t="e">
        <f t="shared" si="46"/>
        <v>#N/A</v>
      </c>
      <c r="AN196" t="e">
        <f t="shared" si="47"/>
        <v>#N/A</v>
      </c>
      <c r="AO196" t="e">
        <f t="shared" si="48"/>
        <v>#N/A</v>
      </c>
      <c r="AP196" t="e">
        <f t="shared" si="49"/>
        <v>#N/A</v>
      </c>
      <c r="AQ196" t="e">
        <f t="shared" si="50"/>
        <v>#N/A</v>
      </c>
    </row>
    <row r="197" spans="15:43">
      <c r="O197">
        <v>193</v>
      </c>
      <c r="P197" s="401">
        <f>'Lab test'!N196</f>
        <v>161.92500000000001</v>
      </c>
      <c r="Q197" s="401">
        <f>'Lab test'!M196</f>
        <v>5.0800000000000005E-2</v>
      </c>
      <c r="R197">
        <f>IF('Lab test'!O196&gt;0,'Lab test'!O196,NA())</f>
        <v>228.07083333333273</v>
      </c>
      <c r="S197">
        <f>'Lab test'!Q196</f>
        <v>3187.5</v>
      </c>
      <c r="T197" s="401">
        <f>IF('Lab test'!P196&gt;0,'Lab test'!P196,NA())</f>
        <v>2.4947713442338561E-2</v>
      </c>
      <c r="U197" s="401">
        <f>'Lab test'!AZ196</f>
        <v>1939</v>
      </c>
      <c r="V197" t="e">
        <f>IF('Lab test'!AQ196&gt;0,'Lab test'!AQ196,NA())</f>
        <v>#N/A</v>
      </c>
      <c r="W197" t="e">
        <f>IF('Lab test'!AU196&gt;0,'Lab test'!AU196,NA())</f>
        <v>#N/A</v>
      </c>
      <c r="X197">
        <f>IF('Lab test'!AT196&gt;0,'Lab test'!AT196,NA())</f>
        <v>0.17029918819162476</v>
      </c>
      <c r="Y197">
        <f t="shared" si="36"/>
        <v>1</v>
      </c>
      <c r="Z197" t="str">
        <f>'Lab test'!AC196</f>
        <v>LTWb</v>
      </c>
      <c r="AA197" t="str">
        <f>'Lab test'!T196</f>
        <v>Steel</v>
      </c>
      <c r="AC197" t="e">
        <f t="shared" si="37"/>
        <v>#N/A</v>
      </c>
      <c r="AD197" t="e">
        <f t="shared" si="38"/>
        <v>#N/A</v>
      </c>
      <c r="AE197" t="e">
        <f t="shared" si="39"/>
        <v>#N/A</v>
      </c>
      <c r="AF197" t="e">
        <f t="shared" si="40"/>
        <v>#N/A</v>
      </c>
      <c r="AG197" t="e">
        <f t="shared" si="41"/>
        <v>#N/A</v>
      </c>
      <c r="AH197" t="e">
        <f t="shared" si="42"/>
        <v>#N/A</v>
      </c>
      <c r="AI197" t="e">
        <f t="shared" si="43"/>
        <v>#N/A</v>
      </c>
      <c r="AK197" t="e">
        <f t="shared" si="44"/>
        <v>#N/A</v>
      </c>
      <c r="AL197">
        <f t="shared" si="45"/>
        <v>0.17029918819162476</v>
      </c>
      <c r="AM197" t="e">
        <f t="shared" si="46"/>
        <v>#N/A</v>
      </c>
      <c r="AN197" t="e">
        <f t="shared" si="47"/>
        <v>#N/A</v>
      </c>
      <c r="AO197" t="e">
        <f t="shared" si="48"/>
        <v>#N/A</v>
      </c>
      <c r="AP197" t="e">
        <f t="shared" si="49"/>
        <v>#N/A</v>
      </c>
      <c r="AQ197" t="e">
        <f t="shared" si="50"/>
        <v>#N/A</v>
      </c>
    </row>
    <row r="198" spans="15:43">
      <c r="O198">
        <v>194</v>
      </c>
      <c r="P198" s="401">
        <f>'Lab test'!N197</f>
        <v>161.92500000000001</v>
      </c>
      <c r="Q198" s="401">
        <f>'Lab test'!M197</f>
        <v>5.0800000000000005E-2</v>
      </c>
      <c r="R198">
        <f>IF('Lab test'!O197&gt;0,'Lab test'!O197,NA())</f>
        <v>228.07083333333273</v>
      </c>
      <c r="S198">
        <f>'Lab test'!Q197</f>
        <v>3187.5</v>
      </c>
      <c r="T198" s="401">
        <f>IF('Lab test'!P197&gt;0,'Lab test'!P197,NA())</f>
        <v>2.4947713442338561E-2</v>
      </c>
      <c r="U198" s="401">
        <f>'Lab test'!AZ197</f>
        <v>1939</v>
      </c>
      <c r="V198" t="e">
        <f>IF('Lab test'!AQ197&gt;0,'Lab test'!AQ197,NA())</f>
        <v>#N/A</v>
      </c>
      <c r="W198" t="e">
        <f>IF('Lab test'!AU197&gt;0,'Lab test'!AU197,NA())</f>
        <v>#N/A</v>
      </c>
      <c r="X198">
        <f>IF('Lab test'!AT197&gt;0,'Lab test'!AT197,NA())</f>
        <v>0.12479500926461229</v>
      </c>
      <c r="Y198">
        <f t="shared" ref="Y198:Y261" si="51">IF(OR(ISNUMBER(W198),ISNUMBER(X198)),1,NA())</f>
        <v>1</v>
      </c>
      <c r="Z198" t="str">
        <f>'Lab test'!AC197</f>
        <v>LTWb</v>
      </c>
      <c r="AA198" t="str">
        <f>'Lab test'!T197</f>
        <v>Steel</v>
      </c>
      <c r="AC198" t="e">
        <f t="shared" ref="AC198:AC261" si="52">IF(EXACT($AC$4,Z198),W198,NA())</f>
        <v>#N/A</v>
      </c>
      <c r="AD198" t="e">
        <f t="shared" ref="AD198:AD261" si="53">IF(EXACT($AD$4,Z198),W198,NA())</f>
        <v>#N/A</v>
      </c>
      <c r="AE198" t="e">
        <f t="shared" ref="AE198:AE261" si="54">IF(EXACT($AE$4,Z198),W198,NA())</f>
        <v>#N/A</v>
      </c>
      <c r="AF198" t="e">
        <f t="shared" ref="AF198:AF261" si="55">IF(EXACT($AF$4,Z198),W198,NA())</f>
        <v>#N/A</v>
      </c>
      <c r="AG198" t="e">
        <f t="shared" ref="AG198:AG261" si="56">IF(EXACT($AG$4,Z198),W198,NA())</f>
        <v>#N/A</v>
      </c>
      <c r="AH198" t="e">
        <f t="shared" ref="AH198:AH261" si="57">IF(EXACT($AH$4,Z198),W198,NA())</f>
        <v>#N/A</v>
      </c>
      <c r="AI198" t="e">
        <f t="shared" ref="AI198:AI261" si="58">IF(EXACT($AI$4,Z198),W198,NA())</f>
        <v>#N/A</v>
      </c>
      <c r="AK198" t="e">
        <f t="shared" ref="AK198:AK261" si="59">IF(EXACT($AK$4,Z198),X198,NA())</f>
        <v>#N/A</v>
      </c>
      <c r="AL198">
        <f t="shared" ref="AL198:AL261" si="60">IF(EXACT($AL$4,Z198),X198,NA())</f>
        <v>0.12479500926461229</v>
      </c>
      <c r="AM198" t="e">
        <f t="shared" ref="AM198:AM261" si="61">IF(EXACT($AM$4,Z198),X198,NA())</f>
        <v>#N/A</v>
      </c>
      <c r="AN198" t="e">
        <f t="shared" ref="AN198:AN261" si="62">IF(EXACT($AN$4,Z198),X198,NA())</f>
        <v>#N/A</v>
      </c>
      <c r="AO198" t="e">
        <f t="shared" ref="AO198:AO261" si="63">IF(EXACT($AO$4,Z198),X198,NA())</f>
        <v>#N/A</v>
      </c>
      <c r="AP198" t="e">
        <f t="shared" ref="AP198:AP261" si="64">IF(EXACT($AP$4,Z198),X198,NA())</f>
        <v>#N/A</v>
      </c>
      <c r="AQ198" t="e">
        <f t="shared" ref="AQ198:AQ261" si="65">IF(EXACT($AQ$4,Z198),X198,NA())</f>
        <v>#N/A</v>
      </c>
    </row>
    <row r="199" spans="15:43">
      <c r="O199">
        <v>195</v>
      </c>
      <c r="P199" s="401">
        <f>'Lab test'!N198</f>
        <v>161.92500000000001</v>
      </c>
      <c r="Q199" s="401">
        <f>'Lab test'!M198</f>
        <v>5.0800000000000005E-2</v>
      </c>
      <c r="R199">
        <f>IF('Lab test'!O198&gt;0,'Lab test'!O198,NA())</f>
        <v>177.79999999999927</v>
      </c>
      <c r="S199">
        <f>'Lab test'!Q198</f>
        <v>3187.5</v>
      </c>
      <c r="T199" s="401">
        <f>IF('Lab test'!P198&gt;0,'Lab test'!P198,NA())</f>
        <v>1.9448797486370639E-2</v>
      </c>
      <c r="U199" s="401">
        <f>'Lab test'!AZ198</f>
        <v>1939</v>
      </c>
      <c r="V199" t="e">
        <f>IF('Lab test'!AQ198&gt;0,'Lab test'!AQ198,NA())</f>
        <v>#N/A</v>
      </c>
      <c r="W199" t="e">
        <f>IF('Lab test'!AU198&gt;0,'Lab test'!AU198,NA())</f>
        <v>#N/A</v>
      </c>
      <c r="X199">
        <f>IF('Lab test'!AT198&gt;0,'Lab test'!AT198,NA())</f>
        <v>0.12479500926461229</v>
      </c>
      <c r="Y199">
        <f t="shared" si="51"/>
        <v>1</v>
      </c>
      <c r="Z199" t="str">
        <f>'Lab test'!AC198</f>
        <v>LTWb</v>
      </c>
      <c r="AA199" t="str">
        <f>'Lab test'!T198</f>
        <v>Steel</v>
      </c>
      <c r="AC199" t="e">
        <f t="shared" si="52"/>
        <v>#N/A</v>
      </c>
      <c r="AD199" t="e">
        <f t="shared" si="53"/>
        <v>#N/A</v>
      </c>
      <c r="AE199" t="e">
        <f t="shared" si="54"/>
        <v>#N/A</v>
      </c>
      <c r="AF199" t="e">
        <f t="shared" si="55"/>
        <v>#N/A</v>
      </c>
      <c r="AG199" t="e">
        <f t="shared" si="56"/>
        <v>#N/A</v>
      </c>
      <c r="AH199" t="e">
        <f t="shared" si="57"/>
        <v>#N/A</v>
      </c>
      <c r="AI199" t="e">
        <f t="shared" si="58"/>
        <v>#N/A</v>
      </c>
      <c r="AK199" t="e">
        <f t="shared" si="59"/>
        <v>#N/A</v>
      </c>
      <c r="AL199">
        <f t="shared" si="60"/>
        <v>0.12479500926461229</v>
      </c>
      <c r="AM199" t="e">
        <f t="shared" si="61"/>
        <v>#N/A</v>
      </c>
      <c r="AN199" t="e">
        <f t="shared" si="62"/>
        <v>#N/A</v>
      </c>
      <c r="AO199" t="e">
        <f t="shared" si="63"/>
        <v>#N/A</v>
      </c>
      <c r="AP199" t="e">
        <f t="shared" si="64"/>
        <v>#N/A</v>
      </c>
      <c r="AQ199" t="e">
        <f t="shared" si="65"/>
        <v>#N/A</v>
      </c>
    </row>
    <row r="200" spans="15:43">
      <c r="O200">
        <v>196</v>
      </c>
      <c r="P200" s="401">
        <f>'Lab test'!N199</f>
        <v>161.92500000000001</v>
      </c>
      <c r="Q200" s="401">
        <f>'Lab test'!M199</f>
        <v>5.0800000000000005E-2</v>
      </c>
      <c r="R200">
        <f>IF('Lab test'!O199&gt;0,'Lab test'!O199,NA())</f>
        <v>178.32916666666608</v>
      </c>
      <c r="S200">
        <f>'Lab test'!Q199</f>
        <v>3187.5</v>
      </c>
      <c r="T200" s="401">
        <f>IF('Lab test'!P199&gt;0,'Lab test'!P199,NA())</f>
        <v>1.9506680812222947E-2</v>
      </c>
      <c r="U200" s="401">
        <f>'Lab test'!AZ199</f>
        <v>1939</v>
      </c>
      <c r="V200" t="e">
        <f>IF('Lab test'!AQ199&gt;0,'Lab test'!AQ199,NA())</f>
        <v>#N/A</v>
      </c>
      <c r="W200" t="e">
        <f>IF('Lab test'!AU199&gt;0,'Lab test'!AU199,NA())</f>
        <v>#N/A</v>
      </c>
      <c r="X200">
        <f>IF('Lab test'!AT199&gt;0,'Lab test'!AT199,NA())</f>
        <v>0.11405486739299127</v>
      </c>
      <c r="Y200">
        <f t="shared" si="51"/>
        <v>1</v>
      </c>
      <c r="Z200" t="str">
        <f>'Lab test'!AC199</f>
        <v>LTWb</v>
      </c>
      <c r="AA200" t="str">
        <f>'Lab test'!T199</f>
        <v>Steel</v>
      </c>
      <c r="AC200" t="e">
        <f t="shared" si="52"/>
        <v>#N/A</v>
      </c>
      <c r="AD200" t="e">
        <f t="shared" si="53"/>
        <v>#N/A</v>
      </c>
      <c r="AE200" t="e">
        <f t="shared" si="54"/>
        <v>#N/A</v>
      </c>
      <c r="AF200" t="e">
        <f t="shared" si="55"/>
        <v>#N/A</v>
      </c>
      <c r="AG200" t="e">
        <f t="shared" si="56"/>
        <v>#N/A</v>
      </c>
      <c r="AH200" t="e">
        <f t="shared" si="57"/>
        <v>#N/A</v>
      </c>
      <c r="AI200" t="e">
        <f t="shared" si="58"/>
        <v>#N/A</v>
      </c>
      <c r="AK200" t="e">
        <f t="shared" si="59"/>
        <v>#N/A</v>
      </c>
      <c r="AL200">
        <f t="shared" si="60"/>
        <v>0.11405486739299127</v>
      </c>
      <c r="AM200" t="e">
        <f t="shared" si="61"/>
        <v>#N/A</v>
      </c>
      <c r="AN200" t="e">
        <f t="shared" si="62"/>
        <v>#N/A</v>
      </c>
      <c r="AO200" t="e">
        <f t="shared" si="63"/>
        <v>#N/A</v>
      </c>
      <c r="AP200" t="e">
        <f t="shared" si="64"/>
        <v>#N/A</v>
      </c>
      <c r="AQ200" t="e">
        <f t="shared" si="65"/>
        <v>#N/A</v>
      </c>
    </row>
    <row r="201" spans="15:43">
      <c r="O201">
        <v>197</v>
      </c>
      <c r="P201" s="401">
        <f>'Lab test'!N200</f>
        <v>161.92500000000001</v>
      </c>
      <c r="Q201" s="401">
        <f>'Lab test'!M200</f>
        <v>5.0800000000000005E-2</v>
      </c>
      <c r="R201">
        <f>IF('Lab test'!O200&gt;0,'Lab test'!O200,NA())</f>
        <v>128.05833333333328</v>
      </c>
      <c r="S201">
        <f>'Lab test'!Q200</f>
        <v>3187.5</v>
      </c>
      <c r="T201" s="401">
        <f>IF('Lab test'!P200&gt;0,'Lab test'!P200,NA())</f>
        <v>1.4007764856255095E-2</v>
      </c>
      <c r="U201" s="401">
        <f>'Lab test'!AZ200</f>
        <v>1939</v>
      </c>
      <c r="V201" t="e">
        <f>IF('Lab test'!AQ200&gt;0,'Lab test'!AQ200,NA())</f>
        <v>#N/A</v>
      </c>
      <c r="W201" t="e">
        <f>IF('Lab test'!AU200&gt;0,'Lab test'!AU200,NA())</f>
        <v>#N/A</v>
      </c>
      <c r="X201">
        <f>IF('Lab test'!AT200&gt;0,'Lab test'!AT200,NA())</f>
        <v>0.13107366177086094</v>
      </c>
      <c r="Y201">
        <f t="shared" si="51"/>
        <v>1</v>
      </c>
      <c r="Z201" t="str">
        <f>'Lab test'!AC200</f>
        <v>LTWb</v>
      </c>
      <c r="AA201" t="str">
        <f>'Lab test'!T200</f>
        <v>Steel</v>
      </c>
      <c r="AC201" t="e">
        <f t="shared" si="52"/>
        <v>#N/A</v>
      </c>
      <c r="AD201" t="e">
        <f t="shared" si="53"/>
        <v>#N/A</v>
      </c>
      <c r="AE201" t="e">
        <f t="shared" si="54"/>
        <v>#N/A</v>
      </c>
      <c r="AF201" t="e">
        <f t="shared" si="55"/>
        <v>#N/A</v>
      </c>
      <c r="AG201" t="e">
        <f t="shared" si="56"/>
        <v>#N/A</v>
      </c>
      <c r="AH201" t="e">
        <f t="shared" si="57"/>
        <v>#N/A</v>
      </c>
      <c r="AI201" t="e">
        <f t="shared" si="58"/>
        <v>#N/A</v>
      </c>
      <c r="AK201" t="e">
        <f t="shared" si="59"/>
        <v>#N/A</v>
      </c>
      <c r="AL201">
        <f t="shared" si="60"/>
        <v>0.13107366177086094</v>
      </c>
      <c r="AM201" t="e">
        <f t="shared" si="61"/>
        <v>#N/A</v>
      </c>
      <c r="AN201" t="e">
        <f t="shared" si="62"/>
        <v>#N/A</v>
      </c>
      <c r="AO201" t="e">
        <f t="shared" si="63"/>
        <v>#N/A</v>
      </c>
      <c r="AP201" t="e">
        <f t="shared" si="64"/>
        <v>#N/A</v>
      </c>
      <c r="AQ201" t="e">
        <f t="shared" si="65"/>
        <v>#N/A</v>
      </c>
    </row>
    <row r="202" spans="15:43">
      <c r="O202">
        <v>198</v>
      </c>
      <c r="P202" s="401">
        <f>'Lab test'!N201</f>
        <v>161.92500000000001</v>
      </c>
      <c r="Q202" s="401">
        <f>'Lab test'!M201</f>
        <v>5.0800000000000005E-2</v>
      </c>
      <c r="R202">
        <f>IF('Lab test'!O201&gt;0,'Lab test'!O201,NA())</f>
        <v>128.05833333333328</v>
      </c>
      <c r="S202">
        <f>'Lab test'!Q201</f>
        <v>3187.5</v>
      </c>
      <c r="T202" s="401">
        <f>IF('Lab test'!P201&gt;0,'Lab test'!P201,NA())</f>
        <v>1.4007764856255095E-2</v>
      </c>
      <c r="U202" s="401">
        <f>'Lab test'!AZ201</f>
        <v>1939</v>
      </c>
      <c r="V202" t="e">
        <f>IF('Lab test'!AQ201&gt;0,'Lab test'!AQ201,NA())</f>
        <v>#N/A</v>
      </c>
      <c r="W202" t="e">
        <f>IF('Lab test'!AU201&gt;0,'Lab test'!AU201,NA())</f>
        <v>#N/A</v>
      </c>
      <c r="X202">
        <f>IF('Lab test'!AT201&gt;0,'Lab test'!AT201,NA())</f>
        <v>0.18033657959516219</v>
      </c>
      <c r="Y202">
        <f t="shared" si="51"/>
        <v>1</v>
      </c>
      <c r="Z202" t="str">
        <f>'Lab test'!AC201</f>
        <v>LTWb</v>
      </c>
      <c r="AA202" t="str">
        <f>'Lab test'!T201</f>
        <v>Steel</v>
      </c>
      <c r="AC202" t="e">
        <f t="shared" si="52"/>
        <v>#N/A</v>
      </c>
      <c r="AD202" t="e">
        <f t="shared" si="53"/>
        <v>#N/A</v>
      </c>
      <c r="AE202" t="e">
        <f t="shared" si="54"/>
        <v>#N/A</v>
      </c>
      <c r="AF202" t="e">
        <f t="shared" si="55"/>
        <v>#N/A</v>
      </c>
      <c r="AG202" t="e">
        <f t="shared" si="56"/>
        <v>#N/A</v>
      </c>
      <c r="AH202" t="e">
        <f t="shared" si="57"/>
        <v>#N/A</v>
      </c>
      <c r="AI202" t="e">
        <f t="shared" si="58"/>
        <v>#N/A</v>
      </c>
      <c r="AK202" t="e">
        <f t="shared" si="59"/>
        <v>#N/A</v>
      </c>
      <c r="AL202">
        <f t="shared" si="60"/>
        <v>0.18033657959516219</v>
      </c>
      <c r="AM202" t="e">
        <f t="shared" si="61"/>
        <v>#N/A</v>
      </c>
      <c r="AN202" t="e">
        <f t="shared" si="62"/>
        <v>#N/A</v>
      </c>
      <c r="AO202" t="e">
        <f t="shared" si="63"/>
        <v>#N/A</v>
      </c>
      <c r="AP202" t="e">
        <f t="shared" si="64"/>
        <v>#N/A</v>
      </c>
      <c r="AQ202" t="e">
        <f t="shared" si="65"/>
        <v>#N/A</v>
      </c>
    </row>
    <row r="203" spans="15:43">
      <c r="O203">
        <v>199</v>
      </c>
      <c r="P203" s="401">
        <f>'Lab test'!N202</f>
        <v>161.92500000000001</v>
      </c>
      <c r="Q203" s="401">
        <f>'Lab test'!M202</f>
        <v>5.0800000000000005E-2</v>
      </c>
      <c r="R203">
        <f>IF('Lab test'!O202&gt;0,'Lab test'!O202,NA())</f>
        <v>76.729166666666544</v>
      </c>
      <c r="S203">
        <f>'Lab test'!Q202</f>
        <v>3187.5</v>
      </c>
      <c r="T203" s="401">
        <f>IF('Lab test'!P202&gt;0,'Lab test'!P202,NA())</f>
        <v>8.3930822485825882E-3</v>
      </c>
      <c r="U203" s="401">
        <f>'Lab test'!AZ202</f>
        <v>1939</v>
      </c>
      <c r="V203" t="e">
        <f>IF('Lab test'!AQ202&gt;0,'Lab test'!AQ202,NA())</f>
        <v>#N/A</v>
      </c>
      <c r="W203" t="e">
        <f>IF('Lab test'!AU202&gt;0,'Lab test'!AU202,NA())</f>
        <v>#N/A</v>
      </c>
      <c r="X203">
        <f>IF('Lab test'!AT202&gt;0,'Lab test'!AT202,NA())</f>
        <v>0.19253430188409193</v>
      </c>
      <c r="Y203">
        <f t="shared" si="51"/>
        <v>1</v>
      </c>
      <c r="Z203" t="str">
        <f>'Lab test'!AC202</f>
        <v>LTWb</v>
      </c>
      <c r="AA203" t="str">
        <f>'Lab test'!T202</f>
        <v>Steel</v>
      </c>
      <c r="AC203" t="e">
        <f t="shared" si="52"/>
        <v>#N/A</v>
      </c>
      <c r="AD203" t="e">
        <f t="shared" si="53"/>
        <v>#N/A</v>
      </c>
      <c r="AE203" t="e">
        <f t="shared" si="54"/>
        <v>#N/A</v>
      </c>
      <c r="AF203" t="e">
        <f t="shared" si="55"/>
        <v>#N/A</v>
      </c>
      <c r="AG203" t="e">
        <f t="shared" si="56"/>
        <v>#N/A</v>
      </c>
      <c r="AH203" t="e">
        <f t="shared" si="57"/>
        <v>#N/A</v>
      </c>
      <c r="AI203" t="e">
        <f t="shared" si="58"/>
        <v>#N/A</v>
      </c>
      <c r="AK203" t="e">
        <f t="shared" si="59"/>
        <v>#N/A</v>
      </c>
      <c r="AL203">
        <f t="shared" si="60"/>
        <v>0.19253430188409193</v>
      </c>
      <c r="AM203" t="e">
        <f t="shared" si="61"/>
        <v>#N/A</v>
      </c>
      <c r="AN203" t="e">
        <f t="shared" si="62"/>
        <v>#N/A</v>
      </c>
      <c r="AO203" t="e">
        <f t="shared" si="63"/>
        <v>#N/A</v>
      </c>
      <c r="AP203" t="e">
        <f t="shared" si="64"/>
        <v>#N/A</v>
      </c>
      <c r="AQ203" t="e">
        <f t="shared" si="65"/>
        <v>#N/A</v>
      </c>
    </row>
    <row r="204" spans="15:43">
      <c r="O204">
        <v>200</v>
      </c>
      <c r="P204" s="401">
        <f>'Lab test'!N203</f>
        <v>161.92500000000001</v>
      </c>
      <c r="Q204" s="401">
        <f>'Lab test'!M203</f>
        <v>5.0800000000000005E-2</v>
      </c>
      <c r="R204">
        <f>IF('Lab test'!O203&gt;0,'Lab test'!O203,NA())</f>
        <v>76.729166666666544</v>
      </c>
      <c r="S204">
        <f>'Lab test'!Q203</f>
        <v>3187.5</v>
      </c>
      <c r="T204" s="401">
        <f>IF('Lab test'!P203&gt;0,'Lab test'!P203,NA())</f>
        <v>8.3930822485825882E-3</v>
      </c>
      <c r="U204" s="401">
        <f>'Lab test'!AZ203</f>
        <v>1939</v>
      </c>
      <c r="V204" t="e">
        <f>IF('Lab test'!AQ203&gt;0,'Lab test'!AQ203,NA())</f>
        <v>#N/A</v>
      </c>
      <c r="W204" t="e">
        <f>IF('Lab test'!AU203&gt;0,'Lab test'!AU203,NA())</f>
        <v>#N/A</v>
      </c>
      <c r="X204">
        <f>IF('Lab test'!AT203&gt;0,'Lab test'!AT203,NA())</f>
        <v>0.20057338017566478</v>
      </c>
      <c r="Y204">
        <f t="shared" si="51"/>
        <v>1</v>
      </c>
      <c r="Z204" t="str">
        <f>'Lab test'!AC203</f>
        <v>LTWb</v>
      </c>
      <c r="AA204" t="str">
        <f>'Lab test'!T203</f>
        <v>Steel</v>
      </c>
      <c r="AC204" t="e">
        <f t="shared" si="52"/>
        <v>#N/A</v>
      </c>
      <c r="AD204" t="e">
        <f t="shared" si="53"/>
        <v>#N/A</v>
      </c>
      <c r="AE204" t="e">
        <f t="shared" si="54"/>
        <v>#N/A</v>
      </c>
      <c r="AF204" t="e">
        <f t="shared" si="55"/>
        <v>#N/A</v>
      </c>
      <c r="AG204" t="e">
        <f t="shared" si="56"/>
        <v>#N/A</v>
      </c>
      <c r="AH204" t="e">
        <f t="shared" si="57"/>
        <v>#N/A</v>
      </c>
      <c r="AI204" t="e">
        <f t="shared" si="58"/>
        <v>#N/A</v>
      </c>
      <c r="AK204" t="e">
        <f t="shared" si="59"/>
        <v>#N/A</v>
      </c>
      <c r="AL204">
        <f t="shared" si="60"/>
        <v>0.20057338017566478</v>
      </c>
      <c r="AM204" t="e">
        <f t="shared" si="61"/>
        <v>#N/A</v>
      </c>
      <c r="AN204" t="e">
        <f t="shared" si="62"/>
        <v>#N/A</v>
      </c>
      <c r="AO204" t="e">
        <f t="shared" si="63"/>
        <v>#N/A</v>
      </c>
      <c r="AP204" t="e">
        <f t="shared" si="64"/>
        <v>#N/A</v>
      </c>
      <c r="AQ204" t="e">
        <f t="shared" si="65"/>
        <v>#N/A</v>
      </c>
    </row>
    <row r="205" spans="15:43">
      <c r="O205">
        <v>201</v>
      </c>
      <c r="P205" s="401">
        <f>'Lab test'!N204</f>
        <v>161.92500000000001</v>
      </c>
      <c r="Q205" s="401">
        <f>'Lab test'!M204</f>
        <v>5.0800000000000005E-2</v>
      </c>
      <c r="R205">
        <f>IF('Lab test'!O204&gt;0,'Lab test'!O204,NA())</f>
        <v>52.916666666666664</v>
      </c>
      <c r="S205">
        <f>'Lab test'!Q204</f>
        <v>3187.5</v>
      </c>
      <c r="T205" s="401">
        <f>IF('Lab test'!P204&gt;0,'Lab test'!P204,NA())</f>
        <v>5.7883325852293799E-3</v>
      </c>
      <c r="U205" s="401">
        <f>'Lab test'!AZ204</f>
        <v>1939</v>
      </c>
      <c r="V205" t="e">
        <f>IF('Lab test'!AQ204&gt;0,'Lab test'!AQ204,NA())</f>
        <v>#N/A</v>
      </c>
      <c r="W205" t="e">
        <f>IF('Lab test'!AU204&gt;0,'Lab test'!AU204,NA())</f>
        <v>#N/A</v>
      </c>
      <c r="X205">
        <f>IF('Lab test'!AT204&gt;0,'Lab test'!AT204,NA())</f>
        <v>0.24012649456431401</v>
      </c>
      <c r="Y205">
        <f t="shared" si="51"/>
        <v>1</v>
      </c>
      <c r="Z205" t="str">
        <f>'Lab test'!AC204</f>
        <v>LTWb</v>
      </c>
      <c r="AA205" t="str">
        <f>'Lab test'!T204</f>
        <v>Steel</v>
      </c>
      <c r="AC205" t="e">
        <f t="shared" si="52"/>
        <v>#N/A</v>
      </c>
      <c r="AD205" t="e">
        <f t="shared" si="53"/>
        <v>#N/A</v>
      </c>
      <c r="AE205" t="e">
        <f t="shared" si="54"/>
        <v>#N/A</v>
      </c>
      <c r="AF205" t="e">
        <f t="shared" si="55"/>
        <v>#N/A</v>
      </c>
      <c r="AG205" t="e">
        <f t="shared" si="56"/>
        <v>#N/A</v>
      </c>
      <c r="AH205" t="e">
        <f t="shared" si="57"/>
        <v>#N/A</v>
      </c>
      <c r="AI205" t="e">
        <f t="shared" si="58"/>
        <v>#N/A</v>
      </c>
      <c r="AK205" t="e">
        <f t="shared" si="59"/>
        <v>#N/A</v>
      </c>
      <c r="AL205">
        <f t="shared" si="60"/>
        <v>0.24012649456431401</v>
      </c>
      <c r="AM205" t="e">
        <f t="shared" si="61"/>
        <v>#N/A</v>
      </c>
      <c r="AN205" t="e">
        <f t="shared" si="62"/>
        <v>#N/A</v>
      </c>
      <c r="AO205" t="e">
        <f t="shared" si="63"/>
        <v>#N/A</v>
      </c>
      <c r="AP205" t="e">
        <f t="shared" si="64"/>
        <v>#N/A</v>
      </c>
      <c r="AQ205" t="e">
        <f t="shared" si="65"/>
        <v>#N/A</v>
      </c>
    </row>
    <row r="206" spans="15:43">
      <c r="O206">
        <v>202</v>
      </c>
      <c r="P206" s="401">
        <f>'Lab test'!N205</f>
        <v>161.92500000000001</v>
      </c>
      <c r="Q206" s="401">
        <f>'Lab test'!M205</f>
        <v>5.0800000000000005E-2</v>
      </c>
      <c r="R206">
        <f>IF('Lab test'!O205&gt;0,'Lab test'!O205,NA())</f>
        <v>40.216666666666598</v>
      </c>
      <c r="S206">
        <f>'Lab test'!Q205</f>
        <v>3187.5</v>
      </c>
      <c r="T206" s="401">
        <f>IF('Lab test'!P205&gt;0,'Lab test'!P205,NA())</f>
        <v>4.399132764774322E-3</v>
      </c>
      <c r="U206" s="401">
        <f>'Lab test'!AZ205</f>
        <v>1939</v>
      </c>
      <c r="V206" t="e">
        <f>IF('Lab test'!AQ205&gt;0,'Lab test'!AQ205,NA())</f>
        <v>#N/A</v>
      </c>
      <c r="W206" t="e">
        <f>IF('Lab test'!AU205&gt;0,'Lab test'!AU205,NA())</f>
        <v>#N/A</v>
      </c>
      <c r="X206">
        <f>IF('Lab test'!AT205&gt;0,'Lab test'!AT205,NA())</f>
        <v>0.28050962073851138</v>
      </c>
      <c r="Y206">
        <f t="shared" si="51"/>
        <v>1</v>
      </c>
      <c r="Z206" t="str">
        <f>'Lab test'!AC205</f>
        <v>LTWb</v>
      </c>
      <c r="AA206" t="str">
        <f>'Lab test'!T205</f>
        <v>Steel</v>
      </c>
      <c r="AC206" t="e">
        <f t="shared" si="52"/>
        <v>#N/A</v>
      </c>
      <c r="AD206" t="e">
        <f t="shared" si="53"/>
        <v>#N/A</v>
      </c>
      <c r="AE206" t="e">
        <f t="shared" si="54"/>
        <v>#N/A</v>
      </c>
      <c r="AF206" t="e">
        <f t="shared" si="55"/>
        <v>#N/A</v>
      </c>
      <c r="AG206" t="e">
        <f t="shared" si="56"/>
        <v>#N/A</v>
      </c>
      <c r="AH206" t="e">
        <f t="shared" si="57"/>
        <v>#N/A</v>
      </c>
      <c r="AI206" t="e">
        <f t="shared" si="58"/>
        <v>#N/A</v>
      </c>
      <c r="AK206" t="e">
        <f t="shared" si="59"/>
        <v>#N/A</v>
      </c>
      <c r="AL206">
        <f t="shared" si="60"/>
        <v>0.28050962073851138</v>
      </c>
      <c r="AM206" t="e">
        <f t="shared" si="61"/>
        <v>#N/A</v>
      </c>
      <c r="AN206" t="e">
        <f t="shared" si="62"/>
        <v>#N/A</v>
      </c>
      <c r="AO206" t="e">
        <f t="shared" si="63"/>
        <v>#N/A</v>
      </c>
      <c r="AP206" t="e">
        <f t="shared" si="64"/>
        <v>#N/A</v>
      </c>
      <c r="AQ206" t="e">
        <f t="shared" si="65"/>
        <v>#N/A</v>
      </c>
    </row>
    <row r="207" spans="15:43">
      <c r="O207">
        <v>203</v>
      </c>
      <c r="P207" s="401">
        <f>'Lab test'!N206</f>
        <v>161.92500000000001</v>
      </c>
      <c r="Q207" s="401">
        <f>'Lab test'!M206</f>
        <v>5.0800000000000005E-2</v>
      </c>
      <c r="R207">
        <f>IF('Lab test'!O206&gt;0,'Lab test'!O206,NA())</f>
        <v>39.158333333333317</v>
      </c>
      <c r="S207">
        <f>'Lab test'!Q206</f>
        <v>3187.5</v>
      </c>
      <c r="T207" s="401">
        <f>IF('Lab test'!P206&gt;0,'Lab test'!P206,NA())</f>
        <v>4.2833661130697396E-3</v>
      </c>
      <c r="U207" s="401">
        <f>'Lab test'!AZ206</f>
        <v>1939</v>
      </c>
      <c r="V207" t="e">
        <f>IF('Lab test'!AQ206&gt;0,'Lab test'!AQ206,NA())</f>
        <v>#N/A</v>
      </c>
      <c r="W207" t="e">
        <f>IF('Lab test'!AU206&gt;0,'Lab test'!AU206,NA())</f>
        <v>#N/A</v>
      </c>
      <c r="X207">
        <f>IF('Lab test'!AT206&gt;0,'Lab test'!AT206,NA())</f>
        <v>0.29948291201875293</v>
      </c>
      <c r="Y207">
        <f t="shared" si="51"/>
        <v>1</v>
      </c>
      <c r="Z207" t="str">
        <f>'Lab test'!AC206</f>
        <v>LTWb</v>
      </c>
      <c r="AA207" t="str">
        <f>'Lab test'!T206</f>
        <v>Steel</v>
      </c>
      <c r="AC207" t="e">
        <f t="shared" si="52"/>
        <v>#N/A</v>
      </c>
      <c r="AD207" t="e">
        <f t="shared" si="53"/>
        <v>#N/A</v>
      </c>
      <c r="AE207" t="e">
        <f t="shared" si="54"/>
        <v>#N/A</v>
      </c>
      <c r="AF207" t="e">
        <f t="shared" si="55"/>
        <v>#N/A</v>
      </c>
      <c r="AG207" t="e">
        <f t="shared" si="56"/>
        <v>#N/A</v>
      </c>
      <c r="AH207" t="e">
        <f t="shared" si="57"/>
        <v>#N/A</v>
      </c>
      <c r="AI207" t="e">
        <f t="shared" si="58"/>
        <v>#N/A</v>
      </c>
      <c r="AK207" t="e">
        <f t="shared" si="59"/>
        <v>#N/A</v>
      </c>
      <c r="AL207">
        <f t="shared" si="60"/>
        <v>0.29948291201875293</v>
      </c>
      <c r="AM207" t="e">
        <f t="shared" si="61"/>
        <v>#N/A</v>
      </c>
      <c r="AN207" t="e">
        <f t="shared" si="62"/>
        <v>#N/A</v>
      </c>
      <c r="AO207" t="e">
        <f t="shared" si="63"/>
        <v>#N/A</v>
      </c>
      <c r="AP207" t="e">
        <f t="shared" si="64"/>
        <v>#N/A</v>
      </c>
      <c r="AQ207" t="e">
        <f t="shared" si="65"/>
        <v>#N/A</v>
      </c>
    </row>
    <row r="208" spans="15:43">
      <c r="O208">
        <v>204</v>
      </c>
      <c r="P208" s="401">
        <f>'Lab test'!N207</f>
        <v>161.92500000000001</v>
      </c>
      <c r="Q208" s="401">
        <f>'Lab test'!M207</f>
        <v>5.0800000000000005E-2</v>
      </c>
      <c r="R208">
        <f>IF('Lab test'!O207&gt;0,'Lab test'!O207,NA())</f>
        <v>27.516666666666534</v>
      </c>
      <c r="S208">
        <f>'Lab test'!Q207</f>
        <v>3187.5</v>
      </c>
      <c r="T208" s="401">
        <f>IF('Lab test'!P207&gt;0,'Lab test'!P207,NA())</f>
        <v>3.0099329443192633E-3</v>
      </c>
      <c r="U208" s="401">
        <f>'Lab test'!AZ207</f>
        <v>1939</v>
      </c>
      <c r="V208" t="e">
        <f>IF('Lab test'!AQ207&gt;0,'Lab test'!AQ207,NA())</f>
        <v>#N/A</v>
      </c>
      <c r="W208" t="e">
        <f>IF('Lab test'!AU207&gt;0,'Lab test'!AU207,NA())</f>
        <v>#N/A</v>
      </c>
      <c r="X208">
        <f>IF('Lab test'!AT207&gt;0,'Lab test'!AT207,NA())</f>
        <v>0.45084144898790601</v>
      </c>
      <c r="Y208">
        <f t="shared" si="51"/>
        <v>1</v>
      </c>
      <c r="Z208" t="str">
        <f>'Lab test'!AC207</f>
        <v>LTWb</v>
      </c>
      <c r="AA208" t="str">
        <f>'Lab test'!T207</f>
        <v>Steel</v>
      </c>
      <c r="AC208" t="e">
        <f t="shared" si="52"/>
        <v>#N/A</v>
      </c>
      <c r="AD208" t="e">
        <f t="shared" si="53"/>
        <v>#N/A</v>
      </c>
      <c r="AE208" t="e">
        <f t="shared" si="54"/>
        <v>#N/A</v>
      </c>
      <c r="AF208" t="e">
        <f t="shared" si="55"/>
        <v>#N/A</v>
      </c>
      <c r="AG208" t="e">
        <f t="shared" si="56"/>
        <v>#N/A</v>
      </c>
      <c r="AH208" t="e">
        <f t="shared" si="57"/>
        <v>#N/A</v>
      </c>
      <c r="AI208" t="e">
        <f t="shared" si="58"/>
        <v>#N/A</v>
      </c>
      <c r="AK208" t="e">
        <f t="shared" si="59"/>
        <v>#N/A</v>
      </c>
      <c r="AL208">
        <f t="shared" si="60"/>
        <v>0.45084144898790601</v>
      </c>
      <c r="AM208" t="e">
        <f t="shared" si="61"/>
        <v>#N/A</v>
      </c>
      <c r="AN208" t="e">
        <f t="shared" si="62"/>
        <v>#N/A</v>
      </c>
      <c r="AO208" t="e">
        <f t="shared" si="63"/>
        <v>#N/A</v>
      </c>
      <c r="AP208" t="e">
        <f t="shared" si="64"/>
        <v>#N/A</v>
      </c>
      <c r="AQ208" t="e">
        <f t="shared" si="65"/>
        <v>#N/A</v>
      </c>
    </row>
    <row r="209" spans="15:43">
      <c r="O209">
        <v>205</v>
      </c>
      <c r="P209" s="401">
        <f>'Lab test'!N208</f>
        <v>161.92500000000001</v>
      </c>
      <c r="Q209" s="401">
        <f>'Lab test'!M208</f>
        <v>5.0800000000000005E-2</v>
      </c>
      <c r="R209">
        <f>IF('Lab test'!O208&gt;0,'Lab test'!O208,NA())</f>
        <v>12.699999999999983</v>
      </c>
      <c r="S209">
        <f>'Lab test'!Q208</f>
        <v>3187.5</v>
      </c>
      <c r="T209" s="401">
        <f>IF('Lab test'!P208&gt;0,'Lab test'!P208,NA())</f>
        <v>1.3891998204550494E-3</v>
      </c>
      <c r="U209" s="401">
        <f>'Lab test'!AZ208</f>
        <v>1939</v>
      </c>
      <c r="V209" t="e">
        <f>IF('Lab test'!AQ208&gt;0,'Lab test'!AQ208,NA())</f>
        <v>#N/A</v>
      </c>
      <c r="W209" t="e">
        <f>IF('Lab test'!AU208&gt;0,'Lab test'!AU208,NA())</f>
        <v>#N/A</v>
      </c>
      <c r="X209">
        <f>IF('Lab test'!AT208&gt;0,'Lab test'!AT208,NA())</f>
        <v>0.70703482494443437</v>
      </c>
      <c r="Y209">
        <f t="shared" si="51"/>
        <v>1</v>
      </c>
      <c r="Z209" t="str">
        <f>'Lab test'!AC208</f>
        <v>LTWb</v>
      </c>
      <c r="AA209" t="str">
        <f>'Lab test'!T208</f>
        <v>Steel</v>
      </c>
      <c r="AC209" t="e">
        <f t="shared" si="52"/>
        <v>#N/A</v>
      </c>
      <c r="AD209" t="e">
        <f t="shared" si="53"/>
        <v>#N/A</v>
      </c>
      <c r="AE209" t="e">
        <f t="shared" si="54"/>
        <v>#N/A</v>
      </c>
      <c r="AF209" t="e">
        <f t="shared" si="55"/>
        <v>#N/A</v>
      </c>
      <c r="AG209" t="e">
        <f t="shared" si="56"/>
        <v>#N/A</v>
      </c>
      <c r="AH209" t="e">
        <f t="shared" si="57"/>
        <v>#N/A</v>
      </c>
      <c r="AI209" t="e">
        <f t="shared" si="58"/>
        <v>#N/A</v>
      </c>
      <c r="AK209" t="e">
        <f t="shared" si="59"/>
        <v>#N/A</v>
      </c>
      <c r="AL209">
        <f t="shared" si="60"/>
        <v>0.70703482494443437</v>
      </c>
      <c r="AM209" t="e">
        <f t="shared" si="61"/>
        <v>#N/A</v>
      </c>
      <c r="AN209" t="e">
        <f t="shared" si="62"/>
        <v>#N/A</v>
      </c>
      <c r="AO209" t="e">
        <f t="shared" si="63"/>
        <v>#N/A</v>
      </c>
      <c r="AP209" t="e">
        <f t="shared" si="64"/>
        <v>#N/A</v>
      </c>
      <c r="AQ209" t="e">
        <f t="shared" si="65"/>
        <v>#N/A</v>
      </c>
    </row>
    <row r="210" spans="15:43">
      <c r="O210">
        <v>206</v>
      </c>
      <c r="P210" s="401">
        <f>'Lab test'!N209</f>
        <v>161.92500000000001</v>
      </c>
      <c r="Q210" s="401">
        <f>'Lab test'!M209</f>
        <v>5.0800000000000005E-2</v>
      </c>
      <c r="R210">
        <f>IF('Lab test'!O209&gt;0,'Lab test'!O209,NA())</f>
        <v>10.054166666666658</v>
      </c>
      <c r="S210">
        <f>'Lab test'!Q209</f>
        <v>3187.5</v>
      </c>
      <c r="T210" s="401">
        <f>IF('Lab test'!P209&gt;0,'Lab test'!P209,NA())</f>
        <v>1.0997831911935814E-3</v>
      </c>
      <c r="U210" s="401">
        <f>'Lab test'!AZ209</f>
        <v>1939</v>
      </c>
      <c r="V210" t="e">
        <f>IF('Lab test'!AQ209&gt;0,'Lab test'!AQ209,NA())</f>
        <v>#N/A</v>
      </c>
      <c r="W210" t="e">
        <f>IF('Lab test'!AU209&gt;0,'Lab test'!AU209,NA())</f>
        <v>#N/A</v>
      </c>
      <c r="X210">
        <f>IF('Lab test'!AT209&gt;0,'Lab test'!AT209,NA())</f>
        <v>0.7799688079038315</v>
      </c>
      <c r="Y210">
        <f t="shared" si="51"/>
        <v>1</v>
      </c>
      <c r="Z210" t="str">
        <f>'Lab test'!AC209</f>
        <v>LTWb</v>
      </c>
      <c r="AA210" t="str">
        <f>'Lab test'!T209</f>
        <v>Steel</v>
      </c>
      <c r="AC210" t="e">
        <f t="shared" si="52"/>
        <v>#N/A</v>
      </c>
      <c r="AD210" t="e">
        <f t="shared" si="53"/>
        <v>#N/A</v>
      </c>
      <c r="AE210" t="e">
        <f t="shared" si="54"/>
        <v>#N/A</v>
      </c>
      <c r="AF210" t="e">
        <f t="shared" si="55"/>
        <v>#N/A</v>
      </c>
      <c r="AG210" t="e">
        <f t="shared" si="56"/>
        <v>#N/A</v>
      </c>
      <c r="AH210" t="e">
        <f t="shared" si="57"/>
        <v>#N/A</v>
      </c>
      <c r="AI210" t="e">
        <f t="shared" si="58"/>
        <v>#N/A</v>
      </c>
      <c r="AK210" t="e">
        <f t="shared" si="59"/>
        <v>#N/A</v>
      </c>
      <c r="AL210">
        <f t="shared" si="60"/>
        <v>0.7799688079038315</v>
      </c>
      <c r="AM210" t="e">
        <f t="shared" si="61"/>
        <v>#N/A</v>
      </c>
      <c r="AN210" t="e">
        <f t="shared" si="62"/>
        <v>#N/A</v>
      </c>
      <c r="AO210" t="e">
        <f t="shared" si="63"/>
        <v>#N/A</v>
      </c>
      <c r="AP210" t="e">
        <f t="shared" si="64"/>
        <v>#N/A</v>
      </c>
      <c r="AQ210" t="e">
        <f t="shared" si="65"/>
        <v>#N/A</v>
      </c>
    </row>
    <row r="211" spans="15:43">
      <c r="O211">
        <v>207</v>
      </c>
      <c r="P211" s="401">
        <f>'Lab test'!N210</f>
        <v>161.92500000000001</v>
      </c>
      <c r="Q211" s="401">
        <f>'Lab test'!M210</f>
        <v>5.0800000000000005E-2</v>
      </c>
      <c r="R211">
        <f>IF('Lab test'!O210&gt;0,'Lab test'!O210,NA())</f>
        <v>5.8208333333333258</v>
      </c>
      <c r="S211">
        <f>'Lab test'!Q210</f>
        <v>3187.5</v>
      </c>
      <c r="T211" s="401">
        <f>IF('Lab test'!P210&gt;0,'Lab test'!P210,NA())</f>
        <v>6.3671658437523099E-4</v>
      </c>
      <c r="U211" s="401">
        <f>'Lab test'!AZ210</f>
        <v>1939</v>
      </c>
      <c r="V211" t="e">
        <f>IF('Lab test'!AQ210&gt;0,'Lab test'!AQ210,NA())</f>
        <v>#N/A</v>
      </c>
      <c r="W211" t="e">
        <f>IF('Lab test'!AU210&gt;0,'Lab test'!AU210,NA())</f>
        <v>#N/A</v>
      </c>
      <c r="X211">
        <f>IF('Lab test'!AT210&gt;0,'Lab test'!AT210,NA())</f>
        <v>0.98075885316822609</v>
      </c>
      <c r="Y211">
        <f t="shared" si="51"/>
        <v>1</v>
      </c>
      <c r="Z211" t="str">
        <f>'Lab test'!AC210</f>
        <v>LTWb</v>
      </c>
      <c r="AA211" t="str">
        <f>'Lab test'!T210</f>
        <v>Steel</v>
      </c>
      <c r="AC211" t="e">
        <f t="shared" si="52"/>
        <v>#N/A</v>
      </c>
      <c r="AD211" t="e">
        <f t="shared" si="53"/>
        <v>#N/A</v>
      </c>
      <c r="AE211" t="e">
        <f t="shared" si="54"/>
        <v>#N/A</v>
      </c>
      <c r="AF211" t="e">
        <f t="shared" si="55"/>
        <v>#N/A</v>
      </c>
      <c r="AG211" t="e">
        <f t="shared" si="56"/>
        <v>#N/A</v>
      </c>
      <c r="AH211" t="e">
        <f t="shared" si="57"/>
        <v>#N/A</v>
      </c>
      <c r="AI211" t="e">
        <f t="shared" si="58"/>
        <v>#N/A</v>
      </c>
      <c r="AK211" t="e">
        <f t="shared" si="59"/>
        <v>#N/A</v>
      </c>
      <c r="AL211">
        <f t="shared" si="60"/>
        <v>0.98075885316822609</v>
      </c>
      <c r="AM211" t="e">
        <f t="shared" si="61"/>
        <v>#N/A</v>
      </c>
      <c r="AN211" t="e">
        <f t="shared" si="62"/>
        <v>#N/A</v>
      </c>
      <c r="AO211" t="e">
        <f t="shared" si="63"/>
        <v>#N/A</v>
      </c>
      <c r="AP211" t="e">
        <f t="shared" si="64"/>
        <v>#N/A</v>
      </c>
      <c r="AQ211" t="e">
        <f t="shared" si="65"/>
        <v>#N/A</v>
      </c>
    </row>
    <row r="212" spans="15:43">
      <c r="O212">
        <v>208</v>
      </c>
      <c r="P212" s="401">
        <f>'Lab test'!N211</f>
        <v>161.92500000000001</v>
      </c>
      <c r="Q212" s="401">
        <f>'Lab test'!M211</f>
        <v>5.0800000000000005E-2</v>
      </c>
      <c r="R212">
        <f>IF('Lab test'!O211&gt;0,'Lab test'!O211,NA())</f>
        <v>5.8208333333333258</v>
      </c>
      <c r="S212">
        <f>'Lab test'!Q211</f>
        <v>3187.5</v>
      </c>
      <c r="T212" s="401">
        <f>IF('Lab test'!P211&gt;0,'Lab test'!P211,NA())</f>
        <v>6.3671658437523099E-4</v>
      </c>
      <c r="U212" s="401">
        <f>'Lab test'!AZ211</f>
        <v>1939</v>
      </c>
      <c r="V212" t="e">
        <f>IF('Lab test'!AQ211&gt;0,'Lab test'!AQ211,NA())</f>
        <v>#N/A</v>
      </c>
      <c r="W212" t="e">
        <f>IF('Lab test'!AU211&gt;0,'Lab test'!AU211,NA())</f>
        <v>#N/A</v>
      </c>
      <c r="X212">
        <f>IF('Lab test'!AT211&gt;0,'Lab test'!AT211,NA())</f>
        <v>1.0908165096552418</v>
      </c>
      <c r="Y212">
        <f t="shared" si="51"/>
        <v>1</v>
      </c>
      <c r="Z212" t="str">
        <f>'Lab test'!AC211</f>
        <v>LTWb</v>
      </c>
      <c r="AA212" t="str">
        <f>'Lab test'!T211</f>
        <v>Steel</v>
      </c>
      <c r="AC212" t="e">
        <f t="shared" si="52"/>
        <v>#N/A</v>
      </c>
      <c r="AD212" t="e">
        <f t="shared" si="53"/>
        <v>#N/A</v>
      </c>
      <c r="AE212" t="e">
        <f t="shared" si="54"/>
        <v>#N/A</v>
      </c>
      <c r="AF212" t="e">
        <f t="shared" si="55"/>
        <v>#N/A</v>
      </c>
      <c r="AG212" t="e">
        <f t="shared" si="56"/>
        <v>#N/A</v>
      </c>
      <c r="AH212" t="e">
        <f t="shared" si="57"/>
        <v>#N/A</v>
      </c>
      <c r="AI212" t="e">
        <f t="shared" si="58"/>
        <v>#N/A</v>
      </c>
      <c r="AK212" t="e">
        <f t="shared" si="59"/>
        <v>#N/A</v>
      </c>
      <c r="AL212">
        <f t="shared" si="60"/>
        <v>1.0908165096552418</v>
      </c>
      <c r="AM212" t="e">
        <f t="shared" si="61"/>
        <v>#N/A</v>
      </c>
      <c r="AN212" t="e">
        <f t="shared" si="62"/>
        <v>#N/A</v>
      </c>
      <c r="AO212" t="e">
        <f t="shared" si="63"/>
        <v>#N/A</v>
      </c>
      <c r="AP212" t="e">
        <f t="shared" si="64"/>
        <v>#N/A</v>
      </c>
      <c r="AQ212" t="e">
        <f t="shared" si="65"/>
        <v>#N/A</v>
      </c>
    </row>
    <row r="213" spans="15:43">
      <c r="O213">
        <v>209</v>
      </c>
      <c r="P213" s="401">
        <f>'Lab test'!N212</f>
        <v>46.320052319146797</v>
      </c>
      <c r="Q213" s="401">
        <f>'Lab test'!M212</f>
        <v>0.56510463829359092</v>
      </c>
      <c r="R213">
        <f>IF('Lab test'!O212&gt;0,'Lab test'!O212,NA())</f>
        <v>215.64599999999999</v>
      </c>
      <c r="S213">
        <f>'Lab test'!Q212</f>
        <v>81.967213114754088</v>
      </c>
      <c r="T213" s="401">
        <f>IF('Lab test'!P212&gt;0,'Lab test'!P212,NA())</f>
        <v>0.51422392736110745</v>
      </c>
      <c r="U213" s="401">
        <f>'Lab test'!AZ212</f>
        <v>1933</v>
      </c>
      <c r="V213">
        <f>IF('Lab test'!AQ212&gt;0,'Lab test'!AQ212,NA())</f>
        <v>0.40625543654636848</v>
      </c>
      <c r="W213">
        <f>IF('Lab test'!AU212&gt;0,'Lab test'!AU212,NA())</f>
        <v>0.87343532684283731</v>
      </c>
      <c r="X213">
        <f>IF('Lab test'!AT212&gt;0,'Lab test'!AT212,NA())</f>
        <v>0.1441548056555573</v>
      </c>
      <c r="Y213">
        <f t="shared" si="51"/>
        <v>1</v>
      </c>
      <c r="Z213" t="str">
        <f>'Lab test'!AC212</f>
        <v>Machined</v>
      </c>
      <c r="AA213" t="str">
        <f>'Lab test'!T212</f>
        <v>Steel</v>
      </c>
      <c r="AC213" t="e">
        <f t="shared" si="52"/>
        <v>#N/A</v>
      </c>
      <c r="AD213" t="e">
        <f t="shared" si="53"/>
        <v>#N/A</v>
      </c>
      <c r="AE213" t="e">
        <f t="shared" si="54"/>
        <v>#N/A</v>
      </c>
      <c r="AF213">
        <f t="shared" si="55"/>
        <v>0.87343532684283731</v>
      </c>
      <c r="AG213" t="e">
        <f t="shared" si="56"/>
        <v>#N/A</v>
      </c>
      <c r="AH213" t="e">
        <f t="shared" si="57"/>
        <v>#N/A</v>
      </c>
      <c r="AI213" t="e">
        <f t="shared" si="58"/>
        <v>#N/A</v>
      </c>
      <c r="AK213" t="e">
        <f t="shared" si="59"/>
        <v>#N/A</v>
      </c>
      <c r="AL213" t="e">
        <f t="shared" si="60"/>
        <v>#N/A</v>
      </c>
      <c r="AM213" t="e">
        <f t="shared" si="61"/>
        <v>#N/A</v>
      </c>
      <c r="AN213">
        <f t="shared" si="62"/>
        <v>0.1441548056555573</v>
      </c>
      <c r="AO213" t="e">
        <f t="shared" si="63"/>
        <v>#N/A</v>
      </c>
      <c r="AP213" t="e">
        <f t="shared" si="64"/>
        <v>#N/A</v>
      </c>
      <c r="AQ213" t="e">
        <f t="shared" si="65"/>
        <v>#N/A</v>
      </c>
    </row>
    <row r="214" spans="15:43">
      <c r="O214">
        <v>210</v>
      </c>
      <c r="P214" s="401">
        <f>'Lab test'!N213</f>
        <v>46.640230349565563</v>
      </c>
      <c r="Q214" s="401">
        <f>'Lab test'!M213</f>
        <v>0.95146069913113762</v>
      </c>
      <c r="R214">
        <f>IF('Lab test'!O213&gt;0,'Lab test'!O213,NA())</f>
        <v>214.62999999999997</v>
      </c>
      <c r="S214">
        <f>'Lab test'!Q213</f>
        <v>49.019607843137251</v>
      </c>
      <c r="T214" s="401">
        <f>IF('Lab test'!P213&gt;0,'Lab test'!P213,NA())</f>
        <v>0.65727153237888281</v>
      </c>
      <c r="U214" s="401">
        <f>'Lab test'!AZ213</f>
        <v>1933</v>
      </c>
      <c r="V214">
        <f>IF('Lab test'!AQ213&gt;0,'Lab test'!AQ213,NA())</f>
        <v>0.31416949751362527</v>
      </c>
      <c r="W214">
        <f>IF('Lab test'!AU213&gt;0,'Lab test'!AU213,NA())</f>
        <v>1.0598052851182198</v>
      </c>
      <c r="X214">
        <f>IF('Lab test'!AT213&gt;0,'Lab test'!AT213,NA())</f>
        <v>0.1046054027176473</v>
      </c>
      <c r="Y214">
        <f t="shared" si="51"/>
        <v>1</v>
      </c>
      <c r="Z214" t="str">
        <f>'Lab test'!AC213</f>
        <v>Machined</v>
      </c>
      <c r="AA214" t="str">
        <f>'Lab test'!T213</f>
        <v>Steel</v>
      </c>
      <c r="AC214" t="e">
        <f t="shared" si="52"/>
        <v>#N/A</v>
      </c>
      <c r="AD214" t="e">
        <f t="shared" si="53"/>
        <v>#N/A</v>
      </c>
      <c r="AE214" t="e">
        <f t="shared" si="54"/>
        <v>#N/A</v>
      </c>
      <c r="AF214">
        <f t="shared" si="55"/>
        <v>1.0598052851182198</v>
      </c>
      <c r="AG214" t="e">
        <f t="shared" si="56"/>
        <v>#N/A</v>
      </c>
      <c r="AH214" t="e">
        <f t="shared" si="57"/>
        <v>#N/A</v>
      </c>
      <c r="AI214" t="e">
        <f t="shared" si="58"/>
        <v>#N/A</v>
      </c>
      <c r="AK214" t="e">
        <f t="shared" si="59"/>
        <v>#N/A</v>
      </c>
      <c r="AL214" t="e">
        <f t="shared" si="60"/>
        <v>#N/A</v>
      </c>
      <c r="AM214" t="e">
        <f t="shared" si="61"/>
        <v>#N/A</v>
      </c>
      <c r="AN214">
        <f t="shared" si="62"/>
        <v>0.1046054027176473</v>
      </c>
      <c r="AO214" t="e">
        <f t="shared" si="63"/>
        <v>#N/A</v>
      </c>
      <c r="AP214" t="e">
        <f t="shared" si="64"/>
        <v>#N/A</v>
      </c>
      <c r="AQ214" t="e">
        <f t="shared" si="65"/>
        <v>#N/A</v>
      </c>
    </row>
    <row r="215" spans="15:43">
      <c r="O215">
        <v>211</v>
      </c>
      <c r="P215" s="401">
        <f>'Lab test'!N214</f>
        <v>47.217037300900714</v>
      </c>
      <c r="Q215" s="401">
        <f>'Lab test'!M214</f>
        <v>1.647874601801435</v>
      </c>
      <c r="R215">
        <f>IF('Lab test'!O214&gt;0,'Lab test'!O214,NA())</f>
        <v>203.45399999999998</v>
      </c>
      <c r="S215">
        <f>'Lab test'!Q214</f>
        <v>28.653295128939828</v>
      </c>
      <c r="T215" s="401">
        <f>IF('Lab test'!P214&gt;0,'Lab test'!P214,NA())</f>
        <v>0.80497095979092148</v>
      </c>
      <c r="U215" s="401">
        <f>'Lab test'!AZ214</f>
        <v>1933</v>
      </c>
      <c r="V215">
        <f>IF('Lab test'!AQ214&gt;0,'Lab test'!AQ214,NA())</f>
        <v>0.2401963411674162</v>
      </c>
      <c r="W215">
        <f>IF('Lab test'!AU214&gt;0,'Lab test'!AU214,NA())</f>
        <v>1.0681502086230876</v>
      </c>
      <c r="X215">
        <f>IF('Lab test'!AT214&gt;0,'Lab test'!AT214,NA())</f>
        <v>6.1626159686014183E-2</v>
      </c>
      <c r="Y215">
        <f t="shared" si="51"/>
        <v>1</v>
      </c>
      <c r="Z215" t="str">
        <f>'Lab test'!AC214</f>
        <v>Machined</v>
      </c>
      <c r="AA215" t="str">
        <f>'Lab test'!T214</f>
        <v>Steel</v>
      </c>
      <c r="AC215" t="e">
        <f t="shared" si="52"/>
        <v>#N/A</v>
      </c>
      <c r="AD215" t="e">
        <f t="shared" si="53"/>
        <v>#N/A</v>
      </c>
      <c r="AE215" t="e">
        <f t="shared" si="54"/>
        <v>#N/A</v>
      </c>
      <c r="AF215">
        <f t="shared" si="55"/>
        <v>1.0681502086230876</v>
      </c>
      <c r="AG215" t="e">
        <f t="shared" si="56"/>
        <v>#N/A</v>
      </c>
      <c r="AH215" t="e">
        <f t="shared" si="57"/>
        <v>#N/A</v>
      </c>
      <c r="AI215" t="e">
        <f t="shared" si="58"/>
        <v>#N/A</v>
      </c>
      <c r="AK215" t="e">
        <f t="shared" si="59"/>
        <v>#N/A</v>
      </c>
      <c r="AL215" t="e">
        <f t="shared" si="60"/>
        <v>#N/A</v>
      </c>
      <c r="AM215" t="e">
        <f t="shared" si="61"/>
        <v>#N/A</v>
      </c>
      <c r="AN215">
        <f t="shared" si="62"/>
        <v>6.1626159686014183E-2</v>
      </c>
      <c r="AO215" t="e">
        <f t="shared" si="63"/>
        <v>#N/A</v>
      </c>
      <c r="AP215" t="e">
        <f t="shared" si="64"/>
        <v>#N/A</v>
      </c>
      <c r="AQ215" t="e">
        <f t="shared" si="65"/>
        <v>#N/A</v>
      </c>
    </row>
    <row r="216" spans="15:43">
      <c r="O216">
        <v>212</v>
      </c>
      <c r="P216" s="401">
        <f>'Lab test'!N215</f>
        <v>46.349152030597352</v>
      </c>
      <c r="Q216" s="401">
        <f>'Lab test'!M215</f>
        <v>0.59790406119470574</v>
      </c>
      <c r="R216">
        <f>IF('Lab test'!O215&gt;0,'Lab test'!O215,NA())</f>
        <v>215.64599999999999</v>
      </c>
      <c r="S216">
        <f>'Lab test'!Q215</f>
        <v>77.519379844961236</v>
      </c>
      <c r="T216" s="401">
        <f>IF('Lab test'!P215&gt;0,'Lab test'!P215,NA())</f>
        <v>0.52843852173606309</v>
      </c>
      <c r="U216" s="401">
        <f>'Lab test'!AZ215</f>
        <v>1933</v>
      </c>
      <c r="V216">
        <f>IF('Lab test'!AQ215&gt;0,'Lab test'!AQ215,NA())</f>
        <v>0.39507927304092705</v>
      </c>
      <c r="W216">
        <f>IF('Lab test'!AU215&gt;0,'Lab test'!AU215,NA())</f>
        <v>1.1112656467315716</v>
      </c>
      <c r="X216">
        <f>IF('Lab test'!AT215&gt;0,'Lab test'!AT215,NA())</f>
        <v>0.17345482330633011</v>
      </c>
      <c r="Y216">
        <f t="shared" si="51"/>
        <v>1</v>
      </c>
      <c r="Z216" t="str">
        <f>'Lab test'!AC215</f>
        <v>Machined</v>
      </c>
      <c r="AA216" t="str">
        <f>'Lab test'!T215</f>
        <v>Steel</v>
      </c>
      <c r="AC216" t="e">
        <f t="shared" si="52"/>
        <v>#N/A</v>
      </c>
      <c r="AD216" t="e">
        <f t="shared" si="53"/>
        <v>#N/A</v>
      </c>
      <c r="AE216" t="e">
        <f t="shared" si="54"/>
        <v>#N/A</v>
      </c>
      <c r="AF216">
        <f t="shared" si="55"/>
        <v>1.1112656467315716</v>
      </c>
      <c r="AG216" t="e">
        <f t="shared" si="56"/>
        <v>#N/A</v>
      </c>
      <c r="AH216" t="e">
        <f t="shared" si="57"/>
        <v>#N/A</v>
      </c>
      <c r="AI216" t="e">
        <f t="shared" si="58"/>
        <v>#N/A</v>
      </c>
      <c r="AK216" t="e">
        <f t="shared" si="59"/>
        <v>#N/A</v>
      </c>
      <c r="AL216" t="e">
        <f t="shared" si="60"/>
        <v>#N/A</v>
      </c>
      <c r="AM216" t="e">
        <f t="shared" si="61"/>
        <v>#N/A</v>
      </c>
      <c r="AN216">
        <f t="shared" si="62"/>
        <v>0.17345482330633011</v>
      </c>
      <c r="AO216" t="e">
        <f t="shared" si="63"/>
        <v>#N/A</v>
      </c>
      <c r="AP216" t="e">
        <f t="shared" si="64"/>
        <v>#N/A</v>
      </c>
      <c r="AQ216" t="e">
        <f t="shared" si="65"/>
        <v>#N/A</v>
      </c>
    </row>
    <row r="217" spans="15:43">
      <c r="O217">
        <v>213</v>
      </c>
      <c r="P217" s="401">
        <f>'Lab test'!N216</f>
        <v>46.80333923602327</v>
      </c>
      <c r="Q217" s="401">
        <f>'Lab test'!M216</f>
        <v>1.0998784720465471</v>
      </c>
      <c r="R217">
        <f>IF('Lab test'!O216&gt;0,'Lab test'!O216,NA())</f>
        <v>215.89999999999998</v>
      </c>
      <c r="S217">
        <f>'Lab test'!Q216</f>
        <v>42.553191489361701</v>
      </c>
      <c r="T217" s="401">
        <f>IF('Lab test'!P216&gt;0,'Lab test'!P216,NA())</f>
        <v>0.70714705016180168</v>
      </c>
      <c r="U217" s="401">
        <f>'Lab test'!AZ216</f>
        <v>1933</v>
      </c>
      <c r="V217">
        <f>IF('Lab test'!AQ216&gt;0,'Lab test'!AQ216,NA())</f>
        <v>0.2927151292985638</v>
      </c>
      <c r="W217">
        <f>IF('Lab test'!AU216&gt;0,'Lab test'!AU216,NA())</f>
        <v>1.023643949930459</v>
      </c>
      <c r="X217">
        <f>IF('Lab test'!AT216&gt;0,'Lab test'!AT216,NA())</f>
        <v>8.7708011311992171E-2</v>
      </c>
      <c r="Y217">
        <f t="shared" si="51"/>
        <v>1</v>
      </c>
      <c r="Z217" t="str">
        <f>'Lab test'!AC216</f>
        <v>Machined</v>
      </c>
      <c r="AA217" t="str">
        <f>'Lab test'!T216</f>
        <v>Steel</v>
      </c>
      <c r="AC217" t="e">
        <f t="shared" si="52"/>
        <v>#N/A</v>
      </c>
      <c r="AD217" t="e">
        <f t="shared" si="53"/>
        <v>#N/A</v>
      </c>
      <c r="AE217" t="e">
        <f t="shared" si="54"/>
        <v>#N/A</v>
      </c>
      <c r="AF217">
        <f t="shared" si="55"/>
        <v>1.023643949930459</v>
      </c>
      <c r="AG217" t="e">
        <f t="shared" si="56"/>
        <v>#N/A</v>
      </c>
      <c r="AH217" t="e">
        <f t="shared" si="57"/>
        <v>#N/A</v>
      </c>
      <c r="AI217" t="e">
        <f t="shared" si="58"/>
        <v>#N/A</v>
      </c>
      <c r="AK217" t="e">
        <f t="shared" si="59"/>
        <v>#N/A</v>
      </c>
      <c r="AL217" t="e">
        <f t="shared" si="60"/>
        <v>#N/A</v>
      </c>
      <c r="AM217" t="e">
        <f t="shared" si="61"/>
        <v>#N/A</v>
      </c>
      <c r="AN217">
        <f t="shared" si="62"/>
        <v>8.7708011311992171E-2</v>
      </c>
      <c r="AO217" t="e">
        <f t="shared" si="63"/>
        <v>#N/A</v>
      </c>
      <c r="AP217" t="e">
        <f t="shared" si="64"/>
        <v>#N/A</v>
      </c>
      <c r="AQ217" t="e">
        <f t="shared" si="65"/>
        <v>#N/A</v>
      </c>
    </row>
    <row r="218" spans="15:43">
      <c r="O218">
        <v>214</v>
      </c>
      <c r="P218" s="401">
        <f>'Lab test'!N217</f>
        <v>46.942230365959183</v>
      </c>
      <c r="Q218" s="401">
        <f>'Lab test'!M217</f>
        <v>1.657060731918359</v>
      </c>
      <c r="R218">
        <f>IF('Lab test'!O217&gt;0,'Lab test'!O217,NA())</f>
        <v>202.946</v>
      </c>
      <c r="S218">
        <f>'Lab test'!Q217</f>
        <v>28.328611898016998</v>
      </c>
      <c r="T218" s="401">
        <f>IF('Lab test'!P217&gt;0,'Lab test'!P217,NA())</f>
        <v>0.81227694778902049</v>
      </c>
      <c r="U218" s="401">
        <f>'Lab test'!AZ217</f>
        <v>1933</v>
      </c>
      <c r="V218">
        <f>IF('Lab test'!AQ217&gt;0,'Lab test'!AQ217,NA())</f>
        <v>0.23883157818281384</v>
      </c>
      <c r="W218">
        <f>IF('Lab test'!AU217&gt;0,'Lab test'!AU217,NA())</f>
        <v>1.1321279554937416</v>
      </c>
      <c r="X218">
        <f>IF('Lab test'!AT217&gt;0,'Lab test'!AT217,NA())</f>
        <v>6.4577170386866389E-2</v>
      </c>
      <c r="Y218">
        <f t="shared" si="51"/>
        <v>1</v>
      </c>
      <c r="Z218" t="str">
        <f>'Lab test'!AC217</f>
        <v>Machined</v>
      </c>
      <c r="AA218" t="str">
        <f>'Lab test'!T217</f>
        <v>Steel</v>
      </c>
      <c r="AC218" t="e">
        <f t="shared" si="52"/>
        <v>#N/A</v>
      </c>
      <c r="AD218" t="e">
        <f t="shared" si="53"/>
        <v>#N/A</v>
      </c>
      <c r="AE218" t="e">
        <f t="shared" si="54"/>
        <v>#N/A</v>
      </c>
      <c r="AF218">
        <f t="shared" si="55"/>
        <v>1.1321279554937416</v>
      </c>
      <c r="AG218" t="e">
        <f t="shared" si="56"/>
        <v>#N/A</v>
      </c>
      <c r="AH218" t="e">
        <f t="shared" si="57"/>
        <v>#N/A</v>
      </c>
      <c r="AI218" t="e">
        <f t="shared" si="58"/>
        <v>#N/A</v>
      </c>
      <c r="AK218" t="e">
        <f t="shared" si="59"/>
        <v>#N/A</v>
      </c>
      <c r="AL218" t="e">
        <f t="shared" si="60"/>
        <v>#N/A</v>
      </c>
      <c r="AM218" t="e">
        <f t="shared" si="61"/>
        <v>#N/A</v>
      </c>
      <c r="AN218">
        <f t="shared" si="62"/>
        <v>6.4577170386866389E-2</v>
      </c>
      <c r="AO218" t="e">
        <f t="shared" si="63"/>
        <v>#N/A</v>
      </c>
      <c r="AP218" t="e">
        <f t="shared" si="64"/>
        <v>#N/A</v>
      </c>
      <c r="AQ218" t="e">
        <f t="shared" si="65"/>
        <v>#N/A</v>
      </c>
    </row>
    <row r="219" spans="15:43">
      <c r="O219">
        <v>215</v>
      </c>
      <c r="P219" s="401">
        <f>'Lab test'!N218</f>
        <v>46.683844992450936</v>
      </c>
      <c r="Q219" s="401">
        <f>'Lab test'!M218</f>
        <v>0.60688998490186219</v>
      </c>
      <c r="R219">
        <f>IF('Lab test'!O218&gt;0,'Lab test'!O218,NA())</f>
        <v>114.55399999999999</v>
      </c>
      <c r="S219">
        <f>'Lab test'!Q218</f>
        <v>76.92307692307692</v>
      </c>
      <c r="T219" s="401">
        <f>IF('Lab test'!P218&gt;0,'Lab test'!P218,NA())</f>
        <v>0.27977913059202247</v>
      </c>
      <c r="U219" s="401">
        <f>'Lab test'!AZ218</f>
        <v>1933</v>
      </c>
      <c r="V219">
        <f>IF('Lab test'!AQ218&gt;0,'Lab test'!AQ218,NA())</f>
        <v>0.39355680389791659</v>
      </c>
      <c r="W219">
        <f>IF('Lab test'!AU218&gt;0,'Lab test'!AU218,NA())</f>
        <v>1.1126564673157162</v>
      </c>
      <c r="X219">
        <f>IF('Lab test'!AT218&gt;0,'Lab test'!AT218,NA())</f>
        <v>0.17233597540399795</v>
      </c>
      <c r="Y219">
        <f t="shared" si="51"/>
        <v>1</v>
      </c>
      <c r="Z219" t="str">
        <f>'Lab test'!AC218</f>
        <v>Machined</v>
      </c>
      <c r="AA219" t="str">
        <f>'Lab test'!T218</f>
        <v>Steel</v>
      </c>
      <c r="AC219" t="e">
        <f t="shared" si="52"/>
        <v>#N/A</v>
      </c>
      <c r="AD219" t="e">
        <f t="shared" si="53"/>
        <v>#N/A</v>
      </c>
      <c r="AE219" t="e">
        <f t="shared" si="54"/>
        <v>#N/A</v>
      </c>
      <c r="AF219">
        <f t="shared" si="55"/>
        <v>1.1126564673157162</v>
      </c>
      <c r="AG219" t="e">
        <f t="shared" si="56"/>
        <v>#N/A</v>
      </c>
      <c r="AH219" t="e">
        <f t="shared" si="57"/>
        <v>#N/A</v>
      </c>
      <c r="AI219" t="e">
        <f t="shared" si="58"/>
        <v>#N/A</v>
      </c>
      <c r="AK219" t="e">
        <f t="shared" si="59"/>
        <v>#N/A</v>
      </c>
      <c r="AL219" t="e">
        <f t="shared" si="60"/>
        <v>#N/A</v>
      </c>
      <c r="AM219" t="e">
        <f t="shared" si="61"/>
        <v>#N/A</v>
      </c>
      <c r="AN219">
        <f t="shared" si="62"/>
        <v>0.17233597540399795</v>
      </c>
      <c r="AO219" t="e">
        <f t="shared" si="63"/>
        <v>#N/A</v>
      </c>
      <c r="AP219" t="e">
        <f t="shared" si="64"/>
        <v>#N/A</v>
      </c>
      <c r="AQ219" t="e">
        <f t="shared" si="65"/>
        <v>#N/A</v>
      </c>
    </row>
    <row r="220" spans="15:43">
      <c r="O220">
        <v>216</v>
      </c>
      <c r="P220" s="401">
        <f>'Lab test'!N219</f>
        <v>46.674449028881959</v>
      </c>
      <c r="Q220" s="401">
        <f>'Lab test'!M219</f>
        <v>0.58809805776391266</v>
      </c>
      <c r="R220">
        <f>IF('Lab test'!O219&gt;0,'Lab test'!O219,NA())</f>
        <v>64.007999999999996</v>
      </c>
      <c r="S220">
        <f>'Lab test'!Q219</f>
        <v>79.365079365079367</v>
      </c>
      <c r="T220" s="401">
        <f>IF('Lab test'!P219&gt;0,'Lab test'!P219,NA())</f>
        <v>0.15393604702077612</v>
      </c>
      <c r="U220" s="401">
        <f>'Lab test'!AZ219</f>
        <v>1933</v>
      </c>
      <c r="V220">
        <f>IF('Lab test'!AQ219&gt;0,'Lab test'!AQ219,NA())</f>
        <v>0.39975493014683794</v>
      </c>
      <c r="W220">
        <f>IF('Lab test'!AU219&gt;0,'Lab test'!AU219,NA())</f>
        <v>1.1293463143254521</v>
      </c>
      <c r="X220">
        <f>IF('Lab test'!AT219&gt;0,'Lab test'!AT219,NA())</f>
        <v>0.18047406313140898</v>
      </c>
      <c r="Y220">
        <f t="shared" si="51"/>
        <v>1</v>
      </c>
      <c r="Z220" t="str">
        <f>'Lab test'!AC219</f>
        <v>Machined</v>
      </c>
      <c r="AA220" t="str">
        <f>'Lab test'!T219</f>
        <v>Steel</v>
      </c>
      <c r="AC220" t="e">
        <f t="shared" si="52"/>
        <v>#N/A</v>
      </c>
      <c r="AD220" t="e">
        <f t="shared" si="53"/>
        <v>#N/A</v>
      </c>
      <c r="AE220" t="e">
        <f t="shared" si="54"/>
        <v>#N/A</v>
      </c>
      <c r="AF220">
        <f t="shared" si="55"/>
        <v>1.1293463143254521</v>
      </c>
      <c r="AG220" t="e">
        <f t="shared" si="56"/>
        <v>#N/A</v>
      </c>
      <c r="AH220" t="e">
        <f t="shared" si="57"/>
        <v>#N/A</v>
      </c>
      <c r="AI220" t="e">
        <f t="shared" si="58"/>
        <v>#N/A</v>
      </c>
      <c r="AK220" t="e">
        <f t="shared" si="59"/>
        <v>#N/A</v>
      </c>
      <c r="AL220" t="e">
        <f t="shared" si="60"/>
        <v>#N/A</v>
      </c>
      <c r="AM220" t="e">
        <f t="shared" si="61"/>
        <v>#N/A</v>
      </c>
      <c r="AN220">
        <f t="shared" si="62"/>
        <v>0.18047406313140898</v>
      </c>
      <c r="AO220" t="e">
        <f t="shared" si="63"/>
        <v>#N/A</v>
      </c>
      <c r="AP220" t="e">
        <f t="shared" si="64"/>
        <v>#N/A</v>
      </c>
      <c r="AQ220" t="e">
        <f t="shared" si="65"/>
        <v>#N/A</v>
      </c>
    </row>
    <row r="221" spans="15:43">
      <c r="O221">
        <v>217</v>
      </c>
      <c r="P221" s="401">
        <f>'Lab test'!N220</f>
        <v>49.413213255470346</v>
      </c>
      <c r="Q221" s="401">
        <f>'Lab test'!M220</f>
        <v>0.50302651094068818</v>
      </c>
      <c r="R221">
        <f>IF('Lab test'!O220&gt;0,'Lab test'!O220,NA())</f>
        <v>44.449999999999996</v>
      </c>
      <c r="S221">
        <f>'Lab test'!Q220</f>
        <v>98.231827111984288</v>
      </c>
      <c r="T221" s="401">
        <f>IF('Lab test'!P220&gt;0,'Lab test'!P220,NA())</f>
        <v>9.0761686687220858E-2</v>
      </c>
      <c r="U221" s="401">
        <f>'Lab test'!AZ220</f>
        <v>1933</v>
      </c>
      <c r="V221">
        <f>IF('Lab test'!AQ220&gt;0,'Lab test'!AQ220,NA())</f>
        <v>0.50402735227397011</v>
      </c>
      <c r="W221">
        <f>IF('Lab test'!AU220&gt;0,'Lab test'!AU220,NA())</f>
        <v>1.0555555555555556</v>
      </c>
      <c r="X221">
        <f>IF('Lab test'!AT220&gt;0,'Lab test'!AT220,NA())</f>
        <v>0.2681571036092148</v>
      </c>
      <c r="Y221">
        <f t="shared" si="51"/>
        <v>1</v>
      </c>
      <c r="Z221" t="str">
        <f>'Lab test'!AC220</f>
        <v>Machined</v>
      </c>
      <c r="AA221" t="str">
        <f>'Lab test'!T220</f>
        <v>Steel</v>
      </c>
      <c r="AC221" t="e">
        <f t="shared" si="52"/>
        <v>#N/A</v>
      </c>
      <c r="AD221" t="e">
        <f t="shared" si="53"/>
        <v>#N/A</v>
      </c>
      <c r="AE221" t="e">
        <f t="shared" si="54"/>
        <v>#N/A</v>
      </c>
      <c r="AF221">
        <f t="shared" si="55"/>
        <v>1.0555555555555556</v>
      </c>
      <c r="AG221" t="e">
        <f t="shared" si="56"/>
        <v>#N/A</v>
      </c>
      <c r="AH221" t="e">
        <f t="shared" si="57"/>
        <v>#N/A</v>
      </c>
      <c r="AI221" t="e">
        <f t="shared" si="58"/>
        <v>#N/A</v>
      </c>
      <c r="AK221" t="e">
        <f t="shared" si="59"/>
        <v>#N/A</v>
      </c>
      <c r="AL221" t="e">
        <f t="shared" si="60"/>
        <v>#N/A</v>
      </c>
      <c r="AM221" t="e">
        <f t="shared" si="61"/>
        <v>#N/A</v>
      </c>
      <c r="AN221">
        <f t="shared" si="62"/>
        <v>0.2681571036092148</v>
      </c>
      <c r="AO221" t="e">
        <f t="shared" si="63"/>
        <v>#N/A</v>
      </c>
      <c r="AP221" t="e">
        <f t="shared" si="64"/>
        <v>#N/A</v>
      </c>
      <c r="AQ221" t="e">
        <f t="shared" si="65"/>
        <v>#N/A</v>
      </c>
    </row>
    <row r="222" spans="15:43">
      <c r="O222">
        <v>218</v>
      </c>
      <c r="P222" s="401">
        <f>'Lab test'!N221</f>
        <v>49.414206595704051</v>
      </c>
      <c r="Q222" s="401">
        <f>'Lab test'!M221</f>
        <v>0.50501319140809542</v>
      </c>
      <c r="R222">
        <f>IF('Lab test'!O221&gt;0,'Lab test'!O221,NA())</f>
        <v>95.25</v>
      </c>
      <c r="S222">
        <f>'Lab test'!Q221</f>
        <v>97.847358121330728</v>
      </c>
      <c r="T222" s="401">
        <f>IF('Lab test'!P221&gt;0,'Lab test'!P221,NA())</f>
        <v>0.19486713748805642</v>
      </c>
      <c r="U222" s="401">
        <f>'Lab test'!AZ221</f>
        <v>1933</v>
      </c>
      <c r="V222">
        <f>IF('Lab test'!AQ221&gt;0,'Lab test'!AQ221,NA())</f>
        <v>0.50304003036161793</v>
      </c>
      <c r="W222">
        <f>IF('Lab test'!AU221&gt;0,'Lab test'!AU221,NA())</f>
        <v>1.1431623931623933</v>
      </c>
      <c r="X222">
        <f>IF('Lab test'!AT221&gt;0,'Lab test'!AT221,NA())</f>
        <v>0.28927641153467182</v>
      </c>
      <c r="Y222">
        <f t="shared" si="51"/>
        <v>1</v>
      </c>
      <c r="Z222" t="str">
        <f>'Lab test'!AC221</f>
        <v>Machined</v>
      </c>
      <c r="AA222" t="str">
        <f>'Lab test'!T221</f>
        <v>Steel</v>
      </c>
      <c r="AC222" t="e">
        <f t="shared" si="52"/>
        <v>#N/A</v>
      </c>
      <c r="AD222" t="e">
        <f t="shared" si="53"/>
        <v>#N/A</v>
      </c>
      <c r="AE222" t="e">
        <f t="shared" si="54"/>
        <v>#N/A</v>
      </c>
      <c r="AF222">
        <f t="shared" si="55"/>
        <v>1.1431623931623933</v>
      </c>
      <c r="AG222" t="e">
        <f t="shared" si="56"/>
        <v>#N/A</v>
      </c>
      <c r="AH222" t="e">
        <f t="shared" si="57"/>
        <v>#N/A</v>
      </c>
      <c r="AI222" t="e">
        <f t="shared" si="58"/>
        <v>#N/A</v>
      </c>
      <c r="AK222" t="e">
        <f t="shared" si="59"/>
        <v>#N/A</v>
      </c>
      <c r="AL222" t="e">
        <f t="shared" si="60"/>
        <v>#N/A</v>
      </c>
      <c r="AM222" t="e">
        <f t="shared" si="61"/>
        <v>#N/A</v>
      </c>
      <c r="AN222">
        <f t="shared" si="62"/>
        <v>0.28927641153467182</v>
      </c>
      <c r="AO222" t="e">
        <f t="shared" si="63"/>
        <v>#N/A</v>
      </c>
      <c r="AP222" t="e">
        <f t="shared" si="64"/>
        <v>#N/A</v>
      </c>
      <c r="AQ222" t="e">
        <f t="shared" si="65"/>
        <v>#N/A</v>
      </c>
    </row>
    <row r="223" spans="15:43">
      <c r="O223">
        <v>219</v>
      </c>
      <c r="P223" s="401">
        <f>'Lab test'!N222</f>
        <v>49.413213255470346</v>
      </c>
      <c r="Q223" s="401">
        <f>'Lab test'!M222</f>
        <v>0.50302651094068818</v>
      </c>
      <c r="R223">
        <f>IF('Lab test'!O222&gt;0,'Lab test'!O222,NA())</f>
        <v>146.04999999999998</v>
      </c>
      <c r="S223">
        <f>'Lab test'!Q222</f>
        <v>98.231827111984288</v>
      </c>
      <c r="T223" s="401">
        <f>IF('Lab test'!P222&gt;0,'Lab test'!P222,NA())</f>
        <v>0.2982169705437257</v>
      </c>
      <c r="U223" s="401">
        <f>'Lab test'!AZ222</f>
        <v>1933</v>
      </c>
      <c r="V223">
        <f>IF('Lab test'!AQ222&gt;0,'Lab test'!AQ222,NA())</f>
        <v>0.50402735227397011</v>
      </c>
      <c r="W223">
        <f>IF('Lab test'!AU222&gt;0,'Lab test'!AU222,NA())</f>
        <v>0.99145299145299148</v>
      </c>
      <c r="X223">
        <f>IF('Lab test'!AT222&gt;0,'Lab test'!AT222,NA())</f>
        <v>0.25187225926047707</v>
      </c>
      <c r="Y223">
        <f t="shared" si="51"/>
        <v>1</v>
      </c>
      <c r="Z223" t="str">
        <f>'Lab test'!AC222</f>
        <v>Machined</v>
      </c>
      <c r="AA223" t="str">
        <f>'Lab test'!T222</f>
        <v>Steel</v>
      </c>
      <c r="AC223" t="e">
        <f t="shared" si="52"/>
        <v>#N/A</v>
      </c>
      <c r="AD223" t="e">
        <f t="shared" si="53"/>
        <v>#N/A</v>
      </c>
      <c r="AE223" t="e">
        <f t="shared" si="54"/>
        <v>#N/A</v>
      </c>
      <c r="AF223">
        <f t="shared" si="55"/>
        <v>0.99145299145299148</v>
      </c>
      <c r="AG223" t="e">
        <f t="shared" si="56"/>
        <v>#N/A</v>
      </c>
      <c r="AH223" t="e">
        <f t="shared" si="57"/>
        <v>#N/A</v>
      </c>
      <c r="AI223" t="e">
        <f t="shared" si="58"/>
        <v>#N/A</v>
      </c>
      <c r="AK223" t="e">
        <f t="shared" si="59"/>
        <v>#N/A</v>
      </c>
      <c r="AL223" t="e">
        <f t="shared" si="60"/>
        <v>#N/A</v>
      </c>
      <c r="AM223" t="e">
        <f t="shared" si="61"/>
        <v>#N/A</v>
      </c>
      <c r="AN223">
        <f t="shared" si="62"/>
        <v>0.25187225926047707</v>
      </c>
      <c r="AO223" t="e">
        <f t="shared" si="63"/>
        <v>#N/A</v>
      </c>
      <c r="AP223" t="e">
        <f t="shared" si="64"/>
        <v>#N/A</v>
      </c>
      <c r="AQ223" t="e">
        <f t="shared" si="65"/>
        <v>#N/A</v>
      </c>
    </row>
    <row r="224" spans="15:43">
      <c r="O224">
        <v>220</v>
      </c>
      <c r="P224" s="401">
        <f>'Lab test'!N223</f>
        <v>49.43457887539217</v>
      </c>
      <c r="Q224" s="401">
        <f>'Lab test'!M223</f>
        <v>0.54575775078432953</v>
      </c>
      <c r="R224">
        <f>IF('Lab test'!O223&gt;0,'Lab test'!O223,NA())</f>
        <v>196.85</v>
      </c>
      <c r="S224">
        <f>'Lab test'!Q223</f>
        <v>90.579710144927546</v>
      </c>
      <c r="T224" s="401">
        <f>IF('Lab test'!P223&gt;0,'Lab test'!P223,NA())</f>
        <v>0.41839753479272312</v>
      </c>
      <c r="U224" s="401">
        <f>'Lab test'!AZ223</f>
        <v>1933</v>
      </c>
      <c r="V224">
        <f>IF('Lab test'!AQ223&gt;0,'Lab test'!AQ223,NA())</f>
        <v>0.48399787786005671</v>
      </c>
      <c r="W224">
        <f>IF('Lab test'!AU223&gt;0,'Lab test'!AU223,NA())</f>
        <v>1.0256410256410258</v>
      </c>
      <c r="X224">
        <f>IF('Lab test'!AT223&gt;0,'Lab test'!AT223,NA())</f>
        <v>0.24026045720311631</v>
      </c>
      <c r="Y224">
        <f t="shared" si="51"/>
        <v>1</v>
      </c>
      <c r="Z224" t="str">
        <f>'Lab test'!AC223</f>
        <v>Machined</v>
      </c>
      <c r="AA224" t="str">
        <f>'Lab test'!T223</f>
        <v>Steel</v>
      </c>
      <c r="AC224" t="e">
        <f t="shared" si="52"/>
        <v>#N/A</v>
      </c>
      <c r="AD224" t="e">
        <f t="shared" si="53"/>
        <v>#N/A</v>
      </c>
      <c r="AE224" t="e">
        <f t="shared" si="54"/>
        <v>#N/A</v>
      </c>
      <c r="AF224">
        <f t="shared" si="55"/>
        <v>1.0256410256410258</v>
      </c>
      <c r="AG224" t="e">
        <f t="shared" si="56"/>
        <v>#N/A</v>
      </c>
      <c r="AH224" t="e">
        <f t="shared" si="57"/>
        <v>#N/A</v>
      </c>
      <c r="AI224" t="e">
        <f t="shared" si="58"/>
        <v>#N/A</v>
      </c>
      <c r="AK224" t="e">
        <f t="shared" si="59"/>
        <v>#N/A</v>
      </c>
      <c r="AL224" t="e">
        <f t="shared" si="60"/>
        <v>#N/A</v>
      </c>
      <c r="AM224" t="e">
        <f t="shared" si="61"/>
        <v>#N/A</v>
      </c>
      <c r="AN224">
        <f t="shared" si="62"/>
        <v>0.24026045720311631</v>
      </c>
      <c r="AO224" t="e">
        <f t="shared" si="63"/>
        <v>#N/A</v>
      </c>
      <c r="AP224" t="e">
        <f t="shared" si="64"/>
        <v>#N/A</v>
      </c>
      <c r="AQ224" t="e">
        <f t="shared" si="65"/>
        <v>#N/A</v>
      </c>
    </row>
    <row r="225" spans="15:43">
      <c r="O225">
        <v>221</v>
      </c>
      <c r="P225" s="401">
        <f>'Lab test'!N224</f>
        <v>49.407998874388831</v>
      </c>
      <c r="Q225" s="401">
        <f>'Lab test'!M224</f>
        <v>0.49259774877765666</v>
      </c>
      <c r="R225">
        <f>IF('Lab test'!O224&gt;0,'Lab test'!O224,NA())</f>
        <v>504.69799999999998</v>
      </c>
      <c r="S225">
        <f>'Lab test'!Q224</f>
        <v>100.30090270812438</v>
      </c>
      <c r="T225" s="401">
        <f>IF('Lab test'!P224&gt;0,'Lab test'!P224,NA())</f>
        <v>1.0199570835537215</v>
      </c>
      <c r="U225" s="401">
        <f>'Lab test'!AZ224</f>
        <v>1933</v>
      </c>
      <c r="V225">
        <f>IF('Lab test'!AQ224&gt;0,'Lab test'!AQ224,NA())</f>
        <v>0.50930790270001947</v>
      </c>
      <c r="W225">
        <f>IF('Lab test'!AU224&gt;0,'Lab test'!AU224,NA())</f>
        <v>1.0811965811965811</v>
      </c>
      <c r="X225">
        <f>IF('Lab test'!AT224&gt;0,'Lab test'!AT224,NA())</f>
        <v>0.28045648956167174</v>
      </c>
      <c r="Y225">
        <f t="shared" si="51"/>
        <v>1</v>
      </c>
      <c r="Z225" t="str">
        <f>'Lab test'!AC224</f>
        <v>Machined</v>
      </c>
      <c r="AA225" t="str">
        <f>'Lab test'!T224</f>
        <v>Steel</v>
      </c>
      <c r="AC225" t="e">
        <f t="shared" si="52"/>
        <v>#N/A</v>
      </c>
      <c r="AD225" t="e">
        <f t="shared" si="53"/>
        <v>#N/A</v>
      </c>
      <c r="AE225" t="e">
        <f t="shared" si="54"/>
        <v>#N/A</v>
      </c>
      <c r="AF225">
        <f t="shared" si="55"/>
        <v>1.0811965811965811</v>
      </c>
      <c r="AG225" t="e">
        <f t="shared" si="56"/>
        <v>#N/A</v>
      </c>
      <c r="AH225" t="e">
        <f t="shared" si="57"/>
        <v>#N/A</v>
      </c>
      <c r="AI225" t="e">
        <f t="shared" si="58"/>
        <v>#N/A</v>
      </c>
      <c r="AK225" t="e">
        <f t="shared" si="59"/>
        <v>#N/A</v>
      </c>
      <c r="AL225" t="e">
        <f t="shared" si="60"/>
        <v>#N/A</v>
      </c>
      <c r="AM225" t="e">
        <f t="shared" si="61"/>
        <v>#N/A</v>
      </c>
      <c r="AN225">
        <f t="shared" si="62"/>
        <v>0.28045648956167174</v>
      </c>
      <c r="AO225" t="e">
        <f t="shared" si="63"/>
        <v>#N/A</v>
      </c>
      <c r="AP225" t="e">
        <f t="shared" si="64"/>
        <v>#N/A</v>
      </c>
      <c r="AQ225" t="e">
        <f t="shared" si="65"/>
        <v>#N/A</v>
      </c>
    </row>
    <row r="226" spans="15:43">
      <c r="O226">
        <v>222</v>
      </c>
      <c r="P226" s="401">
        <f>'Lab test'!N225</f>
        <v>49.533947616336775</v>
      </c>
      <c r="Q226" s="401">
        <f>'Lab test'!M225</f>
        <v>0.74449523267354178</v>
      </c>
      <c r="R226">
        <f>IF('Lab test'!O225&gt;0,'Lab test'!O225,NA())</f>
        <v>215.64599999999999</v>
      </c>
      <c r="S226">
        <f>'Lab test'!Q225</f>
        <v>66.533599467731207</v>
      </c>
      <c r="T226" s="401">
        <f>IF('Lab test'!P225&gt;0,'Lab test'!P225,NA())</f>
        <v>0.53372550476408576</v>
      </c>
      <c r="U226" s="401">
        <f>'Lab test'!AZ225</f>
        <v>1933</v>
      </c>
      <c r="V226">
        <f>IF('Lab test'!AQ225&gt;0,'Lab test'!AQ225,NA())</f>
        <v>0.41480931829921625</v>
      </c>
      <c r="W226">
        <f>IF('Lab test'!AU225&gt;0,'Lab test'!AU225,NA())</f>
        <v>1.1858974358974359</v>
      </c>
      <c r="X226">
        <f>IF('Lab test'!AT225&gt;0,'Lab test'!AT225,NA())</f>
        <v>0.20405354199586023</v>
      </c>
      <c r="Y226">
        <f t="shared" si="51"/>
        <v>1</v>
      </c>
      <c r="Z226" t="str">
        <f>'Lab test'!AC225</f>
        <v>Machined</v>
      </c>
      <c r="AA226" t="str">
        <f>'Lab test'!T225</f>
        <v>Steel</v>
      </c>
      <c r="AC226" t="e">
        <f t="shared" si="52"/>
        <v>#N/A</v>
      </c>
      <c r="AD226" t="e">
        <f t="shared" si="53"/>
        <v>#N/A</v>
      </c>
      <c r="AE226" t="e">
        <f t="shared" si="54"/>
        <v>#N/A</v>
      </c>
      <c r="AF226">
        <f t="shared" si="55"/>
        <v>1.1858974358974359</v>
      </c>
      <c r="AG226" t="e">
        <f t="shared" si="56"/>
        <v>#N/A</v>
      </c>
      <c r="AH226" t="e">
        <f t="shared" si="57"/>
        <v>#N/A</v>
      </c>
      <c r="AI226" t="e">
        <f t="shared" si="58"/>
        <v>#N/A</v>
      </c>
      <c r="AK226" t="e">
        <f t="shared" si="59"/>
        <v>#N/A</v>
      </c>
      <c r="AL226" t="e">
        <f t="shared" si="60"/>
        <v>#N/A</v>
      </c>
      <c r="AM226" t="e">
        <f t="shared" si="61"/>
        <v>#N/A</v>
      </c>
      <c r="AN226">
        <f t="shared" si="62"/>
        <v>0.20405354199586023</v>
      </c>
      <c r="AO226" t="e">
        <f t="shared" si="63"/>
        <v>#N/A</v>
      </c>
      <c r="AP226" t="e">
        <f t="shared" si="64"/>
        <v>#N/A</v>
      </c>
      <c r="AQ226" t="e">
        <f t="shared" si="65"/>
        <v>#N/A</v>
      </c>
    </row>
    <row r="227" spans="15:43">
      <c r="O227">
        <v>223</v>
      </c>
      <c r="P227" s="401">
        <f>'Lab test'!N226</f>
        <v>49.347245643620013</v>
      </c>
      <c r="Q227" s="401">
        <f>'Lab test'!M226</f>
        <v>0.37109128724002244</v>
      </c>
      <c r="R227">
        <f>IF('Lab test'!O226&gt;0,'Lab test'!O226,NA())</f>
        <v>215.89999999999998</v>
      </c>
      <c r="S227">
        <f>'Lab test'!Q226</f>
        <v>132.97872340425533</v>
      </c>
      <c r="T227" s="401">
        <f>IF('Lab test'!P226&gt;0,'Lab test'!P226,NA())</f>
        <v>0.37940115218737808</v>
      </c>
      <c r="U227" s="401">
        <f>'Lab test'!AZ226</f>
        <v>1933</v>
      </c>
      <c r="V227">
        <f>IF('Lab test'!AQ226&gt;0,'Lab test'!AQ226,NA())</f>
        <v>0.58643390838255893</v>
      </c>
      <c r="W227">
        <f>IF('Lab test'!AU226&gt;0,'Lab test'!AU226,NA())</f>
        <v>0.86324786324786329</v>
      </c>
      <c r="X227">
        <f>IF('Lab test'!AT226&gt;0,'Lab test'!AT226,NA())</f>
        <v>0.29687502238448887</v>
      </c>
      <c r="Y227">
        <f t="shared" si="51"/>
        <v>1</v>
      </c>
      <c r="Z227" t="str">
        <f>'Lab test'!AC226</f>
        <v>Machined</v>
      </c>
      <c r="AA227" t="str">
        <f>'Lab test'!T226</f>
        <v>Steel</v>
      </c>
      <c r="AC227" t="e">
        <f t="shared" si="52"/>
        <v>#N/A</v>
      </c>
      <c r="AD227" t="e">
        <f t="shared" si="53"/>
        <v>#N/A</v>
      </c>
      <c r="AE227" t="e">
        <f t="shared" si="54"/>
        <v>#N/A</v>
      </c>
      <c r="AF227">
        <f t="shared" si="55"/>
        <v>0.86324786324786329</v>
      </c>
      <c r="AG227" t="e">
        <f t="shared" si="56"/>
        <v>#N/A</v>
      </c>
      <c r="AH227" t="e">
        <f t="shared" si="57"/>
        <v>#N/A</v>
      </c>
      <c r="AI227" t="e">
        <f t="shared" si="58"/>
        <v>#N/A</v>
      </c>
      <c r="AK227" t="e">
        <f t="shared" si="59"/>
        <v>#N/A</v>
      </c>
      <c r="AL227" t="e">
        <f t="shared" si="60"/>
        <v>#N/A</v>
      </c>
      <c r="AM227" t="e">
        <f t="shared" si="61"/>
        <v>#N/A</v>
      </c>
      <c r="AN227">
        <f t="shared" si="62"/>
        <v>0.29687502238448887</v>
      </c>
      <c r="AO227" t="e">
        <f t="shared" si="63"/>
        <v>#N/A</v>
      </c>
      <c r="AP227" t="e">
        <f t="shared" si="64"/>
        <v>#N/A</v>
      </c>
      <c r="AQ227" t="e">
        <f t="shared" si="65"/>
        <v>#N/A</v>
      </c>
    </row>
    <row r="228" spans="15:43">
      <c r="O228">
        <v>224</v>
      </c>
      <c r="P228" s="401">
        <f>'Lab test'!N227</f>
        <v>49.528707724236597</v>
      </c>
      <c r="Q228" s="401">
        <f>'Lab test'!M227</f>
        <v>0.73401544847318645</v>
      </c>
      <c r="R228">
        <f>IF('Lab test'!O227&gt;0,'Lab test'!O227,NA())</f>
        <v>215.64599999999999</v>
      </c>
      <c r="S228">
        <f>'Lab test'!Q227</f>
        <v>67.476383265856953</v>
      </c>
      <c r="T228" s="401">
        <f>IF('Lab test'!P227&gt;0,'Lab test'!P227,NA())</f>
        <v>0.53003983721682535</v>
      </c>
      <c r="U228" s="401">
        <f>'Lab test'!AZ227</f>
        <v>1933</v>
      </c>
      <c r="V228">
        <f>IF('Lab test'!AQ227&gt;0,'Lab test'!AQ227,NA())</f>
        <v>0.4177379126351709</v>
      </c>
      <c r="W228">
        <f>IF('Lab test'!AU227&gt;0,'Lab test'!AU227,NA())</f>
        <v>1.1239316239316239</v>
      </c>
      <c r="X228">
        <f>IF('Lab test'!AT227&gt;0,'Lab test'!AT227,NA())</f>
        <v>0.19613164718240897</v>
      </c>
      <c r="Y228">
        <f t="shared" si="51"/>
        <v>1</v>
      </c>
      <c r="Z228" t="str">
        <f>'Lab test'!AC227</f>
        <v>Machined</v>
      </c>
      <c r="AA228" t="str">
        <f>'Lab test'!T227</f>
        <v>Steel</v>
      </c>
      <c r="AC228" t="e">
        <f t="shared" si="52"/>
        <v>#N/A</v>
      </c>
      <c r="AD228" t="e">
        <f t="shared" si="53"/>
        <v>#N/A</v>
      </c>
      <c r="AE228" t="e">
        <f t="shared" si="54"/>
        <v>#N/A</v>
      </c>
      <c r="AF228">
        <f t="shared" si="55"/>
        <v>1.1239316239316239</v>
      </c>
      <c r="AG228" t="e">
        <f t="shared" si="56"/>
        <v>#N/A</v>
      </c>
      <c r="AH228" t="e">
        <f t="shared" si="57"/>
        <v>#N/A</v>
      </c>
      <c r="AI228" t="e">
        <f t="shared" si="58"/>
        <v>#N/A</v>
      </c>
      <c r="AK228" t="e">
        <f t="shared" si="59"/>
        <v>#N/A</v>
      </c>
      <c r="AL228" t="e">
        <f t="shared" si="60"/>
        <v>#N/A</v>
      </c>
      <c r="AM228" t="e">
        <f t="shared" si="61"/>
        <v>#N/A</v>
      </c>
      <c r="AN228">
        <f t="shared" si="62"/>
        <v>0.19613164718240897</v>
      </c>
      <c r="AO228" t="e">
        <f t="shared" si="63"/>
        <v>#N/A</v>
      </c>
      <c r="AP228" t="e">
        <f t="shared" si="64"/>
        <v>#N/A</v>
      </c>
      <c r="AQ228" t="e">
        <f t="shared" si="65"/>
        <v>#N/A</v>
      </c>
    </row>
    <row r="229" spans="15:43">
      <c r="O229">
        <v>225</v>
      </c>
      <c r="P229" s="401">
        <f>'Lab test'!N228</f>
        <v>49.343283282479526</v>
      </c>
      <c r="Q229" s="401">
        <f>'Lab test'!M228</f>
        <v>0.36316656495904931</v>
      </c>
      <c r="R229">
        <f>IF('Lab test'!O228&gt;0,'Lab test'!O228,NA())</f>
        <v>215.89999999999998</v>
      </c>
      <c r="S229">
        <f>'Lab test'!Q228</f>
        <v>135.86956521739131</v>
      </c>
      <c r="T229" s="401">
        <f>IF('Lab test'!P228&gt;0,'Lab test'!P228,NA())</f>
        <v>0.37537340997518148</v>
      </c>
      <c r="U229" s="401">
        <f>'Lab test'!AZ228</f>
        <v>1933</v>
      </c>
      <c r="V229">
        <f>IF('Lab test'!AQ228&gt;0,'Lab test'!AQ228,NA())</f>
        <v>0.59277391867351714</v>
      </c>
      <c r="W229">
        <f>IF('Lab test'!AU228&gt;0,'Lab test'!AU228,NA())</f>
        <v>0.93376068376068388</v>
      </c>
      <c r="X229">
        <f>IF('Lab test'!AT228&gt;0,'Lab test'!AT228,NA())</f>
        <v>0.32810568686800567</v>
      </c>
      <c r="Y229">
        <f t="shared" si="51"/>
        <v>1</v>
      </c>
      <c r="Z229" t="str">
        <f>'Lab test'!AC228</f>
        <v>Machined</v>
      </c>
      <c r="AA229" t="str">
        <f>'Lab test'!T228</f>
        <v>Steel</v>
      </c>
      <c r="AC229" t="e">
        <f t="shared" si="52"/>
        <v>#N/A</v>
      </c>
      <c r="AD229" t="e">
        <f t="shared" si="53"/>
        <v>#N/A</v>
      </c>
      <c r="AE229" t="e">
        <f t="shared" si="54"/>
        <v>#N/A</v>
      </c>
      <c r="AF229">
        <f t="shared" si="55"/>
        <v>0.93376068376068388</v>
      </c>
      <c r="AG229" t="e">
        <f t="shared" si="56"/>
        <v>#N/A</v>
      </c>
      <c r="AH229" t="e">
        <f t="shared" si="57"/>
        <v>#N/A</v>
      </c>
      <c r="AI229" t="e">
        <f t="shared" si="58"/>
        <v>#N/A</v>
      </c>
      <c r="AK229" t="e">
        <f t="shared" si="59"/>
        <v>#N/A</v>
      </c>
      <c r="AL229" t="e">
        <f t="shared" si="60"/>
        <v>#N/A</v>
      </c>
      <c r="AM229" t="e">
        <f t="shared" si="61"/>
        <v>#N/A</v>
      </c>
      <c r="AN229">
        <f t="shared" si="62"/>
        <v>0.32810568686800567</v>
      </c>
      <c r="AO229" t="e">
        <f t="shared" si="63"/>
        <v>#N/A</v>
      </c>
      <c r="AP229" t="e">
        <f t="shared" si="64"/>
        <v>#N/A</v>
      </c>
      <c r="AQ229" t="e">
        <f t="shared" si="65"/>
        <v>#N/A</v>
      </c>
    </row>
    <row r="230" spans="15:43">
      <c r="O230">
        <v>226</v>
      </c>
      <c r="P230" s="401">
        <f>'Lab test'!N229</f>
        <v>49.355897168315643</v>
      </c>
      <c r="Q230" s="401">
        <f>'Lab test'!M229</f>
        <v>0.33759433663127897</v>
      </c>
      <c r="R230">
        <f>IF('Lab test'!O229&gt;0,'Lab test'!O229,NA())</f>
        <v>63.5</v>
      </c>
      <c r="S230">
        <f>'Lab test'!Q229</f>
        <v>146.19883040935673</v>
      </c>
      <c r="T230" s="401">
        <f>IF('Lab test'!P229&gt;0,'Lab test'!P229,NA())</f>
        <v>0.10640516890285105</v>
      </c>
      <c r="U230" s="401">
        <f>'Lab test'!AZ229</f>
        <v>1933</v>
      </c>
      <c r="V230">
        <f>IF('Lab test'!AQ229&gt;0,'Lab test'!AQ229,NA())</f>
        <v>0.61489355819879721</v>
      </c>
      <c r="W230">
        <f>IF('Lab test'!AU229&gt;0,'Lab test'!AU229,NA())</f>
        <v>1.1794871794871795</v>
      </c>
      <c r="X230">
        <f>IF('Lab test'!AT229&gt;0,'Lab test'!AT229,NA())</f>
        <v>0.44595712933490705</v>
      </c>
      <c r="Y230">
        <f t="shared" si="51"/>
        <v>1</v>
      </c>
      <c r="Z230" t="str">
        <f>'Lab test'!AC229</f>
        <v>Machined</v>
      </c>
      <c r="AA230" t="str">
        <f>'Lab test'!T229</f>
        <v>Steel</v>
      </c>
      <c r="AC230" t="e">
        <f t="shared" si="52"/>
        <v>#N/A</v>
      </c>
      <c r="AD230" t="e">
        <f t="shared" si="53"/>
        <v>#N/A</v>
      </c>
      <c r="AE230" t="e">
        <f t="shared" si="54"/>
        <v>#N/A</v>
      </c>
      <c r="AF230">
        <f t="shared" si="55"/>
        <v>1.1794871794871795</v>
      </c>
      <c r="AG230" t="e">
        <f t="shared" si="56"/>
        <v>#N/A</v>
      </c>
      <c r="AH230" t="e">
        <f t="shared" si="57"/>
        <v>#N/A</v>
      </c>
      <c r="AI230" t="e">
        <f t="shared" si="58"/>
        <v>#N/A</v>
      </c>
      <c r="AK230" t="e">
        <f t="shared" si="59"/>
        <v>#N/A</v>
      </c>
      <c r="AL230" t="e">
        <f t="shared" si="60"/>
        <v>#N/A</v>
      </c>
      <c r="AM230" t="e">
        <f t="shared" si="61"/>
        <v>#N/A</v>
      </c>
      <c r="AN230">
        <f t="shared" si="62"/>
        <v>0.44595712933490705</v>
      </c>
      <c r="AO230" t="e">
        <f t="shared" si="63"/>
        <v>#N/A</v>
      </c>
      <c r="AP230" t="e">
        <f t="shared" si="64"/>
        <v>#N/A</v>
      </c>
      <c r="AQ230" t="e">
        <f t="shared" si="65"/>
        <v>#N/A</v>
      </c>
    </row>
    <row r="231" spans="15:43">
      <c r="O231">
        <v>227</v>
      </c>
      <c r="P231" s="401">
        <f>'Lab test'!N230</f>
        <v>49.369768142125864</v>
      </c>
      <c r="Q231" s="401">
        <f>'Lab test'!M230</f>
        <v>0.36533628425173142</v>
      </c>
      <c r="R231">
        <f>IF('Lab test'!O230&gt;0,'Lab test'!O230,NA())</f>
        <v>164.846</v>
      </c>
      <c r="S231">
        <f>'Lab test'!Q230</f>
        <v>135.13513513513513</v>
      </c>
      <c r="T231" s="401">
        <f>IF('Lab test'!P230&gt;0,'Lab test'!P230,NA())</f>
        <v>0.28723224036389955</v>
      </c>
      <c r="U231" s="401">
        <f>'Lab test'!AZ230</f>
        <v>1933</v>
      </c>
      <c r="V231">
        <f>IF('Lab test'!AQ230&gt;0,'Lab test'!AQ230,NA())</f>
        <v>0.59116965614151651</v>
      </c>
      <c r="W231">
        <f>IF('Lab test'!AU230&gt;0,'Lab test'!AU230,NA())</f>
        <v>0.97222222222222221</v>
      </c>
      <c r="X231">
        <f>IF('Lab test'!AT230&gt;0,'Lab test'!AT230,NA())</f>
        <v>0.33977374116629883</v>
      </c>
      <c r="Y231">
        <f t="shared" si="51"/>
        <v>1</v>
      </c>
      <c r="Z231" t="str">
        <f>'Lab test'!AC230</f>
        <v>Machined</v>
      </c>
      <c r="AA231" t="str">
        <f>'Lab test'!T230</f>
        <v>Steel</v>
      </c>
      <c r="AC231" t="e">
        <f t="shared" si="52"/>
        <v>#N/A</v>
      </c>
      <c r="AD231" t="e">
        <f t="shared" si="53"/>
        <v>#N/A</v>
      </c>
      <c r="AE231" t="e">
        <f t="shared" si="54"/>
        <v>#N/A</v>
      </c>
      <c r="AF231">
        <f t="shared" si="55"/>
        <v>0.97222222222222221</v>
      </c>
      <c r="AG231" t="e">
        <f t="shared" si="56"/>
        <v>#N/A</v>
      </c>
      <c r="AH231" t="e">
        <f t="shared" si="57"/>
        <v>#N/A</v>
      </c>
      <c r="AI231" t="e">
        <f t="shared" si="58"/>
        <v>#N/A</v>
      </c>
      <c r="AK231" t="e">
        <f t="shared" si="59"/>
        <v>#N/A</v>
      </c>
      <c r="AL231" t="e">
        <f t="shared" si="60"/>
        <v>#N/A</v>
      </c>
      <c r="AM231" t="e">
        <f t="shared" si="61"/>
        <v>#N/A</v>
      </c>
      <c r="AN231">
        <f t="shared" si="62"/>
        <v>0.33977374116629883</v>
      </c>
      <c r="AO231" t="e">
        <f t="shared" si="63"/>
        <v>#N/A</v>
      </c>
      <c r="AP231" t="e">
        <f t="shared" si="64"/>
        <v>#N/A</v>
      </c>
      <c r="AQ231" t="e">
        <f t="shared" si="65"/>
        <v>#N/A</v>
      </c>
    </row>
    <row r="232" spans="15:43">
      <c r="O232">
        <v>228</v>
      </c>
      <c r="P232" s="401">
        <f>'Lab test'!N231</f>
        <v>49.367538352679041</v>
      </c>
      <c r="Q232" s="401">
        <f>'Lab test'!M231</f>
        <v>0.36087670535808375</v>
      </c>
      <c r="R232">
        <f>IF('Lab test'!O231&gt;0,'Lab test'!O231,NA())</f>
        <v>266.7</v>
      </c>
      <c r="S232">
        <f>'Lab test'!Q231</f>
        <v>136.79890560875515</v>
      </c>
      <c r="T232" s="401">
        <f>IF('Lab test'!P231&gt;0,'Lab test'!P231,NA())</f>
        <v>0.46189177838858558</v>
      </c>
      <c r="U232" s="401">
        <f>'Lab test'!AZ231</f>
        <v>1933</v>
      </c>
      <c r="V232">
        <f>IF('Lab test'!AQ231&gt;0,'Lab test'!AQ231,NA())</f>
        <v>0.5947977344575035</v>
      </c>
      <c r="W232">
        <f>IF('Lab test'!AU231&gt;0,'Lab test'!AU231,NA())</f>
        <v>0.76923076923076927</v>
      </c>
      <c r="X232">
        <f>IF('Lab test'!AT231&gt;0,'Lab test'!AT231,NA())</f>
        <v>0.27214180378136837</v>
      </c>
      <c r="Y232">
        <f t="shared" si="51"/>
        <v>1</v>
      </c>
      <c r="Z232" t="str">
        <f>'Lab test'!AC231</f>
        <v>Machined</v>
      </c>
      <c r="AA232" t="str">
        <f>'Lab test'!T231</f>
        <v>Steel</v>
      </c>
      <c r="AC232" t="e">
        <f t="shared" si="52"/>
        <v>#N/A</v>
      </c>
      <c r="AD232" t="e">
        <f t="shared" si="53"/>
        <v>#N/A</v>
      </c>
      <c r="AE232" t="e">
        <f t="shared" si="54"/>
        <v>#N/A</v>
      </c>
      <c r="AF232">
        <f t="shared" si="55"/>
        <v>0.76923076923076927</v>
      </c>
      <c r="AG232" t="e">
        <f t="shared" si="56"/>
        <v>#N/A</v>
      </c>
      <c r="AH232" t="e">
        <f t="shared" si="57"/>
        <v>#N/A</v>
      </c>
      <c r="AI232" t="e">
        <f t="shared" si="58"/>
        <v>#N/A</v>
      </c>
      <c r="AK232" t="e">
        <f t="shared" si="59"/>
        <v>#N/A</v>
      </c>
      <c r="AL232" t="e">
        <f t="shared" si="60"/>
        <v>#N/A</v>
      </c>
      <c r="AM232" t="e">
        <f t="shared" si="61"/>
        <v>#N/A</v>
      </c>
      <c r="AN232">
        <f t="shared" si="62"/>
        <v>0.27214180378136837</v>
      </c>
      <c r="AO232" t="e">
        <f t="shared" si="63"/>
        <v>#N/A</v>
      </c>
      <c r="AP232" t="e">
        <f t="shared" si="64"/>
        <v>#N/A</v>
      </c>
      <c r="AQ232" t="e">
        <f t="shared" si="65"/>
        <v>#N/A</v>
      </c>
    </row>
    <row r="233" spans="15:43">
      <c r="O233">
        <v>229</v>
      </c>
      <c r="P233" s="401">
        <f>'Lab test'!N232</f>
        <v>49.361097869991724</v>
      </c>
      <c r="Q233" s="401">
        <f>'Lab test'!M232</f>
        <v>0.34799573998344163</v>
      </c>
      <c r="R233">
        <f>IF('Lab test'!O232&gt;0,'Lab test'!O232,NA())</f>
        <v>507.49199999999996</v>
      </c>
      <c r="S233">
        <f>'Lab test'!Q232</f>
        <v>141.84397163120568</v>
      </c>
      <c r="T233" s="401">
        <f>IF('Lab test'!P232&gt;0,'Lab test'!P232,NA())</f>
        <v>0.86325469387375575</v>
      </c>
      <c r="U233" s="401">
        <f>'Lab test'!AZ232</f>
        <v>1933</v>
      </c>
      <c r="V233">
        <f>IF('Lab test'!AQ232&gt;0,'Lab test'!AQ232,NA())</f>
        <v>0.60566633621786048</v>
      </c>
      <c r="W233">
        <f>IF('Lab test'!AU232&gt;0,'Lab test'!AU232,NA())</f>
        <v>1.1538461538461537</v>
      </c>
      <c r="X233">
        <f>IF('Lab test'!AT232&gt;0,'Lab test'!AT232,NA())</f>
        <v>0.423267358647192</v>
      </c>
      <c r="Y233">
        <f t="shared" si="51"/>
        <v>1</v>
      </c>
      <c r="Z233" t="str">
        <f>'Lab test'!AC232</f>
        <v>Machined</v>
      </c>
      <c r="AA233" t="str">
        <f>'Lab test'!T232</f>
        <v>Steel</v>
      </c>
      <c r="AC233" t="e">
        <f t="shared" si="52"/>
        <v>#N/A</v>
      </c>
      <c r="AD233" t="e">
        <f t="shared" si="53"/>
        <v>#N/A</v>
      </c>
      <c r="AE233" t="e">
        <f t="shared" si="54"/>
        <v>#N/A</v>
      </c>
      <c r="AF233">
        <f t="shared" si="55"/>
        <v>1.1538461538461537</v>
      </c>
      <c r="AG233" t="e">
        <f t="shared" si="56"/>
        <v>#N/A</v>
      </c>
      <c r="AH233" t="e">
        <f t="shared" si="57"/>
        <v>#N/A</v>
      </c>
      <c r="AI233" t="e">
        <f t="shared" si="58"/>
        <v>#N/A</v>
      </c>
      <c r="AK233" t="e">
        <f t="shared" si="59"/>
        <v>#N/A</v>
      </c>
      <c r="AL233" t="e">
        <f t="shared" si="60"/>
        <v>#N/A</v>
      </c>
      <c r="AM233" t="e">
        <f t="shared" si="61"/>
        <v>#N/A</v>
      </c>
      <c r="AN233">
        <f t="shared" si="62"/>
        <v>0.423267358647192</v>
      </c>
      <c r="AO233" t="e">
        <f t="shared" si="63"/>
        <v>#N/A</v>
      </c>
      <c r="AP233" t="e">
        <f t="shared" si="64"/>
        <v>#N/A</v>
      </c>
      <c r="AQ233" t="e">
        <f t="shared" si="65"/>
        <v>#N/A</v>
      </c>
    </row>
    <row r="234" spans="15:43">
      <c r="O234">
        <v>230</v>
      </c>
      <c r="P234" s="401">
        <f>'Lab test'!N233</f>
        <v>49.358373556240153</v>
      </c>
      <c r="Q234" s="401">
        <f>'Lab test'!M233</f>
        <v>0.34254711248030667</v>
      </c>
      <c r="R234">
        <f>IF('Lab test'!O233&gt;0,'Lab test'!O233,NA())</f>
        <v>63.5</v>
      </c>
      <c r="S234">
        <f>'Lab test'!Q233</f>
        <v>144.09221902017291</v>
      </c>
      <c r="T234" s="401">
        <f>IF('Lab test'!P233&gt;0,'Lab test'!P233,NA())</f>
        <v>0.10717478476647413</v>
      </c>
      <c r="U234" s="401">
        <f>'Lab test'!AZ233</f>
        <v>1933</v>
      </c>
      <c r="V234">
        <f>IF('Lab test'!AQ233&gt;0,'Lab test'!AQ233,NA())</f>
        <v>0.61044741485387466</v>
      </c>
      <c r="W234">
        <f>IF('Lab test'!AU233&gt;0,'Lab test'!AU233,NA())</f>
        <v>1.0961538461538463</v>
      </c>
      <c r="X234">
        <f>IF('Lab test'!AT233&gt;0,'Lab test'!AT233,NA())</f>
        <v>0.40847739690771884</v>
      </c>
      <c r="Y234">
        <f t="shared" si="51"/>
        <v>1</v>
      </c>
      <c r="Z234" t="str">
        <f>'Lab test'!AC233</f>
        <v>Machined</v>
      </c>
      <c r="AA234" t="str">
        <f>'Lab test'!T233</f>
        <v>Steel</v>
      </c>
      <c r="AC234" t="e">
        <f t="shared" si="52"/>
        <v>#N/A</v>
      </c>
      <c r="AD234" t="e">
        <f t="shared" si="53"/>
        <v>#N/A</v>
      </c>
      <c r="AE234" t="e">
        <f t="shared" si="54"/>
        <v>#N/A</v>
      </c>
      <c r="AF234">
        <f t="shared" si="55"/>
        <v>1.0961538461538463</v>
      </c>
      <c r="AG234" t="e">
        <f t="shared" si="56"/>
        <v>#N/A</v>
      </c>
      <c r="AH234" t="e">
        <f t="shared" si="57"/>
        <v>#N/A</v>
      </c>
      <c r="AI234" t="e">
        <f t="shared" si="58"/>
        <v>#N/A</v>
      </c>
      <c r="AK234" t="e">
        <f t="shared" si="59"/>
        <v>#N/A</v>
      </c>
      <c r="AL234" t="e">
        <f t="shared" si="60"/>
        <v>#N/A</v>
      </c>
      <c r="AM234" t="e">
        <f t="shared" si="61"/>
        <v>#N/A</v>
      </c>
      <c r="AN234">
        <f t="shared" si="62"/>
        <v>0.40847739690771884</v>
      </c>
      <c r="AO234" t="e">
        <f t="shared" si="63"/>
        <v>#N/A</v>
      </c>
      <c r="AP234" t="e">
        <f t="shared" si="64"/>
        <v>#N/A</v>
      </c>
      <c r="AQ234" t="e">
        <f t="shared" si="65"/>
        <v>#N/A</v>
      </c>
    </row>
    <row r="235" spans="15:43">
      <c r="O235">
        <v>231</v>
      </c>
      <c r="P235" s="401">
        <f>'Lab test'!N234</f>
        <v>49.362336293843143</v>
      </c>
      <c r="Q235" s="401">
        <f>'Lab test'!M234</f>
        <v>0.35047258768628636</v>
      </c>
      <c r="R235">
        <f>IF('Lab test'!O234&gt;0,'Lab test'!O234,NA())</f>
        <v>164.846</v>
      </c>
      <c r="S235">
        <f>'Lab test'!Q234</f>
        <v>140.8450704225352</v>
      </c>
      <c r="T235" s="401">
        <f>IF('Lab test'!P234&gt;0,'Lab test'!P234,NA())</f>
        <v>0.28139208753015998</v>
      </c>
      <c r="U235" s="401">
        <f>'Lab test'!AZ234</f>
        <v>1933</v>
      </c>
      <c r="V235">
        <f>IF('Lab test'!AQ234&gt;0,'Lab test'!AQ234,NA())</f>
        <v>0.60352994036777496</v>
      </c>
      <c r="W235">
        <f>IF('Lab test'!AU234&gt;0,'Lab test'!AU234,NA())</f>
        <v>1.1239316239316239</v>
      </c>
      <c r="X235">
        <f>IF('Lab test'!AT234&gt;0,'Lab test'!AT234,NA())</f>
        <v>0.4093902832737043</v>
      </c>
      <c r="Y235">
        <f t="shared" si="51"/>
        <v>1</v>
      </c>
      <c r="Z235" t="str">
        <f>'Lab test'!AC234</f>
        <v>Machined</v>
      </c>
      <c r="AA235" t="str">
        <f>'Lab test'!T234</f>
        <v>Steel</v>
      </c>
      <c r="AC235" t="e">
        <f t="shared" si="52"/>
        <v>#N/A</v>
      </c>
      <c r="AD235" t="e">
        <f t="shared" si="53"/>
        <v>#N/A</v>
      </c>
      <c r="AE235" t="e">
        <f t="shared" si="54"/>
        <v>#N/A</v>
      </c>
      <c r="AF235">
        <f t="shared" si="55"/>
        <v>1.1239316239316239</v>
      </c>
      <c r="AG235" t="e">
        <f t="shared" si="56"/>
        <v>#N/A</v>
      </c>
      <c r="AH235" t="e">
        <f t="shared" si="57"/>
        <v>#N/A</v>
      </c>
      <c r="AI235" t="e">
        <f t="shared" si="58"/>
        <v>#N/A</v>
      </c>
      <c r="AK235" t="e">
        <f t="shared" si="59"/>
        <v>#N/A</v>
      </c>
      <c r="AL235" t="e">
        <f t="shared" si="60"/>
        <v>#N/A</v>
      </c>
      <c r="AM235" t="e">
        <f t="shared" si="61"/>
        <v>#N/A</v>
      </c>
      <c r="AN235">
        <f t="shared" si="62"/>
        <v>0.4093902832737043</v>
      </c>
      <c r="AO235" t="e">
        <f t="shared" si="63"/>
        <v>#N/A</v>
      </c>
      <c r="AP235" t="e">
        <f t="shared" si="64"/>
        <v>#N/A</v>
      </c>
      <c r="AQ235" t="e">
        <f t="shared" si="65"/>
        <v>#N/A</v>
      </c>
    </row>
    <row r="236" spans="15:43">
      <c r="O236">
        <v>232</v>
      </c>
      <c r="P236" s="401">
        <f>'Lab test'!N235</f>
        <v>49.364813327980734</v>
      </c>
      <c r="Q236" s="401">
        <f>'Lab test'!M235</f>
        <v>0.35542665596146128</v>
      </c>
      <c r="R236">
        <f>IF('Lab test'!O235&gt;0,'Lab test'!O235,NA())</f>
        <v>266.44599999999997</v>
      </c>
      <c r="S236">
        <f>'Lab test'!Q235</f>
        <v>138.88888888888889</v>
      </c>
      <c r="T236" s="401">
        <f>IF('Lab test'!P235&gt;0,'Lab test'!P235,NA())</f>
        <v>0.45799206532375852</v>
      </c>
      <c r="U236" s="401">
        <f>'Lab test'!AZ235</f>
        <v>1933</v>
      </c>
      <c r="V236">
        <f>IF('Lab test'!AQ235&gt;0,'Lab test'!AQ235,NA())</f>
        <v>0.59932410557114979</v>
      </c>
      <c r="W236">
        <f>IF('Lab test'!AU235&gt;0,'Lab test'!AU235,NA())</f>
        <v>1.0811965811965811</v>
      </c>
      <c r="X236">
        <f>IF('Lab test'!AT235&gt;0,'Lab test'!AT235,NA())</f>
        <v>0.38835433346248149</v>
      </c>
      <c r="Y236">
        <f t="shared" si="51"/>
        <v>1</v>
      </c>
      <c r="Z236" t="str">
        <f>'Lab test'!AC235</f>
        <v>Machined</v>
      </c>
      <c r="AA236" t="str">
        <f>'Lab test'!T235</f>
        <v>Steel</v>
      </c>
      <c r="AC236" t="e">
        <f t="shared" si="52"/>
        <v>#N/A</v>
      </c>
      <c r="AD236" t="e">
        <f t="shared" si="53"/>
        <v>#N/A</v>
      </c>
      <c r="AE236" t="e">
        <f t="shared" si="54"/>
        <v>#N/A</v>
      </c>
      <c r="AF236">
        <f t="shared" si="55"/>
        <v>1.0811965811965811</v>
      </c>
      <c r="AG236" t="e">
        <f t="shared" si="56"/>
        <v>#N/A</v>
      </c>
      <c r="AH236" t="e">
        <f t="shared" si="57"/>
        <v>#N/A</v>
      </c>
      <c r="AI236" t="e">
        <f t="shared" si="58"/>
        <v>#N/A</v>
      </c>
      <c r="AK236" t="e">
        <f t="shared" si="59"/>
        <v>#N/A</v>
      </c>
      <c r="AL236" t="e">
        <f t="shared" si="60"/>
        <v>#N/A</v>
      </c>
      <c r="AM236" t="e">
        <f t="shared" si="61"/>
        <v>#N/A</v>
      </c>
      <c r="AN236">
        <f t="shared" si="62"/>
        <v>0.38835433346248149</v>
      </c>
      <c r="AO236" t="e">
        <f t="shared" si="63"/>
        <v>#N/A</v>
      </c>
      <c r="AP236" t="e">
        <f t="shared" si="64"/>
        <v>#N/A</v>
      </c>
      <c r="AQ236" t="e">
        <f t="shared" si="65"/>
        <v>#N/A</v>
      </c>
    </row>
    <row r="237" spans="15:43">
      <c r="O237">
        <v>233</v>
      </c>
      <c r="P237" s="401">
        <f>'Lab test'!N236</f>
        <v>49.364813327980734</v>
      </c>
      <c r="Q237" s="401">
        <f>'Lab test'!M236</f>
        <v>0.35542665596146128</v>
      </c>
      <c r="R237">
        <f>IF('Lab test'!O236&gt;0,'Lab test'!O236,NA())</f>
        <v>508</v>
      </c>
      <c r="S237">
        <f>'Lab test'!Q236</f>
        <v>138.88888888888889</v>
      </c>
      <c r="T237" s="401">
        <f>IF('Lab test'!P236&gt;0,'Lab test'!P236,NA())</f>
        <v>0.87319745533605064</v>
      </c>
      <c r="U237" s="401">
        <f>'Lab test'!AZ236</f>
        <v>1933</v>
      </c>
      <c r="V237">
        <f>IF('Lab test'!AQ236&gt;0,'Lab test'!AQ236,NA())</f>
        <v>0.59932410557114979</v>
      </c>
      <c r="W237">
        <f>IF('Lab test'!AU236&gt;0,'Lab test'!AU236,NA())</f>
        <v>0.84615384615384615</v>
      </c>
      <c r="X237">
        <f>IF('Lab test'!AT236&gt;0,'Lab test'!AT236,NA())</f>
        <v>0.30392947836194206</v>
      </c>
      <c r="Y237">
        <f t="shared" si="51"/>
        <v>1</v>
      </c>
      <c r="Z237" t="str">
        <f>'Lab test'!AC236</f>
        <v>Machined</v>
      </c>
      <c r="AA237" t="str">
        <f>'Lab test'!T236</f>
        <v>Steel</v>
      </c>
      <c r="AC237" t="e">
        <f t="shared" si="52"/>
        <v>#N/A</v>
      </c>
      <c r="AD237" t="e">
        <f t="shared" si="53"/>
        <v>#N/A</v>
      </c>
      <c r="AE237" t="e">
        <f t="shared" si="54"/>
        <v>#N/A</v>
      </c>
      <c r="AF237">
        <f t="shared" si="55"/>
        <v>0.84615384615384615</v>
      </c>
      <c r="AG237" t="e">
        <f t="shared" si="56"/>
        <v>#N/A</v>
      </c>
      <c r="AH237" t="e">
        <f t="shared" si="57"/>
        <v>#N/A</v>
      </c>
      <c r="AI237" t="e">
        <f t="shared" si="58"/>
        <v>#N/A</v>
      </c>
      <c r="AK237" t="e">
        <f t="shared" si="59"/>
        <v>#N/A</v>
      </c>
      <c r="AL237" t="e">
        <f t="shared" si="60"/>
        <v>#N/A</v>
      </c>
      <c r="AM237" t="e">
        <f t="shared" si="61"/>
        <v>#N/A</v>
      </c>
      <c r="AN237">
        <f t="shared" si="62"/>
        <v>0.30392947836194206</v>
      </c>
      <c r="AO237" t="e">
        <f t="shared" si="63"/>
        <v>#N/A</v>
      </c>
      <c r="AP237" t="e">
        <f t="shared" si="64"/>
        <v>#N/A</v>
      </c>
      <c r="AQ237" t="e">
        <f t="shared" si="65"/>
        <v>#N/A</v>
      </c>
    </row>
    <row r="238" spans="15:43">
      <c r="O238">
        <v>234</v>
      </c>
      <c r="P238" s="401">
        <f>'Lab test'!N237</f>
        <v>173.40921262719539</v>
      </c>
      <c r="Q238" s="401">
        <f>'Lab test'!M237</f>
        <v>0.36242525439083834</v>
      </c>
      <c r="R238">
        <f>IF('Lab test'!O237&gt;0,'Lab test'!O237,NA())</f>
        <v>266.44599999999997</v>
      </c>
      <c r="S238">
        <f>'Lab test'!Q237</f>
        <v>478.46889952153111</v>
      </c>
      <c r="T238" s="401">
        <f>IF('Lab test'!P237&gt;0,'Lab test'!P237,NA())</f>
        <v>7.0244153225193298E-2</v>
      </c>
      <c r="U238" s="401">
        <f>'Lab test'!AZ237</f>
        <v>1933</v>
      </c>
      <c r="V238">
        <f>IF('Lab test'!AQ237&gt;0,'Lab test'!AQ237,NA())</f>
        <v>1.0814268940158085</v>
      </c>
      <c r="W238">
        <f>IF('Lab test'!AU237&gt;0,'Lab test'!AU237,NA())</f>
        <v>0.34265734265734266</v>
      </c>
      <c r="X238">
        <f>IF('Lab test'!AT237&gt;0,'Lab test'!AT237,NA())</f>
        <v>0.40073232327226049</v>
      </c>
      <c r="Y238">
        <f t="shared" si="51"/>
        <v>1</v>
      </c>
      <c r="Z238" t="str">
        <f>'Lab test'!AC237</f>
        <v>Machined</v>
      </c>
      <c r="AA238" t="str">
        <f>'Lab test'!T237</f>
        <v>Steel</v>
      </c>
      <c r="AC238" t="e">
        <f t="shared" si="52"/>
        <v>#N/A</v>
      </c>
      <c r="AD238" t="e">
        <f t="shared" si="53"/>
        <v>#N/A</v>
      </c>
      <c r="AE238" t="e">
        <f t="shared" si="54"/>
        <v>#N/A</v>
      </c>
      <c r="AF238">
        <f t="shared" si="55"/>
        <v>0.34265734265734266</v>
      </c>
      <c r="AG238" t="e">
        <f t="shared" si="56"/>
        <v>#N/A</v>
      </c>
      <c r="AH238" t="e">
        <f t="shared" si="57"/>
        <v>#N/A</v>
      </c>
      <c r="AI238" t="e">
        <f t="shared" si="58"/>
        <v>#N/A</v>
      </c>
      <c r="AK238" t="e">
        <f t="shared" si="59"/>
        <v>#N/A</v>
      </c>
      <c r="AL238" t="e">
        <f t="shared" si="60"/>
        <v>#N/A</v>
      </c>
      <c r="AM238" t="e">
        <f t="shared" si="61"/>
        <v>#N/A</v>
      </c>
      <c r="AN238">
        <f t="shared" si="62"/>
        <v>0.40073232327226049</v>
      </c>
      <c r="AO238" t="e">
        <f t="shared" si="63"/>
        <v>#N/A</v>
      </c>
      <c r="AP238" t="e">
        <f t="shared" si="64"/>
        <v>#N/A</v>
      </c>
      <c r="AQ238" t="e">
        <f t="shared" si="65"/>
        <v>#N/A</v>
      </c>
    </row>
    <row r="239" spans="15:43">
      <c r="O239">
        <v>235</v>
      </c>
      <c r="P239" s="401">
        <f>'Lab test'!N238</f>
        <v>173.64909906523317</v>
      </c>
      <c r="Q239" s="401">
        <f>'Lab test'!M238</f>
        <v>0.84219813046638092</v>
      </c>
      <c r="R239">
        <f>IF('Lab test'!O238&gt;0,'Lab test'!O238,NA())</f>
        <v>266.44599999999997</v>
      </c>
      <c r="S239">
        <f>'Lab test'!Q238</f>
        <v>206.18556701030928</v>
      </c>
      <c r="T239" s="401">
        <f>IF('Lab test'!P238&gt;0,'Lab test'!P238,NA())</f>
        <v>0.10685812258399512</v>
      </c>
      <c r="U239" s="401">
        <f>'Lab test'!AZ238</f>
        <v>1933</v>
      </c>
      <c r="V239">
        <f>IF('Lab test'!AQ238&gt;0,'Lab test'!AQ238,NA())</f>
        <v>0.70990369982036505</v>
      </c>
      <c r="W239">
        <f>IF('Lab test'!AU238&gt;0,'Lab test'!AU238,NA())</f>
        <v>0.73193473193473202</v>
      </c>
      <c r="X239">
        <f>IF('Lab test'!AT238&gt;0,'Lab test'!AT238,NA())</f>
        <v>0.36886821582250323</v>
      </c>
      <c r="Y239">
        <f t="shared" si="51"/>
        <v>1</v>
      </c>
      <c r="Z239" t="str">
        <f>'Lab test'!AC238</f>
        <v>Machined</v>
      </c>
      <c r="AA239" t="str">
        <f>'Lab test'!T238</f>
        <v>Steel</v>
      </c>
      <c r="AC239" t="e">
        <f t="shared" si="52"/>
        <v>#N/A</v>
      </c>
      <c r="AD239" t="e">
        <f t="shared" si="53"/>
        <v>#N/A</v>
      </c>
      <c r="AE239" t="e">
        <f t="shared" si="54"/>
        <v>#N/A</v>
      </c>
      <c r="AF239">
        <f t="shared" si="55"/>
        <v>0.73193473193473202</v>
      </c>
      <c r="AG239" t="e">
        <f t="shared" si="56"/>
        <v>#N/A</v>
      </c>
      <c r="AH239" t="e">
        <f t="shared" si="57"/>
        <v>#N/A</v>
      </c>
      <c r="AI239" t="e">
        <f t="shared" si="58"/>
        <v>#N/A</v>
      </c>
      <c r="AK239" t="e">
        <f t="shared" si="59"/>
        <v>#N/A</v>
      </c>
      <c r="AL239" t="e">
        <f t="shared" si="60"/>
        <v>#N/A</v>
      </c>
      <c r="AM239" t="e">
        <f t="shared" si="61"/>
        <v>#N/A</v>
      </c>
      <c r="AN239">
        <f t="shared" si="62"/>
        <v>0.36886821582250323</v>
      </c>
      <c r="AO239" t="e">
        <f t="shared" si="63"/>
        <v>#N/A</v>
      </c>
      <c r="AP239" t="e">
        <f t="shared" si="64"/>
        <v>#N/A</v>
      </c>
      <c r="AQ239" t="e">
        <f t="shared" si="65"/>
        <v>#N/A</v>
      </c>
    </row>
    <row r="240" spans="15:43">
      <c r="O240">
        <v>236</v>
      </c>
      <c r="P240" s="401">
        <f>'Lab test'!N239</f>
        <v>173.49083862051006</v>
      </c>
      <c r="Q240" s="401">
        <f>'Lab test'!M239</f>
        <v>0.52567724102014557</v>
      </c>
      <c r="R240">
        <f>IF('Lab test'!O239&gt;0,'Lab test'!O239,NA())</f>
        <v>267.20799999999997</v>
      </c>
      <c r="S240">
        <f>'Lab test'!Q239</f>
        <v>330.03300330032999</v>
      </c>
      <c r="T240" s="401">
        <f>IF('Lab test'!P239&gt;0,'Lab test'!P239,NA())</f>
        <v>8.4780158539469061E-2</v>
      </c>
      <c r="U240" s="401">
        <f>'Lab test'!AZ239</f>
        <v>1933</v>
      </c>
      <c r="V240">
        <f>IF('Lab test'!AQ239&gt;0,'Lab test'!AQ239,NA())</f>
        <v>0.89815024903872442</v>
      </c>
      <c r="W240">
        <f>IF('Lab test'!AU239&gt;0,'Lab test'!AU239,NA())</f>
        <v>0.53613053613053618</v>
      </c>
      <c r="X240">
        <f>IF('Lab test'!AT239&gt;0,'Lab test'!AT239,NA())</f>
        <v>0.43248249432427566</v>
      </c>
      <c r="Y240">
        <f t="shared" si="51"/>
        <v>1</v>
      </c>
      <c r="Z240" t="str">
        <f>'Lab test'!AC239</f>
        <v>Machined</v>
      </c>
      <c r="AA240" t="str">
        <f>'Lab test'!T239</f>
        <v>Steel</v>
      </c>
      <c r="AC240" t="e">
        <f t="shared" si="52"/>
        <v>#N/A</v>
      </c>
      <c r="AD240" t="e">
        <f t="shared" si="53"/>
        <v>#N/A</v>
      </c>
      <c r="AE240" t="e">
        <f t="shared" si="54"/>
        <v>#N/A</v>
      </c>
      <c r="AF240">
        <f t="shared" si="55"/>
        <v>0.53613053613053618</v>
      </c>
      <c r="AG240" t="e">
        <f t="shared" si="56"/>
        <v>#N/A</v>
      </c>
      <c r="AH240" t="e">
        <f t="shared" si="57"/>
        <v>#N/A</v>
      </c>
      <c r="AI240" t="e">
        <f t="shared" si="58"/>
        <v>#N/A</v>
      </c>
      <c r="AK240" t="e">
        <f t="shared" si="59"/>
        <v>#N/A</v>
      </c>
      <c r="AL240" t="e">
        <f t="shared" si="60"/>
        <v>#N/A</v>
      </c>
      <c r="AM240" t="e">
        <f t="shared" si="61"/>
        <v>#N/A</v>
      </c>
      <c r="AN240">
        <f t="shared" si="62"/>
        <v>0.43248249432427566</v>
      </c>
      <c r="AO240" t="e">
        <f t="shared" si="63"/>
        <v>#N/A</v>
      </c>
      <c r="AP240" t="e">
        <f t="shared" si="64"/>
        <v>#N/A</v>
      </c>
      <c r="AQ240" t="e">
        <f t="shared" si="65"/>
        <v>#N/A</v>
      </c>
    </row>
    <row r="241" spans="15:43">
      <c r="O241">
        <v>237</v>
      </c>
      <c r="P241" s="401">
        <f>'Lab test'!N240</f>
        <v>173.42744155779144</v>
      </c>
      <c r="Q241" s="401">
        <f>'Lab test'!M240</f>
        <v>0.39888311558292033</v>
      </c>
      <c r="R241">
        <f>IF('Lab test'!O240&gt;0,'Lab test'!O240,NA())</f>
        <v>266.7</v>
      </c>
      <c r="S241">
        <f>'Lab test'!Q240</f>
        <v>434.78260869565219</v>
      </c>
      <c r="T241" s="401">
        <f>IF('Lab test'!P240&gt;0,'Lab test'!P240,NA())</f>
        <v>7.3751204294926029E-2</v>
      </c>
      <c r="U241" s="401">
        <f>'Lab test'!AZ240</f>
        <v>1933</v>
      </c>
      <c r="V241">
        <f>IF('Lab test'!AQ240&gt;0,'Lab test'!AQ240,NA())</f>
        <v>1.0308759098857585</v>
      </c>
      <c r="W241">
        <f>IF('Lab test'!AU240&gt;0,'Lab test'!AU240,NA())</f>
        <v>0.51515151515151514</v>
      </c>
      <c r="X241">
        <f>IF('Lab test'!AT240&gt;0,'Lab test'!AT240,NA())</f>
        <v>0.54745416384568002</v>
      </c>
      <c r="Y241">
        <f t="shared" si="51"/>
        <v>1</v>
      </c>
      <c r="Z241" t="str">
        <f>'Lab test'!AC240</f>
        <v>Machined</v>
      </c>
      <c r="AA241" t="str">
        <f>'Lab test'!T240</f>
        <v>Steel</v>
      </c>
      <c r="AC241" t="e">
        <f t="shared" si="52"/>
        <v>#N/A</v>
      </c>
      <c r="AD241" t="e">
        <f t="shared" si="53"/>
        <v>#N/A</v>
      </c>
      <c r="AE241" t="e">
        <f t="shared" si="54"/>
        <v>#N/A</v>
      </c>
      <c r="AF241">
        <f t="shared" si="55"/>
        <v>0.51515151515151514</v>
      </c>
      <c r="AG241" t="e">
        <f t="shared" si="56"/>
        <v>#N/A</v>
      </c>
      <c r="AH241" t="e">
        <f t="shared" si="57"/>
        <v>#N/A</v>
      </c>
      <c r="AI241" t="e">
        <f t="shared" si="58"/>
        <v>#N/A</v>
      </c>
      <c r="AK241" t="e">
        <f t="shared" si="59"/>
        <v>#N/A</v>
      </c>
      <c r="AL241" t="e">
        <f t="shared" si="60"/>
        <v>#N/A</v>
      </c>
      <c r="AM241" t="e">
        <f t="shared" si="61"/>
        <v>#N/A</v>
      </c>
      <c r="AN241">
        <f t="shared" si="62"/>
        <v>0.54745416384568002</v>
      </c>
      <c r="AO241" t="e">
        <f t="shared" si="63"/>
        <v>#N/A</v>
      </c>
      <c r="AP241" t="e">
        <f t="shared" si="64"/>
        <v>#N/A</v>
      </c>
      <c r="AQ241" t="e">
        <f t="shared" si="65"/>
        <v>#N/A</v>
      </c>
    </row>
    <row r="242" spans="15:43">
      <c r="O242">
        <v>238</v>
      </c>
      <c r="P242" s="401">
        <f>'Lab test'!N241</f>
        <v>173.34153870785363</v>
      </c>
      <c r="Q242" s="401">
        <f>'Lab test'!M241</f>
        <v>0.22707741570728823</v>
      </c>
      <c r="R242">
        <f>IF('Lab test'!O241&gt;0,'Lab test'!O241,NA())</f>
        <v>266.7</v>
      </c>
      <c r="S242">
        <f>'Lab test'!Q241</f>
        <v>763.35877862595419</v>
      </c>
      <c r="T242" s="401">
        <f>IF('Lab test'!P241&gt;0,'Lab test'!P241,NA())</f>
        <v>5.5687281347272938E-2</v>
      </c>
      <c r="U242" s="401">
        <f>'Lab test'!AZ241</f>
        <v>1933</v>
      </c>
      <c r="V242">
        <f>IF('Lab test'!AQ241&gt;0,'Lab test'!AQ241,NA())</f>
        <v>1.3659495552588206</v>
      </c>
      <c r="W242">
        <f>IF('Lab test'!AU241&gt;0,'Lab test'!AU241,NA())</f>
        <v>0.18671328671328674</v>
      </c>
      <c r="X242">
        <f>IF('Lab test'!AT241&gt;0,'Lab test'!AT241,NA())</f>
        <v>0.34837304619975001</v>
      </c>
      <c r="Y242">
        <f t="shared" si="51"/>
        <v>1</v>
      </c>
      <c r="Z242" t="str">
        <f>'Lab test'!AC241</f>
        <v>Machined</v>
      </c>
      <c r="AA242" t="str">
        <f>'Lab test'!T241</f>
        <v>Steel</v>
      </c>
      <c r="AC242" t="e">
        <f t="shared" si="52"/>
        <v>#N/A</v>
      </c>
      <c r="AD242" t="e">
        <f t="shared" si="53"/>
        <v>#N/A</v>
      </c>
      <c r="AE242" t="e">
        <f t="shared" si="54"/>
        <v>#N/A</v>
      </c>
      <c r="AF242">
        <f t="shared" si="55"/>
        <v>0.18671328671328674</v>
      </c>
      <c r="AG242" t="e">
        <f t="shared" si="56"/>
        <v>#N/A</v>
      </c>
      <c r="AH242" t="e">
        <f t="shared" si="57"/>
        <v>#N/A</v>
      </c>
      <c r="AI242" t="e">
        <f t="shared" si="58"/>
        <v>#N/A</v>
      </c>
      <c r="AK242" t="e">
        <f t="shared" si="59"/>
        <v>#N/A</v>
      </c>
      <c r="AL242" t="e">
        <f t="shared" si="60"/>
        <v>#N/A</v>
      </c>
      <c r="AM242" t="e">
        <f t="shared" si="61"/>
        <v>#N/A</v>
      </c>
      <c r="AN242">
        <f t="shared" si="62"/>
        <v>0.34837304619975001</v>
      </c>
      <c r="AO242" t="e">
        <f t="shared" si="63"/>
        <v>#N/A</v>
      </c>
      <c r="AP242" t="e">
        <f t="shared" si="64"/>
        <v>#N/A</v>
      </c>
      <c r="AQ242" t="e">
        <f t="shared" si="65"/>
        <v>#N/A</v>
      </c>
    </row>
    <row r="243" spans="15:43">
      <c r="O243">
        <v>239</v>
      </c>
      <c r="P243" s="401">
        <f>'Lab test'!N242</f>
        <v>173.39792997137192</v>
      </c>
      <c r="Q243" s="401">
        <f>'Lab test'!M242</f>
        <v>0.33985994274388898</v>
      </c>
      <c r="R243">
        <f>IF('Lab test'!O242&gt;0,'Lab test'!O242,NA())</f>
        <v>245.36399999999998</v>
      </c>
      <c r="S243">
        <f>'Lab test'!Q242</f>
        <v>510.20408163265307</v>
      </c>
      <c r="T243" s="401">
        <f>IF('Lab test'!P242&gt;0,'Lab test'!P242,NA())</f>
        <v>6.2646234260854208E-2</v>
      </c>
      <c r="U243" s="401">
        <f>'Lab test'!AZ242</f>
        <v>1933</v>
      </c>
      <c r="V243">
        <f>IF('Lab test'!AQ242&gt;0,'Lab test'!AQ242,NA())</f>
        <v>1.1167148032767167</v>
      </c>
      <c r="W243">
        <f>IF('Lab test'!AU242&gt;0,'Lab test'!AU242,NA())</f>
        <v>0.3867132867132867</v>
      </c>
      <c r="X243">
        <f>IF('Lab test'!AT242&gt;0,'Lab test'!AT242,NA())</f>
        <v>0.48225155900497763</v>
      </c>
      <c r="Y243">
        <f t="shared" si="51"/>
        <v>1</v>
      </c>
      <c r="Z243" t="str">
        <f>'Lab test'!AC242</f>
        <v>Machined</v>
      </c>
      <c r="AA243" t="str">
        <f>'Lab test'!T242</f>
        <v>Steel</v>
      </c>
      <c r="AC243" t="e">
        <f t="shared" si="52"/>
        <v>#N/A</v>
      </c>
      <c r="AD243" t="e">
        <f t="shared" si="53"/>
        <v>#N/A</v>
      </c>
      <c r="AE243" t="e">
        <f t="shared" si="54"/>
        <v>#N/A</v>
      </c>
      <c r="AF243">
        <f t="shared" si="55"/>
        <v>0.3867132867132867</v>
      </c>
      <c r="AG243" t="e">
        <f t="shared" si="56"/>
        <v>#N/A</v>
      </c>
      <c r="AH243" t="e">
        <f t="shared" si="57"/>
        <v>#N/A</v>
      </c>
      <c r="AI243" t="e">
        <f t="shared" si="58"/>
        <v>#N/A</v>
      </c>
      <c r="AK243" t="e">
        <f t="shared" si="59"/>
        <v>#N/A</v>
      </c>
      <c r="AL243" t="e">
        <f t="shared" si="60"/>
        <v>#N/A</v>
      </c>
      <c r="AM243" t="e">
        <f t="shared" si="61"/>
        <v>#N/A</v>
      </c>
      <c r="AN243">
        <f t="shared" si="62"/>
        <v>0.48225155900497763</v>
      </c>
      <c r="AO243" t="e">
        <f t="shared" si="63"/>
        <v>#N/A</v>
      </c>
      <c r="AP243" t="e">
        <f t="shared" si="64"/>
        <v>#N/A</v>
      </c>
      <c r="AQ243" t="e">
        <f t="shared" si="65"/>
        <v>#N/A</v>
      </c>
    </row>
    <row r="244" spans="15:43">
      <c r="O244">
        <v>240</v>
      </c>
      <c r="P244" s="401">
        <f>'Lab test'!N243</f>
        <v>173.48302003945798</v>
      </c>
      <c r="Q244" s="401">
        <f>'Lab test'!M243</f>
        <v>0.51004007891600645</v>
      </c>
      <c r="R244">
        <f>IF('Lab test'!O243&gt;0,'Lab test'!O243,NA())</f>
        <v>265.68400000000003</v>
      </c>
      <c r="S244">
        <f>'Lab test'!Q243</f>
        <v>340.13605442176873</v>
      </c>
      <c r="T244" s="401">
        <f>IF('Lab test'!P243&gt;0,'Lab test'!P243,NA())</f>
        <v>8.303899655237873E-2</v>
      </c>
      <c r="U244" s="401">
        <f>'Lab test'!AZ243</f>
        <v>1933</v>
      </c>
      <c r="V244">
        <f>IF('Lab test'!AQ243&gt;0,'Lab test'!AQ243,NA())</f>
        <v>0.91179381874681753</v>
      </c>
      <c r="W244">
        <f>IF('Lab test'!AU243&gt;0,'Lab test'!AU243,NA())</f>
        <v>0.50815850815850827</v>
      </c>
      <c r="X244">
        <f>IF('Lab test'!AT243&gt;0,'Lab test'!AT243,NA())</f>
        <v>0.42246670630132671</v>
      </c>
      <c r="Y244">
        <f t="shared" si="51"/>
        <v>1</v>
      </c>
      <c r="Z244" t="str">
        <f>'Lab test'!AC243</f>
        <v>Machined</v>
      </c>
      <c r="AA244" t="str">
        <f>'Lab test'!T243</f>
        <v>Steel</v>
      </c>
      <c r="AC244" t="e">
        <f t="shared" si="52"/>
        <v>#N/A</v>
      </c>
      <c r="AD244" t="e">
        <f t="shared" si="53"/>
        <v>#N/A</v>
      </c>
      <c r="AE244" t="e">
        <f t="shared" si="54"/>
        <v>#N/A</v>
      </c>
      <c r="AF244">
        <f t="shared" si="55"/>
        <v>0.50815850815850827</v>
      </c>
      <c r="AG244" t="e">
        <f t="shared" si="56"/>
        <v>#N/A</v>
      </c>
      <c r="AH244" t="e">
        <f t="shared" si="57"/>
        <v>#N/A</v>
      </c>
      <c r="AI244" t="e">
        <f t="shared" si="58"/>
        <v>#N/A</v>
      </c>
      <c r="AK244" t="e">
        <f t="shared" si="59"/>
        <v>#N/A</v>
      </c>
      <c r="AL244" t="e">
        <f t="shared" si="60"/>
        <v>#N/A</v>
      </c>
      <c r="AM244" t="e">
        <f t="shared" si="61"/>
        <v>#N/A</v>
      </c>
      <c r="AN244">
        <f t="shared" si="62"/>
        <v>0.42246670630132671</v>
      </c>
      <c r="AO244" t="e">
        <f t="shared" si="63"/>
        <v>#N/A</v>
      </c>
      <c r="AP244" t="e">
        <f t="shared" si="64"/>
        <v>#N/A</v>
      </c>
      <c r="AQ244" t="e">
        <f t="shared" si="65"/>
        <v>#N/A</v>
      </c>
    </row>
    <row r="245" spans="15:43">
      <c r="O245">
        <v>241</v>
      </c>
      <c r="P245" s="401">
        <f>'Lab test'!N244</f>
        <v>173.59689339847174</v>
      </c>
      <c r="Q245" s="401">
        <f>'Lab test'!M244</f>
        <v>0.73778679694350491</v>
      </c>
      <c r="R245">
        <f>IF('Lab test'!O244&gt;0,'Lab test'!O244,NA())</f>
        <v>266.7</v>
      </c>
      <c r="S245">
        <f>'Lab test'!Q244</f>
        <v>235.29411764705881</v>
      </c>
      <c r="T245" s="401">
        <f>IF('Lab test'!P244&gt;0,'Lab test'!P244,NA())</f>
        <v>0.10015566796328701</v>
      </c>
      <c r="U245" s="401">
        <f>'Lab test'!AZ244</f>
        <v>1933</v>
      </c>
      <c r="V245">
        <f>IF('Lab test'!AQ244&gt;0,'Lab test'!AQ244,NA())</f>
        <v>0.75836074384012342</v>
      </c>
      <c r="W245">
        <f>IF('Lab test'!AU244&gt;0,'Lab test'!AU244,NA())</f>
        <v>0.70629370629370636</v>
      </c>
      <c r="X245">
        <f>IF('Lab test'!AT244&gt;0,'Lab test'!AT244,NA())</f>
        <v>0.40619729229071527</v>
      </c>
      <c r="Y245">
        <f t="shared" si="51"/>
        <v>1</v>
      </c>
      <c r="Z245" t="str">
        <f>'Lab test'!AC244</f>
        <v>Machined</v>
      </c>
      <c r="AA245" t="str">
        <f>'Lab test'!T244</f>
        <v>Steel</v>
      </c>
      <c r="AC245" t="e">
        <f t="shared" si="52"/>
        <v>#N/A</v>
      </c>
      <c r="AD245" t="e">
        <f t="shared" si="53"/>
        <v>#N/A</v>
      </c>
      <c r="AE245" t="e">
        <f t="shared" si="54"/>
        <v>#N/A</v>
      </c>
      <c r="AF245">
        <f t="shared" si="55"/>
        <v>0.70629370629370636</v>
      </c>
      <c r="AG245" t="e">
        <f t="shared" si="56"/>
        <v>#N/A</v>
      </c>
      <c r="AH245" t="e">
        <f t="shared" si="57"/>
        <v>#N/A</v>
      </c>
      <c r="AI245" t="e">
        <f t="shared" si="58"/>
        <v>#N/A</v>
      </c>
      <c r="AK245" t="e">
        <f t="shared" si="59"/>
        <v>#N/A</v>
      </c>
      <c r="AL245" t="e">
        <f t="shared" si="60"/>
        <v>#N/A</v>
      </c>
      <c r="AM245" t="e">
        <f t="shared" si="61"/>
        <v>#N/A</v>
      </c>
      <c r="AN245">
        <f t="shared" si="62"/>
        <v>0.40619729229071527</v>
      </c>
      <c r="AO245" t="e">
        <f t="shared" si="63"/>
        <v>#N/A</v>
      </c>
      <c r="AP245" t="e">
        <f t="shared" si="64"/>
        <v>#N/A</v>
      </c>
      <c r="AQ245" t="e">
        <f t="shared" si="65"/>
        <v>#N/A</v>
      </c>
    </row>
    <row r="246" spans="15:43">
      <c r="O246">
        <v>242</v>
      </c>
      <c r="P246" s="401">
        <f>'Lab test'!N245</f>
        <v>1016</v>
      </c>
      <c r="Q246" s="401">
        <f>'Lab test'!M245</f>
        <v>6.0756800000000002</v>
      </c>
      <c r="R246">
        <f>IF('Lab test'!O245&gt;0,'Lab test'!O245,NA())</f>
        <v>1828.8</v>
      </c>
      <c r="S246">
        <f>'Lab test'!Q245</f>
        <v>167.22408026755852</v>
      </c>
      <c r="T246" s="401">
        <f>IF('Lab test'!P245&gt;0,'Lab test'!P245,NA())</f>
        <v>0.13919482749010467</v>
      </c>
      <c r="U246" s="401">
        <f>'Lab test'!AZ245</f>
        <v>1933</v>
      </c>
      <c r="V246">
        <f>IF('Lab test'!AQ245&gt;0,'Lab test'!AQ245,NA())</f>
        <v>0.58110549445608406</v>
      </c>
      <c r="W246">
        <f>IF('Lab test'!AU245&gt;0,'Lab test'!AU245,NA())</f>
        <v>0.68128778293265846</v>
      </c>
      <c r="X246">
        <f>IF('Lab test'!AT245&gt;0,'Lab test'!AT245,NA())</f>
        <v>0.23005970823835847</v>
      </c>
      <c r="Y246">
        <f t="shared" si="51"/>
        <v>1</v>
      </c>
      <c r="Z246" t="str">
        <f>'Lab test'!AC245</f>
        <v>CLTW</v>
      </c>
      <c r="AA246" t="str">
        <f>'Lab test'!T245</f>
        <v>Steel</v>
      </c>
      <c r="AC246" t="e">
        <f t="shared" si="52"/>
        <v>#N/A</v>
      </c>
      <c r="AD246" t="e">
        <f t="shared" si="53"/>
        <v>#N/A</v>
      </c>
      <c r="AE246" t="e">
        <f t="shared" si="54"/>
        <v>#N/A</v>
      </c>
      <c r="AF246" t="e">
        <f t="shared" si="55"/>
        <v>#N/A</v>
      </c>
      <c r="AG246" t="e">
        <f t="shared" si="56"/>
        <v>#N/A</v>
      </c>
      <c r="AH246">
        <f t="shared" si="57"/>
        <v>0.68128778293265846</v>
      </c>
      <c r="AI246" t="e">
        <f t="shared" si="58"/>
        <v>#N/A</v>
      </c>
      <c r="AK246" t="e">
        <f t="shared" si="59"/>
        <v>#N/A</v>
      </c>
      <c r="AL246" t="e">
        <f t="shared" si="60"/>
        <v>#N/A</v>
      </c>
      <c r="AM246" t="e">
        <f t="shared" si="61"/>
        <v>#N/A</v>
      </c>
      <c r="AN246" t="e">
        <f t="shared" si="62"/>
        <v>#N/A</v>
      </c>
      <c r="AO246" t="e">
        <f t="shared" si="63"/>
        <v>#N/A</v>
      </c>
      <c r="AP246">
        <f t="shared" si="64"/>
        <v>0.23005970823835847</v>
      </c>
      <c r="AQ246" t="e">
        <f t="shared" si="65"/>
        <v>#N/A</v>
      </c>
    </row>
    <row r="247" spans="15:43">
      <c r="O247">
        <v>243</v>
      </c>
      <c r="P247" s="401">
        <f>'Lab test'!N246</f>
        <v>1016</v>
      </c>
      <c r="Q247" s="401">
        <f>'Lab test'!M246</f>
        <v>5.9029600000000002</v>
      </c>
      <c r="R247">
        <f>IF('Lab test'!O246&gt;0,'Lab test'!O246,NA())</f>
        <v>1828.8</v>
      </c>
      <c r="S247">
        <f>'Lab test'!Q246</f>
        <v>172.11703958691911</v>
      </c>
      <c r="T247" s="401">
        <f>IF('Lab test'!P246&gt;0,'Lab test'!P246,NA())</f>
        <v>0.13720204080114845</v>
      </c>
      <c r="U247" s="401">
        <f>'Lab test'!AZ246</f>
        <v>1933</v>
      </c>
      <c r="V247">
        <f>IF('Lab test'!AQ246&gt;0,'Lab test'!AQ246,NA())</f>
        <v>0.59900842923715092</v>
      </c>
      <c r="W247">
        <f>IF('Lab test'!AU246&gt;0,'Lab test'!AU246,NA())</f>
        <v>0.65484273243730073</v>
      </c>
      <c r="X247">
        <f>IF('Lab test'!AT246&gt;0,'Lab test'!AT246,NA())</f>
        <v>0.2349648400377404</v>
      </c>
      <c r="Y247">
        <f t="shared" si="51"/>
        <v>1</v>
      </c>
      <c r="Z247" t="str">
        <f>'Lab test'!AC246</f>
        <v>CLTW</v>
      </c>
      <c r="AA247" t="str">
        <f>'Lab test'!T246</f>
        <v>Steel</v>
      </c>
      <c r="AC247" t="e">
        <f t="shared" si="52"/>
        <v>#N/A</v>
      </c>
      <c r="AD247" t="e">
        <f t="shared" si="53"/>
        <v>#N/A</v>
      </c>
      <c r="AE247" t="e">
        <f t="shared" si="54"/>
        <v>#N/A</v>
      </c>
      <c r="AF247" t="e">
        <f t="shared" si="55"/>
        <v>#N/A</v>
      </c>
      <c r="AG247" t="e">
        <f t="shared" si="56"/>
        <v>#N/A</v>
      </c>
      <c r="AH247">
        <f t="shared" si="57"/>
        <v>0.65484273243730073</v>
      </c>
      <c r="AI247" t="e">
        <f t="shared" si="58"/>
        <v>#N/A</v>
      </c>
      <c r="AK247" t="e">
        <f t="shared" si="59"/>
        <v>#N/A</v>
      </c>
      <c r="AL247" t="e">
        <f t="shared" si="60"/>
        <v>#N/A</v>
      </c>
      <c r="AM247" t="e">
        <f t="shared" si="61"/>
        <v>#N/A</v>
      </c>
      <c r="AN247" t="e">
        <f t="shared" si="62"/>
        <v>#N/A</v>
      </c>
      <c r="AO247" t="e">
        <f t="shared" si="63"/>
        <v>#N/A</v>
      </c>
      <c r="AP247">
        <f t="shared" si="64"/>
        <v>0.2349648400377404</v>
      </c>
      <c r="AQ247" t="e">
        <f t="shared" si="65"/>
        <v>#N/A</v>
      </c>
    </row>
    <row r="248" spans="15:43">
      <c r="O248">
        <v>244</v>
      </c>
      <c r="P248" s="401">
        <f>'Lab test'!N247</f>
        <v>1016</v>
      </c>
      <c r="Q248" s="401">
        <f>'Lab test'!M247</f>
        <v>6.1467999999999998</v>
      </c>
      <c r="R248">
        <f>IF('Lab test'!O247&gt;0,'Lab test'!O247,NA())</f>
        <v>1828.8</v>
      </c>
      <c r="S248">
        <f>'Lab test'!Q247</f>
        <v>165.28925619834712</v>
      </c>
      <c r="T248" s="401">
        <f>IF('Lab test'!P247&gt;0,'Lab test'!P247,NA())</f>
        <v>0.14000714267493641</v>
      </c>
      <c r="U248" s="401">
        <f>'Lab test'!AZ247</f>
        <v>1933</v>
      </c>
      <c r="V248">
        <f>IF('Lab test'!AQ247&gt;0,'Lab test'!AQ247,NA())</f>
        <v>0.58974292048580867</v>
      </c>
      <c r="W248">
        <f>IF('Lab test'!AU247&gt;0,'Lab test'!AU247,NA())</f>
        <v>0.69217143008222515</v>
      </c>
      <c r="X248">
        <f>IF('Lab test'!AT247&gt;0,'Lab test'!AT247,NA())</f>
        <v>0.24073494770506743</v>
      </c>
      <c r="Y248">
        <f t="shared" si="51"/>
        <v>1</v>
      </c>
      <c r="Z248" t="str">
        <f>'Lab test'!AC247</f>
        <v>CLTW</v>
      </c>
      <c r="AA248" t="str">
        <f>'Lab test'!T247</f>
        <v>Steel</v>
      </c>
      <c r="AC248" t="e">
        <f t="shared" si="52"/>
        <v>#N/A</v>
      </c>
      <c r="AD248" t="e">
        <f t="shared" si="53"/>
        <v>#N/A</v>
      </c>
      <c r="AE248" t="e">
        <f t="shared" si="54"/>
        <v>#N/A</v>
      </c>
      <c r="AF248" t="e">
        <f t="shared" si="55"/>
        <v>#N/A</v>
      </c>
      <c r="AG248" t="e">
        <f t="shared" si="56"/>
        <v>#N/A</v>
      </c>
      <c r="AH248">
        <f t="shared" si="57"/>
        <v>0.69217143008222515</v>
      </c>
      <c r="AI248" t="e">
        <f t="shared" si="58"/>
        <v>#N/A</v>
      </c>
      <c r="AK248" t="e">
        <f t="shared" si="59"/>
        <v>#N/A</v>
      </c>
      <c r="AL248" t="e">
        <f t="shared" si="60"/>
        <v>#N/A</v>
      </c>
      <c r="AM248" t="e">
        <f t="shared" si="61"/>
        <v>#N/A</v>
      </c>
      <c r="AN248" t="e">
        <f t="shared" si="62"/>
        <v>#N/A</v>
      </c>
      <c r="AO248" t="e">
        <f t="shared" si="63"/>
        <v>#N/A</v>
      </c>
      <c r="AP248">
        <f t="shared" si="64"/>
        <v>0.24073494770506743</v>
      </c>
      <c r="AQ248" t="e">
        <f t="shared" si="65"/>
        <v>#N/A</v>
      </c>
    </row>
    <row r="249" spans="15:43">
      <c r="O249">
        <v>245</v>
      </c>
      <c r="P249" s="401">
        <f>'Lab test'!N248</f>
        <v>1016</v>
      </c>
      <c r="Q249" s="401">
        <f>'Lab test'!M248</f>
        <v>6.0756800000000002</v>
      </c>
      <c r="R249">
        <f>IF('Lab test'!O248&gt;0,'Lab test'!O248,NA())</f>
        <v>1828.8</v>
      </c>
      <c r="S249">
        <f>'Lab test'!Q248</f>
        <v>167.22408026755852</v>
      </c>
      <c r="T249" s="401">
        <f>IF('Lab test'!P248&gt;0,'Lab test'!P248,NA())</f>
        <v>0.13919482749010467</v>
      </c>
      <c r="U249" s="401">
        <f>'Lab test'!AZ248</f>
        <v>1933</v>
      </c>
      <c r="V249">
        <f>IF('Lab test'!AQ248&gt;0,'Lab test'!AQ248,NA())</f>
        <v>0.58638724069742743</v>
      </c>
      <c r="W249">
        <f>IF('Lab test'!AU248&gt;0,'Lab test'!AU248,NA())</f>
        <v>0.7605985037406483</v>
      </c>
      <c r="X249">
        <f>IF('Lab test'!AT248&gt;0,'Lab test'!AT248,NA())</f>
        <v>0.26153179250894387</v>
      </c>
      <c r="Y249">
        <f t="shared" si="51"/>
        <v>1</v>
      </c>
      <c r="Z249" t="str">
        <f>'Lab test'!AC248</f>
        <v>CLTW</v>
      </c>
      <c r="AA249" t="str">
        <f>'Lab test'!T248</f>
        <v>Steel</v>
      </c>
      <c r="AC249" t="e">
        <f t="shared" si="52"/>
        <v>#N/A</v>
      </c>
      <c r="AD249" t="e">
        <f t="shared" si="53"/>
        <v>#N/A</v>
      </c>
      <c r="AE249" t="e">
        <f t="shared" si="54"/>
        <v>#N/A</v>
      </c>
      <c r="AF249" t="e">
        <f t="shared" si="55"/>
        <v>#N/A</v>
      </c>
      <c r="AG249" t="e">
        <f t="shared" si="56"/>
        <v>#N/A</v>
      </c>
      <c r="AH249">
        <f t="shared" si="57"/>
        <v>0.7605985037406483</v>
      </c>
      <c r="AI249" t="e">
        <f t="shared" si="58"/>
        <v>#N/A</v>
      </c>
      <c r="AK249" t="e">
        <f t="shared" si="59"/>
        <v>#N/A</v>
      </c>
      <c r="AL249" t="e">
        <f t="shared" si="60"/>
        <v>#N/A</v>
      </c>
      <c r="AM249" t="e">
        <f t="shared" si="61"/>
        <v>#N/A</v>
      </c>
      <c r="AN249" t="e">
        <f t="shared" si="62"/>
        <v>#N/A</v>
      </c>
      <c r="AO249" t="e">
        <f t="shared" si="63"/>
        <v>#N/A</v>
      </c>
      <c r="AP249">
        <f t="shared" si="64"/>
        <v>0.26153179250894387</v>
      </c>
      <c r="AQ249" t="e">
        <f t="shared" si="65"/>
        <v>#N/A</v>
      </c>
    </row>
    <row r="250" spans="15:43">
      <c r="O250">
        <v>246</v>
      </c>
      <c r="P250" s="401">
        <f>'Lab test'!N249</f>
        <v>431.79999999999995</v>
      </c>
      <c r="Q250" s="401">
        <f>'Lab test'!M249</f>
        <v>3.1089599999999997</v>
      </c>
      <c r="R250">
        <f>IF('Lab test'!O249&gt;0,'Lab test'!O249,NA())</f>
        <v>10668</v>
      </c>
      <c r="S250">
        <f>'Lab test'!Q249</f>
        <v>138.88888888888889</v>
      </c>
      <c r="T250" s="401">
        <f>IF('Lab test'!P249&gt;0,'Lab test'!P249,NA())</f>
        <v>2.0963636336354119</v>
      </c>
      <c r="U250" s="401">
        <f>'Lab test'!AZ249</f>
        <v>1933</v>
      </c>
      <c r="V250">
        <f>IF('Lab test'!AQ249&gt;0,'Lab test'!AQ249,NA())</f>
        <v>0.50598503249121529</v>
      </c>
      <c r="W250">
        <f>IF('Lab test'!AU249&gt;0,'Lab test'!AU249,NA())</f>
        <v>0.6097560975609756</v>
      </c>
      <c r="X250">
        <f>IF('Lab test'!AT249&gt;0,'Lab test'!AT249,NA())</f>
        <v>0.15611027628361965</v>
      </c>
      <c r="Y250">
        <f t="shared" si="51"/>
        <v>1</v>
      </c>
      <c r="Z250" t="str">
        <f>'Lab test'!AC249</f>
        <v>CLTW</v>
      </c>
      <c r="AA250" t="str">
        <f>'Lab test'!T249</f>
        <v>Steel</v>
      </c>
      <c r="AC250" t="e">
        <f t="shared" si="52"/>
        <v>#N/A</v>
      </c>
      <c r="AD250" t="e">
        <f t="shared" si="53"/>
        <v>#N/A</v>
      </c>
      <c r="AE250" t="e">
        <f t="shared" si="54"/>
        <v>#N/A</v>
      </c>
      <c r="AF250" t="e">
        <f t="shared" si="55"/>
        <v>#N/A</v>
      </c>
      <c r="AG250" t="e">
        <f t="shared" si="56"/>
        <v>#N/A</v>
      </c>
      <c r="AH250">
        <f t="shared" si="57"/>
        <v>0.6097560975609756</v>
      </c>
      <c r="AI250" t="e">
        <f t="shared" si="58"/>
        <v>#N/A</v>
      </c>
      <c r="AK250" t="e">
        <f t="shared" si="59"/>
        <v>#N/A</v>
      </c>
      <c r="AL250" t="e">
        <f t="shared" si="60"/>
        <v>#N/A</v>
      </c>
      <c r="AM250" t="e">
        <f t="shared" si="61"/>
        <v>#N/A</v>
      </c>
      <c r="AN250" t="e">
        <f t="shared" si="62"/>
        <v>#N/A</v>
      </c>
      <c r="AO250" t="e">
        <f t="shared" si="63"/>
        <v>#N/A</v>
      </c>
      <c r="AP250">
        <f t="shared" si="64"/>
        <v>0.15611027628361965</v>
      </c>
      <c r="AQ250" t="e">
        <f t="shared" si="65"/>
        <v>#N/A</v>
      </c>
    </row>
    <row r="251" spans="15:43">
      <c r="O251">
        <v>247</v>
      </c>
      <c r="P251" s="401">
        <f>'Lab test'!N250</f>
        <v>431.79999999999995</v>
      </c>
      <c r="Q251" s="401">
        <f>'Lab test'!M250</f>
        <v>2.8585159999999998</v>
      </c>
      <c r="R251">
        <f>IF('Lab test'!O250&gt;0,'Lab test'!O250,NA())</f>
        <v>10668</v>
      </c>
      <c r="S251">
        <f>'Lab test'!Q250</f>
        <v>151.05740181268882</v>
      </c>
      <c r="T251" s="401">
        <f>IF('Lab test'!P250&gt;0,'Lab test'!P250,NA())</f>
        <v>2.0101541540845544</v>
      </c>
      <c r="U251" s="401">
        <f>'Lab test'!AZ250</f>
        <v>1933</v>
      </c>
      <c r="V251">
        <f>IF('Lab test'!AQ250&gt;0,'Lab test'!AQ250,NA())</f>
        <v>0.53550017609716916</v>
      </c>
      <c r="W251">
        <f>IF('Lab test'!AU250&gt;0,'Lab test'!AU250,NA())</f>
        <v>0.68518518518518523</v>
      </c>
      <c r="X251">
        <f>IF('Lab test'!AT250&gt;0,'Lab test'!AT250,NA())</f>
        <v>0.19648400422599385</v>
      </c>
      <c r="Y251">
        <f t="shared" si="51"/>
        <v>1</v>
      </c>
      <c r="Z251" t="str">
        <f>'Lab test'!AC250</f>
        <v>CLTW</v>
      </c>
      <c r="AA251" t="str">
        <f>'Lab test'!T250</f>
        <v>Steel</v>
      </c>
      <c r="AC251" t="e">
        <f t="shared" si="52"/>
        <v>#N/A</v>
      </c>
      <c r="AD251" t="e">
        <f t="shared" si="53"/>
        <v>#N/A</v>
      </c>
      <c r="AE251" t="e">
        <f t="shared" si="54"/>
        <v>#N/A</v>
      </c>
      <c r="AF251" t="e">
        <f t="shared" si="55"/>
        <v>#N/A</v>
      </c>
      <c r="AG251" t="e">
        <f t="shared" si="56"/>
        <v>#N/A</v>
      </c>
      <c r="AH251">
        <f t="shared" si="57"/>
        <v>0.68518518518518523</v>
      </c>
      <c r="AI251" t="e">
        <f t="shared" si="58"/>
        <v>#N/A</v>
      </c>
      <c r="AK251" t="e">
        <f t="shared" si="59"/>
        <v>#N/A</v>
      </c>
      <c r="AL251" t="e">
        <f t="shared" si="60"/>
        <v>#N/A</v>
      </c>
      <c r="AM251" t="e">
        <f t="shared" si="61"/>
        <v>#N/A</v>
      </c>
      <c r="AN251" t="e">
        <f t="shared" si="62"/>
        <v>#N/A</v>
      </c>
      <c r="AO251" t="e">
        <f t="shared" si="63"/>
        <v>#N/A</v>
      </c>
      <c r="AP251">
        <f t="shared" si="64"/>
        <v>0.19648400422599385</v>
      </c>
      <c r="AQ251" t="e">
        <f t="shared" si="65"/>
        <v>#N/A</v>
      </c>
    </row>
    <row r="252" spans="15:43">
      <c r="O252">
        <v>248</v>
      </c>
      <c r="P252" s="401">
        <f>'Lab test'!N251</f>
        <v>431.79999999999995</v>
      </c>
      <c r="Q252" s="401">
        <f>'Lab test'!M251</f>
        <v>3.0441899999999995</v>
      </c>
      <c r="R252">
        <f>IF('Lab test'!O251&gt;0,'Lab test'!O251,NA())</f>
        <v>6096</v>
      </c>
      <c r="S252">
        <f>'Lab test'!Q251</f>
        <v>141.84397163120568</v>
      </c>
      <c r="T252" s="401">
        <f>IF('Lab test'!P251&gt;0,'Lab test'!P251,NA())</f>
        <v>1.1853780440291763</v>
      </c>
      <c r="U252" s="401">
        <f>'Lab test'!AZ251</f>
        <v>1933</v>
      </c>
      <c r="V252">
        <f>IF('Lab test'!AQ251&gt;0,'Lab test'!AQ251,NA())</f>
        <v>0.60720317283264569</v>
      </c>
      <c r="W252">
        <f>IF('Lab test'!AU251&gt;0,'Lab test'!AU251,NA())</f>
        <v>0.5138427464008859</v>
      </c>
      <c r="X252">
        <f>IF('Lab test'!AT251&gt;0,'Lab test'!AT251,NA())</f>
        <v>0.18945160752767079</v>
      </c>
      <c r="Y252">
        <f t="shared" si="51"/>
        <v>1</v>
      </c>
      <c r="Z252" t="str">
        <f>'Lab test'!AC251</f>
        <v>CLTW</v>
      </c>
      <c r="AA252" t="str">
        <f>'Lab test'!T251</f>
        <v>Steel</v>
      </c>
      <c r="AC252" t="e">
        <f t="shared" si="52"/>
        <v>#N/A</v>
      </c>
      <c r="AD252" t="e">
        <f t="shared" si="53"/>
        <v>#N/A</v>
      </c>
      <c r="AE252" t="e">
        <f t="shared" si="54"/>
        <v>#N/A</v>
      </c>
      <c r="AF252" t="e">
        <f t="shared" si="55"/>
        <v>#N/A</v>
      </c>
      <c r="AG252" t="e">
        <f t="shared" si="56"/>
        <v>#N/A</v>
      </c>
      <c r="AH252">
        <f t="shared" si="57"/>
        <v>0.5138427464008859</v>
      </c>
      <c r="AI252" t="e">
        <f t="shared" si="58"/>
        <v>#N/A</v>
      </c>
      <c r="AK252" t="e">
        <f t="shared" si="59"/>
        <v>#N/A</v>
      </c>
      <c r="AL252" t="e">
        <f t="shared" si="60"/>
        <v>#N/A</v>
      </c>
      <c r="AM252" t="e">
        <f t="shared" si="61"/>
        <v>#N/A</v>
      </c>
      <c r="AN252" t="e">
        <f t="shared" si="62"/>
        <v>#N/A</v>
      </c>
      <c r="AO252" t="e">
        <f t="shared" si="63"/>
        <v>#N/A</v>
      </c>
      <c r="AP252">
        <f t="shared" si="64"/>
        <v>0.18945160752767079</v>
      </c>
      <c r="AQ252" t="e">
        <f t="shared" si="65"/>
        <v>#N/A</v>
      </c>
    </row>
    <row r="253" spans="15:43">
      <c r="O253">
        <v>249</v>
      </c>
      <c r="P253" s="401">
        <f>'Lab test'!N252</f>
        <v>431.79999999999995</v>
      </c>
      <c r="Q253" s="401">
        <f>'Lab test'!M252</f>
        <v>3.0355539999999994</v>
      </c>
      <c r="R253">
        <f>IF('Lab test'!O252&gt;0,'Lab test'!O252,NA())</f>
        <v>6096</v>
      </c>
      <c r="S253">
        <f>'Lab test'!Q252</f>
        <v>142.24751066856331</v>
      </c>
      <c r="T253" s="401">
        <f>IF('Lab test'!P252&gt;0,'Lab test'!P252,NA())</f>
        <v>1.1836954625649649</v>
      </c>
      <c r="U253" s="401">
        <f>'Lab test'!AZ252</f>
        <v>1933</v>
      </c>
      <c r="V253">
        <f>IF('Lab test'!AQ252&gt;0,'Lab test'!AQ252,NA())</f>
        <v>0.5481726393695614</v>
      </c>
      <c r="W253">
        <f>IF('Lab test'!AU252&gt;0,'Lab test'!AU252,NA())</f>
        <v>0.61154855643044614</v>
      </c>
      <c r="X253">
        <f>IF('Lab test'!AT252&gt;0,'Lab test'!AT252,NA())</f>
        <v>0.18376620870063035</v>
      </c>
      <c r="Y253">
        <f t="shared" si="51"/>
        <v>1</v>
      </c>
      <c r="Z253" t="str">
        <f>'Lab test'!AC252</f>
        <v>CLTW</v>
      </c>
      <c r="AA253" t="str">
        <f>'Lab test'!T252</f>
        <v>Steel</v>
      </c>
      <c r="AC253" t="e">
        <f t="shared" si="52"/>
        <v>#N/A</v>
      </c>
      <c r="AD253" t="e">
        <f t="shared" si="53"/>
        <v>#N/A</v>
      </c>
      <c r="AE253" t="e">
        <f t="shared" si="54"/>
        <v>#N/A</v>
      </c>
      <c r="AF253" t="e">
        <f t="shared" si="55"/>
        <v>#N/A</v>
      </c>
      <c r="AG253" t="e">
        <f t="shared" si="56"/>
        <v>#N/A</v>
      </c>
      <c r="AH253">
        <f t="shared" si="57"/>
        <v>0.61154855643044614</v>
      </c>
      <c r="AI253" t="e">
        <f t="shared" si="58"/>
        <v>#N/A</v>
      </c>
      <c r="AK253" t="e">
        <f t="shared" si="59"/>
        <v>#N/A</v>
      </c>
      <c r="AL253" t="e">
        <f t="shared" si="60"/>
        <v>#N/A</v>
      </c>
      <c r="AM253" t="e">
        <f t="shared" si="61"/>
        <v>#N/A</v>
      </c>
      <c r="AN253" t="e">
        <f t="shared" si="62"/>
        <v>#N/A</v>
      </c>
      <c r="AO253" t="e">
        <f t="shared" si="63"/>
        <v>#N/A</v>
      </c>
      <c r="AP253">
        <f t="shared" si="64"/>
        <v>0.18376620870063035</v>
      </c>
      <c r="AQ253" t="e">
        <f t="shared" si="65"/>
        <v>#N/A</v>
      </c>
    </row>
    <row r="254" spans="15:43">
      <c r="O254">
        <v>250</v>
      </c>
      <c r="P254" s="401">
        <f>'Lab test'!N253</f>
        <v>127</v>
      </c>
      <c r="Q254" s="401">
        <f>'Lab test'!M253</f>
        <v>0.76454</v>
      </c>
      <c r="R254">
        <f>IF('Lab test'!O253&gt;0,'Lab test'!O253,NA())</f>
        <v>762</v>
      </c>
      <c r="S254">
        <f>'Lab test'!Q253</f>
        <v>166.11295681063123</v>
      </c>
      <c r="T254" s="401">
        <f>IF('Lab test'!P253&gt;0,'Lab test'!P253,NA())</f>
        <v>0.46553195379049978</v>
      </c>
      <c r="U254" s="401">
        <f>'Lab test'!AZ253</f>
        <v>1933</v>
      </c>
      <c r="V254">
        <f>IF('Lab test'!AQ253&gt;0,'Lab test'!AQ253,NA())</f>
        <v>0.49430718136621271</v>
      </c>
      <c r="W254">
        <f>IF('Lab test'!AU253&gt;0,'Lab test'!AU253,NA())</f>
        <v>0.40704500978473579</v>
      </c>
      <c r="X254">
        <f>IF('Lab test'!AT253&gt;0,'Lab test'!AT253,NA())</f>
        <v>9.9457210619263534E-2</v>
      </c>
      <c r="Y254">
        <f t="shared" si="51"/>
        <v>1</v>
      </c>
      <c r="Z254" t="str">
        <f>'Lab test'!AC253</f>
        <v>LTWa</v>
      </c>
      <c r="AA254" t="str">
        <f>'Lab test'!T253</f>
        <v>Steel</v>
      </c>
      <c r="AC254">
        <f t="shared" si="52"/>
        <v>0.40704500978473579</v>
      </c>
      <c r="AD254" t="e">
        <f t="shared" si="53"/>
        <v>#N/A</v>
      </c>
      <c r="AE254" t="e">
        <f t="shared" si="54"/>
        <v>#N/A</v>
      </c>
      <c r="AF254" t="e">
        <f t="shared" si="55"/>
        <v>#N/A</v>
      </c>
      <c r="AG254" t="e">
        <f t="shared" si="56"/>
        <v>#N/A</v>
      </c>
      <c r="AH254" t="e">
        <f t="shared" si="57"/>
        <v>#N/A</v>
      </c>
      <c r="AI254" t="e">
        <f t="shared" si="58"/>
        <v>#N/A</v>
      </c>
      <c r="AK254">
        <f t="shared" si="59"/>
        <v>9.9457210619263534E-2</v>
      </c>
      <c r="AL254" t="e">
        <f t="shared" si="60"/>
        <v>#N/A</v>
      </c>
      <c r="AM254" t="e">
        <f t="shared" si="61"/>
        <v>#N/A</v>
      </c>
      <c r="AN254" t="e">
        <f t="shared" si="62"/>
        <v>#N/A</v>
      </c>
      <c r="AO254" t="e">
        <f t="shared" si="63"/>
        <v>#N/A</v>
      </c>
      <c r="AP254" t="e">
        <f t="shared" si="64"/>
        <v>#N/A</v>
      </c>
      <c r="AQ254" t="e">
        <f t="shared" si="65"/>
        <v>#N/A</v>
      </c>
    </row>
    <row r="255" spans="15:43">
      <c r="O255">
        <v>251</v>
      </c>
      <c r="P255" s="401">
        <f>'Lab test'!N254</f>
        <v>127</v>
      </c>
      <c r="Q255" s="401">
        <f>'Lab test'!M254</f>
        <v>0.75565000000000004</v>
      </c>
      <c r="R255">
        <f>IF('Lab test'!O254&gt;0,'Lab test'!O254,NA())</f>
        <v>762</v>
      </c>
      <c r="S255">
        <f>'Lab test'!Q254</f>
        <v>168.0672268907563</v>
      </c>
      <c r="T255" s="401">
        <f>IF('Lab test'!P254&gt;0,'Lab test'!P254,NA())</f>
        <v>0.46281745861624546</v>
      </c>
      <c r="U255" s="401">
        <f>'Lab test'!AZ254</f>
        <v>1933</v>
      </c>
      <c r="V255">
        <f>IF('Lab test'!AQ254&gt;0,'Lab test'!AQ254,NA())</f>
        <v>0.49955414383058894</v>
      </c>
      <c r="W255">
        <f>IF('Lab test'!AU254&gt;0,'Lab test'!AU254,NA())</f>
        <v>0.5471349353049908</v>
      </c>
      <c r="X255">
        <f>IF('Lab test'!AT254&gt;0,'Lab test'!AT254,NA())</f>
        <v>0.13653989910355002</v>
      </c>
      <c r="Y255">
        <f t="shared" si="51"/>
        <v>1</v>
      </c>
      <c r="Z255" t="str">
        <f>'Lab test'!AC254</f>
        <v>LTWa</v>
      </c>
      <c r="AA255" t="str">
        <f>'Lab test'!T254</f>
        <v>Steel</v>
      </c>
      <c r="AC255">
        <f t="shared" si="52"/>
        <v>0.5471349353049908</v>
      </c>
      <c r="AD255" t="e">
        <f t="shared" si="53"/>
        <v>#N/A</v>
      </c>
      <c r="AE255" t="e">
        <f t="shared" si="54"/>
        <v>#N/A</v>
      </c>
      <c r="AF255" t="e">
        <f t="shared" si="55"/>
        <v>#N/A</v>
      </c>
      <c r="AG255" t="e">
        <f t="shared" si="56"/>
        <v>#N/A</v>
      </c>
      <c r="AH255" t="e">
        <f t="shared" si="57"/>
        <v>#N/A</v>
      </c>
      <c r="AI255" t="e">
        <f t="shared" si="58"/>
        <v>#N/A</v>
      </c>
      <c r="AK255">
        <f t="shared" si="59"/>
        <v>0.13653989910355002</v>
      </c>
      <c r="AL255" t="e">
        <f t="shared" si="60"/>
        <v>#N/A</v>
      </c>
      <c r="AM255" t="e">
        <f t="shared" si="61"/>
        <v>#N/A</v>
      </c>
      <c r="AN255" t="e">
        <f t="shared" si="62"/>
        <v>#N/A</v>
      </c>
      <c r="AO255" t="e">
        <f t="shared" si="63"/>
        <v>#N/A</v>
      </c>
      <c r="AP255" t="e">
        <f t="shared" si="64"/>
        <v>#N/A</v>
      </c>
      <c r="AQ255" t="e">
        <f t="shared" si="65"/>
        <v>#N/A</v>
      </c>
    </row>
    <row r="256" spans="15:43">
      <c r="O256">
        <v>252</v>
      </c>
      <c r="P256" s="401">
        <f>'Lab test'!N255</f>
        <v>254</v>
      </c>
      <c r="Q256" s="401">
        <f>'Lab test'!M255</f>
        <v>0.77216000000000007</v>
      </c>
      <c r="R256">
        <f>IF('Lab test'!O255&gt;0,'Lab test'!O255,NA())</f>
        <v>762</v>
      </c>
      <c r="S256">
        <f>'Lab test'!Q255</f>
        <v>328.9473684210526</v>
      </c>
      <c r="T256" s="401">
        <f>IF('Lab test'!P255&gt;0,'Lab test'!P255,NA())</f>
        <v>0.16540858502508266</v>
      </c>
      <c r="U256" s="401">
        <f>'Lab test'!AZ255</f>
        <v>1933</v>
      </c>
      <c r="V256">
        <f>IF('Lab test'!AQ255&gt;0,'Lab test'!AQ255,NA())</f>
        <v>0.69888264642922793</v>
      </c>
      <c r="W256">
        <f>IF('Lab test'!AU255&gt;0,'Lab test'!AU255,NA())</f>
        <v>0.33493530499075785</v>
      </c>
      <c r="X256">
        <f>IF('Lab test'!AT255&gt;0,'Lab test'!AT255,NA())</f>
        <v>0.16359477998255403</v>
      </c>
      <c r="Y256">
        <f t="shared" si="51"/>
        <v>1</v>
      </c>
      <c r="Z256" t="str">
        <f>'Lab test'!AC255</f>
        <v>LTWa</v>
      </c>
      <c r="AA256" t="str">
        <f>'Lab test'!T255</f>
        <v>Steel</v>
      </c>
      <c r="AC256">
        <f t="shared" si="52"/>
        <v>0.33493530499075785</v>
      </c>
      <c r="AD256" t="e">
        <f t="shared" si="53"/>
        <v>#N/A</v>
      </c>
      <c r="AE256" t="e">
        <f t="shared" si="54"/>
        <v>#N/A</v>
      </c>
      <c r="AF256" t="e">
        <f t="shared" si="55"/>
        <v>#N/A</v>
      </c>
      <c r="AG256" t="e">
        <f t="shared" si="56"/>
        <v>#N/A</v>
      </c>
      <c r="AH256" t="e">
        <f t="shared" si="57"/>
        <v>#N/A</v>
      </c>
      <c r="AI256" t="e">
        <f t="shared" si="58"/>
        <v>#N/A</v>
      </c>
      <c r="AK256">
        <f t="shared" si="59"/>
        <v>0.16359477998255403</v>
      </c>
      <c r="AL256" t="e">
        <f t="shared" si="60"/>
        <v>#N/A</v>
      </c>
      <c r="AM256" t="e">
        <f t="shared" si="61"/>
        <v>#N/A</v>
      </c>
      <c r="AN256" t="e">
        <f t="shared" si="62"/>
        <v>#N/A</v>
      </c>
      <c r="AO256" t="e">
        <f t="shared" si="63"/>
        <v>#N/A</v>
      </c>
      <c r="AP256" t="e">
        <f t="shared" si="64"/>
        <v>#N/A</v>
      </c>
      <c r="AQ256" t="e">
        <f t="shared" si="65"/>
        <v>#N/A</v>
      </c>
    </row>
    <row r="257" spans="15:43">
      <c r="O257">
        <v>253</v>
      </c>
      <c r="P257" s="401">
        <f>'Lab test'!N256</f>
        <v>381</v>
      </c>
      <c r="Q257" s="401">
        <f>'Lab test'!M256</f>
        <v>0.73532999999999993</v>
      </c>
      <c r="R257">
        <f>IF('Lab test'!O256&gt;0,'Lab test'!O256,NA())</f>
        <v>762</v>
      </c>
      <c r="S257">
        <f>'Lab test'!Q256</f>
        <v>518.13471502590676</v>
      </c>
      <c r="T257" s="401">
        <f>IF('Lab test'!P256&gt;0,'Lab test'!P256,NA())</f>
        <v>8.7863530545955179E-2</v>
      </c>
      <c r="U257" s="401">
        <f>'Lab test'!AZ256</f>
        <v>1933</v>
      </c>
      <c r="V257">
        <f>IF('Lab test'!AQ256&gt;0,'Lab test'!AQ256,NA())</f>
        <v>0.91984304452712873</v>
      </c>
      <c r="W257">
        <f>IF('Lab test'!AU256&gt;0,'Lab test'!AU256,NA())</f>
        <v>0.30219224283305229</v>
      </c>
      <c r="X257">
        <f>IF('Lab test'!AT256&gt;0,'Lab test'!AT256,NA())</f>
        <v>0.25568824924188327</v>
      </c>
      <c r="Y257">
        <f t="shared" si="51"/>
        <v>1</v>
      </c>
      <c r="Z257" t="str">
        <f>'Lab test'!AC256</f>
        <v>LTWa</v>
      </c>
      <c r="AA257" t="str">
        <f>'Lab test'!T256</f>
        <v>Steel</v>
      </c>
      <c r="AC257">
        <f t="shared" si="52"/>
        <v>0.30219224283305229</v>
      </c>
      <c r="AD257" t="e">
        <f t="shared" si="53"/>
        <v>#N/A</v>
      </c>
      <c r="AE257" t="e">
        <f t="shared" si="54"/>
        <v>#N/A</v>
      </c>
      <c r="AF257" t="e">
        <f t="shared" si="55"/>
        <v>#N/A</v>
      </c>
      <c r="AG257" t="e">
        <f t="shared" si="56"/>
        <v>#N/A</v>
      </c>
      <c r="AH257" t="e">
        <f t="shared" si="57"/>
        <v>#N/A</v>
      </c>
      <c r="AI257" t="e">
        <f t="shared" si="58"/>
        <v>#N/A</v>
      </c>
      <c r="AK257">
        <f t="shared" si="59"/>
        <v>0.25568824924188327</v>
      </c>
      <c r="AL257" t="e">
        <f t="shared" si="60"/>
        <v>#N/A</v>
      </c>
      <c r="AM257" t="e">
        <f t="shared" si="61"/>
        <v>#N/A</v>
      </c>
      <c r="AN257" t="e">
        <f t="shared" si="62"/>
        <v>#N/A</v>
      </c>
      <c r="AO257" t="e">
        <f t="shared" si="63"/>
        <v>#N/A</v>
      </c>
      <c r="AP257" t="e">
        <f t="shared" si="64"/>
        <v>#N/A</v>
      </c>
      <c r="AQ257" t="e">
        <f t="shared" si="65"/>
        <v>#N/A</v>
      </c>
    </row>
    <row r="258" spans="15:43">
      <c r="O258">
        <v>254</v>
      </c>
      <c r="P258" s="401">
        <f>'Lab test'!N257</f>
        <v>381</v>
      </c>
      <c r="Q258" s="401">
        <f>'Lab test'!M257</f>
        <v>0.84582000000000002</v>
      </c>
      <c r="R258">
        <f>IF('Lab test'!O257&gt;0,'Lab test'!O257,NA())</f>
        <v>762</v>
      </c>
      <c r="S258">
        <f>'Lab test'!Q257</f>
        <v>450.45045045045043</v>
      </c>
      <c r="T258" s="401">
        <f>IF('Lab test'!P257&gt;0,'Lab test'!P257,NA())</f>
        <v>9.4233751915117972E-2</v>
      </c>
      <c r="U258" s="401">
        <f>'Lab test'!AZ257</f>
        <v>1933</v>
      </c>
      <c r="V258">
        <f>IF('Lab test'!AQ257&gt;0,'Lab test'!AQ257,NA())</f>
        <v>0.89586112181004085</v>
      </c>
      <c r="W258">
        <f>IF('Lab test'!AU257&gt;0,'Lab test'!AU257,NA())</f>
        <v>0.31406491499227207</v>
      </c>
      <c r="X258">
        <f>IF('Lab test'!AT257&gt;0,'Lab test'!AT257,NA())</f>
        <v>0.25205818360552606</v>
      </c>
      <c r="Y258">
        <f t="shared" si="51"/>
        <v>1</v>
      </c>
      <c r="Z258" t="str">
        <f>'Lab test'!AC257</f>
        <v>LTWa</v>
      </c>
      <c r="AA258" t="str">
        <f>'Lab test'!T257</f>
        <v>Steel</v>
      </c>
      <c r="AC258">
        <f t="shared" si="52"/>
        <v>0.31406491499227207</v>
      </c>
      <c r="AD258" t="e">
        <f t="shared" si="53"/>
        <v>#N/A</v>
      </c>
      <c r="AE258" t="e">
        <f t="shared" si="54"/>
        <v>#N/A</v>
      </c>
      <c r="AF258" t="e">
        <f t="shared" si="55"/>
        <v>#N/A</v>
      </c>
      <c r="AG258" t="e">
        <f t="shared" si="56"/>
        <v>#N/A</v>
      </c>
      <c r="AH258" t="e">
        <f t="shared" si="57"/>
        <v>#N/A</v>
      </c>
      <c r="AI258" t="e">
        <f t="shared" si="58"/>
        <v>#N/A</v>
      </c>
      <c r="AK258">
        <f t="shared" si="59"/>
        <v>0.25205818360552606</v>
      </c>
      <c r="AL258" t="e">
        <f t="shared" si="60"/>
        <v>#N/A</v>
      </c>
      <c r="AM258" t="e">
        <f t="shared" si="61"/>
        <v>#N/A</v>
      </c>
      <c r="AN258" t="e">
        <f t="shared" si="62"/>
        <v>#N/A</v>
      </c>
      <c r="AO258" t="e">
        <f t="shared" si="63"/>
        <v>#N/A</v>
      </c>
      <c r="AP258" t="e">
        <f t="shared" si="64"/>
        <v>#N/A</v>
      </c>
      <c r="AQ258" t="e">
        <f t="shared" si="65"/>
        <v>#N/A</v>
      </c>
    </row>
    <row r="259" spans="15:43">
      <c r="O259">
        <v>255</v>
      </c>
      <c r="P259" s="401">
        <f>'Lab test'!N258</f>
        <v>431.79999999999995</v>
      </c>
      <c r="Q259" s="401">
        <f>'Lab test'!M258</f>
        <v>2.8757879999999996</v>
      </c>
      <c r="R259">
        <f>IF('Lab test'!O258&gt;0,'Lab test'!O258,NA())</f>
        <v>1828.8000000000002</v>
      </c>
      <c r="S259">
        <f>'Lab test'!Q258</f>
        <v>150.15015015015015</v>
      </c>
      <c r="T259" s="401">
        <f>IF('Lab test'!P258&gt;0,'Lab test'!P258,NA())</f>
        <v>0.3456373682219831</v>
      </c>
      <c r="U259" s="401">
        <f>'Lab test'!AZ258</f>
        <v>1933</v>
      </c>
      <c r="V259">
        <f>IF('Lab test'!AQ258&gt;0,'Lab test'!AQ258,NA())</f>
        <v>0.57382397712795674</v>
      </c>
      <c r="W259">
        <f>IF('Lab test'!AU258&gt;0,'Lab test'!AU258,NA())</f>
        <v>0.67334167709637049</v>
      </c>
      <c r="X259">
        <f>IF('Lab test'!AT258&gt;0,'Lab test'!AT258,NA())</f>
        <v>0.22171387824667943</v>
      </c>
      <c r="Y259">
        <f t="shared" si="51"/>
        <v>1</v>
      </c>
      <c r="Z259" t="str">
        <f>'Lab test'!AC258</f>
        <v>LTWa</v>
      </c>
      <c r="AA259" t="str">
        <f>'Lab test'!T258</f>
        <v>Steel</v>
      </c>
      <c r="AC259">
        <f t="shared" si="52"/>
        <v>0.67334167709637049</v>
      </c>
      <c r="AD259" t="e">
        <f t="shared" si="53"/>
        <v>#N/A</v>
      </c>
      <c r="AE259" t="e">
        <f t="shared" si="54"/>
        <v>#N/A</v>
      </c>
      <c r="AF259" t="e">
        <f t="shared" si="55"/>
        <v>#N/A</v>
      </c>
      <c r="AG259" t="e">
        <f t="shared" si="56"/>
        <v>#N/A</v>
      </c>
      <c r="AH259" t="e">
        <f t="shared" si="57"/>
        <v>#N/A</v>
      </c>
      <c r="AI259" t="e">
        <f t="shared" si="58"/>
        <v>#N/A</v>
      </c>
      <c r="AK259">
        <f t="shared" si="59"/>
        <v>0.22171387824667943</v>
      </c>
      <c r="AL259" t="e">
        <f t="shared" si="60"/>
        <v>#N/A</v>
      </c>
      <c r="AM259" t="e">
        <f t="shared" si="61"/>
        <v>#N/A</v>
      </c>
      <c r="AN259" t="e">
        <f t="shared" si="62"/>
        <v>#N/A</v>
      </c>
      <c r="AO259" t="e">
        <f t="shared" si="63"/>
        <v>#N/A</v>
      </c>
      <c r="AP259" t="e">
        <f t="shared" si="64"/>
        <v>#N/A</v>
      </c>
      <c r="AQ259" t="e">
        <f t="shared" si="65"/>
        <v>#N/A</v>
      </c>
    </row>
    <row r="260" spans="15:43">
      <c r="O260">
        <v>256</v>
      </c>
      <c r="P260" s="401">
        <f>'Lab test'!N259</f>
        <v>431.79999999999995</v>
      </c>
      <c r="Q260" s="401">
        <f>'Lab test'!M259</f>
        <v>2.9707839999999996</v>
      </c>
      <c r="R260">
        <f>IF('Lab test'!O259&gt;0,'Lab test'!O259,NA())</f>
        <v>1828.8000000000002</v>
      </c>
      <c r="S260">
        <f>'Lab test'!Q259</f>
        <v>145.34883720930233</v>
      </c>
      <c r="T260" s="401">
        <f>IF('Lab test'!P259&gt;0,'Lab test'!P259,NA())</f>
        <v>0.35129971233872848</v>
      </c>
      <c r="U260" s="401">
        <f>'Lab test'!AZ259</f>
        <v>1933</v>
      </c>
      <c r="V260">
        <f>IF('Lab test'!AQ259&gt;0,'Lab test'!AQ259,NA())</f>
        <v>0.58169037332592877</v>
      </c>
      <c r="W260">
        <f>IF('Lab test'!AU259&gt;0,'Lab test'!AU259,NA())</f>
        <v>0.6707317073170731</v>
      </c>
      <c r="X260">
        <f>IF('Lab test'!AT259&gt;0,'Lab test'!AT259,NA())</f>
        <v>0.22695125576955136</v>
      </c>
      <c r="Y260">
        <f t="shared" si="51"/>
        <v>1</v>
      </c>
      <c r="Z260" t="str">
        <f>'Lab test'!AC259</f>
        <v>LTWa</v>
      </c>
      <c r="AA260" t="str">
        <f>'Lab test'!T259</f>
        <v>Steel</v>
      </c>
      <c r="AC260">
        <f t="shared" si="52"/>
        <v>0.6707317073170731</v>
      </c>
      <c r="AD260" t="e">
        <f t="shared" si="53"/>
        <v>#N/A</v>
      </c>
      <c r="AE260" t="e">
        <f t="shared" si="54"/>
        <v>#N/A</v>
      </c>
      <c r="AF260" t="e">
        <f t="shared" si="55"/>
        <v>#N/A</v>
      </c>
      <c r="AG260" t="e">
        <f t="shared" si="56"/>
        <v>#N/A</v>
      </c>
      <c r="AH260" t="e">
        <f t="shared" si="57"/>
        <v>#N/A</v>
      </c>
      <c r="AI260" t="e">
        <f t="shared" si="58"/>
        <v>#N/A</v>
      </c>
      <c r="AK260">
        <f t="shared" si="59"/>
        <v>0.22695125576955136</v>
      </c>
      <c r="AL260" t="e">
        <f t="shared" si="60"/>
        <v>#N/A</v>
      </c>
      <c r="AM260" t="e">
        <f t="shared" si="61"/>
        <v>#N/A</v>
      </c>
      <c r="AN260" t="e">
        <f t="shared" si="62"/>
        <v>#N/A</v>
      </c>
      <c r="AO260" t="e">
        <f t="shared" si="63"/>
        <v>#N/A</v>
      </c>
      <c r="AP260" t="e">
        <f t="shared" si="64"/>
        <v>#N/A</v>
      </c>
      <c r="AQ260" t="e">
        <f t="shared" si="65"/>
        <v>#N/A</v>
      </c>
    </row>
    <row r="261" spans="15:43">
      <c r="O261">
        <v>257</v>
      </c>
      <c r="P261" s="401">
        <f>'Lab test'!N260</f>
        <v>508</v>
      </c>
      <c r="Q261" s="401">
        <f>'Lab test'!M260</f>
        <v>0.76200000000000001</v>
      </c>
      <c r="R261">
        <f>IF('Lab test'!O260&gt;0,'Lab test'!O260,NA())</f>
        <v>762</v>
      </c>
      <c r="S261">
        <f>'Lab test'!Q260</f>
        <v>666.66666666666663</v>
      </c>
      <c r="T261" s="401">
        <f>IF('Lab test'!P260&gt;0,'Lab test'!P260,NA())</f>
        <v>5.809475019311125E-2</v>
      </c>
      <c r="U261" s="401">
        <f>'Lab test'!AZ260</f>
        <v>1933</v>
      </c>
      <c r="V261">
        <f>IF('Lab test'!AQ260&gt;0,'Lab test'!AQ260,NA())</f>
        <v>0.95391112701722314</v>
      </c>
      <c r="W261">
        <f>IF('Lab test'!AU260&gt;0,'Lab test'!AU260,NA())</f>
        <v>0.23117408906882592</v>
      </c>
      <c r="X261">
        <f>IF('Lab test'!AT260&gt;0,'Lab test'!AT260,NA())</f>
        <v>0.21035603896323504</v>
      </c>
      <c r="Y261">
        <f t="shared" si="51"/>
        <v>1</v>
      </c>
      <c r="Z261" t="str">
        <f>'Lab test'!AC260</f>
        <v>Miscellaneous</v>
      </c>
      <c r="AA261" t="str">
        <f>'Lab test'!T260</f>
        <v>Steel</v>
      </c>
      <c r="AC261" t="e">
        <f t="shared" si="52"/>
        <v>#N/A</v>
      </c>
      <c r="AD261" t="e">
        <f t="shared" si="53"/>
        <v>#N/A</v>
      </c>
      <c r="AE261" t="e">
        <f t="shared" si="54"/>
        <v>#N/A</v>
      </c>
      <c r="AF261" t="e">
        <f t="shared" si="55"/>
        <v>#N/A</v>
      </c>
      <c r="AG261" t="e">
        <f t="shared" si="56"/>
        <v>#N/A</v>
      </c>
      <c r="AH261" t="e">
        <f t="shared" si="57"/>
        <v>#N/A</v>
      </c>
      <c r="AI261">
        <f t="shared" si="58"/>
        <v>0.23117408906882592</v>
      </c>
      <c r="AK261" t="e">
        <f t="shared" si="59"/>
        <v>#N/A</v>
      </c>
      <c r="AL261" t="e">
        <f t="shared" si="60"/>
        <v>#N/A</v>
      </c>
      <c r="AM261" t="e">
        <f t="shared" si="61"/>
        <v>#N/A</v>
      </c>
      <c r="AN261" t="e">
        <f t="shared" si="62"/>
        <v>#N/A</v>
      </c>
      <c r="AO261" t="e">
        <f t="shared" si="63"/>
        <v>#N/A</v>
      </c>
      <c r="AP261" t="e">
        <f t="shared" si="64"/>
        <v>#N/A</v>
      </c>
      <c r="AQ261">
        <f t="shared" si="65"/>
        <v>0.21035603896323504</v>
      </c>
    </row>
    <row r="262" spans="15:43">
      <c r="O262">
        <v>258</v>
      </c>
      <c r="P262" s="401">
        <f>'Lab test'!N261</f>
        <v>508</v>
      </c>
      <c r="Q262" s="401">
        <f>'Lab test'!M261</f>
        <v>0.77723999999999993</v>
      </c>
      <c r="R262">
        <f>IF('Lab test'!O261&gt;0,'Lab test'!O261,NA())</f>
        <v>762</v>
      </c>
      <c r="S262">
        <f>'Lab test'!Q261</f>
        <v>653.59477124183013</v>
      </c>
      <c r="T262" s="401">
        <f>IF('Lab test'!P261&gt;0,'Lab test'!P261,NA())</f>
        <v>5.8672821646823838E-2</v>
      </c>
      <c r="U262" s="401">
        <f>'Lab test'!AZ261</f>
        <v>1933</v>
      </c>
      <c r="V262">
        <f>IF('Lab test'!AQ261&gt;0,'Lab test'!AQ261,NA())</f>
        <v>0.94451275863421391</v>
      </c>
      <c r="W262">
        <f>IF('Lab test'!AU261&gt;0,'Lab test'!AU261,NA())</f>
        <v>0.23238866396761132</v>
      </c>
      <c r="X262">
        <f>IF('Lab test'!AT261&gt;0,'Lab test'!AT261,NA())</f>
        <v>0.20731493830036216</v>
      </c>
      <c r="Y262">
        <f t="shared" ref="Y262:Y325" si="66">IF(OR(ISNUMBER(W262),ISNUMBER(X262)),1,NA())</f>
        <v>1</v>
      </c>
      <c r="Z262" t="str">
        <f>'Lab test'!AC261</f>
        <v>Miscellaneous</v>
      </c>
      <c r="AA262" t="str">
        <f>'Lab test'!T261</f>
        <v>Steel</v>
      </c>
      <c r="AC262" t="e">
        <f t="shared" ref="AC262:AC325" si="67">IF(EXACT($AC$4,Z262),W262,NA())</f>
        <v>#N/A</v>
      </c>
      <c r="AD262" t="e">
        <f t="shared" ref="AD262:AD325" si="68">IF(EXACT($AD$4,Z262),W262,NA())</f>
        <v>#N/A</v>
      </c>
      <c r="AE262" t="e">
        <f t="shared" ref="AE262:AE325" si="69">IF(EXACT($AE$4,Z262),W262,NA())</f>
        <v>#N/A</v>
      </c>
      <c r="AF262" t="e">
        <f t="shared" ref="AF262:AF325" si="70">IF(EXACT($AF$4,Z262),W262,NA())</f>
        <v>#N/A</v>
      </c>
      <c r="AG262" t="e">
        <f t="shared" ref="AG262:AG325" si="71">IF(EXACT($AG$4,Z262),W262,NA())</f>
        <v>#N/A</v>
      </c>
      <c r="AH262" t="e">
        <f t="shared" ref="AH262:AH325" si="72">IF(EXACT($AH$4,Z262),W262,NA())</f>
        <v>#N/A</v>
      </c>
      <c r="AI262">
        <f t="shared" ref="AI262:AI325" si="73">IF(EXACT($AI$4,Z262),W262,NA())</f>
        <v>0.23238866396761132</v>
      </c>
      <c r="AK262" t="e">
        <f t="shared" ref="AK262:AK325" si="74">IF(EXACT($AK$4,Z262),X262,NA())</f>
        <v>#N/A</v>
      </c>
      <c r="AL262" t="e">
        <f t="shared" ref="AL262:AL325" si="75">IF(EXACT($AL$4,Z262),X262,NA())</f>
        <v>#N/A</v>
      </c>
      <c r="AM262" t="e">
        <f t="shared" ref="AM262:AM325" si="76">IF(EXACT($AM$4,Z262),X262,NA())</f>
        <v>#N/A</v>
      </c>
      <c r="AN262" t="e">
        <f t="shared" ref="AN262:AN325" si="77">IF(EXACT($AN$4,Z262),X262,NA())</f>
        <v>#N/A</v>
      </c>
      <c r="AO262" t="e">
        <f t="shared" ref="AO262:AO325" si="78">IF(EXACT($AO$4,Z262),X262,NA())</f>
        <v>#N/A</v>
      </c>
      <c r="AP262" t="e">
        <f t="shared" ref="AP262:AP325" si="79">IF(EXACT($AP$4,Z262),X262,NA())</f>
        <v>#N/A</v>
      </c>
      <c r="AQ262">
        <f t="shared" ref="AQ262:AQ325" si="80">IF(EXACT($AQ$4,Z262),X262,NA())</f>
        <v>0.20731493830036216</v>
      </c>
    </row>
    <row r="263" spans="15:43">
      <c r="O263">
        <v>259</v>
      </c>
      <c r="P263" s="401">
        <f>'Lab test'!N262</f>
        <v>635</v>
      </c>
      <c r="Q263" s="401">
        <f>'Lab test'!M262</f>
        <v>0.76834999999999998</v>
      </c>
      <c r="R263">
        <f>IF('Lab test'!O262&gt;0,'Lab test'!O262,NA())</f>
        <v>762</v>
      </c>
      <c r="S263">
        <f>'Lab test'!Q262</f>
        <v>826.44628099173553</v>
      </c>
      <c r="T263" s="401">
        <f>IF('Lab test'!P262&gt;0,'Lab test'!P262,NA())</f>
        <v>4.1742065114222605E-2</v>
      </c>
      <c r="U263" s="401">
        <f>'Lab test'!AZ262</f>
        <v>1933</v>
      </c>
      <c r="V263">
        <f>IF('Lab test'!AQ262&gt;0,'Lab test'!AQ262,NA())</f>
        <v>1.1459357224888604</v>
      </c>
      <c r="W263">
        <f>IF('Lab test'!AU262&gt;0,'Lab test'!AU262,NA())</f>
        <v>0.15355285961871751</v>
      </c>
      <c r="X263">
        <f>IF('Lab test'!AT262&gt;0,'Lab test'!AT262,NA())</f>
        <v>0.20164080598741679</v>
      </c>
      <c r="Y263">
        <f t="shared" si="66"/>
        <v>1</v>
      </c>
      <c r="Z263" t="str">
        <f>'Lab test'!AC262</f>
        <v>Miscellaneous</v>
      </c>
      <c r="AA263" t="str">
        <f>'Lab test'!T262</f>
        <v>Steel</v>
      </c>
      <c r="AC263" t="e">
        <f t="shared" si="67"/>
        <v>#N/A</v>
      </c>
      <c r="AD263" t="e">
        <f t="shared" si="68"/>
        <v>#N/A</v>
      </c>
      <c r="AE263" t="e">
        <f t="shared" si="69"/>
        <v>#N/A</v>
      </c>
      <c r="AF263" t="e">
        <f t="shared" si="70"/>
        <v>#N/A</v>
      </c>
      <c r="AG263" t="e">
        <f t="shared" si="71"/>
        <v>#N/A</v>
      </c>
      <c r="AH263" t="e">
        <f t="shared" si="72"/>
        <v>#N/A</v>
      </c>
      <c r="AI263">
        <f t="shared" si="73"/>
        <v>0.15355285961871751</v>
      </c>
      <c r="AK263" t="e">
        <f t="shared" si="74"/>
        <v>#N/A</v>
      </c>
      <c r="AL263" t="e">
        <f t="shared" si="75"/>
        <v>#N/A</v>
      </c>
      <c r="AM263" t="e">
        <f t="shared" si="76"/>
        <v>#N/A</v>
      </c>
      <c r="AN263" t="e">
        <f t="shared" si="77"/>
        <v>#N/A</v>
      </c>
      <c r="AO263" t="e">
        <f t="shared" si="78"/>
        <v>#N/A</v>
      </c>
      <c r="AP263" t="e">
        <f t="shared" si="79"/>
        <v>#N/A</v>
      </c>
      <c r="AQ263">
        <f t="shared" si="80"/>
        <v>0.20164080598741679</v>
      </c>
    </row>
    <row r="264" spans="15:43">
      <c r="O264">
        <v>260</v>
      </c>
      <c r="P264" s="401">
        <f>'Lab test'!N263</f>
        <v>635</v>
      </c>
      <c r="Q264" s="401">
        <f>'Lab test'!M263</f>
        <v>0.74930000000000008</v>
      </c>
      <c r="R264">
        <f>IF('Lab test'!O263&gt;0,'Lab test'!O263,NA())</f>
        <v>762</v>
      </c>
      <c r="S264">
        <f>'Lab test'!Q263</f>
        <v>847.45762711864404</v>
      </c>
      <c r="T264" s="401">
        <f>IF('Lab test'!P263&gt;0,'Lab test'!P263,NA())</f>
        <v>4.1221353689562402E-2</v>
      </c>
      <c r="U264" s="401">
        <f>'Lab test'!AZ263</f>
        <v>1933</v>
      </c>
      <c r="V264">
        <f>IF('Lab test'!AQ263&gt;0,'Lab test'!AQ263,NA())</f>
        <v>1.0904258213959641</v>
      </c>
      <c r="W264">
        <f>IF('Lab test'!AU263&gt;0,'Lab test'!AU263,NA())</f>
        <v>0.16800785083415112</v>
      </c>
      <c r="X264">
        <f>IF('Lab test'!AT263&gt;0,'Lab test'!AT263,NA())</f>
        <v>0.199766118155801</v>
      </c>
      <c r="Y264">
        <f t="shared" si="66"/>
        <v>1</v>
      </c>
      <c r="Z264" t="str">
        <f>'Lab test'!AC263</f>
        <v>Miscellaneous</v>
      </c>
      <c r="AA264" t="str">
        <f>'Lab test'!T263</f>
        <v>Steel</v>
      </c>
      <c r="AC264" t="e">
        <f t="shared" si="67"/>
        <v>#N/A</v>
      </c>
      <c r="AD264" t="e">
        <f t="shared" si="68"/>
        <v>#N/A</v>
      </c>
      <c r="AE264" t="e">
        <f t="shared" si="69"/>
        <v>#N/A</v>
      </c>
      <c r="AF264" t="e">
        <f t="shared" si="70"/>
        <v>#N/A</v>
      </c>
      <c r="AG264" t="e">
        <f t="shared" si="71"/>
        <v>#N/A</v>
      </c>
      <c r="AH264" t="e">
        <f t="shared" si="72"/>
        <v>#N/A</v>
      </c>
      <c r="AI264">
        <f t="shared" si="73"/>
        <v>0.16800785083415112</v>
      </c>
      <c r="AK264" t="e">
        <f t="shared" si="74"/>
        <v>#N/A</v>
      </c>
      <c r="AL264" t="e">
        <f t="shared" si="75"/>
        <v>#N/A</v>
      </c>
      <c r="AM264" t="e">
        <f t="shared" si="76"/>
        <v>#N/A</v>
      </c>
      <c r="AN264" t="e">
        <f t="shared" si="77"/>
        <v>#N/A</v>
      </c>
      <c r="AO264" t="e">
        <f t="shared" si="78"/>
        <v>#N/A</v>
      </c>
      <c r="AP264" t="e">
        <f t="shared" si="79"/>
        <v>#N/A</v>
      </c>
      <c r="AQ264">
        <f t="shared" si="80"/>
        <v>0.199766118155801</v>
      </c>
    </row>
    <row r="265" spans="15:43">
      <c r="O265">
        <v>261</v>
      </c>
      <c r="P265" s="401">
        <f>'Lab test'!N264</f>
        <v>762</v>
      </c>
      <c r="Q265" s="401">
        <f>'Lab test'!M264</f>
        <v>0.78486</v>
      </c>
      <c r="R265">
        <f>IF('Lab test'!O264&gt;0,'Lab test'!O264,NA())</f>
        <v>762</v>
      </c>
      <c r="S265">
        <f>'Lab test'!Q264</f>
        <v>970.87378640776694</v>
      </c>
      <c r="T265" s="401">
        <f>IF('Lab test'!P264&gt;0,'Lab test'!P264,NA())</f>
        <v>3.2093613071762429E-2</v>
      </c>
      <c r="U265" s="401">
        <f>'Lab test'!AZ264</f>
        <v>1933</v>
      </c>
      <c r="V265">
        <f>IF('Lab test'!AQ264&gt;0,'Lab test'!AQ264,NA())</f>
        <v>1.3013240428093602</v>
      </c>
      <c r="W265">
        <f>IF('Lab test'!AU264&gt;0,'Lab test'!AU264,NA())</f>
        <v>0.13135459425323651</v>
      </c>
      <c r="X265">
        <f>IF('Lab test'!AT264&gt;0,'Lab test'!AT264,NA())</f>
        <v>0.22244168423990465</v>
      </c>
      <c r="Y265">
        <f t="shared" si="66"/>
        <v>1</v>
      </c>
      <c r="Z265" t="str">
        <f>'Lab test'!AC264</f>
        <v>Miscellaneous</v>
      </c>
      <c r="AA265" t="str">
        <f>'Lab test'!T264</f>
        <v>Steel</v>
      </c>
      <c r="AC265" t="e">
        <f t="shared" si="67"/>
        <v>#N/A</v>
      </c>
      <c r="AD265" t="e">
        <f t="shared" si="68"/>
        <v>#N/A</v>
      </c>
      <c r="AE265" t="e">
        <f t="shared" si="69"/>
        <v>#N/A</v>
      </c>
      <c r="AF265" t="e">
        <f t="shared" si="70"/>
        <v>#N/A</v>
      </c>
      <c r="AG265" t="e">
        <f t="shared" si="71"/>
        <v>#N/A</v>
      </c>
      <c r="AH265" t="e">
        <f t="shared" si="72"/>
        <v>#N/A</v>
      </c>
      <c r="AI265">
        <f t="shared" si="73"/>
        <v>0.13135459425323651</v>
      </c>
      <c r="AK265" t="e">
        <f t="shared" si="74"/>
        <v>#N/A</v>
      </c>
      <c r="AL265" t="e">
        <f t="shared" si="75"/>
        <v>#N/A</v>
      </c>
      <c r="AM265" t="e">
        <f t="shared" si="76"/>
        <v>#N/A</v>
      </c>
      <c r="AN265" t="e">
        <f t="shared" si="77"/>
        <v>#N/A</v>
      </c>
      <c r="AO265" t="e">
        <f t="shared" si="78"/>
        <v>#N/A</v>
      </c>
      <c r="AP265" t="e">
        <f t="shared" si="79"/>
        <v>#N/A</v>
      </c>
      <c r="AQ265">
        <f t="shared" si="80"/>
        <v>0.22244168423990465</v>
      </c>
    </row>
    <row r="266" spans="15:43">
      <c r="O266">
        <v>262</v>
      </c>
      <c r="P266" s="401">
        <f>'Lab test'!N265</f>
        <v>762</v>
      </c>
      <c r="Q266" s="401">
        <f>'Lab test'!M265</f>
        <v>0.76962000000000008</v>
      </c>
      <c r="R266">
        <f>IF('Lab test'!O265&gt;0,'Lab test'!O265,NA())</f>
        <v>762</v>
      </c>
      <c r="S266">
        <f>'Lab test'!Q265</f>
        <v>990.09900990099004</v>
      </c>
      <c r="T266" s="401">
        <f>IF('Lab test'!P265&gt;0,'Lab test'!P265,NA())</f>
        <v>3.1780497164141407E-2</v>
      </c>
      <c r="U266" s="401">
        <f>'Lab test'!AZ265</f>
        <v>1933</v>
      </c>
      <c r="V266">
        <f>IF('Lab test'!AQ265&gt;0,'Lab test'!AQ265,NA())</f>
        <v>1.5794827845583594</v>
      </c>
      <c r="W266">
        <f>IF('Lab test'!AU265&gt;0,'Lab test'!AU265,NA())</f>
        <v>8.4590163934426227E-2</v>
      </c>
      <c r="X266">
        <f>IF('Lab test'!AT265&gt;0,'Lab test'!AT265,NA())</f>
        <v>0.21103265364353677</v>
      </c>
      <c r="Y266">
        <f t="shared" si="66"/>
        <v>1</v>
      </c>
      <c r="Z266" t="str">
        <f>'Lab test'!AC265</f>
        <v>Miscellaneous</v>
      </c>
      <c r="AA266" t="str">
        <f>'Lab test'!T265</f>
        <v>Steel</v>
      </c>
      <c r="AC266" t="e">
        <f t="shared" si="67"/>
        <v>#N/A</v>
      </c>
      <c r="AD266" t="e">
        <f t="shared" si="68"/>
        <v>#N/A</v>
      </c>
      <c r="AE266" t="e">
        <f t="shared" si="69"/>
        <v>#N/A</v>
      </c>
      <c r="AF266" t="e">
        <f t="shared" si="70"/>
        <v>#N/A</v>
      </c>
      <c r="AG266" t="e">
        <f t="shared" si="71"/>
        <v>#N/A</v>
      </c>
      <c r="AH266" t="e">
        <f t="shared" si="72"/>
        <v>#N/A</v>
      </c>
      <c r="AI266">
        <f t="shared" si="73"/>
        <v>8.4590163934426227E-2</v>
      </c>
      <c r="AK266" t="e">
        <f t="shared" si="74"/>
        <v>#N/A</v>
      </c>
      <c r="AL266" t="e">
        <f t="shared" si="75"/>
        <v>#N/A</v>
      </c>
      <c r="AM266" t="e">
        <f t="shared" si="76"/>
        <v>#N/A</v>
      </c>
      <c r="AN266" t="e">
        <f t="shared" si="77"/>
        <v>#N/A</v>
      </c>
      <c r="AO266" t="e">
        <f t="shared" si="78"/>
        <v>#N/A</v>
      </c>
      <c r="AP266" t="e">
        <f t="shared" si="79"/>
        <v>#N/A</v>
      </c>
      <c r="AQ266">
        <f t="shared" si="80"/>
        <v>0.21103265364353677</v>
      </c>
    </row>
    <row r="267" spans="15:43">
      <c r="O267">
        <v>263</v>
      </c>
      <c r="P267" s="401">
        <f>'Lab test'!N266</f>
        <v>254</v>
      </c>
      <c r="Q267" s="401">
        <f>'Lab test'!M266</f>
        <v>0.81</v>
      </c>
      <c r="R267">
        <f>IF('Lab test'!O266&gt;0,'Lab test'!O266,NA())</f>
        <v>45.211999999999996</v>
      </c>
      <c r="S267">
        <f>'Lab test'!Q266</f>
        <v>303</v>
      </c>
      <c r="T267" s="401">
        <f>IF('Lab test'!P266&gt;0,'Lab test'!P266,NA())</f>
        <v>1.0051841998313299E-2</v>
      </c>
      <c r="U267" s="401">
        <f>'Lab test'!AZ266</f>
        <v>1987</v>
      </c>
      <c r="V267">
        <f>IF('Lab test'!AQ266&gt;0,'Lab test'!AQ266,NA())</f>
        <v>0.99045856852064684</v>
      </c>
      <c r="W267">
        <f>IF('Lab test'!AU266&gt;0,'Lab test'!AU266,NA())</f>
        <v>0.71045576407506705</v>
      </c>
      <c r="X267">
        <f>IF('Lab test'!AT266&gt;0,'Lab test'!AT266,NA())</f>
        <v>0.69696291321268566</v>
      </c>
      <c r="Y267">
        <f t="shared" si="66"/>
        <v>1</v>
      </c>
      <c r="Z267" t="str">
        <f>'Lab test'!AC266</f>
        <v>LTWa</v>
      </c>
      <c r="AA267" t="str">
        <f>'Lab test'!T266</f>
        <v>Steel</v>
      </c>
      <c r="AC267">
        <f t="shared" si="67"/>
        <v>0.71045576407506705</v>
      </c>
      <c r="AD267" t="e">
        <f t="shared" si="68"/>
        <v>#N/A</v>
      </c>
      <c r="AE267" t="e">
        <f t="shared" si="69"/>
        <v>#N/A</v>
      </c>
      <c r="AF267" t="e">
        <f t="shared" si="70"/>
        <v>#N/A</v>
      </c>
      <c r="AG267" t="e">
        <f t="shared" si="71"/>
        <v>#N/A</v>
      </c>
      <c r="AH267" t="e">
        <f t="shared" si="72"/>
        <v>#N/A</v>
      </c>
      <c r="AI267" t="e">
        <f t="shared" si="73"/>
        <v>#N/A</v>
      </c>
      <c r="AK267">
        <f t="shared" si="74"/>
        <v>0.69696291321268566</v>
      </c>
      <c r="AL267" t="e">
        <f t="shared" si="75"/>
        <v>#N/A</v>
      </c>
      <c r="AM267" t="e">
        <f t="shared" si="76"/>
        <v>#N/A</v>
      </c>
      <c r="AN267" t="e">
        <f t="shared" si="77"/>
        <v>#N/A</v>
      </c>
      <c r="AO267" t="e">
        <f t="shared" si="78"/>
        <v>#N/A</v>
      </c>
      <c r="AP267" t="e">
        <f t="shared" si="79"/>
        <v>#N/A</v>
      </c>
      <c r="AQ267" t="e">
        <f t="shared" si="80"/>
        <v>#N/A</v>
      </c>
    </row>
    <row r="268" spans="15:43">
      <c r="O268">
        <v>264</v>
      </c>
      <c r="P268" s="401">
        <f>'Lab test'!N267</f>
        <v>254</v>
      </c>
      <c r="Q268" s="401">
        <f>'Lab test'!M267</f>
        <v>0.81</v>
      </c>
      <c r="R268">
        <f>IF('Lab test'!O267&gt;0,'Lab test'!O267,NA())</f>
        <v>106.67999999999999</v>
      </c>
      <c r="S268">
        <f>'Lab test'!Q267</f>
        <v>313</v>
      </c>
      <c r="T268" s="401">
        <f>IF('Lab test'!P267&gt;0,'Lab test'!P267,NA())</f>
        <v>2.371782943422239E-2</v>
      </c>
      <c r="U268" s="401">
        <f>'Lab test'!AZ267</f>
        <v>1987</v>
      </c>
      <c r="V268">
        <f>IF('Lab test'!AQ267&gt;0,'Lab test'!AQ267,NA())</f>
        <v>1.0127778652551334</v>
      </c>
      <c r="W268">
        <f>IF('Lab test'!AU267&gt;0,'Lab test'!AU267,NA())</f>
        <v>0.54358974358974355</v>
      </c>
      <c r="X268">
        <f>IF('Lab test'!AT267&gt;0,'Lab test'!AT267,NA())</f>
        <v>0.55757033057014849</v>
      </c>
      <c r="Y268">
        <f t="shared" si="66"/>
        <v>1</v>
      </c>
      <c r="Z268" t="str">
        <f>'Lab test'!AC267</f>
        <v>LTWa</v>
      </c>
      <c r="AA268" t="str">
        <f>'Lab test'!T267</f>
        <v>Steel</v>
      </c>
      <c r="AC268">
        <f t="shared" si="67"/>
        <v>0.54358974358974355</v>
      </c>
      <c r="AD268" t="e">
        <f t="shared" si="68"/>
        <v>#N/A</v>
      </c>
      <c r="AE268" t="e">
        <f t="shared" si="69"/>
        <v>#N/A</v>
      </c>
      <c r="AF268" t="e">
        <f t="shared" si="70"/>
        <v>#N/A</v>
      </c>
      <c r="AG268" t="e">
        <f t="shared" si="71"/>
        <v>#N/A</v>
      </c>
      <c r="AH268" t="e">
        <f t="shared" si="72"/>
        <v>#N/A</v>
      </c>
      <c r="AI268" t="e">
        <f t="shared" si="73"/>
        <v>#N/A</v>
      </c>
      <c r="AK268">
        <f t="shared" si="74"/>
        <v>0.55757033057014849</v>
      </c>
      <c r="AL268" t="e">
        <f t="shared" si="75"/>
        <v>#N/A</v>
      </c>
      <c r="AM268" t="e">
        <f t="shared" si="76"/>
        <v>#N/A</v>
      </c>
      <c r="AN268" t="e">
        <f t="shared" si="77"/>
        <v>#N/A</v>
      </c>
      <c r="AO268" t="e">
        <f t="shared" si="78"/>
        <v>#N/A</v>
      </c>
      <c r="AP268" t="e">
        <f t="shared" si="79"/>
        <v>#N/A</v>
      </c>
      <c r="AQ268" t="e">
        <f t="shared" si="80"/>
        <v>#N/A</v>
      </c>
    </row>
    <row r="269" spans="15:43">
      <c r="O269">
        <v>265</v>
      </c>
      <c r="P269" s="401">
        <f>'Lab test'!N268</f>
        <v>254</v>
      </c>
      <c r="Q269" s="401">
        <f>'Lab test'!M268</f>
        <v>0.81</v>
      </c>
      <c r="R269">
        <f>IF('Lab test'!O268&gt;0,'Lab test'!O268,NA())</f>
        <v>106.426</v>
      </c>
      <c r="S269">
        <f>'Lab test'!Q268</f>
        <v>313</v>
      </c>
      <c r="T269" s="401">
        <f>IF('Lab test'!P268&gt;0,'Lab test'!P268,NA())</f>
        <v>2.3661358411759956E-2</v>
      </c>
      <c r="U269" s="401">
        <f>'Lab test'!AZ268</f>
        <v>1987</v>
      </c>
      <c r="V269">
        <f>IF('Lab test'!AQ268&gt;0,'Lab test'!AQ268,NA())</f>
        <v>1.0409515245154519</v>
      </c>
      <c r="W269">
        <f>IF('Lab test'!AU268&gt;0,'Lab test'!AU268,NA())</f>
        <v>0.55024271844660189</v>
      </c>
      <c r="X269">
        <f>IF('Lab test'!AT268&gt;0,'Lab test'!AT268,NA())</f>
        <v>0.59623204688798426</v>
      </c>
      <c r="Y269">
        <f t="shared" si="66"/>
        <v>1</v>
      </c>
      <c r="Z269" t="str">
        <f>'Lab test'!AC268</f>
        <v>LTWa</v>
      </c>
      <c r="AA269" t="str">
        <f>'Lab test'!T268</f>
        <v>Steel</v>
      </c>
      <c r="AC269">
        <f t="shared" si="67"/>
        <v>0.55024271844660189</v>
      </c>
      <c r="AD269" t="e">
        <f t="shared" si="68"/>
        <v>#N/A</v>
      </c>
      <c r="AE269" t="e">
        <f t="shared" si="69"/>
        <v>#N/A</v>
      </c>
      <c r="AF269" t="e">
        <f t="shared" si="70"/>
        <v>#N/A</v>
      </c>
      <c r="AG269" t="e">
        <f t="shared" si="71"/>
        <v>#N/A</v>
      </c>
      <c r="AH269" t="e">
        <f t="shared" si="72"/>
        <v>#N/A</v>
      </c>
      <c r="AI269" t="e">
        <f t="shared" si="73"/>
        <v>#N/A</v>
      </c>
      <c r="AK269">
        <f t="shared" si="74"/>
        <v>0.59623204688798426</v>
      </c>
      <c r="AL269" t="e">
        <f t="shared" si="75"/>
        <v>#N/A</v>
      </c>
      <c r="AM269" t="e">
        <f t="shared" si="76"/>
        <v>#N/A</v>
      </c>
      <c r="AN269" t="e">
        <f t="shared" si="77"/>
        <v>#N/A</v>
      </c>
      <c r="AO269" t="e">
        <f t="shared" si="78"/>
        <v>#N/A</v>
      </c>
      <c r="AP269" t="e">
        <f t="shared" si="79"/>
        <v>#N/A</v>
      </c>
      <c r="AQ269" t="e">
        <f t="shared" si="80"/>
        <v>#N/A</v>
      </c>
    </row>
    <row r="270" spans="15:43">
      <c r="O270">
        <v>266</v>
      </c>
      <c r="P270" s="401">
        <f>'Lab test'!N269</f>
        <v>254</v>
      </c>
      <c r="Q270" s="401">
        <f>'Lab test'!M269</f>
        <v>0.81</v>
      </c>
      <c r="R270">
        <f>IF('Lab test'!O269&gt;0,'Lab test'!O269,NA())</f>
        <v>106.426</v>
      </c>
      <c r="S270">
        <f>'Lab test'!Q269</f>
        <v>313</v>
      </c>
      <c r="T270" s="401">
        <f>IF('Lab test'!P269&gt;0,'Lab test'!P269,NA())</f>
        <v>2.3661358411759956E-2</v>
      </c>
      <c r="U270" s="401">
        <f>'Lab test'!AZ269</f>
        <v>1987</v>
      </c>
      <c r="V270">
        <f>IF('Lab test'!AQ269&gt;0,'Lab test'!AQ269,NA())</f>
        <v>1.0409515245154519</v>
      </c>
      <c r="W270">
        <f>IF('Lab test'!AU269&gt;0,'Lab test'!AU269,NA())</f>
        <v>0.56966019417475722</v>
      </c>
      <c r="X270">
        <f>IF('Lab test'!AT269&gt;0,'Lab test'!AT269,NA())</f>
        <v>0.61727243672082011</v>
      </c>
      <c r="Y270">
        <f t="shared" si="66"/>
        <v>1</v>
      </c>
      <c r="Z270" t="str">
        <f>'Lab test'!AC269</f>
        <v>LTWa</v>
      </c>
      <c r="AA270" t="str">
        <f>'Lab test'!T269</f>
        <v>Steel</v>
      </c>
      <c r="AC270">
        <f t="shared" si="67"/>
        <v>0.56966019417475722</v>
      </c>
      <c r="AD270" t="e">
        <f t="shared" si="68"/>
        <v>#N/A</v>
      </c>
      <c r="AE270" t="e">
        <f t="shared" si="69"/>
        <v>#N/A</v>
      </c>
      <c r="AF270" t="e">
        <f t="shared" si="70"/>
        <v>#N/A</v>
      </c>
      <c r="AG270" t="e">
        <f t="shared" si="71"/>
        <v>#N/A</v>
      </c>
      <c r="AH270" t="e">
        <f t="shared" si="72"/>
        <v>#N/A</v>
      </c>
      <c r="AI270" t="e">
        <f t="shared" si="73"/>
        <v>#N/A</v>
      </c>
      <c r="AK270">
        <f t="shared" si="74"/>
        <v>0.61727243672082011</v>
      </c>
      <c r="AL270" t="e">
        <f t="shared" si="75"/>
        <v>#N/A</v>
      </c>
      <c r="AM270" t="e">
        <f t="shared" si="76"/>
        <v>#N/A</v>
      </c>
      <c r="AN270" t="e">
        <f t="shared" si="77"/>
        <v>#N/A</v>
      </c>
      <c r="AO270" t="e">
        <f t="shared" si="78"/>
        <v>#N/A</v>
      </c>
      <c r="AP270" t="e">
        <f t="shared" si="79"/>
        <v>#N/A</v>
      </c>
      <c r="AQ270" t="e">
        <f t="shared" si="80"/>
        <v>#N/A</v>
      </c>
    </row>
    <row r="271" spans="15:43">
      <c r="O271">
        <v>267</v>
      </c>
      <c r="P271" s="401">
        <f>'Lab test'!N270</f>
        <v>41.274999999999999</v>
      </c>
      <c r="Q271" s="401">
        <f>'Lab test'!M270</f>
        <v>0.38385749999999996</v>
      </c>
      <c r="R271">
        <f>IF('Lab test'!O270&gt;0,'Lab test'!O270,NA())</f>
        <v>127</v>
      </c>
      <c r="S271">
        <f>'Lab test'!Q270</f>
        <v>107.52688172043011</v>
      </c>
      <c r="T271" s="401">
        <f>IF('Lab test'!P270&gt;0,'Lab test'!P270,NA())</f>
        <v>0.29672771572286016</v>
      </c>
      <c r="U271" s="401">
        <f>'Lab test'!AZ270</f>
        <v>1928</v>
      </c>
      <c r="V271">
        <f>IF('Lab test'!AQ270&gt;0,'Lab test'!AQ270,NA())</f>
        <v>0.70266527472493745</v>
      </c>
      <c r="W271">
        <f>IF('Lab test'!AU270&gt;0,'Lab test'!AU270,NA())</f>
        <v>0.97750000000000004</v>
      </c>
      <c r="X271">
        <f>IF('Lab test'!AT270&gt;0,'Lab test'!AT270,NA())</f>
        <v>0.48262937231742575</v>
      </c>
      <c r="Y271">
        <f t="shared" si="66"/>
        <v>1</v>
      </c>
      <c r="Z271" t="str">
        <f>'Lab test'!AC270</f>
        <v>LTWa</v>
      </c>
      <c r="AA271" t="str">
        <f>'Lab test'!T270</f>
        <v>Steel</v>
      </c>
      <c r="AC271">
        <f t="shared" si="67"/>
        <v>0.97750000000000004</v>
      </c>
      <c r="AD271" t="e">
        <f t="shared" si="68"/>
        <v>#N/A</v>
      </c>
      <c r="AE271" t="e">
        <f t="shared" si="69"/>
        <v>#N/A</v>
      </c>
      <c r="AF271" t="e">
        <f t="shared" si="70"/>
        <v>#N/A</v>
      </c>
      <c r="AG271" t="e">
        <f t="shared" si="71"/>
        <v>#N/A</v>
      </c>
      <c r="AH271" t="e">
        <f t="shared" si="72"/>
        <v>#N/A</v>
      </c>
      <c r="AI271" t="e">
        <f t="shared" si="73"/>
        <v>#N/A</v>
      </c>
      <c r="AK271">
        <f t="shared" si="74"/>
        <v>0.48262937231742575</v>
      </c>
      <c r="AL271" t="e">
        <f t="shared" si="75"/>
        <v>#N/A</v>
      </c>
      <c r="AM271" t="e">
        <f t="shared" si="76"/>
        <v>#N/A</v>
      </c>
      <c r="AN271" t="e">
        <f t="shared" si="77"/>
        <v>#N/A</v>
      </c>
      <c r="AO271" t="e">
        <f t="shared" si="78"/>
        <v>#N/A</v>
      </c>
      <c r="AP271" t="e">
        <f t="shared" si="79"/>
        <v>#N/A</v>
      </c>
      <c r="AQ271" t="e">
        <f t="shared" si="80"/>
        <v>#N/A</v>
      </c>
    </row>
    <row r="272" spans="15:43">
      <c r="O272">
        <v>268</v>
      </c>
      <c r="P272" s="401">
        <f>'Lab test'!N271</f>
        <v>41.274999999999999</v>
      </c>
      <c r="Q272" s="401">
        <f>'Lab test'!M271</f>
        <v>0.37560250000000001</v>
      </c>
      <c r="R272">
        <f>IF('Lab test'!O271&gt;0,'Lab test'!O271,NA())</f>
        <v>127</v>
      </c>
      <c r="S272">
        <f>'Lab test'!Q271</f>
        <v>109.89010989010988</v>
      </c>
      <c r="T272" s="401">
        <f>IF('Lab test'!P271&gt;0,'Lab test'!P271,NA())</f>
        <v>0.29351975428213717</v>
      </c>
      <c r="U272" s="401">
        <f>'Lab test'!AZ271</f>
        <v>1928</v>
      </c>
      <c r="V272">
        <f>IF('Lab test'!AQ271&gt;0,'Lab test'!AQ271,NA())</f>
        <v>0.71034490471292777</v>
      </c>
      <c r="W272">
        <f>IF('Lab test'!AU271&gt;0,'Lab test'!AU271,NA())</f>
        <v>1.0875000000000001</v>
      </c>
      <c r="X272">
        <f>IF('Lab test'!AT271&gt;0,'Lab test'!AT271,NA())</f>
        <v>0.54874149847113507</v>
      </c>
      <c r="Y272">
        <f t="shared" si="66"/>
        <v>1</v>
      </c>
      <c r="Z272" t="str">
        <f>'Lab test'!AC271</f>
        <v>LTWa</v>
      </c>
      <c r="AA272" t="str">
        <f>'Lab test'!T271</f>
        <v>Steel</v>
      </c>
      <c r="AC272">
        <f t="shared" si="67"/>
        <v>1.0875000000000001</v>
      </c>
      <c r="AD272" t="e">
        <f t="shared" si="68"/>
        <v>#N/A</v>
      </c>
      <c r="AE272" t="e">
        <f t="shared" si="69"/>
        <v>#N/A</v>
      </c>
      <c r="AF272" t="e">
        <f t="shared" si="70"/>
        <v>#N/A</v>
      </c>
      <c r="AG272" t="e">
        <f t="shared" si="71"/>
        <v>#N/A</v>
      </c>
      <c r="AH272" t="e">
        <f t="shared" si="72"/>
        <v>#N/A</v>
      </c>
      <c r="AI272" t="e">
        <f t="shared" si="73"/>
        <v>#N/A</v>
      </c>
      <c r="AK272">
        <f t="shared" si="74"/>
        <v>0.54874149847113507</v>
      </c>
      <c r="AL272" t="e">
        <f t="shared" si="75"/>
        <v>#N/A</v>
      </c>
      <c r="AM272" t="e">
        <f t="shared" si="76"/>
        <v>#N/A</v>
      </c>
      <c r="AN272" t="e">
        <f t="shared" si="77"/>
        <v>#N/A</v>
      </c>
      <c r="AO272" t="e">
        <f t="shared" si="78"/>
        <v>#N/A</v>
      </c>
      <c r="AP272" t="e">
        <f t="shared" si="79"/>
        <v>#N/A</v>
      </c>
      <c r="AQ272" t="e">
        <f t="shared" si="80"/>
        <v>#N/A</v>
      </c>
    </row>
    <row r="273" spans="15:43">
      <c r="O273">
        <v>269</v>
      </c>
      <c r="P273" s="401">
        <f>'Lab test'!N272</f>
        <v>41.274999999999999</v>
      </c>
      <c r="Q273" s="401">
        <f>'Lab test'!M272</f>
        <v>0.37972999999999996</v>
      </c>
      <c r="R273">
        <f>IF('Lab test'!O272&gt;0,'Lab test'!O272,NA())</f>
        <v>127</v>
      </c>
      <c r="S273">
        <f>'Lab test'!Q272</f>
        <v>108.69565217391305</v>
      </c>
      <c r="T273" s="401">
        <f>IF('Lab test'!P272&gt;0,'Lab test'!P272,NA())</f>
        <v>0.29512809374232118</v>
      </c>
      <c r="U273" s="401">
        <f>'Lab test'!AZ272</f>
        <v>1928</v>
      </c>
      <c r="V273">
        <f>IF('Lab test'!AQ272&gt;0,'Lab test'!AQ272,NA())</f>
        <v>0.70647378649404347</v>
      </c>
      <c r="W273">
        <f>IF('Lab test'!AU272&gt;0,'Lab test'!AU272,NA())</f>
        <v>1.0875000000000001</v>
      </c>
      <c r="X273">
        <f>IF('Lab test'!AT272&gt;0,'Lab test'!AT272,NA())</f>
        <v>0.54277691696601416</v>
      </c>
      <c r="Y273">
        <f t="shared" si="66"/>
        <v>1</v>
      </c>
      <c r="Z273" t="str">
        <f>'Lab test'!AC272</f>
        <v>LTWa</v>
      </c>
      <c r="AA273" t="str">
        <f>'Lab test'!T272</f>
        <v>Steel</v>
      </c>
      <c r="AC273">
        <f t="shared" si="67"/>
        <v>1.0875000000000001</v>
      </c>
      <c r="AD273" t="e">
        <f t="shared" si="68"/>
        <v>#N/A</v>
      </c>
      <c r="AE273" t="e">
        <f t="shared" si="69"/>
        <v>#N/A</v>
      </c>
      <c r="AF273" t="e">
        <f t="shared" si="70"/>
        <v>#N/A</v>
      </c>
      <c r="AG273" t="e">
        <f t="shared" si="71"/>
        <v>#N/A</v>
      </c>
      <c r="AH273" t="e">
        <f t="shared" si="72"/>
        <v>#N/A</v>
      </c>
      <c r="AI273" t="e">
        <f t="shared" si="73"/>
        <v>#N/A</v>
      </c>
      <c r="AK273">
        <f t="shared" si="74"/>
        <v>0.54277691696601416</v>
      </c>
      <c r="AL273" t="e">
        <f t="shared" si="75"/>
        <v>#N/A</v>
      </c>
      <c r="AM273" t="e">
        <f t="shared" si="76"/>
        <v>#N/A</v>
      </c>
      <c r="AN273" t="e">
        <f t="shared" si="77"/>
        <v>#N/A</v>
      </c>
      <c r="AO273" t="e">
        <f t="shared" si="78"/>
        <v>#N/A</v>
      </c>
      <c r="AP273" t="e">
        <f t="shared" si="79"/>
        <v>#N/A</v>
      </c>
      <c r="AQ273" t="e">
        <f t="shared" si="80"/>
        <v>#N/A</v>
      </c>
    </row>
    <row r="274" spans="15:43">
      <c r="O274">
        <v>270</v>
      </c>
      <c r="P274" s="401">
        <f>'Lab test'!N273</f>
        <v>63.5</v>
      </c>
      <c r="Q274" s="401">
        <f>'Lab test'!M273</f>
        <v>0.39496999999999999</v>
      </c>
      <c r="R274">
        <f>IF('Lab test'!O273&gt;0,'Lab test'!O273,NA())</f>
        <v>127</v>
      </c>
      <c r="S274">
        <f>'Lab test'!Q273</f>
        <v>160.77170418006432</v>
      </c>
      <c r="T274" s="401">
        <f>IF('Lab test'!P273&gt;0,'Lab test'!P273,NA())</f>
        <v>0.15773395322504283</v>
      </c>
      <c r="U274" s="401">
        <f>'Lab test'!AZ273</f>
        <v>1928</v>
      </c>
      <c r="V274">
        <f>IF('Lab test'!AQ273&gt;0,'Lab test'!AQ273,NA())</f>
        <v>0.85920099924923787</v>
      </c>
      <c r="W274">
        <f>IF('Lab test'!AU273&gt;0,'Lab test'!AU273,NA())</f>
        <v>0.75625000000000009</v>
      </c>
      <c r="X274">
        <f>IF('Lab test'!AT273&gt;0,'Lab test'!AT273,NA())</f>
        <v>0.55828368256510974</v>
      </c>
      <c r="Y274">
        <f t="shared" si="66"/>
        <v>1</v>
      </c>
      <c r="Z274" t="str">
        <f>'Lab test'!AC273</f>
        <v>LTWa</v>
      </c>
      <c r="AA274" t="str">
        <f>'Lab test'!T273</f>
        <v>Steel</v>
      </c>
      <c r="AC274">
        <f t="shared" si="67"/>
        <v>0.75625000000000009</v>
      </c>
      <c r="AD274" t="e">
        <f t="shared" si="68"/>
        <v>#N/A</v>
      </c>
      <c r="AE274" t="e">
        <f t="shared" si="69"/>
        <v>#N/A</v>
      </c>
      <c r="AF274" t="e">
        <f t="shared" si="70"/>
        <v>#N/A</v>
      </c>
      <c r="AG274" t="e">
        <f t="shared" si="71"/>
        <v>#N/A</v>
      </c>
      <c r="AH274" t="e">
        <f t="shared" si="72"/>
        <v>#N/A</v>
      </c>
      <c r="AI274" t="e">
        <f t="shared" si="73"/>
        <v>#N/A</v>
      </c>
      <c r="AK274">
        <f t="shared" si="74"/>
        <v>0.55828368256510974</v>
      </c>
      <c r="AL274" t="e">
        <f t="shared" si="75"/>
        <v>#N/A</v>
      </c>
      <c r="AM274" t="e">
        <f t="shared" si="76"/>
        <v>#N/A</v>
      </c>
      <c r="AN274" t="e">
        <f t="shared" si="77"/>
        <v>#N/A</v>
      </c>
      <c r="AO274" t="e">
        <f t="shared" si="78"/>
        <v>#N/A</v>
      </c>
      <c r="AP274" t="e">
        <f t="shared" si="79"/>
        <v>#N/A</v>
      </c>
      <c r="AQ274" t="e">
        <f t="shared" si="80"/>
        <v>#N/A</v>
      </c>
    </row>
    <row r="275" spans="15:43">
      <c r="O275">
        <v>271</v>
      </c>
      <c r="P275" s="401">
        <f>'Lab test'!N274</f>
        <v>63.5</v>
      </c>
      <c r="Q275" s="401">
        <f>'Lab test'!M274</f>
        <v>0.38481000000000004</v>
      </c>
      <c r="R275">
        <f>IF('Lab test'!O274&gt;0,'Lab test'!O274,NA())</f>
        <v>127</v>
      </c>
      <c r="S275">
        <f>'Lab test'!Q274</f>
        <v>165.016501650165</v>
      </c>
      <c r="T275" s="401">
        <f>IF('Lab test'!P274&gt;0,'Lab test'!P274,NA())</f>
        <v>0.15569200364822852</v>
      </c>
      <c r="U275" s="401">
        <f>'Lab test'!AZ274</f>
        <v>1928</v>
      </c>
      <c r="V275">
        <f>IF('Lab test'!AQ274&gt;0,'Lab test'!AQ274,NA())</f>
        <v>0.87046969048388478</v>
      </c>
      <c r="W275">
        <f>IF('Lab test'!AU274&gt;0,'Lab test'!AU274,NA())</f>
        <v>0.70250000000000012</v>
      </c>
      <c r="X275">
        <f>IF('Lab test'!AT274&gt;0,'Lab test'!AT274,NA())</f>
        <v>0.53229653114090503</v>
      </c>
      <c r="Y275">
        <f t="shared" si="66"/>
        <v>1</v>
      </c>
      <c r="Z275" t="str">
        <f>'Lab test'!AC274</f>
        <v>LTWa</v>
      </c>
      <c r="AA275" t="str">
        <f>'Lab test'!T274</f>
        <v>Steel</v>
      </c>
      <c r="AC275">
        <f t="shared" si="67"/>
        <v>0.70250000000000012</v>
      </c>
      <c r="AD275" t="e">
        <f t="shared" si="68"/>
        <v>#N/A</v>
      </c>
      <c r="AE275" t="e">
        <f t="shared" si="69"/>
        <v>#N/A</v>
      </c>
      <c r="AF275" t="e">
        <f t="shared" si="70"/>
        <v>#N/A</v>
      </c>
      <c r="AG275" t="e">
        <f t="shared" si="71"/>
        <v>#N/A</v>
      </c>
      <c r="AH275" t="e">
        <f t="shared" si="72"/>
        <v>#N/A</v>
      </c>
      <c r="AI275" t="e">
        <f t="shared" si="73"/>
        <v>#N/A</v>
      </c>
      <c r="AK275">
        <f t="shared" si="74"/>
        <v>0.53229653114090503</v>
      </c>
      <c r="AL275" t="e">
        <f t="shared" si="75"/>
        <v>#N/A</v>
      </c>
      <c r="AM275" t="e">
        <f t="shared" si="76"/>
        <v>#N/A</v>
      </c>
      <c r="AN275" t="e">
        <f t="shared" si="77"/>
        <v>#N/A</v>
      </c>
      <c r="AO275" t="e">
        <f t="shared" si="78"/>
        <v>#N/A</v>
      </c>
      <c r="AP275" t="e">
        <f t="shared" si="79"/>
        <v>#N/A</v>
      </c>
      <c r="AQ275" t="e">
        <f t="shared" si="80"/>
        <v>#N/A</v>
      </c>
    </row>
    <row r="276" spans="15:43">
      <c r="O276">
        <v>272</v>
      </c>
      <c r="P276" s="401">
        <f>'Lab test'!N275</f>
        <v>101.6</v>
      </c>
      <c r="Q276" s="401">
        <f>'Lab test'!M275</f>
        <v>0.39014399999999994</v>
      </c>
      <c r="R276">
        <f>IF('Lab test'!O275&gt;0,'Lab test'!O275,NA())</f>
        <v>127</v>
      </c>
      <c r="S276">
        <f>'Lab test'!Q275</f>
        <v>260.41666666666669</v>
      </c>
      <c r="T276" s="401">
        <f>IF('Lab test'!P275&gt;0,'Lab test'!P275,NA())</f>
        <v>7.7459666924148338E-2</v>
      </c>
      <c r="U276" s="401">
        <f>'Lab test'!AZ275</f>
        <v>1928</v>
      </c>
      <c r="V276">
        <f>IF('Lab test'!AQ275&gt;0,'Lab test'!AQ275,NA())</f>
        <v>1.0935140151648302</v>
      </c>
      <c r="W276">
        <f>IF('Lab test'!AU275&gt;0,'Lab test'!AU275,NA())</f>
        <v>0.42125000000000007</v>
      </c>
      <c r="X276">
        <f>IF('Lab test'!AT275&gt;0,'Lab test'!AT275,NA())</f>
        <v>0.50371933469870411</v>
      </c>
      <c r="Y276">
        <f t="shared" si="66"/>
        <v>1</v>
      </c>
      <c r="Z276" t="str">
        <f>'Lab test'!AC275</f>
        <v>LTWa</v>
      </c>
      <c r="AA276" t="str">
        <f>'Lab test'!T275</f>
        <v>Steel</v>
      </c>
      <c r="AC276">
        <f t="shared" si="67"/>
        <v>0.42125000000000007</v>
      </c>
      <c r="AD276" t="e">
        <f t="shared" si="68"/>
        <v>#N/A</v>
      </c>
      <c r="AE276" t="e">
        <f t="shared" si="69"/>
        <v>#N/A</v>
      </c>
      <c r="AF276" t="e">
        <f t="shared" si="70"/>
        <v>#N/A</v>
      </c>
      <c r="AG276" t="e">
        <f t="shared" si="71"/>
        <v>#N/A</v>
      </c>
      <c r="AH276" t="e">
        <f t="shared" si="72"/>
        <v>#N/A</v>
      </c>
      <c r="AI276" t="e">
        <f t="shared" si="73"/>
        <v>#N/A</v>
      </c>
      <c r="AK276">
        <f t="shared" si="74"/>
        <v>0.50371933469870411</v>
      </c>
      <c r="AL276" t="e">
        <f t="shared" si="75"/>
        <v>#N/A</v>
      </c>
      <c r="AM276" t="e">
        <f t="shared" si="76"/>
        <v>#N/A</v>
      </c>
      <c r="AN276" t="e">
        <f t="shared" si="77"/>
        <v>#N/A</v>
      </c>
      <c r="AO276" t="e">
        <f t="shared" si="78"/>
        <v>#N/A</v>
      </c>
      <c r="AP276" t="e">
        <f t="shared" si="79"/>
        <v>#N/A</v>
      </c>
      <c r="AQ276" t="e">
        <f t="shared" si="80"/>
        <v>#N/A</v>
      </c>
    </row>
    <row r="277" spans="15:43">
      <c r="O277">
        <v>273</v>
      </c>
      <c r="P277" s="401">
        <f>'Lab test'!N276</f>
        <v>101.6</v>
      </c>
      <c r="Q277" s="401">
        <f>'Lab test'!M276</f>
        <v>0.37591999999999998</v>
      </c>
      <c r="R277">
        <f>IF('Lab test'!O276&gt;0,'Lab test'!O276,NA())</f>
        <v>127</v>
      </c>
      <c r="S277">
        <f>'Lab test'!Q276</f>
        <v>270.27027027027026</v>
      </c>
      <c r="T277" s="401">
        <f>IF('Lab test'!P276&gt;0,'Lab test'!P276,NA())</f>
        <v>7.6034531628727753E-2</v>
      </c>
      <c r="U277" s="401">
        <f>'Lab test'!AZ276</f>
        <v>1928</v>
      </c>
      <c r="V277">
        <f>IF('Lab test'!AQ276&gt;0,'Lab test'!AQ276,NA())</f>
        <v>1.1140100369810504</v>
      </c>
      <c r="W277">
        <f>IF('Lab test'!AU276&gt;0,'Lab test'!AU276,NA())</f>
        <v>0.4875000000000001</v>
      </c>
      <c r="X277">
        <f>IF('Lab test'!AT276&gt;0,'Lab test'!AT276,NA())</f>
        <v>0.60499645171607908</v>
      </c>
      <c r="Y277">
        <f t="shared" si="66"/>
        <v>1</v>
      </c>
      <c r="Z277" t="str">
        <f>'Lab test'!AC276</f>
        <v>LTWa</v>
      </c>
      <c r="AA277" t="str">
        <f>'Lab test'!T276</f>
        <v>Steel</v>
      </c>
      <c r="AC277">
        <f t="shared" si="67"/>
        <v>0.4875000000000001</v>
      </c>
      <c r="AD277" t="e">
        <f t="shared" si="68"/>
        <v>#N/A</v>
      </c>
      <c r="AE277" t="e">
        <f t="shared" si="69"/>
        <v>#N/A</v>
      </c>
      <c r="AF277" t="e">
        <f t="shared" si="70"/>
        <v>#N/A</v>
      </c>
      <c r="AG277" t="e">
        <f t="shared" si="71"/>
        <v>#N/A</v>
      </c>
      <c r="AH277" t="e">
        <f t="shared" si="72"/>
        <v>#N/A</v>
      </c>
      <c r="AI277" t="e">
        <f t="shared" si="73"/>
        <v>#N/A</v>
      </c>
      <c r="AK277">
        <f t="shared" si="74"/>
        <v>0.60499645171607908</v>
      </c>
      <c r="AL277" t="e">
        <f t="shared" si="75"/>
        <v>#N/A</v>
      </c>
      <c r="AM277" t="e">
        <f t="shared" si="76"/>
        <v>#N/A</v>
      </c>
      <c r="AN277" t="e">
        <f t="shared" si="77"/>
        <v>#N/A</v>
      </c>
      <c r="AO277" t="e">
        <f t="shared" si="78"/>
        <v>#N/A</v>
      </c>
      <c r="AP277" t="e">
        <f t="shared" si="79"/>
        <v>#N/A</v>
      </c>
      <c r="AQ277" t="e">
        <f t="shared" si="80"/>
        <v>#N/A</v>
      </c>
    </row>
    <row r="278" spans="15:43">
      <c r="O278">
        <v>274</v>
      </c>
      <c r="P278" s="401">
        <f>'Lab test'!N277</f>
        <v>185.73749999999998</v>
      </c>
      <c r="Q278" s="401">
        <f>'Lab test'!M277</f>
        <v>0.3863339999999999</v>
      </c>
      <c r="R278">
        <f>IF('Lab test'!O277&gt;0,'Lab test'!O277,NA())</f>
        <v>127</v>
      </c>
      <c r="S278">
        <f>'Lab test'!Q277</f>
        <v>480.76923076923083</v>
      </c>
      <c r="T278" s="401">
        <f>IF('Lab test'!P277&gt;0,'Lab test'!P277,NA())</f>
        <v>3.1184285130916593E-2</v>
      </c>
      <c r="U278" s="401">
        <f>'Lab test'!AZ277</f>
        <v>1928</v>
      </c>
      <c r="V278">
        <f>IF('Lab test'!AQ277&gt;0,'Lab test'!AQ277,NA())</f>
        <v>1.4857929670636589</v>
      </c>
      <c r="W278">
        <f>IF('Lab test'!AU277&gt;0,'Lab test'!AU277,NA())</f>
        <v>0.24375000000000005</v>
      </c>
      <c r="X278">
        <f>IF('Lab test'!AT277&gt;0,'Lab test'!AT277,NA())</f>
        <v>0.53809780561285891</v>
      </c>
      <c r="Y278">
        <f t="shared" si="66"/>
        <v>1</v>
      </c>
      <c r="Z278" t="str">
        <f>'Lab test'!AC277</f>
        <v>LTWa</v>
      </c>
      <c r="AA278" t="str">
        <f>'Lab test'!T277</f>
        <v>Steel</v>
      </c>
      <c r="AC278">
        <f t="shared" si="67"/>
        <v>0.24375000000000005</v>
      </c>
      <c r="AD278" t="e">
        <f t="shared" si="68"/>
        <v>#N/A</v>
      </c>
      <c r="AE278" t="e">
        <f t="shared" si="69"/>
        <v>#N/A</v>
      </c>
      <c r="AF278" t="e">
        <f t="shared" si="70"/>
        <v>#N/A</v>
      </c>
      <c r="AG278" t="e">
        <f t="shared" si="71"/>
        <v>#N/A</v>
      </c>
      <c r="AH278" t="e">
        <f t="shared" si="72"/>
        <v>#N/A</v>
      </c>
      <c r="AI278" t="e">
        <f t="shared" si="73"/>
        <v>#N/A</v>
      </c>
      <c r="AK278">
        <f t="shared" si="74"/>
        <v>0.53809780561285891</v>
      </c>
      <c r="AL278" t="e">
        <f t="shared" si="75"/>
        <v>#N/A</v>
      </c>
      <c r="AM278" t="e">
        <f t="shared" si="76"/>
        <v>#N/A</v>
      </c>
      <c r="AN278" t="e">
        <f t="shared" si="77"/>
        <v>#N/A</v>
      </c>
      <c r="AO278" t="e">
        <f t="shared" si="78"/>
        <v>#N/A</v>
      </c>
      <c r="AP278" t="e">
        <f t="shared" si="79"/>
        <v>#N/A</v>
      </c>
      <c r="AQ278" t="e">
        <f t="shared" si="80"/>
        <v>#N/A</v>
      </c>
    </row>
    <row r="279" spans="15:43">
      <c r="O279">
        <v>275</v>
      </c>
      <c r="P279" s="401">
        <f>'Lab test'!N278</f>
        <v>185.73749999999998</v>
      </c>
      <c r="Q279" s="401">
        <f>'Lab test'!M278</f>
        <v>0.36404549999999997</v>
      </c>
      <c r="R279">
        <f>IF('Lab test'!O278&gt;0,'Lab test'!O278,NA())</f>
        <v>127</v>
      </c>
      <c r="S279">
        <f>'Lab test'!Q278</f>
        <v>510.20408163265307</v>
      </c>
      <c r="T279" s="401">
        <f>IF('Lab test'!P278&gt;0,'Lab test'!P278,NA())</f>
        <v>3.0271375892210128E-2</v>
      </c>
      <c r="U279" s="401">
        <f>'Lab test'!AZ278</f>
        <v>1928</v>
      </c>
      <c r="V279">
        <f>IF('Lab test'!AQ278&gt;0,'Lab test'!AQ278,NA())</f>
        <v>1.5306007792776573</v>
      </c>
      <c r="W279">
        <f>IF('Lab test'!AU278&gt;0,'Lab test'!AU278,NA())</f>
        <v>0.16900000000000001</v>
      </c>
      <c r="X279">
        <f>IF('Lab test'!AT278&gt;0,'Lab test'!AT278,NA())</f>
        <v>0.39592284799378785</v>
      </c>
      <c r="Y279">
        <f t="shared" si="66"/>
        <v>1</v>
      </c>
      <c r="Z279" t="str">
        <f>'Lab test'!AC278</f>
        <v>LTWa</v>
      </c>
      <c r="AA279" t="str">
        <f>'Lab test'!T278</f>
        <v>Steel</v>
      </c>
      <c r="AC279">
        <f t="shared" si="67"/>
        <v>0.16900000000000001</v>
      </c>
      <c r="AD279" t="e">
        <f t="shared" si="68"/>
        <v>#N/A</v>
      </c>
      <c r="AE279" t="e">
        <f t="shared" si="69"/>
        <v>#N/A</v>
      </c>
      <c r="AF279" t="e">
        <f t="shared" si="70"/>
        <v>#N/A</v>
      </c>
      <c r="AG279" t="e">
        <f t="shared" si="71"/>
        <v>#N/A</v>
      </c>
      <c r="AH279" t="e">
        <f t="shared" si="72"/>
        <v>#N/A</v>
      </c>
      <c r="AI279" t="e">
        <f t="shared" si="73"/>
        <v>#N/A</v>
      </c>
      <c r="AK279">
        <f t="shared" si="74"/>
        <v>0.39592284799378785</v>
      </c>
      <c r="AL279" t="e">
        <f t="shared" si="75"/>
        <v>#N/A</v>
      </c>
      <c r="AM279" t="e">
        <f t="shared" si="76"/>
        <v>#N/A</v>
      </c>
      <c r="AN279" t="e">
        <f t="shared" si="77"/>
        <v>#N/A</v>
      </c>
      <c r="AO279" t="e">
        <f t="shared" si="78"/>
        <v>#N/A</v>
      </c>
      <c r="AP279" t="e">
        <f t="shared" si="79"/>
        <v>#N/A</v>
      </c>
      <c r="AQ279" t="e">
        <f t="shared" si="80"/>
        <v>#N/A</v>
      </c>
    </row>
    <row r="280" spans="15:43">
      <c r="O280">
        <v>276</v>
      </c>
      <c r="P280" s="401">
        <f>'Lab test'!N279</f>
        <v>50.875</v>
      </c>
      <c r="Q280" s="401">
        <f>'Lab test'!M279</f>
        <v>1.9</v>
      </c>
      <c r="R280">
        <f>IF('Lab test'!O279&gt;0,'Lab test'!O279,NA())</f>
        <v>300</v>
      </c>
      <c r="S280">
        <f>'Lab test'!Q279</f>
        <v>26.776315789473685</v>
      </c>
      <c r="T280" s="401">
        <f>IF('Lab test'!P279&gt;0,'Lab test'!P279,NA())</f>
        <v>1.139571086955977</v>
      </c>
      <c r="U280" s="401">
        <f>'Lab test'!AZ279</f>
        <v>2016</v>
      </c>
      <c r="V280">
        <f>IF('Lab test'!AQ279&gt;0,'Lab test'!AQ279,NA())</f>
        <v>0.25238436792586039</v>
      </c>
      <c r="W280">
        <f>IF('Lab test'!AU279&gt;0,'Lab test'!AU279,NA())</f>
        <v>1.0342644271697803</v>
      </c>
      <c r="X280">
        <f>IF('Lab test'!AT279&gt;0,'Lab test'!AT279,NA())</f>
        <v>6.5880440172496016E-2</v>
      </c>
      <c r="Y280">
        <f t="shared" si="66"/>
        <v>1</v>
      </c>
      <c r="Z280" t="str">
        <f>'Lab test'!AC279</f>
        <v>LTWa</v>
      </c>
      <c r="AA280" t="str">
        <f>'Lab test'!T279</f>
        <v>Steel</v>
      </c>
      <c r="AC280">
        <f t="shared" si="67"/>
        <v>1.0342644271697803</v>
      </c>
      <c r="AD280" t="e">
        <f t="shared" si="68"/>
        <v>#N/A</v>
      </c>
      <c r="AE280" t="e">
        <f t="shared" si="69"/>
        <v>#N/A</v>
      </c>
      <c r="AF280" t="e">
        <f t="shared" si="70"/>
        <v>#N/A</v>
      </c>
      <c r="AG280" t="e">
        <f t="shared" si="71"/>
        <v>#N/A</v>
      </c>
      <c r="AH280" t="e">
        <f t="shared" si="72"/>
        <v>#N/A</v>
      </c>
      <c r="AI280" t="e">
        <f t="shared" si="73"/>
        <v>#N/A</v>
      </c>
      <c r="AK280">
        <f t="shared" si="74"/>
        <v>6.5880440172496016E-2</v>
      </c>
      <c r="AL280" t="e">
        <f t="shared" si="75"/>
        <v>#N/A</v>
      </c>
      <c r="AM280" t="e">
        <f t="shared" si="76"/>
        <v>#N/A</v>
      </c>
      <c r="AN280" t="e">
        <f t="shared" si="77"/>
        <v>#N/A</v>
      </c>
      <c r="AO280" t="e">
        <f t="shared" si="78"/>
        <v>#N/A</v>
      </c>
      <c r="AP280" t="e">
        <f t="shared" si="79"/>
        <v>#N/A</v>
      </c>
      <c r="AQ280" t="e">
        <f t="shared" si="80"/>
        <v>#N/A</v>
      </c>
    </row>
    <row r="281" spans="15:43">
      <c r="O281">
        <v>277</v>
      </c>
      <c r="P281" s="401">
        <f>'Lab test'!N280</f>
        <v>75.75</v>
      </c>
      <c r="Q281" s="401">
        <f>'Lab test'!M280</f>
        <v>1.9</v>
      </c>
      <c r="R281">
        <f>IF('Lab test'!O280&gt;0,'Lab test'!O280,NA())</f>
        <v>450</v>
      </c>
      <c r="S281">
        <f>'Lab test'!Q280</f>
        <v>39.868421052631582</v>
      </c>
      <c r="T281" s="401">
        <f>IF('Lab test'!P280&gt;0,'Lab test'!P280,NA())</f>
        <v>0.94083910149930083</v>
      </c>
      <c r="U281" s="401">
        <f>'Lab test'!AZ280</f>
        <v>2016</v>
      </c>
      <c r="V281">
        <f>IF('Lab test'!AQ280&gt;0,'Lab test'!AQ280,NA())</f>
        <v>0.30796514017858079</v>
      </c>
      <c r="W281">
        <f>IF('Lab test'!AU280&gt;0,'Lab test'!AU280,NA())</f>
        <v>1.024778471330511</v>
      </c>
      <c r="X281">
        <f>IF('Lab test'!AT280&gt;0,'Lab test'!AT280,NA())</f>
        <v>9.7192580415400728E-2</v>
      </c>
      <c r="Y281">
        <f t="shared" si="66"/>
        <v>1</v>
      </c>
      <c r="Z281" t="str">
        <f>'Lab test'!AC280</f>
        <v>LTWa</v>
      </c>
      <c r="AA281" t="str">
        <f>'Lab test'!T280</f>
        <v>Steel</v>
      </c>
      <c r="AC281">
        <f t="shared" si="67"/>
        <v>1.024778471330511</v>
      </c>
      <c r="AD281" t="e">
        <f t="shared" si="68"/>
        <v>#N/A</v>
      </c>
      <c r="AE281" t="e">
        <f t="shared" si="69"/>
        <v>#N/A</v>
      </c>
      <c r="AF281" t="e">
        <f t="shared" si="70"/>
        <v>#N/A</v>
      </c>
      <c r="AG281" t="e">
        <f t="shared" si="71"/>
        <v>#N/A</v>
      </c>
      <c r="AH281" t="e">
        <f t="shared" si="72"/>
        <v>#N/A</v>
      </c>
      <c r="AI281" t="e">
        <f t="shared" si="73"/>
        <v>#N/A</v>
      </c>
      <c r="AK281">
        <f t="shared" si="74"/>
        <v>9.7192580415400728E-2</v>
      </c>
      <c r="AL281" t="e">
        <f t="shared" si="75"/>
        <v>#N/A</v>
      </c>
      <c r="AM281" t="e">
        <f t="shared" si="76"/>
        <v>#N/A</v>
      </c>
      <c r="AN281" t="e">
        <f t="shared" si="77"/>
        <v>#N/A</v>
      </c>
      <c r="AO281" t="e">
        <f t="shared" si="78"/>
        <v>#N/A</v>
      </c>
      <c r="AP281" t="e">
        <f t="shared" si="79"/>
        <v>#N/A</v>
      </c>
      <c r="AQ281" t="e">
        <f t="shared" si="80"/>
        <v>#N/A</v>
      </c>
    </row>
    <row r="282" spans="15:43">
      <c r="O282">
        <v>278</v>
      </c>
      <c r="P282" s="401">
        <f>'Lab test'!N281</f>
        <v>102</v>
      </c>
      <c r="Q282" s="401">
        <f>'Lab test'!M281</f>
        <v>1.9</v>
      </c>
      <c r="R282">
        <f>IF('Lab test'!O281&gt;0,'Lab test'!O281,NA())</f>
        <v>600</v>
      </c>
      <c r="S282">
        <f>'Lab test'!Q281</f>
        <v>53.684210526315795</v>
      </c>
      <c r="T282" s="401">
        <f>IF('Lab test'!P281&gt;0,'Lab test'!P281,NA())</f>
        <v>0.80283776495016634</v>
      </c>
      <c r="U282" s="401">
        <f>'Lab test'!AZ281</f>
        <v>2016</v>
      </c>
      <c r="V282">
        <f>IF('Lab test'!AQ281&gt;0,'Lab test'!AQ281,NA())</f>
        <v>0.35736361033099262</v>
      </c>
      <c r="W282">
        <f>IF('Lab test'!AU281&gt;0,'Lab test'!AU281,NA())</f>
        <v>0.84554380320268663</v>
      </c>
      <c r="X282">
        <f>IF('Lab test'!AT281&gt;0,'Lab test'!AT281,NA())</f>
        <v>0.1079833421677923</v>
      </c>
      <c r="Y282">
        <f t="shared" si="66"/>
        <v>1</v>
      </c>
      <c r="Z282" t="str">
        <f>'Lab test'!AC281</f>
        <v>LTWa</v>
      </c>
      <c r="AA282" t="str">
        <f>'Lab test'!T281</f>
        <v>Steel</v>
      </c>
      <c r="AC282">
        <f t="shared" si="67"/>
        <v>0.84554380320268663</v>
      </c>
      <c r="AD282" t="e">
        <f t="shared" si="68"/>
        <v>#N/A</v>
      </c>
      <c r="AE282" t="e">
        <f t="shared" si="69"/>
        <v>#N/A</v>
      </c>
      <c r="AF282" t="e">
        <f t="shared" si="70"/>
        <v>#N/A</v>
      </c>
      <c r="AG282" t="e">
        <f t="shared" si="71"/>
        <v>#N/A</v>
      </c>
      <c r="AH282" t="e">
        <f t="shared" si="72"/>
        <v>#N/A</v>
      </c>
      <c r="AI282" t="e">
        <f t="shared" si="73"/>
        <v>#N/A</v>
      </c>
      <c r="AK282">
        <f t="shared" si="74"/>
        <v>0.1079833421677923</v>
      </c>
      <c r="AL282" t="e">
        <f t="shared" si="75"/>
        <v>#N/A</v>
      </c>
      <c r="AM282" t="e">
        <f t="shared" si="76"/>
        <v>#N/A</v>
      </c>
      <c r="AN282" t="e">
        <f t="shared" si="77"/>
        <v>#N/A</v>
      </c>
      <c r="AO282" t="e">
        <f t="shared" si="78"/>
        <v>#N/A</v>
      </c>
      <c r="AP282" t="e">
        <f t="shared" si="79"/>
        <v>#N/A</v>
      </c>
      <c r="AQ282" t="e">
        <f t="shared" si="80"/>
        <v>#N/A</v>
      </c>
    </row>
    <row r="283" spans="15:43">
      <c r="O283">
        <v>279</v>
      </c>
      <c r="P283" s="401">
        <f>'Lab test'!N282</f>
        <v>128.25</v>
      </c>
      <c r="Q283" s="401">
        <f>'Lab test'!M282</f>
        <v>1.9</v>
      </c>
      <c r="R283">
        <f>IF('Lab test'!O282&gt;0,'Lab test'!O282,NA())</f>
        <v>750</v>
      </c>
      <c r="S283">
        <f>'Lab test'!Q282</f>
        <v>67.5</v>
      </c>
      <c r="T283" s="401">
        <f>IF('Lab test'!P282&gt;0,'Lab test'!P282,NA())</f>
        <v>0.71179019818735034</v>
      </c>
      <c r="U283" s="401">
        <f>'Lab test'!AZ282</f>
        <v>2016</v>
      </c>
      <c r="V283">
        <f>IF('Lab test'!AQ282&gt;0,'Lab test'!AQ282,NA())</f>
        <v>0.40071807098306678</v>
      </c>
      <c r="W283">
        <f>IF('Lab test'!AU282&gt;0,'Lab test'!AU282,NA())</f>
        <v>0.83163899996276169</v>
      </c>
      <c r="X283">
        <f>IF('Lab test'!AT282&gt;0,'Lab test'!AT282,NA())</f>
        <v>0.1335404094760882</v>
      </c>
      <c r="Y283">
        <f t="shared" si="66"/>
        <v>1</v>
      </c>
      <c r="Z283" t="str">
        <f>'Lab test'!AC282</f>
        <v>LTWa</v>
      </c>
      <c r="AA283" t="str">
        <f>'Lab test'!T282</f>
        <v>Steel</v>
      </c>
      <c r="AC283">
        <f t="shared" si="67"/>
        <v>0.83163899996276169</v>
      </c>
      <c r="AD283" t="e">
        <f t="shared" si="68"/>
        <v>#N/A</v>
      </c>
      <c r="AE283" t="e">
        <f t="shared" si="69"/>
        <v>#N/A</v>
      </c>
      <c r="AF283" t="e">
        <f t="shared" si="70"/>
        <v>#N/A</v>
      </c>
      <c r="AG283" t="e">
        <f t="shared" si="71"/>
        <v>#N/A</v>
      </c>
      <c r="AH283" t="e">
        <f t="shared" si="72"/>
        <v>#N/A</v>
      </c>
      <c r="AI283" t="e">
        <f t="shared" si="73"/>
        <v>#N/A</v>
      </c>
      <c r="AK283">
        <f t="shared" si="74"/>
        <v>0.1335404094760882</v>
      </c>
      <c r="AL283" t="e">
        <f t="shared" si="75"/>
        <v>#N/A</v>
      </c>
      <c r="AM283" t="e">
        <f t="shared" si="76"/>
        <v>#N/A</v>
      </c>
      <c r="AN283" t="e">
        <f t="shared" si="77"/>
        <v>#N/A</v>
      </c>
      <c r="AO283" t="e">
        <f t="shared" si="78"/>
        <v>#N/A</v>
      </c>
      <c r="AP283" t="e">
        <f t="shared" si="79"/>
        <v>#N/A</v>
      </c>
      <c r="AQ283" t="e">
        <f t="shared" si="80"/>
        <v>#N/A</v>
      </c>
    </row>
    <row r="284" spans="15:43">
      <c r="O284">
        <v>280</v>
      </c>
      <c r="P284" s="401">
        <f>'Lab test'!N283</f>
        <v>102</v>
      </c>
      <c r="Q284" s="401">
        <f>'Lab test'!M283</f>
        <v>1.9</v>
      </c>
      <c r="R284">
        <f>IF('Lab test'!O283&gt;0,'Lab test'!O283,NA())</f>
        <v>1400</v>
      </c>
      <c r="S284">
        <f>'Lab test'!Q283</f>
        <v>53.684210526315795</v>
      </c>
      <c r="T284" s="401">
        <f>IF('Lab test'!P283&gt;0,'Lab test'!P283,NA())</f>
        <v>1.8732881182170547</v>
      </c>
      <c r="U284" s="401">
        <f>'Lab test'!AZ283</f>
        <v>2016</v>
      </c>
      <c r="V284">
        <f>IF('Lab test'!AQ283&gt;0,'Lab test'!AQ283,NA())</f>
        <v>0.35736361033099262</v>
      </c>
      <c r="W284">
        <f>IF('Lab test'!AU283&gt;0,'Lab test'!AU283,NA())</f>
        <v>0.83813195359536996</v>
      </c>
      <c r="X284">
        <f>IF('Lab test'!AT283&gt;0,'Lab test'!AT283,NA())</f>
        <v>0.10703678411933691</v>
      </c>
      <c r="Y284">
        <f t="shared" si="66"/>
        <v>1</v>
      </c>
      <c r="Z284" t="str">
        <f>'Lab test'!AC283</f>
        <v>LTWa</v>
      </c>
      <c r="AA284" t="str">
        <f>'Lab test'!T283</f>
        <v>Steel</v>
      </c>
      <c r="AC284">
        <f t="shared" si="67"/>
        <v>0.83813195359536996</v>
      </c>
      <c r="AD284" t="e">
        <f t="shared" si="68"/>
        <v>#N/A</v>
      </c>
      <c r="AE284" t="e">
        <f t="shared" si="69"/>
        <v>#N/A</v>
      </c>
      <c r="AF284" t="e">
        <f t="shared" si="70"/>
        <v>#N/A</v>
      </c>
      <c r="AG284" t="e">
        <f t="shared" si="71"/>
        <v>#N/A</v>
      </c>
      <c r="AH284" t="e">
        <f t="shared" si="72"/>
        <v>#N/A</v>
      </c>
      <c r="AI284" t="e">
        <f t="shared" si="73"/>
        <v>#N/A</v>
      </c>
      <c r="AK284">
        <f t="shared" si="74"/>
        <v>0.10703678411933691</v>
      </c>
      <c r="AL284" t="e">
        <f t="shared" si="75"/>
        <v>#N/A</v>
      </c>
      <c r="AM284" t="e">
        <f t="shared" si="76"/>
        <v>#N/A</v>
      </c>
      <c r="AN284" t="e">
        <f t="shared" si="77"/>
        <v>#N/A</v>
      </c>
      <c r="AO284" t="e">
        <f t="shared" si="78"/>
        <v>#N/A</v>
      </c>
      <c r="AP284" t="e">
        <f t="shared" si="79"/>
        <v>#N/A</v>
      </c>
      <c r="AQ284" t="e">
        <f t="shared" si="80"/>
        <v>#N/A</v>
      </c>
    </row>
    <row r="285" spans="15:43">
      <c r="O285">
        <v>281</v>
      </c>
      <c r="P285" s="401">
        <f>'Lab test'!N284</f>
        <v>82.234999999999999</v>
      </c>
      <c r="Q285" s="401">
        <f>'Lab test'!M284</f>
        <v>3.95</v>
      </c>
      <c r="R285">
        <f>IF('Lab test'!O284&gt;0,'Lab test'!O284,NA())</f>
        <v>505.31</v>
      </c>
      <c r="S285">
        <f>'Lab test'!Q284</f>
        <v>20.818989999999999</v>
      </c>
      <c r="T285" s="401">
        <f>IF('Lab test'!P284&gt;0,'Lab test'!P284,NA())</f>
        <v>1.3467016605070057</v>
      </c>
      <c r="U285" s="401">
        <f>'Lab test'!AZ284</f>
        <v>2020</v>
      </c>
      <c r="V285">
        <f>IF('Lab test'!AQ284&gt;0,'Lab test'!AQ284,NA())</f>
        <v>0.34203951467201471</v>
      </c>
      <c r="W285">
        <f>IF('Lab test'!AU284&gt;0,'Lab test'!AU284,NA())</f>
        <v>1.1111413228196587</v>
      </c>
      <c r="X285">
        <f>IF('Lab test'!AT284&gt;0,'Lab test'!AT284,NA())</f>
        <v>0.13013613388687759</v>
      </c>
      <c r="Y285">
        <f t="shared" si="66"/>
        <v>1</v>
      </c>
      <c r="Z285" t="str">
        <f>'Lab test'!AC284</f>
        <v>Tubes</v>
      </c>
      <c r="AA285" t="str">
        <f>'Lab test'!T284</f>
        <v>Steel</v>
      </c>
      <c r="AC285" t="e">
        <f t="shared" si="67"/>
        <v>#N/A</v>
      </c>
      <c r="AD285" t="e">
        <f t="shared" si="68"/>
        <v>#N/A</v>
      </c>
      <c r="AE285" t="e">
        <f t="shared" si="69"/>
        <v>#N/A</v>
      </c>
      <c r="AF285" t="e">
        <f t="shared" si="70"/>
        <v>#N/A</v>
      </c>
      <c r="AG285">
        <f t="shared" si="71"/>
        <v>1.1111413228196587</v>
      </c>
      <c r="AH285" t="e">
        <f t="shared" si="72"/>
        <v>#N/A</v>
      </c>
      <c r="AI285" t="e">
        <f t="shared" si="73"/>
        <v>#N/A</v>
      </c>
      <c r="AK285" t="e">
        <f t="shared" si="74"/>
        <v>#N/A</v>
      </c>
      <c r="AL285" t="e">
        <f t="shared" si="75"/>
        <v>#N/A</v>
      </c>
      <c r="AM285" t="e">
        <f t="shared" si="76"/>
        <v>#N/A</v>
      </c>
      <c r="AN285" t="e">
        <f t="shared" si="77"/>
        <v>#N/A</v>
      </c>
      <c r="AO285">
        <f t="shared" si="78"/>
        <v>0.13013613388687759</v>
      </c>
      <c r="AP285" t="e">
        <f t="shared" si="79"/>
        <v>#N/A</v>
      </c>
      <c r="AQ285" t="e">
        <f t="shared" si="80"/>
        <v>#N/A</v>
      </c>
    </row>
    <row r="286" spans="15:43">
      <c r="O286">
        <v>282</v>
      </c>
      <c r="P286" s="401">
        <f>'Lab test'!N285</f>
        <v>68.06</v>
      </c>
      <c r="Q286" s="401">
        <f>'Lab test'!M285</f>
        <v>3.98</v>
      </c>
      <c r="R286">
        <f>IF('Lab test'!O285&gt;0,'Lab test'!O285,NA())</f>
        <v>420.28</v>
      </c>
      <c r="S286">
        <f>'Lab test'!Q285</f>
        <v>17.1005</v>
      </c>
      <c r="T286" s="401">
        <f>IF('Lab test'!P285&gt;0,'Lab test'!P285,NA())</f>
        <v>1.4932837616133572</v>
      </c>
      <c r="U286" s="401">
        <f>'Lab test'!AZ285</f>
        <v>2020</v>
      </c>
      <c r="V286">
        <f>IF('Lab test'!AQ285&gt;0,'Lab test'!AQ285,NA())</f>
        <v>0.31359465510973783</v>
      </c>
      <c r="W286">
        <f>IF('Lab test'!AU285&gt;0,'Lab test'!AU285,NA())</f>
        <v>1.1230610952833175</v>
      </c>
      <c r="X286">
        <f>IF('Lab test'!AT285&gt;0,'Lab test'!AT285,NA())</f>
        <v>0.11044789816484829</v>
      </c>
      <c r="Y286">
        <f t="shared" si="66"/>
        <v>1</v>
      </c>
      <c r="Z286" t="str">
        <f>'Lab test'!AC285</f>
        <v>Tubes</v>
      </c>
      <c r="AA286" t="str">
        <f>'Lab test'!T285</f>
        <v>Steel</v>
      </c>
      <c r="AC286" t="e">
        <f t="shared" si="67"/>
        <v>#N/A</v>
      </c>
      <c r="AD286" t="e">
        <f t="shared" si="68"/>
        <v>#N/A</v>
      </c>
      <c r="AE286" t="e">
        <f t="shared" si="69"/>
        <v>#N/A</v>
      </c>
      <c r="AF286" t="e">
        <f t="shared" si="70"/>
        <v>#N/A</v>
      </c>
      <c r="AG286">
        <f t="shared" si="71"/>
        <v>1.1230610952833175</v>
      </c>
      <c r="AH286" t="e">
        <f t="shared" si="72"/>
        <v>#N/A</v>
      </c>
      <c r="AI286" t="e">
        <f t="shared" si="73"/>
        <v>#N/A</v>
      </c>
      <c r="AK286" t="e">
        <f t="shared" si="74"/>
        <v>#N/A</v>
      </c>
      <c r="AL286" t="e">
        <f t="shared" si="75"/>
        <v>#N/A</v>
      </c>
      <c r="AM286" t="e">
        <f t="shared" si="76"/>
        <v>#N/A</v>
      </c>
      <c r="AN286" t="e">
        <f t="shared" si="77"/>
        <v>#N/A</v>
      </c>
      <c r="AO286">
        <f t="shared" si="78"/>
        <v>0.11044789816484829</v>
      </c>
      <c r="AP286" t="e">
        <f t="shared" si="79"/>
        <v>#N/A</v>
      </c>
      <c r="AQ286" t="e">
        <f t="shared" si="80"/>
        <v>#N/A</v>
      </c>
    </row>
    <row r="287" spans="15:43">
      <c r="O287">
        <v>283</v>
      </c>
      <c r="P287" s="401">
        <f>'Lab test'!N286</f>
        <v>67.754999999999995</v>
      </c>
      <c r="Q287" s="401">
        <f>'Lab test'!M286</f>
        <v>4.91</v>
      </c>
      <c r="R287">
        <f>IF('Lab test'!O286&gt;0,'Lab test'!O286,NA())</f>
        <v>420.08</v>
      </c>
      <c r="S287">
        <f>'Lab test'!Q286</f>
        <v>13.799390000000001</v>
      </c>
      <c r="T287" s="401">
        <f>IF('Lab test'!P286&gt;0,'Lab test'!P286,NA())</f>
        <v>1.6690168718245313</v>
      </c>
      <c r="U287" s="401">
        <f>'Lab test'!AZ286</f>
        <v>2020</v>
      </c>
      <c r="V287">
        <f>IF('Lab test'!AQ286&gt;0,'Lab test'!AQ286,NA())</f>
        <v>0.27981004185148683</v>
      </c>
      <c r="W287">
        <f>IF('Lab test'!AU286&gt;0,'Lab test'!AU286,NA())</f>
        <v>1.1800406797454237</v>
      </c>
      <c r="X287">
        <f>IF('Lab test'!AT286&gt;0,'Lab test'!AT286,NA())</f>
        <v>9.2318763434484113E-2</v>
      </c>
      <c r="Y287">
        <f t="shared" si="66"/>
        <v>1</v>
      </c>
      <c r="Z287" t="str">
        <f>'Lab test'!AC286</f>
        <v>Tubes</v>
      </c>
      <c r="AA287" t="str">
        <f>'Lab test'!T286</f>
        <v>Steel</v>
      </c>
      <c r="AC287" t="e">
        <f t="shared" si="67"/>
        <v>#N/A</v>
      </c>
      <c r="AD287" t="e">
        <f t="shared" si="68"/>
        <v>#N/A</v>
      </c>
      <c r="AE287" t="e">
        <f t="shared" si="69"/>
        <v>#N/A</v>
      </c>
      <c r="AF287" t="e">
        <f t="shared" si="70"/>
        <v>#N/A</v>
      </c>
      <c r="AG287">
        <f t="shared" si="71"/>
        <v>1.1800406797454237</v>
      </c>
      <c r="AH287" t="e">
        <f t="shared" si="72"/>
        <v>#N/A</v>
      </c>
      <c r="AI287" t="e">
        <f t="shared" si="73"/>
        <v>#N/A</v>
      </c>
      <c r="AK287" t="e">
        <f t="shared" si="74"/>
        <v>#N/A</v>
      </c>
      <c r="AL287" t="e">
        <f t="shared" si="75"/>
        <v>#N/A</v>
      </c>
      <c r="AM287" t="e">
        <f t="shared" si="76"/>
        <v>#N/A</v>
      </c>
      <c r="AN287" t="e">
        <f t="shared" si="77"/>
        <v>#N/A</v>
      </c>
      <c r="AO287">
        <f t="shared" si="78"/>
        <v>9.2318763434484113E-2</v>
      </c>
      <c r="AP287" t="e">
        <f t="shared" si="79"/>
        <v>#N/A</v>
      </c>
      <c r="AQ287" t="e">
        <f t="shared" si="80"/>
        <v>#N/A</v>
      </c>
    </row>
    <row r="288" spans="15:43">
      <c r="O288">
        <v>284</v>
      </c>
      <c r="P288" s="401">
        <f>'Lab test'!N287</f>
        <v>66.89</v>
      </c>
      <c r="Q288" s="401">
        <f>'Lab test'!M287</f>
        <v>6.04</v>
      </c>
      <c r="R288">
        <f>IF('Lab test'!O287&gt;0,'Lab test'!O287,NA())</f>
        <v>420.02</v>
      </c>
      <c r="S288">
        <f>'Lab test'!Q287</f>
        <v>11.0745</v>
      </c>
      <c r="T288" s="401">
        <f>IF('Lab test'!P287&gt;0,'Lab test'!P287,NA())</f>
        <v>1.8868902742964615</v>
      </c>
      <c r="U288" s="401">
        <f>'Lab test'!AZ287</f>
        <v>2020</v>
      </c>
      <c r="V288">
        <f>IF('Lab test'!AQ287&gt;0,'Lab test'!AQ287,NA())</f>
        <v>0.26184499351775142</v>
      </c>
      <c r="W288">
        <f>IF('Lab test'!AU287&gt;0,'Lab test'!AU287,NA())</f>
        <v>1.143095430651031</v>
      </c>
      <c r="X288">
        <f>IF('Lab test'!AT287&gt;0,'Lab test'!AT287,NA())</f>
        <v>7.8409679859592532E-2</v>
      </c>
      <c r="Y288">
        <f t="shared" si="66"/>
        <v>1</v>
      </c>
      <c r="Z288" t="str">
        <f>'Lab test'!AC287</f>
        <v>Tubes</v>
      </c>
      <c r="AA288" t="str">
        <f>'Lab test'!T287</f>
        <v>Steel</v>
      </c>
      <c r="AC288" t="e">
        <f t="shared" si="67"/>
        <v>#N/A</v>
      </c>
      <c r="AD288" t="e">
        <f t="shared" si="68"/>
        <v>#N/A</v>
      </c>
      <c r="AE288" t="e">
        <f t="shared" si="69"/>
        <v>#N/A</v>
      </c>
      <c r="AF288" t="e">
        <f t="shared" si="70"/>
        <v>#N/A</v>
      </c>
      <c r="AG288">
        <f t="shared" si="71"/>
        <v>1.143095430651031</v>
      </c>
      <c r="AH288" t="e">
        <f t="shared" si="72"/>
        <v>#N/A</v>
      </c>
      <c r="AI288" t="e">
        <f t="shared" si="73"/>
        <v>#N/A</v>
      </c>
      <c r="AK288" t="e">
        <f t="shared" si="74"/>
        <v>#N/A</v>
      </c>
      <c r="AL288" t="e">
        <f t="shared" si="75"/>
        <v>#N/A</v>
      </c>
      <c r="AM288" t="e">
        <f t="shared" si="76"/>
        <v>#N/A</v>
      </c>
      <c r="AN288" t="e">
        <f t="shared" si="77"/>
        <v>#N/A</v>
      </c>
      <c r="AO288">
        <f t="shared" si="78"/>
        <v>7.8409679859592532E-2</v>
      </c>
      <c r="AP288" t="e">
        <f t="shared" si="79"/>
        <v>#N/A</v>
      </c>
      <c r="AQ288" t="e">
        <f t="shared" si="80"/>
        <v>#N/A</v>
      </c>
    </row>
    <row r="289" spans="15:43">
      <c r="O289">
        <v>285</v>
      </c>
      <c r="P289" s="401">
        <f>'Lab test'!N288</f>
        <v>66.105000000000004</v>
      </c>
      <c r="Q289" s="401">
        <f>'Lab test'!M288</f>
        <v>7.85</v>
      </c>
      <c r="R289">
        <f>IF('Lab test'!O288&gt;0,'Lab test'!O288,NA())</f>
        <v>420.25</v>
      </c>
      <c r="S289">
        <f>'Lab test'!Q288</f>
        <v>8.4210189999999994</v>
      </c>
      <c r="T289" s="401">
        <f>IF('Lab test'!P288&gt;0,'Lab test'!P288,NA())</f>
        <v>2.1907412518904033</v>
      </c>
      <c r="U289" s="401">
        <f>'Lab test'!AZ288</f>
        <v>2020</v>
      </c>
      <c r="V289">
        <f>IF('Lab test'!AQ288&gt;0,'Lab test'!AQ288,NA())</f>
        <v>0.23040151980371659</v>
      </c>
      <c r="W289">
        <f>IF('Lab test'!AU288&gt;0,'Lab test'!AU288,NA())</f>
        <v>1.1419999999999999</v>
      </c>
      <c r="X289">
        <f>IF('Lab test'!AT288&gt;0,'Lab test'!AT288,NA())</f>
        <v>6.0569111778250508E-2</v>
      </c>
      <c r="Y289">
        <f t="shared" si="66"/>
        <v>1</v>
      </c>
      <c r="Z289" t="str">
        <f>'Lab test'!AC288</f>
        <v>Tubes</v>
      </c>
      <c r="AA289" t="str">
        <f>'Lab test'!T288</f>
        <v>Steel</v>
      </c>
      <c r="AC289" t="e">
        <f t="shared" si="67"/>
        <v>#N/A</v>
      </c>
      <c r="AD289" t="e">
        <f t="shared" si="68"/>
        <v>#N/A</v>
      </c>
      <c r="AE289" t="e">
        <f t="shared" si="69"/>
        <v>#N/A</v>
      </c>
      <c r="AF289" t="e">
        <f t="shared" si="70"/>
        <v>#N/A</v>
      </c>
      <c r="AG289">
        <f t="shared" si="71"/>
        <v>1.1419999999999999</v>
      </c>
      <c r="AH289" t="e">
        <f t="shared" si="72"/>
        <v>#N/A</v>
      </c>
      <c r="AI289" t="e">
        <f t="shared" si="73"/>
        <v>#N/A</v>
      </c>
      <c r="AK289" t="e">
        <f t="shared" si="74"/>
        <v>#N/A</v>
      </c>
      <c r="AL289" t="e">
        <f t="shared" si="75"/>
        <v>#N/A</v>
      </c>
      <c r="AM289" t="e">
        <f t="shared" si="76"/>
        <v>#N/A</v>
      </c>
      <c r="AN289" t="e">
        <f t="shared" si="77"/>
        <v>#N/A</v>
      </c>
      <c r="AO289">
        <f t="shared" si="78"/>
        <v>6.0569111778250508E-2</v>
      </c>
      <c r="AP289" t="e">
        <f t="shared" si="79"/>
        <v>#N/A</v>
      </c>
      <c r="AQ289" t="e">
        <f t="shared" si="80"/>
        <v>#N/A</v>
      </c>
    </row>
    <row r="290" spans="15:43">
      <c r="O290">
        <v>286</v>
      </c>
      <c r="P290" s="401">
        <f>'Lab test'!N289</f>
        <v>65.180000000000007</v>
      </c>
      <c r="Q290" s="401">
        <f>'Lab test'!M289</f>
        <v>9.93</v>
      </c>
      <c r="R290">
        <f>IF('Lab test'!O289&gt;0,'Lab test'!O289,NA())</f>
        <v>419.99</v>
      </c>
      <c r="S290">
        <f>'Lab test'!Q289</f>
        <v>6.5639479999999999</v>
      </c>
      <c r="T290" s="401">
        <f>IF('Lab test'!P289&gt;0,'Lab test'!P289,NA())</f>
        <v>2.5150234570940531</v>
      </c>
      <c r="U290" s="401">
        <f>'Lab test'!AZ289</f>
        <v>2020</v>
      </c>
      <c r="V290">
        <f>IF('Lab test'!AQ289&gt;0,'Lab test'!AQ289,NA())</f>
        <v>0.20382831493677156</v>
      </c>
      <c r="W290">
        <f>IF('Lab test'!AU289&gt;0,'Lab test'!AU289,NA())</f>
        <v>1.1741194104421684</v>
      </c>
      <c r="X290">
        <f>IF('Lab test'!AT289&gt;0,'Lab test'!AT289,NA())</f>
        <v>4.8771677430958567E-2</v>
      </c>
      <c r="Y290">
        <f t="shared" si="66"/>
        <v>1</v>
      </c>
      <c r="Z290" t="str">
        <f>'Lab test'!AC289</f>
        <v>Tubes</v>
      </c>
      <c r="AA290" t="str">
        <f>'Lab test'!T289</f>
        <v>Steel</v>
      </c>
      <c r="AC290" t="e">
        <f t="shared" si="67"/>
        <v>#N/A</v>
      </c>
      <c r="AD290" t="e">
        <f t="shared" si="68"/>
        <v>#N/A</v>
      </c>
      <c r="AE290" t="e">
        <f t="shared" si="69"/>
        <v>#N/A</v>
      </c>
      <c r="AF290" t="e">
        <f t="shared" si="70"/>
        <v>#N/A</v>
      </c>
      <c r="AG290">
        <f t="shared" si="71"/>
        <v>1.1741194104421684</v>
      </c>
      <c r="AH290" t="e">
        <f t="shared" si="72"/>
        <v>#N/A</v>
      </c>
      <c r="AI290" t="e">
        <f t="shared" si="73"/>
        <v>#N/A</v>
      </c>
      <c r="AK290" t="e">
        <f t="shared" si="74"/>
        <v>#N/A</v>
      </c>
      <c r="AL290" t="e">
        <f t="shared" si="75"/>
        <v>#N/A</v>
      </c>
      <c r="AM290" t="e">
        <f t="shared" si="76"/>
        <v>#N/A</v>
      </c>
      <c r="AN290" t="e">
        <f t="shared" si="77"/>
        <v>#N/A</v>
      </c>
      <c r="AO290">
        <f t="shared" si="78"/>
        <v>4.8771677430958567E-2</v>
      </c>
      <c r="AP290" t="e">
        <f t="shared" si="79"/>
        <v>#N/A</v>
      </c>
      <c r="AQ290" t="e">
        <f t="shared" si="80"/>
        <v>#N/A</v>
      </c>
    </row>
    <row r="291" spans="15:43">
      <c r="O291">
        <v>287</v>
      </c>
      <c r="P291" s="401">
        <f>'Lab test'!N290</f>
        <v>75</v>
      </c>
      <c r="Q291" s="401">
        <f>'Lab test'!M290</f>
        <v>2</v>
      </c>
      <c r="R291">
        <f>IF('Lab test'!O290&gt;0,'Lab test'!O290,NA())</f>
        <v>450</v>
      </c>
      <c r="S291">
        <f>'Lab test'!Q290</f>
        <v>37.5</v>
      </c>
      <c r="T291" s="401">
        <f>IF('Lab test'!P290&gt;0,'Lab test'!P290,NA())</f>
        <v>0.97979589711327131</v>
      </c>
      <c r="U291" s="401">
        <f>'Lab test'!AZ290</f>
        <v>2016</v>
      </c>
      <c r="V291">
        <f>IF('Lab test'!AQ290&gt;0,'Lab test'!AQ290,NA())</f>
        <v>0.2502385249863856</v>
      </c>
      <c r="W291">
        <f>IF('Lab test'!AU290&gt;0,'Lab test'!AU290,NA())</f>
        <v>1.1052631578947369</v>
      </c>
      <c r="X291">
        <f>IF('Lab test'!AT290&gt;0,'Lab test'!AT290,NA())</f>
        <v>6.9210826691294761E-2</v>
      </c>
      <c r="Y291">
        <f t="shared" si="66"/>
        <v>1</v>
      </c>
      <c r="Z291" t="str">
        <f>'Lab test'!AC290</f>
        <v>LTWb</v>
      </c>
      <c r="AA291" t="str">
        <f>'Lab test'!T290</f>
        <v>Steel</v>
      </c>
      <c r="AC291" t="e">
        <f t="shared" si="67"/>
        <v>#N/A</v>
      </c>
      <c r="AD291">
        <f t="shared" si="68"/>
        <v>1.1052631578947369</v>
      </c>
      <c r="AE291" t="e">
        <f t="shared" si="69"/>
        <v>#N/A</v>
      </c>
      <c r="AF291" t="e">
        <f t="shared" si="70"/>
        <v>#N/A</v>
      </c>
      <c r="AG291" t="e">
        <f t="shared" si="71"/>
        <v>#N/A</v>
      </c>
      <c r="AH291" t="e">
        <f t="shared" si="72"/>
        <v>#N/A</v>
      </c>
      <c r="AI291" t="e">
        <f t="shared" si="73"/>
        <v>#N/A</v>
      </c>
      <c r="AK291" t="e">
        <f t="shared" si="74"/>
        <v>#N/A</v>
      </c>
      <c r="AL291">
        <f t="shared" si="75"/>
        <v>6.9210826691294761E-2</v>
      </c>
      <c r="AM291" t="e">
        <f t="shared" si="76"/>
        <v>#N/A</v>
      </c>
      <c r="AN291" t="e">
        <f t="shared" si="77"/>
        <v>#N/A</v>
      </c>
      <c r="AO291" t="e">
        <f t="shared" si="78"/>
        <v>#N/A</v>
      </c>
      <c r="AP291" t="e">
        <f t="shared" si="79"/>
        <v>#N/A</v>
      </c>
      <c r="AQ291" t="e">
        <f t="shared" si="80"/>
        <v>#N/A</v>
      </c>
    </row>
    <row r="292" spans="15:43">
      <c r="O292">
        <v>288</v>
      </c>
      <c r="P292" s="401">
        <f>'Lab test'!N291</f>
        <v>75</v>
      </c>
      <c r="Q292" s="401">
        <f>'Lab test'!M291</f>
        <v>2</v>
      </c>
      <c r="R292">
        <f>IF('Lab test'!O291&gt;0,'Lab test'!O291,NA())</f>
        <v>450</v>
      </c>
      <c r="S292">
        <f>'Lab test'!Q291</f>
        <v>37.5</v>
      </c>
      <c r="T292" s="401">
        <f>IF('Lab test'!P291&gt;0,'Lab test'!P291,NA())</f>
        <v>0.97979589711327131</v>
      </c>
      <c r="U292" s="401">
        <f>'Lab test'!AZ291</f>
        <v>2016</v>
      </c>
      <c r="V292" t="e">
        <f>IF('Lab test'!AQ291&gt;0,'Lab test'!AQ291,NA())</f>
        <v>#N/A</v>
      </c>
      <c r="W292" t="e">
        <f>IF('Lab test'!AU291&gt;0,'Lab test'!AU291,NA())</f>
        <v>#N/A</v>
      </c>
      <c r="X292" t="e">
        <f>IF('Lab test'!AT291&gt;0,'Lab test'!AT291,NA())</f>
        <v>#N/A</v>
      </c>
      <c r="Y292" t="e">
        <f t="shared" si="66"/>
        <v>#N/A</v>
      </c>
      <c r="Z292" t="str">
        <f>'Lab test'!AC291</f>
        <v>LTWb</v>
      </c>
      <c r="AA292" t="str">
        <f>'Lab test'!T291</f>
        <v>Steel</v>
      </c>
      <c r="AC292" t="e">
        <f t="shared" si="67"/>
        <v>#N/A</v>
      </c>
      <c r="AD292" t="e">
        <f t="shared" si="68"/>
        <v>#N/A</v>
      </c>
      <c r="AE292" t="e">
        <f t="shared" si="69"/>
        <v>#N/A</v>
      </c>
      <c r="AF292" t="e">
        <f t="shared" si="70"/>
        <v>#N/A</v>
      </c>
      <c r="AG292" t="e">
        <f t="shared" si="71"/>
        <v>#N/A</v>
      </c>
      <c r="AH292" t="e">
        <f t="shared" si="72"/>
        <v>#N/A</v>
      </c>
      <c r="AI292" t="e">
        <f t="shared" si="73"/>
        <v>#N/A</v>
      </c>
      <c r="AK292" t="e">
        <f t="shared" si="74"/>
        <v>#N/A</v>
      </c>
      <c r="AL292" t="e">
        <f t="shared" si="75"/>
        <v>#N/A</v>
      </c>
      <c r="AM292" t="e">
        <f t="shared" si="76"/>
        <v>#N/A</v>
      </c>
      <c r="AN292" t="e">
        <f t="shared" si="77"/>
        <v>#N/A</v>
      </c>
      <c r="AO292" t="e">
        <f t="shared" si="78"/>
        <v>#N/A</v>
      </c>
      <c r="AP292" t="e">
        <f t="shared" si="79"/>
        <v>#N/A</v>
      </c>
      <c r="AQ292" t="e">
        <f t="shared" si="80"/>
        <v>#N/A</v>
      </c>
    </row>
    <row r="293" spans="15:43">
      <c r="O293">
        <v>289</v>
      </c>
      <c r="P293" s="401">
        <f>'Lab test'!N292</f>
        <v>75</v>
      </c>
      <c r="Q293" s="401">
        <f>'Lab test'!M292</f>
        <v>2</v>
      </c>
      <c r="R293">
        <f>IF('Lab test'!O292&gt;0,'Lab test'!O292,NA())</f>
        <v>450</v>
      </c>
      <c r="S293">
        <f>'Lab test'!Q292</f>
        <v>37.5</v>
      </c>
      <c r="T293" s="401">
        <f>IF('Lab test'!P292&gt;0,'Lab test'!P292,NA())</f>
        <v>0.97979589711327131</v>
      </c>
      <c r="U293" s="401">
        <f>'Lab test'!AZ292</f>
        <v>2016</v>
      </c>
      <c r="V293" t="e">
        <f>IF('Lab test'!AQ292&gt;0,'Lab test'!AQ292,NA())</f>
        <v>#N/A</v>
      </c>
      <c r="W293" t="e">
        <f>IF('Lab test'!AU292&gt;0,'Lab test'!AU292,NA())</f>
        <v>#N/A</v>
      </c>
      <c r="X293" t="e">
        <f>IF('Lab test'!AT292&gt;0,'Lab test'!AT292,NA())</f>
        <v>#N/A</v>
      </c>
      <c r="Y293" t="e">
        <f t="shared" si="66"/>
        <v>#N/A</v>
      </c>
      <c r="Z293" t="str">
        <f>'Lab test'!AC292</f>
        <v>LTWb</v>
      </c>
      <c r="AA293" t="str">
        <f>'Lab test'!T292</f>
        <v>Steel</v>
      </c>
      <c r="AC293" t="e">
        <f t="shared" si="67"/>
        <v>#N/A</v>
      </c>
      <c r="AD293" t="e">
        <f t="shared" si="68"/>
        <v>#N/A</v>
      </c>
      <c r="AE293" t="e">
        <f t="shared" si="69"/>
        <v>#N/A</v>
      </c>
      <c r="AF293" t="e">
        <f t="shared" si="70"/>
        <v>#N/A</v>
      </c>
      <c r="AG293" t="e">
        <f t="shared" si="71"/>
        <v>#N/A</v>
      </c>
      <c r="AH293" t="e">
        <f t="shared" si="72"/>
        <v>#N/A</v>
      </c>
      <c r="AI293" t="e">
        <f t="shared" si="73"/>
        <v>#N/A</v>
      </c>
      <c r="AK293" t="e">
        <f t="shared" si="74"/>
        <v>#N/A</v>
      </c>
      <c r="AL293" t="e">
        <f t="shared" si="75"/>
        <v>#N/A</v>
      </c>
      <c r="AM293" t="e">
        <f t="shared" si="76"/>
        <v>#N/A</v>
      </c>
      <c r="AN293" t="e">
        <f t="shared" si="77"/>
        <v>#N/A</v>
      </c>
      <c r="AO293" t="e">
        <f t="shared" si="78"/>
        <v>#N/A</v>
      </c>
      <c r="AP293" t="e">
        <f t="shared" si="79"/>
        <v>#N/A</v>
      </c>
      <c r="AQ293" t="e">
        <f t="shared" si="80"/>
        <v>#N/A</v>
      </c>
    </row>
    <row r="294" spans="15:43">
      <c r="O294">
        <v>290</v>
      </c>
      <c r="P294" s="401">
        <f>'Lab test'!N293</f>
        <v>100</v>
      </c>
      <c r="Q294" s="401">
        <f>'Lab test'!M293</f>
        <v>2</v>
      </c>
      <c r="R294">
        <f>IF('Lab test'!O293&gt;0,'Lab test'!O293,NA())</f>
        <v>600</v>
      </c>
      <c r="S294">
        <f>'Lab test'!Q293</f>
        <v>50</v>
      </c>
      <c r="T294" s="401">
        <f>IF('Lab test'!P293&gt;0,'Lab test'!P293,NA())</f>
        <v>0.84852813742385702</v>
      </c>
      <c r="U294" s="401">
        <f>'Lab test'!AZ293</f>
        <v>2016</v>
      </c>
      <c r="V294">
        <f>IF('Lab test'!AQ293&gt;0,'Lab test'!AQ293,NA())</f>
        <v>0.2889505595250092</v>
      </c>
      <c r="W294">
        <f>IF('Lab test'!AU293&gt;0,'Lab test'!AU293,NA())</f>
        <v>0.9</v>
      </c>
      <c r="X294">
        <f>IF('Lab test'!AT293&gt;0,'Lab test'!AT293,NA())</f>
        <v>7.514318326483431E-2</v>
      </c>
      <c r="Y294">
        <f t="shared" si="66"/>
        <v>1</v>
      </c>
      <c r="Z294" t="str">
        <f>'Lab test'!AC293</f>
        <v>LTWb</v>
      </c>
      <c r="AA294" t="str">
        <f>'Lab test'!T293</f>
        <v>Steel</v>
      </c>
      <c r="AC294" t="e">
        <f t="shared" si="67"/>
        <v>#N/A</v>
      </c>
      <c r="AD294">
        <f t="shared" si="68"/>
        <v>0.9</v>
      </c>
      <c r="AE294" t="e">
        <f t="shared" si="69"/>
        <v>#N/A</v>
      </c>
      <c r="AF294" t="e">
        <f t="shared" si="70"/>
        <v>#N/A</v>
      </c>
      <c r="AG294" t="e">
        <f t="shared" si="71"/>
        <v>#N/A</v>
      </c>
      <c r="AH294" t="e">
        <f t="shared" si="72"/>
        <v>#N/A</v>
      </c>
      <c r="AI294" t="e">
        <f t="shared" si="73"/>
        <v>#N/A</v>
      </c>
      <c r="AK294" t="e">
        <f t="shared" si="74"/>
        <v>#N/A</v>
      </c>
      <c r="AL294">
        <f t="shared" si="75"/>
        <v>7.514318326483431E-2</v>
      </c>
      <c r="AM294" t="e">
        <f t="shared" si="76"/>
        <v>#N/A</v>
      </c>
      <c r="AN294" t="e">
        <f t="shared" si="77"/>
        <v>#N/A</v>
      </c>
      <c r="AO294" t="e">
        <f t="shared" si="78"/>
        <v>#N/A</v>
      </c>
      <c r="AP294" t="e">
        <f t="shared" si="79"/>
        <v>#N/A</v>
      </c>
      <c r="AQ294" t="e">
        <f t="shared" si="80"/>
        <v>#N/A</v>
      </c>
    </row>
    <row r="295" spans="15:43">
      <c r="O295">
        <v>291</v>
      </c>
      <c r="P295" s="401">
        <f>'Lab test'!N294</f>
        <v>100</v>
      </c>
      <c r="Q295" s="401">
        <f>'Lab test'!M294</f>
        <v>2</v>
      </c>
      <c r="R295">
        <f>IF('Lab test'!O294&gt;0,'Lab test'!O294,NA())</f>
        <v>600</v>
      </c>
      <c r="S295">
        <f>'Lab test'!Q294</f>
        <v>50</v>
      </c>
      <c r="T295" s="401">
        <f>IF('Lab test'!P294&gt;0,'Lab test'!P294,NA())</f>
        <v>0.84852813742385702</v>
      </c>
      <c r="U295" s="401">
        <f>'Lab test'!AZ294</f>
        <v>2016</v>
      </c>
      <c r="V295" t="e">
        <f>IF('Lab test'!AQ294&gt;0,'Lab test'!AQ294,NA())</f>
        <v>#N/A</v>
      </c>
      <c r="W295" t="e">
        <f>IF('Lab test'!AU294&gt;0,'Lab test'!AU294,NA())</f>
        <v>#N/A</v>
      </c>
      <c r="X295" t="e">
        <f>IF('Lab test'!AT294&gt;0,'Lab test'!AT294,NA())</f>
        <v>#N/A</v>
      </c>
      <c r="Y295" t="e">
        <f t="shared" si="66"/>
        <v>#N/A</v>
      </c>
      <c r="Z295" t="str">
        <f>'Lab test'!AC294</f>
        <v>LTWb</v>
      </c>
      <c r="AA295" t="str">
        <f>'Lab test'!T294</f>
        <v>Steel</v>
      </c>
      <c r="AC295" t="e">
        <f t="shared" si="67"/>
        <v>#N/A</v>
      </c>
      <c r="AD295" t="e">
        <f t="shared" si="68"/>
        <v>#N/A</v>
      </c>
      <c r="AE295" t="e">
        <f t="shared" si="69"/>
        <v>#N/A</v>
      </c>
      <c r="AF295" t="e">
        <f t="shared" si="70"/>
        <v>#N/A</v>
      </c>
      <c r="AG295" t="e">
        <f t="shared" si="71"/>
        <v>#N/A</v>
      </c>
      <c r="AH295" t="e">
        <f t="shared" si="72"/>
        <v>#N/A</v>
      </c>
      <c r="AI295" t="e">
        <f t="shared" si="73"/>
        <v>#N/A</v>
      </c>
      <c r="AK295" t="e">
        <f t="shared" si="74"/>
        <v>#N/A</v>
      </c>
      <c r="AL295" t="e">
        <f t="shared" si="75"/>
        <v>#N/A</v>
      </c>
      <c r="AM295" t="e">
        <f t="shared" si="76"/>
        <v>#N/A</v>
      </c>
      <c r="AN295" t="e">
        <f t="shared" si="77"/>
        <v>#N/A</v>
      </c>
      <c r="AO295" t="e">
        <f t="shared" si="78"/>
        <v>#N/A</v>
      </c>
      <c r="AP295" t="e">
        <f t="shared" si="79"/>
        <v>#N/A</v>
      </c>
      <c r="AQ295" t="e">
        <f t="shared" si="80"/>
        <v>#N/A</v>
      </c>
    </row>
    <row r="296" spans="15:43">
      <c r="O296">
        <v>292</v>
      </c>
      <c r="P296" s="401">
        <f>'Lab test'!N295</f>
        <v>100</v>
      </c>
      <c r="Q296" s="401">
        <f>'Lab test'!M295</f>
        <v>2</v>
      </c>
      <c r="R296">
        <f>IF('Lab test'!O295&gt;0,'Lab test'!O295,NA())</f>
        <v>600</v>
      </c>
      <c r="S296">
        <f>'Lab test'!Q295</f>
        <v>50</v>
      </c>
      <c r="T296" s="401">
        <f>IF('Lab test'!P295&gt;0,'Lab test'!P295,NA())</f>
        <v>0.84852813742385702</v>
      </c>
      <c r="U296" s="401">
        <f>'Lab test'!AZ295</f>
        <v>2016</v>
      </c>
      <c r="V296" t="e">
        <f>IF('Lab test'!AQ295&gt;0,'Lab test'!AQ295,NA())</f>
        <v>#N/A</v>
      </c>
      <c r="W296" t="e">
        <f>IF('Lab test'!AU295&gt;0,'Lab test'!AU295,NA())</f>
        <v>#N/A</v>
      </c>
      <c r="X296" t="e">
        <f>IF('Lab test'!AT295&gt;0,'Lab test'!AT295,NA())</f>
        <v>#N/A</v>
      </c>
      <c r="Y296" t="e">
        <f t="shared" si="66"/>
        <v>#N/A</v>
      </c>
      <c r="Z296" t="str">
        <f>'Lab test'!AC295</f>
        <v>LTWb</v>
      </c>
      <c r="AA296" t="str">
        <f>'Lab test'!T295</f>
        <v>Steel</v>
      </c>
      <c r="AC296" t="e">
        <f t="shared" si="67"/>
        <v>#N/A</v>
      </c>
      <c r="AD296" t="e">
        <f t="shared" si="68"/>
        <v>#N/A</v>
      </c>
      <c r="AE296" t="e">
        <f t="shared" si="69"/>
        <v>#N/A</v>
      </c>
      <c r="AF296" t="e">
        <f t="shared" si="70"/>
        <v>#N/A</v>
      </c>
      <c r="AG296" t="e">
        <f t="shared" si="71"/>
        <v>#N/A</v>
      </c>
      <c r="AH296" t="e">
        <f t="shared" si="72"/>
        <v>#N/A</v>
      </c>
      <c r="AI296" t="e">
        <f t="shared" si="73"/>
        <v>#N/A</v>
      </c>
      <c r="AK296" t="e">
        <f t="shared" si="74"/>
        <v>#N/A</v>
      </c>
      <c r="AL296" t="e">
        <f t="shared" si="75"/>
        <v>#N/A</v>
      </c>
      <c r="AM296" t="e">
        <f t="shared" si="76"/>
        <v>#N/A</v>
      </c>
      <c r="AN296" t="e">
        <f t="shared" si="77"/>
        <v>#N/A</v>
      </c>
      <c r="AO296" t="e">
        <f t="shared" si="78"/>
        <v>#N/A</v>
      </c>
      <c r="AP296" t="e">
        <f t="shared" si="79"/>
        <v>#N/A</v>
      </c>
      <c r="AQ296" t="e">
        <f t="shared" si="80"/>
        <v>#N/A</v>
      </c>
    </row>
    <row r="297" spans="15:43">
      <c r="O297">
        <v>293</v>
      </c>
      <c r="P297" s="401">
        <f>'Lab test'!N296</f>
        <v>125</v>
      </c>
      <c r="Q297" s="401">
        <f>'Lab test'!M296</f>
        <v>2</v>
      </c>
      <c r="R297">
        <f>IF('Lab test'!O296&gt;0,'Lab test'!O296,NA())</f>
        <v>750</v>
      </c>
      <c r="S297">
        <f>'Lab test'!Q296</f>
        <v>62.5</v>
      </c>
      <c r="T297" s="401">
        <f>IF('Lab test'!P296&gt;0,'Lab test'!P296,NA())</f>
        <v>0.75894663844041099</v>
      </c>
      <c r="U297" s="401">
        <f>'Lab test'!AZ296</f>
        <v>2016</v>
      </c>
      <c r="V297" t="e">
        <f>IF('Lab test'!AQ296&gt;0,'Lab test'!AQ296,NA())</f>
        <v>#N/A</v>
      </c>
      <c r="W297" t="e">
        <f>IF('Lab test'!AU296&gt;0,'Lab test'!AU296,NA())</f>
        <v>#N/A</v>
      </c>
      <c r="X297" t="e">
        <f>IF('Lab test'!AT296&gt;0,'Lab test'!AT296,NA())</f>
        <v>#N/A</v>
      </c>
      <c r="Y297" t="e">
        <f t="shared" si="66"/>
        <v>#N/A</v>
      </c>
      <c r="Z297" t="str">
        <f>'Lab test'!AC296</f>
        <v>LTWb</v>
      </c>
      <c r="AA297" t="str">
        <f>'Lab test'!T296</f>
        <v>Steel</v>
      </c>
      <c r="AC297" t="e">
        <f t="shared" si="67"/>
        <v>#N/A</v>
      </c>
      <c r="AD297" t="e">
        <f t="shared" si="68"/>
        <v>#N/A</v>
      </c>
      <c r="AE297" t="e">
        <f t="shared" si="69"/>
        <v>#N/A</v>
      </c>
      <c r="AF297" t="e">
        <f t="shared" si="70"/>
        <v>#N/A</v>
      </c>
      <c r="AG297" t="e">
        <f t="shared" si="71"/>
        <v>#N/A</v>
      </c>
      <c r="AH297" t="e">
        <f t="shared" si="72"/>
        <v>#N/A</v>
      </c>
      <c r="AI297" t="e">
        <f t="shared" si="73"/>
        <v>#N/A</v>
      </c>
      <c r="AK297" t="e">
        <f t="shared" si="74"/>
        <v>#N/A</v>
      </c>
      <c r="AL297" t="e">
        <f t="shared" si="75"/>
        <v>#N/A</v>
      </c>
      <c r="AM297" t="e">
        <f t="shared" si="76"/>
        <v>#N/A</v>
      </c>
      <c r="AN297" t="e">
        <f t="shared" si="77"/>
        <v>#N/A</v>
      </c>
      <c r="AO297" t="e">
        <f t="shared" si="78"/>
        <v>#N/A</v>
      </c>
      <c r="AP297" t="e">
        <f t="shared" si="79"/>
        <v>#N/A</v>
      </c>
      <c r="AQ297" t="e">
        <f t="shared" si="80"/>
        <v>#N/A</v>
      </c>
    </row>
    <row r="298" spans="15:43">
      <c r="O298">
        <v>294</v>
      </c>
      <c r="P298" s="401">
        <f>'Lab test'!N297</f>
        <v>125</v>
      </c>
      <c r="Q298" s="401">
        <f>'Lab test'!M297</f>
        <v>2</v>
      </c>
      <c r="R298">
        <f>IF('Lab test'!O297&gt;0,'Lab test'!O297,NA())</f>
        <v>750</v>
      </c>
      <c r="S298">
        <f>'Lab test'!Q297</f>
        <v>62.5</v>
      </c>
      <c r="T298" s="401">
        <f>IF('Lab test'!P297&gt;0,'Lab test'!P297,NA())</f>
        <v>0.75894663844041099</v>
      </c>
      <c r="U298" s="401">
        <f>'Lab test'!AZ297</f>
        <v>2016</v>
      </c>
      <c r="V298" t="e">
        <f>IF('Lab test'!AQ297&gt;0,'Lab test'!AQ297,NA())</f>
        <v>#N/A</v>
      </c>
      <c r="W298" t="e">
        <f>IF('Lab test'!AU297&gt;0,'Lab test'!AU297,NA())</f>
        <v>#N/A</v>
      </c>
      <c r="X298" t="e">
        <f>IF('Lab test'!AT297&gt;0,'Lab test'!AT297,NA())</f>
        <v>#N/A</v>
      </c>
      <c r="Y298" t="e">
        <f t="shared" si="66"/>
        <v>#N/A</v>
      </c>
      <c r="Z298" t="str">
        <f>'Lab test'!AC297</f>
        <v>LTWb</v>
      </c>
      <c r="AA298" t="str">
        <f>'Lab test'!T297</f>
        <v>Steel</v>
      </c>
      <c r="AC298" t="e">
        <f t="shared" si="67"/>
        <v>#N/A</v>
      </c>
      <c r="AD298" t="e">
        <f t="shared" si="68"/>
        <v>#N/A</v>
      </c>
      <c r="AE298" t="e">
        <f t="shared" si="69"/>
        <v>#N/A</v>
      </c>
      <c r="AF298" t="e">
        <f t="shared" si="70"/>
        <v>#N/A</v>
      </c>
      <c r="AG298" t="e">
        <f t="shared" si="71"/>
        <v>#N/A</v>
      </c>
      <c r="AH298" t="e">
        <f t="shared" si="72"/>
        <v>#N/A</v>
      </c>
      <c r="AI298" t="e">
        <f t="shared" si="73"/>
        <v>#N/A</v>
      </c>
      <c r="AK298" t="e">
        <f t="shared" si="74"/>
        <v>#N/A</v>
      </c>
      <c r="AL298" t="e">
        <f t="shared" si="75"/>
        <v>#N/A</v>
      </c>
      <c r="AM298" t="e">
        <f t="shared" si="76"/>
        <v>#N/A</v>
      </c>
      <c r="AN298" t="e">
        <f t="shared" si="77"/>
        <v>#N/A</v>
      </c>
      <c r="AO298" t="e">
        <f t="shared" si="78"/>
        <v>#N/A</v>
      </c>
      <c r="AP298" t="e">
        <f t="shared" si="79"/>
        <v>#N/A</v>
      </c>
      <c r="AQ298" t="e">
        <f t="shared" si="80"/>
        <v>#N/A</v>
      </c>
    </row>
    <row r="299" spans="15:43">
      <c r="O299">
        <v>295</v>
      </c>
      <c r="P299" s="401">
        <f>'Lab test'!N298</f>
        <v>125</v>
      </c>
      <c r="Q299" s="401">
        <f>'Lab test'!M298</f>
        <v>2</v>
      </c>
      <c r="R299">
        <f>IF('Lab test'!O298&gt;0,'Lab test'!O298,NA())</f>
        <v>750</v>
      </c>
      <c r="S299">
        <f>'Lab test'!Q298</f>
        <v>62.5</v>
      </c>
      <c r="T299" s="401">
        <f>IF('Lab test'!P298&gt;0,'Lab test'!P298,NA())</f>
        <v>0.75894663844041099</v>
      </c>
      <c r="U299" s="401">
        <f>'Lab test'!AZ298</f>
        <v>2016</v>
      </c>
      <c r="V299" t="e">
        <f>IF('Lab test'!AQ298&gt;0,'Lab test'!AQ298,NA())</f>
        <v>#N/A</v>
      </c>
      <c r="W299" t="e">
        <f>IF('Lab test'!AU298&gt;0,'Lab test'!AU298,NA())</f>
        <v>#N/A</v>
      </c>
      <c r="X299" t="e">
        <f>IF('Lab test'!AT298&gt;0,'Lab test'!AT298,NA())</f>
        <v>#N/A</v>
      </c>
      <c r="Y299" t="e">
        <f t="shared" si="66"/>
        <v>#N/A</v>
      </c>
      <c r="Z299" t="str">
        <f>'Lab test'!AC298</f>
        <v>LTWb</v>
      </c>
      <c r="AA299" t="str">
        <f>'Lab test'!T298</f>
        <v>Steel</v>
      </c>
      <c r="AC299" t="e">
        <f t="shared" si="67"/>
        <v>#N/A</v>
      </c>
      <c r="AD299" t="e">
        <f t="shared" si="68"/>
        <v>#N/A</v>
      </c>
      <c r="AE299" t="e">
        <f t="shared" si="69"/>
        <v>#N/A</v>
      </c>
      <c r="AF299" t="e">
        <f t="shared" si="70"/>
        <v>#N/A</v>
      </c>
      <c r="AG299" t="e">
        <f t="shared" si="71"/>
        <v>#N/A</v>
      </c>
      <c r="AH299" t="e">
        <f t="shared" si="72"/>
        <v>#N/A</v>
      </c>
      <c r="AI299" t="e">
        <f t="shared" si="73"/>
        <v>#N/A</v>
      </c>
      <c r="AK299" t="e">
        <f t="shared" si="74"/>
        <v>#N/A</v>
      </c>
      <c r="AL299" t="e">
        <f t="shared" si="75"/>
        <v>#N/A</v>
      </c>
      <c r="AM299" t="e">
        <f t="shared" si="76"/>
        <v>#N/A</v>
      </c>
      <c r="AN299" t="e">
        <f t="shared" si="77"/>
        <v>#N/A</v>
      </c>
      <c r="AO299" t="e">
        <f t="shared" si="78"/>
        <v>#N/A</v>
      </c>
      <c r="AP299" t="e">
        <f t="shared" si="79"/>
        <v>#N/A</v>
      </c>
      <c r="AQ299" t="e">
        <f t="shared" si="80"/>
        <v>#N/A</v>
      </c>
    </row>
    <row r="300" spans="15:43">
      <c r="O300">
        <v>296</v>
      </c>
      <c r="P300" s="401">
        <f>'Lab test'!N299</f>
        <v>150</v>
      </c>
      <c r="Q300" s="401">
        <f>'Lab test'!M299</f>
        <v>2</v>
      </c>
      <c r="R300">
        <f>IF('Lab test'!O299&gt;0,'Lab test'!O299,NA())</f>
        <v>900</v>
      </c>
      <c r="S300">
        <f>'Lab test'!Q299</f>
        <v>75</v>
      </c>
      <c r="T300" s="401">
        <f>IF('Lab test'!P299&gt;0,'Lab test'!P299,NA())</f>
        <v>0.69282032302755092</v>
      </c>
      <c r="U300" s="401">
        <f>'Lab test'!AZ299</f>
        <v>2016</v>
      </c>
      <c r="V300" t="e">
        <f>IF('Lab test'!AQ299&gt;0,'Lab test'!AQ299,NA())</f>
        <v>#N/A</v>
      </c>
      <c r="W300" t="e">
        <f>IF('Lab test'!AU299&gt;0,'Lab test'!AU299,NA())</f>
        <v>#N/A</v>
      </c>
      <c r="X300" t="e">
        <f>IF('Lab test'!AT299&gt;0,'Lab test'!AT299,NA())</f>
        <v>#N/A</v>
      </c>
      <c r="Y300" t="e">
        <f t="shared" si="66"/>
        <v>#N/A</v>
      </c>
      <c r="Z300" t="str">
        <f>'Lab test'!AC299</f>
        <v>LTWb</v>
      </c>
      <c r="AA300" t="str">
        <f>'Lab test'!T299</f>
        <v>Steel</v>
      </c>
      <c r="AC300" t="e">
        <f t="shared" si="67"/>
        <v>#N/A</v>
      </c>
      <c r="AD300" t="e">
        <f t="shared" si="68"/>
        <v>#N/A</v>
      </c>
      <c r="AE300" t="e">
        <f t="shared" si="69"/>
        <v>#N/A</v>
      </c>
      <c r="AF300" t="e">
        <f t="shared" si="70"/>
        <v>#N/A</v>
      </c>
      <c r="AG300" t="e">
        <f t="shared" si="71"/>
        <v>#N/A</v>
      </c>
      <c r="AH300" t="e">
        <f t="shared" si="72"/>
        <v>#N/A</v>
      </c>
      <c r="AI300" t="e">
        <f t="shared" si="73"/>
        <v>#N/A</v>
      </c>
      <c r="AK300" t="e">
        <f t="shared" si="74"/>
        <v>#N/A</v>
      </c>
      <c r="AL300" t="e">
        <f t="shared" si="75"/>
        <v>#N/A</v>
      </c>
      <c r="AM300" t="e">
        <f t="shared" si="76"/>
        <v>#N/A</v>
      </c>
      <c r="AN300" t="e">
        <f t="shared" si="77"/>
        <v>#N/A</v>
      </c>
      <c r="AO300" t="e">
        <f t="shared" si="78"/>
        <v>#N/A</v>
      </c>
      <c r="AP300" t="e">
        <f t="shared" si="79"/>
        <v>#N/A</v>
      </c>
      <c r="AQ300" t="e">
        <f t="shared" si="80"/>
        <v>#N/A</v>
      </c>
    </row>
    <row r="301" spans="15:43">
      <c r="O301">
        <v>297</v>
      </c>
      <c r="P301" s="401">
        <f>'Lab test'!N300</f>
        <v>150</v>
      </c>
      <c r="Q301" s="401">
        <f>'Lab test'!M300</f>
        <v>2</v>
      </c>
      <c r="R301">
        <f>IF('Lab test'!O300&gt;0,'Lab test'!O300,NA())</f>
        <v>900</v>
      </c>
      <c r="S301">
        <f>'Lab test'!Q300</f>
        <v>75</v>
      </c>
      <c r="T301" s="401">
        <f>IF('Lab test'!P300&gt;0,'Lab test'!P300,NA())</f>
        <v>0.69282032302755092</v>
      </c>
      <c r="U301" s="401">
        <f>'Lab test'!AZ300</f>
        <v>2016</v>
      </c>
      <c r="V301" t="e">
        <f>IF('Lab test'!AQ300&gt;0,'Lab test'!AQ300,NA())</f>
        <v>#N/A</v>
      </c>
      <c r="W301" t="e">
        <f>IF('Lab test'!AU300&gt;0,'Lab test'!AU300,NA())</f>
        <v>#N/A</v>
      </c>
      <c r="X301" t="e">
        <f>IF('Lab test'!AT300&gt;0,'Lab test'!AT300,NA())</f>
        <v>#N/A</v>
      </c>
      <c r="Y301" t="e">
        <f t="shared" si="66"/>
        <v>#N/A</v>
      </c>
      <c r="Z301" t="str">
        <f>'Lab test'!AC300</f>
        <v>LTWb</v>
      </c>
      <c r="AA301" t="str">
        <f>'Lab test'!T300</f>
        <v>Steel</v>
      </c>
      <c r="AC301" t="e">
        <f t="shared" si="67"/>
        <v>#N/A</v>
      </c>
      <c r="AD301" t="e">
        <f t="shared" si="68"/>
        <v>#N/A</v>
      </c>
      <c r="AE301" t="e">
        <f t="shared" si="69"/>
        <v>#N/A</v>
      </c>
      <c r="AF301" t="e">
        <f t="shared" si="70"/>
        <v>#N/A</v>
      </c>
      <c r="AG301" t="e">
        <f t="shared" si="71"/>
        <v>#N/A</v>
      </c>
      <c r="AH301" t="e">
        <f t="shared" si="72"/>
        <v>#N/A</v>
      </c>
      <c r="AI301" t="e">
        <f t="shared" si="73"/>
        <v>#N/A</v>
      </c>
      <c r="AK301" t="e">
        <f t="shared" si="74"/>
        <v>#N/A</v>
      </c>
      <c r="AL301" t="e">
        <f t="shared" si="75"/>
        <v>#N/A</v>
      </c>
      <c r="AM301" t="e">
        <f t="shared" si="76"/>
        <v>#N/A</v>
      </c>
      <c r="AN301" t="e">
        <f t="shared" si="77"/>
        <v>#N/A</v>
      </c>
      <c r="AO301" t="e">
        <f t="shared" si="78"/>
        <v>#N/A</v>
      </c>
      <c r="AP301" t="e">
        <f t="shared" si="79"/>
        <v>#N/A</v>
      </c>
      <c r="AQ301" t="e">
        <f t="shared" si="80"/>
        <v>#N/A</v>
      </c>
    </row>
    <row r="302" spans="15:43">
      <c r="O302">
        <v>298</v>
      </c>
      <c r="P302" s="401">
        <f>'Lab test'!N301</f>
        <v>150</v>
      </c>
      <c r="Q302" s="401">
        <f>'Lab test'!M301</f>
        <v>2</v>
      </c>
      <c r="R302">
        <f>IF('Lab test'!O301&gt;0,'Lab test'!O301,NA())</f>
        <v>900</v>
      </c>
      <c r="S302">
        <f>'Lab test'!Q301</f>
        <v>75</v>
      </c>
      <c r="T302" s="401">
        <f>IF('Lab test'!P301&gt;0,'Lab test'!P301,NA())</f>
        <v>0.69282032302755092</v>
      </c>
      <c r="U302" s="401">
        <f>'Lab test'!AZ301</f>
        <v>2016</v>
      </c>
      <c r="V302" t="e">
        <f>IF('Lab test'!AQ301&gt;0,'Lab test'!AQ301,NA())</f>
        <v>#N/A</v>
      </c>
      <c r="W302" t="e">
        <f>IF('Lab test'!AU301&gt;0,'Lab test'!AU301,NA())</f>
        <v>#N/A</v>
      </c>
      <c r="X302" t="e">
        <f>IF('Lab test'!AT301&gt;0,'Lab test'!AT301,NA())</f>
        <v>#N/A</v>
      </c>
      <c r="Y302" t="e">
        <f t="shared" si="66"/>
        <v>#N/A</v>
      </c>
      <c r="Z302" t="str">
        <f>'Lab test'!AC301</f>
        <v>LTWb</v>
      </c>
      <c r="AA302" t="str">
        <f>'Lab test'!T301</f>
        <v>Steel</v>
      </c>
      <c r="AC302" t="e">
        <f t="shared" si="67"/>
        <v>#N/A</v>
      </c>
      <c r="AD302" t="e">
        <f t="shared" si="68"/>
        <v>#N/A</v>
      </c>
      <c r="AE302" t="e">
        <f t="shared" si="69"/>
        <v>#N/A</v>
      </c>
      <c r="AF302" t="e">
        <f t="shared" si="70"/>
        <v>#N/A</v>
      </c>
      <c r="AG302" t="e">
        <f t="shared" si="71"/>
        <v>#N/A</v>
      </c>
      <c r="AH302" t="e">
        <f t="shared" si="72"/>
        <v>#N/A</v>
      </c>
      <c r="AI302" t="e">
        <f t="shared" si="73"/>
        <v>#N/A</v>
      </c>
      <c r="AK302" t="e">
        <f t="shared" si="74"/>
        <v>#N/A</v>
      </c>
      <c r="AL302" t="e">
        <f t="shared" si="75"/>
        <v>#N/A</v>
      </c>
      <c r="AM302" t="e">
        <f t="shared" si="76"/>
        <v>#N/A</v>
      </c>
      <c r="AN302" t="e">
        <f t="shared" si="77"/>
        <v>#N/A</v>
      </c>
      <c r="AO302" t="e">
        <f t="shared" si="78"/>
        <v>#N/A</v>
      </c>
      <c r="AP302" t="e">
        <f t="shared" si="79"/>
        <v>#N/A</v>
      </c>
      <c r="AQ302" t="e">
        <f t="shared" si="80"/>
        <v>#N/A</v>
      </c>
    </row>
    <row r="303" spans="15:43">
      <c r="O303">
        <v>299</v>
      </c>
      <c r="P303" s="401">
        <f>'Lab test'!N302</f>
        <v>200</v>
      </c>
      <c r="Q303" s="401">
        <f>'Lab test'!M302</f>
        <v>2</v>
      </c>
      <c r="R303">
        <f>IF('Lab test'!O302&gt;0,'Lab test'!O302,NA())</f>
        <v>1200</v>
      </c>
      <c r="S303">
        <f>'Lab test'!Q302</f>
        <v>100</v>
      </c>
      <c r="T303" s="401">
        <f>IF('Lab test'!P302&gt;0,'Lab test'!P302,NA())</f>
        <v>0.60000000000000009</v>
      </c>
      <c r="U303" s="401">
        <f>'Lab test'!AZ302</f>
        <v>2016</v>
      </c>
      <c r="V303">
        <f>IF('Lab test'!AQ302&gt;0,'Lab test'!AQ302,NA())</f>
        <v>0.40863780013556233</v>
      </c>
      <c r="W303">
        <f>IF('Lab test'!AU302&gt;0,'Lab test'!AU302,NA())</f>
        <v>0.75421052631578955</v>
      </c>
      <c r="X303">
        <f>IF('Lab test'!AT302&gt;0,'Lab test'!AT302,NA())</f>
        <v>0.12594173288714336</v>
      </c>
      <c r="Y303">
        <f t="shared" si="66"/>
        <v>1</v>
      </c>
      <c r="Z303" t="str">
        <f>'Lab test'!AC302</f>
        <v>CLTW</v>
      </c>
      <c r="AA303" t="str">
        <f>'Lab test'!T302</f>
        <v>Steel</v>
      </c>
      <c r="AC303" t="e">
        <f t="shared" si="67"/>
        <v>#N/A</v>
      </c>
      <c r="AD303" t="e">
        <f t="shared" si="68"/>
        <v>#N/A</v>
      </c>
      <c r="AE303" t="e">
        <f t="shared" si="69"/>
        <v>#N/A</v>
      </c>
      <c r="AF303" t="e">
        <f t="shared" si="70"/>
        <v>#N/A</v>
      </c>
      <c r="AG303" t="e">
        <f t="shared" si="71"/>
        <v>#N/A</v>
      </c>
      <c r="AH303">
        <f t="shared" si="72"/>
        <v>0.75421052631578955</v>
      </c>
      <c r="AI303" t="e">
        <f t="shared" si="73"/>
        <v>#N/A</v>
      </c>
      <c r="AK303" t="e">
        <f t="shared" si="74"/>
        <v>#N/A</v>
      </c>
      <c r="AL303" t="e">
        <f t="shared" si="75"/>
        <v>#N/A</v>
      </c>
      <c r="AM303" t="e">
        <f t="shared" si="76"/>
        <v>#N/A</v>
      </c>
      <c r="AN303" t="e">
        <f t="shared" si="77"/>
        <v>#N/A</v>
      </c>
      <c r="AO303" t="e">
        <f t="shared" si="78"/>
        <v>#N/A</v>
      </c>
      <c r="AP303">
        <f t="shared" si="79"/>
        <v>0.12594173288714336</v>
      </c>
      <c r="AQ303" t="e">
        <f t="shared" si="80"/>
        <v>#N/A</v>
      </c>
    </row>
    <row r="304" spans="15:43">
      <c r="O304">
        <v>300</v>
      </c>
      <c r="P304" s="401">
        <f>'Lab test'!N303</f>
        <v>200</v>
      </c>
      <c r="Q304" s="401">
        <f>'Lab test'!M303</f>
        <v>2</v>
      </c>
      <c r="R304">
        <f>IF('Lab test'!O303&gt;0,'Lab test'!O303,NA())</f>
        <v>1200</v>
      </c>
      <c r="S304">
        <f>'Lab test'!Q303</f>
        <v>100</v>
      </c>
      <c r="T304" s="401">
        <f>IF('Lab test'!P303&gt;0,'Lab test'!P303,NA())</f>
        <v>0.60000000000000009</v>
      </c>
      <c r="U304" s="401">
        <f>'Lab test'!AZ303</f>
        <v>2016</v>
      </c>
      <c r="V304" t="e">
        <f>IF('Lab test'!AQ303&gt;0,'Lab test'!AQ303,NA())</f>
        <v>#N/A</v>
      </c>
      <c r="W304" t="e">
        <f>IF('Lab test'!AU303&gt;0,'Lab test'!AU303,NA())</f>
        <v>#N/A</v>
      </c>
      <c r="X304" t="e">
        <f>IF('Lab test'!AT303&gt;0,'Lab test'!AT303,NA())</f>
        <v>#N/A</v>
      </c>
      <c r="Y304" t="e">
        <f t="shared" si="66"/>
        <v>#N/A</v>
      </c>
      <c r="Z304" t="str">
        <f>'Lab test'!AC303</f>
        <v>CLTW</v>
      </c>
      <c r="AA304" t="str">
        <f>'Lab test'!T303</f>
        <v>Steel</v>
      </c>
      <c r="AC304" t="e">
        <f t="shared" si="67"/>
        <v>#N/A</v>
      </c>
      <c r="AD304" t="e">
        <f t="shared" si="68"/>
        <v>#N/A</v>
      </c>
      <c r="AE304" t="e">
        <f t="shared" si="69"/>
        <v>#N/A</v>
      </c>
      <c r="AF304" t="e">
        <f t="shared" si="70"/>
        <v>#N/A</v>
      </c>
      <c r="AG304" t="e">
        <f t="shared" si="71"/>
        <v>#N/A</v>
      </c>
      <c r="AH304" t="e">
        <f t="shared" si="72"/>
        <v>#N/A</v>
      </c>
      <c r="AI304" t="e">
        <f t="shared" si="73"/>
        <v>#N/A</v>
      </c>
      <c r="AK304" t="e">
        <f t="shared" si="74"/>
        <v>#N/A</v>
      </c>
      <c r="AL304" t="e">
        <f t="shared" si="75"/>
        <v>#N/A</v>
      </c>
      <c r="AM304" t="e">
        <f t="shared" si="76"/>
        <v>#N/A</v>
      </c>
      <c r="AN304" t="e">
        <f t="shared" si="77"/>
        <v>#N/A</v>
      </c>
      <c r="AO304" t="e">
        <f t="shared" si="78"/>
        <v>#N/A</v>
      </c>
      <c r="AP304" t="e">
        <f t="shared" si="79"/>
        <v>#N/A</v>
      </c>
      <c r="AQ304" t="e">
        <f t="shared" si="80"/>
        <v>#N/A</v>
      </c>
    </row>
    <row r="305" spans="15:43">
      <c r="O305">
        <v>301</v>
      </c>
      <c r="P305" s="401">
        <f>'Lab test'!N304</f>
        <v>300</v>
      </c>
      <c r="Q305" s="401">
        <f>'Lab test'!M304</f>
        <v>2</v>
      </c>
      <c r="R305">
        <f>IF('Lab test'!O304&gt;0,'Lab test'!O304,NA())</f>
        <v>1800</v>
      </c>
      <c r="S305">
        <f>'Lab test'!Q304</f>
        <v>150</v>
      </c>
      <c r="T305" s="401">
        <f>IF('Lab test'!P304&gt;0,'Lab test'!P304,NA())</f>
        <v>0.48989794855663565</v>
      </c>
      <c r="U305" s="401">
        <f>'Lab test'!AZ304</f>
        <v>2016</v>
      </c>
      <c r="V305">
        <f>IF('Lab test'!AQ304&gt;0,'Lab test'!AQ304,NA())</f>
        <v>0.5004770499727712</v>
      </c>
      <c r="W305">
        <f>IF('Lab test'!AU304&gt;0,'Lab test'!AU304,NA())</f>
        <v>0.58684210526315794</v>
      </c>
      <c r="X305">
        <f>IF('Lab test'!AT304&gt;0,'Lab test'!AT304,NA())</f>
        <v>0.14699061287770221</v>
      </c>
      <c r="Y305">
        <f t="shared" si="66"/>
        <v>1</v>
      </c>
      <c r="Z305" t="str">
        <f>'Lab test'!AC304</f>
        <v>CLTW</v>
      </c>
      <c r="AA305" t="str">
        <f>'Lab test'!T304</f>
        <v>Steel</v>
      </c>
      <c r="AC305" t="e">
        <f t="shared" si="67"/>
        <v>#N/A</v>
      </c>
      <c r="AD305" t="e">
        <f t="shared" si="68"/>
        <v>#N/A</v>
      </c>
      <c r="AE305" t="e">
        <f t="shared" si="69"/>
        <v>#N/A</v>
      </c>
      <c r="AF305" t="e">
        <f t="shared" si="70"/>
        <v>#N/A</v>
      </c>
      <c r="AG305" t="e">
        <f t="shared" si="71"/>
        <v>#N/A</v>
      </c>
      <c r="AH305">
        <f t="shared" si="72"/>
        <v>0.58684210526315794</v>
      </c>
      <c r="AI305" t="e">
        <f t="shared" si="73"/>
        <v>#N/A</v>
      </c>
      <c r="AK305" t="e">
        <f t="shared" si="74"/>
        <v>#N/A</v>
      </c>
      <c r="AL305" t="e">
        <f t="shared" si="75"/>
        <v>#N/A</v>
      </c>
      <c r="AM305" t="e">
        <f t="shared" si="76"/>
        <v>#N/A</v>
      </c>
      <c r="AN305" t="e">
        <f t="shared" si="77"/>
        <v>#N/A</v>
      </c>
      <c r="AO305" t="e">
        <f t="shared" si="78"/>
        <v>#N/A</v>
      </c>
      <c r="AP305">
        <f t="shared" si="79"/>
        <v>0.14699061287770221</v>
      </c>
      <c r="AQ305" t="e">
        <f t="shared" si="80"/>
        <v>#N/A</v>
      </c>
    </row>
    <row r="306" spans="15:43">
      <c r="O306">
        <v>302</v>
      </c>
      <c r="P306" s="401">
        <f>'Lab test'!N305</f>
        <v>300</v>
      </c>
      <c r="Q306" s="401">
        <f>'Lab test'!M305</f>
        <v>2</v>
      </c>
      <c r="R306">
        <f>IF('Lab test'!O305&gt;0,'Lab test'!O305,NA())</f>
        <v>1800</v>
      </c>
      <c r="S306">
        <f>'Lab test'!Q305</f>
        <v>150</v>
      </c>
      <c r="T306" s="401">
        <f>IF('Lab test'!P305&gt;0,'Lab test'!P305,NA())</f>
        <v>0.48989794855663565</v>
      </c>
      <c r="U306" s="401">
        <f>'Lab test'!AZ305</f>
        <v>2016</v>
      </c>
      <c r="V306" t="e">
        <f>IF('Lab test'!AQ305&gt;0,'Lab test'!AQ305,NA())</f>
        <v>#N/A</v>
      </c>
      <c r="W306" t="e">
        <f>IF('Lab test'!AU305&gt;0,'Lab test'!AU305,NA())</f>
        <v>#N/A</v>
      </c>
      <c r="X306" t="e">
        <f>IF('Lab test'!AT305&gt;0,'Lab test'!AT305,NA())</f>
        <v>#N/A</v>
      </c>
      <c r="Y306" t="e">
        <f t="shared" si="66"/>
        <v>#N/A</v>
      </c>
      <c r="Z306" t="str">
        <f>'Lab test'!AC305</f>
        <v>CLTW</v>
      </c>
      <c r="AA306" t="str">
        <f>'Lab test'!T305</f>
        <v>Steel</v>
      </c>
      <c r="AC306" t="e">
        <f t="shared" si="67"/>
        <v>#N/A</v>
      </c>
      <c r="AD306" t="e">
        <f t="shared" si="68"/>
        <v>#N/A</v>
      </c>
      <c r="AE306" t="e">
        <f t="shared" si="69"/>
        <v>#N/A</v>
      </c>
      <c r="AF306" t="e">
        <f t="shared" si="70"/>
        <v>#N/A</v>
      </c>
      <c r="AG306" t="e">
        <f t="shared" si="71"/>
        <v>#N/A</v>
      </c>
      <c r="AH306" t="e">
        <f t="shared" si="72"/>
        <v>#N/A</v>
      </c>
      <c r="AI306" t="e">
        <f t="shared" si="73"/>
        <v>#N/A</v>
      </c>
      <c r="AK306" t="e">
        <f t="shared" si="74"/>
        <v>#N/A</v>
      </c>
      <c r="AL306" t="e">
        <f t="shared" si="75"/>
        <v>#N/A</v>
      </c>
      <c r="AM306" t="e">
        <f t="shared" si="76"/>
        <v>#N/A</v>
      </c>
      <c r="AN306" t="e">
        <f t="shared" si="77"/>
        <v>#N/A</v>
      </c>
      <c r="AO306" t="e">
        <f t="shared" si="78"/>
        <v>#N/A</v>
      </c>
      <c r="AP306" t="e">
        <f t="shared" si="79"/>
        <v>#N/A</v>
      </c>
      <c r="AQ306" t="e">
        <f t="shared" si="80"/>
        <v>#N/A</v>
      </c>
    </row>
    <row r="307" spans="15:43">
      <c r="O307">
        <v>303</v>
      </c>
      <c r="P307" s="401">
        <f>'Lab test'!N306</f>
        <v>28.81</v>
      </c>
      <c r="Q307" s="401">
        <f>'Lab test'!M306</f>
        <v>2.78</v>
      </c>
      <c r="R307">
        <f>IF('Lab test'!O306&gt;0,'Lab test'!O306,NA())</f>
        <v>200.2</v>
      </c>
      <c r="S307">
        <f>'Lab test'!Q306</f>
        <v>10.36331</v>
      </c>
      <c r="T307" s="401">
        <f>IF('Lab test'!P306&gt;0,'Lab test'!P306,NA())</f>
        <v>2.158597072246673</v>
      </c>
      <c r="U307" s="401">
        <f>'Lab test'!AZ306</f>
        <v>2016</v>
      </c>
      <c r="V307">
        <f>IF('Lab test'!AQ306&gt;0,'Lab test'!AQ306,NA())</f>
        <v>0.17886578339328085</v>
      </c>
      <c r="W307">
        <f>IF('Lab test'!AU306&gt;0,'Lab test'!AU306,NA())</f>
        <v>1.5874861716202324</v>
      </c>
      <c r="X307">
        <f>IF('Lab test'!AT306&gt;0,'Lab test'!AT306,NA())</f>
        <v>5.0788395033448272E-2</v>
      </c>
      <c r="Y307">
        <f t="shared" si="66"/>
        <v>1</v>
      </c>
      <c r="Z307" t="str">
        <f>'Lab test'!AC306</f>
        <v>Tubes</v>
      </c>
      <c r="AA307" t="str">
        <f>'Lab test'!T306</f>
        <v>Steel</v>
      </c>
      <c r="AC307" t="e">
        <f t="shared" si="67"/>
        <v>#N/A</v>
      </c>
      <c r="AD307" t="e">
        <f t="shared" si="68"/>
        <v>#N/A</v>
      </c>
      <c r="AE307" t="e">
        <f t="shared" si="69"/>
        <v>#N/A</v>
      </c>
      <c r="AF307" t="e">
        <f t="shared" si="70"/>
        <v>#N/A</v>
      </c>
      <c r="AG307">
        <f t="shared" si="71"/>
        <v>1.5874861716202324</v>
      </c>
      <c r="AH307" t="e">
        <f t="shared" si="72"/>
        <v>#N/A</v>
      </c>
      <c r="AI307" t="e">
        <f t="shared" si="73"/>
        <v>#N/A</v>
      </c>
      <c r="AK307" t="e">
        <f t="shared" si="74"/>
        <v>#N/A</v>
      </c>
      <c r="AL307" t="e">
        <f t="shared" si="75"/>
        <v>#N/A</v>
      </c>
      <c r="AM307" t="e">
        <f t="shared" si="76"/>
        <v>#N/A</v>
      </c>
      <c r="AN307" t="e">
        <f t="shared" si="77"/>
        <v>#N/A</v>
      </c>
      <c r="AO307">
        <f t="shared" si="78"/>
        <v>5.0788395033448272E-2</v>
      </c>
      <c r="AP307" t="e">
        <f t="shared" si="79"/>
        <v>#N/A</v>
      </c>
      <c r="AQ307" t="e">
        <f t="shared" si="80"/>
        <v>#N/A</v>
      </c>
    </row>
    <row r="308" spans="15:43">
      <c r="O308">
        <v>304</v>
      </c>
      <c r="P308" s="401">
        <f>'Lab test'!N307</f>
        <v>36.72</v>
      </c>
      <c r="Q308" s="401">
        <f>'Lab test'!M307</f>
        <v>2.98</v>
      </c>
      <c r="R308">
        <f>IF('Lab test'!O307&gt;0,'Lab test'!O307,NA())</f>
        <v>240</v>
      </c>
      <c r="S308">
        <f>'Lab test'!Q307</f>
        <v>12.322150000000001</v>
      </c>
      <c r="T308" s="401">
        <f>IF('Lab test'!P307&gt;0,'Lab test'!P307,NA())</f>
        <v>1.8619386408814995</v>
      </c>
      <c r="U308" s="401">
        <f>'Lab test'!AZ307</f>
        <v>2016</v>
      </c>
      <c r="V308">
        <f>IF('Lab test'!AQ307&gt;0,'Lab test'!AQ307,NA())</f>
        <v>0.17757017871410097</v>
      </c>
      <c r="W308">
        <f>IF('Lab test'!AU307&gt;0,'Lab test'!AU307,NA())</f>
        <v>1.5869004051105828</v>
      </c>
      <c r="X308">
        <f>IF('Lab test'!AT307&gt;0,'Lab test'!AT307,NA())</f>
        <v>5.0036823857674308E-2</v>
      </c>
      <c r="Y308">
        <f t="shared" si="66"/>
        <v>1</v>
      </c>
      <c r="Z308" t="str">
        <f>'Lab test'!AC307</f>
        <v>Tubes</v>
      </c>
      <c r="AA308" t="str">
        <f>'Lab test'!T307</f>
        <v>Steel</v>
      </c>
      <c r="AC308" t="e">
        <f t="shared" si="67"/>
        <v>#N/A</v>
      </c>
      <c r="AD308" t="e">
        <f t="shared" si="68"/>
        <v>#N/A</v>
      </c>
      <c r="AE308" t="e">
        <f t="shared" si="69"/>
        <v>#N/A</v>
      </c>
      <c r="AF308" t="e">
        <f t="shared" si="70"/>
        <v>#N/A</v>
      </c>
      <c r="AG308">
        <f t="shared" si="71"/>
        <v>1.5869004051105828</v>
      </c>
      <c r="AH308" t="e">
        <f t="shared" si="72"/>
        <v>#N/A</v>
      </c>
      <c r="AI308" t="e">
        <f t="shared" si="73"/>
        <v>#N/A</v>
      </c>
      <c r="AK308" t="e">
        <f t="shared" si="74"/>
        <v>#N/A</v>
      </c>
      <c r="AL308" t="e">
        <f t="shared" si="75"/>
        <v>#N/A</v>
      </c>
      <c r="AM308" t="e">
        <f t="shared" si="76"/>
        <v>#N/A</v>
      </c>
      <c r="AN308" t="e">
        <f t="shared" si="77"/>
        <v>#N/A</v>
      </c>
      <c r="AO308">
        <f t="shared" si="78"/>
        <v>5.0036823857674308E-2</v>
      </c>
      <c r="AP308" t="e">
        <f t="shared" si="79"/>
        <v>#N/A</v>
      </c>
      <c r="AQ308" t="e">
        <f t="shared" si="80"/>
        <v>#N/A</v>
      </c>
    </row>
    <row r="309" spans="15:43">
      <c r="O309">
        <v>305</v>
      </c>
      <c r="P309" s="401">
        <f>'Lab test'!N308</f>
        <v>55.814999999999998</v>
      </c>
      <c r="Q309" s="401">
        <f>'Lab test'!M308</f>
        <v>2.89</v>
      </c>
      <c r="R309">
        <f>IF('Lab test'!O308&gt;0,'Lab test'!O308,NA())</f>
        <v>360.1</v>
      </c>
      <c r="S309">
        <f>'Lab test'!Q308</f>
        <v>19.31315</v>
      </c>
      <c r="T309" s="401">
        <f>IF('Lab test'!P308&gt;0,'Lab test'!P308,NA())</f>
        <v>1.4680662315245949</v>
      </c>
      <c r="U309" s="401">
        <f>'Lab test'!AZ308</f>
        <v>2016</v>
      </c>
      <c r="V309">
        <f>IF('Lab test'!AQ308&gt;0,'Lab test'!AQ308,NA())</f>
        <v>0.22245665397328121</v>
      </c>
      <c r="W309">
        <f>IF('Lab test'!AU308&gt;0,'Lab test'!AU308,NA())</f>
        <v>1.3020624788107931</v>
      </c>
      <c r="X309">
        <f>IF('Lab test'!AT308&gt;0,'Lab test'!AT308,NA())</f>
        <v>6.4435117578470175E-2</v>
      </c>
      <c r="Y309">
        <f t="shared" si="66"/>
        <v>1</v>
      </c>
      <c r="Z309" t="str">
        <f>'Lab test'!AC308</f>
        <v>Tubes</v>
      </c>
      <c r="AA309" t="str">
        <f>'Lab test'!T308</f>
        <v>Steel</v>
      </c>
      <c r="AC309" t="e">
        <f t="shared" si="67"/>
        <v>#N/A</v>
      </c>
      <c r="AD309" t="e">
        <f t="shared" si="68"/>
        <v>#N/A</v>
      </c>
      <c r="AE309" t="e">
        <f t="shared" si="69"/>
        <v>#N/A</v>
      </c>
      <c r="AF309" t="e">
        <f t="shared" si="70"/>
        <v>#N/A</v>
      </c>
      <c r="AG309">
        <f t="shared" si="71"/>
        <v>1.3020624788107931</v>
      </c>
      <c r="AH309" t="e">
        <f t="shared" si="72"/>
        <v>#N/A</v>
      </c>
      <c r="AI309" t="e">
        <f t="shared" si="73"/>
        <v>#N/A</v>
      </c>
      <c r="AK309" t="e">
        <f t="shared" si="74"/>
        <v>#N/A</v>
      </c>
      <c r="AL309" t="e">
        <f t="shared" si="75"/>
        <v>#N/A</v>
      </c>
      <c r="AM309" t="e">
        <f t="shared" si="76"/>
        <v>#N/A</v>
      </c>
      <c r="AN309" t="e">
        <f t="shared" si="77"/>
        <v>#N/A</v>
      </c>
      <c r="AO309">
        <f t="shared" si="78"/>
        <v>6.4435117578470175E-2</v>
      </c>
      <c r="AP309" t="e">
        <f t="shared" si="79"/>
        <v>#N/A</v>
      </c>
      <c r="AQ309" t="e">
        <f t="shared" si="80"/>
        <v>#N/A</v>
      </c>
    </row>
    <row r="310" spans="15:43">
      <c r="O310">
        <v>306</v>
      </c>
      <c r="P310" s="401">
        <f>'Lab test'!N309</f>
        <v>68.44</v>
      </c>
      <c r="Q310" s="401">
        <f>'Lab test'!M309</f>
        <v>2.92</v>
      </c>
      <c r="R310">
        <f>IF('Lab test'!O309&gt;0,'Lab test'!O309,NA())</f>
        <v>434.8</v>
      </c>
      <c r="S310">
        <f>'Lab test'!Q309</f>
        <v>23.438359999999999</v>
      </c>
      <c r="T310" s="401">
        <f>IF('Lab test'!P309&gt;0,'Lab test'!P309,NA())</f>
        <v>1.3122481217790849</v>
      </c>
      <c r="U310" s="401">
        <f>'Lab test'!AZ309</f>
        <v>2016</v>
      </c>
      <c r="V310">
        <f>IF('Lab test'!AQ309&gt;0,'Lab test'!AQ309,NA())</f>
        <v>0.25794467871866744</v>
      </c>
      <c r="W310">
        <f>IF('Lab test'!AU309&gt;0,'Lab test'!AU309,NA())</f>
        <v>1.1250588124005259</v>
      </c>
      <c r="X310">
        <f>IF('Lab test'!AT309&gt;0,'Lab test'!AT309,NA())</f>
        <v>7.4856302549148837E-2</v>
      </c>
      <c r="Y310">
        <f t="shared" si="66"/>
        <v>1</v>
      </c>
      <c r="Z310" t="str">
        <f>'Lab test'!AC309</f>
        <v>Tubes</v>
      </c>
      <c r="AA310" t="str">
        <f>'Lab test'!T309</f>
        <v>Steel</v>
      </c>
      <c r="AC310" t="e">
        <f t="shared" si="67"/>
        <v>#N/A</v>
      </c>
      <c r="AD310" t="e">
        <f t="shared" si="68"/>
        <v>#N/A</v>
      </c>
      <c r="AE310" t="e">
        <f t="shared" si="69"/>
        <v>#N/A</v>
      </c>
      <c r="AF310" t="e">
        <f t="shared" si="70"/>
        <v>#N/A</v>
      </c>
      <c r="AG310">
        <f t="shared" si="71"/>
        <v>1.1250588124005259</v>
      </c>
      <c r="AH310" t="e">
        <f t="shared" si="72"/>
        <v>#N/A</v>
      </c>
      <c r="AI310" t="e">
        <f t="shared" si="73"/>
        <v>#N/A</v>
      </c>
      <c r="AK310" t="e">
        <f t="shared" si="74"/>
        <v>#N/A</v>
      </c>
      <c r="AL310" t="e">
        <f t="shared" si="75"/>
        <v>#N/A</v>
      </c>
      <c r="AM310" t="e">
        <f t="shared" si="76"/>
        <v>#N/A</v>
      </c>
      <c r="AN310" t="e">
        <f t="shared" si="77"/>
        <v>#N/A</v>
      </c>
      <c r="AO310">
        <f t="shared" si="78"/>
        <v>7.4856302549148837E-2</v>
      </c>
      <c r="AP310" t="e">
        <f t="shared" si="79"/>
        <v>#N/A</v>
      </c>
      <c r="AQ310" t="e">
        <f t="shared" si="80"/>
        <v>#N/A</v>
      </c>
    </row>
    <row r="311" spans="15:43">
      <c r="O311">
        <v>307</v>
      </c>
      <c r="P311" s="401">
        <f>'Lab test'!N310</f>
        <v>51.5</v>
      </c>
      <c r="Q311" s="401">
        <f>'Lab test'!M310</f>
        <v>1.7</v>
      </c>
      <c r="R311">
        <f>IF('Lab test'!O310&gt;0,'Lab test'!O310,NA())</f>
        <v>306</v>
      </c>
      <c r="S311">
        <f>'Lab test'!Q310</f>
        <v>30.294117647058826</v>
      </c>
      <c r="T311" s="401">
        <f>IF('Lab test'!P310&gt;0,'Lab test'!P310,NA())</f>
        <v>1.0795308147740004</v>
      </c>
      <c r="U311" s="401">
        <f>'Lab test'!AZ310</f>
        <v>2019</v>
      </c>
      <c r="V311" t="e">
        <f>IF('Lab test'!AQ310&gt;0,'Lab test'!AQ310,NA())</f>
        <v>#N/A</v>
      </c>
      <c r="W311" t="e">
        <f>IF('Lab test'!AU310&gt;0,'Lab test'!AU310,NA())</f>
        <v>#N/A</v>
      </c>
      <c r="X311">
        <f>IF('Lab test'!AT310&gt;0,'Lab test'!AT310,NA())</f>
        <v>7.4469224855689145E-2</v>
      </c>
      <c r="Y311">
        <f t="shared" si="66"/>
        <v>1</v>
      </c>
      <c r="Z311" t="str">
        <f>'Lab test'!AC310</f>
        <v>Miscellaneous</v>
      </c>
      <c r="AA311" t="str">
        <f>'Lab test'!T310</f>
        <v>Steel</v>
      </c>
      <c r="AC311" t="e">
        <f t="shared" si="67"/>
        <v>#N/A</v>
      </c>
      <c r="AD311" t="e">
        <f t="shared" si="68"/>
        <v>#N/A</v>
      </c>
      <c r="AE311" t="e">
        <f t="shared" si="69"/>
        <v>#N/A</v>
      </c>
      <c r="AF311" t="e">
        <f t="shared" si="70"/>
        <v>#N/A</v>
      </c>
      <c r="AG311" t="e">
        <f t="shared" si="71"/>
        <v>#N/A</v>
      </c>
      <c r="AH311" t="e">
        <f t="shared" si="72"/>
        <v>#N/A</v>
      </c>
      <c r="AI311" t="e">
        <f t="shared" si="73"/>
        <v>#N/A</v>
      </c>
      <c r="AK311" t="e">
        <f t="shared" si="74"/>
        <v>#N/A</v>
      </c>
      <c r="AL311" t="e">
        <f t="shared" si="75"/>
        <v>#N/A</v>
      </c>
      <c r="AM311" t="e">
        <f t="shared" si="76"/>
        <v>#N/A</v>
      </c>
      <c r="AN311" t="e">
        <f t="shared" si="77"/>
        <v>#N/A</v>
      </c>
      <c r="AO311" t="e">
        <f t="shared" si="78"/>
        <v>#N/A</v>
      </c>
      <c r="AP311" t="e">
        <f t="shared" si="79"/>
        <v>#N/A</v>
      </c>
      <c r="AQ311">
        <f t="shared" si="80"/>
        <v>7.4469224855689145E-2</v>
      </c>
    </row>
    <row r="312" spans="15:43">
      <c r="O312">
        <v>308</v>
      </c>
      <c r="P312" s="401">
        <f>'Lab test'!N311</f>
        <v>51.5</v>
      </c>
      <c r="Q312" s="401">
        <f>'Lab test'!M311</f>
        <v>1.5</v>
      </c>
      <c r="R312">
        <f>IF('Lab test'!O311&gt;0,'Lab test'!O311,NA())</f>
        <v>1020</v>
      </c>
      <c r="S312">
        <f>'Lab test'!Q311</f>
        <v>34.333333333333336</v>
      </c>
      <c r="T312" s="401">
        <f>IF('Lab test'!P311&gt;0,'Lab test'!P311,NA())</f>
        <v>3.3801420959321113</v>
      </c>
      <c r="U312" s="401">
        <f>'Lab test'!AZ311</f>
        <v>2019</v>
      </c>
      <c r="V312" t="e">
        <f>IF('Lab test'!AQ311&gt;0,'Lab test'!AQ311,NA())</f>
        <v>#N/A</v>
      </c>
      <c r="W312" t="e">
        <f>IF('Lab test'!AU311&gt;0,'Lab test'!AU311,NA())</f>
        <v>#N/A</v>
      </c>
      <c r="X312">
        <f>IF('Lab test'!AT311&gt;0,'Lab test'!AT311,NA())</f>
        <v>8.9075535875300829E-2</v>
      </c>
      <c r="Y312">
        <f t="shared" si="66"/>
        <v>1</v>
      </c>
      <c r="Z312" t="str">
        <f>'Lab test'!AC311</f>
        <v>Miscellaneous</v>
      </c>
      <c r="AA312" t="str">
        <f>'Lab test'!T311</f>
        <v>Steel</v>
      </c>
      <c r="AC312" t="e">
        <f t="shared" si="67"/>
        <v>#N/A</v>
      </c>
      <c r="AD312" t="e">
        <f t="shared" si="68"/>
        <v>#N/A</v>
      </c>
      <c r="AE312" t="e">
        <f t="shared" si="69"/>
        <v>#N/A</v>
      </c>
      <c r="AF312" t="e">
        <f t="shared" si="70"/>
        <v>#N/A</v>
      </c>
      <c r="AG312" t="e">
        <f t="shared" si="71"/>
        <v>#N/A</v>
      </c>
      <c r="AH312" t="e">
        <f t="shared" si="72"/>
        <v>#N/A</v>
      </c>
      <c r="AI312" t="e">
        <f t="shared" si="73"/>
        <v>#N/A</v>
      </c>
      <c r="AK312" t="e">
        <f t="shared" si="74"/>
        <v>#N/A</v>
      </c>
      <c r="AL312" t="e">
        <f t="shared" si="75"/>
        <v>#N/A</v>
      </c>
      <c r="AM312" t="e">
        <f t="shared" si="76"/>
        <v>#N/A</v>
      </c>
      <c r="AN312" t="e">
        <f t="shared" si="77"/>
        <v>#N/A</v>
      </c>
      <c r="AO312" t="e">
        <f t="shared" si="78"/>
        <v>#N/A</v>
      </c>
      <c r="AP312" t="e">
        <f t="shared" si="79"/>
        <v>#N/A</v>
      </c>
      <c r="AQ312">
        <f t="shared" si="80"/>
        <v>8.9075535875300829E-2</v>
      </c>
    </row>
    <row r="313" spans="15:43">
      <c r="O313">
        <v>309</v>
      </c>
      <c r="P313" s="401">
        <f>'Lab test'!N312</f>
        <v>76.5</v>
      </c>
      <c r="Q313" s="401">
        <f>'Lab test'!M312</f>
        <v>2.1</v>
      </c>
      <c r="R313">
        <f>IF('Lab test'!O312&gt;0,'Lab test'!O312,NA())</f>
        <v>456</v>
      </c>
      <c r="S313">
        <f>'Lab test'!Q312</f>
        <v>36.428571428571423</v>
      </c>
      <c r="T313" s="401">
        <f>IF('Lab test'!P312&gt;0,'Lab test'!P312,NA())</f>
        <v>0.98760285628302846</v>
      </c>
      <c r="U313" s="401">
        <f>'Lab test'!AZ312</f>
        <v>2019</v>
      </c>
      <c r="V313" t="e">
        <f>IF('Lab test'!AQ312&gt;0,'Lab test'!AQ312,NA())</f>
        <v>#N/A</v>
      </c>
      <c r="W313" t="e">
        <f>IF('Lab test'!AU312&gt;0,'Lab test'!AU312,NA())</f>
        <v>#N/A</v>
      </c>
      <c r="X313">
        <f>IF('Lab test'!AT312&gt;0,'Lab test'!AT312,NA())</f>
        <v>0.12553628027610716</v>
      </c>
      <c r="Y313">
        <f t="shared" si="66"/>
        <v>1</v>
      </c>
      <c r="Z313" t="str">
        <f>'Lab test'!AC312</f>
        <v>Miscellaneous</v>
      </c>
      <c r="AA313" t="str">
        <f>'Lab test'!T312</f>
        <v>Steel</v>
      </c>
      <c r="AC313" t="e">
        <f t="shared" si="67"/>
        <v>#N/A</v>
      </c>
      <c r="AD313" t="e">
        <f t="shared" si="68"/>
        <v>#N/A</v>
      </c>
      <c r="AE313" t="e">
        <f t="shared" si="69"/>
        <v>#N/A</v>
      </c>
      <c r="AF313" t="e">
        <f t="shared" si="70"/>
        <v>#N/A</v>
      </c>
      <c r="AG313" t="e">
        <f t="shared" si="71"/>
        <v>#N/A</v>
      </c>
      <c r="AH313" t="e">
        <f t="shared" si="72"/>
        <v>#N/A</v>
      </c>
      <c r="AI313" t="e">
        <f t="shared" si="73"/>
        <v>#N/A</v>
      </c>
      <c r="AK313" t="e">
        <f t="shared" si="74"/>
        <v>#N/A</v>
      </c>
      <c r="AL313" t="e">
        <f t="shared" si="75"/>
        <v>#N/A</v>
      </c>
      <c r="AM313" t="e">
        <f t="shared" si="76"/>
        <v>#N/A</v>
      </c>
      <c r="AN313" t="e">
        <f t="shared" si="77"/>
        <v>#N/A</v>
      </c>
      <c r="AO313" t="e">
        <f t="shared" si="78"/>
        <v>#N/A</v>
      </c>
      <c r="AP313" t="e">
        <f t="shared" si="79"/>
        <v>#N/A</v>
      </c>
      <c r="AQ313">
        <f t="shared" si="80"/>
        <v>0.12553628027610716</v>
      </c>
    </row>
    <row r="314" spans="15:43">
      <c r="O314">
        <v>310</v>
      </c>
      <c r="P314" s="401">
        <f>'Lab test'!N313</f>
        <v>77</v>
      </c>
      <c r="Q314" s="401">
        <f>'Lab test'!M313</f>
        <v>2.1</v>
      </c>
      <c r="R314">
        <f>IF('Lab test'!O313&gt;0,'Lab test'!O313,NA())</f>
        <v>1522</v>
      </c>
      <c r="S314">
        <f>'Lab test'!Q313</f>
        <v>36.666666666666664</v>
      </c>
      <c r="T314" s="401">
        <f>IF('Lab test'!P313&gt;0,'Lab test'!P313,NA())</f>
        <v>3.2642860724460796</v>
      </c>
      <c r="U314" s="401">
        <f>'Lab test'!AZ313</f>
        <v>2019</v>
      </c>
      <c r="V314" t="e">
        <f>IF('Lab test'!AQ313&gt;0,'Lab test'!AQ313,NA())</f>
        <v>#N/A</v>
      </c>
      <c r="W314" t="e">
        <f>IF('Lab test'!AU313&gt;0,'Lab test'!AU313,NA())</f>
        <v>#N/A</v>
      </c>
      <c r="X314">
        <f>IF('Lab test'!AT313&gt;0,'Lab test'!AT313,NA())</f>
        <v>9.0518265251719382E-2</v>
      </c>
      <c r="Y314">
        <f t="shared" si="66"/>
        <v>1</v>
      </c>
      <c r="Z314" t="str">
        <f>'Lab test'!AC313</f>
        <v>Miscellaneous</v>
      </c>
      <c r="AA314" t="str">
        <f>'Lab test'!T313</f>
        <v>Steel</v>
      </c>
      <c r="AC314" t="e">
        <f t="shared" si="67"/>
        <v>#N/A</v>
      </c>
      <c r="AD314" t="e">
        <f t="shared" si="68"/>
        <v>#N/A</v>
      </c>
      <c r="AE314" t="e">
        <f t="shared" si="69"/>
        <v>#N/A</v>
      </c>
      <c r="AF314" t="e">
        <f t="shared" si="70"/>
        <v>#N/A</v>
      </c>
      <c r="AG314" t="e">
        <f t="shared" si="71"/>
        <v>#N/A</v>
      </c>
      <c r="AH314" t="e">
        <f t="shared" si="72"/>
        <v>#N/A</v>
      </c>
      <c r="AI314" t="e">
        <f t="shared" si="73"/>
        <v>#N/A</v>
      </c>
      <c r="AK314" t="e">
        <f t="shared" si="74"/>
        <v>#N/A</v>
      </c>
      <c r="AL314" t="e">
        <f t="shared" si="75"/>
        <v>#N/A</v>
      </c>
      <c r="AM314" t="e">
        <f t="shared" si="76"/>
        <v>#N/A</v>
      </c>
      <c r="AN314" t="e">
        <f t="shared" si="77"/>
        <v>#N/A</v>
      </c>
      <c r="AO314" t="e">
        <f t="shared" si="78"/>
        <v>#N/A</v>
      </c>
      <c r="AP314" t="e">
        <f t="shared" si="79"/>
        <v>#N/A</v>
      </c>
      <c r="AQ314">
        <f t="shared" si="80"/>
        <v>9.0518265251719382E-2</v>
      </c>
    </row>
    <row r="315" spans="15:43">
      <c r="O315">
        <v>311</v>
      </c>
      <c r="P315" s="401">
        <f>'Lab test'!N314</f>
        <v>101.5</v>
      </c>
      <c r="Q315" s="401">
        <f>'Lab test'!M314</f>
        <v>2.1</v>
      </c>
      <c r="R315">
        <f>IF('Lab test'!O314&gt;0,'Lab test'!O314,NA())</f>
        <v>608</v>
      </c>
      <c r="S315">
        <f>'Lab test'!Q314</f>
        <v>48.333333333333329</v>
      </c>
      <c r="T315" s="401">
        <f>IF('Lab test'!P314&gt;0,'Lab test'!P314,NA())</f>
        <v>0.86161680976289712</v>
      </c>
      <c r="U315" s="401">
        <f>'Lab test'!AZ314</f>
        <v>2019</v>
      </c>
      <c r="V315" t="e">
        <f>IF('Lab test'!AQ314&gt;0,'Lab test'!AQ314,NA())</f>
        <v>#N/A</v>
      </c>
      <c r="W315" t="e">
        <f>IF('Lab test'!AU314&gt;0,'Lab test'!AU314,NA())</f>
        <v>#N/A</v>
      </c>
      <c r="X315">
        <f>IF('Lab test'!AT314&gt;0,'Lab test'!AT314,NA())</f>
        <v>0.10967906592544101</v>
      </c>
      <c r="Y315">
        <f t="shared" si="66"/>
        <v>1</v>
      </c>
      <c r="Z315" t="str">
        <f>'Lab test'!AC314</f>
        <v>Miscellaneous</v>
      </c>
      <c r="AA315" t="str">
        <f>'Lab test'!T314</f>
        <v>Steel</v>
      </c>
      <c r="AC315" t="e">
        <f t="shared" si="67"/>
        <v>#N/A</v>
      </c>
      <c r="AD315" t="e">
        <f t="shared" si="68"/>
        <v>#N/A</v>
      </c>
      <c r="AE315" t="e">
        <f t="shared" si="69"/>
        <v>#N/A</v>
      </c>
      <c r="AF315" t="e">
        <f t="shared" si="70"/>
        <v>#N/A</v>
      </c>
      <c r="AG315" t="e">
        <f t="shared" si="71"/>
        <v>#N/A</v>
      </c>
      <c r="AH315" t="e">
        <f t="shared" si="72"/>
        <v>#N/A</v>
      </c>
      <c r="AI315" t="e">
        <f t="shared" si="73"/>
        <v>#N/A</v>
      </c>
      <c r="AK315" t="e">
        <f t="shared" si="74"/>
        <v>#N/A</v>
      </c>
      <c r="AL315" t="e">
        <f t="shared" si="75"/>
        <v>#N/A</v>
      </c>
      <c r="AM315" t="e">
        <f t="shared" si="76"/>
        <v>#N/A</v>
      </c>
      <c r="AN315" t="e">
        <f t="shared" si="77"/>
        <v>#N/A</v>
      </c>
      <c r="AO315" t="e">
        <f t="shared" si="78"/>
        <v>#N/A</v>
      </c>
      <c r="AP315" t="e">
        <f t="shared" si="79"/>
        <v>#N/A</v>
      </c>
      <c r="AQ315">
        <f t="shared" si="80"/>
        <v>0.10967906592544101</v>
      </c>
    </row>
    <row r="316" spans="15:43">
      <c r="O316">
        <v>312</v>
      </c>
      <c r="P316" s="401">
        <f>'Lab test'!N315</f>
        <v>101.5</v>
      </c>
      <c r="Q316" s="401">
        <f>'Lab test'!M315</f>
        <v>2.1</v>
      </c>
      <c r="R316">
        <f>IF('Lab test'!O315&gt;0,'Lab test'!O315,NA())</f>
        <v>2030</v>
      </c>
      <c r="S316">
        <f>'Lab test'!Q315</f>
        <v>48.333333333333329</v>
      </c>
      <c r="T316" s="401">
        <f>IF('Lab test'!P315&gt;0,'Lab test'!P315,NA())</f>
        <v>2.8767798089123047</v>
      </c>
      <c r="U316" s="401">
        <f>'Lab test'!AZ315</f>
        <v>2019</v>
      </c>
      <c r="V316" t="e">
        <f>IF('Lab test'!AQ315&gt;0,'Lab test'!AQ315,NA())</f>
        <v>#N/A</v>
      </c>
      <c r="W316" t="e">
        <f>IF('Lab test'!AU315&gt;0,'Lab test'!AU315,NA())</f>
        <v>#N/A</v>
      </c>
      <c r="X316">
        <f>IF('Lab test'!AT315&gt;0,'Lab test'!AT315,NA())</f>
        <v>0.11562552130694083</v>
      </c>
      <c r="Y316">
        <f t="shared" si="66"/>
        <v>1</v>
      </c>
      <c r="Z316" t="str">
        <f>'Lab test'!AC315</f>
        <v>Miscellaneous</v>
      </c>
      <c r="AA316" t="str">
        <f>'Lab test'!T315</f>
        <v>Steel</v>
      </c>
      <c r="AC316" t="e">
        <f t="shared" si="67"/>
        <v>#N/A</v>
      </c>
      <c r="AD316" t="e">
        <f t="shared" si="68"/>
        <v>#N/A</v>
      </c>
      <c r="AE316" t="e">
        <f t="shared" si="69"/>
        <v>#N/A</v>
      </c>
      <c r="AF316" t="e">
        <f t="shared" si="70"/>
        <v>#N/A</v>
      </c>
      <c r="AG316" t="e">
        <f t="shared" si="71"/>
        <v>#N/A</v>
      </c>
      <c r="AH316" t="e">
        <f t="shared" si="72"/>
        <v>#N/A</v>
      </c>
      <c r="AI316" t="e">
        <f t="shared" si="73"/>
        <v>#N/A</v>
      </c>
      <c r="AK316" t="e">
        <f t="shared" si="74"/>
        <v>#N/A</v>
      </c>
      <c r="AL316" t="e">
        <f t="shared" si="75"/>
        <v>#N/A</v>
      </c>
      <c r="AM316" t="e">
        <f t="shared" si="76"/>
        <v>#N/A</v>
      </c>
      <c r="AN316" t="e">
        <f t="shared" si="77"/>
        <v>#N/A</v>
      </c>
      <c r="AO316" t="e">
        <f t="shared" si="78"/>
        <v>#N/A</v>
      </c>
      <c r="AP316" t="e">
        <f t="shared" si="79"/>
        <v>#N/A</v>
      </c>
      <c r="AQ316">
        <f t="shared" si="80"/>
        <v>0.11562552130694083</v>
      </c>
    </row>
    <row r="317" spans="15:43">
      <c r="O317">
        <v>313</v>
      </c>
      <c r="P317" s="401">
        <f>'Lab test'!N316</f>
        <v>127</v>
      </c>
      <c r="Q317" s="401">
        <f>'Lab test'!M316</f>
        <v>2.1</v>
      </c>
      <c r="R317">
        <f>IF('Lab test'!O316&gt;0,'Lab test'!O316,NA())</f>
        <v>762</v>
      </c>
      <c r="S317">
        <f>'Lab test'!Q316</f>
        <v>60.476190476190474</v>
      </c>
      <c r="T317" s="401">
        <f>IF('Lab test'!P316&gt;0,'Lab test'!P316,NA())</f>
        <v>0.77154104916795008</v>
      </c>
      <c r="U317" s="401">
        <f>'Lab test'!AZ316</f>
        <v>2019</v>
      </c>
      <c r="V317" t="e">
        <f>IF('Lab test'!AQ316&gt;0,'Lab test'!AQ316,NA())</f>
        <v>#N/A</v>
      </c>
      <c r="W317" t="e">
        <f>IF('Lab test'!AU316&gt;0,'Lab test'!AU316,NA())</f>
        <v>#N/A</v>
      </c>
      <c r="X317">
        <f>IF('Lab test'!AT316&gt;0,'Lab test'!AT316,NA())</f>
        <v>0.13379524608374582</v>
      </c>
      <c r="Y317">
        <f t="shared" si="66"/>
        <v>1</v>
      </c>
      <c r="Z317" t="str">
        <f>'Lab test'!AC316</f>
        <v>Miscellaneous</v>
      </c>
      <c r="AA317" t="str">
        <f>'Lab test'!T316</f>
        <v>Steel</v>
      </c>
      <c r="AC317" t="e">
        <f t="shared" si="67"/>
        <v>#N/A</v>
      </c>
      <c r="AD317" t="e">
        <f t="shared" si="68"/>
        <v>#N/A</v>
      </c>
      <c r="AE317" t="e">
        <f t="shared" si="69"/>
        <v>#N/A</v>
      </c>
      <c r="AF317" t="e">
        <f t="shared" si="70"/>
        <v>#N/A</v>
      </c>
      <c r="AG317" t="e">
        <f t="shared" si="71"/>
        <v>#N/A</v>
      </c>
      <c r="AH317" t="e">
        <f t="shared" si="72"/>
        <v>#N/A</v>
      </c>
      <c r="AI317" t="e">
        <f t="shared" si="73"/>
        <v>#N/A</v>
      </c>
      <c r="AK317" t="e">
        <f t="shared" si="74"/>
        <v>#N/A</v>
      </c>
      <c r="AL317" t="e">
        <f t="shared" si="75"/>
        <v>#N/A</v>
      </c>
      <c r="AM317" t="e">
        <f t="shared" si="76"/>
        <v>#N/A</v>
      </c>
      <c r="AN317" t="e">
        <f t="shared" si="77"/>
        <v>#N/A</v>
      </c>
      <c r="AO317" t="e">
        <f t="shared" si="78"/>
        <v>#N/A</v>
      </c>
      <c r="AP317" t="e">
        <f t="shared" si="79"/>
        <v>#N/A</v>
      </c>
      <c r="AQ317">
        <f t="shared" si="80"/>
        <v>0.13379524608374582</v>
      </c>
    </row>
    <row r="318" spans="15:43">
      <c r="O318">
        <v>314</v>
      </c>
      <c r="P318" s="401">
        <f>'Lab test'!N317</f>
        <v>127</v>
      </c>
      <c r="Q318" s="401">
        <f>'Lab test'!M317</f>
        <v>2.1</v>
      </c>
      <c r="R318">
        <f>IF('Lab test'!O317&gt;0,'Lab test'!O317,NA())</f>
        <v>2537</v>
      </c>
      <c r="S318">
        <f>'Lab test'!Q317</f>
        <v>60.476190476190474</v>
      </c>
      <c r="T318" s="401">
        <f>IF('Lab test'!P317&gt;0,'Lab test'!P317,NA())</f>
        <v>2.5687659340407993</v>
      </c>
      <c r="U318" s="401">
        <f>'Lab test'!AZ317</f>
        <v>2019</v>
      </c>
      <c r="V318" t="e">
        <f>IF('Lab test'!AQ317&gt;0,'Lab test'!AQ317,NA())</f>
        <v>#N/A</v>
      </c>
      <c r="W318" t="e">
        <f>IF('Lab test'!AU317&gt;0,'Lab test'!AU317,NA())</f>
        <v>#N/A</v>
      </c>
      <c r="X318">
        <f>IF('Lab test'!AT317&gt;0,'Lab test'!AT317,NA())</f>
        <v>0.13049165976069035</v>
      </c>
      <c r="Y318">
        <f t="shared" si="66"/>
        <v>1</v>
      </c>
      <c r="Z318" t="str">
        <f>'Lab test'!AC317</f>
        <v>Miscellaneous</v>
      </c>
      <c r="AA318" t="str">
        <f>'Lab test'!T317</f>
        <v>Steel</v>
      </c>
      <c r="AC318" t="e">
        <f t="shared" si="67"/>
        <v>#N/A</v>
      </c>
      <c r="AD318" t="e">
        <f t="shared" si="68"/>
        <v>#N/A</v>
      </c>
      <c r="AE318" t="e">
        <f t="shared" si="69"/>
        <v>#N/A</v>
      </c>
      <c r="AF318" t="e">
        <f t="shared" si="70"/>
        <v>#N/A</v>
      </c>
      <c r="AG318" t="e">
        <f t="shared" si="71"/>
        <v>#N/A</v>
      </c>
      <c r="AH318" t="e">
        <f t="shared" si="72"/>
        <v>#N/A</v>
      </c>
      <c r="AI318" t="e">
        <f t="shared" si="73"/>
        <v>#N/A</v>
      </c>
      <c r="AK318" t="e">
        <f t="shared" si="74"/>
        <v>#N/A</v>
      </c>
      <c r="AL318" t="e">
        <f t="shared" si="75"/>
        <v>#N/A</v>
      </c>
      <c r="AM318" t="e">
        <f t="shared" si="76"/>
        <v>#N/A</v>
      </c>
      <c r="AN318" t="e">
        <f t="shared" si="77"/>
        <v>#N/A</v>
      </c>
      <c r="AO318" t="e">
        <f t="shared" si="78"/>
        <v>#N/A</v>
      </c>
      <c r="AP318" t="e">
        <f t="shared" si="79"/>
        <v>#N/A</v>
      </c>
      <c r="AQ318">
        <f t="shared" si="80"/>
        <v>0.13049165976069035</v>
      </c>
    </row>
    <row r="319" spans="15:43">
      <c r="O319">
        <v>315</v>
      </c>
      <c r="P319" s="401">
        <f>'Lab test'!N318</f>
        <v>154.30500000000001</v>
      </c>
      <c r="Q319" s="401">
        <f>'Lab test'!M318</f>
        <v>3.0226000000000002</v>
      </c>
      <c r="R319">
        <f>IF('Lab test'!O318&gt;0,'Lab test'!O318,NA())</f>
        <v>9144</v>
      </c>
      <c r="S319">
        <f>'Lab test'!Q318</f>
        <v>51.050420000000003</v>
      </c>
      <c r="T319" s="401">
        <f>IF('Lab test'!P318&gt;0,'Lab test'!P318,NA())</f>
        <v>8.2938572851319332</v>
      </c>
      <c r="U319" s="401">
        <f>'Lab test'!AZ318</f>
        <v>1937</v>
      </c>
      <c r="V319">
        <f>IF('Lab test'!AQ318&gt;0,'Lab test'!AQ318,NA())</f>
        <v>0.3204208727095576</v>
      </c>
      <c r="W319">
        <f>IF('Lab test'!AU318&gt;0,'Lab test'!AU318,NA())</f>
        <v>0.85632181033735433</v>
      </c>
      <c r="X319">
        <f>IF('Lab test'!AT318&gt;0,'Lab test'!AT318,NA())</f>
        <v>8.7918162649678389E-2</v>
      </c>
      <c r="Y319">
        <f t="shared" si="66"/>
        <v>1</v>
      </c>
      <c r="Z319" t="str">
        <f>'Lab test'!AC318</f>
        <v>CLTW</v>
      </c>
      <c r="AA319" t="str">
        <f>'Lab test'!T318</f>
        <v>Steel</v>
      </c>
      <c r="AC319" t="e">
        <f t="shared" si="67"/>
        <v>#N/A</v>
      </c>
      <c r="AD319" t="e">
        <f t="shared" si="68"/>
        <v>#N/A</v>
      </c>
      <c r="AE319" t="e">
        <f t="shared" si="69"/>
        <v>#N/A</v>
      </c>
      <c r="AF319" t="e">
        <f t="shared" si="70"/>
        <v>#N/A</v>
      </c>
      <c r="AG319" t="e">
        <f t="shared" si="71"/>
        <v>#N/A</v>
      </c>
      <c r="AH319">
        <f t="shared" si="72"/>
        <v>0.85632181033735433</v>
      </c>
      <c r="AI319" t="e">
        <f t="shared" si="73"/>
        <v>#N/A</v>
      </c>
      <c r="AK319" t="e">
        <f t="shared" si="74"/>
        <v>#N/A</v>
      </c>
      <c r="AL319" t="e">
        <f t="shared" si="75"/>
        <v>#N/A</v>
      </c>
      <c r="AM319" t="e">
        <f t="shared" si="76"/>
        <v>#N/A</v>
      </c>
      <c r="AN319" t="e">
        <f t="shared" si="77"/>
        <v>#N/A</v>
      </c>
      <c r="AO319" t="e">
        <f t="shared" si="78"/>
        <v>#N/A</v>
      </c>
      <c r="AP319">
        <f t="shared" si="79"/>
        <v>8.7918162649678389E-2</v>
      </c>
      <c r="AQ319" t="e">
        <f t="shared" si="80"/>
        <v>#N/A</v>
      </c>
    </row>
    <row r="320" spans="15:43">
      <c r="O320">
        <v>316</v>
      </c>
      <c r="P320" s="401">
        <f>'Lab test'!N319</f>
        <v>153.92400000000001</v>
      </c>
      <c r="Q320" s="401">
        <f>'Lab test'!M319</f>
        <v>2.9971999999999999</v>
      </c>
      <c r="R320">
        <f>IF('Lab test'!O319&gt;0,'Lab test'!O319,NA())</f>
        <v>9144</v>
      </c>
      <c r="S320">
        <f>'Lab test'!Q319</f>
        <v>51.355930000000001</v>
      </c>
      <c r="T320" s="401">
        <f>IF('Lab test'!P319&gt;0,'Lab test'!P319,NA())</f>
        <v>8.2896189582680577</v>
      </c>
      <c r="U320" s="401">
        <f>'Lab test'!AZ319</f>
        <v>1937</v>
      </c>
      <c r="V320">
        <f>IF('Lab test'!AQ319&gt;0,'Lab test'!AQ319,NA())</f>
        <v>0.31766268123244462</v>
      </c>
      <c r="W320">
        <f>IF('Lab test'!AU319&gt;0,'Lab test'!AU319,NA())</f>
        <v>0.72647071495514282</v>
      </c>
      <c r="X320">
        <f>IF('Lab test'!AT319&gt;0,'Lab test'!AT319,NA())</f>
        <v>7.3307854036667397E-2</v>
      </c>
      <c r="Y320">
        <f t="shared" si="66"/>
        <v>1</v>
      </c>
      <c r="Z320" t="str">
        <f>'Lab test'!AC319</f>
        <v>CLTW</v>
      </c>
      <c r="AA320" t="str">
        <f>'Lab test'!T319</f>
        <v>Steel</v>
      </c>
      <c r="AC320" t="e">
        <f t="shared" si="67"/>
        <v>#N/A</v>
      </c>
      <c r="AD320" t="e">
        <f t="shared" si="68"/>
        <v>#N/A</v>
      </c>
      <c r="AE320" t="e">
        <f t="shared" si="69"/>
        <v>#N/A</v>
      </c>
      <c r="AF320" t="e">
        <f t="shared" si="70"/>
        <v>#N/A</v>
      </c>
      <c r="AG320" t="e">
        <f t="shared" si="71"/>
        <v>#N/A</v>
      </c>
      <c r="AH320">
        <f t="shared" si="72"/>
        <v>0.72647071495514282</v>
      </c>
      <c r="AI320" t="e">
        <f t="shared" si="73"/>
        <v>#N/A</v>
      </c>
      <c r="AK320" t="e">
        <f t="shared" si="74"/>
        <v>#N/A</v>
      </c>
      <c r="AL320" t="e">
        <f t="shared" si="75"/>
        <v>#N/A</v>
      </c>
      <c r="AM320" t="e">
        <f t="shared" si="76"/>
        <v>#N/A</v>
      </c>
      <c r="AN320" t="e">
        <f t="shared" si="77"/>
        <v>#N/A</v>
      </c>
      <c r="AO320" t="e">
        <f t="shared" si="78"/>
        <v>#N/A</v>
      </c>
      <c r="AP320">
        <f t="shared" si="79"/>
        <v>7.3307854036667397E-2</v>
      </c>
      <c r="AQ320" t="e">
        <f t="shared" si="80"/>
        <v>#N/A</v>
      </c>
    </row>
    <row r="321" spans="15:43">
      <c r="O321">
        <v>317</v>
      </c>
      <c r="P321" s="401">
        <f>'Lab test'!N320</f>
        <v>153.92400000000001</v>
      </c>
      <c r="Q321" s="401">
        <f>'Lab test'!M320</f>
        <v>2.794</v>
      </c>
      <c r="R321">
        <f>IF('Lab test'!O320&gt;0,'Lab test'!O320,NA())</f>
        <v>9144</v>
      </c>
      <c r="S321">
        <f>'Lab test'!Q320</f>
        <v>55.090910000000001</v>
      </c>
      <c r="T321" s="401">
        <f>IF('Lab test'!P320&gt;0,'Lab test'!P320,NA())</f>
        <v>8.0036835121851571</v>
      </c>
      <c r="U321" s="401">
        <f>'Lab test'!AZ320</f>
        <v>1937</v>
      </c>
      <c r="V321">
        <f>IF('Lab test'!AQ320&gt;0,'Lab test'!AQ320,NA())</f>
        <v>0.35205031635472167</v>
      </c>
      <c r="W321">
        <f>IF('Lab test'!AU320&gt;0,'Lab test'!AU320,NA())</f>
        <v>0.72307718054039571</v>
      </c>
      <c r="X321">
        <f>IF('Lab test'!AT320&gt;0,'Lab test'!AT320,NA())</f>
        <v>8.9617770164284072E-2</v>
      </c>
      <c r="Y321">
        <f t="shared" si="66"/>
        <v>1</v>
      </c>
      <c r="Z321" t="str">
        <f>'Lab test'!AC320</f>
        <v>CLTW</v>
      </c>
      <c r="AA321" t="str">
        <f>'Lab test'!T320</f>
        <v>Steel</v>
      </c>
      <c r="AC321" t="e">
        <f t="shared" si="67"/>
        <v>#N/A</v>
      </c>
      <c r="AD321" t="e">
        <f t="shared" si="68"/>
        <v>#N/A</v>
      </c>
      <c r="AE321" t="e">
        <f t="shared" si="69"/>
        <v>#N/A</v>
      </c>
      <c r="AF321" t="e">
        <f t="shared" si="70"/>
        <v>#N/A</v>
      </c>
      <c r="AG321" t="e">
        <f t="shared" si="71"/>
        <v>#N/A</v>
      </c>
      <c r="AH321">
        <f t="shared" si="72"/>
        <v>0.72307718054039571</v>
      </c>
      <c r="AI321" t="e">
        <f t="shared" si="73"/>
        <v>#N/A</v>
      </c>
      <c r="AK321" t="e">
        <f t="shared" si="74"/>
        <v>#N/A</v>
      </c>
      <c r="AL321" t="e">
        <f t="shared" si="75"/>
        <v>#N/A</v>
      </c>
      <c r="AM321" t="e">
        <f t="shared" si="76"/>
        <v>#N/A</v>
      </c>
      <c r="AN321" t="e">
        <f t="shared" si="77"/>
        <v>#N/A</v>
      </c>
      <c r="AO321" t="e">
        <f t="shared" si="78"/>
        <v>#N/A</v>
      </c>
      <c r="AP321">
        <f t="shared" si="79"/>
        <v>8.9617770164284072E-2</v>
      </c>
      <c r="AQ321" t="e">
        <f t="shared" si="80"/>
        <v>#N/A</v>
      </c>
    </row>
    <row r="322" spans="15:43">
      <c r="O322">
        <v>318</v>
      </c>
      <c r="P322" s="401">
        <f>'Lab test'!N321</f>
        <v>154.81299999999999</v>
      </c>
      <c r="Q322" s="401">
        <f>'Lab test'!M321</f>
        <v>2.6924000000000001</v>
      </c>
      <c r="R322">
        <f>IF('Lab test'!O321&gt;0,'Lab test'!O321,NA())</f>
        <v>9144</v>
      </c>
      <c r="S322">
        <f>'Lab test'!Q321</f>
        <v>57.5</v>
      </c>
      <c r="T322" s="401">
        <f>IF('Lab test'!P321&gt;0,'Lab test'!P321,NA())</f>
        <v>7.7892361090232445</v>
      </c>
      <c r="U322" s="401">
        <f>'Lab test'!AZ321</f>
        <v>1937</v>
      </c>
      <c r="V322">
        <f>IF('Lab test'!AQ321&gt;0,'Lab test'!AQ321,NA())</f>
        <v>0.35502442548424701</v>
      </c>
      <c r="W322">
        <f>IF('Lab test'!AU321&gt;0,'Lab test'!AU321,NA())</f>
        <v>0.70263144234674091</v>
      </c>
      <c r="X322">
        <f>IF('Lab test'!AT321&gt;0,'Lab test'!AT321,NA())</f>
        <v>8.8561313041331746E-2</v>
      </c>
      <c r="Y322">
        <f t="shared" si="66"/>
        <v>1</v>
      </c>
      <c r="Z322" t="str">
        <f>'Lab test'!AC321</f>
        <v>CLTW</v>
      </c>
      <c r="AA322" t="str">
        <f>'Lab test'!T321</f>
        <v>Steel</v>
      </c>
      <c r="AC322" t="e">
        <f t="shared" si="67"/>
        <v>#N/A</v>
      </c>
      <c r="AD322" t="e">
        <f t="shared" si="68"/>
        <v>#N/A</v>
      </c>
      <c r="AE322" t="e">
        <f t="shared" si="69"/>
        <v>#N/A</v>
      </c>
      <c r="AF322" t="e">
        <f t="shared" si="70"/>
        <v>#N/A</v>
      </c>
      <c r="AG322" t="e">
        <f t="shared" si="71"/>
        <v>#N/A</v>
      </c>
      <c r="AH322">
        <f t="shared" si="72"/>
        <v>0.70263144234674091</v>
      </c>
      <c r="AI322" t="e">
        <f t="shared" si="73"/>
        <v>#N/A</v>
      </c>
      <c r="AK322" t="e">
        <f t="shared" si="74"/>
        <v>#N/A</v>
      </c>
      <c r="AL322" t="e">
        <f t="shared" si="75"/>
        <v>#N/A</v>
      </c>
      <c r="AM322" t="e">
        <f t="shared" si="76"/>
        <v>#N/A</v>
      </c>
      <c r="AN322" t="e">
        <f t="shared" si="77"/>
        <v>#N/A</v>
      </c>
      <c r="AO322" t="e">
        <f t="shared" si="78"/>
        <v>#N/A</v>
      </c>
      <c r="AP322">
        <f t="shared" si="79"/>
        <v>8.8561313041331746E-2</v>
      </c>
      <c r="AQ322" t="e">
        <f t="shared" si="80"/>
        <v>#N/A</v>
      </c>
    </row>
    <row r="323" spans="15:43">
      <c r="O323">
        <v>319</v>
      </c>
      <c r="P323" s="401">
        <f>'Lab test'!N322</f>
        <v>153.16200000000001</v>
      </c>
      <c r="Q323" s="401">
        <f>'Lab test'!M322</f>
        <v>1.5748</v>
      </c>
      <c r="R323">
        <f>IF('Lab test'!O322&gt;0,'Lab test'!O322,NA())</f>
        <v>9144</v>
      </c>
      <c r="S323">
        <f>'Lab test'!Q322</f>
        <v>97.25806</v>
      </c>
      <c r="T323" s="401">
        <f>IF('Lab test'!P322&gt;0,'Lab test'!P322,NA())</f>
        <v>6.0537206614052579</v>
      </c>
      <c r="U323" s="401">
        <f>'Lab test'!AZ322</f>
        <v>1937</v>
      </c>
      <c r="V323">
        <f>IF('Lab test'!AQ322&gt;0,'Lab test'!AQ322,NA())</f>
        <v>0.47232725242961432</v>
      </c>
      <c r="W323">
        <f>IF('Lab test'!AU322&gt;0,'Lab test'!AU322,NA())</f>
        <v>0.53499996192759491</v>
      </c>
      <c r="X323">
        <f>IF('Lab test'!AT322&gt;0,'Lab test'!AT322,NA())</f>
        <v>0.11935476436873577</v>
      </c>
      <c r="Y323">
        <f t="shared" si="66"/>
        <v>1</v>
      </c>
      <c r="Z323" t="str">
        <f>'Lab test'!AC322</f>
        <v>CLTW</v>
      </c>
      <c r="AA323" t="str">
        <f>'Lab test'!T322</f>
        <v>Steel</v>
      </c>
      <c r="AC323" t="e">
        <f t="shared" si="67"/>
        <v>#N/A</v>
      </c>
      <c r="AD323" t="e">
        <f t="shared" si="68"/>
        <v>#N/A</v>
      </c>
      <c r="AE323" t="e">
        <f t="shared" si="69"/>
        <v>#N/A</v>
      </c>
      <c r="AF323" t="e">
        <f t="shared" si="70"/>
        <v>#N/A</v>
      </c>
      <c r="AG323" t="e">
        <f t="shared" si="71"/>
        <v>#N/A</v>
      </c>
      <c r="AH323">
        <f t="shared" si="72"/>
        <v>0.53499996192759491</v>
      </c>
      <c r="AI323" t="e">
        <f t="shared" si="73"/>
        <v>#N/A</v>
      </c>
      <c r="AK323" t="e">
        <f t="shared" si="74"/>
        <v>#N/A</v>
      </c>
      <c r="AL323" t="e">
        <f t="shared" si="75"/>
        <v>#N/A</v>
      </c>
      <c r="AM323" t="e">
        <f t="shared" si="76"/>
        <v>#N/A</v>
      </c>
      <c r="AN323" t="e">
        <f t="shared" si="77"/>
        <v>#N/A</v>
      </c>
      <c r="AO323" t="e">
        <f t="shared" si="78"/>
        <v>#N/A</v>
      </c>
      <c r="AP323">
        <f t="shared" si="79"/>
        <v>0.11935476436873577</v>
      </c>
      <c r="AQ323" t="e">
        <f t="shared" si="80"/>
        <v>#N/A</v>
      </c>
    </row>
    <row r="324" spans="15:43">
      <c r="O324">
        <v>320</v>
      </c>
      <c r="P324" s="401">
        <f>'Lab test'!N323</f>
        <v>153.92400000000001</v>
      </c>
      <c r="Q324" s="401">
        <f>'Lab test'!M323</f>
        <v>1.6002000000000001</v>
      </c>
      <c r="R324">
        <f>IF('Lab test'!O323&gt;0,'Lab test'!O323,NA())</f>
        <v>9144</v>
      </c>
      <c r="S324">
        <f>'Lab test'!Q323</f>
        <v>96.190479999999994</v>
      </c>
      <c r="T324" s="401">
        <f>IF('Lab test'!P323&gt;0,'Lab test'!P323,NA())</f>
        <v>6.0570873851765556</v>
      </c>
      <c r="U324" s="401">
        <f>'Lab test'!AZ323</f>
        <v>1937</v>
      </c>
      <c r="V324">
        <f>IF('Lab test'!AQ323&gt;0,'Lab test'!AQ323,NA())</f>
        <v>0.4697277637193889</v>
      </c>
      <c r="W324">
        <f>IF('Lab test'!AU323&gt;0,'Lab test'!AU323,NA())</f>
        <v>0.54499995104976495</v>
      </c>
      <c r="X324">
        <f>IF('Lab test'!AT323&gt;0,'Lab test'!AT323,NA())</f>
        <v>0.12025106294422178</v>
      </c>
      <c r="Y324">
        <f t="shared" si="66"/>
        <v>1</v>
      </c>
      <c r="Z324" t="str">
        <f>'Lab test'!AC323</f>
        <v>CLTW</v>
      </c>
      <c r="AA324" t="str">
        <f>'Lab test'!T323</f>
        <v>Steel</v>
      </c>
      <c r="AC324" t="e">
        <f t="shared" si="67"/>
        <v>#N/A</v>
      </c>
      <c r="AD324" t="e">
        <f t="shared" si="68"/>
        <v>#N/A</v>
      </c>
      <c r="AE324" t="e">
        <f t="shared" si="69"/>
        <v>#N/A</v>
      </c>
      <c r="AF324" t="e">
        <f t="shared" si="70"/>
        <v>#N/A</v>
      </c>
      <c r="AG324" t="e">
        <f t="shared" si="71"/>
        <v>#N/A</v>
      </c>
      <c r="AH324">
        <f t="shared" si="72"/>
        <v>0.54499995104976495</v>
      </c>
      <c r="AI324" t="e">
        <f t="shared" si="73"/>
        <v>#N/A</v>
      </c>
      <c r="AK324" t="e">
        <f t="shared" si="74"/>
        <v>#N/A</v>
      </c>
      <c r="AL324" t="e">
        <f t="shared" si="75"/>
        <v>#N/A</v>
      </c>
      <c r="AM324" t="e">
        <f t="shared" si="76"/>
        <v>#N/A</v>
      </c>
      <c r="AN324" t="e">
        <f t="shared" si="77"/>
        <v>#N/A</v>
      </c>
      <c r="AO324" t="e">
        <f t="shared" si="78"/>
        <v>#N/A</v>
      </c>
      <c r="AP324">
        <f t="shared" si="79"/>
        <v>0.12025106294422178</v>
      </c>
      <c r="AQ324" t="e">
        <f t="shared" si="80"/>
        <v>#N/A</v>
      </c>
    </row>
    <row r="325" spans="15:43">
      <c r="O325">
        <v>321</v>
      </c>
      <c r="P325" s="401">
        <f>'Lab test'!N324</f>
        <v>609.6</v>
      </c>
      <c r="Q325" s="401">
        <f>'Lab test'!M324</f>
        <v>12.547599999999999</v>
      </c>
      <c r="R325">
        <f>IF('Lab test'!O324&gt;0,'Lab test'!O324,NA())</f>
        <v>9144</v>
      </c>
      <c r="S325">
        <f>'Lab test'!Q324</f>
        <v>48.582999999999998</v>
      </c>
      <c r="T325" s="401">
        <f>IF('Lab test'!P324&gt;0,'Lab test'!P324,NA())</f>
        <v>2.1520339216657343</v>
      </c>
      <c r="U325" s="401">
        <f>'Lab test'!AZ324</f>
        <v>1937</v>
      </c>
      <c r="V325">
        <f>IF('Lab test'!AQ324&gt;0,'Lab test'!AQ324,NA())</f>
        <v>0.29769210771408505</v>
      </c>
      <c r="W325">
        <f>IF('Lab test'!AU324&gt;0,'Lab test'!AU324,NA())</f>
        <v>0.97101473037061137</v>
      </c>
      <c r="X325">
        <f>IF('Lab test'!AT324&gt;0,'Lab test'!AT324,NA())</f>
        <v>8.6051899270541202E-2</v>
      </c>
      <c r="Y325">
        <f t="shared" si="66"/>
        <v>1</v>
      </c>
      <c r="Z325" t="str">
        <f>'Lab test'!AC324</f>
        <v>CLTW</v>
      </c>
      <c r="AA325" t="str">
        <f>'Lab test'!T324</f>
        <v>Steel</v>
      </c>
      <c r="AC325" t="e">
        <f t="shared" si="67"/>
        <v>#N/A</v>
      </c>
      <c r="AD325" t="e">
        <f t="shared" si="68"/>
        <v>#N/A</v>
      </c>
      <c r="AE325" t="e">
        <f t="shared" si="69"/>
        <v>#N/A</v>
      </c>
      <c r="AF325" t="e">
        <f t="shared" si="70"/>
        <v>#N/A</v>
      </c>
      <c r="AG325" t="e">
        <f t="shared" si="71"/>
        <v>#N/A</v>
      </c>
      <c r="AH325">
        <f t="shared" si="72"/>
        <v>0.97101473037061137</v>
      </c>
      <c r="AI325" t="e">
        <f t="shared" si="73"/>
        <v>#N/A</v>
      </c>
      <c r="AK325" t="e">
        <f t="shared" si="74"/>
        <v>#N/A</v>
      </c>
      <c r="AL325" t="e">
        <f t="shared" si="75"/>
        <v>#N/A</v>
      </c>
      <c r="AM325" t="e">
        <f t="shared" si="76"/>
        <v>#N/A</v>
      </c>
      <c r="AN325" t="e">
        <f t="shared" si="77"/>
        <v>#N/A</v>
      </c>
      <c r="AO325" t="e">
        <f t="shared" si="78"/>
        <v>#N/A</v>
      </c>
      <c r="AP325">
        <f t="shared" si="79"/>
        <v>8.6051899270541202E-2</v>
      </c>
      <c r="AQ325" t="e">
        <f t="shared" si="80"/>
        <v>#N/A</v>
      </c>
    </row>
    <row r="326" spans="15:43">
      <c r="O326">
        <v>322</v>
      </c>
      <c r="P326" s="401">
        <f>'Lab test'!N325</f>
        <v>609.6</v>
      </c>
      <c r="Q326" s="401">
        <f>'Lab test'!M325</f>
        <v>12.5222</v>
      </c>
      <c r="R326">
        <f>IF('Lab test'!O325&gt;0,'Lab test'!O325,NA())</f>
        <v>9144</v>
      </c>
      <c r="S326">
        <f>'Lab test'!Q325</f>
        <v>48.681539999999998</v>
      </c>
      <c r="T326" s="401">
        <f>IF('Lab test'!P325&gt;0,'Lab test'!P325,NA())</f>
        <v>2.1498546462493691</v>
      </c>
      <c r="U326" s="401">
        <f>'Lab test'!AZ325</f>
        <v>1937</v>
      </c>
      <c r="V326">
        <f>IF('Lab test'!AQ325&gt;0,'Lab test'!AQ325,NA())</f>
        <v>0.29582660308724873</v>
      </c>
      <c r="W326">
        <f>IF('Lab test'!AU325&gt;0,'Lab test'!AU325,NA())</f>
        <v>0.9088237138456039</v>
      </c>
      <c r="X326">
        <f>IF('Lab test'!AT325&gt;0,'Lab test'!AT325,NA())</f>
        <v>7.953423419951508E-2</v>
      </c>
      <c r="Y326">
        <f t="shared" ref="Y326:Y389" si="81">IF(OR(ISNUMBER(W326),ISNUMBER(X326)),1,NA())</f>
        <v>1</v>
      </c>
      <c r="Z326" t="str">
        <f>'Lab test'!AC325</f>
        <v>CLTW</v>
      </c>
      <c r="AA326" t="str">
        <f>'Lab test'!T325</f>
        <v>Steel</v>
      </c>
      <c r="AC326" t="e">
        <f t="shared" ref="AC326:AC389" si="82">IF(EXACT($AC$4,Z326),W326,NA())</f>
        <v>#N/A</v>
      </c>
      <c r="AD326" t="e">
        <f t="shared" ref="AD326:AD389" si="83">IF(EXACT($AD$4,Z326),W326,NA())</f>
        <v>#N/A</v>
      </c>
      <c r="AE326" t="e">
        <f t="shared" ref="AE326:AE389" si="84">IF(EXACT($AE$4,Z326),W326,NA())</f>
        <v>#N/A</v>
      </c>
      <c r="AF326" t="e">
        <f t="shared" ref="AF326:AF389" si="85">IF(EXACT($AF$4,Z326),W326,NA())</f>
        <v>#N/A</v>
      </c>
      <c r="AG326" t="e">
        <f t="shared" ref="AG326:AG389" si="86">IF(EXACT($AG$4,Z326),W326,NA())</f>
        <v>#N/A</v>
      </c>
      <c r="AH326">
        <f t="shared" ref="AH326:AH389" si="87">IF(EXACT($AH$4,Z326),W326,NA())</f>
        <v>0.9088237138456039</v>
      </c>
      <c r="AI326" t="e">
        <f t="shared" ref="AI326:AI389" si="88">IF(EXACT($AI$4,Z326),W326,NA())</f>
        <v>#N/A</v>
      </c>
      <c r="AK326" t="e">
        <f t="shared" ref="AK326:AK389" si="89">IF(EXACT($AK$4,Z326),X326,NA())</f>
        <v>#N/A</v>
      </c>
      <c r="AL326" t="e">
        <f t="shared" ref="AL326:AL389" si="90">IF(EXACT($AL$4,Z326),X326,NA())</f>
        <v>#N/A</v>
      </c>
      <c r="AM326" t="e">
        <f t="shared" ref="AM326:AM389" si="91">IF(EXACT($AM$4,Z326),X326,NA())</f>
        <v>#N/A</v>
      </c>
      <c r="AN326" t="e">
        <f t="shared" ref="AN326:AN389" si="92">IF(EXACT($AN$4,Z326),X326,NA())</f>
        <v>#N/A</v>
      </c>
      <c r="AO326" t="e">
        <f t="shared" ref="AO326:AO389" si="93">IF(EXACT($AO$4,Z326),X326,NA())</f>
        <v>#N/A</v>
      </c>
      <c r="AP326">
        <f t="shared" ref="AP326:AP389" si="94">IF(EXACT($AP$4,Z326),X326,NA())</f>
        <v>7.953423419951508E-2</v>
      </c>
      <c r="AQ326" t="e">
        <f t="shared" ref="AQ326:AQ389" si="95">IF(EXACT($AQ$4,Z326),X326,NA())</f>
        <v>#N/A</v>
      </c>
    </row>
    <row r="327" spans="15:43">
      <c r="O327">
        <v>323</v>
      </c>
      <c r="P327" s="401">
        <f>'Lab test'!N326</f>
        <v>154.81299999999999</v>
      </c>
      <c r="Q327" s="401">
        <f>'Lab test'!M326</f>
        <v>2.9464000000000001</v>
      </c>
      <c r="R327">
        <f>IF('Lab test'!O326&gt;0,'Lab test'!O326,NA())</f>
        <v>2286</v>
      </c>
      <c r="S327">
        <f>'Lab test'!Q326</f>
        <v>52.543100000000003</v>
      </c>
      <c r="T327" s="401">
        <f>IF('Lab test'!P326&gt;0,'Lab test'!P326,NA())</f>
        <v>2.0370933878920425</v>
      </c>
      <c r="U327" s="401">
        <f>'Lab test'!AZ326</f>
        <v>1937</v>
      </c>
      <c r="V327">
        <f>IF('Lab test'!AQ326&gt;0,'Lab test'!AQ326,NA())</f>
        <v>0.31445399772968119</v>
      </c>
      <c r="W327">
        <f>IF('Lab test'!AU326&gt;0,'Lab test'!AU326,NA())</f>
        <v>0.77187509348136851</v>
      </c>
      <c r="X327">
        <f>IF('Lab test'!AT326&gt;0,'Lab test'!AT326,NA())</f>
        <v>7.632402556224846E-2</v>
      </c>
      <c r="Y327">
        <f t="shared" si="81"/>
        <v>1</v>
      </c>
      <c r="Z327" t="str">
        <f>'Lab test'!AC326</f>
        <v>CLTW</v>
      </c>
      <c r="AA327" t="str">
        <f>'Lab test'!T326</f>
        <v>Steel</v>
      </c>
      <c r="AC327" t="e">
        <f t="shared" si="82"/>
        <v>#N/A</v>
      </c>
      <c r="AD327" t="e">
        <f t="shared" si="83"/>
        <v>#N/A</v>
      </c>
      <c r="AE327" t="e">
        <f t="shared" si="84"/>
        <v>#N/A</v>
      </c>
      <c r="AF327" t="e">
        <f t="shared" si="85"/>
        <v>#N/A</v>
      </c>
      <c r="AG327" t="e">
        <f t="shared" si="86"/>
        <v>#N/A</v>
      </c>
      <c r="AH327">
        <f t="shared" si="87"/>
        <v>0.77187509348136851</v>
      </c>
      <c r="AI327" t="e">
        <f t="shared" si="88"/>
        <v>#N/A</v>
      </c>
      <c r="AK327" t="e">
        <f t="shared" si="89"/>
        <v>#N/A</v>
      </c>
      <c r="AL327" t="e">
        <f t="shared" si="90"/>
        <v>#N/A</v>
      </c>
      <c r="AM327" t="e">
        <f t="shared" si="91"/>
        <v>#N/A</v>
      </c>
      <c r="AN327" t="e">
        <f t="shared" si="92"/>
        <v>#N/A</v>
      </c>
      <c r="AO327" t="e">
        <f t="shared" si="93"/>
        <v>#N/A</v>
      </c>
      <c r="AP327">
        <f t="shared" si="94"/>
        <v>7.632402556224846E-2</v>
      </c>
      <c r="AQ327" t="e">
        <f t="shared" si="95"/>
        <v>#N/A</v>
      </c>
    </row>
    <row r="328" spans="15:43">
      <c r="O328">
        <v>324</v>
      </c>
      <c r="P328" s="401">
        <f>'Lab test'!N327</f>
        <v>154.81299999999999</v>
      </c>
      <c r="Q328" s="401">
        <f>'Lab test'!M327</f>
        <v>2.9464000000000001</v>
      </c>
      <c r="R328">
        <f>IF('Lab test'!O327&gt;0,'Lab test'!O327,NA())</f>
        <v>2286</v>
      </c>
      <c r="S328">
        <f>'Lab test'!Q327</f>
        <v>52.543100000000003</v>
      </c>
      <c r="T328" s="401">
        <f>IF('Lab test'!P327&gt;0,'Lab test'!P327,NA())</f>
        <v>2.0370933878920425</v>
      </c>
      <c r="U328" s="401">
        <f>'Lab test'!AZ327</f>
        <v>1937</v>
      </c>
      <c r="V328">
        <f>IF('Lab test'!AQ327&gt;0,'Lab test'!AQ327,NA())</f>
        <v>0.32413175311751147</v>
      </c>
      <c r="W328">
        <f>IF('Lab test'!AU327&gt;0,'Lab test'!AU327,NA())</f>
        <v>0.72941199556184444</v>
      </c>
      <c r="X328">
        <f>IF('Lab test'!AT327&gt;0,'Lab test'!AT327,NA())</f>
        <v>7.6633040601107247E-2</v>
      </c>
      <c r="Y328">
        <f t="shared" si="81"/>
        <v>1</v>
      </c>
      <c r="Z328" t="str">
        <f>'Lab test'!AC327</f>
        <v>CLTW</v>
      </c>
      <c r="AA328" t="str">
        <f>'Lab test'!T327</f>
        <v>Steel</v>
      </c>
      <c r="AC328" t="e">
        <f t="shared" si="82"/>
        <v>#N/A</v>
      </c>
      <c r="AD328" t="e">
        <f t="shared" si="83"/>
        <v>#N/A</v>
      </c>
      <c r="AE328" t="e">
        <f t="shared" si="84"/>
        <v>#N/A</v>
      </c>
      <c r="AF328" t="e">
        <f t="shared" si="85"/>
        <v>#N/A</v>
      </c>
      <c r="AG328" t="e">
        <f t="shared" si="86"/>
        <v>#N/A</v>
      </c>
      <c r="AH328">
        <f t="shared" si="87"/>
        <v>0.72941199556184444</v>
      </c>
      <c r="AI328" t="e">
        <f t="shared" si="88"/>
        <v>#N/A</v>
      </c>
      <c r="AK328" t="e">
        <f t="shared" si="89"/>
        <v>#N/A</v>
      </c>
      <c r="AL328" t="e">
        <f t="shared" si="90"/>
        <v>#N/A</v>
      </c>
      <c r="AM328" t="e">
        <f t="shared" si="91"/>
        <v>#N/A</v>
      </c>
      <c r="AN328" t="e">
        <f t="shared" si="92"/>
        <v>#N/A</v>
      </c>
      <c r="AO328" t="e">
        <f t="shared" si="93"/>
        <v>#N/A</v>
      </c>
      <c r="AP328">
        <f t="shared" si="94"/>
        <v>7.6633040601107247E-2</v>
      </c>
      <c r="AQ328" t="e">
        <f t="shared" si="95"/>
        <v>#N/A</v>
      </c>
    </row>
    <row r="329" spans="15:43">
      <c r="O329">
        <v>325</v>
      </c>
      <c r="P329" s="401">
        <f>'Lab test'!N328</f>
        <v>431.8</v>
      </c>
      <c r="Q329" s="401">
        <f>'Lab test'!M328</f>
        <v>12.2936</v>
      </c>
      <c r="R329">
        <f>IF('Lab test'!O328&gt;0,'Lab test'!O328,NA())</f>
        <v>9144</v>
      </c>
      <c r="S329">
        <f>'Lab test'!Q328</f>
        <v>35.12397</v>
      </c>
      <c r="T329" s="401">
        <f>IF('Lab test'!P328&gt;0,'Lab test'!P328,NA())</f>
        <v>3.5731545362771611</v>
      </c>
      <c r="U329" s="401">
        <f>'Lab test'!AZ328</f>
        <v>1937</v>
      </c>
      <c r="V329">
        <f>IF('Lab test'!AQ328&gt;0,'Lab test'!AQ328,NA())</f>
        <v>0.26350430838609257</v>
      </c>
      <c r="W329">
        <f>IF('Lab test'!AU328&gt;0,'Lab test'!AU328,NA())</f>
        <v>1.0859375920649841</v>
      </c>
      <c r="X329">
        <f>IF('Lab test'!AT328&gt;0,'Lab test'!AT328,NA())</f>
        <v>7.5401556039258216E-2</v>
      </c>
      <c r="Y329">
        <f t="shared" si="81"/>
        <v>1</v>
      </c>
      <c r="Z329" t="str">
        <f>'Lab test'!AC328</f>
        <v>CLTW</v>
      </c>
      <c r="AA329" t="str">
        <f>'Lab test'!T328</f>
        <v>Steel</v>
      </c>
      <c r="AC329" t="e">
        <f t="shared" si="82"/>
        <v>#N/A</v>
      </c>
      <c r="AD329" t="e">
        <f t="shared" si="83"/>
        <v>#N/A</v>
      </c>
      <c r="AE329" t="e">
        <f t="shared" si="84"/>
        <v>#N/A</v>
      </c>
      <c r="AF329" t="e">
        <f t="shared" si="85"/>
        <v>#N/A</v>
      </c>
      <c r="AG329" t="e">
        <f t="shared" si="86"/>
        <v>#N/A</v>
      </c>
      <c r="AH329">
        <f t="shared" si="87"/>
        <v>1.0859375920649841</v>
      </c>
      <c r="AI329" t="e">
        <f t="shared" si="88"/>
        <v>#N/A</v>
      </c>
      <c r="AK329" t="e">
        <f t="shared" si="89"/>
        <v>#N/A</v>
      </c>
      <c r="AL329" t="e">
        <f t="shared" si="90"/>
        <v>#N/A</v>
      </c>
      <c r="AM329" t="e">
        <f t="shared" si="91"/>
        <v>#N/A</v>
      </c>
      <c r="AN329" t="e">
        <f t="shared" si="92"/>
        <v>#N/A</v>
      </c>
      <c r="AO329" t="e">
        <f t="shared" si="93"/>
        <v>#N/A</v>
      </c>
      <c r="AP329">
        <f t="shared" si="94"/>
        <v>7.5401556039258216E-2</v>
      </c>
      <c r="AQ329" t="e">
        <f t="shared" si="95"/>
        <v>#N/A</v>
      </c>
    </row>
    <row r="330" spans="15:43">
      <c r="O330">
        <v>326</v>
      </c>
      <c r="P330" s="401">
        <f>'Lab test'!N329</f>
        <v>431.8</v>
      </c>
      <c r="Q330" s="401">
        <f>'Lab test'!M329</f>
        <v>12.471399999999999</v>
      </c>
      <c r="R330">
        <f>IF('Lab test'!O329&gt;0,'Lab test'!O329,NA())</f>
        <v>9144</v>
      </c>
      <c r="S330">
        <f>'Lab test'!Q329</f>
        <v>34.623220000000003</v>
      </c>
      <c r="T330" s="401">
        <f>IF('Lab test'!P329&gt;0,'Lab test'!P329,NA())</f>
        <v>3.5989007073895056</v>
      </c>
      <c r="U330" s="401">
        <f>'Lab test'!AZ329</f>
        <v>1937</v>
      </c>
      <c r="V330">
        <f>IF('Lab test'!AQ329&gt;0,'Lab test'!AQ329,NA())</f>
        <v>0.26365521610911546</v>
      </c>
      <c r="W330">
        <f>IF('Lab test'!AU329&gt;0,'Lab test'!AU329,NA())</f>
        <v>1.1243076121164086</v>
      </c>
      <c r="X330">
        <f>IF('Lab test'!AT329&gt;0,'Lab test'!AT329,NA())</f>
        <v>7.8155201402365912E-2</v>
      </c>
      <c r="Y330">
        <f t="shared" si="81"/>
        <v>1</v>
      </c>
      <c r="Z330" t="str">
        <f>'Lab test'!AC329</f>
        <v>CLTW</v>
      </c>
      <c r="AA330" t="str">
        <f>'Lab test'!T329</f>
        <v>Steel</v>
      </c>
      <c r="AC330" t="e">
        <f t="shared" si="82"/>
        <v>#N/A</v>
      </c>
      <c r="AD330" t="e">
        <f t="shared" si="83"/>
        <v>#N/A</v>
      </c>
      <c r="AE330" t="e">
        <f t="shared" si="84"/>
        <v>#N/A</v>
      </c>
      <c r="AF330" t="e">
        <f t="shared" si="85"/>
        <v>#N/A</v>
      </c>
      <c r="AG330" t="e">
        <f t="shared" si="86"/>
        <v>#N/A</v>
      </c>
      <c r="AH330">
        <f t="shared" si="87"/>
        <v>1.1243076121164086</v>
      </c>
      <c r="AI330" t="e">
        <f t="shared" si="88"/>
        <v>#N/A</v>
      </c>
      <c r="AK330" t="e">
        <f t="shared" si="89"/>
        <v>#N/A</v>
      </c>
      <c r="AL330" t="e">
        <f t="shared" si="90"/>
        <v>#N/A</v>
      </c>
      <c r="AM330" t="e">
        <f t="shared" si="91"/>
        <v>#N/A</v>
      </c>
      <c r="AN330" t="e">
        <f t="shared" si="92"/>
        <v>#N/A</v>
      </c>
      <c r="AO330" t="e">
        <f t="shared" si="93"/>
        <v>#N/A</v>
      </c>
      <c r="AP330">
        <f t="shared" si="94"/>
        <v>7.8155201402365912E-2</v>
      </c>
      <c r="AQ330" t="e">
        <f t="shared" si="95"/>
        <v>#N/A</v>
      </c>
    </row>
    <row r="331" spans="15:43">
      <c r="O331">
        <v>327</v>
      </c>
      <c r="P331" s="401">
        <f>'Lab test'!N330</f>
        <v>609.6</v>
      </c>
      <c r="Q331" s="401">
        <f>'Lab test'!M330</f>
        <v>9.3726000000000003</v>
      </c>
      <c r="R331">
        <f>IF('Lab test'!O330&gt;0,'Lab test'!O330,NA())</f>
        <v>9144</v>
      </c>
      <c r="S331">
        <f>'Lab test'!Q330</f>
        <v>65.040649999999999</v>
      </c>
      <c r="T331" s="401">
        <f>IF('Lab test'!P330&gt;0,'Lab test'!P330,NA())</f>
        <v>1.8599395151455866</v>
      </c>
      <c r="U331" s="401">
        <f>'Lab test'!AZ330</f>
        <v>1937</v>
      </c>
      <c r="V331">
        <f>IF('Lab test'!AQ330&gt;0,'Lab test'!AQ330,NA())</f>
        <v>0.36310021871121562</v>
      </c>
      <c r="W331">
        <f>IF('Lab test'!AU330&gt;0,'Lab test'!AU330,NA())</f>
        <v>0.95593752861096426</v>
      </c>
      <c r="X331">
        <f>IF('Lab test'!AT330&gt;0,'Lab test'!AT330,NA())</f>
        <v>0.12603249466126315</v>
      </c>
      <c r="Y331">
        <f t="shared" si="81"/>
        <v>1</v>
      </c>
      <c r="Z331" t="str">
        <f>'Lab test'!AC330</f>
        <v>CLTW</v>
      </c>
      <c r="AA331" t="str">
        <f>'Lab test'!T330</f>
        <v>Steel</v>
      </c>
      <c r="AC331" t="e">
        <f t="shared" si="82"/>
        <v>#N/A</v>
      </c>
      <c r="AD331" t="e">
        <f t="shared" si="83"/>
        <v>#N/A</v>
      </c>
      <c r="AE331" t="e">
        <f t="shared" si="84"/>
        <v>#N/A</v>
      </c>
      <c r="AF331" t="e">
        <f t="shared" si="85"/>
        <v>#N/A</v>
      </c>
      <c r="AG331" t="e">
        <f t="shared" si="86"/>
        <v>#N/A</v>
      </c>
      <c r="AH331">
        <f t="shared" si="87"/>
        <v>0.95593752861096426</v>
      </c>
      <c r="AI331" t="e">
        <f t="shared" si="88"/>
        <v>#N/A</v>
      </c>
      <c r="AK331" t="e">
        <f t="shared" si="89"/>
        <v>#N/A</v>
      </c>
      <c r="AL331" t="e">
        <f t="shared" si="90"/>
        <v>#N/A</v>
      </c>
      <c r="AM331" t="e">
        <f t="shared" si="91"/>
        <v>#N/A</v>
      </c>
      <c r="AN331" t="e">
        <f t="shared" si="92"/>
        <v>#N/A</v>
      </c>
      <c r="AO331" t="e">
        <f t="shared" si="93"/>
        <v>#N/A</v>
      </c>
      <c r="AP331">
        <f t="shared" si="94"/>
        <v>0.12603249466126315</v>
      </c>
      <c r="AQ331" t="e">
        <f t="shared" si="95"/>
        <v>#N/A</v>
      </c>
    </row>
    <row r="332" spans="15:43">
      <c r="O332">
        <v>328</v>
      </c>
      <c r="P332" s="401">
        <f>'Lab test'!N331</f>
        <v>609.6</v>
      </c>
      <c r="Q332" s="401">
        <f>'Lab test'!M331</f>
        <v>9.3217999999999996</v>
      </c>
      <c r="R332">
        <f>IF('Lab test'!O331&gt;0,'Lab test'!O331,NA())</f>
        <v>9144</v>
      </c>
      <c r="S332">
        <f>'Lab test'!Q331</f>
        <v>65.395099999999999</v>
      </c>
      <c r="T332" s="401">
        <f>IF('Lab test'!P331&gt;0,'Lab test'!P331,NA())</f>
        <v>1.8548921801549545</v>
      </c>
      <c r="U332" s="401">
        <f>'Lab test'!AZ331</f>
        <v>1937</v>
      </c>
      <c r="V332">
        <f>IF('Lab test'!AQ331&gt;0,'Lab test'!AQ331,NA())</f>
        <v>0.36973339957465107</v>
      </c>
      <c r="W332">
        <f>IF('Lab test'!AU331&gt;0,'Lab test'!AU331,NA())</f>
        <v>0.95484843557028409</v>
      </c>
      <c r="X332">
        <f>IF('Lab test'!AT331&gt;0,'Lab test'!AT331,NA())</f>
        <v>0.13053044207686629</v>
      </c>
      <c r="Y332">
        <f t="shared" si="81"/>
        <v>1</v>
      </c>
      <c r="Z332" t="str">
        <f>'Lab test'!AC331</f>
        <v>CLTW</v>
      </c>
      <c r="AA332" t="str">
        <f>'Lab test'!T331</f>
        <v>Steel</v>
      </c>
      <c r="AC332" t="e">
        <f t="shared" si="82"/>
        <v>#N/A</v>
      </c>
      <c r="AD332" t="e">
        <f t="shared" si="83"/>
        <v>#N/A</v>
      </c>
      <c r="AE332" t="e">
        <f t="shared" si="84"/>
        <v>#N/A</v>
      </c>
      <c r="AF332" t="e">
        <f t="shared" si="85"/>
        <v>#N/A</v>
      </c>
      <c r="AG332" t="e">
        <f t="shared" si="86"/>
        <v>#N/A</v>
      </c>
      <c r="AH332">
        <f t="shared" si="87"/>
        <v>0.95484843557028409</v>
      </c>
      <c r="AI332" t="e">
        <f t="shared" si="88"/>
        <v>#N/A</v>
      </c>
      <c r="AK332" t="e">
        <f t="shared" si="89"/>
        <v>#N/A</v>
      </c>
      <c r="AL332" t="e">
        <f t="shared" si="90"/>
        <v>#N/A</v>
      </c>
      <c r="AM332" t="e">
        <f t="shared" si="91"/>
        <v>#N/A</v>
      </c>
      <c r="AN332" t="e">
        <f t="shared" si="92"/>
        <v>#N/A</v>
      </c>
      <c r="AO332" t="e">
        <f t="shared" si="93"/>
        <v>#N/A</v>
      </c>
      <c r="AP332">
        <f t="shared" si="94"/>
        <v>0.13053044207686629</v>
      </c>
      <c r="AQ332" t="e">
        <f t="shared" si="95"/>
        <v>#N/A</v>
      </c>
    </row>
    <row r="333" spans="15:43">
      <c r="O333">
        <v>329</v>
      </c>
      <c r="P333" s="401">
        <f>'Lab test'!N332</f>
        <v>609.6</v>
      </c>
      <c r="Q333" s="401">
        <f>'Lab test'!M332</f>
        <v>6.2484000000000002</v>
      </c>
      <c r="R333">
        <f>IF('Lab test'!O332&gt;0,'Lab test'!O332,NA())</f>
        <v>9144</v>
      </c>
      <c r="S333">
        <f>'Lab test'!Q332</f>
        <v>97.560980000000001</v>
      </c>
      <c r="T333" s="401">
        <f>IF('Lab test'!P332&gt;0,'Lab test'!P332,NA())</f>
        <v>1.5186342548487441</v>
      </c>
      <c r="U333" s="401">
        <f>'Lab test'!AZ332</f>
        <v>1937</v>
      </c>
      <c r="V333">
        <f>IF('Lab test'!AQ332&gt;0,'Lab test'!AQ332,NA())</f>
        <v>0.46139509978243343</v>
      </c>
      <c r="W333">
        <f>IF('Lab test'!AU332&gt;0,'Lab test'!AU332,NA())</f>
        <v>0.72765425298947806</v>
      </c>
      <c r="X333">
        <f>IF('Lab test'!AT332&gt;0,'Lab test'!AT332,NA())</f>
        <v>0.15490699443535211</v>
      </c>
      <c r="Y333">
        <f t="shared" si="81"/>
        <v>1</v>
      </c>
      <c r="Z333" t="str">
        <f>'Lab test'!AC332</f>
        <v>CLTW</v>
      </c>
      <c r="AA333" t="str">
        <f>'Lab test'!T332</f>
        <v>Steel</v>
      </c>
      <c r="AC333" t="e">
        <f t="shared" si="82"/>
        <v>#N/A</v>
      </c>
      <c r="AD333" t="e">
        <f t="shared" si="83"/>
        <v>#N/A</v>
      </c>
      <c r="AE333" t="e">
        <f t="shared" si="84"/>
        <v>#N/A</v>
      </c>
      <c r="AF333" t="e">
        <f t="shared" si="85"/>
        <v>#N/A</v>
      </c>
      <c r="AG333" t="e">
        <f t="shared" si="86"/>
        <v>#N/A</v>
      </c>
      <c r="AH333">
        <f t="shared" si="87"/>
        <v>0.72765425298947806</v>
      </c>
      <c r="AI333" t="e">
        <f t="shared" si="88"/>
        <v>#N/A</v>
      </c>
      <c r="AK333" t="e">
        <f t="shared" si="89"/>
        <v>#N/A</v>
      </c>
      <c r="AL333" t="e">
        <f t="shared" si="90"/>
        <v>#N/A</v>
      </c>
      <c r="AM333" t="e">
        <f t="shared" si="91"/>
        <v>#N/A</v>
      </c>
      <c r="AN333" t="e">
        <f t="shared" si="92"/>
        <v>#N/A</v>
      </c>
      <c r="AO333" t="e">
        <f t="shared" si="93"/>
        <v>#N/A</v>
      </c>
      <c r="AP333">
        <f t="shared" si="94"/>
        <v>0.15490699443535211</v>
      </c>
      <c r="AQ333" t="e">
        <f t="shared" si="95"/>
        <v>#N/A</v>
      </c>
    </row>
    <row r="334" spans="15:43">
      <c r="O334">
        <v>330</v>
      </c>
      <c r="P334" s="401">
        <f>'Lab test'!N333</f>
        <v>609.6</v>
      </c>
      <c r="Q334" s="401">
        <f>'Lab test'!M333</f>
        <v>6.35</v>
      </c>
      <c r="R334">
        <f>IF('Lab test'!O333&gt;0,'Lab test'!O333,NA())</f>
        <v>9144</v>
      </c>
      <c r="S334">
        <f>'Lab test'!Q333</f>
        <v>96</v>
      </c>
      <c r="T334" s="401">
        <f>IF('Lab test'!P333&gt;0,'Lab test'!P333,NA())</f>
        <v>1.5309310892394863</v>
      </c>
      <c r="U334" s="401">
        <f>'Lab test'!AZ333</f>
        <v>1937</v>
      </c>
      <c r="V334">
        <f>IF('Lab test'!AQ333&gt;0,'Lab test'!AQ333,NA())</f>
        <v>0.45257503559500378</v>
      </c>
      <c r="W334">
        <f>IF('Lab test'!AU333&gt;0,'Lab test'!AU333,NA())</f>
        <v>0.79898979022269889</v>
      </c>
      <c r="X334">
        <f>IF('Lab test'!AT333&gt;0,'Lab test'!AT333,NA())</f>
        <v>0.16365241490312282</v>
      </c>
      <c r="Y334">
        <f t="shared" si="81"/>
        <v>1</v>
      </c>
      <c r="Z334" t="str">
        <f>'Lab test'!AC333</f>
        <v>CLTW</v>
      </c>
      <c r="AA334" t="str">
        <f>'Lab test'!T333</f>
        <v>Steel</v>
      </c>
      <c r="AC334" t="e">
        <f t="shared" si="82"/>
        <v>#N/A</v>
      </c>
      <c r="AD334" t="e">
        <f t="shared" si="83"/>
        <v>#N/A</v>
      </c>
      <c r="AE334" t="e">
        <f t="shared" si="84"/>
        <v>#N/A</v>
      </c>
      <c r="AF334" t="e">
        <f t="shared" si="85"/>
        <v>#N/A</v>
      </c>
      <c r="AG334" t="e">
        <f t="shared" si="86"/>
        <v>#N/A</v>
      </c>
      <c r="AH334">
        <f t="shared" si="87"/>
        <v>0.79898979022269889</v>
      </c>
      <c r="AI334" t="e">
        <f t="shared" si="88"/>
        <v>#N/A</v>
      </c>
      <c r="AK334" t="e">
        <f t="shared" si="89"/>
        <v>#N/A</v>
      </c>
      <c r="AL334" t="e">
        <f t="shared" si="90"/>
        <v>#N/A</v>
      </c>
      <c r="AM334" t="e">
        <f t="shared" si="91"/>
        <v>#N/A</v>
      </c>
      <c r="AN334" t="e">
        <f t="shared" si="92"/>
        <v>#N/A</v>
      </c>
      <c r="AO334" t="e">
        <f t="shared" si="93"/>
        <v>#N/A</v>
      </c>
      <c r="AP334">
        <f t="shared" si="94"/>
        <v>0.16365241490312282</v>
      </c>
      <c r="AQ334" t="e">
        <f t="shared" si="95"/>
        <v>#N/A</v>
      </c>
    </row>
    <row r="335" spans="15:43">
      <c r="O335">
        <v>331</v>
      </c>
      <c r="P335" s="401">
        <f>'Lab test'!N334</f>
        <v>381</v>
      </c>
      <c r="Q335" s="401">
        <f>'Lab test'!M334</f>
        <v>0.29436135826333432</v>
      </c>
      <c r="R335">
        <f>IF('Lab test'!O334&gt;0,'Lab test'!O334,NA())</f>
        <v>95.25</v>
      </c>
      <c r="S335">
        <f>'Lab test'!Q334</f>
        <v>1294.3274968148473</v>
      </c>
      <c r="T335" s="401">
        <f>IF('Lab test'!P334&gt;0,'Lab test'!P334,NA())</f>
        <v>6.9489297296079994E-3</v>
      </c>
      <c r="U335" s="401">
        <f>'Lab test'!AZ334</f>
        <v>1933</v>
      </c>
      <c r="V335">
        <f>IF('Lab test'!AQ334&gt;0,'Lab test'!AQ334,NA())</f>
        <v>2.7318910024929859</v>
      </c>
      <c r="W335">
        <f>IF('Lab test'!AU334&gt;0,'Lab test'!AU334,NA())</f>
        <v>5.730978260869566E-2</v>
      </c>
      <c r="X335">
        <f>IF('Lab test'!AT334&gt;0,'Lab test'!AT334,NA())</f>
        <v>0.42771599999999999</v>
      </c>
      <c r="Y335">
        <f t="shared" si="81"/>
        <v>1</v>
      </c>
      <c r="Z335" t="str">
        <f>'Lab test'!AC334</f>
        <v>LTWb</v>
      </c>
      <c r="AA335" t="str">
        <f>'Lab test'!T334</f>
        <v>Aluminium</v>
      </c>
      <c r="AC335" t="e">
        <f t="shared" si="82"/>
        <v>#N/A</v>
      </c>
      <c r="AD335">
        <f t="shared" si="83"/>
        <v>5.730978260869566E-2</v>
      </c>
      <c r="AE335" t="e">
        <f t="shared" si="84"/>
        <v>#N/A</v>
      </c>
      <c r="AF335" t="e">
        <f t="shared" si="85"/>
        <v>#N/A</v>
      </c>
      <c r="AG335" t="e">
        <f t="shared" si="86"/>
        <v>#N/A</v>
      </c>
      <c r="AH335" t="e">
        <f t="shared" si="87"/>
        <v>#N/A</v>
      </c>
      <c r="AI335" t="e">
        <f t="shared" si="88"/>
        <v>#N/A</v>
      </c>
      <c r="AK335" t="e">
        <f t="shared" si="89"/>
        <v>#N/A</v>
      </c>
      <c r="AL335">
        <f t="shared" si="90"/>
        <v>0.42771599999999999</v>
      </c>
      <c r="AM335" t="e">
        <f t="shared" si="91"/>
        <v>#N/A</v>
      </c>
      <c r="AN335" t="e">
        <f t="shared" si="92"/>
        <v>#N/A</v>
      </c>
      <c r="AO335" t="e">
        <f t="shared" si="93"/>
        <v>#N/A</v>
      </c>
      <c r="AP335" t="e">
        <f t="shared" si="94"/>
        <v>#N/A</v>
      </c>
      <c r="AQ335" t="e">
        <f t="shared" si="95"/>
        <v>#N/A</v>
      </c>
    </row>
    <row r="336" spans="15:43">
      <c r="O336">
        <v>332</v>
      </c>
      <c r="P336" s="401">
        <f>'Lab test'!N335</f>
        <v>381</v>
      </c>
      <c r="Q336" s="401">
        <f>'Lab test'!M335</f>
        <v>0.29436135826333432</v>
      </c>
      <c r="R336">
        <f>IF('Lab test'!O335&gt;0,'Lab test'!O335,NA())</f>
        <v>190.5</v>
      </c>
      <c r="S336">
        <f>'Lab test'!Q335</f>
        <v>1294.3274968148473</v>
      </c>
      <c r="T336" s="401">
        <f>IF('Lab test'!P335&gt;0,'Lab test'!P335,NA())</f>
        <v>1.3897859459215999E-2</v>
      </c>
      <c r="U336" s="401">
        <f>'Lab test'!AZ335</f>
        <v>1933</v>
      </c>
      <c r="V336">
        <f>IF('Lab test'!AQ335&gt;0,'Lab test'!AQ335,NA())</f>
        <v>2.7318910024929859</v>
      </c>
      <c r="W336">
        <f>IF('Lab test'!AU335&gt;0,'Lab test'!AU335,NA())</f>
        <v>3.6363057065217391E-2</v>
      </c>
      <c r="X336">
        <f>IF('Lab test'!AT335&gt;0,'Lab test'!AT335,NA())</f>
        <v>0.27138580199999995</v>
      </c>
      <c r="Y336">
        <f t="shared" si="81"/>
        <v>1</v>
      </c>
      <c r="Z336" t="str">
        <f>'Lab test'!AC335</f>
        <v>LTWb</v>
      </c>
      <c r="AA336" t="str">
        <f>'Lab test'!T335</f>
        <v>Aluminium</v>
      </c>
      <c r="AC336" t="e">
        <f t="shared" si="82"/>
        <v>#N/A</v>
      </c>
      <c r="AD336">
        <f t="shared" si="83"/>
        <v>3.6363057065217391E-2</v>
      </c>
      <c r="AE336" t="e">
        <f t="shared" si="84"/>
        <v>#N/A</v>
      </c>
      <c r="AF336" t="e">
        <f t="shared" si="85"/>
        <v>#N/A</v>
      </c>
      <c r="AG336" t="e">
        <f t="shared" si="86"/>
        <v>#N/A</v>
      </c>
      <c r="AH336" t="e">
        <f t="shared" si="87"/>
        <v>#N/A</v>
      </c>
      <c r="AI336" t="e">
        <f t="shared" si="88"/>
        <v>#N/A</v>
      </c>
      <c r="AK336" t="e">
        <f t="shared" si="89"/>
        <v>#N/A</v>
      </c>
      <c r="AL336">
        <f t="shared" si="90"/>
        <v>0.27138580199999995</v>
      </c>
      <c r="AM336" t="e">
        <f t="shared" si="91"/>
        <v>#N/A</v>
      </c>
      <c r="AN336" t="e">
        <f t="shared" si="92"/>
        <v>#N/A</v>
      </c>
      <c r="AO336" t="e">
        <f t="shared" si="93"/>
        <v>#N/A</v>
      </c>
      <c r="AP336" t="e">
        <f t="shared" si="94"/>
        <v>#N/A</v>
      </c>
      <c r="AQ336" t="e">
        <f t="shared" si="95"/>
        <v>#N/A</v>
      </c>
    </row>
    <row r="337" spans="15:43">
      <c r="O337">
        <v>333</v>
      </c>
      <c r="P337" s="401">
        <f>'Lab test'!N336</f>
        <v>381</v>
      </c>
      <c r="Q337" s="401">
        <f>'Lab test'!M336</f>
        <v>0.2644466765615634</v>
      </c>
      <c r="R337">
        <f>IF('Lab test'!O336&gt;0,'Lab test'!O336,NA())</f>
        <v>190.5</v>
      </c>
      <c r="S337">
        <f>'Lab test'!Q336</f>
        <v>1440.7441415180838</v>
      </c>
      <c r="T337" s="401">
        <f>IF('Lab test'!P336&gt;0,'Lab test'!P336,NA())</f>
        <v>1.3172753748300384E-2</v>
      </c>
      <c r="U337" s="401">
        <f>'Lab test'!AZ336</f>
        <v>1933</v>
      </c>
      <c r="V337">
        <f>IF('Lab test'!AQ336&gt;0,'Lab test'!AQ336,NA())</f>
        <v>2.8822703237311318</v>
      </c>
      <c r="W337">
        <f>IF('Lab test'!AU336&gt;0,'Lab test'!AU336,NA())</f>
        <v>3.5130896739130439E-2</v>
      </c>
      <c r="X337">
        <f>IF('Lab test'!AT336&gt;0,'Lab test'!AT336,NA())</f>
        <v>0.29184929999999987</v>
      </c>
      <c r="Y337">
        <f t="shared" si="81"/>
        <v>1</v>
      </c>
      <c r="Z337" t="str">
        <f>'Lab test'!AC336</f>
        <v>LTWb</v>
      </c>
      <c r="AA337" t="str">
        <f>'Lab test'!T336</f>
        <v>Aluminium</v>
      </c>
      <c r="AC337" t="e">
        <f t="shared" si="82"/>
        <v>#N/A</v>
      </c>
      <c r="AD337">
        <f t="shared" si="83"/>
        <v>3.5130896739130439E-2</v>
      </c>
      <c r="AE337" t="e">
        <f t="shared" si="84"/>
        <v>#N/A</v>
      </c>
      <c r="AF337" t="e">
        <f t="shared" si="85"/>
        <v>#N/A</v>
      </c>
      <c r="AG337" t="e">
        <f t="shared" si="86"/>
        <v>#N/A</v>
      </c>
      <c r="AH337" t="e">
        <f t="shared" si="87"/>
        <v>#N/A</v>
      </c>
      <c r="AI337" t="e">
        <f t="shared" si="88"/>
        <v>#N/A</v>
      </c>
      <c r="AK337" t="e">
        <f t="shared" si="89"/>
        <v>#N/A</v>
      </c>
      <c r="AL337">
        <f t="shared" si="90"/>
        <v>0.29184929999999987</v>
      </c>
      <c r="AM337" t="e">
        <f t="shared" si="91"/>
        <v>#N/A</v>
      </c>
      <c r="AN337" t="e">
        <f t="shared" si="92"/>
        <v>#N/A</v>
      </c>
      <c r="AO337" t="e">
        <f t="shared" si="93"/>
        <v>#N/A</v>
      </c>
      <c r="AP337" t="e">
        <f t="shared" si="94"/>
        <v>#N/A</v>
      </c>
      <c r="AQ337" t="e">
        <f t="shared" si="95"/>
        <v>#N/A</v>
      </c>
    </row>
    <row r="338" spans="15:43">
      <c r="O338">
        <v>334</v>
      </c>
      <c r="P338" s="401">
        <f>'Lab test'!N337</f>
        <v>381</v>
      </c>
      <c r="Q338" s="401">
        <f>'Lab test'!M337</f>
        <v>0.2644466765615634</v>
      </c>
      <c r="R338">
        <f>IF('Lab test'!O337&gt;0,'Lab test'!O337,NA())</f>
        <v>247.65</v>
      </c>
      <c r="S338">
        <f>'Lab test'!Q337</f>
        <v>1440.7441415180838</v>
      </c>
      <c r="T338" s="401">
        <f>IF('Lab test'!P337&gt;0,'Lab test'!P337,NA())</f>
        <v>1.71245798727905E-2</v>
      </c>
      <c r="U338" s="401">
        <f>'Lab test'!AZ337</f>
        <v>1933</v>
      </c>
      <c r="V338">
        <f>IF('Lab test'!AQ337&gt;0,'Lab test'!AQ337,NA())</f>
        <v>2.8822703237311318</v>
      </c>
      <c r="W338">
        <f>IF('Lab test'!AU337&gt;0,'Lab test'!AU337,NA())</f>
        <v>2.8872668478260873E-2</v>
      </c>
      <c r="X338">
        <f>IF('Lab test'!AT337&gt;0,'Lab test'!AT337,NA())</f>
        <v>0.23985917999999989</v>
      </c>
      <c r="Y338">
        <f t="shared" si="81"/>
        <v>1</v>
      </c>
      <c r="Z338" t="str">
        <f>'Lab test'!AC337</f>
        <v>LTWb</v>
      </c>
      <c r="AA338" t="str">
        <f>'Lab test'!T337</f>
        <v>Aluminium</v>
      </c>
      <c r="AC338" t="e">
        <f t="shared" si="82"/>
        <v>#N/A</v>
      </c>
      <c r="AD338">
        <f t="shared" si="83"/>
        <v>2.8872668478260873E-2</v>
      </c>
      <c r="AE338" t="e">
        <f t="shared" si="84"/>
        <v>#N/A</v>
      </c>
      <c r="AF338" t="e">
        <f t="shared" si="85"/>
        <v>#N/A</v>
      </c>
      <c r="AG338" t="e">
        <f t="shared" si="86"/>
        <v>#N/A</v>
      </c>
      <c r="AH338" t="e">
        <f t="shared" si="87"/>
        <v>#N/A</v>
      </c>
      <c r="AI338" t="e">
        <f t="shared" si="88"/>
        <v>#N/A</v>
      </c>
      <c r="AK338" t="e">
        <f t="shared" si="89"/>
        <v>#N/A</v>
      </c>
      <c r="AL338">
        <f t="shared" si="90"/>
        <v>0.23985917999999989</v>
      </c>
      <c r="AM338" t="e">
        <f t="shared" si="91"/>
        <v>#N/A</v>
      </c>
      <c r="AN338" t="e">
        <f t="shared" si="92"/>
        <v>#N/A</v>
      </c>
      <c r="AO338" t="e">
        <f t="shared" si="93"/>
        <v>#N/A</v>
      </c>
      <c r="AP338" t="e">
        <f t="shared" si="94"/>
        <v>#N/A</v>
      </c>
      <c r="AQ338" t="e">
        <f t="shared" si="95"/>
        <v>#N/A</v>
      </c>
    </row>
    <row r="339" spans="15:43">
      <c r="O339">
        <v>335</v>
      </c>
      <c r="P339" s="401">
        <f>'Lab test'!N338</f>
        <v>381</v>
      </c>
      <c r="Q339" s="401">
        <f>'Lab test'!M338</f>
        <v>0.26910644025289893</v>
      </c>
      <c r="R339">
        <f>IF('Lab test'!O338&gt;0,'Lab test'!O338,NA())</f>
        <v>381</v>
      </c>
      <c r="S339">
        <f>'Lab test'!Q338</f>
        <v>1415.7966626214763</v>
      </c>
      <c r="T339" s="401">
        <f>IF('Lab test'!P338&gt;0,'Lab test'!P338,NA())</f>
        <v>2.6576608439553402E-2</v>
      </c>
      <c r="U339" s="401">
        <f>'Lab test'!AZ338</f>
        <v>1933</v>
      </c>
      <c r="V339">
        <f>IF('Lab test'!AQ338&gt;0,'Lab test'!AQ338,NA())</f>
        <v>2.8572071035247748</v>
      </c>
      <c r="W339">
        <f>IF('Lab test'!AU338&gt;0,'Lab test'!AU338,NA())</f>
        <v>2.8874244497282611E-2</v>
      </c>
      <c r="X339">
        <f>IF('Lab test'!AT338&gt;0,'Lab test'!AT338,NA())</f>
        <v>0.23571871884000001</v>
      </c>
      <c r="Y339">
        <f t="shared" si="81"/>
        <v>1</v>
      </c>
      <c r="Z339" t="str">
        <f>'Lab test'!AC338</f>
        <v>LTWb</v>
      </c>
      <c r="AA339" t="str">
        <f>'Lab test'!T338</f>
        <v>Aluminium</v>
      </c>
      <c r="AC339" t="e">
        <f t="shared" si="82"/>
        <v>#N/A</v>
      </c>
      <c r="AD339">
        <f t="shared" si="83"/>
        <v>2.8874244497282611E-2</v>
      </c>
      <c r="AE339" t="e">
        <f t="shared" si="84"/>
        <v>#N/A</v>
      </c>
      <c r="AF339" t="e">
        <f t="shared" si="85"/>
        <v>#N/A</v>
      </c>
      <c r="AG339" t="e">
        <f t="shared" si="86"/>
        <v>#N/A</v>
      </c>
      <c r="AH339" t="e">
        <f t="shared" si="87"/>
        <v>#N/A</v>
      </c>
      <c r="AI339" t="e">
        <f t="shared" si="88"/>
        <v>#N/A</v>
      </c>
      <c r="AK339" t="e">
        <f t="shared" si="89"/>
        <v>#N/A</v>
      </c>
      <c r="AL339">
        <f t="shared" si="90"/>
        <v>0.23571871884000001</v>
      </c>
      <c r="AM339" t="e">
        <f t="shared" si="91"/>
        <v>#N/A</v>
      </c>
      <c r="AN339" t="e">
        <f t="shared" si="92"/>
        <v>#N/A</v>
      </c>
      <c r="AO339" t="e">
        <f t="shared" si="93"/>
        <v>#N/A</v>
      </c>
      <c r="AP339" t="e">
        <f t="shared" si="94"/>
        <v>#N/A</v>
      </c>
      <c r="AQ339" t="e">
        <f t="shared" si="95"/>
        <v>#N/A</v>
      </c>
    </row>
    <row r="340" spans="15:43">
      <c r="O340">
        <v>336</v>
      </c>
      <c r="P340" s="401">
        <f>'Lab test'!N339</f>
        <v>381</v>
      </c>
      <c r="Q340" s="401">
        <f>'Lab test'!M339</f>
        <v>0.26598639194953422</v>
      </c>
      <c r="R340">
        <f>IF('Lab test'!O339&gt;0,'Lab test'!O339,NA())</f>
        <v>381</v>
      </c>
      <c r="S340">
        <f>'Lab test'!Q339</f>
        <v>1432.4041061179078</v>
      </c>
      <c r="T340" s="401">
        <f>IF('Lab test'!P339&gt;0,'Lab test'!P339,NA())</f>
        <v>2.6422093274207165E-2</v>
      </c>
      <c r="U340" s="401">
        <f>'Lab test'!AZ339</f>
        <v>1933</v>
      </c>
      <c r="V340">
        <f>IF('Lab test'!AQ339&gt;0,'Lab test'!AQ339,NA())</f>
        <v>2.8739159169956792</v>
      </c>
      <c r="W340">
        <f>IF('Lab test'!AU339&gt;0,'Lab test'!AU339,NA())</f>
        <v>2.9468117119565217E-2</v>
      </c>
      <c r="X340">
        <f>IF('Lab test'!AT339&gt;0,'Lab test'!AT339,NA())</f>
        <v>0.24338875135999993</v>
      </c>
      <c r="Y340">
        <f t="shared" si="81"/>
        <v>1</v>
      </c>
      <c r="Z340" t="str">
        <f>'Lab test'!AC339</f>
        <v>LTWb</v>
      </c>
      <c r="AA340" t="str">
        <f>'Lab test'!T339</f>
        <v>Aluminium</v>
      </c>
      <c r="AC340" t="e">
        <f t="shared" si="82"/>
        <v>#N/A</v>
      </c>
      <c r="AD340">
        <f t="shared" si="83"/>
        <v>2.9468117119565217E-2</v>
      </c>
      <c r="AE340" t="e">
        <f t="shared" si="84"/>
        <v>#N/A</v>
      </c>
      <c r="AF340" t="e">
        <f t="shared" si="85"/>
        <v>#N/A</v>
      </c>
      <c r="AG340" t="e">
        <f t="shared" si="86"/>
        <v>#N/A</v>
      </c>
      <c r="AH340" t="e">
        <f t="shared" si="87"/>
        <v>#N/A</v>
      </c>
      <c r="AI340" t="e">
        <f t="shared" si="88"/>
        <v>#N/A</v>
      </c>
      <c r="AK340" t="e">
        <f t="shared" si="89"/>
        <v>#N/A</v>
      </c>
      <c r="AL340">
        <f t="shared" si="90"/>
        <v>0.24338875135999993</v>
      </c>
      <c r="AM340" t="e">
        <f t="shared" si="91"/>
        <v>#N/A</v>
      </c>
      <c r="AN340" t="e">
        <f t="shared" si="92"/>
        <v>#N/A</v>
      </c>
      <c r="AO340" t="e">
        <f t="shared" si="93"/>
        <v>#N/A</v>
      </c>
      <c r="AP340" t="e">
        <f t="shared" si="94"/>
        <v>#N/A</v>
      </c>
      <c r="AQ340" t="e">
        <f t="shared" si="95"/>
        <v>#N/A</v>
      </c>
    </row>
    <row r="341" spans="15:43">
      <c r="O341">
        <v>337</v>
      </c>
      <c r="P341" s="401">
        <f>'Lab test'!N340</f>
        <v>381</v>
      </c>
      <c r="Q341" s="401">
        <f>'Lab test'!M340</f>
        <v>0.41620847177176967</v>
      </c>
      <c r="R341">
        <f>IF('Lab test'!O340&gt;0,'Lab test'!O340,NA())</f>
        <v>381</v>
      </c>
      <c r="S341">
        <f>'Lab test'!Q340</f>
        <v>915.40664316156347</v>
      </c>
      <c r="T341" s="401">
        <f>IF('Lab test'!P340&gt;0,'Lab test'!P340,NA())</f>
        <v>3.3051636677553689E-2</v>
      </c>
      <c r="U341" s="401">
        <f>'Lab test'!AZ340</f>
        <v>1933</v>
      </c>
      <c r="V341">
        <f>IF('Lab test'!AQ340&gt;0,'Lab test'!AQ340,NA())</f>
        <v>2.2999818971047166</v>
      </c>
      <c r="W341">
        <f>IF('Lab test'!AU340&gt;0,'Lab test'!AU340,NA())</f>
        <v>6.5055107246376823E-2</v>
      </c>
      <c r="X341">
        <f>IF('Lab test'!AT340&gt;0,'Lab test'!AT340,NA())</f>
        <v>0.34413609999999989</v>
      </c>
      <c r="Y341">
        <f t="shared" si="81"/>
        <v>1</v>
      </c>
      <c r="Z341" t="str">
        <f>'Lab test'!AC340</f>
        <v>LTWb</v>
      </c>
      <c r="AA341" t="str">
        <f>'Lab test'!T340</f>
        <v>Aluminium</v>
      </c>
      <c r="AC341" t="e">
        <f t="shared" si="82"/>
        <v>#N/A</v>
      </c>
      <c r="AD341">
        <f t="shared" si="83"/>
        <v>6.5055107246376823E-2</v>
      </c>
      <c r="AE341" t="e">
        <f t="shared" si="84"/>
        <v>#N/A</v>
      </c>
      <c r="AF341" t="e">
        <f t="shared" si="85"/>
        <v>#N/A</v>
      </c>
      <c r="AG341" t="e">
        <f t="shared" si="86"/>
        <v>#N/A</v>
      </c>
      <c r="AH341" t="e">
        <f t="shared" si="87"/>
        <v>#N/A</v>
      </c>
      <c r="AI341" t="e">
        <f t="shared" si="88"/>
        <v>#N/A</v>
      </c>
      <c r="AK341" t="e">
        <f t="shared" si="89"/>
        <v>#N/A</v>
      </c>
      <c r="AL341">
        <f t="shared" si="90"/>
        <v>0.34413609999999989</v>
      </c>
      <c r="AM341" t="e">
        <f t="shared" si="91"/>
        <v>#N/A</v>
      </c>
      <c r="AN341" t="e">
        <f t="shared" si="92"/>
        <v>#N/A</v>
      </c>
      <c r="AO341" t="e">
        <f t="shared" si="93"/>
        <v>#N/A</v>
      </c>
      <c r="AP341" t="e">
        <f t="shared" si="94"/>
        <v>#N/A</v>
      </c>
      <c r="AQ341" t="e">
        <f t="shared" si="95"/>
        <v>#N/A</v>
      </c>
    </row>
    <row r="342" spans="15:43">
      <c r="O342">
        <v>338</v>
      </c>
      <c r="P342" s="401">
        <f>'Lab test'!N341</f>
        <v>381</v>
      </c>
      <c r="Q342" s="401">
        <f>'Lab test'!M341</f>
        <v>0.41021993871600149</v>
      </c>
      <c r="R342">
        <f>IF('Lab test'!O341&gt;0,'Lab test'!O341,NA())</f>
        <v>381</v>
      </c>
      <c r="S342">
        <f>'Lab test'!Q341</f>
        <v>928.77006708289071</v>
      </c>
      <c r="T342" s="401">
        <f>IF('Lab test'!P341&gt;0,'Lab test'!P341,NA())</f>
        <v>3.2812996701542467E-2</v>
      </c>
      <c r="U342" s="401">
        <f>'Lab test'!AZ341</f>
        <v>1933</v>
      </c>
      <c r="V342">
        <f>IF('Lab test'!AQ341&gt;0,'Lab test'!AQ341,NA())</f>
        <v>2.3167090381745692</v>
      </c>
      <c r="W342">
        <f>IF('Lab test'!AU341&gt;0,'Lab test'!AU341,NA())</f>
        <v>5.9557412008281581E-2</v>
      </c>
      <c r="X342">
        <f>IF('Lab test'!AT341&gt;0,'Lab test'!AT341,NA())</f>
        <v>0.3196530139999999</v>
      </c>
      <c r="Y342">
        <f t="shared" si="81"/>
        <v>1</v>
      </c>
      <c r="Z342" t="str">
        <f>'Lab test'!AC341</f>
        <v>LTWb</v>
      </c>
      <c r="AA342" t="str">
        <f>'Lab test'!T341</f>
        <v>Aluminium</v>
      </c>
      <c r="AC342" t="e">
        <f t="shared" si="82"/>
        <v>#N/A</v>
      </c>
      <c r="AD342">
        <f t="shared" si="83"/>
        <v>5.9557412008281581E-2</v>
      </c>
      <c r="AE342" t="e">
        <f t="shared" si="84"/>
        <v>#N/A</v>
      </c>
      <c r="AF342" t="e">
        <f t="shared" si="85"/>
        <v>#N/A</v>
      </c>
      <c r="AG342" t="e">
        <f t="shared" si="86"/>
        <v>#N/A</v>
      </c>
      <c r="AH342" t="e">
        <f t="shared" si="87"/>
        <v>#N/A</v>
      </c>
      <c r="AI342" t="e">
        <f t="shared" si="88"/>
        <v>#N/A</v>
      </c>
      <c r="AK342" t="e">
        <f t="shared" si="89"/>
        <v>#N/A</v>
      </c>
      <c r="AL342">
        <f t="shared" si="90"/>
        <v>0.3196530139999999</v>
      </c>
      <c r="AM342" t="e">
        <f t="shared" si="91"/>
        <v>#N/A</v>
      </c>
      <c r="AN342" t="e">
        <f t="shared" si="92"/>
        <v>#N/A</v>
      </c>
      <c r="AO342" t="e">
        <f t="shared" si="93"/>
        <v>#N/A</v>
      </c>
      <c r="AP342" t="e">
        <f t="shared" si="94"/>
        <v>#N/A</v>
      </c>
      <c r="AQ342" t="e">
        <f t="shared" si="95"/>
        <v>#N/A</v>
      </c>
    </row>
    <row r="343" spans="15:43">
      <c r="O343">
        <v>339</v>
      </c>
      <c r="P343" s="401">
        <f>'Lab test'!N342</f>
        <v>381</v>
      </c>
      <c r="Q343" s="401">
        <f>'Lab test'!M342</f>
        <v>0.52868458878225066</v>
      </c>
      <c r="R343">
        <f>IF('Lab test'!O342&gt;0,'Lab test'!O342,NA())</f>
        <v>190.5</v>
      </c>
      <c r="S343">
        <f>'Lab test'!Q342</f>
        <v>720.65652769939629</v>
      </c>
      <c r="T343" s="401">
        <f>IF('Lab test'!P342&gt;0,'Lab test'!P342,NA())</f>
        <v>1.8625410012965703E-2</v>
      </c>
      <c r="U343" s="401">
        <f>'Lab test'!AZ342</f>
        <v>1933</v>
      </c>
      <c r="V343">
        <f>IF('Lab test'!AQ342&gt;0,'Lab test'!AQ342,NA())</f>
        <v>2.112824657063634</v>
      </c>
      <c r="W343">
        <f>IF('Lab test'!AU342&gt;0,'Lab test'!AU342,NA())</f>
        <v>0.11408327645051196</v>
      </c>
      <c r="X343">
        <f>IF('Lab test'!AT342&gt;0,'Lab test'!AT342,NA())</f>
        <v>0.50927094399999995</v>
      </c>
      <c r="Y343">
        <f t="shared" si="81"/>
        <v>1</v>
      </c>
      <c r="Z343" t="str">
        <f>'Lab test'!AC342</f>
        <v>LTWb</v>
      </c>
      <c r="AA343" t="str">
        <f>'Lab test'!T342</f>
        <v>Aluminium</v>
      </c>
      <c r="AC343" t="e">
        <f t="shared" si="82"/>
        <v>#N/A</v>
      </c>
      <c r="AD343">
        <f t="shared" si="83"/>
        <v>0.11408327645051196</v>
      </c>
      <c r="AE343" t="e">
        <f t="shared" si="84"/>
        <v>#N/A</v>
      </c>
      <c r="AF343" t="e">
        <f t="shared" si="85"/>
        <v>#N/A</v>
      </c>
      <c r="AG343" t="e">
        <f t="shared" si="86"/>
        <v>#N/A</v>
      </c>
      <c r="AH343" t="e">
        <f t="shared" si="87"/>
        <v>#N/A</v>
      </c>
      <c r="AI343" t="e">
        <f t="shared" si="88"/>
        <v>#N/A</v>
      </c>
      <c r="AK343" t="e">
        <f t="shared" si="89"/>
        <v>#N/A</v>
      </c>
      <c r="AL343">
        <f t="shared" si="90"/>
        <v>0.50927094399999995</v>
      </c>
      <c r="AM343" t="e">
        <f t="shared" si="91"/>
        <v>#N/A</v>
      </c>
      <c r="AN343" t="e">
        <f t="shared" si="92"/>
        <v>#N/A</v>
      </c>
      <c r="AO343" t="e">
        <f t="shared" si="93"/>
        <v>#N/A</v>
      </c>
      <c r="AP343" t="e">
        <f t="shared" si="94"/>
        <v>#N/A</v>
      </c>
      <c r="AQ343" t="e">
        <f t="shared" si="95"/>
        <v>#N/A</v>
      </c>
    </row>
    <row r="344" spans="15:43">
      <c r="O344">
        <v>340</v>
      </c>
      <c r="P344" s="401">
        <f>'Lab test'!N343</f>
        <v>381</v>
      </c>
      <c r="Q344" s="401">
        <f>'Lab test'!M343</f>
        <v>0.49565012720049251</v>
      </c>
      <c r="R344">
        <f>IF('Lab test'!O343&gt;0,'Lab test'!O343,NA())</f>
        <v>190.5</v>
      </c>
      <c r="S344">
        <f>'Lab test'!Q343</f>
        <v>768.68738469199252</v>
      </c>
      <c r="T344" s="401">
        <f>IF('Lab test'!P343&gt;0,'Lab test'!P343,NA())</f>
        <v>1.8034127155411236E-2</v>
      </c>
      <c r="U344" s="401">
        <f>'Lab test'!AZ343</f>
        <v>1933</v>
      </c>
      <c r="V344">
        <f>IF('Lab test'!AQ343&gt;0,'Lab test'!AQ343,NA())</f>
        <v>2.1820975966394909</v>
      </c>
      <c r="W344">
        <f>IF('Lab test'!AU343&gt;0,'Lab test'!AU343,NA())</f>
        <v>9.0578440535573651E-2</v>
      </c>
      <c r="X344">
        <f>IF('Lab test'!AT343&gt;0,'Lab test'!AT343,NA())</f>
        <v>0.4312937664</v>
      </c>
      <c r="Y344">
        <f t="shared" si="81"/>
        <v>1</v>
      </c>
      <c r="Z344" t="str">
        <f>'Lab test'!AC343</f>
        <v>LTWb</v>
      </c>
      <c r="AA344" t="str">
        <f>'Lab test'!T343</f>
        <v>Aluminium</v>
      </c>
      <c r="AC344" t="e">
        <f t="shared" si="82"/>
        <v>#N/A</v>
      </c>
      <c r="AD344">
        <f t="shared" si="83"/>
        <v>9.0578440535573651E-2</v>
      </c>
      <c r="AE344" t="e">
        <f t="shared" si="84"/>
        <v>#N/A</v>
      </c>
      <c r="AF344" t="e">
        <f t="shared" si="85"/>
        <v>#N/A</v>
      </c>
      <c r="AG344" t="e">
        <f t="shared" si="86"/>
        <v>#N/A</v>
      </c>
      <c r="AH344" t="e">
        <f t="shared" si="87"/>
        <v>#N/A</v>
      </c>
      <c r="AI344" t="e">
        <f t="shared" si="88"/>
        <v>#N/A</v>
      </c>
      <c r="AK344" t="e">
        <f t="shared" si="89"/>
        <v>#N/A</v>
      </c>
      <c r="AL344">
        <f t="shared" si="90"/>
        <v>0.4312937664</v>
      </c>
      <c r="AM344" t="e">
        <f t="shared" si="91"/>
        <v>#N/A</v>
      </c>
      <c r="AN344" t="e">
        <f t="shared" si="92"/>
        <v>#N/A</v>
      </c>
      <c r="AO344" t="e">
        <f t="shared" si="93"/>
        <v>#N/A</v>
      </c>
      <c r="AP344" t="e">
        <f t="shared" si="94"/>
        <v>#N/A</v>
      </c>
      <c r="AQ344" t="e">
        <f t="shared" si="95"/>
        <v>#N/A</v>
      </c>
    </row>
    <row r="345" spans="15:43">
      <c r="O345">
        <v>341</v>
      </c>
      <c r="P345" s="401">
        <f>'Lab test'!N344</f>
        <v>381</v>
      </c>
      <c r="Q345" s="401">
        <f>'Lab test'!M344</f>
        <v>0.5036122508438412</v>
      </c>
      <c r="R345">
        <f>IF('Lab test'!O344&gt;0,'Lab test'!O344,NA())</f>
        <v>190.5</v>
      </c>
      <c r="S345">
        <f>'Lab test'!Q344</f>
        <v>756.53441583600295</v>
      </c>
      <c r="T345" s="401">
        <f>IF('Lab test'!P344&gt;0,'Lab test'!P344,NA())</f>
        <v>1.8178400172654527E-2</v>
      </c>
      <c r="U345" s="401">
        <f>'Lab test'!AZ344</f>
        <v>1933</v>
      </c>
      <c r="V345">
        <f>IF('Lab test'!AQ344&gt;0,'Lab test'!AQ344,NA())</f>
        <v>2.1647793617455267</v>
      </c>
      <c r="W345">
        <f>IF('Lab test'!AU344&gt;0,'Lab test'!AU344,NA())</f>
        <v>0.11178934103439224</v>
      </c>
      <c r="X345">
        <f>IF('Lab test'!AT344&gt;0,'Lab test'!AT344,NA())</f>
        <v>0.52387499999999998</v>
      </c>
      <c r="Y345">
        <f t="shared" si="81"/>
        <v>1</v>
      </c>
      <c r="Z345" t="str">
        <f>'Lab test'!AC344</f>
        <v>LTWb</v>
      </c>
      <c r="AA345" t="str">
        <f>'Lab test'!T344</f>
        <v>Aluminium</v>
      </c>
      <c r="AC345" t="e">
        <f t="shared" si="82"/>
        <v>#N/A</v>
      </c>
      <c r="AD345">
        <f t="shared" si="83"/>
        <v>0.11178934103439224</v>
      </c>
      <c r="AE345" t="e">
        <f t="shared" si="84"/>
        <v>#N/A</v>
      </c>
      <c r="AF345" t="e">
        <f t="shared" si="85"/>
        <v>#N/A</v>
      </c>
      <c r="AG345" t="e">
        <f t="shared" si="86"/>
        <v>#N/A</v>
      </c>
      <c r="AH345" t="e">
        <f t="shared" si="87"/>
        <v>#N/A</v>
      </c>
      <c r="AI345" t="e">
        <f t="shared" si="88"/>
        <v>#N/A</v>
      </c>
      <c r="AK345" t="e">
        <f t="shared" si="89"/>
        <v>#N/A</v>
      </c>
      <c r="AL345">
        <f t="shared" si="90"/>
        <v>0.52387499999999998</v>
      </c>
      <c r="AM345" t="e">
        <f t="shared" si="91"/>
        <v>#N/A</v>
      </c>
      <c r="AN345" t="e">
        <f t="shared" si="92"/>
        <v>#N/A</v>
      </c>
      <c r="AO345" t="e">
        <f t="shared" si="93"/>
        <v>#N/A</v>
      </c>
      <c r="AP345" t="e">
        <f t="shared" si="94"/>
        <v>#N/A</v>
      </c>
      <c r="AQ345" t="e">
        <f t="shared" si="95"/>
        <v>#N/A</v>
      </c>
    </row>
    <row r="346" spans="15:43">
      <c r="O346">
        <v>342</v>
      </c>
      <c r="P346" s="401">
        <f>'Lab test'!N345</f>
        <v>381</v>
      </c>
      <c r="Q346" s="401">
        <f>'Lab test'!M345</f>
        <v>0.56513512061440796</v>
      </c>
      <c r="R346">
        <f>IF('Lab test'!O345&gt;0,'Lab test'!O345,NA())</f>
        <v>381</v>
      </c>
      <c r="S346">
        <f>'Lab test'!Q345</f>
        <v>674.17505319043255</v>
      </c>
      <c r="T346" s="401">
        <f>IF('Lab test'!P345&gt;0,'Lab test'!P345,NA())</f>
        <v>3.8513559687827381E-2</v>
      </c>
      <c r="U346" s="401">
        <f>'Lab test'!AZ345</f>
        <v>1933</v>
      </c>
      <c r="V346">
        <f>IF('Lab test'!AQ345&gt;0,'Lab test'!AQ345,NA())</f>
        <v>2.0435517174877771</v>
      </c>
      <c r="W346">
        <f>IF('Lab test'!AU345&gt;0,'Lab test'!AU345,NA())</f>
        <v>0.10952207928590181</v>
      </c>
      <c r="X346">
        <f>IF('Lab test'!AT345&gt;0,'Lab test'!AT345,NA())</f>
        <v>0.45737555200000007</v>
      </c>
      <c r="Y346">
        <f t="shared" si="81"/>
        <v>1</v>
      </c>
      <c r="Z346" t="str">
        <f>'Lab test'!AC345</f>
        <v>LTWb</v>
      </c>
      <c r="AA346" t="str">
        <f>'Lab test'!T345</f>
        <v>Aluminium</v>
      </c>
      <c r="AC346" t="e">
        <f t="shared" si="82"/>
        <v>#N/A</v>
      </c>
      <c r="AD346">
        <f t="shared" si="83"/>
        <v>0.10952207928590181</v>
      </c>
      <c r="AE346" t="e">
        <f t="shared" si="84"/>
        <v>#N/A</v>
      </c>
      <c r="AF346" t="e">
        <f t="shared" si="85"/>
        <v>#N/A</v>
      </c>
      <c r="AG346" t="e">
        <f t="shared" si="86"/>
        <v>#N/A</v>
      </c>
      <c r="AH346" t="e">
        <f t="shared" si="87"/>
        <v>#N/A</v>
      </c>
      <c r="AI346" t="e">
        <f t="shared" si="88"/>
        <v>#N/A</v>
      </c>
      <c r="AK346" t="e">
        <f t="shared" si="89"/>
        <v>#N/A</v>
      </c>
      <c r="AL346">
        <f t="shared" si="90"/>
        <v>0.45737555200000007</v>
      </c>
      <c r="AM346" t="e">
        <f t="shared" si="91"/>
        <v>#N/A</v>
      </c>
      <c r="AN346" t="e">
        <f t="shared" si="92"/>
        <v>#N/A</v>
      </c>
      <c r="AO346" t="e">
        <f t="shared" si="93"/>
        <v>#N/A</v>
      </c>
      <c r="AP346" t="e">
        <f t="shared" si="94"/>
        <v>#N/A</v>
      </c>
      <c r="AQ346" t="e">
        <f t="shared" si="95"/>
        <v>#N/A</v>
      </c>
    </row>
    <row r="347" spans="15:43">
      <c r="O347">
        <v>343</v>
      </c>
      <c r="P347" s="401">
        <f>'Lab test'!N346</f>
        <v>381</v>
      </c>
      <c r="Q347" s="401">
        <f>'Lab test'!M346</f>
        <v>0.55103667088706576</v>
      </c>
      <c r="R347">
        <f>IF('Lab test'!O346&gt;0,'Lab test'!O346,NA())</f>
        <v>381</v>
      </c>
      <c r="S347">
        <f>'Lab test'!Q346</f>
        <v>691.42403787149306</v>
      </c>
      <c r="T347" s="401">
        <f>IF('Lab test'!P346&gt;0,'Lab test'!P346,NA())</f>
        <v>3.8030125884214498E-2</v>
      </c>
      <c r="U347" s="401">
        <f>'Lab test'!AZ346</f>
        <v>1933</v>
      </c>
      <c r="V347">
        <f>IF('Lab test'!AQ346&gt;0,'Lab test'!AQ346,NA())</f>
        <v>2.069529069828723</v>
      </c>
      <c r="W347">
        <f>IF('Lab test'!AU346&gt;0,'Lab test'!AU346,NA())</f>
        <v>0.10234953006038332</v>
      </c>
      <c r="X347">
        <f>IF('Lab test'!AT346&gt;0,'Lab test'!AT346,NA())</f>
        <v>0.43835797819999983</v>
      </c>
      <c r="Y347">
        <f t="shared" si="81"/>
        <v>1</v>
      </c>
      <c r="Z347" t="str">
        <f>'Lab test'!AC346</f>
        <v>LTWb</v>
      </c>
      <c r="AA347" t="str">
        <f>'Lab test'!T346</f>
        <v>Aluminium</v>
      </c>
      <c r="AC347" t="e">
        <f t="shared" si="82"/>
        <v>#N/A</v>
      </c>
      <c r="AD347">
        <f t="shared" si="83"/>
        <v>0.10234953006038332</v>
      </c>
      <c r="AE347" t="e">
        <f t="shared" si="84"/>
        <v>#N/A</v>
      </c>
      <c r="AF347" t="e">
        <f t="shared" si="85"/>
        <v>#N/A</v>
      </c>
      <c r="AG347" t="e">
        <f t="shared" si="86"/>
        <v>#N/A</v>
      </c>
      <c r="AH347" t="e">
        <f t="shared" si="87"/>
        <v>#N/A</v>
      </c>
      <c r="AI347" t="e">
        <f t="shared" si="88"/>
        <v>#N/A</v>
      </c>
      <c r="AK347" t="e">
        <f t="shared" si="89"/>
        <v>#N/A</v>
      </c>
      <c r="AL347">
        <f t="shared" si="90"/>
        <v>0.43835797819999983</v>
      </c>
      <c r="AM347" t="e">
        <f t="shared" si="91"/>
        <v>#N/A</v>
      </c>
      <c r="AN347" t="e">
        <f t="shared" si="92"/>
        <v>#N/A</v>
      </c>
      <c r="AO347" t="e">
        <f t="shared" si="93"/>
        <v>#N/A</v>
      </c>
      <c r="AP347" t="e">
        <f t="shared" si="94"/>
        <v>#N/A</v>
      </c>
      <c r="AQ347" t="e">
        <f t="shared" si="95"/>
        <v>#N/A</v>
      </c>
    </row>
    <row r="348" spans="15:43">
      <c r="O348">
        <v>344</v>
      </c>
      <c r="P348" s="401">
        <f>'Lab test'!N347</f>
        <v>381</v>
      </c>
      <c r="Q348" s="401">
        <f>'Lab test'!M347</f>
        <v>0.55567695921439297</v>
      </c>
      <c r="R348">
        <f>IF('Lab test'!O347&gt;0,'Lab test'!O347,NA())</f>
        <v>571.5</v>
      </c>
      <c r="S348">
        <f>'Lab test'!Q347</f>
        <v>685.65016720983283</v>
      </c>
      <c r="T348" s="401">
        <f>IF('Lab test'!P347&gt;0,'Lab test'!P347,NA())</f>
        <v>5.7284874493659224E-2</v>
      </c>
      <c r="U348" s="401">
        <f>'Lab test'!AZ347</f>
        <v>1933</v>
      </c>
      <c r="V348">
        <f>IF('Lab test'!AQ347&gt;0,'Lab test'!AQ347,NA())</f>
        <v>2.0608699523817413</v>
      </c>
      <c r="W348">
        <f>IF('Lab test'!AU347&gt;0,'Lab test'!AU347,NA())</f>
        <v>0.11255220792859019</v>
      </c>
      <c r="X348">
        <f>IF('Lab test'!AT347&gt;0,'Lab test'!AT347,NA())</f>
        <v>0.47803004479999994</v>
      </c>
      <c r="Y348">
        <f t="shared" si="81"/>
        <v>1</v>
      </c>
      <c r="Z348" t="str">
        <f>'Lab test'!AC347</f>
        <v>LTWb</v>
      </c>
      <c r="AA348" t="str">
        <f>'Lab test'!T347</f>
        <v>Aluminium</v>
      </c>
      <c r="AC348" t="e">
        <f t="shared" si="82"/>
        <v>#N/A</v>
      </c>
      <c r="AD348">
        <f t="shared" si="83"/>
        <v>0.11255220792859019</v>
      </c>
      <c r="AE348" t="e">
        <f t="shared" si="84"/>
        <v>#N/A</v>
      </c>
      <c r="AF348" t="e">
        <f t="shared" si="85"/>
        <v>#N/A</v>
      </c>
      <c r="AG348" t="e">
        <f t="shared" si="86"/>
        <v>#N/A</v>
      </c>
      <c r="AH348" t="e">
        <f t="shared" si="87"/>
        <v>#N/A</v>
      </c>
      <c r="AI348" t="e">
        <f t="shared" si="88"/>
        <v>#N/A</v>
      </c>
      <c r="AK348" t="e">
        <f t="shared" si="89"/>
        <v>#N/A</v>
      </c>
      <c r="AL348">
        <f t="shared" si="90"/>
        <v>0.47803004479999994</v>
      </c>
      <c r="AM348" t="e">
        <f t="shared" si="91"/>
        <v>#N/A</v>
      </c>
      <c r="AN348" t="e">
        <f t="shared" si="92"/>
        <v>#N/A</v>
      </c>
      <c r="AO348" t="e">
        <f t="shared" si="93"/>
        <v>#N/A</v>
      </c>
      <c r="AP348" t="e">
        <f t="shared" si="94"/>
        <v>#N/A</v>
      </c>
      <c r="AQ348" t="e">
        <f t="shared" si="95"/>
        <v>#N/A</v>
      </c>
    </row>
    <row r="349" spans="15:43">
      <c r="O349">
        <v>345</v>
      </c>
      <c r="P349" s="401">
        <f>'Lab test'!N348</f>
        <v>381</v>
      </c>
      <c r="Q349" s="401">
        <f>'Lab test'!M348</f>
        <v>0.55567695921439297</v>
      </c>
      <c r="R349">
        <f>IF('Lab test'!O348&gt;0,'Lab test'!O348,NA())</f>
        <v>571.5</v>
      </c>
      <c r="S349">
        <f>'Lab test'!Q348</f>
        <v>685.65016720983283</v>
      </c>
      <c r="T349" s="401">
        <f>IF('Lab test'!P348&gt;0,'Lab test'!P348,NA())</f>
        <v>5.7284874493659224E-2</v>
      </c>
      <c r="U349" s="401">
        <f>'Lab test'!AZ348</f>
        <v>1933</v>
      </c>
      <c r="V349">
        <f>IF('Lab test'!AQ348&gt;0,'Lab test'!AQ348,NA())</f>
        <v>2.0608699523817413</v>
      </c>
      <c r="W349">
        <f>IF('Lab test'!AU348&gt;0,'Lab test'!AU348,NA())</f>
        <v>0.12546493042793386</v>
      </c>
      <c r="X349">
        <f>IF('Lab test'!AT348&gt;0,'Lab test'!AT348,NA())</f>
        <v>0.53287276559999996</v>
      </c>
      <c r="Y349">
        <f t="shared" si="81"/>
        <v>1</v>
      </c>
      <c r="Z349" t="str">
        <f>'Lab test'!AC348</f>
        <v>LTWb</v>
      </c>
      <c r="AA349" t="str">
        <f>'Lab test'!T348</f>
        <v>Aluminium</v>
      </c>
      <c r="AC349" t="e">
        <f t="shared" si="82"/>
        <v>#N/A</v>
      </c>
      <c r="AD349">
        <f t="shared" si="83"/>
        <v>0.12546493042793386</v>
      </c>
      <c r="AE349" t="e">
        <f t="shared" si="84"/>
        <v>#N/A</v>
      </c>
      <c r="AF349" t="e">
        <f t="shared" si="85"/>
        <v>#N/A</v>
      </c>
      <c r="AG349" t="e">
        <f t="shared" si="86"/>
        <v>#N/A</v>
      </c>
      <c r="AH349" t="e">
        <f t="shared" si="87"/>
        <v>#N/A</v>
      </c>
      <c r="AI349" t="e">
        <f t="shared" si="88"/>
        <v>#N/A</v>
      </c>
      <c r="AK349" t="e">
        <f t="shared" si="89"/>
        <v>#N/A</v>
      </c>
      <c r="AL349">
        <f t="shared" si="90"/>
        <v>0.53287276559999996</v>
      </c>
      <c r="AM349" t="e">
        <f t="shared" si="91"/>
        <v>#N/A</v>
      </c>
      <c r="AN349" t="e">
        <f t="shared" si="92"/>
        <v>#N/A</v>
      </c>
      <c r="AO349" t="e">
        <f t="shared" si="93"/>
        <v>#N/A</v>
      </c>
      <c r="AP349" t="e">
        <f t="shared" si="94"/>
        <v>#N/A</v>
      </c>
      <c r="AQ349" t="e">
        <f t="shared" si="95"/>
        <v>#N/A</v>
      </c>
    </row>
    <row r="350" spans="15:43">
      <c r="O350">
        <v>346</v>
      </c>
      <c r="P350" s="401">
        <f>'Lab test'!N349</f>
        <v>190.5</v>
      </c>
      <c r="Q350" s="401">
        <f>'Lab test'!M349</f>
        <v>0.29239526677448796</v>
      </c>
      <c r="R350">
        <f>IF('Lab test'!O349&gt;0,'Lab test'!O349,NA())</f>
        <v>95.25</v>
      </c>
      <c r="S350">
        <f>'Lab test'!Q349</f>
        <v>651.51533436731233</v>
      </c>
      <c r="T350" s="401">
        <f>IF('Lab test'!P349&gt;0,'Lab test'!P349,NA())</f>
        <v>1.9588793289498415E-2</v>
      </c>
      <c r="U350" s="401">
        <f>'Lab test'!AZ349</f>
        <v>1933</v>
      </c>
      <c r="V350">
        <f>IF('Lab test'!AQ349&gt;0,'Lab test'!AQ349,NA())</f>
        <v>1.9382223626249933</v>
      </c>
      <c r="W350">
        <f>IF('Lab test'!AU349&gt;0,'Lab test'!AU349,NA())</f>
        <v>0.1641036970108696</v>
      </c>
      <c r="X350">
        <f>IF('Lab test'!AT349&gt;0,'Lab test'!AT349,NA())</f>
        <v>0.61648933120000005</v>
      </c>
      <c r="Y350">
        <f t="shared" si="81"/>
        <v>1</v>
      </c>
      <c r="Z350" t="str">
        <f>'Lab test'!AC349</f>
        <v>LTWb</v>
      </c>
      <c r="AA350" t="str">
        <f>'Lab test'!T349</f>
        <v>Aluminium</v>
      </c>
      <c r="AC350" t="e">
        <f t="shared" si="82"/>
        <v>#N/A</v>
      </c>
      <c r="AD350">
        <f t="shared" si="83"/>
        <v>0.1641036970108696</v>
      </c>
      <c r="AE350" t="e">
        <f t="shared" si="84"/>
        <v>#N/A</v>
      </c>
      <c r="AF350" t="e">
        <f t="shared" si="85"/>
        <v>#N/A</v>
      </c>
      <c r="AG350" t="e">
        <f t="shared" si="86"/>
        <v>#N/A</v>
      </c>
      <c r="AH350" t="e">
        <f t="shared" si="87"/>
        <v>#N/A</v>
      </c>
      <c r="AI350" t="e">
        <f t="shared" si="88"/>
        <v>#N/A</v>
      </c>
      <c r="AK350" t="e">
        <f t="shared" si="89"/>
        <v>#N/A</v>
      </c>
      <c r="AL350">
        <f t="shared" si="90"/>
        <v>0.61648933120000005</v>
      </c>
      <c r="AM350" t="e">
        <f t="shared" si="91"/>
        <v>#N/A</v>
      </c>
      <c r="AN350" t="e">
        <f t="shared" si="92"/>
        <v>#N/A</v>
      </c>
      <c r="AO350" t="e">
        <f t="shared" si="93"/>
        <v>#N/A</v>
      </c>
      <c r="AP350" t="e">
        <f t="shared" si="94"/>
        <v>#N/A</v>
      </c>
      <c r="AQ350" t="e">
        <f t="shared" si="95"/>
        <v>#N/A</v>
      </c>
    </row>
    <row r="351" spans="15:43">
      <c r="O351">
        <v>347</v>
      </c>
      <c r="P351" s="401">
        <f>'Lab test'!N350</f>
        <v>190.5</v>
      </c>
      <c r="Q351" s="401">
        <f>'Lab test'!M350</f>
        <v>0.28989082206100752</v>
      </c>
      <c r="R351">
        <f>IF('Lab test'!O350&gt;0,'Lab test'!O350,NA())</f>
        <v>95.25</v>
      </c>
      <c r="S351">
        <f>'Lab test'!Q350</f>
        <v>657.14395042113222</v>
      </c>
      <c r="T351" s="401">
        <f>IF('Lab test'!P350&gt;0,'Lab test'!P350,NA())</f>
        <v>1.9504721215294556E-2</v>
      </c>
      <c r="U351" s="401">
        <f>'Lab test'!AZ350</f>
        <v>1933</v>
      </c>
      <c r="V351">
        <f>IF('Lab test'!AQ350&gt;0,'Lab test'!AQ350,NA())</f>
        <v>1.9465767693604457</v>
      </c>
      <c r="W351">
        <f>IF('Lab test'!AU350&gt;0,'Lab test'!AU350,NA())</f>
        <v>0.1492295160326087</v>
      </c>
      <c r="X351">
        <f>IF('Lab test'!AT350&gt;0,'Lab test'!AT350,NA())</f>
        <v>0.56545467995999987</v>
      </c>
      <c r="Y351">
        <f t="shared" si="81"/>
        <v>1</v>
      </c>
      <c r="Z351" t="str">
        <f>'Lab test'!AC350</f>
        <v>LTWb</v>
      </c>
      <c r="AA351" t="str">
        <f>'Lab test'!T350</f>
        <v>Aluminium</v>
      </c>
      <c r="AC351" t="e">
        <f t="shared" si="82"/>
        <v>#N/A</v>
      </c>
      <c r="AD351">
        <f t="shared" si="83"/>
        <v>0.1492295160326087</v>
      </c>
      <c r="AE351" t="e">
        <f t="shared" si="84"/>
        <v>#N/A</v>
      </c>
      <c r="AF351" t="e">
        <f t="shared" si="85"/>
        <v>#N/A</v>
      </c>
      <c r="AG351" t="e">
        <f t="shared" si="86"/>
        <v>#N/A</v>
      </c>
      <c r="AH351" t="e">
        <f t="shared" si="87"/>
        <v>#N/A</v>
      </c>
      <c r="AI351" t="e">
        <f t="shared" si="88"/>
        <v>#N/A</v>
      </c>
      <c r="AK351" t="e">
        <f t="shared" si="89"/>
        <v>#N/A</v>
      </c>
      <c r="AL351">
        <f t="shared" si="90"/>
        <v>0.56545467995999987</v>
      </c>
      <c r="AM351" t="e">
        <f t="shared" si="91"/>
        <v>#N/A</v>
      </c>
      <c r="AN351" t="e">
        <f t="shared" si="92"/>
        <v>#N/A</v>
      </c>
      <c r="AO351" t="e">
        <f t="shared" si="93"/>
        <v>#N/A</v>
      </c>
      <c r="AP351" t="e">
        <f t="shared" si="94"/>
        <v>#N/A</v>
      </c>
      <c r="AQ351" t="e">
        <f t="shared" si="95"/>
        <v>#N/A</v>
      </c>
    </row>
    <row r="352" spans="15:43">
      <c r="O352">
        <v>348</v>
      </c>
      <c r="P352" s="401">
        <f>'Lab test'!N351</f>
        <v>190.5</v>
      </c>
      <c r="Q352" s="401">
        <f>'Lab test'!M351</f>
        <v>0.27551833544353288</v>
      </c>
      <c r="R352">
        <f>IF('Lab test'!O351&gt;0,'Lab test'!O351,NA())</f>
        <v>95.25</v>
      </c>
      <c r="S352">
        <f>'Lab test'!Q351</f>
        <v>691.42403787149306</v>
      </c>
      <c r="T352" s="401">
        <f>IF('Lab test'!P351&gt;0,'Lab test'!P351,NA())</f>
        <v>1.9015062942107249E-2</v>
      </c>
      <c r="U352" s="401">
        <f>'Lab test'!AZ351</f>
        <v>1933</v>
      </c>
      <c r="V352">
        <f>IF('Lab test'!AQ351&gt;0,'Lab test'!AQ351,NA())</f>
        <v>1.996703209773161</v>
      </c>
      <c r="W352">
        <f>IF('Lab test'!AU351&gt;0,'Lab test'!AU351,NA())</f>
        <v>9.4701550271739141E-2</v>
      </c>
      <c r="X352">
        <f>IF('Lab test'!AT351&gt;0,'Lab test'!AT351,NA())</f>
        <v>0.3775583857999999</v>
      </c>
      <c r="Y352">
        <f t="shared" si="81"/>
        <v>1</v>
      </c>
      <c r="Z352" t="str">
        <f>'Lab test'!AC351</f>
        <v>LTWb</v>
      </c>
      <c r="AA352" t="str">
        <f>'Lab test'!T351</f>
        <v>Aluminium</v>
      </c>
      <c r="AC352" t="e">
        <f t="shared" si="82"/>
        <v>#N/A</v>
      </c>
      <c r="AD352">
        <f t="shared" si="83"/>
        <v>9.4701550271739141E-2</v>
      </c>
      <c r="AE352" t="e">
        <f t="shared" si="84"/>
        <v>#N/A</v>
      </c>
      <c r="AF352" t="e">
        <f t="shared" si="85"/>
        <v>#N/A</v>
      </c>
      <c r="AG352" t="e">
        <f t="shared" si="86"/>
        <v>#N/A</v>
      </c>
      <c r="AH352" t="e">
        <f t="shared" si="87"/>
        <v>#N/A</v>
      </c>
      <c r="AI352" t="e">
        <f t="shared" si="88"/>
        <v>#N/A</v>
      </c>
      <c r="AK352" t="e">
        <f t="shared" si="89"/>
        <v>#N/A</v>
      </c>
      <c r="AL352">
        <f t="shared" si="90"/>
        <v>0.3775583857999999</v>
      </c>
      <c r="AM352" t="e">
        <f t="shared" si="91"/>
        <v>#N/A</v>
      </c>
      <c r="AN352" t="e">
        <f t="shared" si="92"/>
        <v>#N/A</v>
      </c>
      <c r="AO352" t="e">
        <f t="shared" si="93"/>
        <v>#N/A</v>
      </c>
      <c r="AP352" t="e">
        <f t="shared" si="94"/>
        <v>#N/A</v>
      </c>
      <c r="AQ352" t="e">
        <f t="shared" si="95"/>
        <v>#N/A</v>
      </c>
    </row>
    <row r="353" spans="15:43">
      <c r="O353">
        <v>349</v>
      </c>
      <c r="P353" s="401">
        <f>'Lab test'!N352</f>
        <v>190.5</v>
      </c>
      <c r="Q353" s="401">
        <f>'Lab test'!M352</f>
        <v>0.30274474528451134</v>
      </c>
      <c r="R353">
        <f>IF('Lab test'!O352&gt;0,'Lab test'!O352,NA())</f>
        <v>95.25</v>
      </c>
      <c r="S353">
        <f>'Lab test'!Q352</f>
        <v>629.2429611651005</v>
      </c>
      <c r="T353" s="401">
        <f>IF('Lab test'!P352&gt;0,'Lab test'!P352,NA())</f>
        <v>1.9932456329665053E-2</v>
      </c>
      <c r="U353" s="401">
        <f>'Lab test'!AZ352</f>
        <v>1933</v>
      </c>
      <c r="V353">
        <f>IF('Lab test'!AQ352&gt;0,'Lab test'!AQ352,NA())</f>
        <v>1.904804735683183</v>
      </c>
      <c r="W353">
        <f>IF('Lab test'!AU352&gt;0,'Lab test'!AU352,NA())</f>
        <v>0.15542986141304346</v>
      </c>
      <c r="X353">
        <f>IF('Lab test'!AT352&gt;0,'Lab test'!AT352,NA())</f>
        <v>0.56394322559999988</v>
      </c>
      <c r="Y353">
        <f t="shared" si="81"/>
        <v>1</v>
      </c>
      <c r="Z353" t="str">
        <f>'Lab test'!AC352</f>
        <v>LTWb</v>
      </c>
      <c r="AA353" t="str">
        <f>'Lab test'!T352</f>
        <v>Aluminium</v>
      </c>
      <c r="AC353" t="e">
        <f t="shared" si="82"/>
        <v>#N/A</v>
      </c>
      <c r="AD353">
        <f t="shared" si="83"/>
        <v>0.15542986141304346</v>
      </c>
      <c r="AE353" t="e">
        <f t="shared" si="84"/>
        <v>#N/A</v>
      </c>
      <c r="AF353" t="e">
        <f t="shared" si="85"/>
        <v>#N/A</v>
      </c>
      <c r="AG353" t="e">
        <f t="shared" si="86"/>
        <v>#N/A</v>
      </c>
      <c r="AH353" t="e">
        <f t="shared" si="87"/>
        <v>#N/A</v>
      </c>
      <c r="AI353" t="e">
        <f t="shared" si="88"/>
        <v>#N/A</v>
      </c>
      <c r="AK353" t="e">
        <f t="shared" si="89"/>
        <v>#N/A</v>
      </c>
      <c r="AL353">
        <f t="shared" si="90"/>
        <v>0.56394322559999988</v>
      </c>
      <c r="AM353" t="e">
        <f t="shared" si="91"/>
        <v>#N/A</v>
      </c>
      <c r="AN353" t="e">
        <f t="shared" si="92"/>
        <v>#N/A</v>
      </c>
      <c r="AO353" t="e">
        <f t="shared" si="93"/>
        <v>#N/A</v>
      </c>
      <c r="AP353" t="e">
        <f t="shared" si="94"/>
        <v>#N/A</v>
      </c>
      <c r="AQ353" t="e">
        <f t="shared" si="95"/>
        <v>#N/A</v>
      </c>
    </row>
    <row r="354" spans="15:43">
      <c r="O354">
        <v>350</v>
      </c>
      <c r="P354" s="401">
        <f>'Lab test'!N353</f>
        <v>190.5</v>
      </c>
      <c r="Q354" s="401">
        <f>'Lab test'!M353</f>
        <v>0.28741841695649861</v>
      </c>
      <c r="R354">
        <f>IF('Lab test'!O353&gt;0,'Lab test'!O353,NA())</f>
        <v>123.825</v>
      </c>
      <c r="S354">
        <f>'Lab test'!Q353</f>
        <v>662.79677557625882</v>
      </c>
      <c r="T354" s="401">
        <f>IF('Lab test'!P353&gt;0,'Lab test'!P353,NA())</f>
        <v>2.5247778017575731E-2</v>
      </c>
      <c r="U354" s="401">
        <f>'Lab test'!AZ353</f>
        <v>1933</v>
      </c>
      <c r="V354">
        <f>IF('Lab test'!AQ353&gt;0,'Lab test'!AQ353,NA())</f>
        <v>1.9549311760958983</v>
      </c>
      <c r="W354">
        <f>IF('Lab test'!AU353&gt;0,'Lab test'!AU353,NA())</f>
        <v>0.11069957608695653</v>
      </c>
      <c r="X354">
        <f>IF('Lab test'!AT353&gt;0,'Lab test'!AT353,NA())</f>
        <v>0.42306675839999996</v>
      </c>
      <c r="Y354">
        <f t="shared" si="81"/>
        <v>1</v>
      </c>
      <c r="Z354" t="str">
        <f>'Lab test'!AC353</f>
        <v>LTWb</v>
      </c>
      <c r="AA354" t="str">
        <f>'Lab test'!T353</f>
        <v>Aluminium</v>
      </c>
      <c r="AC354" t="e">
        <f t="shared" si="82"/>
        <v>#N/A</v>
      </c>
      <c r="AD354">
        <f t="shared" si="83"/>
        <v>0.11069957608695653</v>
      </c>
      <c r="AE354" t="e">
        <f t="shared" si="84"/>
        <v>#N/A</v>
      </c>
      <c r="AF354" t="e">
        <f t="shared" si="85"/>
        <v>#N/A</v>
      </c>
      <c r="AG354" t="e">
        <f t="shared" si="86"/>
        <v>#N/A</v>
      </c>
      <c r="AH354" t="e">
        <f t="shared" si="87"/>
        <v>#N/A</v>
      </c>
      <c r="AI354" t="e">
        <f t="shared" si="88"/>
        <v>#N/A</v>
      </c>
      <c r="AK354" t="e">
        <f t="shared" si="89"/>
        <v>#N/A</v>
      </c>
      <c r="AL354">
        <f t="shared" si="90"/>
        <v>0.42306675839999996</v>
      </c>
      <c r="AM354" t="e">
        <f t="shared" si="91"/>
        <v>#N/A</v>
      </c>
      <c r="AN354" t="e">
        <f t="shared" si="92"/>
        <v>#N/A</v>
      </c>
      <c r="AO354" t="e">
        <f t="shared" si="93"/>
        <v>#N/A</v>
      </c>
      <c r="AP354" t="e">
        <f t="shared" si="94"/>
        <v>#N/A</v>
      </c>
      <c r="AQ354" t="e">
        <f t="shared" si="95"/>
        <v>#N/A</v>
      </c>
    </row>
    <row r="355" spans="15:43">
      <c r="O355">
        <v>351</v>
      </c>
      <c r="P355" s="401">
        <f>'Lab test'!N354</f>
        <v>190.5</v>
      </c>
      <c r="Q355" s="401">
        <f>'Lab test'!M354</f>
        <v>0.28741841695649861</v>
      </c>
      <c r="R355">
        <f>IF('Lab test'!O354&gt;0,'Lab test'!O354,NA())</f>
        <v>123.825</v>
      </c>
      <c r="S355">
        <f>'Lab test'!Q354</f>
        <v>662.79677557625882</v>
      </c>
      <c r="T355" s="401">
        <f>IF('Lab test'!P354&gt;0,'Lab test'!P354,NA())</f>
        <v>2.5247778017575731E-2</v>
      </c>
      <c r="U355" s="401">
        <f>'Lab test'!AZ354</f>
        <v>1933</v>
      </c>
      <c r="V355">
        <f>IF('Lab test'!AQ354&gt;0,'Lab test'!AQ354,NA())</f>
        <v>1.9549311760958983</v>
      </c>
      <c r="W355">
        <f>IF('Lab test'!AU354&gt;0,'Lab test'!AU354,NA())</f>
        <v>0.16189274290760869</v>
      </c>
      <c r="X355">
        <f>IF('Lab test'!AT354&gt;0,'Lab test'!AT354,NA())</f>
        <v>0.61871454590399988</v>
      </c>
      <c r="Y355">
        <f t="shared" si="81"/>
        <v>1</v>
      </c>
      <c r="Z355" t="str">
        <f>'Lab test'!AC354</f>
        <v>LTWb</v>
      </c>
      <c r="AA355" t="str">
        <f>'Lab test'!T354</f>
        <v>Aluminium</v>
      </c>
      <c r="AC355" t="e">
        <f t="shared" si="82"/>
        <v>#N/A</v>
      </c>
      <c r="AD355">
        <f t="shared" si="83"/>
        <v>0.16189274290760869</v>
      </c>
      <c r="AE355" t="e">
        <f t="shared" si="84"/>
        <v>#N/A</v>
      </c>
      <c r="AF355" t="e">
        <f t="shared" si="85"/>
        <v>#N/A</v>
      </c>
      <c r="AG355" t="e">
        <f t="shared" si="86"/>
        <v>#N/A</v>
      </c>
      <c r="AH355" t="e">
        <f t="shared" si="87"/>
        <v>#N/A</v>
      </c>
      <c r="AI355" t="e">
        <f t="shared" si="88"/>
        <v>#N/A</v>
      </c>
      <c r="AK355" t="e">
        <f t="shared" si="89"/>
        <v>#N/A</v>
      </c>
      <c r="AL355">
        <f t="shared" si="90"/>
        <v>0.61871454590399988</v>
      </c>
      <c r="AM355" t="e">
        <f t="shared" si="91"/>
        <v>#N/A</v>
      </c>
      <c r="AN355" t="e">
        <f t="shared" si="92"/>
        <v>#N/A</v>
      </c>
      <c r="AO355" t="e">
        <f t="shared" si="93"/>
        <v>#N/A</v>
      </c>
      <c r="AP355" t="e">
        <f t="shared" si="94"/>
        <v>#N/A</v>
      </c>
      <c r="AQ355" t="e">
        <f t="shared" si="95"/>
        <v>#N/A</v>
      </c>
    </row>
    <row r="356" spans="15:43">
      <c r="O356">
        <v>352</v>
      </c>
      <c r="P356" s="401">
        <f>'Lab test'!N355</f>
        <v>190.5</v>
      </c>
      <c r="Q356" s="401">
        <f>'Lab test'!M355</f>
        <v>0.28497750726790472</v>
      </c>
      <c r="R356">
        <f>IF('Lab test'!O355&gt;0,'Lab test'!O355,NA())</f>
        <v>123.825</v>
      </c>
      <c r="S356">
        <f>'Lab test'!Q355</f>
        <v>668.47380983269215</v>
      </c>
      <c r="T356" s="401">
        <f>IF('Lab test'!P355&gt;0,'Lab test'!P355,NA())</f>
        <v>2.5140340664309455E-2</v>
      </c>
      <c r="U356" s="401">
        <f>'Lab test'!AZ355</f>
        <v>1933</v>
      </c>
      <c r="V356">
        <f>IF('Lab test'!AQ355&gt;0,'Lab test'!AQ355,NA())</f>
        <v>1.9632855828313509</v>
      </c>
      <c r="W356">
        <f>IF('Lab test'!AU355&gt;0,'Lab test'!AU355,NA())</f>
        <v>0.11297763994565219</v>
      </c>
      <c r="X356">
        <f>IF('Lab test'!AT355&gt;0,'Lab test'!AT355,NA())</f>
        <v>0.43547121499999997</v>
      </c>
      <c r="Y356">
        <f t="shared" si="81"/>
        <v>1</v>
      </c>
      <c r="Z356" t="str">
        <f>'Lab test'!AC355</f>
        <v>LTWb</v>
      </c>
      <c r="AA356" t="str">
        <f>'Lab test'!T355</f>
        <v>Aluminium</v>
      </c>
      <c r="AC356" t="e">
        <f t="shared" si="82"/>
        <v>#N/A</v>
      </c>
      <c r="AD356">
        <f t="shared" si="83"/>
        <v>0.11297763994565219</v>
      </c>
      <c r="AE356" t="e">
        <f t="shared" si="84"/>
        <v>#N/A</v>
      </c>
      <c r="AF356" t="e">
        <f t="shared" si="85"/>
        <v>#N/A</v>
      </c>
      <c r="AG356" t="e">
        <f t="shared" si="86"/>
        <v>#N/A</v>
      </c>
      <c r="AH356" t="e">
        <f t="shared" si="87"/>
        <v>#N/A</v>
      </c>
      <c r="AI356" t="e">
        <f t="shared" si="88"/>
        <v>#N/A</v>
      </c>
      <c r="AK356" t="e">
        <f t="shared" si="89"/>
        <v>#N/A</v>
      </c>
      <c r="AL356">
        <f t="shared" si="90"/>
        <v>0.43547121499999997</v>
      </c>
      <c r="AM356" t="e">
        <f t="shared" si="91"/>
        <v>#N/A</v>
      </c>
      <c r="AN356" t="e">
        <f t="shared" si="92"/>
        <v>#N/A</v>
      </c>
      <c r="AO356" t="e">
        <f t="shared" si="93"/>
        <v>#N/A</v>
      </c>
      <c r="AP356" t="e">
        <f t="shared" si="94"/>
        <v>#N/A</v>
      </c>
      <c r="AQ356" t="e">
        <f t="shared" si="95"/>
        <v>#N/A</v>
      </c>
    </row>
    <row r="357" spans="15:43">
      <c r="O357">
        <v>353</v>
      </c>
      <c r="P357" s="401">
        <f>'Lab test'!N356</f>
        <v>190.5</v>
      </c>
      <c r="Q357" s="401">
        <f>'Lab test'!M356</f>
        <v>0.26434229439112533</v>
      </c>
      <c r="R357">
        <f>IF('Lab test'!O356&gt;0,'Lab test'!O356,NA())</f>
        <v>190.5</v>
      </c>
      <c r="S357">
        <f>'Lab test'!Q356</f>
        <v>720.65652769939629</v>
      </c>
      <c r="T357" s="401">
        <f>IF('Lab test'!P356&gt;0,'Lab test'!P356,NA())</f>
        <v>3.7250820025931407E-2</v>
      </c>
      <c r="U357" s="401">
        <f>'Lab test'!AZ356</f>
        <v>1933</v>
      </c>
      <c r="V357">
        <f>IF('Lab test'!AQ356&gt;0,'Lab test'!AQ356,NA())</f>
        <v>2.0384752434504239</v>
      </c>
      <c r="W357">
        <f>IF('Lab test'!AU356&gt;0,'Lab test'!AU356,NA())</f>
        <v>0.11069957608695653</v>
      </c>
      <c r="X357">
        <f>IF('Lab test'!AT356&gt;0,'Lab test'!AT356,NA())</f>
        <v>0.4599989504</v>
      </c>
      <c r="Y357">
        <f t="shared" si="81"/>
        <v>1</v>
      </c>
      <c r="Z357" t="str">
        <f>'Lab test'!AC356</f>
        <v>LTWb</v>
      </c>
      <c r="AA357" t="str">
        <f>'Lab test'!T356</f>
        <v>Aluminium</v>
      </c>
      <c r="AC357" t="e">
        <f t="shared" si="82"/>
        <v>#N/A</v>
      </c>
      <c r="AD357">
        <f t="shared" si="83"/>
        <v>0.11069957608695653</v>
      </c>
      <c r="AE357" t="e">
        <f t="shared" si="84"/>
        <v>#N/A</v>
      </c>
      <c r="AF357" t="e">
        <f t="shared" si="85"/>
        <v>#N/A</v>
      </c>
      <c r="AG357" t="e">
        <f t="shared" si="86"/>
        <v>#N/A</v>
      </c>
      <c r="AH357" t="e">
        <f t="shared" si="87"/>
        <v>#N/A</v>
      </c>
      <c r="AI357" t="e">
        <f t="shared" si="88"/>
        <v>#N/A</v>
      </c>
      <c r="AK357" t="e">
        <f t="shared" si="89"/>
        <v>#N/A</v>
      </c>
      <c r="AL357">
        <f t="shared" si="90"/>
        <v>0.4599989504</v>
      </c>
      <c r="AM357" t="e">
        <f t="shared" si="91"/>
        <v>#N/A</v>
      </c>
      <c r="AN357" t="e">
        <f t="shared" si="92"/>
        <v>#N/A</v>
      </c>
      <c r="AO357" t="e">
        <f t="shared" si="93"/>
        <v>#N/A</v>
      </c>
      <c r="AP357" t="e">
        <f t="shared" si="94"/>
        <v>#N/A</v>
      </c>
      <c r="AQ357" t="e">
        <f t="shared" si="95"/>
        <v>#N/A</v>
      </c>
    </row>
    <row r="358" spans="15:43">
      <c r="O358">
        <v>354</v>
      </c>
      <c r="P358" s="401">
        <f>'Lab test'!N357</f>
        <v>190.5</v>
      </c>
      <c r="Q358" s="401">
        <f>'Lab test'!M357</f>
        <v>0.28497750726790472</v>
      </c>
      <c r="R358">
        <f>IF('Lab test'!O357&gt;0,'Lab test'!O357,NA())</f>
        <v>190.5</v>
      </c>
      <c r="S358">
        <f>'Lab test'!Q357</f>
        <v>668.47380983269215</v>
      </c>
      <c r="T358" s="401">
        <f>IF('Lab test'!P357&gt;0,'Lab test'!P357,NA())</f>
        <v>3.8677447175860698E-2</v>
      </c>
      <c r="U358" s="401">
        <f>'Lab test'!AZ357</f>
        <v>1933</v>
      </c>
      <c r="V358">
        <f>IF('Lab test'!AQ357&gt;0,'Lab test'!AQ357,NA())</f>
        <v>1.9632855828313509</v>
      </c>
      <c r="W358">
        <f>IF('Lab test'!AU357&gt;0,'Lab test'!AU357,NA())</f>
        <v>9.5334823369565225E-2</v>
      </c>
      <c r="X358">
        <f>IF('Lab test'!AT357&gt;0,'Lab test'!AT357,NA())</f>
        <v>0.36746714999999996</v>
      </c>
      <c r="Y358">
        <f t="shared" si="81"/>
        <v>1</v>
      </c>
      <c r="Z358" t="str">
        <f>'Lab test'!AC357</f>
        <v>LTWb</v>
      </c>
      <c r="AA358" t="str">
        <f>'Lab test'!T357</f>
        <v>Aluminium</v>
      </c>
      <c r="AC358" t="e">
        <f t="shared" si="82"/>
        <v>#N/A</v>
      </c>
      <c r="AD358">
        <f t="shared" si="83"/>
        <v>9.5334823369565225E-2</v>
      </c>
      <c r="AE358" t="e">
        <f t="shared" si="84"/>
        <v>#N/A</v>
      </c>
      <c r="AF358" t="e">
        <f t="shared" si="85"/>
        <v>#N/A</v>
      </c>
      <c r="AG358" t="e">
        <f t="shared" si="86"/>
        <v>#N/A</v>
      </c>
      <c r="AH358" t="e">
        <f t="shared" si="87"/>
        <v>#N/A</v>
      </c>
      <c r="AI358" t="e">
        <f t="shared" si="88"/>
        <v>#N/A</v>
      </c>
      <c r="AK358" t="e">
        <f t="shared" si="89"/>
        <v>#N/A</v>
      </c>
      <c r="AL358">
        <f t="shared" si="90"/>
        <v>0.36746714999999996</v>
      </c>
      <c r="AM358" t="e">
        <f t="shared" si="91"/>
        <v>#N/A</v>
      </c>
      <c r="AN358" t="e">
        <f t="shared" si="92"/>
        <v>#N/A</v>
      </c>
      <c r="AO358" t="e">
        <f t="shared" si="93"/>
        <v>#N/A</v>
      </c>
      <c r="AP358" t="e">
        <f t="shared" si="94"/>
        <v>#N/A</v>
      </c>
      <c r="AQ358" t="e">
        <f t="shared" si="95"/>
        <v>#N/A</v>
      </c>
    </row>
    <row r="359" spans="15:43">
      <c r="O359">
        <v>355</v>
      </c>
      <c r="P359" s="401">
        <f>'Lab test'!N358</f>
        <v>190.5</v>
      </c>
      <c r="Q359" s="401">
        <f>'Lab test'!M358</f>
        <v>0.29239526677448796</v>
      </c>
      <c r="R359">
        <f>IF('Lab test'!O358&gt;0,'Lab test'!O358,NA())</f>
        <v>190.5</v>
      </c>
      <c r="S359">
        <f>'Lab test'!Q358</f>
        <v>651.51533436731233</v>
      </c>
      <c r="T359" s="401">
        <f>IF('Lab test'!P358&gt;0,'Lab test'!P358,NA())</f>
        <v>3.917758657899683E-2</v>
      </c>
      <c r="U359" s="401">
        <f>'Lab test'!AZ358</f>
        <v>1933</v>
      </c>
      <c r="V359">
        <f>IF('Lab test'!AQ358&gt;0,'Lab test'!AQ358,NA())</f>
        <v>1.9382223626249933</v>
      </c>
      <c r="W359">
        <f>IF('Lab test'!AU358&gt;0,'Lab test'!AU358,NA())</f>
        <v>0.15126914254076088</v>
      </c>
      <c r="X359">
        <f>IF('Lab test'!AT358&gt;0,'Lab test'!AT358,NA())</f>
        <v>0.56827368435199987</v>
      </c>
      <c r="Y359">
        <f t="shared" si="81"/>
        <v>1</v>
      </c>
      <c r="Z359" t="str">
        <f>'Lab test'!AC358</f>
        <v>LTWb</v>
      </c>
      <c r="AA359" t="str">
        <f>'Lab test'!T358</f>
        <v>Aluminium</v>
      </c>
      <c r="AC359" t="e">
        <f t="shared" si="82"/>
        <v>#N/A</v>
      </c>
      <c r="AD359">
        <f t="shared" si="83"/>
        <v>0.15126914254076088</v>
      </c>
      <c r="AE359" t="e">
        <f t="shared" si="84"/>
        <v>#N/A</v>
      </c>
      <c r="AF359" t="e">
        <f t="shared" si="85"/>
        <v>#N/A</v>
      </c>
      <c r="AG359" t="e">
        <f t="shared" si="86"/>
        <v>#N/A</v>
      </c>
      <c r="AH359" t="e">
        <f t="shared" si="87"/>
        <v>#N/A</v>
      </c>
      <c r="AI359" t="e">
        <f t="shared" si="88"/>
        <v>#N/A</v>
      </c>
      <c r="AK359" t="e">
        <f t="shared" si="89"/>
        <v>#N/A</v>
      </c>
      <c r="AL359">
        <f t="shared" si="90"/>
        <v>0.56827368435199987</v>
      </c>
      <c r="AM359" t="e">
        <f t="shared" si="91"/>
        <v>#N/A</v>
      </c>
      <c r="AN359" t="e">
        <f t="shared" si="92"/>
        <v>#N/A</v>
      </c>
      <c r="AO359" t="e">
        <f t="shared" si="93"/>
        <v>#N/A</v>
      </c>
      <c r="AP359" t="e">
        <f t="shared" si="94"/>
        <v>#N/A</v>
      </c>
      <c r="AQ359" t="e">
        <f t="shared" si="95"/>
        <v>#N/A</v>
      </c>
    </row>
    <row r="360" spans="15:43">
      <c r="O360">
        <v>356</v>
      </c>
      <c r="P360" s="401">
        <f>'Lab test'!N359</f>
        <v>190.5</v>
      </c>
      <c r="Q360" s="401">
        <f>'Lab test'!M359</f>
        <v>0.29239526677448796</v>
      </c>
      <c r="R360">
        <f>IF('Lab test'!O359&gt;0,'Lab test'!O359,NA())</f>
        <v>190.5</v>
      </c>
      <c r="S360">
        <f>'Lab test'!Q359</f>
        <v>651.51533436731233</v>
      </c>
      <c r="T360" s="401">
        <f>IF('Lab test'!P359&gt;0,'Lab test'!P359,NA())</f>
        <v>3.917758657899683E-2</v>
      </c>
      <c r="U360" s="401">
        <f>'Lab test'!AZ359</f>
        <v>1933</v>
      </c>
      <c r="V360">
        <f>IF('Lab test'!AQ359&gt;0,'Lab test'!AQ359,NA())</f>
        <v>1.9382223626249933</v>
      </c>
      <c r="W360">
        <f>IF('Lab test'!AU359&gt;0,'Lab test'!AU359,NA())</f>
        <v>0.13478401222826086</v>
      </c>
      <c r="X360">
        <f>IF('Lab test'!AT359&gt;0,'Lab test'!AT359,NA())</f>
        <v>0.50634389759999987</v>
      </c>
      <c r="Y360">
        <f t="shared" si="81"/>
        <v>1</v>
      </c>
      <c r="Z360" t="str">
        <f>'Lab test'!AC359</f>
        <v>LTWb</v>
      </c>
      <c r="AA360" t="str">
        <f>'Lab test'!T359</f>
        <v>Aluminium</v>
      </c>
      <c r="AC360" t="e">
        <f t="shared" si="82"/>
        <v>#N/A</v>
      </c>
      <c r="AD360">
        <f t="shared" si="83"/>
        <v>0.13478401222826086</v>
      </c>
      <c r="AE360" t="e">
        <f t="shared" si="84"/>
        <v>#N/A</v>
      </c>
      <c r="AF360" t="e">
        <f t="shared" si="85"/>
        <v>#N/A</v>
      </c>
      <c r="AG360" t="e">
        <f t="shared" si="86"/>
        <v>#N/A</v>
      </c>
      <c r="AH360" t="e">
        <f t="shared" si="87"/>
        <v>#N/A</v>
      </c>
      <c r="AI360" t="e">
        <f t="shared" si="88"/>
        <v>#N/A</v>
      </c>
      <c r="AK360" t="e">
        <f t="shared" si="89"/>
        <v>#N/A</v>
      </c>
      <c r="AL360">
        <f t="shared" si="90"/>
        <v>0.50634389759999987</v>
      </c>
      <c r="AM360" t="e">
        <f t="shared" si="91"/>
        <v>#N/A</v>
      </c>
      <c r="AN360" t="e">
        <f t="shared" si="92"/>
        <v>#N/A</v>
      </c>
      <c r="AO360" t="e">
        <f t="shared" si="93"/>
        <v>#N/A</v>
      </c>
      <c r="AP360" t="e">
        <f t="shared" si="94"/>
        <v>#N/A</v>
      </c>
      <c r="AQ360" t="e">
        <f t="shared" si="95"/>
        <v>#N/A</v>
      </c>
    </row>
    <row r="361" spans="15:43">
      <c r="O361">
        <v>357</v>
      </c>
      <c r="P361" s="401">
        <f>'Lab test'!N360</f>
        <v>190.5</v>
      </c>
      <c r="Q361" s="401">
        <f>'Lab test'!M360</f>
        <v>0.27783847960719649</v>
      </c>
      <c r="R361">
        <f>IF('Lab test'!O360&gt;0,'Lab test'!O360,NA())</f>
        <v>285.75</v>
      </c>
      <c r="S361">
        <f>'Lab test'!Q360</f>
        <v>685.65016720983283</v>
      </c>
      <c r="T361" s="401">
        <f>IF('Lab test'!P360&gt;0,'Lab test'!P360,NA())</f>
        <v>5.7284874493659224E-2</v>
      </c>
      <c r="U361" s="401">
        <f>'Lab test'!AZ360</f>
        <v>1933</v>
      </c>
      <c r="V361">
        <f>IF('Lab test'!AQ360&gt;0,'Lab test'!AQ360,NA())</f>
        <v>1.9883488030377086</v>
      </c>
      <c r="W361">
        <f>IF('Lab test'!AU360&gt;0,'Lab test'!AU360,NA())</f>
        <v>8.5534850543478272E-2</v>
      </c>
      <c r="X361">
        <f>IF('Lab test'!AT360&gt;0,'Lab test'!AT360,NA())</f>
        <v>0.33816467999999994</v>
      </c>
      <c r="Y361">
        <f t="shared" si="81"/>
        <v>1</v>
      </c>
      <c r="Z361" t="str">
        <f>'Lab test'!AC360</f>
        <v>LTWb</v>
      </c>
      <c r="AA361" t="str">
        <f>'Lab test'!T360</f>
        <v>Aluminium</v>
      </c>
      <c r="AC361" t="e">
        <f t="shared" si="82"/>
        <v>#N/A</v>
      </c>
      <c r="AD361">
        <f t="shared" si="83"/>
        <v>8.5534850543478272E-2</v>
      </c>
      <c r="AE361" t="e">
        <f t="shared" si="84"/>
        <v>#N/A</v>
      </c>
      <c r="AF361" t="e">
        <f t="shared" si="85"/>
        <v>#N/A</v>
      </c>
      <c r="AG361" t="e">
        <f t="shared" si="86"/>
        <v>#N/A</v>
      </c>
      <c r="AH361" t="e">
        <f t="shared" si="87"/>
        <v>#N/A</v>
      </c>
      <c r="AI361" t="e">
        <f t="shared" si="88"/>
        <v>#N/A</v>
      </c>
      <c r="AK361" t="e">
        <f t="shared" si="89"/>
        <v>#N/A</v>
      </c>
      <c r="AL361">
        <f t="shared" si="90"/>
        <v>0.33816467999999994</v>
      </c>
      <c r="AM361" t="e">
        <f t="shared" si="91"/>
        <v>#N/A</v>
      </c>
      <c r="AN361" t="e">
        <f t="shared" si="92"/>
        <v>#N/A</v>
      </c>
      <c r="AO361" t="e">
        <f t="shared" si="93"/>
        <v>#N/A</v>
      </c>
      <c r="AP361" t="e">
        <f t="shared" si="94"/>
        <v>#N/A</v>
      </c>
      <c r="AQ361" t="e">
        <f t="shared" si="95"/>
        <v>#N/A</v>
      </c>
    </row>
    <row r="362" spans="15:43">
      <c r="O362">
        <v>358</v>
      </c>
      <c r="P362" s="401">
        <f>'Lab test'!N361</f>
        <v>190.5</v>
      </c>
      <c r="Q362" s="401">
        <f>'Lab test'!M361</f>
        <v>0.29493230709450785</v>
      </c>
      <c r="R362">
        <f>IF('Lab test'!O361&gt;0,'Lab test'!O361,NA())</f>
        <v>285.75</v>
      </c>
      <c r="S362">
        <f>'Lab test'!Q361</f>
        <v>645.9109274147994</v>
      </c>
      <c r="T362" s="401">
        <f>IF('Lab test'!P361&gt;0,'Lab test'!P361,NA())</f>
        <v>5.9020779781345858E-2</v>
      </c>
      <c r="U362" s="401">
        <f>'Lab test'!AZ361</f>
        <v>1933</v>
      </c>
      <c r="V362">
        <f>IF('Lab test'!AQ361&gt;0,'Lab test'!AQ361,NA())</f>
        <v>1.9298679558895411</v>
      </c>
      <c r="W362">
        <f>IF('Lab test'!AU361&gt;0,'Lab test'!AU361,NA())</f>
        <v>0.12940548913043479</v>
      </c>
      <c r="X362">
        <f>IF('Lab test'!AT361&gt;0,'Lab test'!AT361,NA())</f>
        <v>0.48195655200000015</v>
      </c>
      <c r="Y362">
        <f t="shared" si="81"/>
        <v>1</v>
      </c>
      <c r="Z362" t="str">
        <f>'Lab test'!AC361</f>
        <v>LTWb</v>
      </c>
      <c r="AA362" t="str">
        <f>'Lab test'!T361</f>
        <v>Aluminium</v>
      </c>
      <c r="AC362" t="e">
        <f t="shared" si="82"/>
        <v>#N/A</v>
      </c>
      <c r="AD362">
        <f t="shared" si="83"/>
        <v>0.12940548913043479</v>
      </c>
      <c r="AE362" t="e">
        <f t="shared" si="84"/>
        <v>#N/A</v>
      </c>
      <c r="AF362" t="e">
        <f t="shared" si="85"/>
        <v>#N/A</v>
      </c>
      <c r="AG362" t="e">
        <f t="shared" si="86"/>
        <v>#N/A</v>
      </c>
      <c r="AH362" t="e">
        <f t="shared" si="87"/>
        <v>#N/A</v>
      </c>
      <c r="AI362" t="e">
        <f t="shared" si="88"/>
        <v>#N/A</v>
      </c>
      <c r="AK362" t="e">
        <f t="shared" si="89"/>
        <v>#N/A</v>
      </c>
      <c r="AL362">
        <f t="shared" si="90"/>
        <v>0.48195655200000015</v>
      </c>
      <c r="AM362" t="e">
        <f t="shared" si="91"/>
        <v>#N/A</v>
      </c>
      <c r="AN362" t="e">
        <f t="shared" si="92"/>
        <v>#N/A</v>
      </c>
      <c r="AO362" t="e">
        <f t="shared" si="93"/>
        <v>#N/A</v>
      </c>
      <c r="AP362" t="e">
        <f t="shared" si="94"/>
        <v>#N/A</v>
      </c>
      <c r="AQ362" t="e">
        <f t="shared" si="95"/>
        <v>#N/A</v>
      </c>
    </row>
    <row r="363" spans="15:43">
      <c r="O363">
        <v>359</v>
      </c>
      <c r="P363" s="401">
        <f>'Lab test'!N362</f>
        <v>190.5</v>
      </c>
      <c r="Q363" s="401">
        <f>'Lab test'!M362</f>
        <v>0.2975025111317588</v>
      </c>
      <c r="R363">
        <f>IF('Lab test'!O362&gt;0,'Lab test'!O362,NA())</f>
        <v>285.75</v>
      </c>
      <c r="S363">
        <f>'Lab test'!Q362</f>
        <v>640.33072956359285</v>
      </c>
      <c r="T363" s="401">
        <f>IF('Lab test'!P362&gt;0,'Lab test'!P362,NA())</f>
        <v>5.9277391867351717E-2</v>
      </c>
      <c r="U363" s="401">
        <f>'Lab test'!AZ362</f>
        <v>1933</v>
      </c>
      <c r="V363">
        <f>IF('Lab test'!AQ362&gt;0,'Lab test'!AQ362,NA())</f>
        <v>1.9215135491540878</v>
      </c>
      <c r="W363">
        <f>IF('Lab test'!AU362&gt;0,'Lab test'!AU362,NA())</f>
        <v>0.1452229891304348</v>
      </c>
      <c r="X363">
        <f>IF('Lab test'!AT362&gt;0,'Lab test'!AT362,NA())</f>
        <v>0.53619439999999985</v>
      </c>
      <c r="Y363">
        <f t="shared" si="81"/>
        <v>1</v>
      </c>
      <c r="Z363" t="str">
        <f>'Lab test'!AC362</f>
        <v>LTWb</v>
      </c>
      <c r="AA363" t="str">
        <f>'Lab test'!T362</f>
        <v>Aluminium</v>
      </c>
      <c r="AC363" t="e">
        <f t="shared" si="82"/>
        <v>#N/A</v>
      </c>
      <c r="AD363">
        <f t="shared" si="83"/>
        <v>0.1452229891304348</v>
      </c>
      <c r="AE363" t="e">
        <f t="shared" si="84"/>
        <v>#N/A</v>
      </c>
      <c r="AF363" t="e">
        <f t="shared" si="85"/>
        <v>#N/A</v>
      </c>
      <c r="AG363" t="e">
        <f t="shared" si="86"/>
        <v>#N/A</v>
      </c>
      <c r="AH363" t="e">
        <f t="shared" si="87"/>
        <v>#N/A</v>
      </c>
      <c r="AI363" t="e">
        <f t="shared" si="88"/>
        <v>#N/A</v>
      </c>
      <c r="AK363" t="e">
        <f t="shared" si="89"/>
        <v>#N/A</v>
      </c>
      <c r="AL363">
        <f t="shared" si="90"/>
        <v>0.53619439999999985</v>
      </c>
      <c r="AM363" t="e">
        <f t="shared" si="91"/>
        <v>#N/A</v>
      </c>
      <c r="AN363" t="e">
        <f t="shared" si="92"/>
        <v>#N/A</v>
      </c>
      <c r="AO363" t="e">
        <f t="shared" si="93"/>
        <v>#N/A</v>
      </c>
      <c r="AP363" t="e">
        <f t="shared" si="94"/>
        <v>#N/A</v>
      </c>
      <c r="AQ363" t="e">
        <f t="shared" si="95"/>
        <v>#N/A</v>
      </c>
    </row>
    <row r="364" spans="15:43">
      <c r="O364">
        <v>360</v>
      </c>
      <c r="P364" s="401">
        <f>'Lab test'!N363</f>
        <v>190.5</v>
      </c>
      <c r="Q364" s="401">
        <f>'Lab test'!M363</f>
        <v>0.2975025111317588</v>
      </c>
      <c r="R364">
        <f>IF('Lab test'!O363&gt;0,'Lab test'!O363,NA())</f>
        <v>285.75</v>
      </c>
      <c r="S364">
        <f>'Lab test'!Q363</f>
        <v>640.33072956359285</v>
      </c>
      <c r="T364" s="401">
        <f>IF('Lab test'!P363&gt;0,'Lab test'!P363,NA())</f>
        <v>5.9277391867351717E-2</v>
      </c>
      <c r="U364" s="401">
        <f>'Lab test'!AZ363</f>
        <v>1933</v>
      </c>
      <c r="V364">
        <f>IF('Lab test'!AQ363&gt;0,'Lab test'!AQ363,NA())</f>
        <v>1.9215135491540878</v>
      </c>
      <c r="W364">
        <f>IF('Lab test'!AU363&gt;0,'Lab test'!AU363,NA())</f>
        <v>0.11145606521739131</v>
      </c>
      <c r="X364">
        <f>IF('Lab test'!AT363&gt;0,'Lab test'!AT363,NA())</f>
        <v>0.41151967999999983</v>
      </c>
      <c r="Y364">
        <f t="shared" si="81"/>
        <v>1</v>
      </c>
      <c r="Z364" t="str">
        <f>'Lab test'!AC363</f>
        <v>LTWb</v>
      </c>
      <c r="AA364" t="str">
        <f>'Lab test'!T363</f>
        <v>Aluminium</v>
      </c>
      <c r="AC364" t="e">
        <f t="shared" si="82"/>
        <v>#N/A</v>
      </c>
      <c r="AD364">
        <f t="shared" si="83"/>
        <v>0.11145606521739131</v>
      </c>
      <c r="AE364" t="e">
        <f t="shared" si="84"/>
        <v>#N/A</v>
      </c>
      <c r="AF364" t="e">
        <f t="shared" si="85"/>
        <v>#N/A</v>
      </c>
      <c r="AG364" t="e">
        <f t="shared" si="86"/>
        <v>#N/A</v>
      </c>
      <c r="AH364" t="e">
        <f t="shared" si="87"/>
        <v>#N/A</v>
      </c>
      <c r="AI364" t="e">
        <f t="shared" si="88"/>
        <v>#N/A</v>
      </c>
      <c r="AK364" t="e">
        <f t="shared" si="89"/>
        <v>#N/A</v>
      </c>
      <c r="AL364">
        <f t="shared" si="90"/>
        <v>0.41151967999999983</v>
      </c>
      <c r="AM364" t="e">
        <f t="shared" si="91"/>
        <v>#N/A</v>
      </c>
      <c r="AN364" t="e">
        <f t="shared" si="92"/>
        <v>#N/A</v>
      </c>
      <c r="AO364" t="e">
        <f t="shared" si="93"/>
        <v>#N/A</v>
      </c>
      <c r="AP364" t="e">
        <f t="shared" si="94"/>
        <v>#N/A</v>
      </c>
      <c r="AQ364" t="e">
        <f t="shared" si="95"/>
        <v>#N/A</v>
      </c>
    </row>
    <row r="365" spans="15:43">
      <c r="O365">
        <v>361</v>
      </c>
      <c r="P365" s="401">
        <f>'Lab test'!N364</f>
        <v>190.5</v>
      </c>
      <c r="Q365" s="401">
        <f>'Lab test'!M364</f>
        <v>0.28741841695649861</v>
      </c>
      <c r="R365">
        <f>IF('Lab test'!O364&gt;0,'Lab test'!O364,NA())</f>
        <v>381</v>
      </c>
      <c r="S365">
        <f>'Lab test'!Q364</f>
        <v>662.79677557625882</v>
      </c>
      <c r="T365" s="401">
        <f>IF('Lab test'!P364&gt;0,'Lab test'!P364,NA())</f>
        <v>7.7685470823309941E-2</v>
      </c>
      <c r="U365" s="401">
        <f>'Lab test'!AZ364</f>
        <v>1933</v>
      </c>
      <c r="V365">
        <f>IF('Lab test'!AQ364&gt;0,'Lab test'!AQ364,NA())</f>
        <v>1.9549311760958983</v>
      </c>
      <c r="W365">
        <f>IF('Lab test'!AU364&gt;0,'Lab test'!AU364,NA())</f>
        <v>0.13028519429347829</v>
      </c>
      <c r="X365">
        <f>IF('Lab test'!AT364&gt;0,'Lab test'!AT364,NA())</f>
        <v>0.49791821040000001</v>
      </c>
      <c r="Y365">
        <f t="shared" si="81"/>
        <v>1</v>
      </c>
      <c r="Z365" t="str">
        <f>'Lab test'!AC364</f>
        <v>LTWb</v>
      </c>
      <c r="AA365" t="str">
        <f>'Lab test'!T364</f>
        <v>Aluminium</v>
      </c>
      <c r="AC365" t="e">
        <f t="shared" si="82"/>
        <v>#N/A</v>
      </c>
      <c r="AD365">
        <f t="shared" si="83"/>
        <v>0.13028519429347829</v>
      </c>
      <c r="AE365" t="e">
        <f t="shared" si="84"/>
        <v>#N/A</v>
      </c>
      <c r="AF365" t="e">
        <f t="shared" si="85"/>
        <v>#N/A</v>
      </c>
      <c r="AG365" t="e">
        <f t="shared" si="86"/>
        <v>#N/A</v>
      </c>
      <c r="AH365" t="e">
        <f t="shared" si="87"/>
        <v>#N/A</v>
      </c>
      <c r="AI365" t="e">
        <f t="shared" si="88"/>
        <v>#N/A</v>
      </c>
      <c r="AK365" t="e">
        <f t="shared" si="89"/>
        <v>#N/A</v>
      </c>
      <c r="AL365">
        <f t="shared" si="90"/>
        <v>0.49791821040000001</v>
      </c>
      <c r="AM365" t="e">
        <f t="shared" si="91"/>
        <v>#N/A</v>
      </c>
      <c r="AN365" t="e">
        <f t="shared" si="92"/>
        <v>#N/A</v>
      </c>
      <c r="AO365" t="e">
        <f t="shared" si="93"/>
        <v>#N/A</v>
      </c>
      <c r="AP365" t="e">
        <f t="shared" si="94"/>
        <v>#N/A</v>
      </c>
      <c r="AQ365" t="e">
        <f t="shared" si="95"/>
        <v>#N/A</v>
      </c>
    </row>
    <row r="366" spans="15:43">
      <c r="O366">
        <v>362</v>
      </c>
      <c r="P366" s="401">
        <f>'Lab test'!N365</f>
        <v>190.5</v>
      </c>
      <c r="Q366" s="401">
        <f>'Lab test'!M365</f>
        <v>0.28256756030720398</v>
      </c>
      <c r="R366">
        <f>IF('Lab test'!O365&gt;0,'Lab test'!O365,NA())</f>
        <v>381</v>
      </c>
      <c r="S366">
        <f>'Lab test'!Q365</f>
        <v>674.17505319043255</v>
      </c>
      <c r="T366" s="401">
        <f>IF('Lab test'!P365&gt;0,'Lab test'!P365,NA())</f>
        <v>7.7027119375654762E-2</v>
      </c>
      <c r="U366" s="401">
        <f>'Lab test'!AZ365</f>
        <v>1933</v>
      </c>
      <c r="V366">
        <f>IF('Lab test'!AQ365&gt;0,'Lab test'!AQ365,NA())</f>
        <v>1.9716399895668035</v>
      </c>
      <c r="W366">
        <f>IF('Lab test'!AU365&gt;0,'Lab test'!AU365,NA())</f>
        <v>0.11450494565217392</v>
      </c>
      <c r="X366">
        <f>IF('Lab test'!AT365&gt;0,'Lab test'!AT365,NA())</f>
        <v>0.44512243200000001</v>
      </c>
      <c r="Y366">
        <f t="shared" si="81"/>
        <v>1</v>
      </c>
      <c r="Z366" t="str">
        <f>'Lab test'!AC365</f>
        <v>LTWb</v>
      </c>
      <c r="AA366" t="str">
        <f>'Lab test'!T365</f>
        <v>Aluminium</v>
      </c>
      <c r="AC366" t="e">
        <f t="shared" si="82"/>
        <v>#N/A</v>
      </c>
      <c r="AD366">
        <f t="shared" si="83"/>
        <v>0.11450494565217392</v>
      </c>
      <c r="AE366" t="e">
        <f t="shared" si="84"/>
        <v>#N/A</v>
      </c>
      <c r="AF366" t="e">
        <f t="shared" si="85"/>
        <v>#N/A</v>
      </c>
      <c r="AG366" t="e">
        <f t="shared" si="86"/>
        <v>#N/A</v>
      </c>
      <c r="AH366" t="e">
        <f t="shared" si="87"/>
        <v>#N/A</v>
      </c>
      <c r="AI366" t="e">
        <f t="shared" si="88"/>
        <v>#N/A</v>
      </c>
      <c r="AK366" t="e">
        <f t="shared" si="89"/>
        <v>#N/A</v>
      </c>
      <c r="AL366">
        <f t="shared" si="90"/>
        <v>0.44512243200000001</v>
      </c>
      <c r="AM366" t="e">
        <f t="shared" si="91"/>
        <v>#N/A</v>
      </c>
      <c r="AN366" t="e">
        <f t="shared" si="92"/>
        <v>#N/A</v>
      </c>
      <c r="AO366" t="e">
        <f t="shared" si="93"/>
        <v>#N/A</v>
      </c>
      <c r="AP366" t="e">
        <f t="shared" si="94"/>
        <v>#N/A</v>
      </c>
      <c r="AQ366" t="e">
        <f t="shared" si="95"/>
        <v>#N/A</v>
      </c>
    </row>
    <row r="367" spans="15:43">
      <c r="O367">
        <v>363</v>
      </c>
      <c r="P367" s="401">
        <f>'Lab test'!N366</f>
        <v>190.5</v>
      </c>
      <c r="Q367" s="401">
        <f>'Lab test'!M366</f>
        <v>0.30274474528451134</v>
      </c>
      <c r="R367">
        <f>IF('Lab test'!O366&gt;0,'Lab test'!O366,NA())</f>
        <v>381</v>
      </c>
      <c r="S367">
        <f>'Lab test'!Q366</f>
        <v>629.2429611651005</v>
      </c>
      <c r="T367" s="401">
        <f>IF('Lab test'!P366&gt;0,'Lab test'!P366,NA())</f>
        <v>7.9729825318660213E-2</v>
      </c>
      <c r="U367" s="401">
        <f>'Lab test'!AZ366</f>
        <v>1933</v>
      </c>
      <c r="V367">
        <f>IF('Lab test'!AQ366&gt;0,'Lab test'!AQ366,NA())</f>
        <v>1.904804735683183</v>
      </c>
      <c r="W367">
        <f>IF('Lab test'!AU366&gt;0,'Lab test'!AU366,NA())</f>
        <v>0.12852864945652173</v>
      </c>
      <c r="X367">
        <f>IF('Lab test'!AT366&gt;0,'Lab test'!AT366,NA())</f>
        <v>0.46633806719999993</v>
      </c>
      <c r="Y367">
        <f t="shared" si="81"/>
        <v>1</v>
      </c>
      <c r="Z367" t="str">
        <f>'Lab test'!AC366</f>
        <v>LTWb</v>
      </c>
      <c r="AA367" t="str">
        <f>'Lab test'!T366</f>
        <v>Aluminium</v>
      </c>
      <c r="AC367" t="e">
        <f t="shared" si="82"/>
        <v>#N/A</v>
      </c>
      <c r="AD367">
        <f t="shared" si="83"/>
        <v>0.12852864945652173</v>
      </c>
      <c r="AE367" t="e">
        <f t="shared" si="84"/>
        <v>#N/A</v>
      </c>
      <c r="AF367" t="e">
        <f t="shared" si="85"/>
        <v>#N/A</v>
      </c>
      <c r="AG367" t="e">
        <f t="shared" si="86"/>
        <v>#N/A</v>
      </c>
      <c r="AH367" t="e">
        <f t="shared" si="87"/>
        <v>#N/A</v>
      </c>
      <c r="AI367" t="e">
        <f t="shared" si="88"/>
        <v>#N/A</v>
      </c>
      <c r="AK367" t="e">
        <f t="shared" si="89"/>
        <v>#N/A</v>
      </c>
      <c r="AL367">
        <f t="shared" si="90"/>
        <v>0.46633806719999993</v>
      </c>
      <c r="AM367" t="e">
        <f t="shared" si="91"/>
        <v>#N/A</v>
      </c>
      <c r="AN367" t="e">
        <f t="shared" si="92"/>
        <v>#N/A</v>
      </c>
      <c r="AO367" t="e">
        <f t="shared" si="93"/>
        <v>#N/A</v>
      </c>
      <c r="AP367" t="e">
        <f t="shared" si="94"/>
        <v>#N/A</v>
      </c>
      <c r="AQ367" t="e">
        <f t="shared" si="95"/>
        <v>#N/A</v>
      </c>
    </row>
    <row r="368" spans="15:43">
      <c r="O368">
        <v>364</v>
      </c>
      <c r="P368" s="401">
        <f>'Lab test'!N367</f>
        <v>190.5</v>
      </c>
      <c r="Q368" s="401">
        <f>'Lab test'!M367</f>
        <v>0.30010645942812003</v>
      </c>
      <c r="R368">
        <f>IF('Lab test'!O367&gt;0,'Lab test'!O367,NA())</f>
        <v>476.25</v>
      </c>
      <c r="S368">
        <f>'Lab test'!Q367</f>
        <v>634.77474081369314</v>
      </c>
      <c r="T368" s="401">
        <f>IF('Lab test'!P367&gt;0,'Lab test'!P367,NA())</f>
        <v>9.922707517824525E-2</v>
      </c>
      <c r="U368" s="401">
        <f>'Lab test'!AZ367</f>
        <v>1933</v>
      </c>
      <c r="V368">
        <f>IF('Lab test'!AQ367&gt;0,'Lab test'!AQ367,NA())</f>
        <v>1.9131591424186352</v>
      </c>
      <c r="W368">
        <f>IF('Lab test'!AU367&gt;0,'Lab test'!AU367,NA())</f>
        <v>0.11374845652173914</v>
      </c>
      <c r="X368">
        <f>IF('Lab test'!AT367&gt;0,'Lab test'!AT367,NA())</f>
        <v>0.41633958719999981</v>
      </c>
      <c r="Y368">
        <f t="shared" si="81"/>
        <v>1</v>
      </c>
      <c r="Z368" t="str">
        <f>'Lab test'!AC367</f>
        <v>LTWb</v>
      </c>
      <c r="AA368" t="str">
        <f>'Lab test'!T367</f>
        <v>Aluminium</v>
      </c>
      <c r="AC368" t="e">
        <f t="shared" si="82"/>
        <v>#N/A</v>
      </c>
      <c r="AD368">
        <f t="shared" si="83"/>
        <v>0.11374845652173914</v>
      </c>
      <c r="AE368" t="e">
        <f t="shared" si="84"/>
        <v>#N/A</v>
      </c>
      <c r="AF368" t="e">
        <f t="shared" si="85"/>
        <v>#N/A</v>
      </c>
      <c r="AG368" t="e">
        <f t="shared" si="86"/>
        <v>#N/A</v>
      </c>
      <c r="AH368" t="e">
        <f t="shared" si="87"/>
        <v>#N/A</v>
      </c>
      <c r="AI368" t="e">
        <f t="shared" si="88"/>
        <v>#N/A</v>
      </c>
      <c r="AK368" t="e">
        <f t="shared" si="89"/>
        <v>#N/A</v>
      </c>
      <c r="AL368">
        <f t="shared" si="90"/>
        <v>0.41633958719999981</v>
      </c>
      <c r="AM368" t="e">
        <f t="shared" si="91"/>
        <v>#N/A</v>
      </c>
      <c r="AN368" t="e">
        <f t="shared" si="92"/>
        <v>#N/A</v>
      </c>
      <c r="AO368" t="e">
        <f t="shared" si="93"/>
        <v>#N/A</v>
      </c>
      <c r="AP368" t="e">
        <f t="shared" si="94"/>
        <v>#N/A</v>
      </c>
      <c r="AQ368" t="e">
        <f t="shared" si="95"/>
        <v>#N/A</v>
      </c>
    </row>
    <row r="369" spans="15:43">
      <c r="O369">
        <v>365</v>
      </c>
      <c r="P369" s="401">
        <f>'Lab test'!N368</f>
        <v>190.5</v>
      </c>
      <c r="Q369" s="401">
        <f>'Lab test'!M368</f>
        <v>0.29239526677448796</v>
      </c>
      <c r="R369">
        <f>IF('Lab test'!O368&gt;0,'Lab test'!O368,NA())</f>
        <v>476.25</v>
      </c>
      <c r="S369">
        <f>'Lab test'!Q368</f>
        <v>651.51533436731233</v>
      </c>
      <c r="T369" s="401">
        <f>IF('Lab test'!P368&gt;0,'Lab test'!P368,NA())</f>
        <v>9.7943966447492078E-2</v>
      </c>
      <c r="U369" s="401">
        <f>'Lab test'!AZ368</f>
        <v>1933</v>
      </c>
      <c r="V369">
        <f>IF('Lab test'!AQ368&gt;0,'Lab test'!AQ368,NA())</f>
        <v>1.9382223626249933</v>
      </c>
      <c r="W369">
        <f>IF('Lab test'!AU368&gt;0,'Lab test'!AU368,NA())</f>
        <v>0.13028519429347829</v>
      </c>
      <c r="X369">
        <f>IF('Lab test'!AT368&gt;0,'Lab test'!AT368,NA())</f>
        <v>0.48944316159999995</v>
      </c>
      <c r="Y369">
        <f t="shared" si="81"/>
        <v>1</v>
      </c>
      <c r="Z369" t="str">
        <f>'Lab test'!AC368</f>
        <v>LTWb</v>
      </c>
      <c r="AA369" t="str">
        <f>'Lab test'!T368</f>
        <v>Aluminium</v>
      </c>
      <c r="AC369" t="e">
        <f t="shared" si="82"/>
        <v>#N/A</v>
      </c>
      <c r="AD369">
        <f t="shared" si="83"/>
        <v>0.13028519429347829</v>
      </c>
      <c r="AE369" t="e">
        <f t="shared" si="84"/>
        <v>#N/A</v>
      </c>
      <c r="AF369" t="e">
        <f t="shared" si="85"/>
        <v>#N/A</v>
      </c>
      <c r="AG369" t="e">
        <f t="shared" si="86"/>
        <v>#N/A</v>
      </c>
      <c r="AH369" t="e">
        <f t="shared" si="87"/>
        <v>#N/A</v>
      </c>
      <c r="AI369" t="e">
        <f t="shared" si="88"/>
        <v>#N/A</v>
      </c>
      <c r="AK369" t="e">
        <f t="shared" si="89"/>
        <v>#N/A</v>
      </c>
      <c r="AL369">
        <f t="shared" si="90"/>
        <v>0.48944316159999995</v>
      </c>
      <c r="AM369" t="e">
        <f t="shared" si="91"/>
        <v>#N/A</v>
      </c>
      <c r="AN369" t="e">
        <f t="shared" si="92"/>
        <v>#N/A</v>
      </c>
      <c r="AO369" t="e">
        <f t="shared" si="93"/>
        <v>#N/A</v>
      </c>
      <c r="AP369" t="e">
        <f t="shared" si="94"/>
        <v>#N/A</v>
      </c>
      <c r="AQ369" t="e">
        <f t="shared" si="95"/>
        <v>#N/A</v>
      </c>
    </row>
    <row r="370" spans="15:43">
      <c r="O370">
        <v>366</v>
      </c>
      <c r="P370" s="401">
        <f>'Lab test'!N369</f>
        <v>190.5</v>
      </c>
      <c r="Q370" s="401">
        <f>'Lab test'!M369</f>
        <v>0.2975025111317588</v>
      </c>
      <c r="R370">
        <f>IF('Lab test'!O369&gt;0,'Lab test'!O369,NA())</f>
        <v>571.5</v>
      </c>
      <c r="S370">
        <f>'Lab test'!Q369</f>
        <v>640.33072956359285</v>
      </c>
      <c r="T370" s="401">
        <f>IF('Lab test'!P369&gt;0,'Lab test'!P369,NA())</f>
        <v>0.11855478373470343</v>
      </c>
      <c r="U370" s="401">
        <f>'Lab test'!AZ369</f>
        <v>1933</v>
      </c>
      <c r="V370">
        <f>IF('Lab test'!AQ369&gt;0,'Lab test'!AQ369,NA())</f>
        <v>1.9215135491540878</v>
      </c>
      <c r="W370">
        <f>IF('Lab test'!AU369&gt;0,'Lab test'!AU369,NA())</f>
        <v>0.1384919551630435</v>
      </c>
      <c r="X370">
        <f>IF('Lab test'!AT369&gt;0,'Lab test'!AT369,NA())</f>
        <v>0.51134197999999986</v>
      </c>
      <c r="Y370">
        <f t="shared" si="81"/>
        <v>1</v>
      </c>
      <c r="Z370" t="str">
        <f>'Lab test'!AC369</f>
        <v>LTWb</v>
      </c>
      <c r="AA370" t="str">
        <f>'Lab test'!T369</f>
        <v>Aluminium</v>
      </c>
      <c r="AC370" t="e">
        <f t="shared" si="82"/>
        <v>#N/A</v>
      </c>
      <c r="AD370">
        <f t="shared" si="83"/>
        <v>0.1384919551630435</v>
      </c>
      <c r="AE370" t="e">
        <f t="shared" si="84"/>
        <v>#N/A</v>
      </c>
      <c r="AF370" t="e">
        <f t="shared" si="85"/>
        <v>#N/A</v>
      </c>
      <c r="AG370" t="e">
        <f t="shared" si="86"/>
        <v>#N/A</v>
      </c>
      <c r="AH370" t="e">
        <f t="shared" si="87"/>
        <v>#N/A</v>
      </c>
      <c r="AI370" t="e">
        <f t="shared" si="88"/>
        <v>#N/A</v>
      </c>
      <c r="AK370" t="e">
        <f t="shared" si="89"/>
        <v>#N/A</v>
      </c>
      <c r="AL370">
        <f t="shared" si="90"/>
        <v>0.51134197999999986</v>
      </c>
      <c r="AM370" t="e">
        <f t="shared" si="91"/>
        <v>#N/A</v>
      </c>
      <c r="AN370" t="e">
        <f t="shared" si="92"/>
        <v>#N/A</v>
      </c>
      <c r="AO370" t="e">
        <f t="shared" si="93"/>
        <v>#N/A</v>
      </c>
      <c r="AP370" t="e">
        <f t="shared" si="94"/>
        <v>#N/A</v>
      </c>
      <c r="AQ370" t="e">
        <f t="shared" si="95"/>
        <v>#N/A</v>
      </c>
    </row>
    <row r="371" spans="15:43">
      <c r="O371">
        <v>367</v>
      </c>
      <c r="P371" s="401">
        <f>'Lab test'!N370</f>
        <v>190.5</v>
      </c>
      <c r="Q371" s="401">
        <f>'Lab test'!M370</f>
        <v>0.41388252041735801</v>
      </c>
      <c r="R371">
        <f>IF('Lab test'!O370&gt;0,'Lab test'!O370,NA())</f>
        <v>190.5</v>
      </c>
      <c r="S371">
        <f>'Lab test'!Q370</f>
        <v>460.27553859462421</v>
      </c>
      <c r="T371" s="401">
        <f>IF('Lab test'!P370&gt;0,'Lab test'!P370,NA())</f>
        <v>4.6611282493985967E-2</v>
      </c>
      <c r="U371" s="401">
        <f>'Lab test'!AZ370</f>
        <v>1933</v>
      </c>
      <c r="V371">
        <f>IF('Lab test'!AQ370&gt;0,'Lab test'!AQ370,NA())</f>
        <v>1.6308962543106174</v>
      </c>
      <c r="W371">
        <f>IF('Lab test'!AU370&gt;0,'Lab test'!AU370,NA())</f>
        <v>0.20765322153209109</v>
      </c>
      <c r="X371">
        <f>IF('Lab test'!AT370&gt;0,'Lab test'!AT370,NA())</f>
        <v>0.55232072999999982</v>
      </c>
      <c r="Y371">
        <f t="shared" si="81"/>
        <v>1</v>
      </c>
      <c r="Z371" t="str">
        <f>'Lab test'!AC370</f>
        <v>LTWb</v>
      </c>
      <c r="AA371" t="str">
        <f>'Lab test'!T370</f>
        <v>Aluminium</v>
      </c>
      <c r="AC371" t="e">
        <f t="shared" si="82"/>
        <v>#N/A</v>
      </c>
      <c r="AD371">
        <f t="shared" si="83"/>
        <v>0.20765322153209109</v>
      </c>
      <c r="AE371" t="e">
        <f t="shared" si="84"/>
        <v>#N/A</v>
      </c>
      <c r="AF371" t="e">
        <f t="shared" si="85"/>
        <v>#N/A</v>
      </c>
      <c r="AG371" t="e">
        <f t="shared" si="86"/>
        <v>#N/A</v>
      </c>
      <c r="AH371" t="e">
        <f t="shared" si="87"/>
        <v>#N/A</v>
      </c>
      <c r="AI371" t="e">
        <f t="shared" si="88"/>
        <v>#N/A</v>
      </c>
      <c r="AK371" t="e">
        <f t="shared" si="89"/>
        <v>#N/A</v>
      </c>
      <c r="AL371">
        <f t="shared" si="90"/>
        <v>0.55232072999999982</v>
      </c>
      <c r="AM371" t="e">
        <f t="shared" si="91"/>
        <v>#N/A</v>
      </c>
      <c r="AN371" t="e">
        <f t="shared" si="92"/>
        <v>#N/A</v>
      </c>
      <c r="AO371" t="e">
        <f t="shared" si="93"/>
        <v>#N/A</v>
      </c>
      <c r="AP371" t="e">
        <f t="shared" si="94"/>
        <v>#N/A</v>
      </c>
      <c r="AQ371" t="e">
        <f t="shared" si="95"/>
        <v>#N/A</v>
      </c>
    </row>
    <row r="372" spans="15:43">
      <c r="O372">
        <v>368</v>
      </c>
      <c r="P372" s="401">
        <f>'Lab test'!N371</f>
        <v>190.5</v>
      </c>
      <c r="Q372" s="401">
        <f>'Lab test'!M371</f>
        <v>0.41388252041735801</v>
      </c>
      <c r="R372">
        <f>IF('Lab test'!O371&gt;0,'Lab test'!O371,NA())</f>
        <v>190.5</v>
      </c>
      <c r="S372">
        <f>'Lab test'!Q371</f>
        <v>460.27553859462421</v>
      </c>
      <c r="T372" s="401">
        <f>IF('Lab test'!P371&gt;0,'Lab test'!P371,NA())</f>
        <v>4.6611282493985967E-2</v>
      </c>
      <c r="U372" s="401">
        <f>'Lab test'!AZ371</f>
        <v>1933</v>
      </c>
      <c r="V372">
        <f>IF('Lab test'!AQ371&gt;0,'Lab test'!AQ371,NA())</f>
        <v>1.6308962543106174</v>
      </c>
      <c r="W372">
        <f>IF('Lab test'!AU371&gt;0,'Lab test'!AU371,NA())</f>
        <v>0.19011652298136647</v>
      </c>
      <c r="X372">
        <f>IF('Lab test'!AT371&gt;0,'Lab test'!AT371,NA())</f>
        <v>0.50567622299999992</v>
      </c>
      <c r="Y372">
        <f t="shared" si="81"/>
        <v>1</v>
      </c>
      <c r="Z372" t="str">
        <f>'Lab test'!AC371</f>
        <v>LTWb</v>
      </c>
      <c r="AA372" t="str">
        <f>'Lab test'!T371</f>
        <v>Aluminium</v>
      </c>
      <c r="AC372" t="e">
        <f t="shared" si="82"/>
        <v>#N/A</v>
      </c>
      <c r="AD372">
        <f t="shared" si="83"/>
        <v>0.19011652298136647</v>
      </c>
      <c r="AE372" t="e">
        <f t="shared" si="84"/>
        <v>#N/A</v>
      </c>
      <c r="AF372" t="e">
        <f t="shared" si="85"/>
        <v>#N/A</v>
      </c>
      <c r="AG372" t="e">
        <f t="shared" si="86"/>
        <v>#N/A</v>
      </c>
      <c r="AH372" t="e">
        <f t="shared" si="87"/>
        <v>#N/A</v>
      </c>
      <c r="AI372" t="e">
        <f t="shared" si="88"/>
        <v>#N/A</v>
      </c>
      <c r="AK372" t="e">
        <f t="shared" si="89"/>
        <v>#N/A</v>
      </c>
      <c r="AL372">
        <f t="shared" si="90"/>
        <v>0.50567622299999992</v>
      </c>
      <c r="AM372" t="e">
        <f t="shared" si="91"/>
        <v>#N/A</v>
      </c>
      <c r="AN372" t="e">
        <f t="shared" si="92"/>
        <v>#N/A</v>
      </c>
      <c r="AO372" t="e">
        <f t="shared" si="93"/>
        <v>#N/A</v>
      </c>
      <c r="AP372" t="e">
        <f t="shared" si="94"/>
        <v>#N/A</v>
      </c>
      <c r="AQ372" t="e">
        <f t="shared" si="95"/>
        <v>#N/A</v>
      </c>
    </row>
    <row r="373" spans="15:43">
      <c r="O373">
        <v>369</v>
      </c>
      <c r="P373" s="401">
        <f>'Lab test'!N372</f>
        <v>190.5</v>
      </c>
      <c r="Q373" s="401">
        <f>'Lab test'!M372</f>
        <v>0.41388252041735801</v>
      </c>
      <c r="R373">
        <f>IF('Lab test'!O372&gt;0,'Lab test'!O372,NA())</f>
        <v>190.5</v>
      </c>
      <c r="S373">
        <f>'Lab test'!Q372</f>
        <v>460.27553859462421</v>
      </c>
      <c r="T373" s="401">
        <f>IF('Lab test'!P372&gt;0,'Lab test'!P372,NA())</f>
        <v>4.6611282493985967E-2</v>
      </c>
      <c r="U373" s="401">
        <f>'Lab test'!AZ372</f>
        <v>1933</v>
      </c>
      <c r="V373">
        <f>IF('Lab test'!AQ372&gt;0,'Lab test'!AQ372,NA())</f>
        <v>1.6308962543106174</v>
      </c>
      <c r="W373">
        <f>IF('Lab test'!AU372&gt;0,'Lab test'!AU372,NA())</f>
        <v>0.16597732919254657</v>
      </c>
      <c r="X373">
        <f>IF('Lab test'!AT372&gt;0,'Lab test'!AT372,NA())</f>
        <v>0.44147024999999984</v>
      </c>
      <c r="Y373">
        <f t="shared" si="81"/>
        <v>1</v>
      </c>
      <c r="Z373" t="str">
        <f>'Lab test'!AC372</f>
        <v>LTWb</v>
      </c>
      <c r="AA373" t="str">
        <f>'Lab test'!T372</f>
        <v>Aluminium</v>
      </c>
      <c r="AC373" t="e">
        <f t="shared" si="82"/>
        <v>#N/A</v>
      </c>
      <c r="AD373">
        <f t="shared" si="83"/>
        <v>0.16597732919254657</v>
      </c>
      <c r="AE373" t="e">
        <f t="shared" si="84"/>
        <v>#N/A</v>
      </c>
      <c r="AF373" t="e">
        <f t="shared" si="85"/>
        <v>#N/A</v>
      </c>
      <c r="AG373" t="e">
        <f t="shared" si="86"/>
        <v>#N/A</v>
      </c>
      <c r="AH373" t="e">
        <f t="shared" si="87"/>
        <v>#N/A</v>
      </c>
      <c r="AI373" t="e">
        <f t="shared" si="88"/>
        <v>#N/A</v>
      </c>
      <c r="AK373" t="e">
        <f t="shared" si="89"/>
        <v>#N/A</v>
      </c>
      <c r="AL373">
        <f t="shared" si="90"/>
        <v>0.44147024999999984</v>
      </c>
      <c r="AM373" t="e">
        <f t="shared" si="91"/>
        <v>#N/A</v>
      </c>
      <c r="AN373" t="e">
        <f t="shared" si="92"/>
        <v>#N/A</v>
      </c>
      <c r="AO373" t="e">
        <f t="shared" si="93"/>
        <v>#N/A</v>
      </c>
      <c r="AP373" t="e">
        <f t="shared" si="94"/>
        <v>#N/A</v>
      </c>
      <c r="AQ373" t="e">
        <f t="shared" si="95"/>
        <v>#N/A</v>
      </c>
    </row>
    <row r="374" spans="15:43">
      <c r="O374">
        <v>370</v>
      </c>
      <c r="P374" s="401">
        <f>'Lab test'!N373</f>
        <v>190.5</v>
      </c>
      <c r="Q374" s="401">
        <f>'Lab test'!M373</f>
        <v>0.41816034750956643</v>
      </c>
      <c r="R374">
        <f>IF('Lab test'!O373&gt;0,'Lab test'!O373,NA())</f>
        <v>190.5</v>
      </c>
      <c r="S374">
        <f>'Lab test'!Q373</f>
        <v>455.5668683904608</v>
      </c>
      <c r="T374" s="401">
        <f>IF('Lab test'!P373&gt;0,'Lab test'!P373,NA())</f>
        <v>4.6851546836738478E-2</v>
      </c>
      <c r="U374" s="401">
        <f>'Lab test'!AZ373</f>
        <v>1933</v>
      </c>
      <c r="V374">
        <f>IF('Lab test'!AQ373&gt;0,'Lab test'!AQ373,NA())</f>
        <v>1.6225326837756908</v>
      </c>
      <c r="W374">
        <f>IF('Lab test'!AU373&gt;0,'Lab test'!AU373,NA())</f>
        <v>0.1615369710144928</v>
      </c>
      <c r="X374">
        <f>IF('Lab test'!AT373&gt;0,'Lab test'!AT373,NA())</f>
        <v>0.42526421839999989</v>
      </c>
      <c r="Y374">
        <f t="shared" si="81"/>
        <v>1</v>
      </c>
      <c r="Z374" t="str">
        <f>'Lab test'!AC373</f>
        <v>LTWb</v>
      </c>
      <c r="AA374" t="str">
        <f>'Lab test'!T373</f>
        <v>Aluminium</v>
      </c>
      <c r="AC374" t="e">
        <f t="shared" si="82"/>
        <v>#N/A</v>
      </c>
      <c r="AD374">
        <f t="shared" si="83"/>
        <v>0.1615369710144928</v>
      </c>
      <c r="AE374" t="e">
        <f t="shared" si="84"/>
        <v>#N/A</v>
      </c>
      <c r="AF374" t="e">
        <f t="shared" si="85"/>
        <v>#N/A</v>
      </c>
      <c r="AG374" t="e">
        <f t="shared" si="86"/>
        <v>#N/A</v>
      </c>
      <c r="AH374" t="e">
        <f t="shared" si="87"/>
        <v>#N/A</v>
      </c>
      <c r="AI374" t="e">
        <f t="shared" si="88"/>
        <v>#N/A</v>
      </c>
      <c r="AK374" t="e">
        <f t="shared" si="89"/>
        <v>#N/A</v>
      </c>
      <c r="AL374">
        <f t="shared" si="90"/>
        <v>0.42526421839999989</v>
      </c>
      <c r="AM374" t="e">
        <f t="shared" si="91"/>
        <v>#N/A</v>
      </c>
      <c r="AN374" t="e">
        <f t="shared" si="92"/>
        <v>#N/A</v>
      </c>
      <c r="AO374" t="e">
        <f t="shared" si="93"/>
        <v>#N/A</v>
      </c>
      <c r="AP374" t="e">
        <f t="shared" si="94"/>
        <v>#N/A</v>
      </c>
      <c r="AQ374" t="e">
        <f t="shared" si="95"/>
        <v>#N/A</v>
      </c>
    </row>
    <row r="375" spans="15:43">
      <c r="O375">
        <v>371</v>
      </c>
      <c r="P375" s="401">
        <f>'Lab test'!N374</f>
        <v>190.5</v>
      </c>
      <c r="Q375" s="401">
        <f>'Lab test'!M374</f>
        <v>0.53197278389906844</v>
      </c>
      <c r="R375">
        <f>IF('Lab test'!O374&gt;0,'Lab test'!O374,NA())</f>
        <v>95.25</v>
      </c>
      <c r="S375">
        <f>'Lab test'!Q374</f>
        <v>358.10102652947694</v>
      </c>
      <c r="T375" s="401">
        <f>IF('Lab test'!P374&gt;0,'Lab test'!P374,NA())</f>
        <v>2.6422093274207165E-2</v>
      </c>
      <c r="U375" s="401">
        <f>'Lab test'!AZ374</f>
        <v>1933</v>
      </c>
      <c r="V375">
        <f>IF('Lab test'!AQ374&gt;0,'Lab test'!AQ374,NA())</f>
        <v>1.4893682008809219</v>
      </c>
      <c r="W375">
        <f>IF('Lab test'!AU374&gt;0,'Lab test'!AU374,NA())</f>
        <v>0.24235425003938041</v>
      </c>
      <c r="X375">
        <f>IF('Lab test'!AT374&gt;0,'Lab test'!AT374,NA())</f>
        <v>0.53759447203199984</v>
      </c>
      <c r="Y375">
        <f t="shared" si="81"/>
        <v>1</v>
      </c>
      <c r="Z375" t="str">
        <f>'Lab test'!AC374</f>
        <v>LTWb</v>
      </c>
      <c r="AA375" t="str">
        <f>'Lab test'!T374</f>
        <v>Aluminium</v>
      </c>
      <c r="AC375" t="e">
        <f t="shared" si="82"/>
        <v>#N/A</v>
      </c>
      <c r="AD375">
        <f t="shared" si="83"/>
        <v>0.24235425003938041</v>
      </c>
      <c r="AE375" t="e">
        <f t="shared" si="84"/>
        <v>#N/A</v>
      </c>
      <c r="AF375" t="e">
        <f t="shared" si="85"/>
        <v>#N/A</v>
      </c>
      <c r="AG375" t="e">
        <f t="shared" si="86"/>
        <v>#N/A</v>
      </c>
      <c r="AH375" t="e">
        <f t="shared" si="87"/>
        <v>#N/A</v>
      </c>
      <c r="AI375" t="e">
        <f t="shared" si="88"/>
        <v>#N/A</v>
      </c>
      <c r="AK375" t="e">
        <f t="shared" si="89"/>
        <v>#N/A</v>
      </c>
      <c r="AL375">
        <f t="shared" si="90"/>
        <v>0.53759447203199984</v>
      </c>
      <c r="AM375" t="e">
        <f t="shared" si="91"/>
        <v>#N/A</v>
      </c>
      <c r="AN375" t="e">
        <f t="shared" si="92"/>
        <v>#N/A</v>
      </c>
      <c r="AO375" t="e">
        <f t="shared" si="93"/>
        <v>#N/A</v>
      </c>
      <c r="AP375" t="e">
        <f t="shared" si="94"/>
        <v>#N/A</v>
      </c>
      <c r="AQ375" t="e">
        <f t="shared" si="95"/>
        <v>#N/A</v>
      </c>
    </row>
    <row r="376" spans="15:43">
      <c r="O376">
        <v>372</v>
      </c>
      <c r="P376" s="401">
        <f>'Lab test'!N375</f>
        <v>190.5</v>
      </c>
      <c r="Q376" s="401">
        <f>'Lab test'!M375</f>
        <v>0.55102702422429328</v>
      </c>
      <c r="R376">
        <f>IF('Lab test'!O375&gt;0,'Lab test'!O375,NA())</f>
        <v>190.5</v>
      </c>
      <c r="S376">
        <f>'Lab test'!Q375</f>
        <v>345.71807121107321</v>
      </c>
      <c r="T376" s="401">
        <f>IF('Lab test'!P375&gt;0,'Lab test'!P375,NA())</f>
        <v>5.3782249031522275E-2</v>
      </c>
      <c r="U376" s="401">
        <f>'Lab test'!AZ375</f>
        <v>1933</v>
      </c>
      <c r="V376">
        <f>IF('Lab test'!AQ375&gt;0,'Lab test'!AQ375,NA())</f>
        <v>1.4633908485399758</v>
      </c>
      <c r="W376">
        <f>IF('Lab test'!AU375&gt;0,'Lab test'!AU375,NA())</f>
        <v>0.22339196639537937</v>
      </c>
      <c r="X376">
        <f>IF('Lab test'!AT375&gt;0,'Lab test'!AT375,NA())</f>
        <v>0.47839674999999982</v>
      </c>
      <c r="Y376">
        <f t="shared" si="81"/>
        <v>1</v>
      </c>
      <c r="Z376" t="str">
        <f>'Lab test'!AC375</f>
        <v>LTWb</v>
      </c>
      <c r="AA376" t="str">
        <f>'Lab test'!T375</f>
        <v>Aluminium</v>
      </c>
      <c r="AC376" t="e">
        <f t="shared" si="82"/>
        <v>#N/A</v>
      </c>
      <c r="AD376">
        <f t="shared" si="83"/>
        <v>0.22339196639537937</v>
      </c>
      <c r="AE376" t="e">
        <f t="shared" si="84"/>
        <v>#N/A</v>
      </c>
      <c r="AF376" t="e">
        <f t="shared" si="85"/>
        <v>#N/A</v>
      </c>
      <c r="AG376" t="e">
        <f t="shared" si="86"/>
        <v>#N/A</v>
      </c>
      <c r="AH376" t="e">
        <f t="shared" si="87"/>
        <v>#N/A</v>
      </c>
      <c r="AI376" t="e">
        <f t="shared" si="88"/>
        <v>#N/A</v>
      </c>
      <c r="AK376" t="e">
        <f t="shared" si="89"/>
        <v>#N/A</v>
      </c>
      <c r="AL376">
        <f t="shared" si="90"/>
        <v>0.47839674999999982</v>
      </c>
      <c r="AM376" t="e">
        <f t="shared" si="91"/>
        <v>#N/A</v>
      </c>
      <c r="AN376" t="e">
        <f t="shared" si="92"/>
        <v>#N/A</v>
      </c>
      <c r="AO376" t="e">
        <f t="shared" si="93"/>
        <v>#N/A</v>
      </c>
      <c r="AP376" t="e">
        <f t="shared" si="94"/>
        <v>#N/A</v>
      </c>
      <c r="AQ376" t="e">
        <f t="shared" si="95"/>
        <v>#N/A</v>
      </c>
    </row>
    <row r="377" spans="15:43">
      <c r="O377">
        <v>373</v>
      </c>
      <c r="P377" s="401">
        <f>'Lab test'!N376</f>
        <v>190.5</v>
      </c>
      <c r="Q377" s="401">
        <f>'Lab test'!M376</f>
        <v>0.53197278389906844</v>
      </c>
      <c r="R377">
        <f>IF('Lab test'!O376&gt;0,'Lab test'!O376,NA())</f>
        <v>190.5</v>
      </c>
      <c r="S377">
        <f>'Lab test'!Q376</f>
        <v>358.10102652947694</v>
      </c>
      <c r="T377" s="401">
        <f>IF('Lab test'!P376&gt;0,'Lab test'!P376,NA())</f>
        <v>5.2844186548414329E-2</v>
      </c>
      <c r="U377" s="401">
        <f>'Lab test'!AZ376</f>
        <v>1933</v>
      </c>
      <c r="V377">
        <f>IF('Lab test'!AQ376&gt;0,'Lab test'!AQ376,NA())</f>
        <v>1.4893682008809219</v>
      </c>
      <c r="W377">
        <f>IF('Lab test'!AU376&gt;0,'Lab test'!AU376,NA())</f>
        <v>0.20177029141506961</v>
      </c>
      <c r="X377">
        <f>IF('Lab test'!AT376&gt;0,'Lab test'!AT376,NA())</f>
        <v>0.4475704191999999</v>
      </c>
      <c r="Y377">
        <f t="shared" si="81"/>
        <v>1</v>
      </c>
      <c r="Z377" t="str">
        <f>'Lab test'!AC376</f>
        <v>LTWb</v>
      </c>
      <c r="AA377" t="str">
        <f>'Lab test'!T376</f>
        <v>Aluminium</v>
      </c>
      <c r="AC377" t="e">
        <f t="shared" si="82"/>
        <v>#N/A</v>
      </c>
      <c r="AD377">
        <f t="shared" si="83"/>
        <v>0.20177029141506961</v>
      </c>
      <c r="AE377" t="e">
        <f t="shared" si="84"/>
        <v>#N/A</v>
      </c>
      <c r="AF377" t="e">
        <f t="shared" si="85"/>
        <v>#N/A</v>
      </c>
      <c r="AG377" t="e">
        <f t="shared" si="86"/>
        <v>#N/A</v>
      </c>
      <c r="AH377" t="e">
        <f t="shared" si="87"/>
        <v>#N/A</v>
      </c>
      <c r="AI377" t="e">
        <f t="shared" si="88"/>
        <v>#N/A</v>
      </c>
      <c r="AK377" t="e">
        <f t="shared" si="89"/>
        <v>#N/A</v>
      </c>
      <c r="AL377">
        <f t="shared" si="90"/>
        <v>0.4475704191999999</v>
      </c>
      <c r="AM377" t="e">
        <f t="shared" si="91"/>
        <v>#N/A</v>
      </c>
      <c r="AN377" t="e">
        <f t="shared" si="92"/>
        <v>#N/A</v>
      </c>
      <c r="AO377" t="e">
        <f t="shared" si="93"/>
        <v>#N/A</v>
      </c>
      <c r="AP377" t="e">
        <f t="shared" si="94"/>
        <v>#N/A</v>
      </c>
      <c r="AQ377" t="e">
        <f t="shared" si="95"/>
        <v>#N/A</v>
      </c>
    </row>
    <row r="378" spans="15:43">
      <c r="O378">
        <v>374</v>
      </c>
      <c r="P378" s="401">
        <f>'Lab test'!N377</f>
        <v>190.5</v>
      </c>
      <c r="Q378" s="401">
        <f>'Lab test'!M377</f>
        <v>0.52584058401116085</v>
      </c>
      <c r="R378">
        <f>IF('Lab test'!O377&gt;0,'Lab test'!O377,NA())</f>
        <v>190.5</v>
      </c>
      <c r="S378">
        <f>'Lab test'!Q377</f>
        <v>362.2770965048918</v>
      </c>
      <c r="T378" s="401">
        <f>IF('Lab test'!P377&gt;0,'Lab test'!P377,NA())</f>
        <v>5.2538728822700942E-2</v>
      </c>
      <c r="U378" s="401">
        <f>'Lab test'!AZ377</f>
        <v>1933</v>
      </c>
      <c r="V378">
        <f>IF('Lab test'!AQ377&gt;0,'Lab test'!AQ377,NA())</f>
        <v>1.4980273183279045</v>
      </c>
      <c r="W378">
        <f>IF('Lab test'!AU377&gt;0,'Lab test'!AU377,NA())</f>
        <v>0.22644876870569705</v>
      </c>
      <c r="X378">
        <f>IF('Lab test'!AT377&gt;0,'Lab test'!AT377,NA())</f>
        <v>0.50817047680000005</v>
      </c>
      <c r="Y378">
        <f t="shared" si="81"/>
        <v>1</v>
      </c>
      <c r="Z378" t="str">
        <f>'Lab test'!AC377</f>
        <v>LTWb</v>
      </c>
      <c r="AA378" t="str">
        <f>'Lab test'!T377</f>
        <v>Aluminium</v>
      </c>
      <c r="AC378" t="e">
        <f t="shared" si="82"/>
        <v>#N/A</v>
      </c>
      <c r="AD378">
        <f t="shared" si="83"/>
        <v>0.22644876870569705</v>
      </c>
      <c r="AE378" t="e">
        <f t="shared" si="84"/>
        <v>#N/A</v>
      </c>
      <c r="AF378" t="e">
        <f t="shared" si="85"/>
        <v>#N/A</v>
      </c>
      <c r="AG378" t="e">
        <f t="shared" si="86"/>
        <v>#N/A</v>
      </c>
      <c r="AH378" t="e">
        <f t="shared" si="87"/>
        <v>#N/A</v>
      </c>
      <c r="AI378" t="e">
        <f t="shared" si="88"/>
        <v>#N/A</v>
      </c>
      <c r="AK378" t="e">
        <f t="shared" si="89"/>
        <v>#N/A</v>
      </c>
      <c r="AL378">
        <f t="shared" si="90"/>
        <v>0.50817047680000005</v>
      </c>
      <c r="AM378" t="e">
        <f t="shared" si="91"/>
        <v>#N/A</v>
      </c>
      <c r="AN378" t="e">
        <f t="shared" si="92"/>
        <v>#N/A</v>
      </c>
      <c r="AO378" t="e">
        <f t="shared" si="93"/>
        <v>#N/A</v>
      </c>
      <c r="AP378" t="e">
        <f t="shared" si="94"/>
        <v>#N/A</v>
      </c>
      <c r="AQ378" t="e">
        <f t="shared" si="95"/>
        <v>#N/A</v>
      </c>
    </row>
    <row r="379" spans="15:43">
      <c r="O379">
        <v>375</v>
      </c>
      <c r="P379" s="401">
        <f>'Lab test'!N378</f>
        <v>190.5</v>
      </c>
      <c r="Q379" s="401">
        <f>'Lab test'!M378</f>
        <v>0.52584058401116085</v>
      </c>
      <c r="R379">
        <f>IF('Lab test'!O378&gt;0,'Lab test'!O378,NA())</f>
        <v>190.5</v>
      </c>
      <c r="S379">
        <f>'Lab test'!Q378</f>
        <v>362.2770965048918</v>
      </c>
      <c r="T379" s="401">
        <f>IF('Lab test'!P378&gt;0,'Lab test'!P378,NA())</f>
        <v>5.2538728822700942E-2</v>
      </c>
      <c r="U379" s="401">
        <f>'Lab test'!AZ378</f>
        <v>1933</v>
      </c>
      <c r="V379">
        <f>IF('Lab test'!AQ378&gt;0,'Lab test'!AQ378,NA())</f>
        <v>1.4980273183279045</v>
      </c>
      <c r="W379">
        <f>IF('Lab test'!AU378&gt;0,'Lab test'!AU378,NA())</f>
        <v>0.24400270937253873</v>
      </c>
      <c r="X379">
        <f>IF('Lab test'!AT378&gt;0,'Lab test'!AT378,NA())</f>
        <v>0.54756302660000011</v>
      </c>
      <c r="Y379">
        <f t="shared" si="81"/>
        <v>1</v>
      </c>
      <c r="Z379" t="str">
        <f>'Lab test'!AC378</f>
        <v>LTWb</v>
      </c>
      <c r="AA379" t="str">
        <f>'Lab test'!T378</f>
        <v>Aluminium</v>
      </c>
      <c r="AC379" t="e">
        <f t="shared" si="82"/>
        <v>#N/A</v>
      </c>
      <c r="AD379">
        <f t="shared" si="83"/>
        <v>0.24400270937253873</v>
      </c>
      <c r="AE379" t="e">
        <f t="shared" si="84"/>
        <v>#N/A</v>
      </c>
      <c r="AF379" t="e">
        <f t="shared" si="85"/>
        <v>#N/A</v>
      </c>
      <c r="AG379" t="e">
        <f t="shared" si="86"/>
        <v>#N/A</v>
      </c>
      <c r="AH379" t="e">
        <f t="shared" si="87"/>
        <v>#N/A</v>
      </c>
      <c r="AI379" t="e">
        <f t="shared" si="88"/>
        <v>#N/A</v>
      </c>
      <c r="AK379" t="e">
        <f t="shared" si="89"/>
        <v>#N/A</v>
      </c>
      <c r="AL379">
        <f t="shared" si="90"/>
        <v>0.54756302660000011</v>
      </c>
      <c r="AM379" t="e">
        <f t="shared" si="91"/>
        <v>#N/A</v>
      </c>
      <c r="AN379" t="e">
        <f t="shared" si="92"/>
        <v>#N/A</v>
      </c>
      <c r="AO379" t="e">
        <f t="shared" si="93"/>
        <v>#N/A</v>
      </c>
      <c r="AP379" t="e">
        <f t="shared" si="94"/>
        <v>#N/A</v>
      </c>
      <c r="AQ379" t="e">
        <f t="shared" si="95"/>
        <v>#N/A</v>
      </c>
    </row>
    <row r="380" spans="15:43">
      <c r="O380">
        <v>376</v>
      </c>
      <c r="P380" s="401">
        <f>'Lab test'!N379</f>
        <v>190</v>
      </c>
      <c r="Q380" s="401">
        <f>'Lab test'!M379</f>
        <v>7.916666666666667</v>
      </c>
      <c r="R380">
        <f>IF('Lab test'!O379&gt;0,'Lab test'!O379,NA())</f>
        <v>5500</v>
      </c>
      <c r="S380">
        <f>'Lab test'!Q379</f>
        <v>24</v>
      </c>
      <c r="T380" s="401">
        <f>IF('Lab test'!P379&gt;0,'Lab test'!P379,NA())</f>
        <v>5.908856835661175</v>
      </c>
      <c r="U380" s="401">
        <f>'Lab test'!AZ379</f>
        <v>1977</v>
      </c>
      <c r="V380">
        <f>IF('Lab test'!AQ379&gt;0,'Lab test'!AQ379,NA())</f>
        <v>0.22488032531694971</v>
      </c>
      <c r="W380">
        <f>IF('Lab test'!AU379&gt;0,'Lab test'!AU379,NA())</f>
        <v>0.9667307232158302</v>
      </c>
      <c r="X380">
        <f>IF('Lab test'!AT379&gt;0,'Lab test'!AT379,NA())</f>
        <v>4.8888694771544478E-2</v>
      </c>
      <c r="Y380">
        <f t="shared" si="81"/>
        <v>1</v>
      </c>
      <c r="Z380" t="str">
        <f>'Lab test'!AC379</f>
        <v>CLTW</v>
      </c>
      <c r="AA380" t="str">
        <f>'Lab test'!T379</f>
        <v>Steel</v>
      </c>
      <c r="AC380" t="e">
        <f t="shared" si="82"/>
        <v>#N/A</v>
      </c>
      <c r="AD380" t="e">
        <f t="shared" si="83"/>
        <v>#N/A</v>
      </c>
      <c r="AE380" t="e">
        <f t="shared" si="84"/>
        <v>#N/A</v>
      </c>
      <c r="AF380" t="e">
        <f t="shared" si="85"/>
        <v>#N/A</v>
      </c>
      <c r="AG380" t="e">
        <f t="shared" si="86"/>
        <v>#N/A</v>
      </c>
      <c r="AH380">
        <f t="shared" si="87"/>
        <v>0.9667307232158302</v>
      </c>
      <c r="AI380" t="e">
        <f t="shared" si="88"/>
        <v>#N/A</v>
      </c>
      <c r="AK380" t="e">
        <f t="shared" si="89"/>
        <v>#N/A</v>
      </c>
      <c r="AL380" t="e">
        <f t="shared" si="90"/>
        <v>#N/A</v>
      </c>
      <c r="AM380" t="e">
        <f t="shared" si="91"/>
        <v>#N/A</v>
      </c>
      <c r="AN380" t="e">
        <f t="shared" si="92"/>
        <v>#N/A</v>
      </c>
      <c r="AO380" t="e">
        <f t="shared" si="93"/>
        <v>#N/A</v>
      </c>
      <c r="AP380">
        <f t="shared" si="94"/>
        <v>4.8888694771544478E-2</v>
      </c>
      <c r="AQ380" t="e">
        <f t="shared" si="95"/>
        <v>#N/A</v>
      </c>
    </row>
    <row r="381" spans="15:43">
      <c r="O381">
        <v>377</v>
      </c>
      <c r="P381" s="401">
        <f>'Lab test'!N380</f>
        <v>190</v>
      </c>
      <c r="Q381" s="401">
        <f>'Lab test'!M380</f>
        <v>7.916666666666667</v>
      </c>
      <c r="R381">
        <f>IF('Lab test'!O380&gt;0,'Lab test'!O380,NA())</f>
        <v>5500</v>
      </c>
      <c r="S381">
        <f>'Lab test'!Q380</f>
        <v>24</v>
      </c>
      <c r="T381" s="401">
        <f>IF('Lab test'!P380&gt;0,'Lab test'!P380,NA())</f>
        <v>5.908856835661175</v>
      </c>
      <c r="U381" s="401">
        <f>'Lab test'!AZ380</f>
        <v>1977</v>
      </c>
      <c r="V381">
        <f>IF('Lab test'!AQ380&gt;0,'Lab test'!AQ380,NA())</f>
        <v>0.22488032531694971</v>
      </c>
      <c r="W381">
        <f>IF('Lab test'!AU380&gt;0,'Lab test'!AU380,NA())</f>
        <v>0.97297777150801645</v>
      </c>
      <c r="X381">
        <f>IF('Lab test'!AT380&gt;0,'Lab test'!AT380,NA())</f>
        <v>4.9204615254720849E-2</v>
      </c>
      <c r="Y381">
        <f t="shared" si="81"/>
        <v>1</v>
      </c>
      <c r="Z381" t="str">
        <f>'Lab test'!AC380</f>
        <v>CLTW</v>
      </c>
      <c r="AA381" t="str">
        <f>'Lab test'!T380</f>
        <v>Steel</v>
      </c>
      <c r="AC381" t="e">
        <f t="shared" si="82"/>
        <v>#N/A</v>
      </c>
      <c r="AD381" t="e">
        <f t="shared" si="83"/>
        <v>#N/A</v>
      </c>
      <c r="AE381" t="e">
        <f t="shared" si="84"/>
        <v>#N/A</v>
      </c>
      <c r="AF381" t="e">
        <f t="shared" si="85"/>
        <v>#N/A</v>
      </c>
      <c r="AG381" t="e">
        <f t="shared" si="86"/>
        <v>#N/A</v>
      </c>
      <c r="AH381">
        <f t="shared" si="87"/>
        <v>0.97297777150801645</v>
      </c>
      <c r="AI381" t="e">
        <f t="shared" si="88"/>
        <v>#N/A</v>
      </c>
      <c r="AK381" t="e">
        <f t="shared" si="89"/>
        <v>#N/A</v>
      </c>
      <c r="AL381" t="e">
        <f t="shared" si="90"/>
        <v>#N/A</v>
      </c>
      <c r="AM381" t="e">
        <f t="shared" si="91"/>
        <v>#N/A</v>
      </c>
      <c r="AN381" t="e">
        <f t="shared" si="92"/>
        <v>#N/A</v>
      </c>
      <c r="AO381" t="e">
        <f t="shared" si="93"/>
        <v>#N/A</v>
      </c>
      <c r="AP381">
        <f t="shared" si="94"/>
        <v>4.9204615254720849E-2</v>
      </c>
      <c r="AQ381" t="e">
        <f t="shared" si="95"/>
        <v>#N/A</v>
      </c>
    </row>
    <row r="382" spans="15:43">
      <c r="O382">
        <v>378</v>
      </c>
      <c r="P382" s="401">
        <f>'Lab test'!N381</f>
        <v>190</v>
      </c>
      <c r="Q382" s="401">
        <f>'Lab test'!M381</f>
        <v>7.916666666666667</v>
      </c>
      <c r="R382">
        <f>IF('Lab test'!O381&gt;0,'Lab test'!O381,NA())</f>
        <v>7600</v>
      </c>
      <c r="S382">
        <f>'Lab test'!Q381</f>
        <v>24</v>
      </c>
      <c r="T382" s="401">
        <f>IF('Lab test'!P381&gt;0,'Lab test'!P381,NA())</f>
        <v>8.1649658092772608</v>
      </c>
      <c r="U382" s="401">
        <f>'Lab test'!AZ381</f>
        <v>1977</v>
      </c>
      <c r="V382">
        <f>IF('Lab test'!AQ381&gt;0,'Lab test'!AQ381,NA())</f>
        <v>0.23974092335795624</v>
      </c>
      <c r="W382">
        <f>IF('Lab test'!AU381&gt;0,'Lab test'!AU381,NA())</f>
        <v>0.77982887538641377</v>
      </c>
      <c r="X382">
        <f>IF('Lab test'!AT381&gt;0,'Lab test'!AT381,NA())</f>
        <v>4.4821218550648606E-2</v>
      </c>
      <c r="Y382">
        <f t="shared" si="81"/>
        <v>1</v>
      </c>
      <c r="Z382" t="str">
        <f>'Lab test'!AC381</f>
        <v>CLTW</v>
      </c>
      <c r="AA382" t="str">
        <f>'Lab test'!T381</f>
        <v>Steel</v>
      </c>
      <c r="AC382" t="e">
        <f t="shared" si="82"/>
        <v>#N/A</v>
      </c>
      <c r="AD382" t="e">
        <f t="shared" si="83"/>
        <v>#N/A</v>
      </c>
      <c r="AE382" t="e">
        <f t="shared" si="84"/>
        <v>#N/A</v>
      </c>
      <c r="AF382" t="e">
        <f t="shared" si="85"/>
        <v>#N/A</v>
      </c>
      <c r="AG382" t="e">
        <f t="shared" si="86"/>
        <v>#N/A</v>
      </c>
      <c r="AH382">
        <f t="shared" si="87"/>
        <v>0.77982887538641377</v>
      </c>
      <c r="AI382" t="e">
        <f t="shared" si="88"/>
        <v>#N/A</v>
      </c>
      <c r="AK382" t="e">
        <f t="shared" si="89"/>
        <v>#N/A</v>
      </c>
      <c r="AL382" t="e">
        <f t="shared" si="90"/>
        <v>#N/A</v>
      </c>
      <c r="AM382" t="e">
        <f t="shared" si="91"/>
        <v>#N/A</v>
      </c>
      <c r="AN382" t="e">
        <f t="shared" si="92"/>
        <v>#N/A</v>
      </c>
      <c r="AO382" t="e">
        <f t="shared" si="93"/>
        <v>#N/A</v>
      </c>
      <c r="AP382">
        <f t="shared" si="94"/>
        <v>4.4821218550648606E-2</v>
      </c>
      <c r="AQ382" t="e">
        <f t="shared" si="95"/>
        <v>#N/A</v>
      </c>
    </row>
    <row r="383" spans="15:43">
      <c r="O383">
        <v>379</v>
      </c>
      <c r="P383" s="401">
        <f>'Lab test'!N382</f>
        <v>190</v>
      </c>
      <c r="Q383" s="401">
        <f>'Lab test'!M382</f>
        <v>7.916666666666667</v>
      </c>
      <c r="R383">
        <f>IF('Lab test'!O382&gt;0,'Lab test'!O382,NA())</f>
        <v>7600</v>
      </c>
      <c r="S383">
        <f>'Lab test'!Q382</f>
        <v>24</v>
      </c>
      <c r="T383" s="401">
        <f>IF('Lab test'!P382&gt;0,'Lab test'!P382,NA())</f>
        <v>8.1649658092772608</v>
      </c>
      <c r="U383" s="401">
        <f>'Lab test'!AZ382</f>
        <v>1977</v>
      </c>
      <c r="V383">
        <f>IF('Lab test'!AQ382&gt;0,'Lab test'!AQ382,NA())</f>
        <v>0.23974092335795624</v>
      </c>
      <c r="W383">
        <f>IF('Lab test'!AU382&gt;0,'Lab test'!AU382,NA())</f>
        <v>0.7887608360736591</v>
      </c>
      <c r="X383">
        <f>IF('Lab test'!AT382&gt;0,'Lab test'!AT382,NA())</f>
        <v>4.5334589335810221E-2</v>
      </c>
      <c r="Y383">
        <f t="shared" si="81"/>
        <v>1</v>
      </c>
      <c r="Z383" t="str">
        <f>'Lab test'!AC382</f>
        <v>CLTW</v>
      </c>
      <c r="AA383" t="str">
        <f>'Lab test'!T382</f>
        <v>Steel</v>
      </c>
      <c r="AC383" t="e">
        <f t="shared" si="82"/>
        <v>#N/A</v>
      </c>
      <c r="AD383" t="e">
        <f t="shared" si="83"/>
        <v>#N/A</v>
      </c>
      <c r="AE383" t="e">
        <f t="shared" si="84"/>
        <v>#N/A</v>
      </c>
      <c r="AF383" t="e">
        <f t="shared" si="85"/>
        <v>#N/A</v>
      </c>
      <c r="AG383" t="e">
        <f t="shared" si="86"/>
        <v>#N/A</v>
      </c>
      <c r="AH383">
        <f t="shared" si="87"/>
        <v>0.7887608360736591</v>
      </c>
      <c r="AI383" t="e">
        <f t="shared" si="88"/>
        <v>#N/A</v>
      </c>
      <c r="AK383" t="e">
        <f t="shared" si="89"/>
        <v>#N/A</v>
      </c>
      <c r="AL383" t="e">
        <f t="shared" si="90"/>
        <v>#N/A</v>
      </c>
      <c r="AM383" t="e">
        <f t="shared" si="91"/>
        <v>#N/A</v>
      </c>
      <c r="AN383" t="e">
        <f t="shared" si="92"/>
        <v>#N/A</v>
      </c>
      <c r="AO383" t="e">
        <f t="shared" si="93"/>
        <v>#N/A</v>
      </c>
      <c r="AP383">
        <f t="shared" si="94"/>
        <v>4.5334589335810221E-2</v>
      </c>
      <c r="AQ383" t="e">
        <f t="shared" si="95"/>
        <v>#N/A</v>
      </c>
    </row>
    <row r="384" spans="15:43">
      <c r="O384">
        <v>380</v>
      </c>
      <c r="P384" s="401">
        <f>'Lab test'!N383</f>
        <v>280</v>
      </c>
      <c r="Q384" s="401">
        <f>'Lab test'!M383</f>
        <v>8</v>
      </c>
      <c r="R384">
        <f>IF('Lab test'!O383&gt;0,'Lab test'!O383,NA())</f>
        <v>7600</v>
      </c>
      <c r="S384">
        <f>'Lab test'!Q383</f>
        <v>35</v>
      </c>
      <c r="T384" s="401">
        <f>IF('Lab test'!P383&gt;0,'Lab test'!P383,NA())</f>
        <v>4.5879802399548035</v>
      </c>
      <c r="U384" s="401">
        <f>'Lab test'!AZ383</f>
        <v>1977</v>
      </c>
      <c r="V384">
        <f>IF('Lab test'!AQ383&gt;0,'Lab test'!AQ383,NA())</f>
        <v>0.28951467015495597</v>
      </c>
      <c r="W384">
        <f>IF('Lab test'!AU383&gt;0,'Lab test'!AU383,NA())</f>
        <v>0.98341477620702389</v>
      </c>
      <c r="X384">
        <f>IF('Lab test'!AT383&gt;0,'Lab test'!AT383,NA())</f>
        <v>8.2428591603750365E-2</v>
      </c>
      <c r="Y384">
        <f t="shared" si="81"/>
        <v>1</v>
      </c>
      <c r="Z384" t="str">
        <f>'Lab test'!AC383</f>
        <v>CLTW</v>
      </c>
      <c r="AA384" t="str">
        <f>'Lab test'!T383</f>
        <v>Steel</v>
      </c>
      <c r="AC384" t="e">
        <f t="shared" si="82"/>
        <v>#N/A</v>
      </c>
      <c r="AD384" t="e">
        <f t="shared" si="83"/>
        <v>#N/A</v>
      </c>
      <c r="AE384" t="e">
        <f t="shared" si="84"/>
        <v>#N/A</v>
      </c>
      <c r="AF384" t="e">
        <f t="shared" si="85"/>
        <v>#N/A</v>
      </c>
      <c r="AG384" t="e">
        <f t="shared" si="86"/>
        <v>#N/A</v>
      </c>
      <c r="AH384">
        <f t="shared" si="87"/>
        <v>0.98341477620702389</v>
      </c>
      <c r="AI384" t="e">
        <f t="shared" si="88"/>
        <v>#N/A</v>
      </c>
      <c r="AK384" t="e">
        <f t="shared" si="89"/>
        <v>#N/A</v>
      </c>
      <c r="AL384" t="e">
        <f t="shared" si="90"/>
        <v>#N/A</v>
      </c>
      <c r="AM384" t="e">
        <f t="shared" si="91"/>
        <v>#N/A</v>
      </c>
      <c r="AN384" t="e">
        <f t="shared" si="92"/>
        <v>#N/A</v>
      </c>
      <c r="AO384" t="e">
        <f t="shared" si="93"/>
        <v>#N/A</v>
      </c>
      <c r="AP384">
        <f t="shared" si="94"/>
        <v>8.2428591603750365E-2</v>
      </c>
      <c r="AQ384" t="e">
        <f t="shared" si="95"/>
        <v>#N/A</v>
      </c>
    </row>
    <row r="385" spans="15:43">
      <c r="O385">
        <v>381</v>
      </c>
      <c r="P385" s="401">
        <f>'Lab test'!N384</f>
        <v>280</v>
      </c>
      <c r="Q385" s="401">
        <f>'Lab test'!M384</f>
        <v>8</v>
      </c>
      <c r="R385">
        <f>IF('Lab test'!O384&gt;0,'Lab test'!O384,NA())</f>
        <v>7600</v>
      </c>
      <c r="S385">
        <f>'Lab test'!Q384</f>
        <v>35</v>
      </c>
      <c r="T385" s="401">
        <f>IF('Lab test'!P384&gt;0,'Lab test'!P384,NA())</f>
        <v>4.5879802399548035</v>
      </c>
      <c r="U385" s="401">
        <f>'Lab test'!AZ384</f>
        <v>1977</v>
      </c>
      <c r="V385">
        <f>IF('Lab test'!AQ384&gt;0,'Lab test'!AQ384,NA())</f>
        <v>0.28951467015495597</v>
      </c>
      <c r="W385">
        <f>IF('Lab test'!AU384&gt;0,'Lab test'!AU384,NA())</f>
        <v>0.94858117751894955</v>
      </c>
      <c r="X385">
        <f>IF('Lab test'!AT384&gt;0,'Lab test'!AT384,NA())</f>
        <v>7.9508883104532371E-2</v>
      </c>
      <c r="Y385">
        <f t="shared" si="81"/>
        <v>1</v>
      </c>
      <c r="Z385" t="str">
        <f>'Lab test'!AC384</f>
        <v>CLTW</v>
      </c>
      <c r="AA385" t="str">
        <f>'Lab test'!T384</f>
        <v>Steel</v>
      </c>
      <c r="AC385" t="e">
        <f t="shared" si="82"/>
        <v>#N/A</v>
      </c>
      <c r="AD385" t="e">
        <f t="shared" si="83"/>
        <v>#N/A</v>
      </c>
      <c r="AE385" t="e">
        <f t="shared" si="84"/>
        <v>#N/A</v>
      </c>
      <c r="AF385" t="e">
        <f t="shared" si="85"/>
        <v>#N/A</v>
      </c>
      <c r="AG385" t="e">
        <f t="shared" si="86"/>
        <v>#N/A</v>
      </c>
      <c r="AH385">
        <f t="shared" si="87"/>
        <v>0.94858117751894955</v>
      </c>
      <c r="AI385" t="e">
        <f t="shared" si="88"/>
        <v>#N/A</v>
      </c>
      <c r="AK385" t="e">
        <f t="shared" si="89"/>
        <v>#N/A</v>
      </c>
      <c r="AL385" t="e">
        <f t="shared" si="90"/>
        <v>#N/A</v>
      </c>
      <c r="AM385" t="e">
        <f t="shared" si="91"/>
        <v>#N/A</v>
      </c>
      <c r="AN385" t="e">
        <f t="shared" si="92"/>
        <v>#N/A</v>
      </c>
      <c r="AO385" t="e">
        <f t="shared" si="93"/>
        <v>#N/A</v>
      </c>
      <c r="AP385">
        <f t="shared" si="94"/>
        <v>7.9508883104532371E-2</v>
      </c>
      <c r="AQ385" t="e">
        <f t="shared" si="95"/>
        <v>#N/A</v>
      </c>
    </row>
    <row r="386" spans="15:43">
      <c r="O386">
        <v>382</v>
      </c>
      <c r="P386" s="401">
        <f>'Lab test'!N385</f>
        <v>190</v>
      </c>
      <c r="Q386" s="401">
        <f>'Lab test'!M385</f>
        <v>7.916666666666667</v>
      </c>
      <c r="R386">
        <f>IF('Lab test'!O385&gt;0,'Lab test'!O385,NA())</f>
        <v>11000</v>
      </c>
      <c r="S386">
        <f>'Lab test'!Q385</f>
        <v>24</v>
      </c>
      <c r="T386" s="401">
        <f>IF('Lab test'!P385&gt;0,'Lab test'!P385,NA())</f>
        <v>11.81771367132235</v>
      </c>
      <c r="U386" s="401">
        <f>'Lab test'!AZ385</f>
        <v>1977</v>
      </c>
      <c r="V386">
        <f>IF('Lab test'!AQ385&gt;0,'Lab test'!AQ385,NA())</f>
        <v>0.23974092335795624</v>
      </c>
      <c r="W386">
        <f>IF('Lab test'!AU385&gt;0,'Lab test'!AU385,NA())</f>
        <v>0.75990373231486663</v>
      </c>
      <c r="X386">
        <f>IF('Lab test'!AT385&gt;0,'Lab test'!AT385,NA())</f>
        <v>4.3676006799134234E-2</v>
      </c>
      <c r="Y386">
        <f t="shared" si="81"/>
        <v>1</v>
      </c>
      <c r="Z386" t="str">
        <f>'Lab test'!AC385</f>
        <v>CLTW</v>
      </c>
      <c r="AA386" t="str">
        <f>'Lab test'!T385</f>
        <v>Steel</v>
      </c>
      <c r="AC386" t="e">
        <f t="shared" si="82"/>
        <v>#N/A</v>
      </c>
      <c r="AD386" t="e">
        <f t="shared" si="83"/>
        <v>#N/A</v>
      </c>
      <c r="AE386" t="e">
        <f t="shared" si="84"/>
        <v>#N/A</v>
      </c>
      <c r="AF386" t="e">
        <f t="shared" si="85"/>
        <v>#N/A</v>
      </c>
      <c r="AG386" t="e">
        <f t="shared" si="86"/>
        <v>#N/A</v>
      </c>
      <c r="AH386">
        <f t="shared" si="87"/>
        <v>0.75990373231486663</v>
      </c>
      <c r="AI386" t="e">
        <f t="shared" si="88"/>
        <v>#N/A</v>
      </c>
      <c r="AK386" t="e">
        <f t="shared" si="89"/>
        <v>#N/A</v>
      </c>
      <c r="AL386" t="e">
        <f t="shared" si="90"/>
        <v>#N/A</v>
      </c>
      <c r="AM386" t="e">
        <f t="shared" si="91"/>
        <v>#N/A</v>
      </c>
      <c r="AN386" t="e">
        <f t="shared" si="92"/>
        <v>#N/A</v>
      </c>
      <c r="AO386" t="e">
        <f t="shared" si="93"/>
        <v>#N/A</v>
      </c>
      <c r="AP386">
        <f t="shared" si="94"/>
        <v>4.3676006799134234E-2</v>
      </c>
      <c r="AQ386" t="e">
        <f t="shared" si="95"/>
        <v>#N/A</v>
      </c>
    </row>
    <row r="387" spans="15:43">
      <c r="O387">
        <v>383</v>
      </c>
      <c r="P387" s="401">
        <f>'Lab test'!N386</f>
        <v>190</v>
      </c>
      <c r="Q387" s="401">
        <f>'Lab test'!M386</f>
        <v>7.916666666666667</v>
      </c>
      <c r="R387">
        <f>IF('Lab test'!O386&gt;0,'Lab test'!O386,NA())</f>
        <v>11000</v>
      </c>
      <c r="S387">
        <f>'Lab test'!Q386</f>
        <v>24</v>
      </c>
      <c r="T387" s="401">
        <f>IF('Lab test'!P386&gt;0,'Lab test'!P386,NA())</f>
        <v>11.81771367132235</v>
      </c>
      <c r="U387" s="401">
        <f>'Lab test'!AZ386</f>
        <v>1977</v>
      </c>
      <c r="V387">
        <f>IF('Lab test'!AQ386&gt;0,'Lab test'!AQ386,NA())</f>
        <v>0.22488032531694971</v>
      </c>
      <c r="W387">
        <f>IF('Lab test'!AU386&gt;0,'Lab test'!AU386,NA())</f>
        <v>0.92417270672531104</v>
      </c>
      <c r="X387">
        <f>IF('Lab test'!AT386&gt;0,'Lab test'!AT386,NA())</f>
        <v>4.6736486479905401E-2</v>
      </c>
      <c r="Y387">
        <f t="shared" si="81"/>
        <v>1</v>
      </c>
      <c r="Z387" t="str">
        <f>'Lab test'!AC386</f>
        <v>CLTW</v>
      </c>
      <c r="AA387" t="str">
        <f>'Lab test'!T386</f>
        <v>Steel</v>
      </c>
      <c r="AC387" t="e">
        <f t="shared" si="82"/>
        <v>#N/A</v>
      </c>
      <c r="AD387" t="e">
        <f t="shared" si="83"/>
        <v>#N/A</v>
      </c>
      <c r="AE387" t="e">
        <f t="shared" si="84"/>
        <v>#N/A</v>
      </c>
      <c r="AF387" t="e">
        <f t="shared" si="85"/>
        <v>#N/A</v>
      </c>
      <c r="AG387" t="e">
        <f t="shared" si="86"/>
        <v>#N/A</v>
      </c>
      <c r="AH387">
        <f t="shared" si="87"/>
        <v>0.92417270672531104</v>
      </c>
      <c r="AI387" t="e">
        <f t="shared" si="88"/>
        <v>#N/A</v>
      </c>
      <c r="AK387" t="e">
        <f t="shared" si="89"/>
        <v>#N/A</v>
      </c>
      <c r="AL387" t="e">
        <f t="shared" si="90"/>
        <v>#N/A</v>
      </c>
      <c r="AM387" t="e">
        <f t="shared" si="91"/>
        <v>#N/A</v>
      </c>
      <c r="AN387" t="e">
        <f t="shared" si="92"/>
        <v>#N/A</v>
      </c>
      <c r="AO387" t="e">
        <f t="shared" si="93"/>
        <v>#N/A</v>
      </c>
      <c r="AP387">
        <f t="shared" si="94"/>
        <v>4.6736486479905401E-2</v>
      </c>
      <c r="AQ387" t="e">
        <f t="shared" si="95"/>
        <v>#N/A</v>
      </c>
    </row>
    <row r="388" spans="15:43">
      <c r="O388">
        <v>384</v>
      </c>
      <c r="P388" s="401">
        <f>'Lab test'!N387</f>
        <v>280</v>
      </c>
      <c r="Q388" s="401">
        <f>'Lab test'!M387</f>
        <v>8</v>
      </c>
      <c r="R388">
        <f>IF('Lab test'!O387&gt;0,'Lab test'!O387,NA())</f>
        <v>11000</v>
      </c>
      <c r="S388">
        <f>'Lab test'!Q387</f>
        <v>35</v>
      </c>
      <c r="T388" s="401">
        <f>IF('Lab test'!P387&gt;0,'Lab test'!P387,NA())</f>
        <v>6.6404977157240586</v>
      </c>
      <c r="U388" s="401">
        <f>'Lab test'!AZ387</f>
        <v>1977</v>
      </c>
      <c r="V388">
        <f>IF('Lab test'!AQ387&gt;0,'Lab test'!AQ387,NA())</f>
        <v>0.28951467015495597</v>
      </c>
      <c r="W388">
        <f>IF('Lab test'!AU387&gt;0,'Lab test'!AU387,NA())</f>
        <v>0.96495988948486533</v>
      </c>
      <c r="X388">
        <f>IF('Lab test'!AT387&gt;0,'Lab test'!AT387,NA())</f>
        <v>8.0881726173701096E-2</v>
      </c>
      <c r="Y388">
        <f t="shared" si="81"/>
        <v>1</v>
      </c>
      <c r="Z388" t="str">
        <f>'Lab test'!AC387</f>
        <v>CLTW</v>
      </c>
      <c r="AA388" t="str">
        <f>'Lab test'!T387</f>
        <v>Steel</v>
      </c>
      <c r="AC388" t="e">
        <f t="shared" si="82"/>
        <v>#N/A</v>
      </c>
      <c r="AD388" t="e">
        <f t="shared" si="83"/>
        <v>#N/A</v>
      </c>
      <c r="AE388" t="e">
        <f t="shared" si="84"/>
        <v>#N/A</v>
      </c>
      <c r="AF388" t="e">
        <f t="shared" si="85"/>
        <v>#N/A</v>
      </c>
      <c r="AG388" t="e">
        <f t="shared" si="86"/>
        <v>#N/A</v>
      </c>
      <c r="AH388">
        <f t="shared" si="87"/>
        <v>0.96495988948486533</v>
      </c>
      <c r="AI388" t="e">
        <f t="shared" si="88"/>
        <v>#N/A</v>
      </c>
      <c r="AK388" t="e">
        <f t="shared" si="89"/>
        <v>#N/A</v>
      </c>
      <c r="AL388" t="e">
        <f t="shared" si="90"/>
        <v>#N/A</v>
      </c>
      <c r="AM388" t="e">
        <f t="shared" si="91"/>
        <v>#N/A</v>
      </c>
      <c r="AN388" t="e">
        <f t="shared" si="92"/>
        <v>#N/A</v>
      </c>
      <c r="AO388" t="e">
        <f t="shared" si="93"/>
        <v>#N/A</v>
      </c>
      <c r="AP388">
        <f t="shared" si="94"/>
        <v>8.0881726173701096E-2</v>
      </c>
      <c r="AQ388" t="e">
        <f t="shared" si="95"/>
        <v>#N/A</v>
      </c>
    </row>
    <row r="389" spans="15:43">
      <c r="O389">
        <v>385</v>
      </c>
      <c r="P389" s="401">
        <f>'Lab test'!N388</f>
        <v>280</v>
      </c>
      <c r="Q389" s="401">
        <f>'Lab test'!M388</f>
        <v>8</v>
      </c>
      <c r="R389">
        <f>IF('Lab test'!O388&gt;0,'Lab test'!O388,NA())</f>
        <v>11000</v>
      </c>
      <c r="S389">
        <f>'Lab test'!Q388</f>
        <v>35</v>
      </c>
      <c r="T389" s="401">
        <f>IF('Lab test'!P388&gt;0,'Lab test'!P388,NA())</f>
        <v>6.6404977157240586</v>
      </c>
      <c r="U389" s="401">
        <f>'Lab test'!AZ388</f>
        <v>1977</v>
      </c>
      <c r="V389">
        <f>IF('Lab test'!AQ388&gt;0,'Lab test'!AQ388,NA())</f>
        <v>0.28951467015495597</v>
      </c>
      <c r="W389">
        <f>IF('Lab test'!AU388&gt;0,'Lab test'!AU388,NA())</f>
        <v>0.94442882800646388</v>
      </c>
      <c r="X389">
        <f>IF('Lab test'!AT388&gt;0,'Lab test'!AT388,NA())</f>
        <v>7.9160838382771284E-2</v>
      </c>
      <c r="Y389">
        <f t="shared" si="81"/>
        <v>1</v>
      </c>
      <c r="Z389" t="str">
        <f>'Lab test'!AC388</f>
        <v>CLTW</v>
      </c>
      <c r="AA389" t="str">
        <f>'Lab test'!T388</f>
        <v>Steel</v>
      </c>
      <c r="AC389" t="e">
        <f t="shared" si="82"/>
        <v>#N/A</v>
      </c>
      <c r="AD389" t="e">
        <f t="shared" si="83"/>
        <v>#N/A</v>
      </c>
      <c r="AE389" t="e">
        <f t="shared" si="84"/>
        <v>#N/A</v>
      </c>
      <c r="AF389" t="e">
        <f t="shared" si="85"/>
        <v>#N/A</v>
      </c>
      <c r="AG389" t="e">
        <f t="shared" si="86"/>
        <v>#N/A</v>
      </c>
      <c r="AH389">
        <f t="shared" si="87"/>
        <v>0.94442882800646388</v>
      </c>
      <c r="AI389" t="e">
        <f t="shared" si="88"/>
        <v>#N/A</v>
      </c>
      <c r="AK389" t="e">
        <f t="shared" si="89"/>
        <v>#N/A</v>
      </c>
      <c r="AL389" t="e">
        <f t="shared" si="90"/>
        <v>#N/A</v>
      </c>
      <c r="AM389" t="e">
        <f t="shared" si="91"/>
        <v>#N/A</v>
      </c>
      <c r="AN389" t="e">
        <f t="shared" si="92"/>
        <v>#N/A</v>
      </c>
      <c r="AO389" t="e">
        <f t="shared" si="93"/>
        <v>#N/A</v>
      </c>
      <c r="AP389">
        <f t="shared" si="94"/>
        <v>7.9160838382771284E-2</v>
      </c>
      <c r="AQ389" t="e">
        <f t="shared" si="95"/>
        <v>#N/A</v>
      </c>
    </row>
    <row r="390" spans="15:43">
      <c r="O390">
        <v>386</v>
      </c>
      <c r="P390" s="401">
        <f>'Lab test'!N389</f>
        <v>190.69049999999999</v>
      </c>
      <c r="Q390" s="401">
        <f>'Lab test'!M389</f>
        <v>0.38100000000000001</v>
      </c>
      <c r="R390">
        <f>IF('Lab test'!O389&gt;0,'Lab test'!O389,NA())</f>
        <v>202.86349999999999</v>
      </c>
      <c r="S390">
        <f>'Lab test'!Q389</f>
        <v>500</v>
      </c>
      <c r="T390" s="401">
        <f>IF('Lab test'!P389&gt;0,'Lab test'!P389,NA())</f>
        <v>4.755244103193778E-2</v>
      </c>
      <c r="U390" s="401">
        <f>'Lab test'!AZ389</f>
        <v>1977</v>
      </c>
      <c r="V390">
        <f>IF('Lab test'!AQ389&gt;0,'Lab test'!AQ389,NA())</f>
        <v>0.91096260846253096</v>
      </c>
      <c r="W390">
        <f>IF('Lab test'!AU389&gt;0,'Lab test'!AU389,NA())</f>
        <v>0.47700358046184671</v>
      </c>
      <c r="X390">
        <f>IF('Lab test'!AT389&gt;0,'Lab test'!AT389,NA())</f>
        <v>0.39584279216259538</v>
      </c>
      <c r="Y390">
        <f t="shared" ref="Y390:Y453" si="96">IF(OR(ISNUMBER(W390),ISNUMBER(X390)),1,NA())</f>
        <v>1</v>
      </c>
      <c r="Z390" t="str">
        <f>'Lab test'!AC389</f>
        <v>LTWa</v>
      </c>
      <c r="AA390" t="str">
        <f>'Lab test'!T389</f>
        <v>Steel</v>
      </c>
      <c r="AC390">
        <f t="shared" ref="AC390:AC453" si="97">IF(EXACT($AC$4,Z390),W390,NA())</f>
        <v>0.47700358046184671</v>
      </c>
      <c r="AD390" t="e">
        <f t="shared" ref="AD390:AD453" si="98">IF(EXACT($AD$4,Z390),W390,NA())</f>
        <v>#N/A</v>
      </c>
      <c r="AE390" t="e">
        <f t="shared" ref="AE390:AE453" si="99">IF(EXACT($AE$4,Z390),W390,NA())</f>
        <v>#N/A</v>
      </c>
      <c r="AF390" t="e">
        <f t="shared" ref="AF390:AF453" si="100">IF(EXACT($AF$4,Z390),W390,NA())</f>
        <v>#N/A</v>
      </c>
      <c r="AG390" t="e">
        <f t="shared" ref="AG390:AG453" si="101">IF(EXACT($AG$4,Z390),W390,NA())</f>
        <v>#N/A</v>
      </c>
      <c r="AH390" t="e">
        <f t="shared" ref="AH390:AH453" si="102">IF(EXACT($AH$4,Z390),W390,NA())</f>
        <v>#N/A</v>
      </c>
      <c r="AI390" t="e">
        <f t="shared" ref="AI390:AI453" si="103">IF(EXACT($AI$4,Z390),W390,NA())</f>
        <v>#N/A</v>
      </c>
      <c r="AK390">
        <f t="shared" ref="AK390:AK453" si="104">IF(EXACT($AK$4,Z390),X390,NA())</f>
        <v>0.39584279216259538</v>
      </c>
      <c r="AL390" t="e">
        <f t="shared" ref="AL390:AL453" si="105">IF(EXACT($AL$4,Z390),X390,NA())</f>
        <v>#N/A</v>
      </c>
      <c r="AM390" t="e">
        <f t="shared" ref="AM390:AM453" si="106">IF(EXACT($AM$4,Z390),X390,NA())</f>
        <v>#N/A</v>
      </c>
      <c r="AN390" t="e">
        <f t="shared" ref="AN390:AN453" si="107">IF(EXACT($AN$4,Z390),X390,NA())</f>
        <v>#N/A</v>
      </c>
      <c r="AO390" t="e">
        <f t="shared" ref="AO390:AO453" si="108">IF(EXACT($AO$4,Z390),X390,NA())</f>
        <v>#N/A</v>
      </c>
      <c r="AP390" t="e">
        <f t="shared" ref="AP390:AP453" si="109">IF(EXACT($AP$4,Z390),X390,NA())</f>
        <v>#N/A</v>
      </c>
      <c r="AQ390" t="e">
        <f t="shared" ref="AQ390:AQ453" si="110">IF(EXACT($AQ$4,Z390),X390,NA())</f>
        <v>#N/A</v>
      </c>
    </row>
    <row r="391" spans="15:43">
      <c r="O391">
        <v>387</v>
      </c>
      <c r="P391" s="401">
        <f>'Lab test'!N390</f>
        <v>190.69049999999999</v>
      </c>
      <c r="Q391" s="401">
        <f>'Lab test'!M390</f>
        <v>0.38100000000000001</v>
      </c>
      <c r="R391">
        <f>IF('Lab test'!O390&gt;0,'Lab test'!O390,NA())</f>
        <v>177.29249999999999</v>
      </c>
      <c r="S391">
        <f>'Lab test'!Q390</f>
        <v>500</v>
      </c>
      <c r="T391" s="401">
        <f>IF('Lab test'!P390&gt;0,'Lab test'!P390,NA())</f>
        <v>4.1558442754141722E-2</v>
      </c>
      <c r="U391" s="401">
        <f>'Lab test'!AZ390</f>
        <v>1977</v>
      </c>
      <c r="V391">
        <f>IF('Lab test'!AQ390&gt;0,'Lab test'!AQ390,NA())</f>
        <v>0.91096260846253096</v>
      </c>
      <c r="W391">
        <f>IF('Lab test'!AU390&gt;0,'Lab test'!AU390,NA())</f>
        <v>0.41707321880235193</v>
      </c>
      <c r="X391">
        <f>IF('Lab test'!AT390&gt;0,'Lab test'!AT390,NA())</f>
        <v>0.34610940929859391</v>
      </c>
      <c r="Y391">
        <f t="shared" si="96"/>
        <v>1</v>
      </c>
      <c r="Z391" t="str">
        <f>'Lab test'!AC390</f>
        <v>LTWa</v>
      </c>
      <c r="AA391" t="str">
        <f>'Lab test'!T390</f>
        <v>Steel</v>
      </c>
      <c r="AC391">
        <f t="shared" si="97"/>
        <v>0.41707321880235193</v>
      </c>
      <c r="AD391" t="e">
        <f t="shared" si="98"/>
        <v>#N/A</v>
      </c>
      <c r="AE391" t="e">
        <f t="shared" si="99"/>
        <v>#N/A</v>
      </c>
      <c r="AF391" t="e">
        <f t="shared" si="100"/>
        <v>#N/A</v>
      </c>
      <c r="AG391" t="e">
        <f t="shared" si="101"/>
        <v>#N/A</v>
      </c>
      <c r="AH391" t="e">
        <f t="shared" si="102"/>
        <v>#N/A</v>
      </c>
      <c r="AI391" t="e">
        <f t="shared" si="103"/>
        <v>#N/A</v>
      </c>
      <c r="AK391">
        <f t="shared" si="104"/>
        <v>0.34610940929859391</v>
      </c>
      <c r="AL391" t="e">
        <f t="shared" si="105"/>
        <v>#N/A</v>
      </c>
      <c r="AM391" t="e">
        <f t="shared" si="106"/>
        <v>#N/A</v>
      </c>
      <c r="AN391" t="e">
        <f t="shared" si="107"/>
        <v>#N/A</v>
      </c>
      <c r="AO391" t="e">
        <f t="shared" si="108"/>
        <v>#N/A</v>
      </c>
      <c r="AP391" t="e">
        <f t="shared" si="109"/>
        <v>#N/A</v>
      </c>
      <c r="AQ391" t="e">
        <f t="shared" si="110"/>
        <v>#N/A</v>
      </c>
    </row>
    <row r="392" spans="15:43">
      <c r="O392">
        <v>388</v>
      </c>
      <c r="P392" s="401">
        <f>'Lab test'!N391</f>
        <v>190.69300000000001</v>
      </c>
      <c r="Q392" s="401">
        <f>'Lab test'!M391</f>
        <v>0.38607999999999998</v>
      </c>
      <c r="R392">
        <f>IF('Lab test'!O391&gt;0,'Lab test'!O391,NA())</f>
        <v>177.61369999999999</v>
      </c>
      <c r="S392">
        <f>'Lab test'!Q391</f>
        <v>494</v>
      </c>
      <c r="T392" s="401">
        <f>IF('Lab test'!P391&gt;0,'Lab test'!P391,NA())</f>
        <v>4.1909548972044644E-2</v>
      </c>
      <c r="U392" s="401">
        <f>'Lab test'!AZ391</f>
        <v>1977</v>
      </c>
      <c r="V392">
        <f>IF('Lab test'!AQ391&gt;0,'Lab test'!AQ391,NA())</f>
        <v>0.97715251177903528</v>
      </c>
      <c r="W392">
        <f>IF('Lab test'!AU391&gt;0,'Lab test'!AU391,NA())</f>
        <v>0.50370362718279715</v>
      </c>
      <c r="X392">
        <f>IF('Lab test'!AT391&gt;0,'Lab test'!AT391,NA())</f>
        <v>0.48094983898594235</v>
      </c>
      <c r="Y392">
        <f t="shared" si="96"/>
        <v>1</v>
      </c>
      <c r="Z392" t="str">
        <f>'Lab test'!AC391</f>
        <v>LTWa</v>
      </c>
      <c r="AA392" t="str">
        <f>'Lab test'!T391</f>
        <v>Steel</v>
      </c>
      <c r="AC392">
        <f t="shared" si="97"/>
        <v>0.50370362718279715</v>
      </c>
      <c r="AD392" t="e">
        <f t="shared" si="98"/>
        <v>#N/A</v>
      </c>
      <c r="AE392" t="e">
        <f t="shared" si="99"/>
        <v>#N/A</v>
      </c>
      <c r="AF392" t="e">
        <f t="shared" si="100"/>
        <v>#N/A</v>
      </c>
      <c r="AG392" t="e">
        <f t="shared" si="101"/>
        <v>#N/A</v>
      </c>
      <c r="AH392" t="e">
        <f t="shared" si="102"/>
        <v>#N/A</v>
      </c>
      <c r="AI392" t="e">
        <f t="shared" si="103"/>
        <v>#N/A</v>
      </c>
      <c r="AK392">
        <f t="shared" si="104"/>
        <v>0.48094983898594235</v>
      </c>
      <c r="AL392" t="e">
        <f t="shared" si="105"/>
        <v>#N/A</v>
      </c>
      <c r="AM392" t="e">
        <f t="shared" si="106"/>
        <v>#N/A</v>
      </c>
      <c r="AN392" t="e">
        <f t="shared" si="107"/>
        <v>#N/A</v>
      </c>
      <c r="AO392" t="e">
        <f t="shared" si="108"/>
        <v>#N/A</v>
      </c>
      <c r="AP392" t="e">
        <f t="shared" si="109"/>
        <v>#N/A</v>
      </c>
      <c r="AQ392" t="e">
        <f t="shared" si="110"/>
        <v>#N/A</v>
      </c>
    </row>
    <row r="393" spans="15:43">
      <c r="O393">
        <v>389</v>
      </c>
      <c r="P393" s="401">
        <f>'Lab test'!N392</f>
        <v>190.8708</v>
      </c>
      <c r="Q393" s="401">
        <f>'Lab test'!M392</f>
        <v>0.74168000000000001</v>
      </c>
      <c r="R393">
        <f>IF('Lab test'!O392&gt;0,'Lab test'!O392,NA())</f>
        <v>222.49469999999999</v>
      </c>
      <c r="S393">
        <f>'Lab test'!Q392</f>
        <v>257</v>
      </c>
      <c r="T393" s="401">
        <f>IF('Lab test'!P392&gt;0,'Lab test'!P392,NA())</f>
        <v>7.2663901684747248E-2</v>
      </c>
      <c r="U393" s="401">
        <f>'Lab test'!AZ392</f>
        <v>1977</v>
      </c>
      <c r="V393">
        <f>IF('Lab test'!AQ392&gt;0,'Lab test'!AQ392,NA())</f>
        <v>0.7141188168613557</v>
      </c>
      <c r="W393">
        <f>IF('Lab test'!AU392&gt;0,'Lab test'!AU392,NA())</f>
        <v>0.66901409889285135</v>
      </c>
      <c r="X393">
        <f>IF('Lab test'!AT392&gt;0,'Lab test'!AT392,NA())</f>
        <v>0.34117423294590943</v>
      </c>
      <c r="Y393">
        <f t="shared" si="96"/>
        <v>1</v>
      </c>
      <c r="Z393" t="str">
        <f>'Lab test'!AC392</f>
        <v>LTWa</v>
      </c>
      <c r="AA393" t="str">
        <f>'Lab test'!T392</f>
        <v>Steel</v>
      </c>
      <c r="AC393">
        <f t="shared" si="97"/>
        <v>0.66901409889285135</v>
      </c>
      <c r="AD393" t="e">
        <f t="shared" si="98"/>
        <v>#N/A</v>
      </c>
      <c r="AE393" t="e">
        <f t="shared" si="99"/>
        <v>#N/A</v>
      </c>
      <c r="AF393" t="e">
        <f t="shared" si="100"/>
        <v>#N/A</v>
      </c>
      <c r="AG393" t="e">
        <f t="shared" si="101"/>
        <v>#N/A</v>
      </c>
      <c r="AH393" t="e">
        <f t="shared" si="102"/>
        <v>#N/A</v>
      </c>
      <c r="AI393" t="e">
        <f t="shared" si="103"/>
        <v>#N/A</v>
      </c>
      <c r="AK393">
        <f t="shared" si="104"/>
        <v>0.34117423294590943</v>
      </c>
      <c r="AL393" t="e">
        <f t="shared" si="105"/>
        <v>#N/A</v>
      </c>
      <c r="AM393" t="e">
        <f t="shared" si="106"/>
        <v>#N/A</v>
      </c>
      <c r="AN393" t="e">
        <f t="shared" si="107"/>
        <v>#N/A</v>
      </c>
      <c r="AO393" t="e">
        <f t="shared" si="108"/>
        <v>#N/A</v>
      </c>
      <c r="AP393" t="e">
        <f t="shared" si="109"/>
        <v>#N/A</v>
      </c>
      <c r="AQ393" t="e">
        <f t="shared" si="110"/>
        <v>#N/A</v>
      </c>
    </row>
    <row r="394" spans="15:43">
      <c r="O394">
        <v>390</v>
      </c>
      <c r="P394" s="401">
        <f>'Lab test'!N393</f>
        <v>190.87209999999999</v>
      </c>
      <c r="Q394" s="401">
        <f>'Lab test'!M393</f>
        <v>0.74421999999999999</v>
      </c>
      <c r="R394">
        <f>IF('Lab test'!O393&gt;0,'Lab test'!O393,NA())</f>
        <v>221.68430000000001</v>
      </c>
      <c r="S394">
        <f>'Lab test'!Q393</f>
        <v>256</v>
      </c>
      <c r="T394" s="401">
        <f>IF('Lab test'!P393&gt;0,'Lab test'!P393,NA())</f>
        <v>7.2522359909764259E-2</v>
      </c>
      <c r="U394" s="401">
        <f>'Lab test'!AZ393</f>
        <v>1977</v>
      </c>
      <c r="V394">
        <f>IF('Lab test'!AQ393&gt;0,'Lab test'!AQ393,NA())</f>
        <v>0.76986679333632768</v>
      </c>
      <c r="W394">
        <f>IF('Lab test'!AU393&gt;0,'Lab test'!AU393,NA())</f>
        <v>0.66352651842924859</v>
      </c>
      <c r="X394">
        <f>IF('Lab test'!AT393&gt;0,'Lab test'!AT393,NA())</f>
        <v>0.3932687698735079</v>
      </c>
      <c r="Y394">
        <f t="shared" si="96"/>
        <v>1</v>
      </c>
      <c r="Z394" t="str">
        <f>'Lab test'!AC393</f>
        <v>LTWa</v>
      </c>
      <c r="AA394" t="str">
        <f>'Lab test'!T393</f>
        <v>Steel</v>
      </c>
      <c r="AC394">
        <f t="shared" si="97"/>
        <v>0.66352651842924859</v>
      </c>
      <c r="AD394" t="e">
        <f t="shared" si="98"/>
        <v>#N/A</v>
      </c>
      <c r="AE394" t="e">
        <f t="shared" si="99"/>
        <v>#N/A</v>
      </c>
      <c r="AF394" t="e">
        <f t="shared" si="100"/>
        <v>#N/A</v>
      </c>
      <c r="AG394" t="e">
        <f t="shared" si="101"/>
        <v>#N/A</v>
      </c>
      <c r="AH394" t="e">
        <f t="shared" si="102"/>
        <v>#N/A</v>
      </c>
      <c r="AI394" t="e">
        <f t="shared" si="103"/>
        <v>#N/A</v>
      </c>
      <c r="AK394">
        <f t="shared" si="104"/>
        <v>0.3932687698735079</v>
      </c>
      <c r="AL394" t="e">
        <f t="shared" si="105"/>
        <v>#N/A</v>
      </c>
      <c r="AM394" t="e">
        <f t="shared" si="106"/>
        <v>#N/A</v>
      </c>
      <c r="AN394" t="e">
        <f t="shared" si="107"/>
        <v>#N/A</v>
      </c>
      <c r="AO394" t="e">
        <f t="shared" si="108"/>
        <v>#N/A</v>
      </c>
      <c r="AP394" t="e">
        <f t="shared" si="109"/>
        <v>#N/A</v>
      </c>
      <c r="AQ394" t="e">
        <f t="shared" si="110"/>
        <v>#N/A</v>
      </c>
    </row>
    <row r="395" spans="15:43">
      <c r="O395">
        <v>391</v>
      </c>
      <c r="P395" s="401">
        <f>'Lab test'!N394</f>
        <v>190.8937</v>
      </c>
      <c r="Q395" s="401">
        <f>'Lab test'!M394</f>
        <v>0.78739999999999999</v>
      </c>
      <c r="R395">
        <f>IF('Lab test'!O394&gt;0,'Lab test'!O394,NA())</f>
        <v>214.5515</v>
      </c>
      <c r="S395">
        <f>'Lab test'!Q394</f>
        <v>243</v>
      </c>
      <c r="T395" s="401">
        <f>IF('Lab test'!P394&gt;0,'Lab test'!P394,NA())</f>
        <v>7.2184153313249635E-2</v>
      </c>
      <c r="U395" s="401">
        <f>'Lab test'!AZ394</f>
        <v>1977</v>
      </c>
      <c r="V395">
        <f>IF('Lab test'!AQ394&gt;0,'Lab test'!AQ394,NA())</f>
        <v>1.0339664593628208</v>
      </c>
      <c r="W395">
        <f>IF('Lab test'!AU394&gt;0,'Lab test'!AU394,NA())</f>
        <v>0.57594947399032614</v>
      </c>
      <c r="X395">
        <f>IF('Lab test'!AT394&gt;0,'Lab test'!AT394,NA())</f>
        <v>0.61573988743240926</v>
      </c>
      <c r="Y395">
        <f t="shared" si="96"/>
        <v>1</v>
      </c>
      <c r="Z395" t="str">
        <f>'Lab test'!AC394</f>
        <v>LTWa</v>
      </c>
      <c r="AA395" t="str">
        <f>'Lab test'!T394</f>
        <v>Steel</v>
      </c>
      <c r="AC395">
        <f t="shared" si="97"/>
        <v>0.57594947399032614</v>
      </c>
      <c r="AD395" t="e">
        <f t="shared" si="98"/>
        <v>#N/A</v>
      </c>
      <c r="AE395" t="e">
        <f t="shared" si="99"/>
        <v>#N/A</v>
      </c>
      <c r="AF395" t="e">
        <f t="shared" si="100"/>
        <v>#N/A</v>
      </c>
      <c r="AG395" t="e">
        <f t="shared" si="101"/>
        <v>#N/A</v>
      </c>
      <c r="AH395" t="e">
        <f t="shared" si="102"/>
        <v>#N/A</v>
      </c>
      <c r="AI395" t="e">
        <f t="shared" si="103"/>
        <v>#N/A</v>
      </c>
      <c r="AK395">
        <f t="shared" si="104"/>
        <v>0.61573988743240926</v>
      </c>
      <c r="AL395" t="e">
        <f t="shared" si="105"/>
        <v>#N/A</v>
      </c>
      <c r="AM395" t="e">
        <f t="shared" si="106"/>
        <v>#N/A</v>
      </c>
      <c r="AN395" t="e">
        <f t="shared" si="107"/>
        <v>#N/A</v>
      </c>
      <c r="AO395" t="e">
        <f t="shared" si="108"/>
        <v>#N/A</v>
      </c>
      <c r="AP395" t="e">
        <f t="shared" si="109"/>
        <v>#N/A</v>
      </c>
      <c r="AQ395" t="e">
        <f t="shared" si="110"/>
        <v>#N/A</v>
      </c>
    </row>
    <row r="396" spans="15:43">
      <c r="O396">
        <v>392</v>
      </c>
      <c r="P396" s="401">
        <f>'Lab test'!N395</f>
        <v>190.75649999999999</v>
      </c>
      <c r="Q396" s="401">
        <f>'Lab test'!M395</f>
        <v>0.51307999999999998</v>
      </c>
      <c r="R396">
        <f>IF('Lab test'!O395&gt;0,'Lab test'!O395,NA())</f>
        <v>236.44499999999999</v>
      </c>
      <c r="S396">
        <f>'Lab test'!Q395</f>
        <v>372</v>
      </c>
      <c r="T396" s="401">
        <f>IF('Lab test'!P395&gt;0,'Lab test'!P395,NA())</f>
        <v>6.4284113549243321E-2</v>
      </c>
      <c r="U396" s="401">
        <f>'Lab test'!AZ395</f>
        <v>1977</v>
      </c>
      <c r="V396">
        <f>IF('Lab test'!AQ395&gt;0,'Lab test'!AQ395,NA())</f>
        <v>1.1792262274677314</v>
      </c>
      <c r="W396">
        <f>IF('Lab test'!AU395&gt;0,'Lab test'!AU395,NA())</f>
        <v>0.29304071259381648</v>
      </c>
      <c r="X396">
        <f>IF('Lab test'!AT395&gt;0,'Lab test'!AT395,NA())</f>
        <v>0.4074949410901077</v>
      </c>
      <c r="Y396">
        <f t="shared" si="96"/>
        <v>1</v>
      </c>
      <c r="Z396" t="str">
        <f>'Lab test'!AC395</f>
        <v>LTWa</v>
      </c>
      <c r="AA396" t="str">
        <f>'Lab test'!T395</f>
        <v>Steel</v>
      </c>
      <c r="AC396">
        <f t="shared" si="97"/>
        <v>0.29304071259381648</v>
      </c>
      <c r="AD396" t="e">
        <f t="shared" si="98"/>
        <v>#N/A</v>
      </c>
      <c r="AE396" t="e">
        <f t="shared" si="99"/>
        <v>#N/A</v>
      </c>
      <c r="AF396" t="e">
        <f t="shared" si="100"/>
        <v>#N/A</v>
      </c>
      <c r="AG396" t="e">
        <f t="shared" si="101"/>
        <v>#N/A</v>
      </c>
      <c r="AH396" t="e">
        <f t="shared" si="102"/>
        <v>#N/A</v>
      </c>
      <c r="AI396" t="e">
        <f t="shared" si="103"/>
        <v>#N/A</v>
      </c>
      <c r="AK396">
        <f t="shared" si="104"/>
        <v>0.4074949410901077</v>
      </c>
      <c r="AL396" t="e">
        <f t="shared" si="105"/>
        <v>#N/A</v>
      </c>
      <c r="AM396" t="e">
        <f t="shared" si="106"/>
        <v>#N/A</v>
      </c>
      <c r="AN396" t="e">
        <f t="shared" si="107"/>
        <v>#N/A</v>
      </c>
      <c r="AO396" t="e">
        <f t="shared" si="108"/>
        <v>#N/A</v>
      </c>
      <c r="AP396" t="e">
        <f t="shared" si="109"/>
        <v>#N/A</v>
      </c>
      <c r="AQ396" t="e">
        <f t="shared" si="110"/>
        <v>#N/A</v>
      </c>
    </row>
    <row r="397" spans="15:43">
      <c r="O397">
        <v>393</v>
      </c>
      <c r="P397" s="401">
        <f>'Lab test'!N396</f>
        <v>190.75649999999999</v>
      </c>
      <c r="Q397" s="401">
        <f>'Lab test'!M396</f>
        <v>0.51307999999999998</v>
      </c>
      <c r="R397">
        <f>IF('Lab test'!O396&gt;0,'Lab test'!O396,NA())</f>
        <v>236.44499999999999</v>
      </c>
      <c r="S397">
        <f>'Lab test'!Q396</f>
        <v>372</v>
      </c>
      <c r="T397" s="401">
        <f>IF('Lab test'!P396&gt;0,'Lab test'!P396,NA())</f>
        <v>6.4284113549243321E-2</v>
      </c>
      <c r="U397" s="401">
        <f>'Lab test'!AZ396</f>
        <v>1977</v>
      </c>
      <c r="V397">
        <f>IF('Lab test'!AQ396&gt;0,'Lab test'!AQ396,NA())</f>
        <v>1.1792262274677314</v>
      </c>
      <c r="W397">
        <f>IF('Lab test'!AU396&gt;0,'Lab test'!AU396,NA())</f>
        <v>0.42813907384307182</v>
      </c>
      <c r="X397">
        <f>IF('Lab test'!AT396&gt;0,'Lab test'!AT396,NA())</f>
        <v>0.59535927663362243</v>
      </c>
      <c r="Y397">
        <f t="shared" si="96"/>
        <v>1</v>
      </c>
      <c r="Z397" t="str">
        <f>'Lab test'!AC396</f>
        <v>LTWa</v>
      </c>
      <c r="AA397" t="str">
        <f>'Lab test'!T396</f>
        <v>Steel</v>
      </c>
      <c r="AC397">
        <f t="shared" si="97"/>
        <v>0.42813907384307182</v>
      </c>
      <c r="AD397" t="e">
        <f t="shared" si="98"/>
        <v>#N/A</v>
      </c>
      <c r="AE397" t="e">
        <f t="shared" si="99"/>
        <v>#N/A</v>
      </c>
      <c r="AF397" t="e">
        <f t="shared" si="100"/>
        <v>#N/A</v>
      </c>
      <c r="AG397" t="e">
        <f t="shared" si="101"/>
        <v>#N/A</v>
      </c>
      <c r="AH397" t="e">
        <f t="shared" si="102"/>
        <v>#N/A</v>
      </c>
      <c r="AI397" t="e">
        <f t="shared" si="103"/>
        <v>#N/A</v>
      </c>
      <c r="AK397">
        <f t="shared" si="104"/>
        <v>0.59535927663362243</v>
      </c>
      <c r="AL397" t="e">
        <f t="shared" si="105"/>
        <v>#N/A</v>
      </c>
      <c r="AM397" t="e">
        <f t="shared" si="106"/>
        <v>#N/A</v>
      </c>
      <c r="AN397" t="e">
        <f t="shared" si="107"/>
        <v>#N/A</v>
      </c>
      <c r="AO397" t="e">
        <f t="shared" si="108"/>
        <v>#N/A</v>
      </c>
      <c r="AP397" t="e">
        <f t="shared" si="109"/>
        <v>#N/A</v>
      </c>
      <c r="AQ397" t="e">
        <f t="shared" si="110"/>
        <v>#N/A</v>
      </c>
    </row>
    <row r="398" spans="15:43">
      <c r="O398">
        <v>394</v>
      </c>
      <c r="P398" s="401">
        <f>'Lab test'!N397</f>
        <v>385</v>
      </c>
      <c r="Q398" s="401">
        <f>'Lab test'!M397</f>
        <v>9.94</v>
      </c>
      <c r="R398">
        <f>IF('Lab test'!O397&gt;0,'Lab test'!O397,NA())</f>
        <v>2030</v>
      </c>
      <c r="S398">
        <f>'Lab test'!Q397</f>
        <v>38.732394366197184</v>
      </c>
      <c r="T398" s="401">
        <f>IF('Lab test'!P397&gt;0,'Lab test'!P397,NA())</f>
        <v>0.84722377753822842</v>
      </c>
      <c r="U398" s="401">
        <f>'Lab test'!AZ397</f>
        <v>1980</v>
      </c>
      <c r="V398">
        <f>IF('Lab test'!AQ397&gt;0,'Lab test'!AQ397,NA())</f>
        <v>0.27422137900921711</v>
      </c>
      <c r="W398">
        <f>IF('Lab test'!AU397&gt;0,'Lab test'!AU397,NA())</f>
        <v>1.056</v>
      </c>
      <c r="X398">
        <f>IF('Lab test'!AT397&gt;0,'Lab test'!AT397,NA())</f>
        <v>7.9408417129236825E-2</v>
      </c>
      <c r="Y398">
        <f t="shared" si="96"/>
        <v>1</v>
      </c>
      <c r="Z398" t="str">
        <f>'Lab test'!AC397</f>
        <v>LTWa</v>
      </c>
      <c r="AA398" t="str">
        <f>'Lab test'!T397</f>
        <v>Steel</v>
      </c>
      <c r="AC398">
        <f t="shared" si="97"/>
        <v>1.056</v>
      </c>
      <c r="AD398" t="e">
        <f t="shared" si="98"/>
        <v>#N/A</v>
      </c>
      <c r="AE398" t="e">
        <f t="shared" si="99"/>
        <v>#N/A</v>
      </c>
      <c r="AF398" t="e">
        <f t="shared" si="100"/>
        <v>#N/A</v>
      </c>
      <c r="AG398" t="e">
        <f t="shared" si="101"/>
        <v>#N/A</v>
      </c>
      <c r="AH398" t="e">
        <f t="shared" si="102"/>
        <v>#N/A</v>
      </c>
      <c r="AI398" t="e">
        <f t="shared" si="103"/>
        <v>#N/A</v>
      </c>
      <c r="AK398">
        <f t="shared" si="104"/>
        <v>7.9408417129236825E-2</v>
      </c>
      <c r="AL398" t="e">
        <f t="shared" si="105"/>
        <v>#N/A</v>
      </c>
      <c r="AM398" t="e">
        <f t="shared" si="106"/>
        <v>#N/A</v>
      </c>
      <c r="AN398" t="e">
        <f t="shared" si="107"/>
        <v>#N/A</v>
      </c>
      <c r="AO398" t="e">
        <f t="shared" si="108"/>
        <v>#N/A</v>
      </c>
      <c r="AP398" t="e">
        <f t="shared" si="109"/>
        <v>#N/A</v>
      </c>
      <c r="AQ398" t="e">
        <f t="shared" si="110"/>
        <v>#N/A</v>
      </c>
    </row>
    <row r="399" spans="15:43">
      <c r="O399">
        <v>395</v>
      </c>
      <c r="P399" s="401">
        <f>'Lab test'!N398</f>
        <v>390</v>
      </c>
      <c r="Q399" s="401">
        <f>'Lab test'!M398</f>
        <v>6.73</v>
      </c>
      <c r="R399">
        <f>IF('Lab test'!O398&gt;0,'Lab test'!O398,NA())</f>
        <v>2030</v>
      </c>
      <c r="S399">
        <f>'Lab test'!Q398</f>
        <v>57.949479940564629</v>
      </c>
      <c r="T399" s="401">
        <f>IF('Lab test'!P398&gt;0,'Lab test'!P398,NA())</f>
        <v>0.68376467372274397</v>
      </c>
      <c r="U399" s="401">
        <f>'Lab test'!AZ398</f>
        <v>1980</v>
      </c>
      <c r="V399">
        <f>IF('Lab test'!AQ398&gt;0,'Lab test'!AQ398,NA())</f>
        <v>0.30973625905190222</v>
      </c>
      <c r="W399">
        <f>IF('Lab test'!AU398&gt;0,'Lab test'!AU398,NA())</f>
        <v>1.004</v>
      </c>
      <c r="X399">
        <f>IF('Lab test'!AT398&gt;0,'Lab test'!AT398,NA())</f>
        <v>9.6320296372152933E-2</v>
      </c>
      <c r="Y399">
        <f t="shared" si="96"/>
        <v>1</v>
      </c>
      <c r="Z399" t="str">
        <f>'Lab test'!AC398</f>
        <v>LTWa</v>
      </c>
      <c r="AA399" t="str">
        <f>'Lab test'!T398</f>
        <v>Steel</v>
      </c>
      <c r="AC399">
        <f t="shared" si="97"/>
        <v>1.004</v>
      </c>
      <c r="AD399" t="e">
        <f t="shared" si="98"/>
        <v>#N/A</v>
      </c>
      <c r="AE399" t="e">
        <f t="shared" si="99"/>
        <v>#N/A</v>
      </c>
      <c r="AF399" t="e">
        <f t="shared" si="100"/>
        <v>#N/A</v>
      </c>
      <c r="AG399" t="e">
        <f t="shared" si="101"/>
        <v>#N/A</v>
      </c>
      <c r="AH399" t="e">
        <f t="shared" si="102"/>
        <v>#N/A</v>
      </c>
      <c r="AI399" t="e">
        <f t="shared" si="103"/>
        <v>#N/A</v>
      </c>
      <c r="AK399">
        <f t="shared" si="104"/>
        <v>9.6320296372152933E-2</v>
      </c>
      <c r="AL399" t="e">
        <f t="shared" si="105"/>
        <v>#N/A</v>
      </c>
      <c r="AM399" t="e">
        <f t="shared" si="106"/>
        <v>#N/A</v>
      </c>
      <c r="AN399" t="e">
        <f t="shared" si="107"/>
        <v>#N/A</v>
      </c>
      <c r="AO399" t="e">
        <f t="shared" si="108"/>
        <v>#N/A</v>
      </c>
      <c r="AP399" t="e">
        <f t="shared" si="109"/>
        <v>#N/A</v>
      </c>
      <c r="AQ399" t="e">
        <f t="shared" si="110"/>
        <v>#N/A</v>
      </c>
    </row>
    <row r="400" spans="15:43">
      <c r="O400">
        <v>396</v>
      </c>
      <c r="P400" s="401">
        <f>'Lab test'!N399</f>
        <v>510</v>
      </c>
      <c r="Q400" s="401">
        <f>'Lab test'!M399</f>
        <v>6.73</v>
      </c>
      <c r="R400">
        <f>IF('Lab test'!O399&gt;0,'Lab test'!O399,NA())</f>
        <v>3050</v>
      </c>
      <c r="S400">
        <f>'Lab test'!Q399</f>
        <v>75.780089153046063</v>
      </c>
      <c r="T400" s="401">
        <f>IF('Lab test'!P399&gt;0,'Lab test'!P399,NA())</f>
        <v>0.68699267635248473</v>
      </c>
      <c r="U400" s="401">
        <f>'Lab test'!AZ399</f>
        <v>1980</v>
      </c>
      <c r="V400">
        <f>IF('Lab test'!AQ399&gt;0,'Lab test'!AQ399,NA())</f>
        <v>0.35419696312329474</v>
      </c>
      <c r="W400">
        <f>IF('Lab test'!AU399&gt;0,'Lab test'!AU399,NA())</f>
        <v>0.999</v>
      </c>
      <c r="X400">
        <f>IF('Lab test'!AT399&gt;0,'Lab test'!AT399,NA())</f>
        <v>0.12533003319707886</v>
      </c>
      <c r="Y400">
        <f t="shared" si="96"/>
        <v>1</v>
      </c>
      <c r="Z400" t="str">
        <f>'Lab test'!AC399</f>
        <v>LTWa</v>
      </c>
      <c r="AA400" t="str">
        <f>'Lab test'!T399</f>
        <v>Steel</v>
      </c>
      <c r="AC400">
        <f t="shared" si="97"/>
        <v>0.999</v>
      </c>
      <c r="AD400" t="e">
        <f t="shared" si="98"/>
        <v>#N/A</v>
      </c>
      <c r="AE400" t="e">
        <f t="shared" si="99"/>
        <v>#N/A</v>
      </c>
      <c r="AF400" t="e">
        <f t="shared" si="100"/>
        <v>#N/A</v>
      </c>
      <c r="AG400" t="e">
        <f t="shared" si="101"/>
        <v>#N/A</v>
      </c>
      <c r="AH400" t="e">
        <f t="shared" si="102"/>
        <v>#N/A</v>
      </c>
      <c r="AI400" t="e">
        <f t="shared" si="103"/>
        <v>#N/A</v>
      </c>
      <c r="AK400">
        <f t="shared" si="104"/>
        <v>0.12533003319707886</v>
      </c>
      <c r="AL400" t="e">
        <f t="shared" si="105"/>
        <v>#N/A</v>
      </c>
      <c r="AM400" t="e">
        <f t="shared" si="106"/>
        <v>#N/A</v>
      </c>
      <c r="AN400" t="e">
        <f t="shared" si="107"/>
        <v>#N/A</v>
      </c>
      <c r="AO400" t="e">
        <f t="shared" si="108"/>
        <v>#N/A</v>
      </c>
      <c r="AP400" t="e">
        <f t="shared" si="109"/>
        <v>#N/A</v>
      </c>
      <c r="AQ400" t="e">
        <f t="shared" si="110"/>
        <v>#N/A</v>
      </c>
    </row>
    <row r="401" spans="15:43">
      <c r="O401">
        <v>397</v>
      </c>
      <c r="P401" s="401">
        <f>'Lab test'!N400</f>
        <v>765</v>
      </c>
      <c r="Q401" s="401">
        <f>'Lab test'!M400</f>
        <v>6.73</v>
      </c>
      <c r="R401">
        <f>IF('Lab test'!O400&gt;0,'Lab test'!O400,NA())</f>
        <v>3050</v>
      </c>
      <c r="S401">
        <f>'Lab test'!Q400</f>
        <v>113.67013372956909</v>
      </c>
      <c r="T401" s="401">
        <f>IF('Lab test'!P400&gt;0,'Lab test'!P400,NA())</f>
        <v>0.37395144757612775</v>
      </c>
      <c r="U401" s="401">
        <f>'Lab test'!AZ400</f>
        <v>1980</v>
      </c>
      <c r="V401">
        <f>IF('Lab test'!AQ400&gt;0,'Lab test'!AQ400,NA())</f>
        <v>0.43380091404773102</v>
      </c>
      <c r="W401">
        <f>IF('Lab test'!AU400&gt;0,'Lab test'!AU400,NA())</f>
        <v>0.88000000000000012</v>
      </c>
      <c r="X401">
        <f>IF('Lab test'!AT400&gt;0,'Lab test'!AT400,NA())</f>
        <v>0.16560124506520929</v>
      </c>
      <c r="Y401">
        <f t="shared" si="96"/>
        <v>1</v>
      </c>
      <c r="Z401" t="str">
        <f>'Lab test'!AC400</f>
        <v>LTWa</v>
      </c>
      <c r="AA401" t="str">
        <f>'Lab test'!T400</f>
        <v>Steel</v>
      </c>
      <c r="AC401">
        <f t="shared" si="97"/>
        <v>0.88000000000000012</v>
      </c>
      <c r="AD401" t="e">
        <f t="shared" si="98"/>
        <v>#N/A</v>
      </c>
      <c r="AE401" t="e">
        <f t="shared" si="99"/>
        <v>#N/A</v>
      </c>
      <c r="AF401" t="e">
        <f t="shared" si="100"/>
        <v>#N/A</v>
      </c>
      <c r="AG401" t="e">
        <f t="shared" si="101"/>
        <v>#N/A</v>
      </c>
      <c r="AH401" t="e">
        <f t="shared" si="102"/>
        <v>#N/A</v>
      </c>
      <c r="AI401" t="e">
        <f t="shared" si="103"/>
        <v>#N/A</v>
      </c>
      <c r="AK401">
        <f t="shared" si="104"/>
        <v>0.16560124506520929</v>
      </c>
      <c r="AL401" t="e">
        <f t="shared" si="105"/>
        <v>#N/A</v>
      </c>
      <c r="AM401" t="e">
        <f t="shared" si="106"/>
        <v>#N/A</v>
      </c>
      <c r="AN401" t="e">
        <f t="shared" si="107"/>
        <v>#N/A</v>
      </c>
      <c r="AO401" t="e">
        <f t="shared" si="108"/>
        <v>#N/A</v>
      </c>
      <c r="AP401" t="e">
        <f t="shared" si="109"/>
        <v>#N/A</v>
      </c>
      <c r="AQ401" t="e">
        <f t="shared" si="110"/>
        <v>#N/A</v>
      </c>
    </row>
    <row r="402" spans="15:43">
      <c r="O402">
        <v>398</v>
      </c>
      <c r="P402" s="401">
        <f>'Lab test'!N401</f>
        <v>290</v>
      </c>
      <c r="Q402" s="401">
        <f>'Lab test'!M401</f>
        <v>9.73</v>
      </c>
      <c r="R402">
        <f>IF('Lab test'!O401&gt;0,'Lab test'!O401,NA())</f>
        <v>1220</v>
      </c>
      <c r="S402">
        <f>'Lab test'!Q401</f>
        <v>29.804727646454264</v>
      </c>
      <c r="T402" s="401">
        <f>IF('Lab test'!P401&gt;0,'Lab test'!P401,NA())</f>
        <v>0.77058269879519081</v>
      </c>
      <c r="U402" s="401">
        <f>'Lab test'!AZ401</f>
        <v>1980</v>
      </c>
      <c r="V402">
        <f>IF('Lab test'!AQ401&gt;0,'Lab test'!AQ401,NA())</f>
        <v>0.28504848843895608</v>
      </c>
      <c r="W402">
        <f>IF('Lab test'!AU401&gt;0,'Lab test'!AU401,NA())</f>
        <v>1.0089999999999999</v>
      </c>
      <c r="X402">
        <f>IF('Lab test'!AT401&gt;0,'Lab test'!AT401,NA())</f>
        <v>8.1983914528185653E-2</v>
      </c>
      <c r="Y402">
        <f t="shared" si="96"/>
        <v>1</v>
      </c>
      <c r="Z402" t="str">
        <f>'Lab test'!AC401</f>
        <v>LTWa</v>
      </c>
      <c r="AA402" t="str">
        <f>'Lab test'!T401</f>
        <v>Steel</v>
      </c>
      <c r="AC402">
        <f t="shared" si="97"/>
        <v>1.0089999999999999</v>
      </c>
      <c r="AD402" t="e">
        <f t="shared" si="98"/>
        <v>#N/A</v>
      </c>
      <c r="AE402" t="e">
        <f t="shared" si="99"/>
        <v>#N/A</v>
      </c>
      <c r="AF402" t="e">
        <f t="shared" si="100"/>
        <v>#N/A</v>
      </c>
      <c r="AG402" t="e">
        <f t="shared" si="101"/>
        <v>#N/A</v>
      </c>
      <c r="AH402" t="e">
        <f t="shared" si="102"/>
        <v>#N/A</v>
      </c>
      <c r="AI402" t="e">
        <f t="shared" si="103"/>
        <v>#N/A</v>
      </c>
      <c r="AK402">
        <f t="shared" si="104"/>
        <v>8.1983914528185653E-2</v>
      </c>
      <c r="AL402" t="e">
        <f t="shared" si="105"/>
        <v>#N/A</v>
      </c>
      <c r="AM402" t="e">
        <f t="shared" si="106"/>
        <v>#N/A</v>
      </c>
      <c r="AN402" t="e">
        <f t="shared" si="107"/>
        <v>#N/A</v>
      </c>
      <c r="AO402" t="e">
        <f t="shared" si="108"/>
        <v>#N/A</v>
      </c>
      <c r="AP402" t="e">
        <f t="shared" si="109"/>
        <v>#N/A</v>
      </c>
      <c r="AQ402" t="e">
        <f t="shared" si="110"/>
        <v>#N/A</v>
      </c>
    </row>
    <row r="403" spans="15:43">
      <c r="O403">
        <v>399</v>
      </c>
      <c r="P403" s="401">
        <f>'Lab test'!N402</f>
        <v>765</v>
      </c>
      <c r="Q403" s="401">
        <f>'Lab test'!M402</f>
        <v>6.55</v>
      </c>
      <c r="R403">
        <f>IF('Lab test'!O402&gt;0,'Lab test'!O402,NA())</f>
        <v>1960</v>
      </c>
      <c r="S403">
        <f>'Lab test'!Q402</f>
        <v>116.79389312977099</v>
      </c>
      <c r="T403" s="401">
        <f>IF('Lab test'!P402&gt;0,'Lab test'!P402,NA())</f>
        <v>0.23707435006468233</v>
      </c>
      <c r="U403" s="401">
        <f>'Lab test'!AZ402</f>
        <v>1980</v>
      </c>
      <c r="V403">
        <f>IF('Lab test'!AQ402&gt;0,'Lab test'!AQ402,NA())</f>
        <v>0.768687036520039</v>
      </c>
      <c r="W403">
        <f>IF('Lab test'!AU402&gt;0,'Lab test'!AU402,NA())</f>
        <v>0.82899999999999985</v>
      </c>
      <c r="X403">
        <f>IF('Lab test'!AT402&gt;0,'Lab test'!AT402,NA())</f>
        <v>0.48983932113447265</v>
      </c>
      <c r="Y403">
        <f t="shared" si="96"/>
        <v>1</v>
      </c>
      <c r="Z403" t="str">
        <f>'Lab test'!AC402</f>
        <v>LTWa</v>
      </c>
      <c r="AA403" t="str">
        <f>'Lab test'!T402</f>
        <v>Steel</v>
      </c>
      <c r="AC403">
        <f t="shared" si="97"/>
        <v>0.82899999999999985</v>
      </c>
      <c r="AD403" t="e">
        <f t="shared" si="98"/>
        <v>#N/A</v>
      </c>
      <c r="AE403" t="e">
        <f t="shared" si="99"/>
        <v>#N/A</v>
      </c>
      <c r="AF403" t="e">
        <f t="shared" si="100"/>
        <v>#N/A</v>
      </c>
      <c r="AG403" t="e">
        <f t="shared" si="101"/>
        <v>#N/A</v>
      </c>
      <c r="AH403" t="e">
        <f t="shared" si="102"/>
        <v>#N/A</v>
      </c>
      <c r="AI403" t="e">
        <f t="shared" si="103"/>
        <v>#N/A</v>
      </c>
      <c r="AK403">
        <f t="shared" si="104"/>
        <v>0.48983932113447265</v>
      </c>
      <c r="AL403" t="e">
        <f t="shared" si="105"/>
        <v>#N/A</v>
      </c>
      <c r="AM403" t="e">
        <f t="shared" si="106"/>
        <v>#N/A</v>
      </c>
      <c r="AN403" t="e">
        <f t="shared" si="107"/>
        <v>#N/A</v>
      </c>
      <c r="AO403" t="e">
        <f t="shared" si="108"/>
        <v>#N/A</v>
      </c>
      <c r="AP403" t="e">
        <f t="shared" si="109"/>
        <v>#N/A</v>
      </c>
      <c r="AQ403" t="e">
        <f t="shared" si="110"/>
        <v>#N/A</v>
      </c>
    </row>
    <row r="404" spans="15:43">
      <c r="O404">
        <v>400</v>
      </c>
      <c r="P404" s="401">
        <f>'Lab test'!N403</f>
        <v>893.44500000000005</v>
      </c>
      <c r="Q404" s="401">
        <f>'Lab test'!M403</f>
        <v>7.1653400000000005</v>
      </c>
      <c r="R404">
        <f>IF('Lab test'!O403&gt;0,'Lab test'!O403,NA())</f>
        <v>3032.252</v>
      </c>
      <c r="S404">
        <f>'Lab test'!Q403</f>
        <v>124.68982630272953</v>
      </c>
      <c r="T404" s="401">
        <f>IF('Lab test'!P403&gt;0,'Lab test'!P403,NA())</f>
        <v>0.30393587046500026</v>
      </c>
      <c r="U404" s="401">
        <f>'Lab test'!AZ403</f>
        <v>1978</v>
      </c>
      <c r="V404">
        <f>IF('Lab test'!AQ403&gt;0,'Lab test'!AQ403,NA())</f>
        <v>0.61806001674406175</v>
      </c>
      <c r="W404">
        <f>IF('Lab test'!AU403&gt;0,'Lab test'!AU403,NA())</f>
        <v>0.81399999999999995</v>
      </c>
      <c r="X404">
        <f>IF('Lab test'!AT403&gt;0,'Lab test'!AT403,NA())</f>
        <v>0.31094652201830331</v>
      </c>
      <c r="Y404">
        <f t="shared" si="96"/>
        <v>1</v>
      </c>
      <c r="Z404" t="str">
        <f>'Lab test'!AC403</f>
        <v>LTWa</v>
      </c>
      <c r="AA404" t="str">
        <f>'Lab test'!T403</f>
        <v>Steel</v>
      </c>
      <c r="AC404">
        <f t="shared" si="97"/>
        <v>0.81399999999999995</v>
      </c>
      <c r="AD404" t="e">
        <f t="shared" si="98"/>
        <v>#N/A</v>
      </c>
      <c r="AE404" t="e">
        <f t="shared" si="99"/>
        <v>#N/A</v>
      </c>
      <c r="AF404" t="e">
        <f t="shared" si="100"/>
        <v>#N/A</v>
      </c>
      <c r="AG404" t="e">
        <f t="shared" si="101"/>
        <v>#N/A</v>
      </c>
      <c r="AH404" t="e">
        <f t="shared" si="102"/>
        <v>#N/A</v>
      </c>
      <c r="AI404" t="e">
        <f t="shared" si="103"/>
        <v>#N/A</v>
      </c>
      <c r="AK404">
        <f t="shared" si="104"/>
        <v>0.31094652201830331</v>
      </c>
      <c r="AL404" t="e">
        <f t="shared" si="105"/>
        <v>#N/A</v>
      </c>
      <c r="AM404" t="e">
        <f t="shared" si="106"/>
        <v>#N/A</v>
      </c>
      <c r="AN404" t="e">
        <f t="shared" si="107"/>
        <v>#N/A</v>
      </c>
      <c r="AO404" t="e">
        <f t="shared" si="108"/>
        <v>#N/A</v>
      </c>
      <c r="AP404" t="e">
        <f t="shared" si="109"/>
        <v>#N/A</v>
      </c>
      <c r="AQ404" t="e">
        <f t="shared" si="110"/>
        <v>#N/A</v>
      </c>
    </row>
    <row r="405" spans="15:43">
      <c r="O405">
        <v>401</v>
      </c>
      <c r="P405" s="401">
        <f>'Lab test'!N404</f>
        <v>766.3180000000001</v>
      </c>
      <c r="Q405" s="401">
        <f>'Lab test'!M404</f>
        <v>7.2618600000000004</v>
      </c>
      <c r="R405">
        <f>IF('Lab test'!O404&gt;0,'Lab test'!O404,NA())</f>
        <v>3032.252</v>
      </c>
      <c r="S405">
        <f>'Lab test'!Q404</f>
        <v>105.52640783490732</v>
      </c>
      <c r="T405" s="401">
        <f>IF('Lab test'!P404&gt;0,'Lab test'!P404,NA())</f>
        <v>0.38519060593987653</v>
      </c>
      <c r="U405" s="401">
        <f>'Lab test'!AZ404</f>
        <v>1978</v>
      </c>
      <c r="V405">
        <f>IF('Lab test'!AQ404&gt;0,'Lab test'!AQ404,NA())</f>
        <v>0.56472631332742684</v>
      </c>
      <c r="W405">
        <f>IF('Lab test'!AU404&gt;0,'Lab test'!AU404,NA())</f>
        <v>0.88900000000000001</v>
      </c>
      <c r="X405">
        <f>IF('Lab test'!AT404&gt;0,'Lab test'!AT404,NA())</f>
        <v>0.28351615416934006</v>
      </c>
      <c r="Y405">
        <f t="shared" si="96"/>
        <v>1</v>
      </c>
      <c r="Z405" t="str">
        <f>'Lab test'!AC404</f>
        <v>LTWa</v>
      </c>
      <c r="AA405" t="str">
        <f>'Lab test'!T404</f>
        <v>Steel</v>
      </c>
      <c r="AC405">
        <f t="shared" si="97"/>
        <v>0.88900000000000001</v>
      </c>
      <c r="AD405" t="e">
        <f t="shared" si="98"/>
        <v>#N/A</v>
      </c>
      <c r="AE405" t="e">
        <f t="shared" si="99"/>
        <v>#N/A</v>
      </c>
      <c r="AF405" t="e">
        <f t="shared" si="100"/>
        <v>#N/A</v>
      </c>
      <c r="AG405" t="e">
        <f t="shared" si="101"/>
        <v>#N/A</v>
      </c>
      <c r="AH405" t="e">
        <f t="shared" si="102"/>
        <v>#N/A</v>
      </c>
      <c r="AI405" t="e">
        <f t="shared" si="103"/>
        <v>#N/A</v>
      </c>
      <c r="AK405">
        <f t="shared" si="104"/>
        <v>0.28351615416934006</v>
      </c>
      <c r="AL405" t="e">
        <f t="shared" si="105"/>
        <v>#N/A</v>
      </c>
      <c r="AM405" t="e">
        <f t="shared" si="106"/>
        <v>#N/A</v>
      </c>
      <c r="AN405" t="e">
        <f t="shared" si="107"/>
        <v>#N/A</v>
      </c>
      <c r="AO405" t="e">
        <f t="shared" si="108"/>
        <v>#N/A</v>
      </c>
      <c r="AP405" t="e">
        <f t="shared" si="109"/>
        <v>#N/A</v>
      </c>
      <c r="AQ405" t="e">
        <f t="shared" si="110"/>
        <v>#N/A</v>
      </c>
    </row>
    <row r="406" spans="15:43">
      <c r="O406">
        <v>402</v>
      </c>
      <c r="P406" s="401">
        <f>'Lab test'!N405</f>
        <v>601.34500000000003</v>
      </c>
      <c r="Q406" s="401">
        <f>'Lab test'!M405</f>
        <v>7.2618600000000004</v>
      </c>
      <c r="R406">
        <f>IF('Lab test'!O405&gt;0,'Lab test'!O405,NA())</f>
        <v>3032.252</v>
      </c>
      <c r="S406">
        <f>'Lab test'!Q405</f>
        <v>82.808674361664913</v>
      </c>
      <c r="T406" s="401">
        <f>IF('Lab test'!P405&gt;0,'Lab test'!P405,NA())</f>
        <v>0.554119802455044</v>
      </c>
      <c r="U406" s="401">
        <f>'Lab test'!AZ405</f>
        <v>1978</v>
      </c>
      <c r="V406">
        <f>IF('Lab test'!AQ405&gt;0,'Lab test'!AQ405,NA())</f>
        <v>0.50025952088993719</v>
      </c>
      <c r="W406">
        <f>IF('Lab test'!AU405&gt;0,'Lab test'!AU405,NA())</f>
        <v>0.94099999999999995</v>
      </c>
      <c r="X406">
        <f>IF('Lab test'!AT405&gt;0,'Lab test'!AT405,NA())</f>
        <v>0.23549427253480876</v>
      </c>
      <c r="Y406">
        <f t="shared" si="96"/>
        <v>1</v>
      </c>
      <c r="Z406" t="str">
        <f>'Lab test'!AC405</f>
        <v>LTWa</v>
      </c>
      <c r="AA406" t="str">
        <f>'Lab test'!T405</f>
        <v>Steel</v>
      </c>
      <c r="AC406">
        <f t="shared" si="97"/>
        <v>0.94099999999999995</v>
      </c>
      <c r="AD406" t="e">
        <f t="shared" si="98"/>
        <v>#N/A</v>
      </c>
      <c r="AE406" t="e">
        <f t="shared" si="99"/>
        <v>#N/A</v>
      </c>
      <c r="AF406" t="e">
        <f t="shared" si="100"/>
        <v>#N/A</v>
      </c>
      <c r="AG406" t="e">
        <f t="shared" si="101"/>
        <v>#N/A</v>
      </c>
      <c r="AH406" t="e">
        <f t="shared" si="102"/>
        <v>#N/A</v>
      </c>
      <c r="AI406" t="e">
        <f t="shared" si="103"/>
        <v>#N/A</v>
      </c>
      <c r="AK406">
        <f t="shared" si="104"/>
        <v>0.23549427253480876</v>
      </c>
      <c r="AL406" t="e">
        <f t="shared" si="105"/>
        <v>#N/A</v>
      </c>
      <c r="AM406" t="e">
        <f t="shared" si="106"/>
        <v>#N/A</v>
      </c>
      <c r="AN406" t="e">
        <f t="shared" si="107"/>
        <v>#N/A</v>
      </c>
      <c r="AO406" t="e">
        <f t="shared" si="108"/>
        <v>#N/A</v>
      </c>
      <c r="AP406" t="e">
        <f t="shared" si="109"/>
        <v>#N/A</v>
      </c>
      <c r="AQ406" t="e">
        <f t="shared" si="110"/>
        <v>#N/A</v>
      </c>
    </row>
    <row r="407" spans="15:43">
      <c r="O407">
        <v>403</v>
      </c>
      <c r="P407" s="401">
        <f>'Lab test'!N406</f>
        <v>358.5</v>
      </c>
      <c r="Q407" s="401">
        <f>'Lab test'!M406</f>
        <v>8.3490000000000002</v>
      </c>
      <c r="R407">
        <f>IF('Lab test'!O406&gt;0,'Lab test'!O406,NA())</f>
        <v>2050</v>
      </c>
      <c r="S407">
        <f>'Lab test'!Q406</f>
        <v>42.939274164570605</v>
      </c>
      <c r="T407" s="401">
        <f>IF('Lab test'!P406&gt;0,'Lab test'!P406,NA())</f>
        <v>0.8726444914929431</v>
      </c>
      <c r="U407" s="401">
        <f>'Lab test'!AZ406</f>
        <v>1977</v>
      </c>
      <c r="V407">
        <f>IF('Lab test'!AQ406&gt;0,'Lab test'!AQ406,NA())</f>
        <v>0.33365955692237836</v>
      </c>
      <c r="W407">
        <f>IF('Lab test'!AU406&gt;0,'Lab test'!AU406,NA())</f>
        <v>0.94099999999999995</v>
      </c>
      <c r="X407">
        <f>IF('Lab test'!AT406&gt;0,'Lab test'!AT406,NA())</f>
        <v>0.1047603066300252</v>
      </c>
      <c r="Y407">
        <f t="shared" si="96"/>
        <v>1</v>
      </c>
      <c r="Z407" t="str">
        <f>'Lab test'!AC406</f>
        <v>LTWa</v>
      </c>
      <c r="AA407" t="str">
        <f>'Lab test'!T406</f>
        <v>Steel</v>
      </c>
      <c r="AC407">
        <f t="shared" si="97"/>
        <v>0.94099999999999995</v>
      </c>
      <c r="AD407" t="e">
        <f t="shared" si="98"/>
        <v>#N/A</v>
      </c>
      <c r="AE407" t="e">
        <f t="shared" si="99"/>
        <v>#N/A</v>
      </c>
      <c r="AF407" t="e">
        <f t="shared" si="100"/>
        <v>#N/A</v>
      </c>
      <c r="AG407" t="e">
        <f t="shared" si="101"/>
        <v>#N/A</v>
      </c>
      <c r="AH407" t="e">
        <f t="shared" si="102"/>
        <v>#N/A</v>
      </c>
      <c r="AI407" t="e">
        <f t="shared" si="103"/>
        <v>#N/A</v>
      </c>
      <c r="AK407">
        <f t="shared" si="104"/>
        <v>0.1047603066300252</v>
      </c>
      <c r="AL407" t="e">
        <f t="shared" si="105"/>
        <v>#N/A</v>
      </c>
      <c r="AM407" t="e">
        <f t="shared" si="106"/>
        <v>#N/A</v>
      </c>
      <c r="AN407" t="e">
        <f t="shared" si="107"/>
        <v>#N/A</v>
      </c>
      <c r="AO407" t="e">
        <f t="shared" si="108"/>
        <v>#N/A</v>
      </c>
      <c r="AP407" t="e">
        <f t="shared" si="109"/>
        <v>#N/A</v>
      </c>
      <c r="AQ407" t="e">
        <f t="shared" si="110"/>
        <v>#N/A</v>
      </c>
    </row>
    <row r="408" spans="15:43">
      <c r="O408">
        <v>404</v>
      </c>
      <c r="P408" s="401">
        <f>'Lab test'!N407</f>
        <v>370.5</v>
      </c>
      <c r="Q408" s="401">
        <f>'Lab test'!M407</f>
        <v>8.0370000000000008</v>
      </c>
      <c r="R408">
        <f>IF('Lab test'!O407&gt;0,'Lab test'!O407,NA())</f>
        <v>2050</v>
      </c>
      <c r="S408">
        <f>'Lab test'!Q407</f>
        <v>46.099290780141843</v>
      </c>
      <c r="T408" s="401">
        <f>IF('Lab test'!P407&gt;0,'Lab test'!P407,NA())</f>
        <v>0.8149266617635067</v>
      </c>
      <c r="U408" s="401">
        <f>'Lab test'!AZ407</f>
        <v>1977</v>
      </c>
      <c r="V408">
        <f>IF('Lab test'!AQ407&gt;0,'Lab test'!AQ407,NA())</f>
        <v>0.360310321703327</v>
      </c>
      <c r="W408">
        <f>IF('Lab test'!AU407&gt;0,'Lab test'!AU407,NA())</f>
        <v>1.008</v>
      </c>
      <c r="X408">
        <f>IF('Lab test'!AT407&gt;0,'Lab test'!AT407,NA())</f>
        <v>0.13086211614936263</v>
      </c>
      <c r="Y408">
        <f t="shared" si="96"/>
        <v>1</v>
      </c>
      <c r="Z408" t="str">
        <f>'Lab test'!AC407</f>
        <v>LTWa</v>
      </c>
      <c r="AA408" t="str">
        <f>'Lab test'!T407</f>
        <v>Steel</v>
      </c>
      <c r="AC408">
        <f t="shared" si="97"/>
        <v>1.008</v>
      </c>
      <c r="AD408" t="e">
        <f t="shared" si="98"/>
        <v>#N/A</v>
      </c>
      <c r="AE408" t="e">
        <f t="shared" si="99"/>
        <v>#N/A</v>
      </c>
      <c r="AF408" t="e">
        <f t="shared" si="100"/>
        <v>#N/A</v>
      </c>
      <c r="AG408" t="e">
        <f t="shared" si="101"/>
        <v>#N/A</v>
      </c>
      <c r="AH408" t="e">
        <f t="shared" si="102"/>
        <v>#N/A</v>
      </c>
      <c r="AI408" t="e">
        <f t="shared" si="103"/>
        <v>#N/A</v>
      </c>
      <c r="AK408">
        <f t="shared" si="104"/>
        <v>0.13086211614936263</v>
      </c>
      <c r="AL408" t="e">
        <f t="shared" si="105"/>
        <v>#N/A</v>
      </c>
      <c r="AM408" t="e">
        <f t="shared" si="106"/>
        <v>#N/A</v>
      </c>
      <c r="AN408" t="e">
        <f t="shared" si="107"/>
        <v>#N/A</v>
      </c>
      <c r="AO408" t="e">
        <f t="shared" si="108"/>
        <v>#N/A</v>
      </c>
      <c r="AP408" t="e">
        <f t="shared" si="109"/>
        <v>#N/A</v>
      </c>
      <c r="AQ408" t="e">
        <f t="shared" si="110"/>
        <v>#N/A</v>
      </c>
    </row>
    <row r="409" spans="15:43">
      <c r="O409">
        <v>405</v>
      </c>
      <c r="P409" s="401">
        <f>'Lab test'!N408</f>
        <v>595</v>
      </c>
      <c r="Q409" s="401">
        <f>'Lab test'!M408</f>
        <v>8.3490000000000002</v>
      </c>
      <c r="R409">
        <f>IF('Lab test'!O408&gt;0,'Lab test'!O408,NA())</f>
        <v>3050</v>
      </c>
      <c r="S409">
        <f>'Lab test'!Q408</f>
        <v>71.266019882620668</v>
      </c>
      <c r="T409" s="401">
        <f>IF('Lab test'!P408&gt;0,'Lab test'!P408,NA())</f>
        <v>0.60721378346872268</v>
      </c>
      <c r="U409" s="401">
        <f>'Lab test'!AZ408</f>
        <v>1977</v>
      </c>
      <c r="V409">
        <f>IF('Lab test'!AQ408&gt;0,'Lab test'!AQ408,NA())</f>
        <v>0.42985053500354037</v>
      </c>
      <c r="W409">
        <f>IF('Lab test'!AU408&gt;0,'Lab test'!AU408,NA())</f>
        <v>0.98899999999999999</v>
      </c>
      <c r="X409">
        <f>IF('Lab test'!AT408&gt;0,'Lab test'!AT408,NA())</f>
        <v>0.18273899613595873</v>
      </c>
      <c r="Y409">
        <f t="shared" si="96"/>
        <v>1</v>
      </c>
      <c r="Z409" t="str">
        <f>'Lab test'!AC408</f>
        <v>LTWa</v>
      </c>
      <c r="AA409" t="str">
        <f>'Lab test'!T408</f>
        <v>Steel</v>
      </c>
      <c r="AC409">
        <f t="shared" si="97"/>
        <v>0.98899999999999999</v>
      </c>
      <c r="AD409" t="e">
        <f t="shared" si="98"/>
        <v>#N/A</v>
      </c>
      <c r="AE409" t="e">
        <f t="shared" si="99"/>
        <v>#N/A</v>
      </c>
      <c r="AF409" t="e">
        <f t="shared" si="100"/>
        <v>#N/A</v>
      </c>
      <c r="AG409" t="e">
        <f t="shared" si="101"/>
        <v>#N/A</v>
      </c>
      <c r="AH409" t="e">
        <f t="shared" si="102"/>
        <v>#N/A</v>
      </c>
      <c r="AI409" t="e">
        <f t="shared" si="103"/>
        <v>#N/A</v>
      </c>
      <c r="AK409">
        <f t="shared" si="104"/>
        <v>0.18273899613595873</v>
      </c>
      <c r="AL409" t="e">
        <f t="shared" si="105"/>
        <v>#N/A</v>
      </c>
      <c r="AM409" t="e">
        <f t="shared" si="106"/>
        <v>#N/A</v>
      </c>
      <c r="AN409" t="e">
        <f t="shared" si="107"/>
        <v>#N/A</v>
      </c>
      <c r="AO409" t="e">
        <f t="shared" si="108"/>
        <v>#N/A</v>
      </c>
      <c r="AP409" t="e">
        <f t="shared" si="109"/>
        <v>#N/A</v>
      </c>
      <c r="AQ409" t="e">
        <f t="shared" si="110"/>
        <v>#N/A</v>
      </c>
    </row>
    <row r="410" spans="15:43">
      <c r="O410">
        <v>406</v>
      </c>
      <c r="P410" s="401">
        <f>'Lab test'!N409</f>
        <v>595</v>
      </c>
      <c r="Q410" s="401">
        <f>'Lab test'!M409</f>
        <v>8.3490000000000002</v>
      </c>
      <c r="R410">
        <f>IF('Lab test'!O409&gt;0,'Lab test'!O409,NA())</f>
        <v>2030</v>
      </c>
      <c r="S410">
        <f>'Lab test'!Q409</f>
        <v>71.266019882620668</v>
      </c>
      <c r="T410" s="401">
        <f>IF('Lab test'!P409&gt;0,'Lab test'!P409,NA())</f>
        <v>0.40414556735787116</v>
      </c>
      <c r="U410" s="401">
        <f>'Lab test'!AZ409</f>
        <v>1977</v>
      </c>
      <c r="V410">
        <f>IF('Lab test'!AQ409&gt;0,'Lab test'!AQ409,NA())</f>
        <v>0.42985053500354037</v>
      </c>
      <c r="W410">
        <f>IF('Lab test'!AU409&gt;0,'Lab test'!AU409,NA())</f>
        <v>1.0089999999999999</v>
      </c>
      <c r="X410">
        <f>IF('Lab test'!AT409&gt;0,'Lab test'!AT409,NA())</f>
        <v>0.18643442578481531</v>
      </c>
      <c r="Y410">
        <f t="shared" si="96"/>
        <v>1</v>
      </c>
      <c r="Z410" t="str">
        <f>'Lab test'!AC409</f>
        <v>LTWa</v>
      </c>
      <c r="AA410" t="str">
        <f>'Lab test'!T409</f>
        <v>Steel</v>
      </c>
      <c r="AC410">
        <f t="shared" si="97"/>
        <v>1.0089999999999999</v>
      </c>
      <c r="AD410" t="e">
        <f t="shared" si="98"/>
        <v>#N/A</v>
      </c>
      <c r="AE410" t="e">
        <f t="shared" si="99"/>
        <v>#N/A</v>
      </c>
      <c r="AF410" t="e">
        <f t="shared" si="100"/>
        <v>#N/A</v>
      </c>
      <c r="AG410" t="e">
        <f t="shared" si="101"/>
        <v>#N/A</v>
      </c>
      <c r="AH410" t="e">
        <f t="shared" si="102"/>
        <v>#N/A</v>
      </c>
      <c r="AI410" t="e">
        <f t="shared" si="103"/>
        <v>#N/A</v>
      </c>
      <c r="AK410">
        <f t="shared" si="104"/>
        <v>0.18643442578481531</v>
      </c>
      <c r="AL410" t="e">
        <f t="shared" si="105"/>
        <v>#N/A</v>
      </c>
      <c r="AM410" t="e">
        <f t="shared" si="106"/>
        <v>#N/A</v>
      </c>
      <c r="AN410" t="e">
        <f t="shared" si="107"/>
        <v>#N/A</v>
      </c>
      <c r="AO410" t="e">
        <f t="shared" si="108"/>
        <v>#N/A</v>
      </c>
      <c r="AP410" t="e">
        <f t="shared" si="109"/>
        <v>#N/A</v>
      </c>
      <c r="AQ410" t="e">
        <f t="shared" si="110"/>
        <v>#N/A</v>
      </c>
    </row>
    <row r="411" spans="15:43">
      <c r="O411">
        <v>407</v>
      </c>
      <c r="P411" s="401">
        <f>'Lab test'!N410</f>
        <v>608.5</v>
      </c>
      <c r="Q411" s="401">
        <f>'Lab test'!M410</f>
        <v>8.0370000000000008</v>
      </c>
      <c r="R411">
        <f>IF('Lab test'!O410&gt;0,'Lab test'!O410,NA())</f>
        <v>3050</v>
      </c>
      <c r="S411">
        <f>'Lab test'!Q410</f>
        <v>75.71233047156899</v>
      </c>
      <c r="T411" s="401">
        <f>IF('Lab test'!P410&gt;0,'Lab test'!P410,NA())</f>
        <v>0.57604438761450127</v>
      </c>
      <c r="U411" s="401">
        <f>'Lab test'!AZ410</f>
        <v>1977</v>
      </c>
      <c r="V411">
        <f>IF('Lab test'!AQ410&gt;0,'Lab test'!AQ410,NA())</f>
        <v>0.46175636279042831</v>
      </c>
      <c r="W411">
        <f>IF('Lab test'!AU410&gt;0,'Lab test'!AU410,NA())</f>
        <v>0.95099999999999996</v>
      </c>
      <c r="X411">
        <f>IF('Lab test'!AT410&gt;0,'Lab test'!AT410,NA())</f>
        <v>0.20277121058715084</v>
      </c>
      <c r="Y411">
        <f t="shared" si="96"/>
        <v>1</v>
      </c>
      <c r="Z411" t="str">
        <f>'Lab test'!AC410</f>
        <v>LTWa</v>
      </c>
      <c r="AA411" t="str">
        <f>'Lab test'!T410</f>
        <v>Steel</v>
      </c>
      <c r="AC411">
        <f t="shared" si="97"/>
        <v>0.95099999999999996</v>
      </c>
      <c r="AD411" t="e">
        <f t="shared" si="98"/>
        <v>#N/A</v>
      </c>
      <c r="AE411" t="e">
        <f t="shared" si="99"/>
        <v>#N/A</v>
      </c>
      <c r="AF411" t="e">
        <f t="shared" si="100"/>
        <v>#N/A</v>
      </c>
      <c r="AG411" t="e">
        <f t="shared" si="101"/>
        <v>#N/A</v>
      </c>
      <c r="AH411" t="e">
        <f t="shared" si="102"/>
        <v>#N/A</v>
      </c>
      <c r="AI411" t="e">
        <f t="shared" si="103"/>
        <v>#N/A</v>
      </c>
      <c r="AK411">
        <f t="shared" si="104"/>
        <v>0.20277121058715084</v>
      </c>
      <c r="AL411" t="e">
        <f t="shared" si="105"/>
        <v>#N/A</v>
      </c>
      <c r="AM411" t="e">
        <f t="shared" si="106"/>
        <v>#N/A</v>
      </c>
      <c r="AN411" t="e">
        <f t="shared" si="107"/>
        <v>#N/A</v>
      </c>
      <c r="AO411" t="e">
        <f t="shared" si="108"/>
        <v>#N/A</v>
      </c>
      <c r="AP411" t="e">
        <f t="shared" si="109"/>
        <v>#N/A</v>
      </c>
      <c r="AQ411" t="e">
        <f t="shared" si="110"/>
        <v>#N/A</v>
      </c>
    </row>
    <row r="412" spans="15:43">
      <c r="O412">
        <v>408</v>
      </c>
      <c r="P412" s="401">
        <f>'Lab test'!N411</f>
        <v>766.5</v>
      </c>
      <c r="Q412" s="401">
        <f>'Lab test'!M411</f>
        <v>7.2619999999999996</v>
      </c>
      <c r="R412">
        <f>IF('Lab test'!O411&gt;0,'Lab test'!O411,NA())</f>
        <v>2440</v>
      </c>
      <c r="S412">
        <f>'Lab test'!Q411</f>
        <v>105.54943541724043</v>
      </c>
      <c r="T412" s="401">
        <f>IF('Lab test'!P411&gt;0,'Lab test'!P411,NA())</f>
        <v>0.30984872245685674</v>
      </c>
      <c r="U412" s="401">
        <f>'Lab test'!AZ411</f>
        <v>1977</v>
      </c>
      <c r="V412">
        <f>IF('Lab test'!AQ411&gt;0,'Lab test'!AQ411,NA())</f>
        <v>0.56479884407332515</v>
      </c>
      <c r="W412">
        <f>IF('Lab test'!AU411&gt;0,'Lab test'!AU411,NA())</f>
        <v>0.872</v>
      </c>
      <c r="X412">
        <f>IF('Lab test'!AT411&gt;0,'Lab test'!AT411,NA())</f>
        <v>0.27816602428044396</v>
      </c>
      <c r="Y412">
        <f t="shared" si="96"/>
        <v>1</v>
      </c>
      <c r="Z412" t="str">
        <f>'Lab test'!AC411</f>
        <v>LTWa</v>
      </c>
      <c r="AA412" t="str">
        <f>'Lab test'!T411</f>
        <v>Steel</v>
      </c>
      <c r="AC412">
        <f t="shared" si="97"/>
        <v>0.872</v>
      </c>
      <c r="AD412" t="e">
        <f t="shared" si="98"/>
        <v>#N/A</v>
      </c>
      <c r="AE412" t="e">
        <f t="shared" si="99"/>
        <v>#N/A</v>
      </c>
      <c r="AF412" t="e">
        <f t="shared" si="100"/>
        <v>#N/A</v>
      </c>
      <c r="AG412" t="e">
        <f t="shared" si="101"/>
        <v>#N/A</v>
      </c>
      <c r="AH412" t="e">
        <f t="shared" si="102"/>
        <v>#N/A</v>
      </c>
      <c r="AI412" t="e">
        <f t="shared" si="103"/>
        <v>#N/A</v>
      </c>
      <c r="AK412">
        <f t="shared" si="104"/>
        <v>0.27816602428044396</v>
      </c>
      <c r="AL412" t="e">
        <f t="shared" si="105"/>
        <v>#N/A</v>
      </c>
      <c r="AM412" t="e">
        <f t="shared" si="106"/>
        <v>#N/A</v>
      </c>
      <c r="AN412" t="e">
        <f t="shared" si="107"/>
        <v>#N/A</v>
      </c>
      <c r="AO412" t="e">
        <f t="shared" si="108"/>
        <v>#N/A</v>
      </c>
      <c r="AP412" t="e">
        <f t="shared" si="109"/>
        <v>#N/A</v>
      </c>
      <c r="AQ412" t="e">
        <f t="shared" si="110"/>
        <v>#N/A</v>
      </c>
    </row>
    <row r="413" spans="15:43">
      <c r="O413">
        <v>409</v>
      </c>
      <c r="P413" s="401">
        <f>'Lab test'!N412</f>
        <v>766</v>
      </c>
      <c r="Q413" s="401">
        <f>'Lab test'!M412</f>
        <v>6.5529999999999999</v>
      </c>
      <c r="R413">
        <f>IF('Lab test'!O412&gt;0,'Lab test'!O412,NA())</f>
        <v>2440</v>
      </c>
      <c r="S413">
        <f>'Lab test'!Q412</f>
        <v>116.89302609491835</v>
      </c>
      <c r="T413" s="401">
        <f>IF('Lab test'!P412&gt;0,'Lab test'!P412,NA())</f>
        <v>0.29462307358037176</v>
      </c>
      <c r="U413" s="401">
        <f>'Lab test'!AZ412</f>
        <v>1977</v>
      </c>
      <c r="V413">
        <f>IF('Lab test'!AQ412&gt;0,'Lab test'!AQ412,NA())</f>
        <v>0.76898849679172598</v>
      </c>
      <c r="W413">
        <f>IF('Lab test'!AU412&gt;0,'Lab test'!AU412,NA())</f>
        <v>0.91200000000000003</v>
      </c>
      <c r="X413">
        <f>IF('Lab test'!AT412&gt;0,'Lab test'!AT412,NA())</f>
        <v>0.53930509707657448</v>
      </c>
      <c r="Y413">
        <f t="shared" si="96"/>
        <v>1</v>
      </c>
      <c r="Z413" t="str">
        <f>'Lab test'!AC412</f>
        <v>LTWa</v>
      </c>
      <c r="AA413" t="str">
        <f>'Lab test'!T412</f>
        <v>Steel</v>
      </c>
      <c r="AC413">
        <f t="shared" si="97"/>
        <v>0.91200000000000003</v>
      </c>
      <c r="AD413" t="e">
        <f t="shared" si="98"/>
        <v>#N/A</v>
      </c>
      <c r="AE413" t="e">
        <f t="shared" si="99"/>
        <v>#N/A</v>
      </c>
      <c r="AF413" t="e">
        <f t="shared" si="100"/>
        <v>#N/A</v>
      </c>
      <c r="AG413" t="e">
        <f t="shared" si="101"/>
        <v>#N/A</v>
      </c>
      <c r="AH413" t="e">
        <f t="shared" si="102"/>
        <v>#N/A</v>
      </c>
      <c r="AI413" t="e">
        <f t="shared" si="103"/>
        <v>#N/A</v>
      </c>
      <c r="AK413">
        <f t="shared" si="104"/>
        <v>0.53930509707657448</v>
      </c>
      <c r="AL413" t="e">
        <f t="shared" si="105"/>
        <v>#N/A</v>
      </c>
      <c r="AM413" t="e">
        <f t="shared" si="106"/>
        <v>#N/A</v>
      </c>
      <c r="AN413" t="e">
        <f t="shared" si="107"/>
        <v>#N/A</v>
      </c>
      <c r="AO413" t="e">
        <f t="shared" si="108"/>
        <v>#N/A</v>
      </c>
      <c r="AP413" t="e">
        <f t="shared" si="109"/>
        <v>#N/A</v>
      </c>
      <c r="AQ413" t="e">
        <f t="shared" si="110"/>
        <v>#N/A</v>
      </c>
    </row>
    <row r="414" spans="15:43">
      <c r="O414">
        <v>410</v>
      </c>
      <c r="P414" s="401">
        <f>'Lab test'!N413</f>
        <v>49.1</v>
      </c>
      <c r="Q414" s="401">
        <f>'Lab test'!M413</f>
        <v>9.5000000000000001E-2</v>
      </c>
      <c r="R414">
        <f>IF('Lab test'!O413&gt;0,'Lab test'!O413,NA())</f>
        <v>36.799999999999997</v>
      </c>
      <c r="S414">
        <f>'Lab test'!Q413</f>
        <v>501</v>
      </c>
      <c r="T414" s="401">
        <f>IF('Lab test'!P413&gt;0,'Lab test'!P413,NA())</f>
        <v>3.2967603866441451E-2</v>
      </c>
      <c r="U414" s="401">
        <f>'Lab test'!AZ413</f>
        <v>1971</v>
      </c>
      <c r="V414" t="e">
        <f>IF('Lab test'!AQ413&gt;0,'Lab test'!AQ413,NA())</f>
        <v>#N/A</v>
      </c>
      <c r="W414" t="e">
        <f>IF('Lab test'!AU413&gt;0,'Lab test'!AU413,NA())</f>
        <v>#N/A</v>
      </c>
      <c r="X414">
        <f>IF('Lab test'!AT413&gt;0,'Lab test'!AT413,NA())</f>
        <v>0.39676768308876392</v>
      </c>
      <c r="Y414">
        <f t="shared" si="96"/>
        <v>1</v>
      </c>
      <c r="Z414" t="str">
        <f>'Lab test'!AC413</f>
        <v>LTWa</v>
      </c>
      <c r="AA414" t="str">
        <f>'Lab test'!T413</f>
        <v>Brass</v>
      </c>
      <c r="AC414" t="e">
        <f t="shared" si="97"/>
        <v>#N/A</v>
      </c>
      <c r="AD414" t="e">
        <f t="shared" si="98"/>
        <v>#N/A</v>
      </c>
      <c r="AE414" t="e">
        <f t="shared" si="99"/>
        <v>#N/A</v>
      </c>
      <c r="AF414" t="e">
        <f t="shared" si="100"/>
        <v>#N/A</v>
      </c>
      <c r="AG414" t="e">
        <f t="shared" si="101"/>
        <v>#N/A</v>
      </c>
      <c r="AH414" t="e">
        <f t="shared" si="102"/>
        <v>#N/A</v>
      </c>
      <c r="AI414" t="e">
        <f t="shared" si="103"/>
        <v>#N/A</v>
      </c>
      <c r="AK414">
        <f t="shared" si="104"/>
        <v>0.39676768308876392</v>
      </c>
      <c r="AL414" t="e">
        <f t="shared" si="105"/>
        <v>#N/A</v>
      </c>
      <c r="AM414" t="e">
        <f t="shared" si="106"/>
        <v>#N/A</v>
      </c>
      <c r="AN414" t="e">
        <f t="shared" si="107"/>
        <v>#N/A</v>
      </c>
      <c r="AO414" t="e">
        <f t="shared" si="108"/>
        <v>#N/A</v>
      </c>
      <c r="AP414" t="e">
        <f t="shared" si="109"/>
        <v>#N/A</v>
      </c>
      <c r="AQ414" t="e">
        <f t="shared" si="110"/>
        <v>#N/A</v>
      </c>
    </row>
    <row r="415" spans="15:43">
      <c r="O415">
        <v>411</v>
      </c>
      <c r="P415" s="401">
        <f>'Lab test'!N414</f>
        <v>49.1</v>
      </c>
      <c r="Q415" s="401">
        <f>'Lab test'!M414</f>
        <v>9.6000000000000002E-2</v>
      </c>
      <c r="R415">
        <f>IF('Lab test'!O414&gt;0,'Lab test'!O414,NA())</f>
        <v>36.799999999999997</v>
      </c>
      <c r="S415">
        <f>'Lab test'!Q414</f>
        <v>496</v>
      </c>
      <c r="T415" s="401">
        <f>IF('Lab test'!P414&gt;0,'Lab test'!P414,NA())</f>
        <v>3.3140663343531399E-2</v>
      </c>
      <c r="U415" s="401">
        <f>'Lab test'!AZ414</f>
        <v>1971</v>
      </c>
      <c r="V415" t="e">
        <f>IF('Lab test'!AQ414&gt;0,'Lab test'!AQ414,NA())</f>
        <v>#N/A</v>
      </c>
      <c r="W415" t="e">
        <f>IF('Lab test'!AU414&gt;0,'Lab test'!AU414,NA())</f>
        <v>#N/A</v>
      </c>
      <c r="X415">
        <f>IF('Lab test'!AT414&gt;0,'Lab test'!AT414,NA())</f>
        <v>0.37033167311551884</v>
      </c>
      <c r="Y415">
        <f t="shared" si="96"/>
        <v>1</v>
      </c>
      <c r="Z415" t="str">
        <f>'Lab test'!AC414</f>
        <v>LTWa</v>
      </c>
      <c r="AA415" t="str">
        <f>'Lab test'!T414</f>
        <v>Brass</v>
      </c>
      <c r="AC415" t="e">
        <f t="shared" si="97"/>
        <v>#N/A</v>
      </c>
      <c r="AD415" t="e">
        <f t="shared" si="98"/>
        <v>#N/A</v>
      </c>
      <c r="AE415" t="e">
        <f t="shared" si="99"/>
        <v>#N/A</v>
      </c>
      <c r="AF415" t="e">
        <f t="shared" si="100"/>
        <v>#N/A</v>
      </c>
      <c r="AG415" t="e">
        <f t="shared" si="101"/>
        <v>#N/A</v>
      </c>
      <c r="AH415" t="e">
        <f t="shared" si="102"/>
        <v>#N/A</v>
      </c>
      <c r="AI415" t="e">
        <f t="shared" si="103"/>
        <v>#N/A</v>
      </c>
      <c r="AK415">
        <f t="shared" si="104"/>
        <v>0.37033167311551884</v>
      </c>
      <c r="AL415" t="e">
        <f t="shared" si="105"/>
        <v>#N/A</v>
      </c>
      <c r="AM415" t="e">
        <f t="shared" si="106"/>
        <v>#N/A</v>
      </c>
      <c r="AN415" t="e">
        <f t="shared" si="107"/>
        <v>#N/A</v>
      </c>
      <c r="AO415" t="e">
        <f t="shared" si="108"/>
        <v>#N/A</v>
      </c>
      <c r="AP415" t="e">
        <f t="shared" si="109"/>
        <v>#N/A</v>
      </c>
      <c r="AQ415" t="e">
        <f t="shared" si="110"/>
        <v>#N/A</v>
      </c>
    </row>
    <row r="416" spans="15:43">
      <c r="O416">
        <v>412</v>
      </c>
      <c r="P416" s="401">
        <f>'Lab test'!N415</f>
        <v>49.1</v>
      </c>
      <c r="Q416" s="401">
        <f>'Lab test'!M415</f>
        <v>9.5000000000000001E-2</v>
      </c>
      <c r="R416">
        <f>IF('Lab test'!O415&gt;0,'Lab test'!O415,NA())</f>
        <v>17.2</v>
      </c>
      <c r="S416">
        <f>'Lab test'!Q415</f>
        <v>501</v>
      </c>
      <c r="T416" s="401">
        <f>IF('Lab test'!P415&gt;0,'Lab test'!P415,NA())</f>
        <v>1.5408771372358503E-2</v>
      </c>
      <c r="U416" s="401">
        <f>'Lab test'!AZ415</f>
        <v>1971</v>
      </c>
      <c r="V416" t="e">
        <f>IF('Lab test'!AQ415&gt;0,'Lab test'!AQ415,NA())</f>
        <v>#N/A</v>
      </c>
      <c r="W416" t="e">
        <f>IF('Lab test'!AU415&gt;0,'Lab test'!AU415,NA())</f>
        <v>#N/A</v>
      </c>
      <c r="X416">
        <f>IF('Lab test'!AT415&gt;0,'Lab test'!AT415,NA())</f>
        <v>0.55795464324285493</v>
      </c>
      <c r="Y416">
        <f t="shared" si="96"/>
        <v>1</v>
      </c>
      <c r="Z416" t="str">
        <f>'Lab test'!AC415</f>
        <v>LTWa</v>
      </c>
      <c r="AA416" t="str">
        <f>'Lab test'!T415</f>
        <v>Brass</v>
      </c>
      <c r="AC416" t="e">
        <f t="shared" si="97"/>
        <v>#N/A</v>
      </c>
      <c r="AD416" t="e">
        <f t="shared" si="98"/>
        <v>#N/A</v>
      </c>
      <c r="AE416" t="e">
        <f t="shared" si="99"/>
        <v>#N/A</v>
      </c>
      <c r="AF416" t="e">
        <f t="shared" si="100"/>
        <v>#N/A</v>
      </c>
      <c r="AG416" t="e">
        <f t="shared" si="101"/>
        <v>#N/A</v>
      </c>
      <c r="AH416" t="e">
        <f t="shared" si="102"/>
        <v>#N/A</v>
      </c>
      <c r="AI416" t="e">
        <f t="shared" si="103"/>
        <v>#N/A</v>
      </c>
      <c r="AK416">
        <f t="shared" si="104"/>
        <v>0.55795464324285493</v>
      </c>
      <c r="AL416" t="e">
        <f t="shared" si="105"/>
        <v>#N/A</v>
      </c>
      <c r="AM416" t="e">
        <f t="shared" si="106"/>
        <v>#N/A</v>
      </c>
      <c r="AN416" t="e">
        <f t="shared" si="107"/>
        <v>#N/A</v>
      </c>
      <c r="AO416" t="e">
        <f t="shared" si="108"/>
        <v>#N/A</v>
      </c>
      <c r="AP416" t="e">
        <f t="shared" si="109"/>
        <v>#N/A</v>
      </c>
      <c r="AQ416" t="e">
        <f t="shared" si="110"/>
        <v>#N/A</v>
      </c>
    </row>
    <row r="417" spans="15:43">
      <c r="O417">
        <v>413</v>
      </c>
      <c r="P417" s="401">
        <f>'Lab test'!N416</f>
        <v>49.1</v>
      </c>
      <c r="Q417" s="401">
        <f>'Lab test'!M416</f>
        <v>9.5000000000000001E-2</v>
      </c>
      <c r="R417">
        <f>IF('Lab test'!O416&gt;0,'Lab test'!O416,NA())</f>
        <v>17.2</v>
      </c>
      <c r="S417">
        <f>'Lab test'!Q416</f>
        <v>511</v>
      </c>
      <c r="T417" s="401">
        <f>IF('Lab test'!P416&gt;0,'Lab test'!P416,NA())</f>
        <v>1.5408771372358503E-2</v>
      </c>
      <c r="U417" s="401">
        <f>'Lab test'!AZ416</f>
        <v>1971</v>
      </c>
      <c r="V417" t="e">
        <f>IF('Lab test'!AQ416&gt;0,'Lab test'!AQ416,NA())</f>
        <v>#N/A</v>
      </c>
      <c r="W417" t="e">
        <f>IF('Lab test'!AU416&gt;0,'Lab test'!AU416,NA())</f>
        <v>#N/A</v>
      </c>
      <c r="X417">
        <f>IF('Lab test'!AT416&gt;0,'Lab test'!AT416,NA())</f>
        <v>0.47116176195567699</v>
      </c>
      <c r="Y417">
        <f t="shared" si="96"/>
        <v>1</v>
      </c>
      <c r="Z417" t="str">
        <f>'Lab test'!AC416</f>
        <v>LTWa</v>
      </c>
      <c r="AA417" t="str">
        <f>'Lab test'!T416</f>
        <v>Brass</v>
      </c>
      <c r="AC417" t="e">
        <f t="shared" si="97"/>
        <v>#N/A</v>
      </c>
      <c r="AD417" t="e">
        <f t="shared" si="98"/>
        <v>#N/A</v>
      </c>
      <c r="AE417" t="e">
        <f t="shared" si="99"/>
        <v>#N/A</v>
      </c>
      <c r="AF417" t="e">
        <f t="shared" si="100"/>
        <v>#N/A</v>
      </c>
      <c r="AG417" t="e">
        <f t="shared" si="101"/>
        <v>#N/A</v>
      </c>
      <c r="AH417" t="e">
        <f t="shared" si="102"/>
        <v>#N/A</v>
      </c>
      <c r="AI417" t="e">
        <f t="shared" si="103"/>
        <v>#N/A</v>
      </c>
      <c r="AK417">
        <f t="shared" si="104"/>
        <v>0.47116176195567699</v>
      </c>
      <c r="AL417" t="e">
        <f t="shared" si="105"/>
        <v>#N/A</v>
      </c>
      <c r="AM417" t="e">
        <f t="shared" si="106"/>
        <v>#N/A</v>
      </c>
      <c r="AN417" t="e">
        <f t="shared" si="107"/>
        <v>#N/A</v>
      </c>
      <c r="AO417" t="e">
        <f t="shared" si="108"/>
        <v>#N/A</v>
      </c>
      <c r="AP417" t="e">
        <f t="shared" si="109"/>
        <v>#N/A</v>
      </c>
      <c r="AQ417" t="e">
        <f t="shared" si="110"/>
        <v>#N/A</v>
      </c>
    </row>
    <row r="418" spans="15:43">
      <c r="O418">
        <v>414</v>
      </c>
      <c r="P418" s="401">
        <f>'Lab test'!N417</f>
        <v>49.1</v>
      </c>
      <c r="Q418" s="401">
        <f>'Lab test'!M417</f>
        <v>9.4E-2</v>
      </c>
      <c r="R418">
        <f>IF('Lab test'!O417&gt;0,'Lab test'!O417,NA())</f>
        <v>7.4</v>
      </c>
      <c r="S418">
        <f>'Lab test'!Q417</f>
        <v>496</v>
      </c>
      <c r="T418" s="401">
        <f>IF('Lab test'!P417&gt;0,'Lab test'!P417,NA())</f>
        <v>6.5943714767665931E-3</v>
      </c>
      <c r="U418" s="401">
        <f>'Lab test'!AZ417</f>
        <v>1971</v>
      </c>
      <c r="V418" t="e">
        <f>IF('Lab test'!AQ417&gt;0,'Lab test'!AQ417,NA())</f>
        <v>#N/A</v>
      </c>
      <c r="W418" t="e">
        <f>IF('Lab test'!AU417&gt;0,'Lab test'!AU417,NA())</f>
        <v>#N/A</v>
      </c>
      <c r="X418">
        <f>IF('Lab test'!AT417&gt;0,'Lab test'!AT417,NA())</f>
        <v>0.83900341109296039</v>
      </c>
      <c r="Y418">
        <f t="shared" si="96"/>
        <v>1</v>
      </c>
      <c r="Z418" t="str">
        <f>'Lab test'!AC417</f>
        <v>LTWa</v>
      </c>
      <c r="AA418" t="str">
        <f>'Lab test'!T417</f>
        <v>Brass</v>
      </c>
      <c r="AC418" t="e">
        <f t="shared" si="97"/>
        <v>#N/A</v>
      </c>
      <c r="AD418" t="e">
        <f t="shared" si="98"/>
        <v>#N/A</v>
      </c>
      <c r="AE418" t="e">
        <f t="shared" si="99"/>
        <v>#N/A</v>
      </c>
      <c r="AF418" t="e">
        <f t="shared" si="100"/>
        <v>#N/A</v>
      </c>
      <c r="AG418" t="e">
        <f t="shared" si="101"/>
        <v>#N/A</v>
      </c>
      <c r="AH418" t="e">
        <f t="shared" si="102"/>
        <v>#N/A</v>
      </c>
      <c r="AI418" t="e">
        <f t="shared" si="103"/>
        <v>#N/A</v>
      </c>
      <c r="AK418">
        <f t="shared" si="104"/>
        <v>0.83900341109296039</v>
      </c>
      <c r="AL418" t="e">
        <f t="shared" si="105"/>
        <v>#N/A</v>
      </c>
      <c r="AM418" t="e">
        <f t="shared" si="106"/>
        <v>#N/A</v>
      </c>
      <c r="AN418" t="e">
        <f t="shared" si="107"/>
        <v>#N/A</v>
      </c>
      <c r="AO418" t="e">
        <f t="shared" si="108"/>
        <v>#N/A</v>
      </c>
      <c r="AP418" t="e">
        <f t="shared" si="109"/>
        <v>#N/A</v>
      </c>
      <c r="AQ418" t="e">
        <f t="shared" si="110"/>
        <v>#N/A</v>
      </c>
    </row>
    <row r="419" spans="15:43">
      <c r="O419">
        <v>415</v>
      </c>
      <c r="P419" s="401">
        <f>'Lab test'!N418</f>
        <v>49.1</v>
      </c>
      <c r="Q419" s="401">
        <f>'Lab test'!M418</f>
        <v>9.4E-2</v>
      </c>
      <c r="R419">
        <f>IF('Lab test'!O418&gt;0,'Lab test'!O418,NA())</f>
        <v>7.4</v>
      </c>
      <c r="S419">
        <f>'Lab test'!Q418</f>
        <v>496</v>
      </c>
      <c r="T419" s="401">
        <f>IF('Lab test'!P418&gt;0,'Lab test'!P418,NA())</f>
        <v>6.5943714767665931E-3</v>
      </c>
      <c r="U419" s="401">
        <f>'Lab test'!AZ418</f>
        <v>1971</v>
      </c>
      <c r="V419" t="e">
        <f>IF('Lab test'!AQ418&gt;0,'Lab test'!AQ418,NA())</f>
        <v>#N/A</v>
      </c>
      <c r="W419" t="e">
        <f>IF('Lab test'!AU418&gt;0,'Lab test'!AU418,NA())</f>
        <v>#N/A</v>
      </c>
      <c r="X419">
        <f>IF('Lab test'!AT418&gt;0,'Lab test'!AT418,NA())</f>
        <v>0.80734306339192341</v>
      </c>
      <c r="Y419">
        <f t="shared" si="96"/>
        <v>1</v>
      </c>
      <c r="Z419" t="str">
        <f>'Lab test'!AC418</f>
        <v>LTWa</v>
      </c>
      <c r="AA419" t="str">
        <f>'Lab test'!T418</f>
        <v>Brass</v>
      </c>
      <c r="AC419" t="e">
        <f t="shared" si="97"/>
        <v>#N/A</v>
      </c>
      <c r="AD419" t="e">
        <f t="shared" si="98"/>
        <v>#N/A</v>
      </c>
      <c r="AE419" t="e">
        <f t="shared" si="99"/>
        <v>#N/A</v>
      </c>
      <c r="AF419" t="e">
        <f t="shared" si="100"/>
        <v>#N/A</v>
      </c>
      <c r="AG419" t="e">
        <f t="shared" si="101"/>
        <v>#N/A</v>
      </c>
      <c r="AH419" t="e">
        <f t="shared" si="102"/>
        <v>#N/A</v>
      </c>
      <c r="AI419" t="e">
        <f t="shared" si="103"/>
        <v>#N/A</v>
      </c>
      <c r="AK419">
        <f t="shared" si="104"/>
        <v>0.80734306339192341</v>
      </c>
      <c r="AL419" t="e">
        <f t="shared" si="105"/>
        <v>#N/A</v>
      </c>
      <c r="AM419" t="e">
        <f t="shared" si="106"/>
        <v>#N/A</v>
      </c>
      <c r="AN419" t="e">
        <f t="shared" si="107"/>
        <v>#N/A</v>
      </c>
      <c r="AO419" t="e">
        <f t="shared" si="108"/>
        <v>#N/A</v>
      </c>
      <c r="AP419" t="e">
        <f t="shared" si="109"/>
        <v>#N/A</v>
      </c>
      <c r="AQ419" t="e">
        <f t="shared" si="110"/>
        <v>#N/A</v>
      </c>
    </row>
    <row r="420" spans="15:43">
      <c r="O420">
        <v>416</v>
      </c>
      <c r="P420" s="401">
        <f>'Lab test'!N419</f>
        <v>49</v>
      </c>
      <c r="Q420" s="401">
        <f>'Lab test'!M419</f>
        <v>2</v>
      </c>
      <c r="R420">
        <f>IF('Lab test'!O419&gt;0,'Lab test'!O419,NA())</f>
        <v>200</v>
      </c>
      <c r="S420">
        <f>'Lab test'!Q419</f>
        <v>24.5</v>
      </c>
      <c r="T420" s="401">
        <f>IF('Lab test'!P419&gt;0,'Lab test'!P419,NA())</f>
        <v>0.82461432208343732</v>
      </c>
      <c r="U420" s="401">
        <f>'Lab test'!AZ419</f>
        <v>1971</v>
      </c>
      <c r="V420">
        <f>IF('Lab test'!AQ419&gt;0,'Lab test'!AQ419,NA())</f>
        <v>0.26343004554493188</v>
      </c>
      <c r="W420">
        <f>IF('Lab test'!AU419&gt;0,'Lab test'!AU419,NA())</f>
        <v>0.93832837067054176</v>
      </c>
      <c r="X420">
        <f>IF('Lab test'!AT419&gt;0,'Lab test'!AT419,NA())</f>
        <v>6.5115662194649218E-2</v>
      </c>
      <c r="Y420">
        <f t="shared" si="96"/>
        <v>1</v>
      </c>
      <c r="Z420" t="str">
        <f>'Lab test'!AC419</f>
        <v>LTWa</v>
      </c>
      <c r="AA420" t="str">
        <f>'Lab test'!T419</f>
        <v>Steel</v>
      </c>
      <c r="AC420">
        <f t="shared" si="97"/>
        <v>0.93832837067054176</v>
      </c>
      <c r="AD420" t="e">
        <f t="shared" si="98"/>
        <v>#N/A</v>
      </c>
      <c r="AE420" t="e">
        <f t="shared" si="99"/>
        <v>#N/A</v>
      </c>
      <c r="AF420" t="e">
        <f t="shared" si="100"/>
        <v>#N/A</v>
      </c>
      <c r="AG420" t="e">
        <f t="shared" si="101"/>
        <v>#N/A</v>
      </c>
      <c r="AH420" t="e">
        <f t="shared" si="102"/>
        <v>#N/A</v>
      </c>
      <c r="AI420" t="e">
        <f t="shared" si="103"/>
        <v>#N/A</v>
      </c>
      <c r="AK420">
        <f t="shared" si="104"/>
        <v>6.5115662194649218E-2</v>
      </c>
      <c r="AL420" t="e">
        <f t="shared" si="105"/>
        <v>#N/A</v>
      </c>
      <c r="AM420" t="e">
        <f t="shared" si="106"/>
        <v>#N/A</v>
      </c>
      <c r="AN420" t="e">
        <f t="shared" si="107"/>
        <v>#N/A</v>
      </c>
      <c r="AO420" t="e">
        <f t="shared" si="108"/>
        <v>#N/A</v>
      </c>
      <c r="AP420" t="e">
        <f t="shared" si="109"/>
        <v>#N/A</v>
      </c>
      <c r="AQ420" t="e">
        <f t="shared" si="110"/>
        <v>#N/A</v>
      </c>
    </row>
    <row r="421" spans="15:43">
      <c r="O421">
        <v>417</v>
      </c>
      <c r="P421" s="401">
        <f>'Lab test'!N420</f>
        <v>49.1</v>
      </c>
      <c r="Q421" s="401">
        <f>'Lab test'!M420</f>
        <v>1.1499999999999999</v>
      </c>
      <c r="R421">
        <f>IF('Lab test'!O420&gt;0,'Lab test'!O420,NA())</f>
        <v>87</v>
      </c>
      <c r="S421">
        <f>'Lab test'!Q420</f>
        <v>42.7</v>
      </c>
      <c r="T421" s="401">
        <f>IF('Lab test'!P420&gt;0,'Lab test'!P420,NA())</f>
        <v>0.27117268083923418</v>
      </c>
      <c r="U421" s="401">
        <f>'Lab test'!AZ420</f>
        <v>1971</v>
      </c>
      <c r="V421">
        <f>IF('Lab test'!AQ420&gt;0,'Lab test'!AQ420,NA())</f>
        <v>0.3477555666755387</v>
      </c>
      <c r="W421">
        <f>IF('Lab test'!AU420&gt;0,'Lab test'!AU420,NA())</f>
        <v>0.78687246647398568</v>
      </c>
      <c r="X421">
        <f>IF('Lab test'!AT420&gt;0,'Lab test'!AT420,NA())</f>
        <v>9.5159583048022869E-2</v>
      </c>
      <c r="Y421">
        <f t="shared" si="96"/>
        <v>1</v>
      </c>
      <c r="Z421" t="str">
        <f>'Lab test'!AC420</f>
        <v>LTWa</v>
      </c>
      <c r="AA421" t="str">
        <f>'Lab test'!T420</f>
        <v>Steel</v>
      </c>
      <c r="AC421">
        <f t="shared" si="97"/>
        <v>0.78687246647398568</v>
      </c>
      <c r="AD421" t="e">
        <f t="shared" si="98"/>
        <v>#N/A</v>
      </c>
      <c r="AE421" t="e">
        <f t="shared" si="99"/>
        <v>#N/A</v>
      </c>
      <c r="AF421" t="e">
        <f t="shared" si="100"/>
        <v>#N/A</v>
      </c>
      <c r="AG421" t="e">
        <f t="shared" si="101"/>
        <v>#N/A</v>
      </c>
      <c r="AH421" t="e">
        <f t="shared" si="102"/>
        <v>#N/A</v>
      </c>
      <c r="AI421" t="e">
        <f t="shared" si="103"/>
        <v>#N/A</v>
      </c>
      <c r="AK421">
        <f t="shared" si="104"/>
        <v>9.5159583048022869E-2</v>
      </c>
      <c r="AL421" t="e">
        <f t="shared" si="105"/>
        <v>#N/A</v>
      </c>
      <c r="AM421" t="e">
        <f t="shared" si="106"/>
        <v>#N/A</v>
      </c>
      <c r="AN421" t="e">
        <f t="shared" si="107"/>
        <v>#N/A</v>
      </c>
      <c r="AO421" t="e">
        <f t="shared" si="108"/>
        <v>#N/A</v>
      </c>
      <c r="AP421" t="e">
        <f t="shared" si="109"/>
        <v>#N/A</v>
      </c>
      <c r="AQ421" t="e">
        <f t="shared" si="110"/>
        <v>#N/A</v>
      </c>
    </row>
    <row r="422" spans="15:43">
      <c r="O422">
        <v>418</v>
      </c>
      <c r="P422" s="401">
        <f>'Lab test'!N421</f>
        <v>48.7</v>
      </c>
      <c r="Q422" s="401">
        <f>'Lab test'!M421</f>
        <v>0.5</v>
      </c>
      <c r="R422">
        <f>IF('Lab test'!O421&gt;0,'Lab test'!O421,NA())</f>
        <v>87</v>
      </c>
      <c r="S422">
        <f>'Lab test'!Q421</f>
        <v>97.3</v>
      </c>
      <c r="T422" s="401">
        <f>IF('Lab test'!P421&gt;0,'Lab test'!P421,NA())</f>
        <v>0.18101343630210584</v>
      </c>
      <c r="U422" s="401">
        <f>'Lab test'!AZ421</f>
        <v>1971</v>
      </c>
      <c r="V422">
        <f>IF('Lab test'!AQ421&gt;0,'Lab test'!AQ421,NA())</f>
        <v>0.52524477786217494</v>
      </c>
      <c r="W422">
        <f>IF('Lab test'!AU421&gt;0,'Lab test'!AU421,NA())</f>
        <v>0.6899256031818416</v>
      </c>
      <c r="X422">
        <f>IF('Lab test'!AT421&gt;0,'Lab test'!AT421,NA())</f>
        <v>0.1903381081546337</v>
      </c>
      <c r="Y422">
        <f t="shared" si="96"/>
        <v>1</v>
      </c>
      <c r="Z422" t="str">
        <f>'Lab test'!AC421</f>
        <v>LTWa</v>
      </c>
      <c r="AA422" t="str">
        <f>'Lab test'!T421</f>
        <v>Steel</v>
      </c>
      <c r="AC422">
        <f t="shared" si="97"/>
        <v>0.6899256031818416</v>
      </c>
      <c r="AD422" t="e">
        <f t="shared" si="98"/>
        <v>#N/A</v>
      </c>
      <c r="AE422" t="e">
        <f t="shared" si="99"/>
        <v>#N/A</v>
      </c>
      <c r="AF422" t="e">
        <f t="shared" si="100"/>
        <v>#N/A</v>
      </c>
      <c r="AG422" t="e">
        <f t="shared" si="101"/>
        <v>#N/A</v>
      </c>
      <c r="AH422" t="e">
        <f t="shared" si="102"/>
        <v>#N/A</v>
      </c>
      <c r="AI422" t="e">
        <f t="shared" si="103"/>
        <v>#N/A</v>
      </c>
      <c r="AK422">
        <f t="shared" si="104"/>
        <v>0.1903381081546337</v>
      </c>
      <c r="AL422" t="e">
        <f t="shared" si="105"/>
        <v>#N/A</v>
      </c>
      <c r="AM422" t="e">
        <f t="shared" si="106"/>
        <v>#N/A</v>
      </c>
      <c r="AN422" t="e">
        <f t="shared" si="107"/>
        <v>#N/A</v>
      </c>
      <c r="AO422" t="e">
        <f t="shared" si="108"/>
        <v>#N/A</v>
      </c>
      <c r="AP422" t="e">
        <f t="shared" si="109"/>
        <v>#N/A</v>
      </c>
      <c r="AQ422" t="e">
        <f t="shared" si="110"/>
        <v>#N/A</v>
      </c>
    </row>
    <row r="423" spans="15:43">
      <c r="O423">
        <v>419</v>
      </c>
      <c r="P423" s="401">
        <f>'Lab test'!N422</f>
        <v>48.5</v>
      </c>
      <c r="Q423" s="401">
        <f>'Lab test'!M422</f>
        <v>0.53</v>
      </c>
      <c r="R423">
        <f>IF('Lab test'!O422&gt;0,'Lab test'!O422,NA())</f>
        <v>90</v>
      </c>
      <c r="S423">
        <f>'Lab test'!Q422</f>
        <v>91.5</v>
      </c>
      <c r="T423" s="401">
        <f>IF('Lab test'!P422&gt;0,'Lab test'!P422,NA())</f>
        <v>0.19398486027127274</v>
      </c>
      <c r="U423" s="401">
        <f>'Lab test'!AZ422</f>
        <v>1971</v>
      </c>
      <c r="V423">
        <f>IF('Lab test'!AQ422&gt;0,'Lab test'!AQ422,NA())</f>
        <v>0.50911418700127697</v>
      </c>
      <c r="W423">
        <f>IF('Lab test'!AU422&gt;0,'Lab test'!AU422,NA())</f>
        <v>1.0233330653028985</v>
      </c>
      <c r="X423">
        <f>IF('Lab test'!AT422&gt;0,'Lab test'!AT422,NA())</f>
        <v>0.26524512189269084</v>
      </c>
      <c r="Y423">
        <f t="shared" si="96"/>
        <v>1</v>
      </c>
      <c r="Z423" t="str">
        <f>'Lab test'!AC422</f>
        <v>LTWa</v>
      </c>
      <c r="AA423" t="str">
        <f>'Lab test'!T422</f>
        <v>Steel</v>
      </c>
      <c r="AC423">
        <f t="shared" si="97"/>
        <v>1.0233330653028985</v>
      </c>
      <c r="AD423" t="e">
        <f t="shared" si="98"/>
        <v>#N/A</v>
      </c>
      <c r="AE423" t="e">
        <f t="shared" si="99"/>
        <v>#N/A</v>
      </c>
      <c r="AF423" t="e">
        <f t="shared" si="100"/>
        <v>#N/A</v>
      </c>
      <c r="AG423" t="e">
        <f t="shared" si="101"/>
        <v>#N/A</v>
      </c>
      <c r="AH423" t="e">
        <f t="shared" si="102"/>
        <v>#N/A</v>
      </c>
      <c r="AI423" t="e">
        <f t="shared" si="103"/>
        <v>#N/A</v>
      </c>
      <c r="AK423">
        <f t="shared" si="104"/>
        <v>0.26524512189269084</v>
      </c>
      <c r="AL423" t="e">
        <f t="shared" si="105"/>
        <v>#N/A</v>
      </c>
      <c r="AM423" t="e">
        <f t="shared" si="106"/>
        <v>#N/A</v>
      </c>
      <c r="AN423" t="e">
        <f t="shared" si="107"/>
        <v>#N/A</v>
      </c>
      <c r="AO423" t="e">
        <f t="shared" si="108"/>
        <v>#N/A</v>
      </c>
      <c r="AP423" t="e">
        <f t="shared" si="109"/>
        <v>#N/A</v>
      </c>
      <c r="AQ423" t="e">
        <f t="shared" si="110"/>
        <v>#N/A</v>
      </c>
    </row>
    <row r="424" spans="15:43">
      <c r="O424">
        <v>420</v>
      </c>
      <c r="P424" s="401">
        <f>'Lab test'!N423</f>
        <v>49.8</v>
      </c>
      <c r="Q424" s="401">
        <f>'Lab test'!M423</f>
        <v>0.5</v>
      </c>
      <c r="R424">
        <f>IF('Lab test'!O423&gt;0,'Lab test'!O423,NA())</f>
        <v>87</v>
      </c>
      <c r="S424">
        <f>'Lab test'!Q423</f>
        <v>99</v>
      </c>
      <c r="T424" s="401">
        <f>IF('Lab test'!P423&gt;0,'Lab test'!P423,NA())</f>
        <v>0.17504924447010445</v>
      </c>
      <c r="U424" s="401">
        <f>'Lab test'!AZ423</f>
        <v>1971</v>
      </c>
      <c r="V424">
        <f>IF('Lab test'!AQ423&gt;0,'Lab test'!AQ423,NA())</f>
        <v>0.53114357696186398</v>
      </c>
      <c r="W424">
        <f>IF('Lab test'!AU423&gt;0,'Lab test'!AU423,NA())</f>
        <v>0.85223530437427208</v>
      </c>
      <c r="X424">
        <f>IF('Lab test'!AT423&gt;0,'Lab test'!AT423,NA())</f>
        <v>0.24042708398480042</v>
      </c>
      <c r="Y424">
        <f t="shared" si="96"/>
        <v>1</v>
      </c>
      <c r="Z424" t="str">
        <f>'Lab test'!AC423</f>
        <v>LTWa</v>
      </c>
      <c r="AA424" t="str">
        <f>'Lab test'!T423</f>
        <v>Steel</v>
      </c>
      <c r="AC424">
        <f t="shared" si="97"/>
        <v>0.85223530437427208</v>
      </c>
      <c r="AD424" t="e">
        <f t="shared" si="98"/>
        <v>#N/A</v>
      </c>
      <c r="AE424" t="e">
        <f t="shared" si="99"/>
        <v>#N/A</v>
      </c>
      <c r="AF424" t="e">
        <f t="shared" si="100"/>
        <v>#N/A</v>
      </c>
      <c r="AG424" t="e">
        <f t="shared" si="101"/>
        <v>#N/A</v>
      </c>
      <c r="AH424" t="e">
        <f t="shared" si="102"/>
        <v>#N/A</v>
      </c>
      <c r="AI424" t="e">
        <f t="shared" si="103"/>
        <v>#N/A</v>
      </c>
      <c r="AK424">
        <f t="shared" si="104"/>
        <v>0.24042708398480042</v>
      </c>
      <c r="AL424" t="e">
        <f t="shared" si="105"/>
        <v>#N/A</v>
      </c>
      <c r="AM424" t="e">
        <f t="shared" si="106"/>
        <v>#N/A</v>
      </c>
      <c r="AN424" t="e">
        <f t="shared" si="107"/>
        <v>#N/A</v>
      </c>
      <c r="AO424" t="e">
        <f t="shared" si="108"/>
        <v>#N/A</v>
      </c>
      <c r="AP424" t="e">
        <f t="shared" si="109"/>
        <v>#N/A</v>
      </c>
      <c r="AQ424" t="e">
        <f t="shared" si="110"/>
        <v>#N/A</v>
      </c>
    </row>
    <row r="425" spans="15:43">
      <c r="O425">
        <v>421</v>
      </c>
      <c r="P425" s="401">
        <f>'Lab test'!N424</f>
        <v>48.5</v>
      </c>
      <c r="Q425" s="401">
        <f>'Lab test'!M424</f>
        <v>0.3</v>
      </c>
      <c r="R425">
        <f>IF('Lab test'!O424&gt;0,'Lab test'!O424,NA())</f>
        <v>90</v>
      </c>
      <c r="S425">
        <f>'Lab test'!Q424</f>
        <v>162</v>
      </c>
      <c r="T425" s="401">
        <f>IF('Lab test'!P424&gt;0,'Lab test'!P424,NA())</f>
        <v>0.1459454395619903</v>
      </c>
      <c r="U425" s="401">
        <f>'Lab test'!AZ424</f>
        <v>1971</v>
      </c>
      <c r="V425">
        <f>IF('Lab test'!AQ424&gt;0,'Lab test'!AQ424,NA())</f>
        <v>0.67669428194511583</v>
      </c>
      <c r="W425">
        <f>IF('Lab test'!AU424&gt;0,'Lab test'!AU424,NA())</f>
        <v>0.79607846928771109</v>
      </c>
      <c r="X425">
        <f>IF('Lab test'!AT424&gt;0,'Lab test'!AT424,NA())</f>
        <v>0.36453639264465204</v>
      </c>
      <c r="Y425">
        <f t="shared" si="96"/>
        <v>1</v>
      </c>
      <c r="Z425" t="str">
        <f>'Lab test'!AC424</f>
        <v>LTWa</v>
      </c>
      <c r="AA425" t="str">
        <f>'Lab test'!T424</f>
        <v>Steel</v>
      </c>
      <c r="AC425">
        <f t="shared" si="97"/>
        <v>0.79607846928771109</v>
      </c>
      <c r="AD425" t="e">
        <f t="shared" si="98"/>
        <v>#N/A</v>
      </c>
      <c r="AE425" t="e">
        <f t="shared" si="99"/>
        <v>#N/A</v>
      </c>
      <c r="AF425" t="e">
        <f t="shared" si="100"/>
        <v>#N/A</v>
      </c>
      <c r="AG425" t="e">
        <f t="shared" si="101"/>
        <v>#N/A</v>
      </c>
      <c r="AH425" t="e">
        <f t="shared" si="102"/>
        <v>#N/A</v>
      </c>
      <c r="AI425" t="e">
        <f t="shared" si="103"/>
        <v>#N/A</v>
      </c>
      <c r="AK425">
        <f t="shared" si="104"/>
        <v>0.36453639264465204</v>
      </c>
      <c r="AL425" t="e">
        <f t="shared" si="105"/>
        <v>#N/A</v>
      </c>
      <c r="AM425" t="e">
        <f t="shared" si="106"/>
        <v>#N/A</v>
      </c>
      <c r="AN425" t="e">
        <f t="shared" si="107"/>
        <v>#N/A</v>
      </c>
      <c r="AO425" t="e">
        <f t="shared" si="108"/>
        <v>#N/A</v>
      </c>
      <c r="AP425" t="e">
        <f t="shared" si="109"/>
        <v>#N/A</v>
      </c>
      <c r="AQ425" t="e">
        <f t="shared" si="110"/>
        <v>#N/A</v>
      </c>
    </row>
    <row r="426" spans="15:43">
      <c r="O426">
        <v>422</v>
      </c>
      <c r="P426" s="401">
        <f>'Lab test'!N425</f>
        <v>350</v>
      </c>
      <c r="Q426" s="401">
        <f>'Lab test'!M425</f>
        <v>3</v>
      </c>
      <c r="R426">
        <f>IF('Lab test'!O425&gt;0,'Lab test'!O425,NA())</f>
        <v>800</v>
      </c>
      <c r="S426">
        <f>'Lab test'!Q425</f>
        <v>117</v>
      </c>
      <c r="T426" s="401">
        <f>IF('Lab test'!P425&gt;0,'Lab test'!P425,NA())</f>
        <v>0.2116160228051546</v>
      </c>
      <c r="U426" s="401">
        <f>'Lab test'!AZ425</f>
        <v>1971</v>
      </c>
      <c r="V426">
        <f>IF('Lab test'!AQ425&gt;0,'Lab test'!AQ425,NA())</f>
        <v>0.4693642741959001</v>
      </c>
      <c r="W426">
        <f>IF('Lab test'!AU425&gt;0,'Lab test'!AU425,NA())</f>
        <v>1.1494521735689953</v>
      </c>
      <c r="X426">
        <f>IF('Lab test'!AT425&gt;0,'Lab test'!AT425,NA())</f>
        <v>0.25322755746650366</v>
      </c>
      <c r="Y426">
        <f t="shared" si="96"/>
        <v>1</v>
      </c>
      <c r="Z426" t="str">
        <f>'Lab test'!AC425</f>
        <v>LTWa</v>
      </c>
      <c r="AA426" t="str">
        <f>'Lab test'!T425</f>
        <v>Steel</v>
      </c>
      <c r="AC426">
        <f t="shared" si="97"/>
        <v>1.1494521735689953</v>
      </c>
      <c r="AD426" t="e">
        <f t="shared" si="98"/>
        <v>#N/A</v>
      </c>
      <c r="AE426" t="e">
        <f t="shared" si="99"/>
        <v>#N/A</v>
      </c>
      <c r="AF426" t="e">
        <f t="shared" si="100"/>
        <v>#N/A</v>
      </c>
      <c r="AG426" t="e">
        <f t="shared" si="101"/>
        <v>#N/A</v>
      </c>
      <c r="AH426" t="e">
        <f t="shared" si="102"/>
        <v>#N/A</v>
      </c>
      <c r="AI426" t="e">
        <f t="shared" si="103"/>
        <v>#N/A</v>
      </c>
      <c r="AK426">
        <f t="shared" si="104"/>
        <v>0.25322755746650366</v>
      </c>
      <c r="AL426" t="e">
        <f t="shared" si="105"/>
        <v>#N/A</v>
      </c>
      <c r="AM426" t="e">
        <f t="shared" si="106"/>
        <v>#N/A</v>
      </c>
      <c r="AN426" t="e">
        <f t="shared" si="107"/>
        <v>#N/A</v>
      </c>
      <c r="AO426" t="e">
        <f t="shared" si="108"/>
        <v>#N/A</v>
      </c>
      <c r="AP426" t="e">
        <f t="shared" si="109"/>
        <v>#N/A</v>
      </c>
      <c r="AQ426" t="e">
        <f t="shared" si="110"/>
        <v>#N/A</v>
      </c>
    </row>
    <row r="427" spans="15:43">
      <c r="O427">
        <v>423</v>
      </c>
      <c r="P427" s="401">
        <f>'Lab test'!N426</f>
        <v>350</v>
      </c>
      <c r="Q427" s="401">
        <f>'Lab test'!M426</f>
        <v>2</v>
      </c>
      <c r="R427">
        <f>IF('Lab test'!O426&gt;0,'Lab test'!O426,NA())</f>
        <v>800</v>
      </c>
      <c r="S427">
        <f>'Lab test'!Q426</f>
        <v>150</v>
      </c>
      <c r="T427" s="401">
        <f>IF('Lab test'!P426&gt;0,'Lab test'!P426,NA())</f>
        <v>0.17278375908993243</v>
      </c>
      <c r="U427" s="401">
        <f>'Lab test'!AZ426</f>
        <v>1971</v>
      </c>
      <c r="V427">
        <f>IF('Lab test'!AQ426&gt;0,'Lab test'!AQ426,NA())</f>
        <v>0.57485148763586424</v>
      </c>
      <c r="W427">
        <f>IF('Lab test'!AU426&gt;0,'Lab test'!AU426,NA())</f>
        <v>0.84503697907040565</v>
      </c>
      <c r="X427">
        <f>IF('Lab test'!AT426&gt;0,'Lab test'!AT426,NA())</f>
        <v>0.27924604663774732</v>
      </c>
      <c r="Y427">
        <f t="shared" si="96"/>
        <v>1</v>
      </c>
      <c r="Z427" t="str">
        <f>'Lab test'!AC426</f>
        <v>LTWa</v>
      </c>
      <c r="AA427" t="str">
        <f>'Lab test'!T426</f>
        <v>Steel</v>
      </c>
      <c r="AC427">
        <f t="shared" si="97"/>
        <v>0.84503697907040565</v>
      </c>
      <c r="AD427" t="e">
        <f t="shared" si="98"/>
        <v>#N/A</v>
      </c>
      <c r="AE427" t="e">
        <f t="shared" si="99"/>
        <v>#N/A</v>
      </c>
      <c r="AF427" t="e">
        <f t="shared" si="100"/>
        <v>#N/A</v>
      </c>
      <c r="AG427" t="e">
        <f t="shared" si="101"/>
        <v>#N/A</v>
      </c>
      <c r="AH427" t="e">
        <f t="shared" si="102"/>
        <v>#N/A</v>
      </c>
      <c r="AI427" t="e">
        <f t="shared" si="103"/>
        <v>#N/A</v>
      </c>
      <c r="AK427">
        <f t="shared" si="104"/>
        <v>0.27924604663774732</v>
      </c>
      <c r="AL427" t="e">
        <f t="shared" si="105"/>
        <v>#N/A</v>
      </c>
      <c r="AM427" t="e">
        <f t="shared" si="106"/>
        <v>#N/A</v>
      </c>
      <c r="AN427" t="e">
        <f t="shared" si="107"/>
        <v>#N/A</v>
      </c>
      <c r="AO427" t="e">
        <f t="shared" si="108"/>
        <v>#N/A</v>
      </c>
      <c r="AP427" t="e">
        <f t="shared" si="109"/>
        <v>#N/A</v>
      </c>
      <c r="AQ427" t="e">
        <f t="shared" si="110"/>
        <v>#N/A</v>
      </c>
    </row>
    <row r="428" spans="15:43">
      <c r="O428">
        <v>424</v>
      </c>
      <c r="P428" s="401">
        <f>'Lab test'!N427</f>
        <v>350</v>
      </c>
      <c r="Q428" s="401">
        <f>'Lab test'!M427</f>
        <v>2.5</v>
      </c>
      <c r="R428">
        <f>IF('Lab test'!O427&gt;0,'Lab test'!O427,NA())</f>
        <v>3000</v>
      </c>
      <c r="S428">
        <f>'Lab test'!Q427</f>
        <v>140</v>
      </c>
      <c r="T428" s="401">
        <f>IF('Lab test'!P427&gt;0,'Lab test'!P427,NA())</f>
        <v>0.72441793262444276</v>
      </c>
      <c r="U428" s="401">
        <f>'Lab test'!AZ427</f>
        <v>1971</v>
      </c>
      <c r="V428">
        <f>IF('Lab test'!AQ427&gt;0,'Lab test'!AQ427,NA())</f>
        <v>0.51416280132826886</v>
      </c>
      <c r="W428">
        <f>IF('Lab test'!AU427&gt;0,'Lab test'!AU427,NA())</f>
        <v>0.87989942086025497</v>
      </c>
      <c r="X428">
        <f>IF('Lab test'!AT427&gt;0,'Lab test'!AT427,NA())</f>
        <v>0.23261319047539386</v>
      </c>
      <c r="Y428">
        <f t="shared" si="96"/>
        <v>1</v>
      </c>
      <c r="Z428" t="str">
        <f>'Lab test'!AC427</f>
        <v>LTWa</v>
      </c>
      <c r="AA428" t="str">
        <f>'Lab test'!T427</f>
        <v>Steel</v>
      </c>
      <c r="AC428">
        <f t="shared" si="97"/>
        <v>0.87989942086025497</v>
      </c>
      <c r="AD428" t="e">
        <f t="shared" si="98"/>
        <v>#N/A</v>
      </c>
      <c r="AE428" t="e">
        <f t="shared" si="99"/>
        <v>#N/A</v>
      </c>
      <c r="AF428" t="e">
        <f t="shared" si="100"/>
        <v>#N/A</v>
      </c>
      <c r="AG428" t="e">
        <f t="shared" si="101"/>
        <v>#N/A</v>
      </c>
      <c r="AH428" t="e">
        <f t="shared" si="102"/>
        <v>#N/A</v>
      </c>
      <c r="AI428" t="e">
        <f t="shared" si="103"/>
        <v>#N/A</v>
      </c>
      <c r="AK428">
        <f t="shared" si="104"/>
        <v>0.23261319047539386</v>
      </c>
      <c r="AL428" t="e">
        <f t="shared" si="105"/>
        <v>#N/A</v>
      </c>
      <c r="AM428" t="e">
        <f t="shared" si="106"/>
        <v>#N/A</v>
      </c>
      <c r="AN428" t="e">
        <f t="shared" si="107"/>
        <v>#N/A</v>
      </c>
      <c r="AO428" t="e">
        <f t="shared" si="108"/>
        <v>#N/A</v>
      </c>
      <c r="AP428" t="e">
        <f t="shared" si="109"/>
        <v>#N/A</v>
      </c>
      <c r="AQ428" t="e">
        <f t="shared" si="110"/>
        <v>#N/A</v>
      </c>
    </row>
    <row r="429" spans="15:43">
      <c r="O429">
        <v>425</v>
      </c>
      <c r="P429" s="401">
        <f>'Lab test'!N428</f>
        <v>23.876000000000001</v>
      </c>
      <c r="Q429" s="401">
        <f>'Lab test'!M428</f>
        <v>5.1816000000000008E-2</v>
      </c>
      <c r="R429">
        <f>IF('Lab test'!O428&gt;0,'Lab test'!O428,NA())</f>
        <v>135.001</v>
      </c>
      <c r="S429">
        <f>'Lab test'!Q428</f>
        <v>460.78431372549016</v>
      </c>
      <c r="T429" s="401">
        <f>IF('Lab test'!P428&gt;0,'Lab test'!P428,NA())</f>
        <v>0.26340655122956258</v>
      </c>
      <c r="U429" s="401">
        <f>'Lab test'!AZ428</f>
        <v>1934</v>
      </c>
      <c r="V429">
        <f>IF('Lab test'!AQ428&gt;0,'Lab test'!AQ428,NA())</f>
        <v>1.1828034630256554</v>
      </c>
      <c r="W429">
        <f>IF('Lab test'!AU428&gt;0,'Lab test'!AU428,NA())</f>
        <v>0.27627135514766743</v>
      </c>
      <c r="X429">
        <f>IF('Lab test'!AT428&gt;0,'Lab test'!AT428,NA())</f>
        <v>0.3865102652449865</v>
      </c>
      <c r="Y429">
        <f t="shared" si="96"/>
        <v>1</v>
      </c>
      <c r="Z429" t="str">
        <f>'Lab test'!AC428</f>
        <v>LTWb</v>
      </c>
      <c r="AA429" t="str">
        <f>'Lab test'!T428</f>
        <v>Steel</v>
      </c>
      <c r="AC429" t="e">
        <f t="shared" si="97"/>
        <v>#N/A</v>
      </c>
      <c r="AD429">
        <f t="shared" si="98"/>
        <v>0.27627135514766743</v>
      </c>
      <c r="AE429" t="e">
        <f t="shared" si="99"/>
        <v>#N/A</v>
      </c>
      <c r="AF429" t="e">
        <f t="shared" si="100"/>
        <v>#N/A</v>
      </c>
      <c r="AG429" t="e">
        <f t="shared" si="101"/>
        <v>#N/A</v>
      </c>
      <c r="AH429" t="e">
        <f t="shared" si="102"/>
        <v>#N/A</v>
      </c>
      <c r="AI429" t="e">
        <f t="shared" si="103"/>
        <v>#N/A</v>
      </c>
      <c r="AK429" t="e">
        <f t="shared" si="104"/>
        <v>#N/A</v>
      </c>
      <c r="AL429">
        <f t="shared" si="105"/>
        <v>0.3865102652449865</v>
      </c>
      <c r="AM429" t="e">
        <f t="shared" si="106"/>
        <v>#N/A</v>
      </c>
      <c r="AN429" t="e">
        <f t="shared" si="107"/>
        <v>#N/A</v>
      </c>
      <c r="AO429" t="e">
        <f t="shared" si="108"/>
        <v>#N/A</v>
      </c>
      <c r="AP429" t="e">
        <f t="shared" si="109"/>
        <v>#N/A</v>
      </c>
      <c r="AQ429" t="e">
        <f t="shared" si="110"/>
        <v>#N/A</v>
      </c>
    </row>
    <row r="430" spans="15:43">
      <c r="O430">
        <v>426</v>
      </c>
      <c r="P430" s="401">
        <f>'Lab test'!N429</f>
        <v>23.876000000000001</v>
      </c>
      <c r="Q430" s="401">
        <f>'Lab test'!M429</f>
        <v>5.1816000000000008E-2</v>
      </c>
      <c r="R430">
        <f>IF('Lab test'!O429&gt;0,'Lab test'!O429,NA())</f>
        <v>135.001</v>
      </c>
      <c r="S430">
        <f>'Lab test'!Q429</f>
        <v>460.78431372549016</v>
      </c>
      <c r="T430" s="401">
        <f>IF('Lab test'!P429&gt;0,'Lab test'!P429,NA())</f>
        <v>0.26340655122956258</v>
      </c>
      <c r="U430" s="401">
        <f>'Lab test'!AZ429</f>
        <v>1934</v>
      </c>
      <c r="V430">
        <f>IF('Lab test'!AQ429&gt;0,'Lab test'!AQ429,NA())</f>
        <v>1.1828034630256554</v>
      </c>
      <c r="W430">
        <f>IF('Lab test'!AU429&gt;0,'Lab test'!AU429,NA())</f>
        <v>0.3136831011572474</v>
      </c>
      <c r="X430">
        <f>IF('Lab test'!AT429&gt;0,'Lab test'!AT429,NA())</f>
        <v>0.43885019699691169</v>
      </c>
      <c r="Y430">
        <f t="shared" si="96"/>
        <v>1</v>
      </c>
      <c r="Z430" t="str">
        <f>'Lab test'!AC429</f>
        <v>LTWb</v>
      </c>
      <c r="AA430" t="str">
        <f>'Lab test'!T429</f>
        <v>Steel</v>
      </c>
      <c r="AC430" t="e">
        <f t="shared" si="97"/>
        <v>#N/A</v>
      </c>
      <c r="AD430">
        <f t="shared" si="98"/>
        <v>0.3136831011572474</v>
      </c>
      <c r="AE430" t="e">
        <f t="shared" si="99"/>
        <v>#N/A</v>
      </c>
      <c r="AF430" t="e">
        <f t="shared" si="100"/>
        <v>#N/A</v>
      </c>
      <c r="AG430" t="e">
        <f t="shared" si="101"/>
        <v>#N/A</v>
      </c>
      <c r="AH430" t="e">
        <f t="shared" si="102"/>
        <v>#N/A</v>
      </c>
      <c r="AI430" t="e">
        <f t="shared" si="103"/>
        <v>#N/A</v>
      </c>
      <c r="AK430" t="e">
        <f t="shared" si="104"/>
        <v>#N/A</v>
      </c>
      <c r="AL430">
        <f t="shared" si="105"/>
        <v>0.43885019699691169</v>
      </c>
      <c r="AM430" t="e">
        <f t="shared" si="106"/>
        <v>#N/A</v>
      </c>
      <c r="AN430" t="e">
        <f t="shared" si="107"/>
        <v>#N/A</v>
      </c>
      <c r="AO430" t="e">
        <f t="shared" si="108"/>
        <v>#N/A</v>
      </c>
      <c r="AP430" t="e">
        <f t="shared" si="109"/>
        <v>#N/A</v>
      </c>
      <c r="AQ430" t="e">
        <f t="shared" si="110"/>
        <v>#N/A</v>
      </c>
    </row>
    <row r="431" spans="15:43">
      <c r="O431">
        <v>427</v>
      </c>
      <c r="P431" s="401">
        <f>'Lab test'!N430</f>
        <v>23.876000000000001</v>
      </c>
      <c r="Q431" s="401">
        <f>'Lab test'!M430</f>
        <v>5.1816000000000008E-2</v>
      </c>
      <c r="R431">
        <f>IF('Lab test'!O430&gt;0,'Lab test'!O430,NA())</f>
        <v>135.001</v>
      </c>
      <c r="S431">
        <f>'Lab test'!Q430</f>
        <v>460.78431372549016</v>
      </c>
      <c r="T431" s="401">
        <f>IF('Lab test'!P430&gt;0,'Lab test'!P430,NA())</f>
        <v>0.26340655122956258</v>
      </c>
      <c r="U431" s="401">
        <f>'Lab test'!AZ430</f>
        <v>1934</v>
      </c>
      <c r="V431">
        <f>IF('Lab test'!AQ430&gt;0,'Lab test'!AQ430,NA())</f>
        <v>1.1828034630256554</v>
      </c>
      <c r="W431">
        <f>IF('Lab test'!AU430&gt;0,'Lab test'!AU430,NA())</f>
        <v>0.33238897416203733</v>
      </c>
      <c r="X431">
        <f>IF('Lab test'!AT430&gt;0,'Lab test'!AT430,NA())</f>
        <v>0.46502016287287429</v>
      </c>
      <c r="Y431">
        <f t="shared" si="96"/>
        <v>1</v>
      </c>
      <c r="Z431" t="str">
        <f>'Lab test'!AC430</f>
        <v>LTWb</v>
      </c>
      <c r="AA431" t="str">
        <f>'Lab test'!T430</f>
        <v>Steel</v>
      </c>
      <c r="AC431" t="e">
        <f t="shared" si="97"/>
        <v>#N/A</v>
      </c>
      <c r="AD431">
        <f t="shared" si="98"/>
        <v>0.33238897416203733</v>
      </c>
      <c r="AE431" t="e">
        <f t="shared" si="99"/>
        <v>#N/A</v>
      </c>
      <c r="AF431" t="e">
        <f t="shared" si="100"/>
        <v>#N/A</v>
      </c>
      <c r="AG431" t="e">
        <f t="shared" si="101"/>
        <v>#N/A</v>
      </c>
      <c r="AH431" t="e">
        <f t="shared" si="102"/>
        <v>#N/A</v>
      </c>
      <c r="AI431" t="e">
        <f t="shared" si="103"/>
        <v>#N/A</v>
      </c>
      <c r="AK431" t="e">
        <f t="shared" si="104"/>
        <v>#N/A</v>
      </c>
      <c r="AL431">
        <f t="shared" si="105"/>
        <v>0.46502016287287429</v>
      </c>
      <c r="AM431" t="e">
        <f t="shared" si="106"/>
        <v>#N/A</v>
      </c>
      <c r="AN431" t="e">
        <f t="shared" si="107"/>
        <v>#N/A</v>
      </c>
      <c r="AO431" t="e">
        <f t="shared" si="108"/>
        <v>#N/A</v>
      </c>
      <c r="AP431" t="e">
        <f t="shared" si="109"/>
        <v>#N/A</v>
      </c>
      <c r="AQ431" t="e">
        <f t="shared" si="110"/>
        <v>#N/A</v>
      </c>
    </row>
    <row r="432" spans="15:43">
      <c r="O432">
        <v>428</v>
      </c>
      <c r="P432" s="401">
        <f>'Lab test'!N431</f>
        <v>23.876000000000001</v>
      </c>
      <c r="Q432" s="401">
        <f>'Lab test'!M431</f>
        <v>8.1279999999999991E-2</v>
      </c>
      <c r="R432">
        <f>IF('Lab test'!O431&gt;0,'Lab test'!O431,NA())</f>
        <v>135.001</v>
      </c>
      <c r="S432">
        <f>'Lab test'!Q431</f>
        <v>293.75000000000006</v>
      </c>
      <c r="T432" s="401">
        <f>IF('Lab test'!P431&gt;0,'Lab test'!P431,NA())</f>
        <v>0.32990316162183381</v>
      </c>
      <c r="U432" s="401">
        <f>'Lab test'!AZ431</f>
        <v>1934</v>
      </c>
      <c r="V432">
        <f>IF('Lab test'!AQ431&gt;0,'Lab test'!AQ431,NA())</f>
        <v>0.89118836804024459</v>
      </c>
      <c r="W432">
        <f>IF('Lab test'!AU431&gt;0,'Lab test'!AU431,NA())</f>
        <v>0.49007988329055813</v>
      </c>
      <c r="X432">
        <f>IF('Lab test'!AT431&gt;0,'Lab test'!AT431,NA())</f>
        <v>0.38922963123581278</v>
      </c>
      <c r="Y432">
        <f t="shared" si="96"/>
        <v>1</v>
      </c>
      <c r="Z432" t="str">
        <f>'Lab test'!AC431</f>
        <v>LTWb</v>
      </c>
      <c r="AA432" t="str">
        <f>'Lab test'!T431</f>
        <v>Brass</v>
      </c>
      <c r="AC432" t="e">
        <f t="shared" si="97"/>
        <v>#N/A</v>
      </c>
      <c r="AD432">
        <f t="shared" si="98"/>
        <v>0.49007988329055813</v>
      </c>
      <c r="AE432" t="e">
        <f t="shared" si="99"/>
        <v>#N/A</v>
      </c>
      <c r="AF432" t="e">
        <f t="shared" si="100"/>
        <v>#N/A</v>
      </c>
      <c r="AG432" t="e">
        <f t="shared" si="101"/>
        <v>#N/A</v>
      </c>
      <c r="AH432" t="e">
        <f t="shared" si="102"/>
        <v>#N/A</v>
      </c>
      <c r="AI432" t="e">
        <f t="shared" si="103"/>
        <v>#N/A</v>
      </c>
      <c r="AK432" t="e">
        <f t="shared" si="104"/>
        <v>#N/A</v>
      </c>
      <c r="AL432">
        <f t="shared" si="105"/>
        <v>0.38922963123581278</v>
      </c>
      <c r="AM432" t="e">
        <f t="shared" si="106"/>
        <v>#N/A</v>
      </c>
      <c r="AN432" t="e">
        <f t="shared" si="107"/>
        <v>#N/A</v>
      </c>
      <c r="AO432" t="e">
        <f t="shared" si="108"/>
        <v>#N/A</v>
      </c>
      <c r="AP432" t="e">
        <f t="shared" si="109"/>
        <v>#N/A</v>
      </c>
      <c r="AQ432" t="e">
        <f t="shared" si="110"/>
        <v>#N/A</v>
      </c>
    </row>
    <row r="433" spans="15:43">
      <c r="O433">
        <v>429</v>
      </c>
      <c r="P433" s="401">
        <f>'Lab test'!N432</f>
        <v>47.625</v>
      </c>
      <c r="Q433" s="401">
        <f>'Lab test'!M432</f>
        <v>7.4929999999999997E-2</v>
      </c>
      <c r="R433">
        <f>IF('Lab test'!O432&gt;0,'Lab test'!O432,NA())</f>
        <v>135.001</v>
      </c>
      <c r="S433">
        <f>'Lab test'!Q432</f>
        <v>635.59322033898309</v>
      </c>
      <c r="T433" s="401">
        <f>IF('Lab test'!P432&gt;0,'Lab test'!P432,NA())</f>
        <v>0.11243780758630441</v>
      </c>
      <c r="U433" s="401">
        <f>'Lab test'!AZ432</f>
        <v>1934</v>
      </c>
      <c r="V433">
        <f>IF('Lab test'!AQ432&gt;0,'Lab test'!AQ432,NA())</f>
        <v>1.2914800778037814</v>
      </c>
      <c r="W433">
        <f>IF('Lab test'!AU432&gt;0,'Lab test'!AU432,NA())</f>
        <v>0.16997725164603367</v>
      </c>
      <c r="X433">
        <f>IF('Lab test'!AT432&gt;0,'Lab test'!AT432,NA())</f>
        <v>0.2835085920793407</v>
      </c>
      <c r="Y433">
        <f t="shared" si="96"/>
        <v>1</v>
      </c>
      <c r="Z433" t="str">
        <f>'Lab test'!AC432</f>
        <v>LTWb</v>
      </c>
      <c r="AA433" t="str">
        <f>'Lab test'!T432</f>
        <v>Steel</v>
      </c>
      <c r="AC433" t="e">
        <f t="shared" si="97"/>
        <v>#N/A</v>
      </c>
      <c r="AD433">
        <f t="shared" si="98"/>
        <v>0.16997725164603367</v>
      </c>
      <c r="AE433" t="e">
        <f t="shared" si="99"/>
        <v>#N/A</v>
      </c>
      <c r="AF433" t="e">
        <f t="shared" si="100"/>
        <v>#N/A</v>
      </c>
      <c r="AG433" t="e">
        <f t="shared" si="101"/>
        <v>#N/A</v>
      </c>
      <c r="AH433" t="e">
        <f t="shared" si="102"/>
        <v>#N/A</v>
      </c>
      <c r="AI433" t="e">
        <f t="shared" si="103"/>
        <v>#N/A</v>
      </c>
      <c r="AK433" t="e">
        <f t="shared" si="104"/>
        <v>#N/A</v>
      </c>
      <c r="AL433">
        <f t="shared" si="105"/>
        <v>0.2835085920793407</v>
      </c>
      <c r="AM433" t="e">
        <f t="shared" si="106"/>
        <v>#N/A</v>
      </c>
      <c r="AN433" t="e">
        <f t="shared" si="107"/>
        <v>#N/A</v>
      </c>
      <c r="AO433" t="e">
        <f t="shared" si="108"/>
        <v>#N/A</v>
      </c>
      <c r="AP433" t="e">
        <f t="shared" si="109"/>
        <v>#N/A</v>
      </c>
      <c r="AQ433" t="e">
        <f t="shared" si="110"/>
        <v>#N/A</v>
      </c>
    </row>
    <row r="434" spans="15:43">
      <c r="O434">
        <v>430</v>
      </c>
      <c r="P434" s="401">
        <f>'Lab test'!N433</f>
        <v>47.625</v>
      </c>
      <c r="Q434" s="401">
        <f>'Lab test'!M433</f>
        <v>7.4929999999999997E-2</v>
      </c>
      <c r="R434">
        <f>IF('Lab test'!O433&gt;0,'Lab test'!O433,NA())</f>
        <v>135.001</v>
      </c>
      <c r="S434">
        <f>'Lab test'!Q433</f>
        <v>635.59322033898309</v>
      </c>
      <c r="T434" s="401">
        <f>IF('Lab test'!P433&gt;0,'Lab test'!P433,NA())</f>
        <v>0.11243780758630441</v>
      </c>
      <c r="U434" s="401">
        <f>'Lab test'!AZ433</f>
        <v>1934</v>
      </c>
      <c r="V434">
        <f>IF('Lab test'!AQ433&gt;0,'Lab test'!AQ433,NA())</f>
        <v>1.2914800778037814</v>
      </c>
      <c r="W434">
        <f>IF('Lab test'!AU433&gt;0,'Lab test'!AU433,NA())</f>
        <v>0.16997725164603367</v>
      </c>
      <c r="X434">
        <f>IF('Lab test'!AT433&gt;0,'Lab test'!AT433,NA())</f>
        <v>0.2835085920793407</v>
      </c>
      <c r="Y434">
        <f t="shared" si="96"/>
        <v>1</v>
      </c>
      <c r="Z434" t="str">
        <f>'Lab test'!AC433</f>
        <v>LTWb</v>
      </c>
      <c r="AA434" t="str">
        <f>'Lab test'!T433</f>
        <v>Steel</v>
      </c>
      <c r="AC434" t="e">
        <f t="shared" si="97"/>
        <v>#N/A</v>
      </c>
      <c r="AD434">
        <f t="shared" si="98"/>
        <v>0.16997725164603367</v>
      </c>
      <c r="AE434" t="e">
        <f t="shared" si="99"/>
        <v>#N/A</v>
      </c>
      <c r="AF434" t="e">
        <f t="shared" si="100"/>
        <v>#N/A</v>
      </c>
      <c r="AG434" t="e">
        <f t="shared" si="101"/>
        <v>#N/A</v>
      </c>
      <c r="AH434" t="e">
        <f t="shared" si="102"/>
        <v>#N/A</v>
      </c>
      <c r="AI434" t="e">
        <f t="shared" si="103"/>
        <v>#N/A</v>
      </c>
      <c r="AK434" t="e">
        <f t="shared" si="104"/>
        <v>#N/A</v>
      </c>
      <c r="AL434">
        <f t="shared" si="105"/>
        <v>0.2835085920793407</v>
      </c>
      <c r="AM434" t="e">
        <f t="shared" si="106"/>
        <v>#N/A</v>
      </c>
      <c r="AN434" t="e">
        <f t="shared" si="107"/>
        <v>#N/A</v>
      </c>
      <c r="AO434" t="e">
        <f t="shared" si="108"/>
        <v>#N/A</v>
      </c>
      <c r="AP434" t="e">
        <f t="shared" si="109"/>
        <v>#N/A</v>
      </c>
      <c r="AQ434" t="e">
        <f t="shared" si="110"/>
        <v>#N/A</v>
      </c>
    </row>
    <row r="435" spans="15:43">
      <c r="O435">
        <v>431</v>
      </c>
      <c r="P435" s="401">
        <f>'Lab test'!N434</f>
        <v>23.876000000000001</v>
      </c>
      <c r="Q435" s="401">
        <f>'Lab test'!M434</f>
        <v>5.1816000000000008E-2</v>
      </c>
      <c r="R435">
        <f>IF('Lab test'!O434&gt;0,'Lab test'!O434,NA())</f>
        <v>287.40100000000001</v>
      </c>
      <c r="S435">
        <f>'Lab test'!Q434</f>
        <v>460.78431372549016</v>
      </c>
      <c r="T435" s="401">
        <f>IF('Lab test'!P434&gt;0,'Lab test'!P434,NA())</f>
        <v>0.56076107754703686</v>
      </c>
      <c r="U435" s="401">
        <f>'Lab test'!AZ434</f>
        <v>1934</v>
      </c>
      <c r="V435">
        <f>IF('Lab test'!AQ434&gt;0,'Lab test'!AQ434,NA())</f>
        <v>1.2245857832908482</v>
      </c>
      <c r="W435">
        <f>IF('Lab test'!AU434&gt;0,'Lab test'!AU434,NA())</f>
        <v>0.19471223704293225</v>
      </c>
      <c r="X435">
        <f>IF('Lab test'!AT434&gt;0,'Lab test'!AT434,NA())</f>
        <v>0.29199248411835044</v>
      </c>
      <c r="Y435">
        <f t="shared" si="96"/>
        <v>1</v>
      </c>
      <c r="Z435" t="str">
        <f>'Lab test'!AC434</f>
        <v>LTWb</v>
      </c>
      <c r="AA435" t="str">
        <f>'Lab test'!T434</f>
        <v>Steel</v>
      </c>
      <c r="AC435" t="e">
        <f t="shared" si="97"/>
        <v>#N/A</v>
      </c>
      <c r="AD435">
        <f t="shared" si="98"/>
        <v>0.19471223704293225</v>
      </c>
      <c r="AE435" t="e">
        <f t="shared" si="99"/>
        <v>#N/A</v>
      </c>
      <c r="AF435" t="e">
        <f t="shared" si="100"/>
        <v>#N/A</v>
      </c>
      <c r="AG435" t="e">
        <f t="shared" si="101"/>
        <v>#N/A</v>
      </c>
      <c r="AH435" t="e">
        <f t="shared" si="102"/>
        <v>#N/A</v>
      </c>
      <c r="AI435" t="e">
        <f t="shared" si="103"/>
        <v>#N/A</v>
      </c>
      <c r="AK435" t="e">
        <f t="shared" si="104"/>
        <v>#N/A</v>
      </c>
      <c r="AL435">
        <f t="shared" si="105"/>
        <v>0.29199248411835044</v>
      </c>
      <c r="AM435" t="e">
        <f t="shared" si="106"/>
        <v>#N/A</v>
      </c>
      <c r="AN435" t="e">
        <f t="shared" si="107"/>
        <v>#N/A</v>
      </c>
      <c r="AO435" t="e">
        <f t="shared" si="108"/>
        <v>#N/A</v>
      </c>
      <c r="AP435" t="e">
        <f t="shared" si="109"/>
        <v>#N/A</v>
      </c>
      <c r="AQ435" t="e">
        <f t="shared" si="110"/>
        <v>#N/A</v>
      </c>
    </row>
    <row r="436" spans="15:43">
      <c r="O436">
        <v>432</v>
      </c>
      <c r="P436" s="401">
        <f>'Lab test'!N435</f>
        <v>23.876000000000001</v>
      </c>
      <c r="Q436" s="401">
        <f>'Lab test'!M435</f>
        <v>5.1816000000000008E-2</v>
      </c>
      <c r="R436">
        <f>IF('Lab test'!O435&gt;0,'Lab test'!O435,NA())</f>
        <v>287.40100000000001</v>
      </c>
      <c r="S436">
        <f>'Lab test'!Q435</f>
        <v>460.78431372549016</v>
      </c>
      <c r="T436" s="401">
        <f>IF('Lab test'!P435&gt;0,'Lab test'!P435,NA())</f>
        <v>0.56076107754703686</v>
      </c>
      <c r="U436" s="401">
        <f>'Lab test'!AZ435</f>
        <v>1934</v>
      </c>
      <c r="V436">
        <f>IF('Lab test'!AQ435&gt;0,'Lab test'!AQ435,NA())</f>
        <v>1.2245857832908482</v>
      </c>
      <c r="W436">
        <f>IF('Lab test'!AU435&gt;0,'Lab test'!AU435,NA())</f>
        <v>0.20250072652464954</v>
      </c>
      <c r="X436">
        <f>IF('Lab test'!AT435&gt;0,'Lab test'!AT435,NA())</f>
        <v>0.30367218348308445</v>
      </c>
      <c r="Y436">
        <f t="shared" si="96"/>
        <v>1</v>
      </c>
      <c r="Z436" t="str">
        <f>'Lab test'!AC435</f>
        <v>LTWb</v>
      </c>
      <c r="AA436" t="str">
        <f>'Lab test'!T435</f>
        <v>Steel</v>
      </c>
      <c r="AC436" t="e">
        <f t="shared" si="97"/>
        <v>#N/A</v>
      </c>
      <c r="AD436">
        <f t="shared" si="98"/>
        <v>0.20250072652464954</v>
      </c>
      <c r="AE436" t="e">
        <f t="shared" si="99"/>
        <v>#N/A</v>
      </c>
      <c r="AF436" t="e">
        <f t="shared" si="100"/>
        <v>#N/A</v>
      </c>
      <c r="AG436" t="e">
        <f t="shared" si="101"/>
        <v>#N/A</v>
      </c>
      <c r="AH436" t="e">
        <f t="shared" si="102"/>
        <v>#N/A</v>
      </c>
      <c r="AI436" t="e">
        <f t="shared" si="103"/>
        <v>#N/A</v>
      </c>
      <c r="AK436" t="e">
        <f t="shared" si="104"/>
        <v>#N/A</v>
      </c>
      <c r="AL436">
        <f t="shared" si="105"/>
        <v>0.30367218348308445</v>
      </c>
      <c r="AM436" t="e">
        <f t="shared" si="106"/>
        <v>#N/A</v>
      </c>
      <c r="AN436" t="e">
        <f t="shared" si="107"/>
        <v>#N/A</v>
      </c>
      <c r="AO436" t="e">
        <f t="shared" si="108"/>
        <v>#N/A</v>
      </c>
      <c r="AP436" t="e">
        <f t="shared" si="109"/>
        <v>#N/A</v>
      </c>
      <c r="AQ436" t="e">
        <f t="shared" si="110"/>
        <v>#N/A</v>
      </c>
    </row>
    <row r="437" spans="15:43">
      <c r="O437">
        <v>433</v>
      </c>
      <c r="P437" s="401">
        <f>'Lab test'!N436</f>
        <v>23.876000000000001</v>
      </c>
      <c r="Q437" s="401">
        <f>'Lab test'!M436</f>
        <v>5.1816000000000008E-2</v>
      </c>
      <c r="R437">
        <f>IF('Lab test'!O436&gt;0,'Lab test'!O436,NA())</f>
        <v>287.40100000000001</v>
      </c>
      <c r="S437">
        <f>'Lab test'!Q436</f>
        <v>460.78431372549016</v>
      </c>
      <c r="T437" s="401">
        <f>IF('Lab test'!P436&gt;0,'Lab test'!P436,NA())</f>
        <v>0.56076107754703686</v>
      </c>
      <c r="U437" s="401">
        <f>'Lab test'!AZ436</f>
        <v>1934</v>
      </c>
      <c r="V437">
        <f>IF('Lab test'!AQ436&gt;0,'Lab test'!AQ436,NA())</f>
        <v>1.2245857832908482</v>
      </c>
      <c r="W437">
        <f>IF('Lab test'!AU436&gt;0,'Lab test'!AU436,NA())</f>
        <v>0.21807770548808414</v>
      </c>
      <c r="X437">
        <f>IF('Lab test'!AT436&gt;0,'Lab test'!AT436,NA())</f>
        <v>0.32703158221255252</v>
      </c>
      <c r="Y437">
        <f t="shared" si="96"/>
        <v>1</v>
      </c>
      <c r="Z437" t="str">
        <f>'Lab test'!AC436</f>
        <v>LTWb</v>
      </c>
      <c r="AA437" t="str">
        <f>'Lab test'!T436</f>
        <v>Steel</v>
      </c>
      <c r="AC437" t="e">
        <f t="shared" si="97"/>
        <v>#N/A</v>
      </c>
      <c r="AD437">
        <f t="shared" si="98"/>
        <v>0.21807770548808414</v>
      </c>
      <c r="AE437" t="e">
        <f t="shared" si="99"/>
        <v>#N/A</v>
      </c>
      <c r="AF437" t="e">
        <f t="shared" si="100"/>
        <v>#N/A</v>
      </c>
      <c r="AG437" t="e">
        <f t="shared" si="101"/>
        <v>#N/A</v>
      </c>
      <c r="AH437" t="e">
        <f t="shared" si="102"/>
        <v>#N/A</v>
      </c>
      <c r="AI437" t="e">
        <f t="shared" si="103"/>
        <v>#N/A</v>
      </c>
      <c r="AK437" t="e">
        <f t="shared" si="104"/>
        <v>#N/A</v>
      </c>
      <c r="AL437">
        <f t="shared" si="105"/>
        <v>0.32703158221255252</v>
      </c>
      <c r="AM437" t="e">
        <f t="shared" si="106"/>
        <v>#N/A</v>
      </c>
      <c r="AN437" t="e">
        <f t="shared" si="107"/>
        <v>#N/A</v>
      </c>
      <c r="AO437" t="e">
        <f t="shared" si="108"/>
        <v>#N/A</v>
      </c>
      <c r="AP437" t="e">
        <f t="shared" si="109"/>
        <v>#N/A</v>
      </c>
      <c r="AQ437" t="e">
        <f t="shared" si="110"/>
        <v>#N/A</v>
      </c>
    </row>
    <row r="438" spans="15:43">
      <c r="O438">
        <v>434</v>
      </c>
      <c r="P438" s="401">
        <f>'Lab test'!N437</f>
        <v>23.876000000000001</v>
      </c>
      <c r="Q438" s="401">
        <f>'Lab test'!M437</f>
        <v>7.4929999999999997E-2</v>
      </c>
      <c r="R438">
        <f>IF('Lab test'!O437&gt;0,'Lab test'!O437,NA())</f>
        <v>135.001</v>
      </c>
      <c r="S438">
        <f>'Lab test'!Q437</f>
        <v>318.64406779661022</v>
      </c>
      <c r="T438" s="401">
        <f>IF('Lab test'!P437&gt;0,'Lab test'!P437,NA())</f>
        <v>0.31675428338749489</v>
      </c>
      <c r="U438" s="401">
        <f>'Lab test'!AZ437</f>
        <v>1934</v>
      </c>
      <c r="V438">
        <f>IF('Lab test'!AQ437&gt;0,'Lab test'!AQ437,NA())</f>
        <v>0.91443112921122494</v>
      </c>
      <c r="W438">
        <f>IF('Lab test'!AU437&gt;0,'Lab test'!AU437,NA())</f>
        <v>0.57886648361551429</v>
      </c>
      <c r="X438">
        <f>IF('Lab test'!AT437&gt;0,'Lab test'!AT437,NA())</f>
        <v>0.48403905964765487</v>
      </c>
      <c r="Y438">
        <f t="shared" si="96"/>
        <v>1</v>
      </c>
      <c r="Z438" t="str">
        <f>'Lab test'!AC437</f>
        <v>LTWb</v>
      </c>
      <c r="AA438" t="str">
        <f>'Lab test'!T437</f>
        <v>Steel</v>
      </c>
      <c r="AC438" t="e">
        <f t="shared" si="97"/>
        <v>#N/A</v>
      </c>
      <c r="AD438">
        <f t="shared" si="98"/>
        <v>0.57886648361551429</v>
      </c>
      <c r="AE438" t="e">
        <f t="shared" si="99"/>
        <v>#N/A</v>
      </c>
      <c r="AF438" t="e">
        <f t="shared" si="100"/>
        <v>#N/A</v>
      </c>
      <c r="AG438" t="e">
        <f t="shared" si="101"/>
        <v>#N/A</v>
      </c>
      <c r="AH438" t="e">
        <f t="shared" si="102"/>
        <v>#N/A</v>
      </c>
      <c r="AI438" t="e">
        <f t="shared" si="103"/>
        <v>#N/A</v>
      </c>
      <c r="AK438" t="e">
        <f t="shared" si="104"/>
        <v>#N/A</v>
      </c>
      <c r="AL438">
        <f t="shared" si="105"/>
        <v>0.48403905964765487</v>
      </c>
      <c r="AM438" t="e">
        <f t="shared" si="106"/>
        <v>#N/A</v>
      </c>
      <c r="AN438" t="e">
        <f t="shared" si="107"/>
        <v>#N/A</v>
      </c>
      <c r="AO438" t="e">
        <f t="shared" si="108"/>
        <v>#N/A</v>
      </c>
      <c r="AP438" t="e">
        <f t="shared" si="109"/>
        <v>#N/A</v>
      </c>
      <c r="AQ438" t="e">
        <f t="shared" si="110"/>
        <v>#N/A</v>
      </c>
    </row>
    <row r="439" spans="15:43">
      <c r="O439">
        <v>435</v>
      </c>
      <c r="P439" s="401">
        <f>'Lab test'!N438</f>
        <v>23.876000000000001</v>
      </c>
      <c r="Q439" s="401">
        <f>'Lab test'!M438</f>
        <v>7.4929999999999997E-2</v>
      </c>
      <c r="R439">
        <f>IF('Lab test'!O438&gt;0,'Lab test'!O438,NA())</f>
        <v>135.001</v>
      </c>
      <c r="S439">
        <f>'Lab test'!Q438</f>
        <v>318.64406779661022</v>
      </c>
      <c r="T439" s="401">
        <f>IF('Lab test'!P438&gt;0,'Lab test'!P438,NA())</f>
        <v>0.31675428338749489</v>
      </c>
      <c r="U439" s="401">
        <f>'Lab test'!AZ438</f>
        <v>1934</v>
      </c>
      <c r="V439">
        <f>IF('Lab test'!AQ438&gt;0,'Lab test'!AQ438,NA())</f>
        <v>0.91443112921122494</v>
      </c>
      <c r="W439">
        <f>IF('Lab test'!AU438&gt;0,'Lab test'!AU438,NA())</f>
        <v>0.61430728873483142</v>
      </c>
      <c r="X439">
        <f>IF('Lab test'!AT438&gt;0,'Lab test'!AT438,NA())</f>
        <v>0.51367410411587855</v>
      </c>
      <c r="Y439">
        <f t="shared" si="96"/>
        <v>1</v>
      </c>
      <c r="Z439" t="str">
        <f>'Lab test'!AC438</f>
        <v>LTWb</v>
      </c>
      <c r="AA439" t="str">
        <f>'Lab test'!T438</f>
        <v>Steel</v>
      </c>
      <c r="AC439" t="e">
        <f t="shared" si="97"/>
        <v>#N/A</v>
      </c>
      <c r="AD439">
        <f t="shared" si="98"/>
        <v>0.61430728873483142</v>
      </c>
      <c r="AE439" t="e">
        <f t="shared" si="99"/>
        <v>#N/A</v>
      </c>
      <c r="AF439" t="e">
        <f t="shared" si="100"/>
        <v>#N/A</v>
      </c>
      <c r="AG439" t="e">
        <f t="shared" si="101"/>
        <v>#N/A</v>
      </c>
      <c r="AH439" t="e">
        <f t="shared" si="102"/>
        <v>#N/A</v>
      </c>
      <c r="AI439" t="e">
        <f t="shared" si="103"/>
        <v>#N/A</v>
      </c>
      <c r="AK439" t="e">
        <f t="shared" si="104"/>
        <v>#N/A</v>
      </c>
      <c r="AL439">
        <f t="shared" si="105"/>
        <v>0.51367410411587855</v>
      </c>
      <c r="AM439" t="e">
        <f t="shared" si="106"/>
        <v>#N/A</v>
      </c>
      <c r="AN439" t="e">
        <f t="shared" si="107"/>
        <v>#N/A</v>
      </c>
      <c r="AO439" t="e">
        <f t="shared" si="108"/>
        <v>#N/A</v>
      </c>
      <c r="AP439" t="e">
        <f t="shared" si="109"/>
        <v>#N/A</v>
      </c>
      <c r="AQ439" t="e">
        <f t="shared" si="110"/>
        <v>#N/A</v>
      </c>
    </row>
    <row r="440" spans="15:43">
      <c r="O440">
        <v>436</v>
      </c>
      <c r="P440" s="401">
        <f>'Lab test'!N439</f>
        <v>47.625</v>
      </c>
      <c r="Q440" s="401">
        <f>'Lab test'!M439</f>
        <v>5.1816000000000008E-2</v>
      </c>
      <c r="R440">
        <f>IF('Lab test'!O439&gt;0,'Lab test'!O439,NA())</f>
        <v>33.528000000000006</v>
      </c>
      <c r="S440">
        <f>'Lab test'!Q439</f>
        <v>919.11764705882342</v>
      </c>
      <c r="T440" s="401">
        <f>IF('Lab test'!P439&gt;0,'Lab test'!P439,NA())</f>
        <v>2.3221330883478671E-2</v>
      </c>
      <c r="U440" s="401">
        <f>'Lab test'!AZ439</f>
        <v>1934</v>
      </c>
      <c r="V440">
        <f>IF('Lab test'!AQ439&gt;0,'Lab test'!AQ439,NA())</f>
        <v>1.6705108341757928</v>
      </c>
      <c r="W440">
        <f>IF('Lab test'!AU439&gt;0,'Lab test'!AU439,NA())</f>
        <v>9.5221527074229373E-2</v>
      </c>
      <c r="X440">
        <f>IF('Lab test'!AT439&gt;0,'Lab test'!AT439,NA())</f>
        <v>0.26572580735592816</v>
      </c>
      <c r="Y440">
        <f t="shared" si="96"/>
        <v>1</v>
      </c>
      <c r="Z440" t="str">
        <f>'Lab test'!AC439</f>
        <v>LTWb</v>
      </c>
      <c r="AA440" t="str">
        <f>'Lab test'!T439</f>
        <v>Steel</v>
      </c>
      <c r="AC440" t="e">
        <f t="shared" si="97"/>
        <v>#N/A</v>
      </c>
      <c r="AD440">
        <f t="shared" si="98"/>
        <v>9.5221527074229373E-2</v>
      </c>
      <c r="AE440" t="e">
        <f t="shared" si="99"/>
        <v>#N/A</v>
      </c>
      <c r="AF440" t="e">
        <f t="shared" si="100"/>
        <v>#N/A</v>
      </c>
      <c r="AG440" t="e">
        <f t="shared" si="101"/>
        <v>#N/A</v>
      </c>
      <c r="AH440" t="e">
        <f t="shared" si="102"/>
        <v>#N/A</v>
      </c>
      <c r="AI440" t="e">
        <f t="shared" si="103"/>
        <v>#N/A</v>
      </c>
      <c r="AK440" t="e">
        <f t="shared" si="104"/>
        <v>#N/A</v>
      </c>
      <c r="AL440">
        <f t="shared" si="105"/>
        <v>0.26572580735592816</v>
      </c>
      <c r="AM440" t="e">
        <f t="shared" si="106"/>
        <v>#N/A</v>
      </c>
      <c r="AN440" t="e">
        <f t="shared" si="107"/>
        <v>#N/A</v>
      </c>
      <c r="AO440" t="e">
        <f t="shared" si="108"/>
        <v>#N/A</v>
      </c>
      <c r="AP440" t="e">
        <f t="shared" si="109"/>
        <v>#N/A</v>
      </c>
      <c r="AQ440" t="e">
        <f t="shared" si="110"/>
        <v>#N/A</v>
      </c>
    </row>
    <row r="441" spans="15:43">
      <c r="O441">
        <v>437</v>
      </c>
      <c r="P441" s="401">
        <f>'Lab test'!N440</f>
        <v>23.876000000000001</v>
      </c>
      <c r="Q441" s="401">
        <f>'Lab test'!M440</f>
        <v>0.10033000000000002</v>
      </c>
      <c r="R441">
        <f>IF('Lab test'!O440&gt;0,'Lab test'!O440,NA())</f>
        <v>135.001</v>
      </c>
      <c r="S441">
        <f>'Lab test'!Q440</f>
        <v>237.97468354430376</v>
      </c>
      <c r="T441" s="401">
        <f>IF('Lab test'!P440&gt;0,'Lab test'!P440,NA())</f>
        <v>0.36653042992274332</v>
      </c>
      <c r="U441" s="401">
        <f>'Lab test'!AZ440</f>
        <v>1934</v>
      </c>
      <c r="V441">
        <f>IF('Lab test'!AQ440&gt;0,'Lab test'!AQ440,NA())</f>
        <v>0.69153065309309791</v>
      </c>
      <c r="W441">
        <f>IF('Lab test'!AU440&gt;0,'Lab test'!AU440,NA())</f>
        <v>0.59554011134042495</v>
      </c>
      <c r="X441">
        <f>IF('Lab test'!AT440&gt;0,'Lab test'!AT440,NA())</f>
        <v>0.28479600243205516</v>
      </c>
      <c r="Y441">
        <f t="shared" si="96"/>
        <v>1</v>
      </c>
      <c r="Z441" t="str">
        <f>'Lab test'!AC440</f>
        <v>LTWb</v>
      </c>
      <c r="AA441" t="str">
        <f>'Lab test'!T440</f>
        <v>Steel</v>
      </c>
      <c r="AC441" t="e">
        <f t="shared" si="97"/>
        <v>#N/A</v>
      </c>
      <c r="AD441">
        <f t="shared" si="98"/>
        <v>0.59554011134042495</v>
      </c>
      <c r="AE441" t="e">
        <f t="shared" si="99"/>
        <v>#N/A</v>
      </c>
      <c r="AF441" t="e">
        <f t="shared" si="100"/>
        <v>#N/A</v>
      </c>
      <c r="AG441" t="e">
        <f t="shared" si="101"/>
        <v>#N/A</v>
      </c>
      <c r="AH441" t="e">
        <f t="shared" si="102"/>
        <v>#N/A</v>
      </c>
      <c r="AI441" t="e">
        <f t="shared" si="103"/>
        <v>#N/A</v>
      </c>
      <c r="AK441" t="e">
        <f t="shared" si="104"/>
        <v>#N/A</v>
      </c>
      <c r="AL441">
        <f t="shared" si="105"/>
        <v>0.28479600243205516</v>
      </c>
      <c r="AM441" t="e">
        <f t="shared" si="106"/>
        <v>#N/A</v>
      </c>
      <c r="AN441" t="e">
        <f t="shared" si="107"/>
        <v>#N/A</v>
      </c>
      <c r="AO441" t="e">
        <f t="shared" si="108"/>
        <v>#N/A</v>
      </c>
      <c r="AP441" t="e">
        <f t="shared" si="109"/>
        <v>#N/A</v>
      </c>
      <c r="AQ441" t="e">
        <f t="shared" si="110"/>
        <v>#N/A</v>
      </c>
    </row>
    <row r="442" spans="15:43">
      <c r="O442">
        <v>438</v>
      </c>
      <c r="P442" s="401">
        <f>'Lab test'!N441</f>
        <v>23.876000000000001</v>
      </c>
      <c r="Q442" s="401">
        <f>'Lab test'!M441</f>
        <v>0.10033000000000002</v>
      </c>
      <c r="R442">
        <f>IF('Lab test'!O441&gt;0,'Lab test'!O441,NA())</f>
        <v>135.001</v>
      </c>
      <c r="S442">
        <f>'Lab test'!Q441</f>
        <v>237.97468354430376</v>
      </c>
      <c r="T442" s="401">
        <f>IF('Lab test'!P441&gt;0,'Lab test'!P441,NA())</f>
        <v>0.36653042992274332</v>
      </c>
      <c r="U442" s="401">
        <f>'Lab test'!AZ441</f>
        <v>1934</v>
      </c>
      <c r="V442">
        <f>IF('Lab test'!AQ441&gt;0,'Lab test'!AQ441,NA())</f>
        <v>0.69153065309309791</v>
      </c>
      <c r="W442">
        <f>IF('Lab test'!AU441&gt;0,'Lab test'!AU441,NA())</f>
        <v>0.73013217650336104</v>
      </c>
      <c r="X442">
        <f>IF('Lab test'!AT441&gt;0,'Lab test'!AT441,NA())</f>
        <v>0.34915989898169963</v>
      </c>
      <c r="Y442">
        <f t="shared" si="96"/>
        <v>1</v>
      </c>
      <c r="Z442" t="str">
        <f>'Lab test'!AC441</f>
        <v>LTWb</v>
      </c>
      <c r="AA442" t="str">
        <f>'Lab test'!T441</f>
        <v>Steel</v>
      </c>
      <c r="AC442" t="e">
        <f t="shared" si="97"/>
        <v>#N/A</v>
      </c>
      <c r="AD442">
        <f t="shared" si="98"/>
        <v>0.73013217650336104</v>
      </c>
      <c r="AE442" t="e">
        <f t="shared" si="99"/>
        <v>#N/A</v>
      </c>
      <c r="AF442" t="e">
        <f t="shared" si="100"/>
        <v>#N/A</v>
      </c>
      <c r="AG442" t="e">
        <f t="shared" si="101"/>
        <v>#N/A</v>
      </c>
      <c r="AH442" t="e">
        <f t="shared" si="102"/>
        <v>#N/A</v>
      </c>
      <c r="AI442" t="e">
        <f t="shared" si="103"/>
        <v>#N/A</v>
      </c>
      <c r="AK442" t="e">
        <f t="shared" si="104"/>
        <v>#N/A</v>
      </c>
      <c r="AL442">
        <f t="shared" si="105"/>
        <v>0.34915989898169963</v>
      </c>
      <c r="AM442" t="e">
        <f t="shared" si="106"/>
        <v>#N/A</v>
      </c>
      <c r="AN442" t="e">
        <f t="shared" si="107"/>
        <v>#N/A</v>
      </c>
      <c r="AO442" t="e">
        <f t="shared" si="108"/>
        <v>#N/A</v>
      </c>
      <c r="AP442" t="e">
        <f t="shared" si="109"/>
        <v>#N/A</v>
      </c>
      <c r="AQ442" t="e">
        <f t="shared" si="110"/>
        <v>#N/A</v>
      </c>
    </row>
    <row r="443" spans="15:43">
      <c r="O443">
        <v>439</v>
      </c>
      <c r="P443" s="401">
        <f>'Lab test'!N442</f>
        <v>23.876000000000001</v>
      </c>
      <c r="Q443" s="401">
        <f>'Lab test'!M442</f>
        <v>0.10033000000000002</v>
      </c>
      <c r="R443">
        <f>IF('Lab test'!O442&gt;0,'Lab test'!O442,NA())</f>
        <v>135.001</v>
      </c>
      <c r="S443">
        <f>'Lab test'!Q442</f>
        <v>237.97468354430376</v>
      </c>
      <c r="T443" s="401">
        <f>IF('Lab test'!P442&gt;0,'Lab test'!P442,NA())</f>
        <v>0.36653042992274332</v>
      </c>
      <c r="U443" s="401">
        <f>'Lab test'!AZ442</f>
        <v>1934</v>
      </c>
      <c r="V443">
        <f>IF('Lab test'!AQ442&gt;0,'Lab test'!AQ442,NA())</f>
        <v>0.69153065309309791</v>
      </c>
      <c r="W443">
        <f>IF('Lab test'!AU442&gt;0,'Lab test'!AU442,NA())</f>
        <v>0.72655893583531839</v>
      </c>
      <c r="X443">
        <f>IF('Lab test'!AT442&gt;0,'Lab test'!AT442,NA())</f>
        <v>0.34745112296710728</v>
      </c>
      <c r="Y443">
        <f t="shared" si="96"/>
        <v>1</v>
      </c>
      <c r="Z443" t="str">
        <f>'Lab test'!AC442</f>
        <v>LTWb</v>
      </c>
      <c r="AA443" t="str">
        <f>'Lab test'!T442</f>
        <v>Steel</v>
      </c>
      <c r="AC443" t="e">
        <f t="shared" si="97"/>
        <v>#N/A</v>
      </c>
      <c r="AD443">
        <f t="shared" si="98"/>
        <v>0.72655893583531839</v>
      </c>
      <c r="AE443" t="e">
        <f t="shared" si="99"/>
        <v>#N/A</v>
      </c>
      <c r="AF443" t="e">
        <f t="shared" si="100"/>
        <v>#N/A</v>
      </c>
      <c r="AG443" t="e">
        <f t="shared" si="101"/>
        <v>#N/A</v>
      </c>
      <c r="AH443" t="e">
        <f t="shared" si="102"/>
        <v>#N/A</v>
      </c>
      <c r="AI443" t="e">
        <f t="shared" si="103"/>
        <v>#N/A</v>
      </c>
      <c r="AK443" t="e">
        <f t="shared" si="104"/>
        <v>#N/A</v>
      </c>
      <c r="AL443">
        <f t="shared" si="105"/>
        <v>0.34745112296710728</v>
      </c>
      <c r="AM443" t="e">
        <f t="shared" si="106"/>
        <v>#N/A</v>
      </c>
      <c r="AN443" t="e">
        <f t="shared" si="107"/>
        <v>#N/A</v>
      </c>
      <c r="AO443" t="e">
        <f t="shared" si="108"/>
        <v>#N/A</v>
      </c>
      <c r="AP443" t="e">
        <f t="shared" si="109"/>
        <v>#N/A</v>
      </c>
      <c r="AQ443" t="e">
        <f t="shared" si="110"/>
        <v>#N/A</v>
      </c>
    </row>
    <row r="444" spans="15:43">
      <c r="O444">
        <v>440</v>
      </c>
      <c r="P444" s="401">
        <f>'Lab test'!N443</f>
        <v>23.876000000000001</v>
      </c>
      <c r="Q444" s="401">
        <f>'Lab test'!M443</f>
        <v>0.10033000000000002</v>
      </c>
      <c r="R444">
        <f>IF('Lab test'!O443&gt;0,'Lab test'!O443,NA())</f>
        <v>135.001</v>
      </c>
      <c r="S444">
        <f>'Lab test'!Q443</f>
        <v>237.97468354430376</v>
      </c>
      <c r="T444" s="401">
        <f>IF('Lab test'!P443&gt;0,'Lab test'!P443,NA())</f>
        <v>0.36653042992274332</v>
      </c>
      <c r="U444" s="401">
        <f>'Lab test'!AZ443</f>
        <v>1934</v>
      </c>
      <c r="V444">
        <f>IF('Lab test'!AQ443&gt;0,'Lab test'!AQ443,NA())</f>
        <v>0.69153065309309791</v>
      </c>
      <c r="W444">
        <f>IF('Lab test'!AU443&gt;0,'Lab test'!AU443,NA())</f>
        <v>0.78611294696936096</v>
      </c>
      <c r="X444">
        <f>IF('Lab test'!AT443&gt;0,'Lab test'!AT443,NA())</f>
        <v>0.37593072321031284</v>
      </c>
      <c r="Y444">
        <f t="shared" si="96"/>
        <v>1</v>
      </c>
      <c r="Z444" t="str">
        <f>'Lab test'!AC443</f>
        <v>LTWb</v>
      </c>
      <c r="AA444" t="str">
        <f>'Lab test'!T443</f>
        <v>Steel</v>
      </c>
      <c r="AC444" t="e">
        <f t="shared" si="97"/>
        <v>#N/A</v>
      </c>
      <c r="AD444">
        <f t="shared" si="98"/>
        <v>0.78611294696936096</v>
      </c>
      <c r="AE444" t="e">
        <f t="shared" si="99"/>
        <v>#N/A</v>
      </c>
      <c r="AF444" t="e">
        <f t="shared" si="100"/>
        <v>#N/A</v>
      </c>
      <c r="AG444" t="e">
        <f t="shared" si="101"/>
        <v>#N/A</v>
      </c>
      <c r="AH444" t="e">
        <f t="shared" si="102"/>
        <v>#N/A</v>
      </c>
      <c r="AI444" t="e">
        <f t="shared" si="103"/>
        <v>#N/A</v>
      </c>
      <c r="AK444" t="e">
        <f t="shared" si="104"/>
        <v>#N/A</v>
      </c>
      <c r="AL444">
        <f t="shared" si="105"/>
        <v>0.37593072321031284</v>
      </c>
      <c r="AM444" t="e">
        <f t="shared" si="106"/>
        <v>#N/A</v>
      </c>
      <c r="AN444" t="e">
        <f t="shared" si="107"/>
        <v>#N/A</v>
      </c>
      <c r="AO444" t="e">
        <f t="shared" si="108"/>
        <v>#N/A</v>
      </c>
      <c r="AP444" t="e">
        <f t="shared" si="109"/>
        <v>#N/A</v>
      </c>
      <c r="AQ444" t="e">
        <f t="shared" si="110"/>
        <v>#N/A</v>
      </c>
    </row>
    <row r="445" spans="15:43">
      <c r="O445">
        <v>441</v>
      </c>
      <c r="P445" s="401">
        <f>'Lab test'!N444</f>
        <v>60.325000000000003</v>
      </c>
      <c r="Q445" s="401">
        <f>'Lab test'!M444</f>
        <v>0.50800000000000001</v>
      </c>
      <c r="R445">
        <f>IF('Lab test'!O444&gt;0,'Lab test'!O444,NA())</f>
        <v>276.86</v>
      </c>
      <c r="S445">
        <f>'Lab test'!Q444</f>
        <v>119</v>
      </c>
      <c r="T445" s="401">
        <f>IF('Lab test'!P444&gt;0,'Lab test'!P444,NA())</f>
        <v>0.42115898933711549</v>
      </c>
      <c r="U445" s="401">
        <f>'Lab test'!AZ444</f>
        <v>1967</v>
      </c>
      <c r="V445">
        <f>IF('Lab test'!AQ444&gt;0,'Lab test'!AQ444,NA())</f>
        <v>0.87351472926276308</v>
      </c>
      <c r="W445">
        <f>IF('Lab test'!AU444&gt;0,'Lab test'!AU444,NA())</f>
        <v>0.42442100934506605</v>
      </c>
      <c r="X445">
        <f>IF('Lab test'!AT444&gt;0,'Lab test'!AT444,NA())</f>
        <v>0.32384510638040481</v>
      </c>
      <c r="Y445">
        <f t="shared" si="96"/>
        <v>1</v>
      </c>
      <c r="Z445" t="str">
        <f>'Lab test'!AC444</f>
        <v>LTWb</v>
      </c>
      <c r="AA445" t="str">
        <f>'Lab test'!T444</f>
        <v>Brass</v>
      </c>
      <c r="AC445" t="e">
        <f t="shared" si="97"/>
        <v>#N/A</v>
      </c>
      <c r="AD445">
        <f t="shared" si="98"/>
        <v>0.42442100934506605</v>
      </c>
      <c r="AE445" t="e">
        <f t="shared" si="99"/>
        <v>#N/A</v>
      </c>
      <c r="AF445" t="e">
        <f t="shared" si="100"/>
        <v>#N/A</v>
      </c>
      <c r="AG445" t="e">
        <f t="shared" si="101"/>
        <v>#N/A</v>
      </c>
      <c r="AH445" t="e">
        <f t="shared" si="102"/>
        <v>#N/A</v>
      </c>
      <c r="AI445" t="e">
        <f t="shared" si="103"/>
        <v>#N/A</v>
      </c>
      <c r="AK445" t="e">
        <f t="shared" si="104"/>
        <v>#N/A</v>
      </c>
      <c r="AL445">
        <f t="shared" si="105"/>
        <v>0.32384510638040481</v>
      </c>
      <c r="AM445" t="e">
        <f t="shared" si="106"/>
        <v>#N/A</v>
      </c>
      <c r="AN445" t="e">
        <f t="shared" si="107"/>
        <v>#N/A</v>
      </c>
      <c r="AO445" t="e">
        <f t="shared" si="108"/>
        <v>#N/A</v>
      </c>
      <c r="AP445" t="e">
        <f t="shared" si="109"/>
        <v>#N/A</v>
      </c>
      <c r="AQ445" t="e">
        <f t="shared" si="110"/>
        <v>#N/A</v>
      </c>
    </row>
    <row r="446" spans="15:43">
      <c r="O446">
        <v>442</v>
      </c>
      <c r="P446" s="401">
        <f>'Lab test'!N445</f>
        <v>60.325000000000003</v>
      </c>
      <c r="Q446" s="401">
        <f>'Lab test'!M445</f>
        <v>0.50800000000000001</v>
      </c>
      <c r="R446">
        <f>IF('Lab test'!O445&gt;0,'Lab test'!O445,NA())</f>
        <v>276.86</v>
      </c>
      <c r="S446">
        <f>'Lab test'!Q445</f>
        <v>119</v>
      </c>
      <c r="T446" s="401">
        <f>IF('Lab test'!P445&gt;0,'Lab test'!P445,NA())</f>
        <v>0.42115898933711549</v>
      </c>
      <c r="U446" s="401">
        <f>'Lab test'!AZ445</f>
        <v>1967</v>
      </c>
      <c r="V446">
        <f>IF('Lab test'!AQ445&gt;0,'Lab test'!AQ445,NA())</f>
        <v>0.87351472926276308</v>
      </c>
      <c r="W446">
        <f>IF('Lab test'!AU445&gt;0,'Lab test'!AU445,NA())</f>
        <v>0.48721799542163191</v>
      </c>
      <c r="X446">
        <f>IF('Lab test'!AT445&gt;0,'Lab test'!AT445,NA())</f>
        <v>0.37176096395709735</v>
      </c>
      <c r="Y446">
        <f t="shared" si="96"/>
        <v>1</v>
      </c>
      <c r="Z446" t="str">
        <f>'Lab test'!AC445</f>
        <v>LTWb</v>
      </c>
      <c r="AA446" t="str">
        <f>'Lab test'!T445</f>
        <v>Brass</v>
      </c>
      <c r="AC446" t="e">
        <f t="shared" si="97"/>
        <v>#N/A</v>
      </c>
      <c r="AD446">
        <f t="shared" si="98"/>
        <v>0.48721799542163191</v>
      </c>
      <c r="AE446" t="e">
        <f t="shared" si="99"/>
        <v>#N/A</v>
      </c>
      <c r="AF446" t="e">
        <f t="shared" si="100"/>
        <v>#N/A</v>
      </c>
      <c r="AG446" t="e">
        <f t="shared" si="101"/>
        <v>#N/A</v>
      </c>
      <c r="AH446" t="e">
        <f t="shared" si="102"/>
        <v>#N/A</v>
      </c>
      <c r="AI446" t="e">
        <f t="shared" si="103"/>
        <v>#N/A</v>
      </c>
      <c r="AK446" t="e">
        <f t="shared" si="104"/>
        <v>#N/A</v>
      </c>
      <c r="AL446">
        <f t="shared" si="105"/>
        <v>0.37176096395709735</v>
      </c>
      <c r="AM446" t="e">
        <f t="shared" si="106"/>
        <v>#N/A</v>
      </c>
      <c r="AN446" t="e">
        <f t="shared" si="107"/>
        <v>#N/A</v>
      </c>
      <c r="AO446" t="e">
        <f t="shared" si="108"/>
        <v>#N/A</v>
      </c>
      <c r="AP446" t="e">
        <f t="shared" si="109"/>
        <v>#N/A</v>
      </c>
      <c r="AQ446" t="e">
        <f t="shared" si="110"/>
        <v>#N/A</v>
      </c>
    </row>
    <row r="447" spans="15:43">
      <c r="O447">
        <v>443</v>
      </c>
      <c r="P447" s="401">
        <f>'Lab test'!N446</f>
        <v>60.325000000000003</v>
      </c>
      <c r="Q447" s="401">
        <f>'Lab test'!M446</f>
        <v>0.2286</v>
      </c>
      <c r="R447">
        <f>IF('Lab test'!O446&gt;0,'Lab test'!O446,NA())</f>
        <v>276.86</v>
      </c>
      <c r="S447">
        <f>'Lab test'!Q446</f>
        <v>263</v>
      </c>
      <c r="T447" s="401">
        <f>IF('Lab test'!P446&gt;0,'Lab test'!P446,NA())</f>
        <v>0.28252203884786981</v>
      </c>
      <c r="U447" s="401">
        <f>'Lab test'!AZ446</f>
        <v>1967</v>
      </c>
      <c r="V447">
        <f>IF('Lab test'!AQ446&gt;0,'Lab test'!AQ446,NA())</f>
        <v>1.3021588759859088</v>
      </c>
      <c r="W447">
        <f>IF('Lab test'!AU446&gt;0,'Lab test'!AU446,NA())</f>
        <v>0.33130823688670968</v>
      </c>
      <c r="X447">
        <f>IF('Lab test'!AT446&gt;0,'Lab test'!AT446,NA())</f>
        <v>0.56177212331294712</v>
      </c>
      <c r="Y447">
        <f t="shared" si="96"/>
        <v>1</v>
      </c>
      <c r="Z447" t="str">
        <f>'Lab test'!AC446</f>
        <v>LTWb</v>
      </c>
      <c r="AA447" t="str">
        <f>'Lab test'!T446</f>
        <v>Brass</v>
      </c>
      <c r="AC447" t="e">
        <f t="shared" si="97"/>
        <v>#N/A</v>
      </c>
      <c r="AD447">
        <f t="shared" si="98"/>
        <v>0.33130823688670968</v>
      </c>
      <c r="AE447" t="e">
        <f t="shared" si="99"/>
        <v>#N/A</v>
      </c>
      <c r="AF447" t="e">
        <f t="shared" si="100"/>
        <v>#N/A</v>
      </c>
      <c r="AG447" t="e">
        <f t="shared" si="101"/>
        <v>#N/A</v>
      </c>
      <c r="AH447" t="e">
        <f t="shared" si="102"/>
        <v>#N/A</v>
      </c>
      <c r="AI447" t="e">
        <f t="shared" si="103"/>
        <v>#N/A</v>
      </c>
      <c r="AK447" t="e">
        <f t="shared" si="104"/>
        <v>#N/A</v>
      </c>
      <c r="AL447">
        <f t="shared" si="105"/>
        <v>0.56177212331294712</v>
      </c>
      <c r="AM447" t="e">
        <f t="shared" si="106"/>
        <v>#N/A</v>
      </c>
      <c r="AN447" t="e">
        <f t="shared" si="107"/>
        <v>#N/A</v>
      </c>
      <c r="AO447" t="e">
        <f t="shared" si="108"/>
        <v>#N/A</v>
      </c>
      <c r="AP447" t="e">
        <f t="shared" si="109"/>
        <v>#N/A</v>
      </c>
      <c r="AQ447" t="e">
        <f t="shared" si="110"/>
        <v>#N/A</v>
      </c>
    </row>
    <row r="448" spans="15:43">
      <c r="O448">
        <v>444</v>
      </c>
      <c r="P448" s="401">
        <f>'Lab test'!N447</f>
        <v>60.325000000000003</v>
      </c>
      <c r="Q448" s="401">
        <f>'Lab test'!M447</f>
        <v>0.2286</v>
      </c>
      <c r="R448">
        <f>IF('Lab test'!O447&gt;0,'Lab test'!O447,NA())</f>
        <v>276.86</v>
      </c>
      <c r="S448">
        <f>'Lab test'!Q447</f>
        <v>263</v>
      </c>
      <c r="T448" s="401">
        <f>IF('Lab test'!P447&gt;0,'Lab test'!P447,NA())</f>
        <v>0.28252203884786981</v>
      </c>
      <c r="U448" s="401">
        <f>'Lab test'!AZ447</f>
        <v>1967</v>
      </c>
      <c r="V448">
        <f>IF('Lab test'!AQ447&gt;0,'Lab test'!AQ447,NA())</f>
        <v>1.3021588759859088</v>
      </c>
      <c r="W448">
        <f>IF('Lab test'!AU447&gt;0,'Lab test'!AU447,NA())</f>
        <v>0.24848117766503225</v>
      </c>
      <c r="X448">
        <f>IF('Lab test'!AT447&gt;0,'Lab test'!AT447,NA())</f>
        <v>0.42132909248471029</v>
      </c>
      <c r="Y448">
        <f t="shared" si="96"/>
        <v>1</v>
      </c>
      <c r="Z448" t="str">
        <f>'Lab test'!AC447</f>
        <v>LTWb</v>
      </c>
      <c r="AA448" t="str">
        <f>'Lab test'!T447</f>
        <v>Brass</v>
      </c>
      <c r="AC448" t="e">
        <f t="shared" si="97"/>
        <v>#N/A</v>
      </c>
      <c r="AD448">
        <f t="shared" si="98"/>
        <v>0.24848117766503225</v>
      </c>
      <c r="AE448" t="e">
        <f t="shared" si="99"/>
        <v>#N/A</v>
      </c>
      <c r="AF448" t="e">
        <f t="shared" si="100"/>
        <v>#N/A</v>
      </c>
      <c r="AG448" t="e">
        <f t="shared" si="101"/>
        <v>#N/A</v>
      </c>
      <c r="AH448" t="e">
        <f t="shared" si="102"/>
        <v>#N/A</v>
      </c>
      <c r="AI448" t="e">
        <f t="shared" si="103"/>
        <v>#N/A</v>
      </c>
      <c r="AK448" t="e">
        <f t="shared" si="104"/>
        <v>#N/A</v>
      </c>
      <c r="AL448">
        <f t="shared" si="105"/>
        <v>0.42132909248471029</v>
      </c>
      <c r="AM448" t="e">
        <f t="shared" si="106"/>
        <v>#N/A</v>
      </c>
      <c r="AN448" t="e">
        <f t="shared" si="107"/>
        <v>#N/A</v>
      </c>
      <c r="AO448" t="e">
        <f t="shared" si="108"/>
        <v>#N/A</v>
      </c>
      <c r="AP448" t="e">
        <f t="shared" si="109"/>
        <v>#N/A</v>
      </c>
      <c r="AQ448" t="e">
        <f t="shared" si="110"/>
        <v>#N/A</v>
      </c>
    </row>
    <row r="449" spans="15:43">
      <c r="O449">
        <v>445</v>
      </c>
      <c r="P449" s="401">
        <f>'Lab test'!N448</f>
        <v>60.325000000000003</v>
      </c>
      <c r="Q449" s="401">
        <f>'Lab test'!M448</f>
        <v>0.127</v>
      </c>
      <c r="R449">
        <f>IF('Lab test'!O448&gt;0,'Lab test'!O448,NA())</f>
        <v>276.86</v>
      </c>
      <c r="S449">
        <f>'Lab test'!Q448</f>
        <v>475</v>
      </c>
      <c r="T449" s="401">
        <f>IF('Lab test'!P448&gt;0,'Lab test'!P448,NA())</f>
        <v>0.21057949466855774</v>
      </c>
      <c r="U449" s="401">
        <f>'Lab test'!AZ448</f>
        <v>1967</v>
      </c>
      <c r="V449">
        <f>IF('Lab test'!AQ448&gt;0,'Lab test'!AQ448,NA())</f>
        <v>1.7470294585255262</v>
      </c>
      <c r="W449">
        <f>IF('Lab test'!AU448&gt;0,'Lab test'!AU448,NA())</f>
        <v>0.10285713236678898</v>
      </c>
      <c r="X449">
        <f>IF('Lab test'!AT448&gt;0,'Lab test'!AT448,NA())</f>
        <v>0.31393148067488225</v>
      </c>
      <c r="Y449">
        <f t="shared" si="96"/>
        <v>1</v>
      </c>
      <c r="Z449" t="str">
        <f>'Lab test'!AC448</f>
        <v>LTWb</v>
      </c>
      <c r="AA449" t="str">
        <f>'Lab test'!T448</f>
        <v>Brass</v>
      </c>
      <c r="AC449" t="e">
        <f t="shared" si="97"/>
        <v>#N/A</v>
      </c>
      <c r="AD449">
        <f t="shared" si="98"/>
        <v>0.10285713236678898</v>
      </c>
      <c r="AE449" t="e">
        <f t="shared" si="99"/>
        <v>#N/A</v>
      </c>
      <c r="AF449" t="e">
        <f t="shared" si="100"/>
        <v>#N/A</v>
      </c>
      <c r="AG449" t="e">
        <f t="shared" si="101"/>
        <v>#N/A</v>
      </c>
      <c r="AH449" t="e">
        <f t="shared" si="102"/>
        <v>#N/A</v>
      </c>
      <c r="AI449" t="e">
        <f t="shared" si="103"/>
        <v>#N/A</v>
      </c>
      <c r="AK449" t="e">
        <f t="shared" si="104"/>
        <v>#N/A</v>
      </c>
      <c r="AL449">
        <f t="shared" si="105"/>
        <v>0.31393148067488225</v>
      </c>
      <c r="AM449" t="e">
        <f t="shared" si="106"/>
        <v>#N/A</v>
      </c>
      <c r="AN449" t="e">
        <f t="shared" si="107"/>
        <v>#N/A</v>
      </c>
      <c r="AO449" t="e">
        <f t="shared" si="108"/>
        <v>#N/A</v>
      </c>
      <c r="AP449" t="e">
        <f t="shared" si="109"/>
        <v>#N/A</v>
      </c>
      <c r="AQ449" t="e">
        <f t="shared" si="110"/>
        <v>#N/A</v>
      </c>
    </row>
    <row r="450" spans="15:43">
      <c r="O450">
        <v>446</v>
      </c>
      <c r="P450" s="401">
        <f>'Lab test'!N449</f>
        <v>60.325000000000003</v>
      </c>
      <c r="Q450" s="401">
        <f>'Lab test'!M449</f>
        <v>0.127</v>
      </c>
      <c r="R450">
        <f>IF('Lab test'!O449&gt;0,'Lab test'!O449,NA())</f>
        <v>276.86</v>
      </c>
      <c r="S450">
        <f>'Lab test'!Q449</f>
        <v>475</v>
      </c>
      <c r="T450" s="401">
        <f>IF('Lab test'!P449&gt;0,'Lab test'!P449,NA())</f>
        <v>0.21057949466855774</v>
      </c>
      <c r="U450" s="401">
        <f>'Lab test'!AZ449</f>
        <v>1967</v>
      </c>
      <c r="V450">
        <f>IF('Lab test'!AQ449&gt;0,'Lab test'!AQ449,NA())</f>
        <v>1.7470294585255262</v>
      </c>
      <c r="W450">
        <f>IF('Lab test'!AU449&gt;0,'Lab test'!AU449,NA())</f>
        <v>0.18947366488619016</v>
      </c>
      <c r="X450">
        <f>IF('Lab test'!AT449&gt;0,'Lab test'!AT449,NA())</f>
        <v>0.57829483282215133</v>
      </c>
      <c r="Y450">
        <f t="shared" si="96"/>
        <v>1</v>
      </c>
      <c r="Z450" t="str">
        <f>'Lab test'!AC449</f>
        <v>LTWb</v>
      </c>
      <c r="AA450" t="str">
        <f>'Lab test'!T449</f>
        <v>Brass</v>
      </c>
      <c r="AC450" t="e">
        <f t="shared" si="97"/>
        <v>#N/A</v>
      </c>
      <c r="AD450">
        <f t="shared" si="98"/>
        <v>0.18947366488619016</v>
      </c>
      <c r="AE450" t="e">
        <f t="shared" si="99"/>
        <v>#N/A</v>
      </c>
      <c r="AF450" t="e">
        <f t="shared" si="100"/>
        <v>#N/A</v>
      </c>
      <c r="AG450" t="e">
        <f t="shared" si="101"/>
        <v>#N/A</v>
      </c>
      <c r="AH450" t="e">
        <f t="shared" si="102"/>
        <v>#N/A</v>
      </c>
      <c r="AI450" t="e">
        <f t="shared" si="103"/>
        <v>#N/A</v>
      </c>
      <c r="AK450" t="e">
        <f t="shared" si="104"/>
        <v>#N/A</v>
      </c>
      <c r="AL450">
        <f t="shared" si="105"/>
        <v>0.57829483282215133</v>
      </c>
      <c r="AM450" t="e">
        <f t="shared" si="106"/>
        <v>#N/A</v>
      </c>
      <c r="AN450" t="e">
        <f t="shared" si="107"/>
        <v>#N/A</v>
      </c>
      <c r="AO450" t="e">
        <f t="shared" si="108"/>
        <v>#N/A</v>
      </c>
      <c r="AP450" t="e">
        <f t="shared" si="109"/>
        <v>#N/A</v>
      </c>
      <c r="AQ450" t="e">
        <f t="shared" si="110"/>
        <v>#N/A</v>
      </c>
    </row>
    <row r="451" spans="15:43">
      <c r="O451">
        <v>447</v>
      </c>
      <c r="P451" s="401">
        <f>'Lab test'!N450</f>
        <v>60.325000000000003</v>
      </c>
      <c r="Q451" s="401">
        <f>'Lab test'!M450</f>
        <v>0.1016</v>
      </c>
      <c r="R451">
        <f>IF('Lab test'!O450&gt;0,'Lab test'!O450,NA())</f>
        <v>276.86</v>
      </c>
      <c r="S451">
        <f>'Lab test'!Q450</f>
        <v>594</v>
      </c>
      <c r="T451" s="401">
        <f>IF('Lab test'!P450&gt;0,'Lab test'!P450,NA())</f>
        <v>0.18834802589857985</v>
      </c>
      <c r="U451" s="401">
        <f>'Lab test'!AZ450</f>
        <v>1967</v>
      </c>
      <c r="V451">
        <f>IF('Lab test'!AQ450&gt;0,'Lab test'!AQ450,NA())</f>
        <v>1.9532383139788632</v>
      </c>
      <c r="W451">
        <f>IF('Lab test'!AU450&gt;0,'Lab test'!AU450,NA())</f>
        <v>7.7088713942267087E-2</v>
      </c>
      <c r="X451">
        <f>IF('Lab test'!AT450&gt;0,'Lab test'!AT450,NA())</f>
        <v>0.29410422926383706</v>
      </c>
      <c r="Y451">
        <f t="shared" si="96"/>
        <v>1</v>
      </c>
      <c r="Z451" t="str">
        <f>'Lab test'!AC450</f>
        <v>LTWb</v>
      </c>
      <c r="AA451" t="str">
        <f>'Lab test'!T450</f>
        <v>Brass</v>
      </c>
      <c r="AC451" t="e">
        <f t="shared" si="97"/>
        <v>#N/A</v>
      </c>
      <c r="AD451">
        <f t="shared" si="98"/>
        <v>7.7088713942267087E-2</v>
      </c>
      <c r="AE451" t="e">
        <f t="shared" si="99"/>
        <v>#N/A</v>
      </c>
      <c r="AF451" t="e">
        <f t="shared" si="100"/>
        <v>#N/A</v>
      </c>
      <c r="AG451" t="e">
        <f t="shared" si="101"/>
        <v>#N/A</v>
      </c>
      <c r="AH451" t="e">
        <f t="shared" si="102"/>
        <v>#N/A</v>
      </c>
      <c r="AI451" t="e">
        <f t="shared" si="103"/>
        <v>#N/A</v>
      </c>
      <c r="AK451" t="e">
        <f t="shared" si="104"/>
        <v>#N/A</v>
      </c>
      <c r="AL451">
        <f t="shared" si="105"/>
        <v>0.29410422926383706</v>
      </c>
      <c r="AM451" t="e">
        <f t="shared" si="106"/>
        <v>#N/A</v>
      </c>
      <c r="AN451" t="e">
        <f t="shared" si="107"/>
        <v>#N/A</v>
      </c>
      <c r="AO451" t="e">
        <f t="shared" si="108"/>
        <v>#N/A</v>
      </c>
      <c r="AP451" t="e">
        <f t="shared" si="109"/>
        <v>#N/A</v>
      </c>
      <c r="AQ451" t="e">
        <f t="shared" si="110"/>
        <v>#N/A</v>
      </c>
    </row>
    <row r="452" spans="15:43">
      <c r="O452">
        <v>448</v>
      </c>
      <c r="P452" s="401">
        <f>'Lab test'!N451</f>
        <v>60.325000000000003</v>
      </c>
      <c r="Q452" s="401">
        <f>'Lab test'!M451</f>
        <v>0.1016</v>
      </c>
      <c r="R452">
        <f>IF('Lab test'!O451&gt;0,'Lab test'!O451,NA())</f>
        <v>276.86</v>
      </c>
      <c r="S452">
        <f>'Lab test'!Q451</f>
        <v>594</v>
      </c>
      <c r="T452" s="401">
        <f>IF('Lab test'!P451&gt;0,'Lab test'!P451,NA())</f>
        <v>0.18834802589857985</v>
      </c>
      <c r="U452" s="401">
        <f>'Lab test'!AZ451</f>
        <v>1967</v>
      </c>
      <c r="V452">
        <f>IF('Lab test'!AQ451&gt;0,'Lab test'!AQ451,NA())</f>
        <v>1.9532383139788632</v>
      </c>
      <c r="W452">
        <f>IF('Lab test'!AU451&gt;0,'Lab test'!AU451,NA())</f>
        <v>0.12342855884014675</v>
      </c>
      <c r="X452">
        <f>IF('Lab test'!AT451&gt;0,'Lab test'!AT451,NA())</f>
        <v>0.4708972210123234</v>
      </c>
      <c r="Y452">
        <f t="shared" si="96"/>
        <v>1</v>
      </c>
      <c r="Z452" t="str">
        <f>'Lab test'!AC451</f>
        <v>LTWb</v>
      </c>
      <c r="AA452" t="str">
        <f>'Lab test'!T451</f>
        <v>Brass</v>
      </c>
      <c r="AC452" t="e">
        <f t="shared" si="97"/>
        <v>#N/A</v>
      </c>
      <c r="AD452">
        <f t="shared" si="98"/>
        <v>0.12342855884014675</v>
      </c>
      <c r="AE452" t="e">
        <f t="shared" si="99"/>
        <v>#N/A</v>
      </c>
      <c r="AF452" t="e">
        <f t="shared" si="100"/>
        <v>#N/A</v>
      </c>
      <c r="AG452" t="e">
        <f t="shared" si="101"/>
        <v>#N/A</v>
      </c>
      <c r="AH452" t="e">
        <f t="shared" si="102"/>
        <v>#N/A</v>
      </c>
      <c r="AI452" t="e">
        <f t="shared" si="103"/>
        <v>#N/A</v>
      </c>
      <c r="AK452" t="e">
        <f t="shared" si="104"/>
        <v>#N/A</v>
      </c>
      <c r="AL452">
        <f t="shared" si="105"/>
        <v>0.4708972210123234</v>
      </c>
      <c r="AM452" t="e">
        <f t="shared" si="106"/>
        <v>#N/A</v>
      </c>
      <c r="AN452" t="e">
        <f t="shared" si="107"/>
        <v>#N/A</v>
      </c>
      <c r="AO452" t="e">
        <f t="shared" si="108"/>
        <v>#N/A</v>
      </c>
      <c r="AP452" t="e">
        <f t="shared" si="109"/>
        <v>#N/A</v>
      </c>
      <c r="AQ452" t="e">
        <f t="shared" si="110"/>
        <v>#N/A</v>
      </c>
    </row>
    <row r="453" spans="15:43">
      <c r="O453">
        <v>449</v>
      </c>
      <c r="P453" s="401">
        <f>'Lab test'!N452</f>
        <v>137.16</v>
      </c>
      <c r="Q453" s="401">
        <f>'Lab test'!M452</f>
        <v>1.016</v>
      </c>
      <c r="R453">
        <f>IF('Lab test'!O452&gt;0,'Lab test'!O452,NA())</f>
        <v>609.6</v>
      </c>
      <c r="S453">
        <f>'Lab test'!Q452</f>
        <v>135</v>
      </c>
      <c r="T453" s="401">
        <f>IF('Lab test'!P452&gt;0,'Lab test'!P452,NA())</f>
        <v>0.38251687369949799</v>
      </c>
      <c r="U453" s="401">
        <f>'Lab test'!AZ452</f>
        <v>1967</v>
      </c>
      <c r="V453">
        <f>IF('Lab test'!AQ452&gt;0,'Lab test'!AQ452,NA())</f>
        <v>0.66791697647315873</v>
      </c>
      <c r="W453">
        <f>IF('Lab test'!AU452&gt;0,'Lab test'!AU452,NA())</f>
        <v>0.88888919547159806</v>
      </c>
      <c r="X453">
        <f>IF('Lab test'!AT452&gt;0,'Lab test'!AT452,NA())</f>
        <v>0.3965451034025998</v>
      </c>
      <c r="Y453">
        <f t="shared" si="96"/>
        <v>1</v>
      </c>
      <c r="Z453" t="str">
        <f>'Lab test'!AC452</f>
        <v>LTWb</v>
      </c>
      <c r="AA453" t="str">
        <f>'Lab test'!T452</f>
        <v>Aluminium</v>
      </c>
      <c r="AC453" t="e">
        <f t="shared" si="97"/>
        <v>#N/A</v>
      </c>
      <c r="AD453">
        <f t="shared" si="98"/>
        <v>0.88888919547159806</v>
      </c>
      <c r="AE453" t="e">
        <f t="shared" si="99"/>
        <v>#N/A</v>
      </c>
      <c r="AF453" t="e">
        <f t="shared" si="100"/>
        <v>#N/A</v>
      </c>
      <c r="AG453" t="e">
        <f t="shared" si="101"/>
        <v>#N/A</v>
      </c>
      <c r="AH453" t="e">
        <f t="shared" si="102"/>
        <v>#N/A</v>
      </c>
      <c r="AI453" t="e">
        <f t="shared" si="103"/>
        <v>#N/A</v>
      </c>
      <c r="AK453" t="e">
        <f t="shared" si="104"/>
        <v>#N/A</v>
      </c>
      <c r="AL453">
        <f t="shared" si="105"/>
        <v>0.3965451034025998</v>
      </c>
      <c r="AM453" t="e">
        <f t="shared" si="106"/>
        <v>#N/A</v>
      </c>
      <c r="AN453" t="e">
        <f t="shared" si="107"/>
        <v>#N/A</v>
      </c>
      <c r="AO453" t="e">
        <f t="shared" si="108"/>
        <v>#N/A</v>
      </c>
      <c r="AP453" t="e">
        <f t="shared" si="109"/>
        <v>#N/A</v>
      </c>
      <c r="AQ453" t="e">
        <f t="shared" si="110"/>
        <v>#N/A</v>
      </c>
    </row>
    <row r="454" spans="15:43">
      <c r="O454">
        <v>450</v>
      </c>
      <c r="P454" s="401">
        <f>'Lab test'!N453</f>
        <v>137.16</v>
      </c>
      <c r="Q454" s="401">
        <f>'Lab test'!M453</f>
        <v>1.016</v>
      </c>
      <c r="R454">
        <f>IF('Lab test'!O453&gt;0,'Lab test'!O453,NA())</f>
        <v>609.6</v>
      </c>
      <c r="S454">
        <f>'Lab test'!Q453</f>
        <v>135</v>
      </c>
      <c r="T454" s="401">
        <f>IF('Lab test'!P453&gt;0,'Lab test'!P453,NA())</f>
        <v>0.38251687369949799</v>
      </c>
      <c r="U454" s="401">
        <f>'Lab test'!AZ453</f>
        <v>1967</v>
      </c>
      <c r="V454">
        <f>IF('Lab test'!AQ453&gt;0,'Lab test'!AQ453,NA())</f>
        <v>0.98406917019690632</v>
      </c>
      <c r="W454">
        <f>IF('Lab test'!AU453&gt;0,'Lab test'!AU453,NA())</f>
        <v>0.40948813843719867</v>
      </c>
      <c r="X454">
        <f>IF('Lab test'!AT453&gt;0,'Lab test'!AT453,NA())</f>
        <v>0.39654509130017851</v>
      </c>
      <c r="Y454">
        <f t="shared" ref="Y454:Y517" si="111">IF(OR(ISNUMBER(W454),ISNUMBER(X454)),1,NA())</f>
        <v>1</v>
      </c>
      <c r="Z454" t="str">
        <f>'Lab test'!AC453</f>
        <v>LTWb</v>
      </c>
      <c r="AA454" t="str">
        <f>'Lab test'!T453</f>
        <v>Aluminium</v>
      </c>
      <c r="AC454" t="e">
        <f t="shared" ref="AC454:AC517" si="112">IF(EXACT($AC$4,Z454),W454,NA())</f>
        <v>#N/A</v>
      </c>
      <c r="AD454">
        <f t="shared" ref="AD454:AD517" si="113">IF(EXACT($AD$4,Z454),W454,NA())</f>
        <v>0.40948813843719867</v>
      </c>
      <c r="AE454" t="e">
        <f t="shared" ref="AE454:AE517" si="114">IF(EXACT($AE$4,Z454),W454,NA())</f>
        <v>#N/A</v>
      </c>
      <c r="AF454" t="e">
        <f t="shared" ref="AF454:AF517" si="115">IF(EXACT($AF$4,Z454),W454,NA())</f>
        <v>#N/A</v>
      </c>
      <c r="AG454" t="e">
        <f t="shared" ref="AG454:AG517" si="116">IF(EXACT($AG$4,Z454),W454,NA())</f>
        <v>#N/A</v>
      </c>
      <c r="AH454" t="e">
        <f t="shared" ref="AH454:AH517" si="117">IF(EXACT($AH$4,Z454),W454,NA())</f>
        <v>#N/A</v>
      </c>
      <c r="AI454" t="e">
        <f t="shared" ref="AI454:AI517" si="118">IF(EXACT($AI$4,Z454),W454,NA())</f>
        <v>#N/A</v>
      </c>
      <c r="AK454" t="e">
        <f t="shared" ref="AK454:AK517" si="119">IF(EXACT($AK$4,Z454),X454,NA())</f>
        <v>#N/A</v>
      </c>
      <c r="AL454">
        <f t="shared" ref="AL454:AL517" si="120">IF(EXACT($AL$4,Z454),X454,NA())</f>
        <v>0.39654509130017851</v>
      </c>
      <c r="AM454" t="e">
        <f t="shared" ref="AM454:AM517" si="121">IF(EXACT($AM$4,Z454),X454,NA())</f>
        <v>#N/A</v>
      </c>
      <c r="AN454" t="e">
        <f t="shared" ref="AN454:AN517" si="122">IF(EXACT($AN$4,Z454),X454,NA())</f>
        <v>#N/A</v>
      </c>
      <c r="AO454" t="e">
        <f t="shared" ref="AO454:AO517" si="123">IF(EXACT($AO$4,Z454),X454,NA())</f>
        <v>#N/A</v>
      </c>
      <c r="AP454" t="e">
        <f t="shared" ref="AP454:AP517" si="124">IF(EXACT($AP$4,Z454),X454,NA())</f>
        <v>#N/A</v>
      </c>
      <c r="AQ454" t="e">
        <f t="shared" ref="AQ454:AQ517" si="125">IF(EXACT($AQ$4,Z454),X454,NA())</f>
        <v>#N/A</v>
      </c>
    </row>
    <row r="455" spans="15:43">
      <c r="O455">
        <v>451</v>
      </c>
      <c r="P455" s="401">
        <f>'Lab test'!N454</f>
        <v>137.16</v>
      </c>
      <c r="Q455" s="401">
        <f>'Lab test'!M454</f>
        <v>0.81279999999999997</v>
      </c>
      <c r="R455">
        <f>IF('Lab test'!O454&gt;0,'Lab test'!O454,NA())</f>
        <v>609.6</v>
      </c>
      <c r="S455">
        <f>'Lab test'!Q454</f>
        <v>169</v>
      </c>
      <c r="T455" s="401">
        <f>IF('Lab test'!P454&gt;0,'Lab test'!P454,NA())</f>
        <v>0.34213349285311156</v>
      </c>
      <c r="U455" s="401">
        <f>'Lab test'!AZ454</f>
        <v>1967</v>
      </c>
      <c r="V455">
        <f>IF('Lab test'!AQ454&gt;0,'Lab test'!AQ454,NA())</f>
        <v>0.74675388136005527</v>
      </c>
      <c r="W455">
        <f>IF('Lab test'!AU454&gt;0,'Lab test'!AU454,NA())</f>
        <v>0.6962965364527518</v>
      </c>
      <c r="X455">
        <f>IF('Lab test'!AT454&gt;0,'Lab test'!AT454,NA())</f>
        <v>0.38828374708171226</v>
      </c>
      <c r="Y455">
        <f t="shared" si="111"/>
        <v>1</v>
      </c>
      <c r="Z455" t="str">
        <f>'Lab test'!AC454</f>
        <v>LTWb</v>
      </c>
      <c r="AA455" t="str">
        <f>'Lab test'!T454</f>
        <v>Aluminium</v>
      </c>
      <c r="AC455" t="e">
        <f t="shared" si="112"/>
        <v>#N/A</v>
      </c>
      <c r="AD455">
        <f t="shared" si="113"/>
        <v>0.6962965364527518</v>
      </c>
      <c r="AE455" t="e">
        <f t="shared" si="114"/>
        <v>#N/A</v>
      </c>
      <c r="AF455" t="e">
        <f t="shared" si="115"/>
        <v>#N/A</v>
      </c>
      <c r="AG455" t="e">
        <f t="shared" si="116"/>
        <v>#N/A</v>
      </c>
      <c r="AH455" t="e">
        <f t="shared" si="117"/>
        <v>#N/A</v>
      </c>
      <c r="AI455" t="e">
        <f t="shared" si="118"/>
        <v>#N/A</v>
      </c>
      <c r="AK455" t="e">
        <f t="shared" si="119"/>
        <v>#N/A</v>
      </c>
      <c r="AL455">
        <f t="shared" si="120"/>
        <v>0.38828374708171226</v>
      </c>
      <c r="AM455" t="e">
        <f t="shared" si="121"/>
        <v>#N/A</v>
      </c>
      <c r="AN455" t="e">
        <f t="shared" si="122"/>
        <v>#N/A</v>
      </c>
      <c r="AO455" t="e">
        <f t="shared" si="123"/>
        <v>#N/A</v>
      </c>
      <c r="AP455" t="e">
        <f t="shared" si="124"/>
        <v>#N/A</v>
      </c>
      <c r="AQ455" t="e">
        <f t="shared" si="125"/>
        <v>#N/A</v>
      </c>
    </row>
    <row r="456" spans="15:43">
      <c r="O456">
        <v>452</v>
      </c>
      <c r="P456" s="401">
        <f>'Lab test'!N455</f>
        <v>137.16</v>
      </c>
      <c r="Q456" s="401">
        <f>'Lab test'!M455</f>
        <v>0.81279999999999997</v>
      </c>
      <c r="R456">
        <f>IF('Lab test'!O455&gt;0,'Lab test'!O455,NA())</f>
        <v>609.6</v>
      </c>
      <c r="S456">
        <f>'Lab test'!Q455</f>
        <v>169</v>
      </c>
      <c r="T456" s="401">
        <f>IF('Lab test'!P455&gt;0,'Lab test'!P455,NA())</f>
        <v>0.34213349285311156</v>
      </c>
      <c r="U456" s="401">
        <f>'Lab test'!AZ455</f>
        <v>1967</v>
      </c>
      <c r="V456">
        <f>IF('Lab test'!AQ455&gt;0,'Lab test'!AQ455,NA())</f>
        <v>1.1002227795610464</v>
      </c>
      <c r="W456">
        <f>IF('Lab test'!AU455&gt;0,'Lab test'!AU455,NA())</f>
        <v>0.49138576612463836</v>
      </c>
      <c r="X456">
        <f>IF('Lab test'!AT455&gt;0,'Lab test'!AT455,NA())</f>
        <v>0.59481763695026779</v>
      </c>
      <c r="Y456">
        <f t="shared" si="111"/>
        <v>1</v>
      </c>
      <c r="Z456" t="str">
        <f>'Lab test'!AC455</f>
        <v>LTWb</v>
      </c>
      <c r="AA456" t="str">
        <f>'Lab test'!T455</f>
        <v>Aluminium</v>
      </c>
      <c r="AC456" t="e">
        <f t="shared" si="112"/>
        <v>#N/A</v>
      </c>
      <c r="AD456">
        <f t="shared" si="113"/>
        <v>0.49138576612463836</v>
      </c>
      <c r="AE456" t="e">
        <f t="shared" si="114"/>
        <v>#N/A</v>
      </c>
      <c r="AF456" t="e">
        <f t="shared" si="115"/>
        <v>#N/A</v>
      </c>
      <c r="AG456" t="e">
        <f t="shared" si="116"/>
        <v>#N/A</v>
      </c>
      <c r="AH456" t="e">
        <f t="shared" si="117"/>
        <v>#N/A</v>
      </c>
      <c r="AI456" t="e">
        <f t="shared" si="118"/>
        <v>#N/A</v>
      </c>
      <c r="AK456" t="e">
        <f t="shared" si="119"/>
        <v>#N/A</v>
      </c>
      <c r="AL456">
        <f t="shared" si="120"/>
        <v>0.59481763695026779</v>
      </c>
      <c r="AM456" t="e">
        <f t="shared" si="121"/>
        <v>#N/A</v>
      </c>
      <c r="AN456" t="e">
        <f t="shared" si="122"/>
        <v>#N/A</v>
      </c>
      <c r="AO456" t="e">
        <f t="shared" si="123"/>
        <v>#N/A</v>
      </c>
      <c r="AP456" t="e">
        <f t="shared" si="124"/>
        <v>#N/A</v>
      </c>
      <c r="AQ456" t="e">
        <f t="shared" si="125"/>
        <v>#N/A</v>
      </c>
    </row>
    <row r="457" spans="15:43">
      <c r="O457">
        <v>453</v>
      </c>
      <c r="P457" s="401">
        <f>'Lab test'!N456</f>
        <v>137.16</v>
      </c>
      <c r="Q457" s="401">
        <f>'Lab test'!M456</f>
        <v>0.50800000000000001</v>
      </c>
      <c r="R457">
        <f>IF('Lab test'!O456&gt;0,'Lab test'!O456,NA())</f>
        <v>609.6</v>
      </c>
      <c r="S457">
        <f>'Lab test'!Q456</f>
        <v>270</v>
      </c>
      <c r="T457" s="401">
        <f>IF('Lab test'!P456&gt;0,'Lab test'!P456,NA())</f>
        <v>0.27048027531119317</v>
      </c>
      <c r="U457" s="401">
        <f>'Lab test'!AZ456</f>
        <v>1967</v>
      </c>
      <c r="V457">
        <f>IF('Lab test'!AQ456&gt;0,'Lab test'!AQ456,NA())</f>
        <v>1.3916839668057024</v>
      </c>
      <c r="W457">
        <f>IF('Lab test'!AU456&gt;0,'Lab test'!AU456,NA())</f>
        <v>0.25593008652324917</v>
      </c>
      <c r="X457">
        <f>IF('Lab test'!AT456&gt;0,'Lab test'!AT456,NA())</f>
        <v>0.49568136412522307</v>
      </c>
      <c r="Y457">
        <f t="shared" si="111"/>
        <v>1</v>
      </c>
      <c r="Z457" t="str">
        <f>'Lab test'!AC456</f>
        <v>LTWb</v>
      </c>
      <c r="AA457" t="str">
        <f>'Lab test'!T456</f>
        <v>Aluminium</v>
      </c>
      <c r="AC457" t="e">
        <f t="shared" si="112"/>
        <v>#N/A</v>
      </c>
      <c r="AD457">
        <f t="shared" si="113"/>
        <v>0.25593008652324917</v>
      </c>
      <c r="AE457" t="e">
        <f t="shared" si="114"/>
        <v>#N/A</v>
      </c>
      <c r="AF457" t="e">
        <f t="shared" si="115"/>
        <v>#N/A</v>
      </c>
      <c r="AG457" t="e">
        <f t="shared" si="116"/>
        <v>#N/A</v>
      </c>
      <c r="AH457" t="e">
        <f t="shared" si="117"/>
        <v>#N/A</v>
      </c>
      <c r="AI457" t="e">
        <f t="shared" si="118"/>
        <v>#N/A</v>
      </c>
      <c r="AK457" t="e">
        <f t="shared" si="119"/>
        <v>#N/A</v>
      </c>
      <c r="AL457">
        <f t="shared" si="120"/>
        <v>0.49568136412522307</v>
      </c>
      <c r="AM457" t="e">
        <f t="shared" si="121"/>
        <v>#N/A</v>
      </c>
      <c r="AN457" t="e">
        <f t="shared" si="122"/>
        <v>#N/A</v>
      </c>
      <c r="AO457" t="e">
        <f t="shared" si="123"/>
        <v>#N/A</v>
      </c>
      <c r="AP457" t="e">
        <f t="shared" si="124"/>
        <v>#N/A</v>
      </c>
      <c r="AQ457" t="e">
        <f t="shared" si="125"/>
        <v>#N/A</v>
      </c>
    </row>
    <row r="458" spans="15:43">
      <c r="O458">
        <v>454</v>
      </c>
      <c r="P458" s="401">
        <f>'Lab test'!N457</f>
        <v>137.16</v>
      </c>
      <c r="Q458" s="401">
        <f>'Lab test'!M457</f>
        <v>0.50800000000000001</v>
      </c>
      <c r="R458">
        <f>IF('Lab test'!O457&gt;0,'Lab test'!O457,NA())</f>
        <v>609.6</v>
      </c>
      <c r="S458">
        <f>'Lab test'!Q457</f>
        <v>270</v>
      </c>
      <c r="T458" s="401">
        <f>IF('Lab test'!P457&gt;0,'Lab test'!P457,NA())</f>
        <v>0.27048027531119317</v>
      </c>
      <c r="U458" s="401">
        <f>'Lab test'!AZ457</f>
        <v>1967</v>
      </c>
      <c r="V458">
        <f>IF('Lab test'!AQ457&gt;0,'Lab test'!AQ457,NA())</f>
        <v>1.3916839668057024</v>
      </c>
      <c r="W458">
        <f>IF('Lab test'!AU457&gt;0,'Lab test'!AU457,NA())</f>
        <v>0.37536412690076543</v>
      </c>
      <c r="X458">
        <f>IF('Lab test'!AT457&gt;0,'Lab test'!AT457,NA())</f>
        <v>0.72699933405032724</v>
      </c>
      <c r="Y458">
        <f t="shared" si="111"/>
        <v>1</v>
      </c>
      <c r="Z458" t="str">
        <f>'Lab test'!AC457</f>
        <v>LTWb</v>
      </c>
      <c r="AA458" t="str">
        <f>'Lab test'!T457</f>
        <v>Aluminium</v>
      </c>
      <c r="AC458" t="e">
        <f t="shared" si="112"/>
        <v>#N/A</v>
      </c>
      <c r="AD458">
        <f t="shared" si="113"/>
        <v>0.37536412690076543</v>
      </c>
      <c r="AE458" t="e">
        <f t="shared" si="114"/>
        <v>#N/A</v>
      </c>
      <c r="AF458" t="e">
        <f t="shared" si="115"/>
        <v>#N/A</v>
      </c>
      <c r="AG458" t="e">
        <f t="shared" si="116"/>
        <v>#N/A</v>
      </c>
      <c r="AH458" t="e">
        <f t="shared" si="117"/>
        <v>#N/A</v>
      </c>
      <c r="AI458" t="e">
        <f t="shared" si="118"/>
        <v>#N/A</v>
      </c>
      <c r="AK458" t="e">
        <f t="shared" si="119"/>
        <v>#N/A</v>
      </c>
      <c r="AL458">
        <f t="shared" si="120"/>
        <v>0.72699933405032724</v>
      </c>
      <c r="AM458" t="e">
        <f t="shared" si="121"/>
        <v>#N/A</v>
      </c>
      <c r="AN458" t="e">
        <f t="shared" si="122"/>
        <v>#N/A</v>
      </c>
      <c r="AO458" t="e">
        <f t="shared" si="123"/>
        <v>#N/A</v>
      </c>
      <c r="AP458" t="e">
        <f t="shared" si="124"/>
        <v>#N/A</v>
      </c>
      <c r="AQ458" t="e">
        <f t="shared" si="125"/>
        <v>#N/A</v>
      </c>
    </row>
    <row r="459" spans="15:43">
      <c r="O459">
        <v>455</v>
      </c>
      <c r="P459" s="401">
        <f>'Lab test'!N458</f>
        <v>60.325000000000003</v>
      </c>
      <c r="Q459" s="401">
        <f>'Lab test'!M458</f>
        <v>5.0799999999999998E-2</v>
      </c>
      <c r="R459">
        <f>IF('Lab test'!O458&gt;0,'Lab test'!O458,NA())</f>
        <v>241.3</v>
      </c>
      <c r="S459">
        <f>'Lab test'!Q458</f>
        <v>1185</v>
      </c>
      <c r="T459" s="401">
        <f>IF('Lab test'!P458&gt;0,'Lab test'!P458,NA())</f>
        <v>0.11607620001760187</v>
      </c>
      <c r="U459" s="401">
        <f>'Lab test'!AZ458</f>
        <v>1967</v>
      </c>
      <c r="V459">
        <f>IF('Lab test'!AQ458&gt;0,'Lab test'!AQ458,NA())</f>
        <v>2.8014797159771994</v>
      </c>
      <c r="W459">
        <f>IF('Lab test'!AU458&gt;0,'Lab test'!AU458,NA())</f>
        <v>3.6842104087588902E-2</v>
      </c>
      <c r="X459">
        <f>IF('Lab test'!AT458&gt;0,'Lab test'!AT458,NA())</f>
        <v>0.28914746547496278</v>
      </c>
      <c r="Y459">
        <f t="shared" si="111"/>
        <v>1</v>
      </c>
      <c r="Z459" t="str">
        <f>'Lab test'!AC458</f>
        <v>LTWb</v>
      </c>
      <c r="AA459" t="str">
        <f>'Lab test'!T458</f>
        <v>Aluminium</v>
      </c>
      <c r="AC459" t="e">
        <f t="shared" si="112"/>
        <v>#N/A</v>
      </c>
      <c r="AD459">
        <f t="shared" si="113"/>
        <v>3.6842104087588902E-2</v>
      </c>
      <c r="AE459" t="e">
        <f t="shared" si="114"/>
        <v>#N/A</v>
      </c>
      <c r="AF459" t="e">
        <f t="shared" si="115"/>
        <v>#N/A</v>
      </c>
      <c r="AG459" t="e">
        <f t="shared" si="116"/>
        <v>#N/A</v>
      </c>
      <c r="AH459" t="e">
        <f t="shared" si="117"/>
        <v>#N/A</v>
      </c>
      <c r="AI459" t="e">
        <f t="shared" si="118"/>
        <v>#N/A</v>
      </c>
      <c r="AK459" t="e">
        <f t="shared" si="119"/>
        <v>#N/A</v>
      </c>
      <c r="AL459">
        <f t="shared" si="120"/>
        <v>0.28914746547496278</v>
      </c>
      <c r="AM459" t="e">
        <f t="shared" si="121"/>
        <v>#N/A</v>
      </c>
      <c r="AN459" t="e">
        <f t="shared" si="122"/>
        <v>#N/A</v>
      </c>
      <c r="AO459" t="e">
        <f t="shared" si="123"/>
        <v>#N/A</v>
      </c>
      <c r="AP459" t="e">
        <f t="shared" si="124"/>
        <v>#N/A</v>
      </c>
      <c r="AQ459" t="e">
        <f t="shared" si="125"/>
        <v>#N/A</v>
      </c>
    </row>
    <row r="460" spans="15:43">
      <c r="O460">
        <v>456</v>
      </c>
      <c r="P460" s="401">
        <f>'Lab test'!N459</f>
        <v>60.325000000000003</v>
      </c>
      <c r="Q460" s="401">
        <f>'Lab test'!M459</f>
        <v>5.0799999999999998E-2</v>
      </c>
      <c r="R460">
        <f>IF('Lab test'!O459&gt;0,'Lab test'!O459,NA())</f>
        <v>241.3</v>
      </c>
      <c r="S460">
        <f>'Lab test'!Q459</f>
        <v>1185</v>
      </c>
      <c r="T460" s="401">
        <f>IF('Lab test'!P459&gt;0,'Lab test'!P459,NA())</f>
        <v>0.11607620001760187</v>
      </c>
      <c r="U460" s="401">
        <f>'Lab test'!AZ459</f>
        <v>1967</v>
      </c>
      <c r="V460">
        <f>IF('Lab test'!AQ459&gt;0,'Lab test'!AQ459,NA())</f>
        <v>2.8014797159771994</v>
      </c>
      <c r="W460">
        <f>IF('Lab test'!AU459&gt;0,'Lab test'!AU459,NA())</f>
        <v>5.7894734994782565E-2</v>
      </c>
      <c r="X460">
        <f>IF('Lab test'!AT459&gt;0,'Lab test'!AT459,NA())</f>
        <v>0.45437458860351299</v>
      </c>
      <c r="Y460">
        <f t="shared" si="111"/>
        <v>1</v>
      </c>
      <c r="Z460" t="str">
        <f>'Lab test'!AC459</f>
        <v>LTWb</v>
      </c>
      <c r="AA460" t="str">
        <f>'Lab test'!T459</f>
        <v>Aluminium</v>
      </c>
      <c r="AC460" t="e">
        <f t="shared" si="112"/>
        <v>#N/A</v>
      </c>
      <c r="AD460">
        <f t="shared" si="113"/>
        <v>5.7894734994782565E-2</v>
      </c>
      <c r="AE460" t="e">
        <f t="shared" si="114"/>
        <v>#N/A</v>
      </c>
      <c r="AF460" t="e">
        <f t="shared" si="115"/>
        <v>#N/A</v>
      </c>
      <c r="AG460" t="e">
        <f t="shared" si="116"/>
        <v>#N/A</v>
      </c>
      <c r="AH460" t="e">
        <f t="shared" si="117"/>
        <v>#N/A</v>
      </c>
      <c r="AI460" t="e">
        <f t="shared" si="118"/>
        <v>#N/A</v>
      </c>
      <c r="AK460" t="e">
        <f t="shared" si="119"/>
        <v>#N/A</v>
      </c>
      <c r="AL460">
        <f t="shared" si="120"/>
        <v>0.45437458860351299</v>
      </c>
      <c r="AM460" t="e">
        <f t="shared" si="121"/>
        <v>#N/A</v>
      </c>
      <c r="AN460" t="e">
        <f t="shared" si="122"/>
        <v>#N/A</v>
      </c>
      <c r="AO460" t="e">
        <f t="shared" si="123"/>
        <v>#N/A</v>
      </c>
      <c r="AP460" t="e">
        <f t="shared" si="124"/>
        <v>#N/A</v>
      </c>
      <c r="AQ460" t="e">
        <f t="shared" si="125"/>
        <v>#N/A</v>
      </c>
    </row>
    <row r="461" spans="15:43">
      <c r="O461">
        <v>457</v>
      </c>
      <c r="P461" s="401">
        <f>'Lab test'!N460</f>
        <v>137.16</v>
      </c>
      <c r="Q461" s="401">
        <f>'Lab test'!M460</f>
        <v>1.016</v>
      </c>
      <c r="R461">
        <f>IF('Lab test'!O460&gt;0,'Lab test'!O460,NA())</f>
        <v>609.6</v>
      </c>
      <c r="S461">
        <f>'Lab test'!Q460</f>
        <v>135</v>
      </c>
      <c r="T461" s="401">
        <f>IF('Lab test'!P460&gt;0,'Lab test'!P460,NA())</f>
        <v>0.38251687369949799</v>
      </c>
      <c r="U461" s="401">
        <f>'Lab test'!AZ460</f>
        <v>1967</v>
      </c>
      <c r="V461">
        <f>IF('Lab test'!AQ460&gt;0,'Lab test'!AQ460,NA())</f>
        <v>0.98406917019690632</v>
      </c>
      <c r="W461">
        <f>IF('Lab test'!AU460&gt;0,'Lab test'!AU460,NA())</f>
        <v>0.5971702018875813</v>
      </c>
      <c r="X461">
        <f>IF('Lab test'!AT460&gt;0,'Lab test'!AT460,NA())</f>
        <v>0.57829492481276024</v>
      </c>
      <c r="Y461">
        <f t="shared" si="111"/>
        <v>1</v>
      </c>
      <c r="Z461" t="str">
        <f>'Lab test'!AC460</f>
        <v>LTWb</v>
      </c>
      <c r="AA461" t="str">
        <f>'Lab test'!T460</f>
        <v>Aluminium</v>
      </c>
      <c r="AC461" t="e">
        <f t="shared" si="112"/>
        <v>#N/A</v>
      </c>
      <c r="AD461">
        <f t="shared" si="113"/>
        <v>0.5971702018875813</v>
      </c>
      <c r="AE461" t="e">
        <f t="shared" si="114"/>
        <v>#N/A</v>
      </c>
      <c r="AF461" t="e">
        <f t="shared" si="115"/>
        <v>#N/A</v>
      </c>
      <c r="AG461" t="e">
        <f t="shared" si="116"/>
        <v>#N/A</v>
      </c>
      <c r="AH461" t="e">
        <f t="shared" si="117"/>
        <v>#N/A</v>
      </c>
      <c r="AI461" t="e">
        <f t="shared" si="118"/>
        <v>#N/A</v>
      </c>
      <c r="AK461" t="e">
        <f t="shared" si="119"/>
        <v>#N/A</v>
      </c>
      <c r="AL461">
        <f t="shared" si="120"/>
        <v>0.57829492481276024</v>
      </c>
      <c r="AM461" t="e">
        <f t="shared" si="121"/>
        <v>#N/A</v>
      </c>
      <c r="AN461" t="e">
        <f t="shared" si="122"/>
        <v>#N/A</v>
      </c>
      <c r="AO461" t="e">
        <f t="shared" si="123"/>
        <v>#N/A</v>
      </c>
      <c r="AP461" t="e">
        <f t="shared" si="124"/>
        <v>#N/A</v>
      </c>
      <c r="AQ461" t="e">
        <f t="shared" si="125"/>
        <v>#N/A</v>
      </c>
    </row>
    <row r="462" spans="15:43">
      <c r="O462">
        <v>458</v>
      </c>
      <c r="P462" s="401">
        <f>'Lab test'!N461</f>
        <v>137.16</v>
      </c>
      <c r="Q462" s="401">
        <f>'Lab test'!M461</f>
        <v>0.50800000000000001</v>
      </c>
      <c r="R462">
        <f>IF('Lab test'!O461&gt;0,'Lab test'!O461,NA())</f>
        <v>609.6</v>
      </c>
      <c r="S462">
        <f>'Lab test'!Q461</f>
        <v>270</v>
      </c>
      <c r="T462" s="401">
        <f>IF('Lab test'!P461&gt;0,'Lab test'!P461,NA())</f>
        <v>0.27048027531119317</v>
      </c>
      <c r="U462" s="401">
        <f>'Lab test'!AZ461</f>
        <v>1967</v>
      </c>
      <c r="V462">
        <f>IF('Lab test'!AQ461&gt;0,'Lab test'!AQ461,NA())</f>
        <v>0.94457724666757248</v>
      </c>
      <c r="W462">
        <f>IF('Lab test'!AU461&gt;0,'Lab test'!AU461,NA())</f>
        <v>0.42592607283014072</v>
      </c>
      <c r="X462">
        <f>IF('Lab test'!AT461&gt;0,'Lab test'!AT461,NA())</f>
        <v>0.38002239076082484</v>
      </c>
      <c r="Y462">
        <f t="shared" si="111"/>
        <v>1</v>
      </c>
      <c r="Z462" t="str">
        <f>'Lab test'!AC461</f>
        <v>LTWb</v>
      </c>
      <c r="AA462" t="str">
        <f>'Lab test'!T461</f>
        <v>Aluminium</v>
      </c>
      <c r="AC462" t="e">
        <f t="shared" si="112"/>
        <v>#N/A</v>
      </c>
      <c r="AD462">
        <f t="shared" si="113"/>
        <v>0.42592607283014072</v>
      </c>
      <c r="AE462" t="e">
        <f t="shared" si="114"/>
        <v>#N/A</v>
      </c>
      <c r="AF462" t="e">
        <f t="shared" si="115"/>
        <v>#N/A</v>
      </c>
      <c r="AG462" t="e">
        <f t="shared" si="116"/>
        <v>#N/A</v>
      </c>
      <c r="AH462" t="e">
        <f t="shared" si="117"/>
        <v>#N/A</v>
      </c>
      <c r="AI462" t="e">
        <f t="shared" si="118"/>
        <v>#N/A</v>
      </c>
      <c r="AK462" t="e">
        <f t="shared" si="119"/>
        <v>#N/A</v>
      </c>
      <c r="AL462">
        <f t="shared" si="120"/>
        <v>0.38002239076082484</v>
      </c>
      <c r="AM462" t="e">
        <f t="shared" si="121"/>
        <v>#N/A</v>
      </c>
      <c r="AN462" t="e">
        <f t="shared" si="122"/>
        <v>#N/A</v>
      </c>
      <c r="AO462" t="e">
        <f t="shared" si="123"/>
        <v>#N/A</v>
      </c>
      <c r="AP462" t="e">
        <f t="shared" si="124"/>
        <v>#N/A</v>
      </c>
      <c r="AQ462" t="e">
        <f t="shared" si="125"/>
        <v>#N/A</v>
      </c>
    </row>
    <row r="463" spans="15:43">
      <c r="O463">
        <v>459</v>
      </c>
      <c r="P463" s="401">
        <f>'Lab test'!N462</f>
        <v>31.75</v>
      </c>
      <c r="Q463" s="401">
        <f>'Lab test'!M462</f>
        <v>0.1651</v>
      </c>
      <c r="R463">
        <f>IF('Lab test'!O462&gt;0,'Lab test'!O462,NA())</f>
        <v>101.6</v>
      </c>
      <c r="S463">
        <f>'Lab test'!Q462</f>
        <v>192</v>
      </c>
      <c r="T463" s="401">
        <f>IF('Lab test'!P462&gt;0,'Lab test'!P462,NA())</f>
        <v>0.23075528162969527</v>
      </c>
      <c r="U463" s="401">
        <f>'Lab test'!AZ462</f>
        <v>1967</v>
      </c>
      <c r="V463">
        <f>IF('Lab test'!AQ462&gt;0,'Lab test'!AQ462,NA())</f>
        <v>1.0988307805859157</v>
      </c>
      <c r="W463">
        <f>IF('Lab test'!AU462&gt;0,'Lab test'!AU462,NA())</f>
        <v>0.34894733730889366</v>
      </c>
      <c r="X463">
        <f>IF('Lab test'!AT462&gt;0,'Lab test'!AT462,NA())</f>
        <v>0.42132916397780285</v>
      </c>
      <c r="Y463">
        <f t="shared" si="111"/>
        <v>1</v>
      </c>
      <c r="Z463" t="str">
        <f>'Lab test'!AC462</f>
        <v>Miscellaneous</v>
      </c>
      <c r="AA463" t="str">
        <f>'Lab test'!T462</f>
        <v>Aluminium</v>
      </c>
      <c r="AC463" t="e">
        <f t="shared" si="112"/>
        <v>#N/A</v>
      </c>
      <c r="AD463" t="e">
        <f t="shared" si="113"/>
        <v>#N/A</v>
      </c>
      <c r="AE463" t="e">
        <f t="shared" si="114"/>
        <v>#N/A</v>
      </c>
      <c r="AF463" t="e">
        <f t="shared" si="115"/>
        <v>#N/A</v>
      </c>
      <c r="AG463" t="e">
        <f t="shared" si="116"/>
        <v>#N/A</v>
      </c>
      <c r="AH463" t="e">
        <f t="shared" si="117"/>
        <v>#N/A</v>
      </c>
      <c r="AI463">
        <f t="shared" si="118"/>
        <v>0.34894733730889366</v>
      </c>
      <c r="AK463" t="e">
        <f t="shared" si="119"/>
        <v>#N/A</v>
      </c>
      <c r="AL463" t="e">
        <f t="shared" si="120"/>
        <v>#N/A</v>
      </c>
      <c r="AM463" t="e">
        <f t="shared" si="121"/>
        <v>#N/A</v>
      </c>
      <c r="AN463" t="e">
        <f t="shared" si="122"/>
        <v>#N/A</v>
      </c>
      <c r="AO463" t="e">
        <f t="shared" si="123"/>
        <v>#N/A</v>
      </c>
      <c r="AP463" t="e">
        <f t="shared" si="124"/>
        <v>#N/A</v>
      </c>
      <c r="AQ463">
        <f t="shared" si="125"/>
        <v>0.42132916397780285</v>
      </c>
    </row>
    <row r="464" spans="15:43">
      <c r="O464">
        <v>460</v>
      </c>
      <c r="P464" s="401">
        <f>'Lab test'!N463</f>
        <v>31.75</v>
      </c>
      <c r="Q464" s="401">
        <f>'Lab test'!M463</f>
        <v>0.1651</v>
      </c>
      <c r="R464">
        <f>IF('Lab test'!O463&gt;0,'Lab test'!O463,NA())</f>
        <v>101.6</v>
      </c>
      <c r="S464">
        <f>'Lab test'!Q463</f>
        <v>192</v>
      </c>
      <c r="T464" s="401">
        <f>IF('Lab test'!P463&gt;0,'Lab test'!P463,NA())</f>
        <v>0.23075528162969527</v>
      </c>
      <c r="U464" s="401">
        <f>'Lab test'!AZ463</f>
        <v>1967</v>
      </c>
      <c r="V464">
        <f>IF('Lab test'!AQ463&gt;0,'Lab test'!AQ463,NA())</f>
        <v>1.0988307805859157</v>
      </c>
      <c r="W464">
        <f>IF('Lab test'!AU463&gt;0,'Lab test'!AU463,NA())</f>
        <v>0.49947363967743619</v>
      </c>
      <c r="X464">
        <f>IF('Lab test'!AT463&gt;0,'Lab test'!AT463,NA())</f>
        <v>0.60307899941920817</v>
      </c>
      <c r="Y464">
        <f t="shared" si="111"/>
        <v>1</v>
      </c>
      <c r="Z464" t="str">
        <f>'Lab test'!AC463</f>
        <v>Miscellaneous</v>
      </c>
      <c r="AA464" t="str">
        <f>'Lab test'!T463</f>
        <v>Aluminium</v>
      </c>
      <c r="AC464" t="e">
        <f t="shared" si="112"/>
        <v>#N/A</v>
      </c>
      <c r="AD464" t="e">
        <f t="shared" si="113"/>
        <v>#N/A</v>
      </c>
      <c r="AE464" t="e">
        <f t="shared" si="114"/>
        <v>#N/A</v>
      </c>
      <c r="AF464" t="e">
        <f t="shared" si="115"/>
        <v>#N/A</v>
      </c>
      <c r="AG464" t="e">
        <f t="shared" si="116"/>
        <v>#N/A</v>
      </c>
      <c r="AH464" t="e">
        <f t="shared" si="117"/>
        <v>#N/A</v>
      </c>
      <c r="AI464">
        <f t="shared" si="118"/>
        <v>0.49947363967743619</v>
      </c>
      <c r="AK464" t="e">
        <f t="shared" si="119"/>
        <v>#N/A</v>
      </c>
      <c r="AL464" t="e">
        <f t="shared" si="120"/>
        <v>#N/A</v>
      </c>
      <c r="AM464" t="e">
        <f t="shared" si="121"/>
        <v>#N/A</v>
      </c>
      <c r="AN464" t="e">
        <f t="shared" si="122"/>
        <v>#N/A</v>
      </c>
      <c r="AO464" t="e">
        <f t="shared" si="123"/>
        <v>#N/A</v>
      </c>
      <c r="AP464" t="e">
        <f t="shared" si="124"/>
        <v>#N/A</v>
      </c>
      <c r="AQ464">
        <f t="shared" si="125"/>
        <v>0.60307899941920817</v>
      </c>
    </row>
    <row r="465" spans="15:43">
      <c r="O465">
        <v>461</v>
      </c>
      <c r="P465" s="401">
        <f>'Lab test'!N464</f>
        <v>31.75</v>
      </c>
      <c r="Q465" s="401">
        <f>'Lab test'!M464</f>
        <v>0.17780000000000001</v>
      </c>
      <c r="R465">
        <f>IF('Lab test'!O464&gt;0,'Lab test'!O464,NA())</f>
        <v>101.6</v>
      </c>
      <c r="S465">
        <f>'Lab test'!Q464</f>
        <v>179</v>
      </c>
      <c r="T465" s="401">
        <f>IF('Lab test'!P464&gt;0,'Lab test'!P464,NA())</f>
        <v>0.23946607275353224</v>
      </c>
      <c r="U465" s="401">
        <f>'Lab test'!AZ464</f>
        <v>1967</v>
      </c>
      <c r="V465">
        <f>IF('Lab test'!AQ464&gt;0,'Lab test'!AQ464,NA())</f>
        <v>1.0588598348061427</v>
      </c>
      <c r="W465">
        <f>IF('Lab test'!AU464&gt;0,'Lab test'!AU464,NA())</f>
        <v>0.58947363165303313</v>
      </c>
      <c r="X465">
        <f>IF('Lab test'!AT464&gt;0,'Lab test'!AT464,NA())</f>
        <v>0.66090849251420047</v>
      </c>
      <c r="Y465">
        <f t="shared" si="111"/>
        <v>1</v>
      </c>
      <c r="Z465" t="str">
        <f>'Lab test'!AC464</f>
        <v>Miscellaneous</v>
      </c>
      <c r="AA465" t="str">
        <f>'Lab test'!T464</f>
        <v>Aluminium</v>
      </c>
      <c r="AC465" t="e">
        <f t="shared" si="112"/>
        <v>#N/A</v>
      </c>
      <c r="AD465" t="e">
        <f t="shared" si="113"/>
        <v>#N/A</v>
      </c>
      <c r="AE465" t="e">
        <f t="shared" si="114"/>
        <v>#N/A</v>
      </c>
      <c r="AF465" t="e">
        <f t="shared" si="115"/>
        <v>#N/A</v>
      </c>
      <c r="AG465" t="e">
        <f t="shared" si="116"/>
        <v>#N/A</v>
      </c>
      <c r="AH465" t="e">
        <f t="shared" si="117"/>
        <v>#N/A</v>
      </c>
      <c r="AI465">
        <f t="shared" si="118"/>
        <v>0.58947363165303313</v>
      </c>
      <c r="AK465" t="e">
        <f t="shared" si="119"/>
        <v>#N/A</v>
      </c>
      <c r="AL465" t="e">
        <f t="shared" si="120"/>
        <v>#N/A</v>
      </c>
      <c r="AM465" t="e">
        <f t="shared" si="121"/>
        <v>#N/A</v>
      </c>
      <c r="AN465" t="e">
        <f t="shared" si="122"/>
        <v>#N/A</v>
      </c>
      <c r="AO465" t="e">
        <f t="shared" si="123"/>
        <v>#N/A</v>
      </c>
      <c r="AP465" t="e">
        <f t="shared" si="124"/>
        <v>#N/A</v>
      </c>
      <c r="AQ465">
        <f t="shared" si="125"/>
        <v>0.66090849251420047</v>
      </c>
    </row>
    <row r="466" spans="15:43">
      <c r="O466">
        <v>462</v>
      </c>
      <c r="P466" s="401">
        <f>'Lab test'!N465</f>
        <v>31.75</v>
      </c>
      <c r="Q466" s="401">
        <f>'Lab test'!M465</f>
        <v>0.1651</v>
      </c>
      <c r="R466">
        <f>IF('Lab test'!O465&gt;0,'Lab test'!O465,NA())</f>
        <v>101.6</v>
      </c>
      <c r="S466">
        <f>'Lab test'!Q465</f>
        <v>192</v>
      </c>
      <c r="T466" s="401">
        <f>IF('Lab test'!P465&gt;0,'Lab test'!P465,NA())</f>
        <v>0.23075528162969527</v>
      </c>
      <c r="U466" s="401">
        <f>'Lab test'!AZ465</f>
        <v>1967</v>
      </c>
      <c r="V466">
        <f>IF('Lab test'!AQ465&gt;0,'Lab test'!AQ465,NA())</f>
        <v>1.0988307805859157</v>
      </c>
      <c r="W466">
        <f>IF('Lab test'!AU465&gt;0,'Lab test'!AU465,NA())</f>
        <v>0.24768418844278331</v>
      </c>
      <c r="X466">
        <f>IF('Lab test'!AT465&gt;0,'Lab test'!AT465,NA())</f>
        <v>0.29906109286267568</v>
      </c>
      <c r="Y466">
        <f t="shared" si="111"/>
        <v>1</v>
      </c>
      <c r="Z466" t="str">
        <f>'Lab test'!AC465</f>
        <v>Miscellaneous</v>
      </c>
      <c r="AA466" t="str">
        <f>'Lab test'!T465</f>
        <v>Aluminium</v>
      </c>
      <c r="AC466" t="e">
        <f t="shared" si="112"/>
        <v>#N/A</v>
      </c>
      <c r="AD466" t="e">
        <f t="shared" si="113"/>
        <v>#N/A</v>
      </c>
      <c r="AE466" t="e">
        <f t="shared" si="114"/>
        <v>#N/A</v>
      </c>
      <c r="AF466" t="e">
        <f t="shared" si="115"/>
        <v>#N/A</v>
      </c>
      <c r="AG466" t="e">
        <f t="shared" si="116"/>
        <v>#N/A</v>
      </c>
      <c r="AH466" t="e">
        <f t="shared" si="117"/>
        <v>#N/A</v>
      </c>
      <c r="AI466">
        <f t="shared" si="118"/>
        <v>0.24768418844278331</v>
      </c>
      <c r="AK466" t="e">
        <f t="shared" si="119"/>
        <v>#N/A</v>
      </c>
      <c r="AL466" t="e">
        <f t="shared" si="120"/>
        <v>#N/A</v>
      </c>
      <c r="AM466" t="e">
        <f t="shared" si="121"/>
        <v>#N/A</v>
      </c>
      <c r="AN466" t="e">
        <f t="shared" si="122"/>
        <v>#N/A</v>
      </c>
      <c r="AO466" t="e">
        <f t="shared" si="123"/>
        <v>#N/A</v>
      </c>
      <c r="AP466" t="e">
        <f t="shared" si="124"/>
        <v>#N/A</v>
      </c>
      <c r="AQ466">
        <f t="shared" si="125"/>
        <v>0.29906109286267568</v>
      </c>
    </row>
    <row r="467" spans="15:43">
      <c r="O467">
        <v>463</v>
      </c>
      <c r="P467" s="401">
        <f>'Lab test'!N466</f>
        <v>31.75</v>
      </c>
      <c r="Q467" s="401">
        <f>'Lab test'!M466</f>
        <v>0.15240000000000001</v>
      </c>
      <c r="R467">
        <f>IF('Lab test'!O466&gt;0,'Lab test'!O466,NA())</f>
        <v>101.6</v>
      </c>
      <c r="S467">
        <f>'Lab test'!Q466</f>
        <v>209</v>
      </c>
      <c r="T467" s="401">
        <f>IF('Lab test'!P466&gt;0,'Lab test'!P466,NA())</f>
        <v>0.22170250336881628</v>
      </c>
      <c r="U467" s="401">
        <f>'Lab test'!AZ466</f>
        <v>1967</v>
      </c>
      <c r="V467">
        <f>IF('Lab test'!AQ466&gt;0,'Lab test'!AQ466,NA())</f>
        <v>1.1436993375562656</v>
      </c>
      <c r="W467">
        <f>IF('Lab test'!AU466&gt;0,'Lab test'!AU466,NA())</f>
        <v>0.53052626848772988</v>
      </c>
      <c r="X467">
        <f>IF('Lab test'!AT466&gt;0,'Lab test'!AT466,NA())</f>
        <v>0.69395391713991061</v>
      </c>
      <c r="Y467">
        <f t="shared" si="111"/>
        <v>1</v>
      </c>
      <c r="Z467" t="str">
        <f>'Lab test'!AC466</f>
        <v>Miscellaneous</v>
      </c>
      <c r="AA467" t="str">
        <f>'Lab test'!T466</f>
        <v>Aluminium</v>
      </c>
      <c r="AC467" t="e">
        <f t="shared" si="112"/>
        <v>#N/A</v>
      </c>
      <c r="AD467" t="e">
        <f t="shared" si="113"/>
        <v>#N/A</v>
      </c>
      <c r="AE467" t="e">
        <f t="shared" si="114"/>
        <v>#N/A</v>
      </c>
      <c r="AF467" t="e">
        <f t="shared" si="115"/>
        <v>#N/A</v>
      </c>
      <c r="AG467" t="e">
        <f t="shared" si="116"/>
        <v>#N/A</v>
      </c>
      <c r="AH467" t="e">
        <f t="shared" si="117"/>
        <v>#N/A</v>
      </c>
      <c r="AI467">
        <f t="shared" si="118"/>
        <v>0.53052626848772988</v>
      </c>
      <c r="AK467" t="e">
        <f t="shared" si="119"/>
        <v>#N/A</v>
      </c>
      <c r="AL467" t="e">
        <f t="shared" si="120"/>
        <v>#N/A</v>
      </c>
      <c r="AM467" t="e">
        <f t="shared" si="121"/>
        <v>#N/A</v>
      </c>
      <c r="AN467" t="e">
        <f t="shared" si="122"/>
        <v>#N/A</v>
      </c>
      <c r="AO467" t="e">
        <f t="shared" si="123"/>
        <v>#N/A</v>
      </c>
      <c r="AP467" t="e">
        <f t="shared" si="124"/>
        <v>#N/A</v>
      </c>
      <c r="AQ467">
        <f t="shared" si="125"/>
        <v>0.69395391713991061</v>
      </c>
    </row>
    <row r="468" spans="15:43">
      <c r="O468">
        <v>464</v>
      </c>
      <c r="P468" s="401">
        <f>'Lab test'!N467</f>
        <v>75.564999999999998</v>
      </c>
      <c r="Q468" s="401">
        <f>'Lab test'!M467</f>
        <v>9.1439999999999994E-2</v>
      </c>
      <c r="R468">
        <f>IF('Lab test'!O467&gt;0,'Lab test'!O467,NA())</f>
        <v>254</v>
      </c>
      <c r="S468">
        <f>'Lab test'!Q467</f>
        <v>826.38888888888891</v>
      </c>
      <c r="T468" s="401">
        <f>IF('Lab test'!P467&gt;0,'Lab test'!P467,NA())</f>
        <v>0.11692861223242657</v>
      </c>
      <c r="U468" s="401">
        <f>'Lab test'!AZ467</f>
        <v>1964</v>
      </c>
      <c r="V468">
        <f>IF('Lab test'!AQ467&gt;0,'Lab test'!AQ467,NA())</f>
        <v>2.7489462732735608</v>
      </c>
      <c r="W468">
        <f>IF('Lab test'!AU467&gt;0,'Lab test'!AU467,NA())</f>
        <v>5.8846795262787806E-2</v>
      </c>
      <c r="X468">
        <f>IF('Lab test'!AT467&gt;0,'Lab test'!AT467,NA())</f>
        <v>0.44468790808964898</v>
      </c>
      <c r="Y468">
        <f t="shared" si="111"/>
        <v>1</v>
      </c>
      <c r="Z468" t="str">
        <f>'Lab test'!AC467</f>
        <v>Electroforming</v>
      </c>
      <c r="AA468" t="str">
        <f>'Lab test'!T467</f>
        <v>Nickel</v>
      </c>
      <c r="AC468" t="e">
        <f t="shared" si="112"/>
        <v>#N/A</v>
      </c>
      <c r="AD468" t="e">
        <f t="shared" si="113"/>
        <v>#N/A</v>
      </c>
      <c r="AE468">
        <f t="shared" si="114"/>
        <v>5.8846795262787806E-2</v>
      </c>
      <c r="AF468" t="e">
        <f t="shared" si="115"/>
        <v>#N/A</v>
      </c>
      <c r="AG468" t="e">
        <f t="shared" si="116"/>
        <v>#N/A</v>
      </c>
      <c r="AH468" t="e">
        <f t="shared" si="117"/>
        <v>#N/A</v>
      </c>
      <c r="AI468" t="e">
        <f t="shared" si="118"/>
        <v>#N/A</v>
      </c>
      <c r="AK468" t="e">
        <f t="shared" si="119"/>
        <v>#N/A</v>
      </c>
      <c r="AL468" t="e">
        <f t="shared" si="120"/>
        <v>#N/A</v>
      </c>
      <c r="AM468">
        <f t="shared" si="121"/>
        <v>0.44468790808964898</v>
      </c>
      <c r="AN468" t="e">
        <f t="shared" si="122"/>
        <v>#N/A</v>
      </c>
      <c r="AO468" t="e">
        <f t="shared" si="123"/>
        <v>#N/A</v>
      </c>
      <c r="AP468" t="e">
        <f t="shared" si="124"/>
        <v>#N/A</v>
      </c>
      <c r="AQ468" t="e">
        <f t="shared" si="125"/>
        <v>#N/A</v>
      </c>
    </row>
    <row r="469" spans="15:43">
      <c r="O469">
        <v>465</v>
      </c>
      <c r="P469" s="401">
        <f>'Lab test'!N468</f>
        <v>75.564999999999998</v>
      </c>
      <c r="Q469" s="401">
        <f>'Lab test'!M468</f>
        <v>9.3979999999999994E-2</v>
      </c>
      <c r="R469">
        <f>IF('Lab test'!O468&gt;0,'Lab test'!O468,NA())</f>
        <v>254</v>
      </c>
      <c r="S469">
        <f>'Lab test'!Q468</f>
        <v>804.05405405405406</v>
      </c>
      <c r="T469" s="401">
        <f>IF('Lab test'!P468&gt;0,'Lab test'!P468,NA())</f>
        <v>0.1185414968678624</v>
      </c>
      <c r="U469" s="401">
        <f>'Lab test'!AZ468</f>
        <v>1964</v>
      </c>
      <c r="V469">
        <f>IF('Lab test'!AQ468&gt;0,'Lab test'!AQ468,NA())</f>
        <v>2.7219529368722433</v>
      </c>
      <c r="W469">
        <f>IF('Lab test'!AU468&gt;0,'Lab test'!AU468,NA())</f>
        <v>0.10403896169729526</v>
      </c>
      <c r="X469">
        <f>IF('Lab test'!AT468&gt;0,'Lab test'!AT468,NA())</f>
        <v>0.77082755851496021</v>
      </c>
      <c r="Y469">
        <f t="shared" si="111"/>
        <v>1</v>
      </c>
      <c r="Z469" t="str">
        <f>'Lab test'!AC468</f>
        <v>Electroforming</v>
      </c>
      <c r="AA469" t="str">
        <f>'Lab test'!T468</f>
        <v>Nickel</v>
      </c>
      <c r="AC469" t="e">
        <f t="shared" si="112"/>
        <v>#N/A</v>
      </c>
      <c r="AD469" t="e">
        <f t="shared" si="113"/>
        <v>#N/A</v>
      </c>
      <c r="AE469">
        <f t="shared" si="114"/>
        <v>0.10403896169729526</v>
      </c>
      <c r="AF469" t="e">
        <f t="shared" si="115"/>
        <v>#N/A</v>
      </c>
      <c r="AG469" t="e">
        <f t="shared" si="116"/>
        <v>#N/A</v>
      </c>
      <c r="AH469" t="e">
        <f t="shared" si="117"/>
        <v>#N/A</v>
      </c>
      <c r="AI469" t="e">
        <f t="shared" si="118"/>
        <v>#N/A</v>
      </c>
      <c r="AK469" t="e">
        <f t="shared" si="119"/>
        <v>#N/A</v>
      </c>
      <c r="AL469" t="e">
        <f t="shared" si="120"/>
        <v>#N/A</v>
      </c>
      <c r="AM469">
        <f t="shared" si="121"/>
        <v>0.77082755851496021</v>
      </c>
      <c r="AN469" t="e">
        <f t="shared" si="122"/>
        <v>#N/A</v>
      </c>
      <c r="AO469" t="e">
        <f t="shared" si="123"/>
        <v>#N/A</v>
      </c>
      <c r="AP469" t="e">
        <f t="shared" si="124"/>
        <v>#N/A</v>
      </c>
      <c r="AQ469" t="e">
        <f t="shared" si="125"/>
        <v>#N/A</v>
      </c>
    </row>
    <row r="470" spans="15:43">
      <c r="O470">
        <v>466</v>
      </c>
      <c r="P470" s="401">
        <f>'Lab test'!N469</f>
        <v>75.564999999999998</v>
      </c>
      <c r="Q470" s="401">
        <f>'Lab test'!M469</f>
        <v>8.763E-2</v>
      </c>
      <c r="R470">
        <f>IF('Lab test'!O469&gt;0,'Lab test'!O469,NA())</f>
        <v>254</v>
      </c>
      <c r="S470">
        <f>'Lab test'!Q469</f>
        <v>862.31884057971013</v>
      </c>
      <c r="T470" s="401">
        <f>IF('Lab test'!P469&gt;0,'Lab test'!P469,NA())</f>
        <v>0.11446668151472199</v>
      </c>
      <c r="U470" s="401">
        <f>'Lab test'!AZ469</f>
        <v>1964</v>
      </c>
      <c r="V470">
        <f>IF('Lab test'!AQ469&gt;0,'Lab test'!AQ469,NA())</f>
        <v>2.7114739751962613</v>
      </c>
      <c r="W470">
        <f>IF('Lab test'!AU469&gt;0,'Lab test'!AU469,NA())</f>
        <v>5.7982056717038606E-2</v>
      </c>
      <c r="X470">
        <f>IF('Lab test'!AT469&gt;0,'Lab test'!AT469,NA())</f>
        <v>0.42628936420237257</v>
      </c>
      <c r="Y470">
        <f t="shared" si="111"/>
        <v>1</v>
      </c>
      <c r="Z470" t="str">
        <f>'Lab test'!AC469</f>
        <v>Electroforming</v>
      </c>
      <c r="AA470" t="str">
        <f>'Lab test'!T469</f>
        <v>Nickel</v>
      </c>
      <c r="AC470" t="e">
        <f t="shared" si="112"/>
        <v>#N/A</v>
      </c>
      <c r="AD470" t="e">
        <f t="shared" si="113"/>
        <v>#N/A</v>
      </c>
      <c r="AE470">
        <f t="shared" si="114"/>
        <v>5.7982056717038606E-2</v>
      </c>
      <c r="AF470" t="e">
        <f t="shared" si="115"/>
        <v>#N/A</v>
      </c>
      <c r="AG470" t="e">
        <f t="shared" si="116"/>
        <v>#N/A</v>
      </c>
      <c r="AH470" t="e">
        <f t="shared" si="117"/>
        <v>#N/A</v>
      </c>
      <c r="AI470" t="e">
        <f t="shared" si="118"/>
        <v>#N/A</v>
      </c>
      <c r="AK470" t="e">
        <f t="shared" si="119"/>
        <v>#N/A</v>
      </c>
      <c r="AL470" t="e">
        <f t="shared" si="120"/>
        <v>#N/A</v>
      </c>
      <c r="AM470">
        <f t="shared" si="121"/>
        <v>0.42628936420237257</v>
      </c>
      <c r="AN470" t="e">
        <f t="shared" si="122"/>
        <v>#N/A</v>
      </c>
      <c r="AO470" t="e">
        <f t="shared" si="123"/>
        <v>#N/A</v>
      </c>
      <c r="AP470" t="e">
        <f t="shared" si="124"/>
        <v>#N/A</v>
      </c>
      <c r="AQ470" t="e">
        <f t="shared" si="125"/>
        <v>#N/A</v>
      </c>
    </row>
    <row r="471" spans="15:43">
      <c r="O471">
        <v>467</v>
      </c>
      <c r="P471" s="401">
        <f>'Lab test'!N470</f>
        <v>75.564999999999998</v>
      </c>
      <c r="Q471" s="401">
        <f>'Lab test'!M470</f>
        <v>8.8899999999999993E-2</v>
      </c>
      <c r="R471">
        <f>IF('Lab test'!O470&gt;0,'Lab test'!O470,NA())</f>
        <v>254</v>
      </c>
      <c r="S471">
        <f>'Lab test'!Q470</f>
        <v>850</v>
      </c>
      <c r="T471" s="401">
        <f>IF('Lab test'!P470&gt;0,'Lab test'!P470,NA())</f>
        <v>0.11529316648235888</v>
      </c>
      <c r="U471" s="401">
        <f>'Lab test'!AZ470</f>
        <v>1964</v>
      </c>
      <c r="V471">
        <f>IF('Lab test'!AQ470&gt;0,'Lab test'!AQ470,NA())</f>
        <v>2.7565554226210427</v>
      </c>
      <c r="W471">
        <f>IF('Lab test'!AU470&gt;0,'Lab test'!AU470,NA())</f>
        <v>5.7364641036656873E-2</v>
      </c>
      <c r="X471">
        <f>IF('Lab test'!AT470&gt;0,'Lab test'!AT470,NA())</f>
        <v>0.4358908350631388</v>
      </c>
      <c r="Y471">
        <f t="shared" si="111"/>
        <v>1</v>
      </c>
      <c r="Z471" t="str">
        <f>'Lab test'!AC470</f>
        <v>Electroforming</v>
      </c>
      <c r="AA471" t="str">
        <f>'Lab test'!T470</f>
        <v>Nickel</v>
      </c>
      <c r="AC471" t="e">
        <f t="shared" si="112"/>
        <v>#N/A</v>
      </c>
      <c r="AD471" t="e">
        <f t="shared" si="113"/>
        <v>#N/A</v>
      </c>
      <c r="AE471">
        <f t="shared" si="114"/>
        <v>5.7364641036656873E-2</v>
      </c>
      <c r="AF471" t="e">
        <f t="shared" si="115"/>
        <v>#N/A</v>
      </c>
      <c r="AG471" t="e">
        <f t="shared" si="116"/>
        <v>#N/A</v>
      </c>
      <c r="AH471" t="e">
        <f t="shared" si="117"/>
        <v>#N/A</v>
      </c>
      <c r="AI471" t="e">
        <f t="shared" si="118"/>
        <v>#N/A</v>
      </c>
      <c r="AK471" t="e">
        <f t="shared" si="119"/>
        <v>#N/A</v>
      </c>
      <c r="AL471" t="e">
        <f t="shared" si="120"/>
        <v>#N/A</v>
      </c>
      <c r="AM471">
        <f t="shared" si="121"/>
        <v>0.4358908350631388</v>
      </c>
      <c r="AN471" t="e">
        <f t="shared" si="122"/>
        <v>#N/A</v>
      </c>
      <c r="AO471" t="e">
        <f t="shared" si="123"/>
        <v>#N/A</v>
      </c>
      <c r="AP471" t="e">
        <f t="shared" si="124"/>
        <v>#N/A</v>
      </c>
      <c r="AQ471" t="e">
        <f t="shared" si="125"/>
        <v>#N/A</v>
      </c>
    </row>
    <row r="472" spans="15:43">
      <c r="O472">
        <v>468</v>
      </c>
      <c r="P472" s="401">
        <f>'Lab test'!N471</f>
        <v>75.564999999999998</v>
      </c>
      <c r="Q472" s="401">
        <f>'Lab test'!M471</f>
        <v>8.2549999999999998E-2</v>
      </c>
      <c r="R472">
        <f>IF('Lab test'!O471&gt;0,'Lab test'!O471,NA())</f>
        <v>254</v>
      </c>
      <c r="S472">
        <f>'Lab test'!Q471</f>
        <v>915.38461538461536</v>
      </c>
      <c r="T472" s="401">
        <f>IF('Lab test'!P471&gt;0,'Lab test'!P471,NA())</f>
        <v>0.11109927513196603</v>
      </c>
      <c r="U472" s="401">
        <f>'Lab test'!AZ471</f>
        <v>1964</v>
      </c>
      <c r="V472">
        <f>IF('Lab test'!AQ471&gt;0,'Lab test'!AQ471,NA())</f>
        <v>2.926890565569622</v>
      </c>
      <c r="W472">
        <f>IF('Lab test'!AU471&gt;0,'Lab test'!AU471,NA())</f>
        <v>7.9947101535250295E-2</v>
      </c>
      <c r="X472">
        <f>IF('Lab test'!AT471&gt;0,'Lab test'!AT471,NA())</f>
        <v>0.68488190596219656</v>
      </c>
      <c r="Y472">
        <f t="shared" si="111"/>
        <v>1</v>
      </c>
      <c r="Z472" t="str">
        <f>'Lab test'!AC471</f>
        <v>Electroforming</v>
      </c>
      <c r="AA472" t="str">
        <f>'Lab test'!T471</f>
        <v>Nickel</v>
      </c>
      <c r="AC472" t="e">
        <f t="shared" si="112"/>
        <v>#N/A</v>
      </c>
      <c r="AD472" t="e">
        <f t="shared" si="113"/>
        <v>#N/A</v>
      </c>
      <c r="AE472">
        <f t="shared" si="114"/>
        <v>7.9947101535250295E-2</v>
      </c>
      <c r="AF472" t="e">
        <f t="shared" si="115"/>
        <v>#N/A</v>
      </c>
      <c r="AG472" t="e">
        <f t="shared" si="116"/>
        <v>#N/A</v>
      </c>
      <c r="AH472" t="e">
        <f t="shared" si="117"/>
        <v>#N/A</v>
      </c>
      <c r="AI472" t="e">
        <f t="shared" si="118"/>
        <v>#N/A</v>
      </c>
      <c r="AK472" t="e">
        <f t="shared" si="119"/>
        <v>#N/A</v>
      </c>
      <c r="AL472" t="e">
        <f t="shared" si="120"/>
        <v>#N/A</v>
      </c>
      <c r="AM472">
        <f t="shared" si="121"/>
        <v>0.68488190596219656</v>
      </c>
      <c r="AN472" t="e">
        <f t="shared" si="122"/>
        <v>#N/A</v>
      </c>
      <c r="AO472" t="e">
        <f t="shared" si="123"/>
        <v>#N/A</v>
      </c>
      <c r="AP472" t="e">
        <f t="shared" si="124"/>
        <v>#N/A</v>
      </c>
      <c r="AQ472" t="e">
        <f t="shared" si="125"/>
        <v>#N/A</v>
      </c>
    </row>
    <row r="473" spans="15:43">
      <c r="O473">
        <v>469</v>
      </c>
      <c r="P473" s="401">
        <f>'Lab test'!N472</f>
        <v>75.564999999999998</v>
      </c>
      <c r="Q473" s="401">
        <f>'Lab test'!M472</f>
        <v>9.6519999999999995E-2</v>
      </c>
      <c r="R473">
        <f>IF('Lab test'!O472&gt;0,'Lab test'!O472,NA())</f>
        <v>254</v>
      </c>
      <c r="S473">
        <f>'Lab test'!Q472</f>
        <v>782.89473684210532</v>
      </c>
      <c r="T473" s="401">
        <f>IF('Lab test'!P472&gt;0,'Lab test'!P472,NA())</f>
        <v>0.12013272909888331</v>
      </c>
      <c r="U473" s="401">
        <f>'Lab test'!AZ472</f>
        <v>1964</v>
      </c>
      <c r="V473">
        <f>IF('Lab test'!AQ472&gt;0,'Lab test'!AQ472,NA())</f>
        <v>2.6116201014986458</v>
      </c>
      <c r="W473">
        <f>IF('Lab test'!AU472&gt;0,'Lab test'!AU472,NA())</f>
        <v>8.6441010463035081E-2</v>
      </c>
      <c r="X473">
        <f>IF('Lab test'!AT472&gt;0,'Lab test'!AT472,NA())</f>
        <v>0.58957605981876582</v>
      </c>
      <c r="Y473">
        <f t="shared" si="111"/>
        <v>1</v>
      </c>
      <c r="Z473" t="str">
        <f>'Lab test'!AC472</f>
        <v>Electroforming</v>
      </c>
      <c r="AA473" t="str">
        <f>'Lab test'!T472</f>
        <v>Nickel</v>
      </c>
      <c r="AC473" t="e">
        <f t="shared" si="112"/>
        <v>#N/A</v>
      </c>
      <c r="AD473" t="e">
        <f t="shared" si="113"/>
        <v>#N/A</v>
      </c>
      <c r="AE473">
        <f t="shared" si="114"/>
        <v>8.6441010463035081E-2</v>
      </c>
      <c r="AF473" t="e">
        <f t="shared" si="115"/>
        <v>#N/A</v>
      </c>
      <c r="AG473" t="e">
        <f t="shared" si="116"/>
        <v>#N/A</v>
      </c>
      <c r="AH473" t="e">
        <f t="shared" si="117"/>
        <v>#N/A</v>
      </c>
      <c r="AI473" t="e">
        <f t="shared" si="118"/>
        <v>#N/A</v>
      </c>
      <c r="AK473" t="e">
        <f t="shared" si="119"/>
        <v>#N/A</v>
      </c>
      <c r="AL473" t="e">
        <f t="shared" si="120"/>
        <v>#N/A</v>
      </c>
      <c r="AM473">
        <f t="shared" si="121"/>
        <v>0.58957605981876582</v>
      </c>
      <c r="AN473" t="e">
        <f t="shared" si="122"/>
        <v>#N/A</v>
      </c>
      <c r="AO473" t="e">
        <f t="shared" si="123"/>
        <v>#N/A</v>
      </c>
      <c r="AP473" t="e">
        <f t="shared" si="124"/>
        <v>#N/A</v>
      </c>
      <c r="AQ473" t="e">
        <f t="shared" si="125"/>
        <v>#N/A</v>
      </c>
    </row>
    <row r="474" spans="15:43">
      <c r="O474">
        <v>470</v>
      </c>
      <c r="P474" s="401">
        <f>'Lab test'!N473</f>
        <v>75.564999999999998</v>
      </c>
      <c r="Q474" s="401">
        <f>'Lab test'!M473</f>
        <v>9.1439999999999994E-2</v>
      </c>
      <c r="R474">
        <f>IF('Lab test'!O473&gt;0,'Lab test'!O473,NA())</f>
        <v>254</v>
      </c>
      <c r="S474">
        <f>'Lab test'!Q473</f>
        <v>826.38888888888891</v>
      </c>
      <c r="T474" s="401">
        <f>IF('Lab test'!P473&gt;0,'Lab test'!P473,NA())</f>
        <v>0.11692861223242657</v>
      </c>
      <c r="U474" s="401">
        <f>'Lab test'!AZ473</f>
        <v>1964</v>
      </c>
      <c r="V474">
        <f>IF('Lab test'!AQ473&gt;0,'Lab test'!AQ473,NA())</f>
        <v>2.7974133101936434</v>
      </c>
      <c r="W474">
        <f>IF('Lab test'!AU473&gt;0,'Lab test'!AU473,NA())</f>
        <v>7.8223179068827683E-2</v>
      </c>
      <c r="X474">
        <f>IF('Lab test'!AT473&gt;0,'Lab test'!AT473,NA())</f>
        <v>0.6121371483285547</v>
      </c>
      <c r="Y474">
        <f t="shared" si="111"/>
        <v>1</v>
      </c>
      <c r="Z474" t="str">
        <f>'Lab test'!AC473</f>
        <v>Electroforming</v>
      </c>
      <c r="AA474" t="str">
        <f>'Lab test'!T473</f>
        <v>Nickel</v>
      </c>
      <c r="AC474" t="e">
        <f t="shared" si="112"/>
        <v>#N/A</v>
      </c>
      <c r="AD474" t="e">
        <f t="shared" si="113"/>
        <v>#N/A</v>
      </c>
      <c r="AE474">
        <f t="shared" si="114"/>
        <v>7.8223179068827683E-2</v>
      </c>
      <c r="AF474" t="e">
        <f t="shared" si="115"/>
        <v>#N/A</v>
      </c>
      <c r="AG474" t="e">
        <f t="shared" si="116"/>
        <v>#N/A</v>
      </c>
      <c r="AH474" t="e">
        <f t="shared" si="117"/>
        <v>#N/A</v>
      </c>
      <c r="AI474" t="e">
        <f t="shared" si="118"/>
        <v>#N/A</v>
      </c>
      <c r="AK474" t="e">
        <f t="shared" si="119"/>
        <v>#N/A</v>
      </c>
      <c r="AL474" t="e">
        <f t="shared" si="120"/>
        <v>#N/A</v>
      </c>
      <c r="AM474">
        <f t="shared" si="121"/>
        <v>0.6121371483285547</v>
      </c>
      <c r="AN474" t="e">
        <f t="shared" si="122"/>
        <v>#N/A</v>
      </c>
      <c r="AO474" t="e">
        <f t="shared" si="123"/>
        <v>#N/A</v>
      </c>
      <c r="AP474" t="e">
        <f t="shared" si="124"/>
        <v>#N/A</v>
      </c>
      <c r="AQ474" t="e">
        <f t="shared" si="125"/>
        <v>#N/A</v>
      </c>
    </row>
    <row r="475" spans="15:43">
      <c r="O475">
        <v>471</v>
      </c>
      <c r="P475" s="401">
        <f>'Lab test'!N474</f>
        <v>75.564999999999998</v>
      </c>
      <c r="Q475" s="401">
        <f>'Lab test'!M474</f>
        <v>9.3979999999999994E-2</v>
      </c>
      <c r="R475">
        <f>IF('Lab test'!O474&gt;0,'Lab test'!O474,NA())</f>
        <v>254</v>
      </c>
      <c r="S475">
        <f>'Lab test'!Q474</f>
        <v>804.05405405405406</v>
      </c>
      <c r="T475" s="401">
        <f>IF('Lab test'!P474&gt;0,'Lab test'!P474,NA())</f>
        <v>0.1185414968678624</v>
      </c>
      <c r="U475" s="401">
        <f>'Lab test'!AZ474</f>
        <v>1964</v>
      </c>
      <c r="V475">
        <f>IF('Lab test'!AQ474&gt;0,'Lab test'!AQ474,NA())</f>
        <v>2.764820974673293</v>
      </c>
      <c r="W475">
        <f>IF('Lab test'!AU474&gt;0,'Lab test'!AU474,NA())</f>
        <v>7.5610290476078437E-2</v>
      </c>
      <c r="X475">
        <f>IF('Lab test'!AT474&gt;0,'Lab test'!AT474,NA())</f>
        <v>0.57798283048033117</v>
      </c>
      <c r="Y475">
        <f t="shared" si="111"/>
        <v>1</v>
      </c>
      <c r="Z475" t="str">
        <f>'Lab test'!AC474</f>
        <v>Electroforming</v>
      </c>
      <c r="AA475" t="str">
        <f>'Lab test'!T474</f>
        <v>Nickel</v>
      </c>
      <c r="AC475" t="e">
        <f t="shared" si="112"/>
        <v>#N/A</v>
      </c>
      <c r="AD475" t="e">
        <f t="shared" si="113"/>
        <v>#N/A</v>
      </c>
      <c r="AE475">
        <f t="shared" si="114"/>
        <v>7.5610290476078437E-2</v>
      </c>
      <c r="AF475" t="e">
        <f t="shared" si="115"/>
        <v>#N/A</v>
      </c>
      <c r="AG475" t="e">
        <f t="shared" si="116"/>
        <v>#N/A</v>
      </c>
      <c r="AH475" t="e">
        <f t="shared" si="117"/>
        <v>#N/A</v>
      </c>
      <c r="AI475" t="e">
        <f t="shared" si="118"/>
        <v>#N/A</v>
      </c>
      <c r="AK475" t="e">
        <f t="shared" si="119"/>
        <v>#N/A</v>
      </c>
      <c r="AL475" t="e">
        <f t="shared" si="120"/>
        <v>#N/A</v>
      </c>
      <c r="AM475">
        <f t="shared" si="121"/>
        <v>0.57798283048033117</v>
      </c>
      <c r="AN475" t="e">
        <f t="shared" si="122"/>
        <v>#N/A</v>
      </c>
      <c r="AO475" t="e">
        <f t="shared" si="123"/>
        <v>#N/A</v>
      </c>
      <c r="AP475" t="e">
        <f t="shared" si="124"/>
        <v>#N/A</v>
      </c>
      <c r="AQ475" t="e">
        <f t="shared" si="125"/>
        <v>#N/A</v>
      </c>
    </row>
    <row r="476" spans="15:43">
      <c r="O476">
        <v>472</v>
      </c>
      <c r="P476" s="401">
        <f>'Lab test'!N475</f>
        <v>75.564999999999998</v>
      </c>
      <c r="Q476" s="401">
        <f>'Lab test'!M475</f>
        <v>8.2549999999999998E-2</v>
      </c>
      <c r="R476">
        <f>IF('Lab test'!O475&gt;0,'Lab test'!O475,NA())</f>
        <v>254</v>
      </c>
      <c r="S476">
        <f>'Lab test'!Q475</f>
        <v>915.38461538461536</v>
      </c>
      <c r="T476" s="401">
        <f>IF('Lab test'!P475&gt;0,'Lab test'!P475,NA())</f>
        <v>0.11109927513196603</v>
      </c>
      <c r="U476" s="401">
        <f>'Lab test'!AZ475</f>
        <v>1964</v>
      </c>
      <c r="V476">
        <f>IF('Lab test'!AQ475&gt;0,'Lab test'!AQ475,NA())</f>
        <v>2.7887007486023769</v>
      </c>
      <c r="W476">
        <f>IF('Lab test'!AU475&gt;0,'Lab test'!AU475,NA())</f>
        <v>7.8925050521305329E-2</v>
      </c>
      <c r="X476">
        <f>IF('Lab test'!AT475&gt;0,'Lab test'!AT475,NA())</f>
        <v>0.6137884263619946</v>
      </c>
      <c r="Y476">
        <f t="shared" si="111"/>
        <v>1</v>
      </c>
      <c r="Z476" t="str">
        <f>'Lab test'!AC475</f>
        <v>Electroforming</v>
      </c>
      <c r="AA476" t="str">
        <f>'Lab test'!T475</f>
        <v>Nickel</v>
      </c>
      <c r="AC476" t="e">
        <f t="shared" si="112"/>
        <v>#N/A</v>
      </c>
      <c r="AD476" t="e">
        <f t="shared" si="113"/>
        <v>#N/A</v>
      </c>
      <c r="AE476">
        <f t="shared" si="114"/>
        <v>7.8925050521305329E-2</v>
      </c>
      <c r="AF476" t="e">
        <f t="shared" si="115"/>
        <v>#N/A</v>
      </c>
      <c r="AG476" t="e">
        <f t="shared" si="116"/>
        <v>#N/A</v>
      </c>
      <c r="AH476" t="e">
        <f t="shared" si="117"/>
        <v>#N/A</v>
      </c>
      <c r="AI476" t="e">
        <f t="shared" si="118"/>
        <v>#N/A</v>
      </c>
      <c r="AK476" t="e">
        <f t="shared" si="119"/>
        <v>#N/A</v>
      </c>
      <c r="AL476" t="e">
        <f t="shared" si="120"/>
        <v>#N/A</v>
      </c>
      <c r="AM476">
        <f t="shared" si="121"/>
        <v>0.6137884263619946</v>
      </c>
      <c r="AN476" t="e">
        <f t="shared" si="122"/>
        <v>#N/A</v>
      </c>
      <c r="AO476" t="e">
        <f t="shared" si="123"/>
        <v>#N/A</v>
      </c>
      <c r="AP476" t="e">
        <f t="shared" si="124"/>
        <v>#N/A</v>
      </c>
      <c r="AQ476" t="e">
        <f t="shared" si="125"/>
        <v>#N/A</v>
      </c>
    </row>
    <row r="477" spans="15:43">
      <c r="O477">
        <v>473</v>
      </c>
      <c r="P477" s="401">
        <f>'Lab test'!N476</f>
        <v>101.67619999999999</v>
      </c>
      <c r="Q477" s="401">
        <f>'Lab test'!M476</f>
        <v>0.11414759999999999</v>
      </c>
      <c r="R477">
        <f>IF('Lab test'!O476&gt;0,'Lab test'!O476,NA())</f>
        <v>203.2</v>
      </c>
      <c r="S477">
        <f>'Lab test'!Q476</f>
        <v>890.74321317311978</v>
      </c>
      <c r="T477" s="401">
        <f>IF('Lab test'!P476&gt;0,'Lab test'!P476,NA())</f>
        <v>6.6961956724040289E-2</v>
      </c>
      <c r="U477" s="401">
        <f>'Lab test'!AZ476</f>
        <v>1968</v>
      </c>
      <c r="V477" t="e">
        <f>IF('Lab test'!AQ476&gt;0,'Lab test'!AQ476,NA())</f>
        <v>#N/A</v>
      </c>
      <c r="W477" t="e">
        <f>IF('Lab test'!AU476&gt;0,'Lab test'!AU476,NA())</f>
        <v>#N/A</v>
      </c>
      <c r="X477">
        <f>IF('Lab test'!AT476&gt;0,'Lab test'!AT476,NA())</f>
        <v>0.57499999999999996</v>
      </c>
      <c r="Y477">
        <f t="shared" si="111"/>
        <v>1</v>
      </c>
      <c r="Z477" t="str">
        <f>'Lab test'!AC476</f>
        <v>Electroforming</v>
      </c>
      <c r="AA477" t="str">
        <f>'Lab test'!T476</f>
        <v>Copper</v>
      </c>
      <c r="AC477" t="e">
        <f t="shared" si="112"/>
        <v>#N/A</v>
      </c>
      <c r="AD477" t="e">
        <f t="shared" si="113"/>
        <v>#N/A</v>
      </c>
      <c r="AE477" t="e">
        <f t="shared" si="114"/>
        <v>#N/A</v>
      </c>
      <c r="AF477" t="e">
        <f t="shared" si="115"/>
        <v>#N/A</v>
      </c>
      <c r="AG477" t="e">
        <f t="shared" si="116"/>
        <v>#N/A</v>
      </c>
      <c r="AH477" t="e">
        <f t="shared" si="117"/>
        <v>#N/A</v>
      </c>
      <c r="AI477" t="e">
        <f t="shared" si="118"/>
        <v>#N/A</v>
      </c>
      <c r="AK477" t="e">
        <f t="shared" si="119"/>
        <v>#N/A</v>
      </c>
      <c r="AL477" t="e">
        <f t="shared" si="120"/>
        <v>#N/A</v>
      </c>
      <c r="AM477">
        <f t="shared" si="121"/>
        <v>0.57499999999999996</v>
      </c>
      <c r="AN477" t="e">
        <f t="shared" si="122"/>
        <v>#N/A</v>
      </c>
      <c r="AO477" t="e">
        <f t="shared" si="123"/>
        <v>#N/A</v>
      </c>
      <c r="AP477" t="e">
        <f t="shared" si="124"/>
        <v>#N/A</v>
      </c>
      <c r="AQ477" t="e">
        <f t="shared" si="125"/>
        <v>#N/A</v>
      </c>
    </row>
    <row r="478" spans="15:43">
      <c r="O478">
        <v>474</v>
      </c>
      <c r="P478" s="401">
        <f>'Lab test'!N477</f>
        <v>101.67619999999999</v>
      </c>
      <c r="Q478" s="401">
        <f>'Lab test'!M477</f>
        <v>0.11785599999999997</v>
      </c>
      <c r="R478">
        <f>IF('Lab test'!O477&gt;0,'Lab test'!O477,NA())</f>
        <v>203.2</v>
      </c>
      <c r="S478">
        <f>'Lab test'!Q477</f>
        <v>862.71551724137942</v>
      </c>
      <c r="T478" s="401">
        <f>IF('Lab test'!P477&gt;0,'Lab test'!P477,NA())</f>
        <v>6.804098500497327E-2</v>
      </c>
      <c r="U478" s="401">
        <f>'Lab test'!AZ477</f>
        <v>1968</v>
      </c>
      <c r="V478" t="e">
        <f>IF('Lab test'!AQ477&gt;0,'Lab test'!AQ477,NA())</f>
        <v>#N/A</v>
      </c>
      <c r="W478" t="e">
        <f>IF('Lab test'!AU477&gt;0,'Lab test'!AU477,NA())</f>
        <v>#N/A</v>
      </c>
      <c r="X478">
        <f>IF('Lab test'!AT477&gt;0,'Lab test'!AT477,NA())</f>
        <v>0.65800000000000003</v>
      </c>
      <c r="Y478">
        <f t="shared" si="111"/>
        <v>1</v>
      </c>
      <c r="Z478" t="str">
        <f>'Lab test'!AC477</f>
        <v>Electroforming</v>
      </c>
      <c r="AA478" t="str">
        <f>'Lab test'!T477</f>
        <v>Copper</v>
      </c>
      <c r="AC478" t="e">
        <f t="shared" si="112"/>
        <v>#N/A</v>
      </c>
      <c r="AD478" t="e">
        <f t="shared" si="113"/>
        <v>#N/A</v>
      </c>
      <c r="AE478" t="e">
        <f t="shared" si="114"/>
        <v>#N/A</v>
      </c>
      <c r="AF478" t="e">
        <f t="shared" si="115"/>
        <v>#N/A</v>
      </c>
      <c r="AG478" t="e">
        <f t="shared" si="116"/>
        <v>#N/A</v>
      </c>
      <c r="AH478" t="e">
        <f t="shared" si="117"/>
        <v>#N/A</v>
      </c>
      <c r="AI478" t="e">
        <f t="shared" si="118"/>
        <v>#N/A</v>
      </c>
      <c r="AK478" t="e">
        <f t="shared" si="119"/>
        <v>#N/A</v>
      </c>
      <c r="AL478" t="e">
        <f t="shared" si="120"/>
        <v>#N/A</v>
      </c>
      <c r="AM478">
        <f t="shared" si="121"/>
        <v>0.65800000000000003</v>
      </c>
      <c r="AN478" t="e">
        <f t="shared" si="122"/>
        <v>#N/A</v>
      </c>
      <c r="AO478" t="e">
        <f t="shared" si="123"/>
        <v>#N/A</v>
      </c>
      <c r="AP478" t="e">
        <f t="shared" si="124"/>
        <v>#N/A</v>
      </c>
      <c r="AQ478" t="e">
        <f t="shared" si="125"/>
        <v>#N/A</v>
      </c>
    </row>
    <row r="479" spans="15:43">
      <c r="O479">
        <v>475</v>
      </c>
      <c r="P479" s="401">
        <f>'Lab test'!N478</f>
        <v>101.67619999999999</v>
      </c>
      <c r="Q479" s="401">
        <f>'Lab test'!M478</f>
        <v>0.11531599999999999</v>
      </c>
      <c r="R479">
        <f>IF('Lab test'!O478&gt;0,'Lab test'!O478,NA())</f>
        <v>203.2</v>
      </c>
      <c r="S479">
        <f>'Lab test'!Q478</f>
        <v>881.71806167400882</v>
      </c>
      <c r="T479" s="401">
        <f>IF('Lab test'!P478&gt;0,'Lab test'!P478,NA())</f>
        <v>6.7303791151527279E-2</v>
      </c>
      <c r="U479" s="401">
        <f>'Lab test'!AZ478</f>
        <v>1968</v>
      </c>
      <c r="V479" t="e">
        <f>IF('Lab test'!AQ478&gt;0,'Lab test'!AQ478,NA())</f>
        <v>#N/A</v>
      </c>
      <c r="W479" t="e">
        <f>IF('Lab test'!AU478&gt;0,'Lab test'!AU478,NA())</f>
        <v>#N/A</v>
      </c>
      <c r="X479">
        <f>IF('Lab test'!AT478&gt;0,'Lab test'!AT478,NA())</f>
        <v>0.73599999999999999</v>
      </c>
      <c r="Y479">
        <f t="shared" si="111"/>
        <v>1</v>
      </c>
      <c r="Z479" t="str">
        <f>'Lab test'!AC478</f>
        <v>Electroforming</v>
      </c>
      <c r="AA479" t="str">
        <f>'Lab test'!T478</f>
        <v>Copper</v>
      </c>
      <c r="AC479" t="e">
        <f t="shared" si="112"/>
        <v>#N/A</v>
      </c>
      <c r="AD479" t="e">
        <f t="shared" si="113"/>
        <v>#N/A</v>
      </c>
      <c r="AE479" t="e">
        <f t="shared" si="114"/>
        <v>#N/A</v>
      </c>
      <c r="AF479" t="e">
        <f t="shared" si="115"/>
        <v>#N/A</v>
      </c>
      <c r="AG479" t="e">
        <f t="shared" si="116"/>
        <v>#N/A</v>
      </c>
      <c r="AH479" t="e">
        <f t="shared" si="117"/>
        <v>#N/A</v>
      </c>
      <c r="AI479" t="e">
        <f t="shared" si="118"/>
        <v>#N/A</v>
      </c>
      <c r="AK479" t="e">
        <f t="shared" si="119"/>
        <v>#N/A</v>
      </c>
      <c r="AL479" t="e">
        <f t="shared" si="120"/>
        <v>#N/A</v>
      </c>
      <c r="AM479">
        <f t="shared" si="121"/>
        <v>0.73599999999999999</v>
      </c>
      <c r="AN479" t="e">
        <f t="shared" si="122"/>
        <v>#N/A</v>
      </c>
      <c r="AO479" t="e">
        <f t="shared" si="123"/>
        <v>#N/A</v>
      </c>
      <c r="AP479" t="e">
        <f t="shared" si="124"/>
        <v>#N/A</v>
      </c>
      <c r="AQ479" t="e">
        <f t="shared" si="125"/>
        <v>#N/A</v>
      </c>
    </row>
    <row r="480" spans="15:43">
      <c r="O480">
        <v>476</v>
      </c>
      <c r="P480" s="401">
        <f>'Lab test'!N479</f>
        <v>101.67619999999999</v>
      </c>
      <c r="Q480" s="401">
        <f>'Lab test'!M479</f>
        <v>0.120396</v>
      </c>
      <c r="R480">
        <f>IF('Lab test'!O479&gt;0,'Lab test'!O479,NA())</f>
        <v>203.2</v>
      </c>
      <c r="S480">
        <f>'Lab test'!Q479</f>
        <v>844.51476793248935</v>
      </c>
      <c r="T480" s="401">
        <f>IF('Lab test'!P479&gt;0,'Lab test'!P479,NA())</f>
        <v>6.8770276846364373E-2</v>
      </c>
      <c r="U480" s="401">
        <f>'Lab test'!AZ479</f>
        <v>1968</v>
      </c>
      <c r="V480" t="e">
        <f>IF('Lab test'!AQ479&gt;0,'Lab test'!AQ479,NA())</f>
        <v>#N/A</v>
      </c>
      <c r="W480" t="e">
        <f>IF('Lab test'!AU479&gt;0,'Lab test'!AU479,NA())</f>
        <v>#N/A</v>
      </c>
      <c r="X480">
        <f>IF('Lab test'!AT479&gt;0,'Lab test'!AT479,NA())</f>
        <v>0.56100000000000005</v>
      </c>
      <c r="Y480">
        <f t="shared" si="111"/>
        <v>1</v>
      </c>
      <c r="Z480" t="str">
        <f>'Lab test'!AC479</f>
        <v>Electroforming</v>
      </c>
      <c r="AA480" t="str">
        <f>'Lab test'!T479</f>
        <v>Copper</v>
      </c>
      <c r="AC480" t="e">
        <f t="shared" si="112"/>
        <v>#N/A</v>
      </c>
      <c r="AD480" t="e">
        <f t="shared" si="113"/>
        <v>#N/A</v>
      </c>
      <c r="AE480" t="e">
        <f t="shared" si="114"/>
        <v>#N/A</v>
      </c>
      <c r="AF480" t="e">
        <f t="shared" si="115"/>
        <v>#N/A</v>
      </c>
      <c r="AG480" t="e">
        <f t="shared" si="116"/>
        <v>#N/A</v>
      </c>
      <c r="AH480" t="e">
        <f t="shared" si="117"/>
        <v>#N/A</v>
      </c>
      <c r="AI480" t="e">
        <f t="shared" si="118"/>
        <v>#N/A</v>
      </c>
      <c r="AK480" t="e">
        <f t="shared" si="119"/>
        <v>#N/A</v>
      </c>
      <c r="AL480" t="e">
        <f t="shared" si="120"/>
        <v>#N/A</v>
      </c>
      <c r="AM480">
        <f t="shared" si="121"/>
        <v>0.56100000000000005</v>
      </c>
      <c r="AN480" t="e">
        <f t="shared" si="122"/>
        <v>#N/A</v>
      </c>
      <c r="AO480" t="e">
        <f t="shared" si="123"/>
        <v>#N/A</v>
      </c>
      <c r="AP480" t="e">
        <f t="shared" si="124"/>
        <v>#N/A</v>
      </c>
      <c r="AQ480" t="e">
        <f t="shared" si="125"/>
        <v>#N/A</v>
      </c>
    </row>
    <row r="481" spans="15:43">
      <c r="O481">
        <v>477</v>
      </c>
      <c r="P481" s="401">
        <f>'Lab test'!N480</f>
        <v>101.67619999999999</v>
      </c>
      <c r="Q481" s="401">
        <f>'Lab test'!M480</f>
        <v>0.120396</v>
      </c>
      <c r="R481">
        <f>IF('Lab test'!O480&gt;0,'Lab test'!O480,NA())</f>
        <v>208.27999999999997</v>
      </c>
      <c r="S481">
        <f>'Lab test'!Q480</f>
        <v>844.51476793248935</v>
      </c>
      <c r="T481" s="401">
        <f>IF('Lab test'!P480&gt;0,'Lab test'!P480,NA())</f>
        <v>7.0489533767523482E-2</v>
      </c>
      <c r="U481" s="401">
        <f>'Lab test'!AZ480</f>
        <v>1968</v>
      </c>
      <c r="V481" t="e">
        <f>IF('Lab test'!AQ480&gt;0,'Lab test'!AQ480,NA())</f>
        <v>#N/A</v>
      </c>
      <c r="W481" t="e">
        <f>IF('Lab test'!AU480&gt;0,'Lab test'!AU480,NA())</f>
        <v>#N/A</v>
      </c>
      <c r="X481">
        <f>IF('Lab test'!AT480&gt;0,'Lab test'!AT480,NA())</f>
        <v>0.67300000000000004</v>
      </c>
      <c r="Y481">
        <f t="shared" si="111"/>
        <v>1</v>
      </c>
      <c r="Z481" t="str">
        <f>'Lab test'!AC480</f>
        <v>Electroforming</v>
      </c>
      <c r="AA481" t="str">
        <f>'Lab test'!T480</f>
        <v>Copper</v>
      </c>
      <c r="AC481" t="e">
        <f t="shared" si="112"/>
        <v>#N/A</v>
      </c>
      <c r="AD481" t="e">
        <f t="shared" si="113"/>
        <v>#N/A</v>
      </c>
      <c r="AE481" t="e">
        <f t="shared" si="114"/>
        <v>#N/A</v>
      </c>
      <c r="AF481" t="e">
        <f t="shared" si="115"/>
        <v>#N/A</v>
      </c>
      <c r="AG481" t="e">
        <f t="shared" si="116"/>
        <v>#N/A</v>
      </c>
      <c r="AH481" t="e">
        <f t="shared" si="117"/>
        <v>#N/A</v>
      </c>
      <c r="AI481" t="e">
        <f t="shared" si="118"/>
        <v>#N/A</v>
      </c>
      <c r="AK481" t="e">
        <f t="shared" si="119"/>
        <v>#N/A</v>
      </c>
      <c r="AL481" t="e">
        <f t="shared" si="120"/>
        <v>#N/A</v>
      </c>
      <c r="AM481">
        <f t="shared" si="121"/>
        <v>0.67300000000000004</v>
      </c>
      <c r="AN481" t="e">
        <f t="shared" si="122"/>
        <v>#N/A</v>
      </c>
      <c r="AO481" t="e">
        <f t="shared" si="123"/>
        <v>#N/A</v>
      </c>
      <c r="AP481" t="e">
        <f t="shared" si="124"/>
        <v>#N/A</v>
      </c>
      <c r="AQ481" t="e">
        <f t="shared" si="125"/>
        <v>#N/A</v>
      </c>
    </row>
    <row r="482" spans="15:43">
      <c r="O482">
        <v>478</v>
      </c>
      <c r="P482" s="401">
        <f>'Lab test'!N481</f>
        <v>36.83</v>
      </c>
      <c r="Q482" s="401">
        <f>'Lab test'!M481</f>
        <v>3.8364583333333334E-2</v>
      </c>
      <c r="R482">
        <f>IF('Lab test'!O481&gt;0,'Lab test'!O481,NA())</f>
        <v>180.84799999999998</v>
      </c>
      <c r="S482">
        <f>'Lab test'!Q481</f>
        <v>960</v>
      </c>
      <c r="T482" s="401">
        <f>IF('Lab test'!P481&gt;0,'Lab test'!P481,NA())</f>
        <v>0.15848069784480923</v>
      </c>
      <c r="U482" s="401">
        <f>'Lab test'!AZ481</f>
        <v>1972</v>
      </c>
      <c r="V482" t="e">
        <f>IF('Lab test'!AQ481&gt;0,'Lab test'!AQ481,NA())</f>
        <v>#N/A</v>
      </c>
      <c r="W482" t="e">
        <f>IF('Lab test'!AU481&gt;0,'Lab test'!AU481,NA())</f>
        <v>#N/A</v>
      </c>
      <c r="X482">
        <f>IF('Lab test'!AT481&gt;0,'Lab test'!AT481,NA())</f>
        <v>0.91</v>
      </c>
      <c r="Y482">
        <f t="shared" si="111"/>
        <v>1</v>
      </c>
      <c r="Z482" t="str">
        <f>'Lab test'!AC481</f>
        <v>Electroforming</v>
      </c>
      <c r="AA482" t="str">
        <f>'Lab test'!T481</f>
        <v>Nickel</v>
      </c>
      <c r="AC482" t="e">
        <f t="shared" si="112"/>
        <v>#N/A</v>
      </c>
      <c r="AD482" t="e">
        <f t="shared" si="113"/>
        <v>#N/A</v>
      </c>
      <c r="AE482" t="e">
        <f t="shared" si="114"/>
        <v>#N/A</v>
      </c>
      <c r="AF482" t="e">
        <f t="shared" si="115"/>
        <v>#N/A</v>
      </c>
      <c r="AG482" t="e">
        <f t="shared" si="116"/>
        <v>#N/A</v>
      </c>
      <c r="AH482" t="e">
        <f t="shared" si="117"/>
        <v>#N/A</v>
      </c>
      <c r="AI482" t="e">
        <f t="shared" si="118"/>
        <v>#N/A</v>
      </c>
      <c r="AK482" t="e">
        <f t="shared" si="119"/>
        <v>#N/A</v>
      </c>
      <c r="AL482" t="e">
        <f t="shared" si="120"/>
        <v>#N/A</v>
      </c>
      <c r="AM482">
        <f t="shared" si="121"/>
        <v>0.91</v>
      </c>
      <c r="AN482" t="e">
        <f t="shared" si="122"/>
        <v>#N/A</v>
      </c>
      <c r="AO482" t="e">
        <f t="shared" si="123"/>
        <v>#N/A</v>
      </c>
      <c r="AP482" t="e">
        <f t="shared" si="124"/>
        <v>#N/A</v>
      </c>
      <c r="AQ482" t="e">
        <f t="shared" si="125"/>
        <v>#N/A</v>
      </c>
    </row>
    <row r="483" spans="15:43">
      <c r="O483">
        <v>479</v>
      </c>
      <c r="P483" s="401">
        <f>'Lab test'!N482</f>
        <v>36.83</v>
      </c>
      <c r="Q483" s="401">
        <f>'Lab test'!M482</f>
        <v>3.8768421052631577E-2</v>
      </c>
      <c r="R483">
        <f>IF('Lab test'!O482&gt;0,'Lab test'!O482,NA())</f>
        <v>180.84799999999998</v>
      </c>
      <c r="S483">
        <f>'Lab test'!Q482</f>
        <v>950</v>
      </c>
      <c r="T483" s="401">
        <f>IF('Lab test'!P482&gt;0,'Lab test'!P482,NA())</f>
        <v>0.15931262323462475</v>
      </c>
      <c r="U483" s="401">
        <f>'Lab test'!AZ482</f>
        <v>1972</v>
      </c>
      <c r="V483" t="e">
        <f>IF('Lab test'!AQ482&gt;0,'Lab test'!AQ482,NA())</f>
        <v>#N/A</v>
      </c>
      <c r="W483" t="e">
        <f>IF('Lab test'!AU482&gt;0,'Lab test'!AU482,NA())</f>
        <v>#N/A</v>
      </c>
      <c r="X483">
        <f>IF('Lab test'!AT482&gt;0,'Lab test'!AT482,NA())</f>
        <v>0.96</v>
      </c>
      <c r="Y483">
        <f t="shared" si="111"/>
        <v>1</v>
      </c>
      <c r="Z483" t="str">
        <f>'Lab test'!AC482</f>
        <v>Electroforming</v>
      </c>
      <c r="AA483" t="str">
        <f>'Lab test'!T482</f>
        <v>Nickel</v>
      </c>
      <c r="AC483" t="e">
        <f t="shared" si="112"/>
        <v>#N/A</v>
      </c>
      <c r="AD483" t="e">
        <f t="shared" si="113"/>
        <v>#N/A</v>
      </c>
      <c r="AE483" t="e">
        <f t="shared" si="114"/>
        <v>#N/A</v>
      </c>
      <c r="AF483" t="e">
        <f t="shared" si="115"/>
        <v>#N/A</v>
      </c>
      <c r="AG483" t="e">
        <f t="shared" si="116"/>
        <v>#N/A</v>
      </c>
      <c r="AH483" t="e">
        <f t="shared" si="117"/>
        <v>#N/A</v>
      </c>
      <c r="AI483" t="e">
        <f t="shared" si="118"/>
        <v>#N/A</v>
      </c>
      <c r="AK483" t="e">
        <f t="shared" si="119"/>
        <v>#N/A</v>
      </c>
      <c r="AL483" t="e">
        <f t="shared" si="120"/>
        <v>#N/A</v>
      </c>
      <c r="AM483">
        <f t="shared" si="121"/>
        <v>0.96</v>
      </c>
      <c r="AN483" t="e">
        <f t="shared" si="122"/>
        <v>#N/A</v>
      </c>
      <c r="AO483" t="e">
        <f t="shared" si="123"/>
        <v>#N/A</v>
      </c>
      <c r="AP483" t="e">
        <f t="shared" si="124"/>
        <v>#N/A</v>
      </c>
      <c r="AQ483" t="e">
        <f t="shared" si="125"/>
        <v>#N/A</v>
      </c>
    </row>
    <row r="484" spans="15:43">
      <c r="O484">
        <v>480</v>
      </c>
      <c r="P484" s="401">
        <f>'Lab test'!N483</f>
        <v>36.83</v>
      </c>
      <c r="Q484" s="401">
        <f>'Lab test'!M483</f>
        <v>6.6963636363636364E-2</v>
      </c>
      <c r="R484">
        <f>IF('Lab test'!O483&gt;0,'Lab test'!O483,NA())</f>
        <v>180.84799999999998</v>
      </c>
      <c r="S484">
        <f>'Lab test'!Q483</f>
        <v>550</v>
      </c>
      <c r="T484" s="401">
        <f>IF('Lab test'!P483&gt;0,'Lab test'!P483,NA())</f>
        <v>0.20937780695888916</v>
      </c>
      <c r="U484" s="401">
        <f>'Lab test'!AZ483</f>
        <v>1972</v>
      </c>
      <c r="V484" t="e">
        <f>IF('Lab test'!AQ483&gt;0,'Lab test'!AQ483,NA())</f>
        <v>#N/A</v>
      </c>
      <c r="W484" t="e">
        <f>IF('Lab test'!AU483&gt;0,'Lab test'!AU483,NA())</f>
        <v>#N/A</v>
      </c>
      <c r="X484">
        <f>IF('Lab test'!AT483&gt;0,'Lab test'!AT483,NA())</f>
        <v>0.83</v>
      </c>
      <c r="Y484">
        <f t="shared" si="111"/>
        <v>1</v>
      </c>
      <c r="Z484" t="str">
        <f>'Lab test'!AC483</f>
        <v>Electroforming</v>
      </c>
      <c r="AA484" t="str">
        <f>'Lab test'!T483</f>
        <v>Nickel</v>
      </c>
      <c r="AC484" t="e">
        <f t="shared" si="112"/>
        <v>#N/A</v>
      </c>
      <c r="AD484" t="e">
        <f t="shared" si="113"/>
        <v>#N/A</v>
      </c>
      <c r="AE484" t="e">
        <f t="shared" si="114"/>
        <v>#N/A</v>
      </c>
      <c r="AF484" t="e">
        <f t="shared" si="115"/>
        <v>#N/A</v>
      </c>
      <c r="AG484" t="e">
        <f t="shared" si="116"/>
        <v>#N/A</v>
      </c>
      <c r="AH484" t="e">
        <f t="shared" si="117"/>
        <v>#N/A</v>
      </c>
      <c r="AI484" t="e">
        <f t="shared" si="118"/>
        <v>#N/A</v>
      </c>
      <c r="AK484" t="e">
        <f t="shared" si="119"/>
        <v>#N/A</v>
      </c>
      <c r="AL484" t="e">
        <f t="shared" si="120"/>
        <v>#N/A</v>
      </c>
      <c r="AM484">
        <f t="shared" si="121"/>
        <v>0.83</v>
      </c>
      <c r="AN484" t="e">
        <f t="shared" si="122"/>
        <v>#N/A</v>
      </c>
      <c r="AO484" t="e">
        <f t="shared" si="123"/>
        <v>#N/A</v>
      </c>
      <c r="AP484" t="e">
        <f t="shared" si="124"/>
        <v>#N/A</v>
      </c>
      <c r="AQ484" t="e">
        <f t="shared" si="125"/>
        <v>#N/A</v>
      </c>
    </row>
    <row r="485" spans="15:43">
      <c r="O485">
        <v>481</v>
      </c>
      <c r="P485" s="401">
        <f>'Lab test'!N484</f>
        <v>36.83</v>
      </c>
      <c r="Q485" s="401">
        <f>'Lab test'!M484</f>
        <v>4.8460526315789475E-2</v>
      </c>
      <c r="R485">
        <f>IF('Lab test'!O484&gt;0,'Lab test'!O484,NA())</f>
        <v>180.84799999999998</v>
      </c>
      <c r="S485">
        <f>'Lab test'!Q484</f>
        <v>760</v>
      </c>
      <c r="T485" s="401">
        <f>IF('Lab test'!P484&gt;0,'Lab test'!P484,NA())</f>
        <v>0.17811692761321668</v>
      </c>
      <c r="U485" s="401">
        <f>'Lab test'!AZ484</f>
        <v>1972</v>
      </c>
      <c r="V485" t="e">
        <f>IF('Lab test'!AQ484&gt;0,'Lab test'!AQ484,NA())</f>
        <v>#N/A</v>
      </c>
      <c r="W485" t="e">
        <f>IF('Lab test'!AU484&gt;0,'Lab test'!AU484,NA())</f>
        <v>#N/A</v>
      </c>
      <c r="X485">
        <f>IF('Lab test'!AT484&gt;0,'Lab test'!AT484,NA())</f>
        <v>0.85</v>
      </c>
      <c r="Y485">
        <f t="shared" si="111"/>
        <v>1</v>
      </c>
      <c r="Z485" t="str">
        <f>'Lab test'!AC484</f>
        <v>Electroforming</v>
      </c>
      <c r="AA485" t="str">
        <f>'Lab test'!T484</f>
        <v>Nickel</v>
      </c>
      <c r="AC485" t="e">
        <f t="shared" si="112"/>
        <v>#N/A</v>
      </c>
      <c r="AD485" t="e">
        <f t="shared" si="113"/>
        <v>#N/A</v>
      </c>
      <c r="AE485" t="e">
        <f t="shared" si="114"/>
        <v>#N/A</v>
      </c>
      <c r="AF485" t="e">
        <f t="shared" si="115"/>
        <v>#N/A</v>
      </c>
      <c r="AG485" t="e">
        <f t="shared" si="116"/>
        <v>#N/A</v>
      </c>
      <c r="AH485" t="e">
        <f t="shared" si="117"/>
        <v>#N/A</v>
      </c>
      <c r="AI485" t="e">
        <f t="shared" si="118"/>
        <v>#N/A</v>
      </c>
      <c r="AK485" t="e">
        <f t="shared" si="119"/>
        <v>#N/A</v>
      </c>
      <c r="AL485" t="e">
        <f t="shared" si="120"/>
        <v>#N/A</v>
      </c>
      <c r="AM485">
        <f t="shared" si="121"/>
        <v>0.85</v>
      </c>
      <c r="AN485" t="e">
        <f t="shared" si="122"/>
        <v>#N/A</v>
      </c>
      <c r="AO485" t="e">
        <f t="shared" si="123"/>
        <v>#N/A</v>
      </c>
      <c r="AP485" t="e">
        <f t="shared" si="124"/>
        <v>#N/A</v>
      </c>
      <c r="AQ485" t="e">
        <f t="shared" si="125"/>
        <v>#N/A</v>
      </c>
    </row>
    <row r="486" spans="15:43">
      <c r="O486">
        <v>482</v>
      </c>
      <c r="P486" s="401">
        <f>'Lab test'!N485</f>
        <v>36.83</v>
      </c>
      <c r="Q486" s="401">
        <f>'Lab test'!M485</f>
        <v>7.8361702127659569E-2</v>
      </c>
      <c r="R486">
        <f>IF('Lab test'!O485&gt;0,'Lab test'!O485,NA())</f>
        <v>180.84799999999998</v>
      </c>
      <c r="S486">
        <f>'Lab test'!Q485</f>
        <v>470</v>
      </c>
      <c r="T486" s="401">
        <f>IF('Lab test'!P485&gt;0,'Lab test'!P485,NA())</f>
        <v>0.22649731728157457</v>
      </c>
      <c r="U486" s="401">
        <f>'Lab test'!AZ485</f>
        <v>1972</v>
      </c>
      <c r="V486" t="e">
        <f>IF('Lab test'!AQ485&gt;0,'Lab test'!AQ485,NA())</f>
        <v>#N/A</v>
      </c>
      <c r="W486" t="e">
        <f>IF('Lab test'!AU485&gt;0,'Lab test'!AU485,NA())</f>
        <v>#N/A</v>
      </c>
      <c r="X486">
        <f>IF('Lab test'!AT485&gt;0,'Lab test'!AT485,NA())</f>
        <v>0.81</v>
      </c>
      <c r="Y486">
        <f t="shared" si="111"/>
        <v>1</v>
      </c>
      <c r="Z486" t="str">
        <f>'Lab test'!AC485</f>
        <v>Electroforming</v>
      </c>
      <c r="AA486" t="str">
        <f>'Lab test'!T485</f>
        <v>Nickel</v>
      </c>
      <c r="AC486" t="e">
        <f t="shared" si="112"/>
        <v>#N/A</v>
      </c>
      <c r="AD486" t="e">
        <f t="shared" si="113"/>
        <v>#N/A</v>
      </c>
      <c r="AE486" t="e">
        <f t="shared" si="114"/>
        <v>#N/A</v>
      </c>
      <c r="AF486" t="e">
        <f t="shared" si="115"/>
        <v>#N/A</v>
      </c>
      <c r="AG486" t="e">
        <f t="shared" si="116"/>
        <v>#N/A</v>
      </c>
      <c r="AH486" t="e">
        <f t="shared" si="117"/>
        <v>#N/A</v>
      </c>
      <c r="AI486" t="e">
        <f t="shared" si="118"/>
        <v>#N/A</v>
      </c>
      <c r="AK486" t="e">
        <f t="shared" si="119"/>
        <v>#N/A</v>
      </c>
      <c r="AL486" t="e">
        <f t="shared" si="120"/>
        <v>#N/A</v>
      </c>
      <c r="AM486">
        <f t="shared" si="121"/>
        <v>0.81</v>
      </c>
      <c r="AN486" t="e">
        <f t="shared" si="122"/>
        <v>#N/A</v>
      </c>
      <c r="AO486" t="e">
        <f t="shared" si="123"/>
        <v>#N/A</v>
      </c>
      <c r="AP486" t="e">
        <f t="shared" si="124"/>
        <v>#N/A</v>
      </c>
      <c r="AQ486" t="e">
        <f t="shared" si="125"/>
        <v>#N/A</v>
      </c>
    </row>
    <row r="487" spans="15:43">
      <c r="O487">
        <v>483</v>
      </c>
      <c r="P487" s="401">
        <f>'Lab test'!N486</f>
        <v>36.83</v>
      </c>
      <c r="Q487" s="401">
        <f>'Lab test'!M486</f>
        <v>5.8740031897926634E-2</v>
      </c>
      <c r="R487">
        <f>IF('Lab test'!O486&gt;0,'Lab test'!O486,NA())</f>
        <v>180.84799999999998</v>
      </c>
      <c r="S487">
        <f>'Lab test'!Q486</f>
        <v>627</v>
      </c>
      <c r="T487" s="401">
        <f>IF('Lab test'!P486&gt;0,'Lab test'!P486,NA())</f>
        <v>0.19610028325778645</v>
      </c>
      <c r="U487" s="401">
        <f>'Lab test'!AZ486</f>
        <v>1972</v>
      </c>
      <c r="V487" t="e">
        <f>IF('Lab test'!AQ486&gt;0,'Lab test'!AQ486,NA())</f>
        <v>#N/A</v>
      </c>
      <c r="W487" t="e">
        <f>IF('Lab test'!AU486&gt;0,'Lab test'!AU486,NA())</f>
        <v>#N/A</v>
      </c>
      <c r="X487">
        <f>IF('Lab test'!AT486&gt;0,'Lab test'!AT486,NA())</f>
        <v>0.8</v>
      </c>
      <c r="Y487">
        <f t="shared" si="111"/>
        <v>1</v>
      </c>
      <c r="Z487" t="str">
        <f>'Lab test'!AC486</f>
        <v>Electroforming</v>
      </c>
      <c r="AA487" t="str">
        <f>'Lab test'!T486</f>
        <v>Nickel</v>
      </c>
      <c r="AC487" t="e">
        <f t="shared" si="112"/>
        <v>#N/A</v>
      </c>
      <c r="AD487" t="e">
        <f t="shared" si="113"/>
        <v>#N/A</v>
      </c>
      <c r="AE487" t="e">
        <f t="shared" si="114"/>
        <v>#N/A</v>
      </c>
      <c r="AF487" t="e">
        <f t="shared" si="115"/>
        <v>#N/A</v>
      </c>
      <c r="AG487" t="e">
        <f t="shared" si="116"/>
        <v>#N/A</v>
      </c>
      <c r="AH487" t="e">
        <f t="shared" si="117"/>
        <v>#N/A</v>
      </c>
      <c r="AI487" t="e">
        <f t="shared" si="118"/>
        <v>#N/A</v>
      </c>
      <c r="AK487" t="e">
        <f t="shared" si="119"/>
        <v>#N/A</v>
      </c>
      <c r="AL487" t="e">
        <f t="shared" si="120"/>
        <v>#N/A</v>
      </c>
      <c r="AM487">
        <f t="shared" si="121"/>
        <v>0.8</v>
      </c>
      <c r="AN487" t="e">
        <f t="shared" si="122"/>
        <v>#N/A</v>
      </c>
      <c r="AO487" t="e">
        <f t="shared" si="123"/>
        <v>#N/A</v>
      </c>
      <c r="AP487" t="e">
        <f t="shared" si="124"/>
        <v>#N/A</v>
      </c>
      <c r="AQ487" t="e">
        <f t="shared" si="125"/>
        <v>#N/A</v>
      </c>
    </row>
    <row r="488" spans="15:43">
      <c r="O488">
        <v>484</v>
      </c>
      <c r="P488" s="401">
        <f>'Lab test'!N487</f>
        <v>36.83</v>
      </c>
      <c r="Q488" s="401">
        <f>'Lab test'!M487</f>
        <v>5.2614285714285711E-2</v>
      </c>
      <c r="R488">
        <f>IF('Lab test'!O487&gt;0,'Lab test'!O487,NA())</f>
        <v>180.84799999999998</v>
      </c>
      <c r="S488">
        <f>'Lab test'!Q487</f>
        <v>700</v>
      </c>
      <c r="T488" s="401">
        <f>IF('Lab test'!P487&gt;0,'Lab test'!P487,NA())</f>
        <v>0.18559358950522054</v>
      </c>
      <c r="U488" s="401">
        <f>'Lab test'!AZ487</f>
        <v>1972</v>
      </c>
      <c r="V488" t="e">
        <f>IF('Lab test'!AQ487&gt;0,'Lab test'!AQ487,NA())</f>
        <v>#N/A</v>
      </c>
      <c r="W488" t="e">
        <f>IF('Lab test'!AU487&gt;0,'Lab test'!AU487,NA())</f>
        <v>#N/A</v>
      </c>
      <c r="X488">
        <f>IF('Lab test'!AT487&gt;0,'Lab test'!AT487,NA())</f>
        <v>0.86</v>
      </c>
      <c r="Y488">
        <f t="shared" si="111"/>
        <v>1</v>
      </c>
      <c r="Z488" t="str">
        <f>'Lab test'!AC487</f>
        <v>Electroforming</v>
      </c>
      <c r="AA488" t="str">
        <f>'Lab test'!T487</f>
        <v>Nickel</v>
      </c>
      <c r="AC488" t="e">
        <f t="shared" si="112"/>
        <v>#N/A</v>
      </c>
      <c r="AD488" t="e">
        <f t="shared" si="113"/>
        <v>#N/A</v>
      </c>
      <c r="AE488" t="e">
        <f t="shared" si="114"/>
        <v>#N/A</v>
      </c>
      <c r="AF488" t="e">
        <f t="shared" si="115"/>
        <v>#N/A</v>
      </c>
      <c r="AG488" t="e">
        <f t="shared" si="116"/>
        <v>#N/A</v>
      </c>
      <c r="AH488" t="e">
        <f t="shared" si="117"/>
        <v>#N/A</v>
      </c>
      <c r="AI488" t="e">
        <f t="shared" si="118"/>
        <v>#N/A</v>
      </c>
      <c r="AK488" t="e">
        <f t="shared" si="119"/>
        <v>#N/A</v>
      </c>
      <c r="AL488" t="e">
        <f t="shared" si="120"/>
        <v>#N/A</v>
      </c>
      <c r="AM488">
        <f t="shared" si="121"/>
        <v>0.86</v>
      </c>
      <c r="AN488" t="e">
        <f t="shared" si="122"/>
        <v>#N/A</v>
      </c>
      <c r="AO488" t="e">
        <f t="shared" si="123"/>
        <v>#N/A</v>
      </c>
      <c r="AP488" t="e">
        <f t="shared" si="124"/>
        <v>#N/A</v>
      </c>
      <c r="AQ488" t="e">
        <f t="shared" si="125"/>
        <v>#N/A</v>
      </c>
    </row>
    <row r="489" spans="15:43">
      <c r="O489">
        <v>485</v>
      </c>
      <c r="P489" s="401">
        <f>'Lab test'!N488</f>
        <v>36.83</v>
      </c>
      <c r="Q489" s="401">
        <f>'Lab test'!M488</f>
        <v>3.9602150537634405E-2</v>
      </c>
      <c r="R489">
        <f>IF('Lab test'!O488&gt;0,'Lab test'!O488,NA())</f>
        <v>180.84799999999998</v>
      </c>
      <c r="S489">
        <f>'Lab test'!Q488</f>
        <v>930</v>
      </c>
      <c r="T489" s="401">
        <f>IF('Lab test'!P488&gt;0,'Lab test'!P488,NA())</f>
        <v>0.16101655002695672</v>
      </c>
      <c r="U489" s="401">
        <f>'Lab test'!AZ488</f>
        <v>1972</v>
      </c>
      <c r="V489" t="e">
        <f>IF('Lab test'!AQ488&gt;0,'Lab test'!AQ488,NA())</f>
        <v>#N/A</v>
      </c>
      <c r="W489" t="e">
        <f>IF('Lab test'!AU488&gt;0,'Lab test'!AU488,NA())</f>
        <v>#N/A</v>
      </c>
      <c r="X489">
        <f>IF('Lab test'!AT488&gt;0,'Lab test'!AT488,NA())</f>
        <v>0.84</v>
      </c>
      <c r="Y489">
        <f t="shared" si="111"/>
        <v>1</v>
      </c>
      <c r="Z489" t="str">
        <f>'Lab test'!AC488</f>
        <v>Electroforming</v>
      </c>
      <c r="AA489" t="str">
        <f>'Lab test'!T488</f>
        <v>Nickel</v>
      </c>
      <c r="AC489" t="e">
        <f t="shared" si="112"/>
        <v>#N/A</v>
      </c>
      <c r="AD489" t="e">
        <f t="shared" si="113"/>
        <v>#N/A</v>
      </c>
      <c r="AE489" t="e">
        <f t="shared" si="114"/>
        <v>#N/A</v>
      </c>
      <c r="AF489" t="e">
        <f t="shared" si="115"/>
        <v>#N/A</v>
      </c>
      <c r="AG489" t="e">
        <f t="shared" si="116"/>
        <v>#N/A</v>
      </c>
      <c r="AH489" t="e">
        <f t="shared" si="117"/>
        <v>#N/A</v>
      </c>
      <c r="AI489" t="e">
        <f t="shared" si="118"/>
        <v>#N/A</v>
      </c>
      <c r="AK489" t="e">
        <f t="shared" si="119"/>
        <v>#N/A</v>
      </c>
      <c r="AL489" t="e">
        <f t="shared" si="120"/>
        <v>#N/A</v>
      </c>
      <c r="AM489">
        <f t="shared" si="121"/>
        <v>0.84</v>
      </c>
      <c r="AN489" t="e">
        <f t="shared" si="122"/>
        <v>#N/A</v>
      </c>
      <c r="AO489" t="e">
        <f t="shared" si="123"/>
        <v>#N/A</v>
      </c>
      <c r="AP489" t="e">
        <f t="shared" si="124"/>
        <v>#N/A</v>
      </c>
      <c r="AQ489" t="e">
        <f t="shared" si="125"/>
        <v>#N/A</v>
      </c>
    </row>
    <row r="490" spans="15:43">
      <c r="O490">
        <v>486</v>
      </c>
      <c r="P490" s="401">
        <f>'Lab test'!N489</f>
        <v>36.83</v>
      </c>
      <c r="Q490" s="401">
        <f>'Lab test'!M489</f>
        <v>4.977027027027027E-2</v>
      </c>
      <c r="R490">
        <f>IF('Lab test'!O489&gt;0,'Lab test'!O489,NA())</f>
        <v>180.84799999999998</v>
      </c>
      <c r="S490">
        <f>'Lab test'!Q489</f>
        <v>740</v>
      </c>
      <c r="T490" s="401">
        <f>IF('Lab test'!P489&gt;0,'Lab test'!P489,NA())</f>
        <v>0.18050786583820383</v>
      </c>
      <c r="U490" s="401">
        <f>'Lab test'!AZ489</f>
        <v>1972</v>
      </c>
      <c r="V490" t="e">
        <f>IF('Lab test'!AQ489&gt;0,'Lab test'!AQ489,NA())</f>
        <v>#N/A</v>
      </c>
      <c r="W490" t="e">
        <f>IF('Lab test'!AU489&gt;0,'Lab test'!AU489,NA())</f>
        <v>#N/A</v>
      </c>
      <c r="X490">
        <f>IF('Lab test'!AT489&gt;0,'Lab test'!AT489,NA())</f>
        <v>0.84</v>
      </c>
      <c r="Y490">
        <f t="shared" si="111"/>
        <v>1</v>
      </c>
      <c r="Z490" t="str">
        <f>'Lab test'!AC489</f>
        <v>Electroforming</v>
      </c>
      <c r="AA490" t="str">
        <f>'Lab test'!T489</f>
        <v>Nickel</v>
      </c>
      <c r="AC490" t="e">
        <f t="shared" si="112"/>
        <v>#N/A</v>
      </c>
      <c r="AD490" t="e">
        <f t="shared" si="113"/>
        <v>#N/A</v>
      </c>
      <c r="AE490" t="e">
        <f t="shared" si="114"/>
        <v>#N/A</v>
      </c>
      <c r="AF490" t="e">
        <f t="shared" si="115"/>
        <v>#N/A</v>
      </c>
      <c r="AG490" t="e">
        <f t="shared" si="116"/>
        <v>#N/A</v>
      </c>
      <c r="AH490" t="e">
        <f t="shared" si="117"/>
        <v>#N/A</v>
      </c>
      <c r="AI490" t="e">
        <f t="shared" si="118"/>
        <v>#N/A</v>
      </c>
      <c r="AK490" t="e">
        <f t="shared" si="119"/>
        <v>#N/A</v>
      </c>
      <c r="AL490" t="e">
        <f t="shared" si="120"/>
        <v>#N/A</v>
      </c>
      <c r="AM490">
        <f t="shared" si="121"/>
        <v>0.84</v>
      </c>
      <c r="AN490" t="e">
        <f t="shared" si="122"/>
        <v>#N/A</v>
      </c>
      <c r="AO490" t="e">
        <f t="shared" si="123"/>
        <v>#N/A</v>
      </c>
      <c r="AP490" t="e">
        <f t="shared" si="124"/>
        <v>#N/A</v>
      </c>
      <c r="AQ490" t="e">
        <f t="shared" si="125"/>
        <v>#N/A</v>
      </c>
    </row>
    <row r="491" spans="15:43">
      <c r="O491">
        <v>487</v>
      </c>
      <c r="P491" s="401">
        <f>'Lab test'!N490</f>
        <v>36.83</v>
      </c>
      <c r="Q491" s="401">
        <f>'Lab test'!M490</f>
        <v>6.0775577557755769E-2</v>
      </c>
      <c r="R491">
        <f>IF('Lab test'!O490&gt;0,'Lab test'!O490,NA())</f>
        <v>180.84799999999998</v>
      </c>
      <c r="S491">
        <f>'Lab test'!Q490</f>
        <v>606</v>
      </c>
      <c r="T491" s="401">
        <f>IF('Lab test'!P490&gt;0,'Lab test'!P490,NA())</f>
        <v>0.19946912350210338</v>
      </c>
      <c r="U491" s="401">
        <f>'Lab test'!AZ490</f>
        <v>1972</v>
      </c>
      <c r="V491" t="e">
        <f>IF('Lab test'!AQ490&gt;0,'Lab test'!AQ490,NA())</f>
        <v>#N/A</v>
      </c>
      <c r="W491" t="e">
        <f>IF('Lab test'!AU490&gt;0,'Lab test'!AU490,NA())</f>
        <v>#N/A</v>
      </c>
      <c r="X491">
        <f>IF('Lab test'!AT490&gt;0,'Lab test'!AT490,NA())</f>
        <v>0.91</v>
      </c>
      <c r="Y491">
        <f t="shared" si="111"/>
        <v>1</v>
      </c>
      <c r="Z491" t="str">
        <f>'Lab test'!AC490</f>
        <v>Electroforming</v>
      </c>
      <c r="AA491" t="str">
        <f>'Lab test'!T490</f>
        <v>Nickel</v>
      </c>
      <c r="AC491" t="e">
        <f t="shared" si="112"/>
        <v>#N/A</v>
      </c>
      <c r="AD491" t="e">
        <f t="shared" si="113"/>
        <v>#N/A</v>
      </c>
      <c r="AE491" t="e">
        <f t="shared" si="114"/>
        <v>#N/A</v>
      </c>
      <c r="AF491" t="e">
        <f t="shared" si="115"/>
        <v>#N/A</v>
      </c>
      <c r="AG491" t="e">
        <f t="shared" si="116"/>
        <v>#N/A</v>
      </c>
      <c r="AH491" t="e">
        <f t="shared" si="117"/>
        <v>#N/A</v>
      </c>
      <c r="AI491" t="e">
        <f t="shared" si="118"/>
        <v>#N/A</v>
      </c>
      <c r="AK491" t="e">
        <f t="shared" si="119"/>
        <v>#N/A</v>
      </c>
      <c r="AL491" t="e">
        <f t="shared" si="120"/>
        <v>#N/A</v>
      </c>
      <c r="AM491">
        <f t="shared" si="121"/>
        <v>0.91</v>
      </c>
      <c r="AN491" t="e">
        <f t="shared" si="122"/>
        <v>#N/A</v>
      </c>
      <c r="AO491" t="e">
        <f t="shared" si="123"/>
        <v>#N/A</v>
      </c>
      <c r="AP491" t="e">
        <f t="shared" si="124"/>
        <v>#N/A</v>
      </c>
      <c r="AQ491" t="e">
        <f t="shared" si="125"/>
        <v>#N/A</v>
      </c>
    </row>
    <row r="492" spans="15:43">
      <c r="O492">
        <v>488</v>
      </c>
      <c r="P492" s="401">
        <f>'Lab test'!N491</f>
        <v>36.83</v>
      </c>
      <c r="Q492" s="401">
        <f>'Lab test'!M491</f>
        <v>7.7050209205020911E-2</v>
      </c>
      <c r="R492">
        <f>IF('Lab test'!O491&gt;0,'Lab test'!O491,NA())</f>
        <v>180.84799999999998</v>
      </c>
      <c r="S492">
        <f>'Lab test'!Q491</f>
        <v>478</v>
      </c>
      <c r="T492" s="401">
        <f>IF('Lab test'!P491&gt;0,'Lab test'!P491,NA())</f>
        <v>0.22459394473613789</v>
      </c>
      <c r="U492" s="401">
        <f>'Lab test'!AZ491</f>
        <v>1972</v>
      </c>
      <c r="V492" t="e">
        <f>IF('Lab test'!AQ491&gt;0,'Lab test'!AQ491,NA())</f>
        <v>#N/A</v>
      </c>
      <c r="W492" t="e">
        <f>IF('Lab test'!AU491&gt;0,'Lab test'!AU491,NA())</f>
        <v>#N/A</v>
      </c>
      <c r="X492">
        <f>IF('Lab test'!AT491&gt;0,'Lab test'!AT491,NA())</f>
        <v>0.86</v>
      </c>
      <c r="Y492">
        <f t="shared" si="111"/>
        <v>1</v>
      </c>
      <c r="Z492" t="str">
        <f>'Lab test'!AC491</f>
        <v>Electroforming</v>
      </c>
      <c r="AA492" t="str">
        <f>'Lab test'!T491</f>
        <v>Nickel</v>
      </c>
      <c r="AC492" t="e">
        <f t="shared" si="112"/>
        <v>#N/A</v>
      </c>
      <c r="AD492" t="e">
        <f t="shared" si="113"/>
        <v>#N/A</v>
      </c>
      <c r="AE492" t="e">
        <f t="shared" si="114"/>
        <v>#N/A</v>
      </c>
      <c r="AF492" t="e">
        <f t="shared" si="115"/>
        <v>#N/A</v>
      </c>
      <c r="AG492" t="e">
        <f t="shared" si="116"/>
        <v>#N/A</v>
      </c>
      <c r="AH492" t="e">
        <f t="shared" si="117"/>
        <v>#N/A</v>
      </c>
      <c r="AI492" t="e">
        <f t="shared" si="118"/>
        <v>#N/A</v>
      </c>
      <c r="AK492" t="e">
        <f t="shared" si="119"/>
        <v>#N/A</v>
      </c>
      <c r="AL492" t="e">
        <f t="shared" si="120"/>
        <v>#N/A</v>
      </c>
      <c r="AM492">
        <f t="shared" si="121"/>
        <v>0.86</v>
      </c>
      <c r="AN492" t="e">
        <f t="shared" si="122"/>
        <v>#N/A</v>
      </c>
      <c r="AO492" t="e">
        <f t="shared" si="123"/>
        <v>#N/A</v>
      </c>
      <c r="AP492" t="e">
        <f t="shared" si="124"/>
        <v>#N/A</v>
      </c>
      <c r="AQ492" t="e">
        <f t="shared" si="125"/>
        <v>#N/A</v>
      </c>
    </row>
    <row r="493" spans="15:43">
      <c r="O493">
        <v>489</v>
      </c>
      <c r="P493" s="401">
        <f>'Lab test'!N492</f>
        <v>36.83</v>
      </c>
      <c r="Q493" s="401">
        <f>'Lab test'!M492</f>
        <v>3.9902491874322855E-2</v>
      </c>
      <c r="R493">
        <f>IF('Lab test'!O492&gt;0,'Lab test'!O492,NA())</f>
        <v>180.84799999999998</v>
      </c>
      <c r="S493">
        <f>'Lab test'!Q492</f>
        <v>923</v>
      </c>
      <c r="T493" s="401">
        <f>IF('Lab test'!P492&gt;0,'Lab test'!P492,NA())</f>
        <v>0.16162596872336651</v>
      </c>
      <c r="U493" s="401">
        <f>'Lab test'!AZ492</f>
        <v>1972</v>
      </c>
      <c r="V493" t="e">
        <f>IF('Lab test'!AQ492&gt;0,'Lab test'!AQ492,NA())</f>
        <v>#N/A</v>
      </c>
      <c r="W493" t="e">
        <f>IF('Lab test'!AU492&gt;0,'Lab test'!AU492,NA())</f>
        <v>#N/A</v>
      </c>
      <c r="X493">
        <f>IF('Lab test'!AT492&gt;0,'Lab test'!AT492,NA())</f>
        <v>0.8</v>
      </c>
      <c r="Y493">
        <f t="shared" si="111"/>
        <v>1</v>
      </c>
      <c r="Z493" t="str">
        <f>'Lab test'!AC492</f>
        <v>Electroforming</v>
      </c>
      <c r="AA493" t="str">
        <f>'Lab test'!T492</f>
        <v>Nickel</v>
      </c>
      <c r="AC493" t="e">
        <f t="shared" si="112"/>
        <v>#N/A</v>
      </c>
      <c r="AD493" t="e">
        <f t="shared" si="113"/>
        <v>#N/A</v>
      </c>
      <c r="AE493" t="e">
        <f t="shared" si="114"/>
        <v>#N/A</v>
      </c>
      <c r="AF493" t="e">
        <f t="shared" si="115"/>
        <v>#N/A</v>
      </c>
      <c r="AG493" t="e">
        <f t="shared" si="116"/>
        <v>#N/A</v>
      </c>
      <c r="AH493" t="e">
        <f t="shared" si="117"/>
        <v>#N/A</v>
      </c>
      <c r="AI493" t="e">
        <f t="shared" si="118"/>
        <v>#N/A</v>
      </c>
      <c r="AK493" t="e">
        <f t="shared" si="119"/>
        <v>#N/A</v>
      </c>
      <c r="AL493" t="e">
        <f t="shared" si="120"/>
        <v>#N/A</v>
      </c>
      <c r="AM493">
        <f t="shared" si="121"/>
        <v>0.8</v>
      </c>
      <c r="AN493" t="e">
        <f t="shared" si="122"/>
        <v>#N/A</v>
      </c>
      <c r="AO493" t="e">
        <f t="shared" si="123"/>
        <v>#N/A</v>
      </c>
      <c r="AP493" t="e">
        <f t="shared" si="124"/>
        <v>#N/A</v>
      </c>
      <c r="AQ493" t="e">
        <f t="shared" si="125"/>
        <v>#N/A</v>
      </c>
    </row>
    <row r="494" spans="15:43">
      <c r="O494">
        <v>490</v>
      </c>
      <c r="P494" s="401">
        <f>'Lab test'!N493</f>
        <v>36.83</v>
      </c>
      <c r="Q494" s="401">
        <f>'Lab test'!M493</f>
        <v>6.9886148007590132E-2</v>
      </c>
      <c r="R494">
        <f>IF('Lab test'!O493&gt;0,'Lab test'!O493,NA())</f>
        <v>180.84799999999998</v>
      </c>
      <c r="S494">
        <f>'Lab test'!Q493</f>
        <v>527</v>
      </c>
      <c r="T494" s="401">
        <f>IF('Lab test'!P493&gt;0,'Lab test'!P493,NA())</f>
        <v>0.21389798028327645</v>
      </c>
      <c r="U494" s="401">
        <f>'Lab test'!AZ493</f>
        <v>1972</v>
      </c>
      <c r="V494" t="e">
        <f>IF('Lab test'!AQ493&gt;0,'Lab test'!AQ493,NA())</f>
        <v>#N/A</v>
      </c>
      <c r="W494" t="e">
        <f>IF('Lab test'!AU493&gt;0,'Lab test'!AU493,NA())</f>
        <v>#N/A</v>
      </c>
      <c r="X494">
        <f>IF('Lab test'!AT493&gt;0,'Lab test'!AT493,NA())</f>
        <v>0.9</v>
      </c>
      <c r="Y494">
        <f t="shared" si="111"/>
        <v>1</v>
      </c>
      <c r="Z494" t="str">
        <f>'Lab test'!AC493</f>
        <v>Electroforming</v>
      </c>
      <c r="AA494" t="str">
        <f>'Lab test'!T493</f>
        <v>Nickel</v>
      </c>
      <c r="AC494" t="e">
        <f t="shared" si="112"/>
        <v>#N/A</v>
      </c>
      <c r="AD494" t="e">
        <f t="shared" si="113"/>
        <v>#N/A</v>
      </c>
      <c r="AE494" t="e">
        <f t="shared" si="114"/>
        <v>#N/A</v>
      </c>
      <c r="AF494" t="e">
        <f t="shared" si="115"/>
        <v>#N/A</v>
      </c>
      <c r="AG494" t="e">
        <f t="shared" si="116"/>
        <v>#N/A</v>
      </c>
      <c r="AH494" t="e">
        <f t="shared" si="117"/>
        <v>#N/A</v>
      </c>
      <c r="AI494" t="e">
        <f t="shared" si="118"/>
        <v>#N/A</v>
      </c>
      <c r="AK494" t="e">
        <f t="shared" si="119"/>
        <v>#N/A</v>
      </c>
      <c r="AL494" t="e">
        <f t="shared" si="120"/>
        <v>#N/A</v>
      </c>
      <c r="AM494">
        <f t="shared" si="121"/>
        <v>0.9</v>
      </c>
      <c r="AN494" t="e">
        <f t="shared" si="122"/>
        <v>#N/A</v>
      </c>
      <c r="AO494" t="e">
        <f t="shared" si="123"/>
        <v>#N/A</v>
      </c>
      <c r="AP494" t="e">
        <f t="shared" si="124"/>
        <v>#N/A</v>
      </c>
      <c r="AQ494" t="e">
        <f t="shared" si="125"/>
        <v>#N/A</v>
      </c>
    </row>
    <row r="495" spans="15:43">
      <c r="O495">
        <v>491</v>
      </c>
      <c r="P495" s="401">
        <f>'Lab test'!N494</f>
        <v>36.83</v>
      </c>
      <c r="Q495" s="401">
        <f>'Lab test'!M494</f>
        <v>4.332941176470588E-2</v>
      </c>
      <c r="R495">
        <f>IF('Lab test'!O494&gt;0,'Lab test'!O494,NA())</f>
        <v>180.84799999999998</v>
      </c>
      <c r="S495">
        <f>'Lab test'!Q494</f>
        <v>850</v>
      </c>
      <c r="T495" s="401">
        <f>IF('Lab test'!P494&gt;0,'Lab test'!P494,NA())</f>
        <v>0.16842343809857419</v>
      </c>
      <c r="U495" s="401">
        <f>'Lab test'!AZ494</f>
        <v>1972</v>
      </c>
      <c r="V495" t="e">
        <f>IF('Lab test'!AQ494&gt;0,'Lab test'!AQ494,NA())</f>
        <v>#N/A</v>
      </c>
      <c r="W495" t="e">
        <f>IF('Lab test'!AU494&gt;0,'Lab test'!AU494,NA())</f>
        <v>#N/A</v>
      </c>
      <c r="X495">
        <f>IF('Lab test'!AT494&gt;0,'Lab test'!AT494,NA())</f>
        <v>0.81</v>
      </c>
      <c r="Y495">
        <f t="shared" si="111"/>
        <v>1</v>
      </c>
      <c r="Z495" t="str">
        <f>'Lab test'!AC494</f>
        <v>Electroforming</v>
      </c>
      <c r="AA495" t="str">
        <f>'Lab test'!T494</f>
        <v>Nickel</v>
      </c>
      <c r="AC495" t="e">
        <f t="shared" si="112"/>
        <v>#N/A</v>
      </c>
      <c r="AD495" t="e">
        <f t="shared" si="113"/>
        <v>#N/A</v>
      </c>
      <c r="AE495" t="e">
        <f t="shared" si="114"/>
        <v>#N/A</v>
      </c>
      <c r="AF495" t="e">
        <f t="shared" si="115"/>
        <v>#N/A</v>
      </c>
      <c r="AG495" t="e">
        <f t="shared" si="116"/>
        <v>#N/A</v>
      </c>
      <c r="AH495" t="e">
        <f t="shared" si="117"/>
        <v>#N/A</v>
      </c>
      <c r="AI495" t="e">
        <f t="shared" si="118"/>
        <v>#N/A</v>
      </c>
      <c r="AK495" t="e">
        <f t="shared" si="119"/>
        <v>#N/A</v>
      </c>
      <c r="AL495" t="e">
        <f t="shared" si="120"/>
        <v>#N/A</v>
      </c>
      <c r="AM495">
        <f t="shared" si="121"/>
        <v>0.81</v>
      </c>
      <c r="AN495" t="e">
        <f t="shared" si="122"/>
        <v>#N/A</v>
      </c>
      <c r="AO495" t="e">
        <f t="shared" si="123"/>
        <v>#N/A</v>
      </c>
      <c r="AP495" t="e">
        <f t="shared" si="124"/>
        <v>#N/A</v>
      </c>
      <c r="AQ495" t="e">
        <f t="shared" si="125"/>
        <v>#N/A</v>
      </c>
    </row>
    <row r="496" spans="15:43">
      <c r="O496">
        <v>492</v>
      </c>
      <c r="P496" s="401">
        <f>'Lab test'!N495</f>
        <v>36.83</v>
      </c>
      <c r="Q496" s="401">
        <f>'Lab test'!M495</f>
        <v>6.5301418439716305E-2</v>
      </c>
      <c r="R496">
        <f>IF('Lab test'!O495&gt;0,'Lab test'!O495,NA())</f>
        <v>180.84799999999998</v>
      </c>
      <c r="S496">
        <f>'Lab test'!Q495</f>
        <v>564</v>
      </c>
      <c r="T496" s="401">
        <f>IF('Lab test'!P495&gt;0,'Lab test'!P495,NA())</f>
        <v>0.20676281648253844</v>
      </c>
      <c r="U496" s="401">
        <f>'Lab test'!AZ495</f>
        <v>1972</v>
      </c>
      <c r="V496" t="e">
        <f>IF('Lab test'!AQ495&gt;0,'Lab test'!AQ495,NA())</f>
        <v>#N/A</v>
      </c>
      <c r="W496" t="e">
        <f>IF('Lab test'!AU495&gt;0,'Lab test'!AU495,NA())</f>
        <v>#N/A</v>
      </c>
      <c r="X496">
        <f>IF('Lab test'!AT495&gt;0,'Lab test'!AT495,NA())</f>
        <v>0.85</v>
      </c>
      <c r="Y496">
        <f t="shared" si="111"/>
        <v>1</v>
      </c>
      <c r="Z496" t="str">
        <f>'Lab test'!AC495</f>
        <v>Electroforming</v>
      </c>
      <c r="AA496" t="str">
        <f>'Lab test'!T495</f>
        <v>Nickel</v>
      </c>
      <c r="AC496" t="e">
        <f t="shared" si="112"/>
        <v>#N/A</v>
      </c>
      <c r="AD496" t="e">
        <f t="shared" si="113"/>
        <v>#N/A</v>
      </c>
      <c r="AE496" t="e">
        <f t="shared" si="114"/>
        <v>#N/A</v>
      </c>
      <c r="AF496" t="e">
        <f t="shared" si="115"/>
        <v>#N/A</v>
      </c>
      <c r="AG496" t="e">
        <f t="shared" si="116"/>
        <v>#N/A</v>
      </c>
      <c r="AH496" t="e">
        <f t="shared" si="117"/>
        <v>#N/A</v>
      </c>
      <c r="AI496" t="e">
        <f t="shared" si="118"/>
        <v>#N/A</v>
      </c>
      <c r="AK496" t="e">
        <f t="shared" si="119"/>
        <v>#N/A</v>
      </c>
      <c r="AL496" t="e">
        <f t="shared" si="120"/>
        <v>#N/A</v>
      </c>
      <c r="AM496">
        <f t="shared" si="121"/>
        <v>0.85</v>
      </c>
      <c r="AN496" t="e">
        <f t="shared" si="122"/>
        <v>#N/A</v>
      </c>
      <c r="AO496" t="e">
        <f t="shared" si="123"/>
        <v>#N/A</v>
      </c>
      <c r="AP496" t="e">
        <f t="shared" si="124"/>
        <v>#N/A</v>
      </c>
      <c r="AQ496" t="e">
        <f t="shared" si="125"/>
        <v>#N/A</v>
      </c>
    </row>
    <row r="497" spans="15:43">
      <c r="O497">
        <v>493</v>
      </c>
      <c r="P497" s="401">
        <f>'Lab test'!N496</f>
        <v>76</v>
      </c>
      <c r="Q497" s="401">
        <f>'Lab test'!M496</f>
        <v>0.76</v>
      </c>
      <c r="R497">
        <f>IF('Lab test'!O496&gt;0,'Lab test'!O496,NA())</f>
        <v>25.46</v>
      </c>
      <c r="S497">
        <f>'Lab test'!Q496</f>
        <v>100</v>
      </c>
      <c r="T497" s="401">
        <f>IF('Lab test'!P496&gt;0,'Lab test'!P496,NA())</f>
        <v>3.3500000000000002E-2</v>
      </c>
      <c r="U497" s="401">
        <f>'Lab test'!AZ496</f>
        <v>1985</v>
      </c>
      <c r="V497">
        <f>IF('Lab test'!AQ496&gt;0,'Lab test'!AQ496,NA())</f>
        <v>0.46423445597154384</v>
      </c>
      <c r="W497">
        <f>IF('Lab test'!AU496&gt;0,'Lab test'!AU496,NA())</f>
        <v>0.82962962962962961</v>
      </c>
      <c r="X497">
        <f>IF('Lab test'!AT496&gt;0,'Lab test'!AT496,NA())</f>
        <v>0.17879649312928794</v>
      </c>
      <c r="Y497">
        <f t="shared" si="111"/>
        <v>1</v>
      </c>
      <c r="Z497" t="str">
        <f>'Lab test'!AC496</f>
        <v>LTWa</v>
      </c>
      <c r="AA497" t="str">
        <f>'Lab test'!T496</f>
        <v>Steel</v>
      </c>
      <c r="AC497">
        <f t="shared" si="112"/>
        <v>0.82962962962962961</v>
      </c>
      <c r="AD497" t="e">
        <f t="shared" si="113"/>
        <v>#N/A</v>
      </c>
      <c r="AE497" t="e">
        <f t="shared" si="114"/>
        <v>#N/A</v>
      </c>
      <c r="AF497" t="e">
        <f t="shared" si="115"/>
        <v>#N/A</v>
      </c>
      <c r="AG497" t="e">
        <f t="shared" si="116"/>
        <v>#N/A</v>
      </c>
      <c r="AH497" t="e">
        <f t="shared" si="117"/>
        <v>#N/A</v>
      </c>
      <c r="AI497" t="e">
        <f t="shared" si="118"/>
        <v>#N/A</v>
      </c>
      <c r="AK497">
        <f t="shared" si="119"/>
        <v>0.17879649312928794</v>
      </c>
      <c r="AL497" t="e">
        <f t="shared" si="120"/>
        <v>#N/A</v>
      </c>
      <c r="AM497" t="e">
        <f t="shared" si="121"/>
        <v>#N/A</v>
      </c>
      <c r="AN497" t="e">
        <f t="shared" si="122"/>
        <v>#N/A</v>
      </c>
      <c r="AO497" t="e">
        <f t="shared" si="123"/>
        <v>#N/A</v>
      </c>
      <c r="AP497" t="e">
        <f t="shared" si="124"/>
        <v>#N/A</v>
      </c>
      <c r="AQ497" t="e">
        <f t="shared" si="125"/>
        <v>#N/A</v>
      </c>
    </row>
    <row r="498" spans="15:43">
      <c r="O498">
        <v>494</v>
      </c>
      <c r="P498" s="401">
        <f>'Lab test'!N497</f>
        <v>76</v>
      </c>
      <c r="Q498" s="401">
        <f>'Lab test'!M497</f>
        <v>0.8</v>
      </c>
      <c r="R498">
        <f>IF('Lab test'!O497&gt;0,'Lab test'!O497,NA())</f>
        <v>24.7</v>
      </c>
      <c r="S498">
        <f>'Lab test'!Q497</f>
        <v>95</v>
      </c>
      <c r="T498" s="401">
        <f>IF('Lab test'!P497&gt;0,'Lab test'!P497,NA())</f>
        <v>3.3344296442767513E-2</v>
      </c>
      <c r="U498" s="401">
        <f>'Lab test'!AZ497</f>
        <v>1985</v>
      </c>
      <c r="V498">
        <f>IF('Lab test'!AQ497&gt;0,'Lab test'!AQ497,NA())</f>
        <v>0.55074084596637307</v>
      </c>
      <c r="W498">
        <f>IF('Lab test'!AU497&gt;0,'Lab test'!AU497,NA())</f>
        <v>0.9</v>
      </c>
      <c r="X498">
        <f>IF('Lab test'!AT497&gt;0,'Lab test'!AT497,NA())</f>
        <v>0.27298393147418071</v>
      </c>
      <c r="Y498">
        <f t="shared" si="111"/>
        <v>1</v>
      </c>
      <c r="Z498" t="str">
        <f>'Lab test'!AC497</f>
        <v>LTWa</v>
      </c>
      <c r="AA498" t="str">
        <f>'Lab test'!T497</f>
        <v>Steel</v>
      </c>
      <c r="AC498">
        <f t="shared" si="112"/>
        <v>0.9</v>
      </c>
      <c r="AD498" t="e">
        <f t="shared" si="113"/>
        <v>#N/A</v>
      </c>
      <c r="AE498" t="e">
        <f t="shared" si="114"/>
        <v>#N/A</v>
      </c>
      <c r="AF498" t="e">
        <f t="shared" si="115"/>
        <v>#N/A</v>
      </c>
      <c r="AG498" t="e">
        <f t="shared" si="116"/>
        <v>#N/A</v>
      </c>
      <c r="AH498" t="e">
        <f t="shared" si="117"/>
        <v>#N/A</v>
      </c>
      <c r="AI498" t="e">
        <f t="shared" si="118"/>
        <v>#N/A</v>
      </c>
      <c r="AK498">
        <f t="shared" si="119"/>
        <v>0.27298393147418071</v>
      </c>
      <c r="AL498" t="e">
        <f t="shared" si="120"/>
        <v>#N/A</v>
      </c>
      <c r="AM498" t="e">
        <f t="shared" si="121"/>
        <v>#N/A</v>
      </c>
      <c r="AN498" t="e">
        <f t="shared" si="122"/>
        <v>#N/A</v>
      </c>
      <c r="AO498" t="e">
        <f t="shared" si="123"/>
        <v>#N/A</v>
      </c>
      <c r="AP498" t="e">
        <f t="shared" si="124"/>
        <v>#N/A</v>
      </c>
      <c r="AQ498" t="e">
        <f t="shared" si="125"/>
        <v>#N/A</v>
      </c>
    </row>
    <row r="499" spans="15:43">
      <c r="O499">
        <v>495</v>
      </c>
      <c r="P499" s="401">
        <f>'Lab test'!N498</f>
        <v>76</v>
      </c>
      <c r="Q499" s="401">
        <f>'Lab test'!M498</f>
        <v>0.76</v>
      </c>
      <c r="R499">
        <f>IF('Lab test'!O498&gt;0,'Lab test'!O498,NA())</f>
        <v>54.72</v>
      </c>
      <c r="S499">
        <f>'Lab test'!Q498</f>
        <v>100</v>
      </c>
      <c r="T499" s="401">
        <f>IF('Lab test'!P498&gt;0,'Lab test'!P498,NA())</f>
        <v>7.1999999999999995E-2</v>
      </c>
      <c r="U499" s="401">
        <f>'Lab test'!AZ498</f>
        <v>1985</v>
      </c>
      <c r="V499">
        <f>IF('Lab test'!AQ498&gt;0,'Lab test'!AQ498,NA())</f>
        <v>0.46423445597154384</v>
      </c>
      <c r="W499">
        <f>IF('Lab test'!AU498&gt;0,'Lab test'!AU498,NA())</f>
        <v>0.81481481481481477</v>
      </c>
      <c r="X499">
        <f>IF('Lab test'!AT498&gt;0,'Lab test'!AT498,NA())</f>
        <v>0.17560369860912209</v>
      </c>
      <c r="Y499">
        <f t="shared" si="111"/>
        <v>1</v>
      </c>
      <c r="Z499" t="str">
        <f>'Lab test'!AC498</f>
        <v>LTWa</v>
      </c>
      <c r="AA499" t="str">
        <f>'Lab test'!T498</f>
        <v>Steel</v>
      </c>
      <c r="AC499">
        <f t="shared" si="112"/>
        <v>0.81481481481481477</v>
      </c>
      <c r="AD499" t="e">
        <f t="shared" si="113"/>
        <v>#N/A</v>
      </c>
      <c r="AE499" t="e">
        <f t="shared" si="114"/>
        <v>#N/A</v>
      </c>
      <c r="AF499" t="e">
        <f t="shared" si="115"/>
        <v>#N/A</v>
      </c>
      <c r="AG499" t="e">
        <f t="shared" si="116"/>
        <v>#N/A</v>
      </c>
      <c r="AH499" t="e">
        <f t="shared" si="117"/>
        <v>#N/A</v>
      </c>
      <c r="AI499" t="e">
        <f t="shared" si="118"/>
        <v>#N/A</v>
      </c>
      <c r="AK499">
        <f t="shared" si="119"/>
        <v>0.17560369860912209</v>
      </c>
      <c r="AL499" t="e">
        <f t="shared" si="120"/>
        <v>#N/A</v>
      </c>
      <c r="AM499" t="e">
        <f t="shared" si="121"/>
        <v>#N/A</v>
      </c>
      <c r="AN499" t="e">
        <f t="shared" si="122"/>
        <v>#N/A</v>
      </c>
      <c r="AO499" t="e">
        <f t="shared" si="123"/>
        <v>#N/A</v>
      </c>
      <c r="AP499" t="e">
        <f t="shared" si="124"/>
        <v>#N/A</v>
      </c>
      <c r="AQ499" t="e">
        <f t="shared" si="125"/>
        <v>#N/A</v>
      </c>
    </row>
    <row r="500" spans="15:43">
      <c r="O500">
        <v>496</v>
      </c>
      <c r="P500" s="401">
        <f>'Lab test'!N499</f>
        <v>76</v>
      </c>
      <c r="Q500" s="401">
        <f>'Lab test'!M499</f>
        <v>0.8</v>
      </c>
      <c r="R500">
        <f>IF('Lab test'!O499&gt;0,'Lab test'!O499,NA())</f>
        <v>55.1</v>
      </c>
      <c r="S500">
        <f>'Lab test'!Q499</f>
        <v>95</v>
      </c>
      <c r="T500" s="401">
        <f>IF('Lab test'!P499&gt;0,'Lab test'!P499,NA())</f>
        <v>7.4383430526173674E-2</v>
      </c>
      <c r="U500" s="401">
        <f>'Lab test'!AZ499</f>
        <v>1985</v>
      </c>
      <c r="V500">
        <f>IF('Lab test'!AQ499&gt;0,'Lab test'!AQ499,NA())</f>
        <v>0.55074084596637307</v>
      </c>
      <c r="W500">
        <f>IF('Lab test'!AU499&gt;0,'Lab test'!AU499,NA())</f>
        <v>0.88500000000000001</v>
      </c>
      <c r="X500">
        <f>IF('Lab test'!AT499&gt;0,'Lab test'!AT499,NA())</f>
        <v>0.26843419928294437</v>
      </c>
      <c r="Y500">
        <f t="shared" si="111"/>
        <v>1</v>
      </c>
      <c r="Z500" t="str">
        <f>'Lab test'!AC499</f>
        <v>LTWa</v>
      </c>
      <c r="AA500" t="str">
        <f>'Lab test'!T499</f>
        <v>Steel</v>
      </c>
      <c r="AC500">
        <f t="shared" si="112"/>
        <v>0.88500000000000001</v>
      </c>
      <c r="AD500" t="e">
        <f t="shared" si="113"/>
        <v>#N/A</v>
      </c>
      <c r="AE500" t="e">
        <f t="shared" si="114"/>
        <v>#N/A</v>
      </c>
      <c r="AF500" t="e">
        <f t="shared" si="115"/>
        <v>#N/A</v>
      </c>
      <c r="AG500" t="e">
        <f t="shared" si="116"/>
        <v>#N/A</v>
      </c>
      <c r="AH500" t="e">
        <f t="shared" si="117"/>
        <v>#N/A</v>
      </c>
      <c r="AI500" t="e">
        <f t="shared" si="118"/>
        <v>#N/A</v>
      </c>
      <c r="AK500">
        <f t="shared" si="119"/>
        <v>0.26843419928294437</v>
      </c>
      <c r="AL500" t="e">
        <f t="shared" si="120"/>
        <v>#N/A</v>
      </c>
      <c r="AM500" t="e">
        <f t="shared" si="121"/>
        <v>#N/A</v>
      </c>
      <c r="AN500" t="e">
        <f t="shared" si="122"/>
        <v>#N/A</v>
      </c>
      <c r="AO500" t="e">
        <f t="shared" si="123"/>
        <v>#N/A</v>
      </c>
      <c r="AP500" t="e">
        <f t="shared" si="124"/>
        <v>#N/A</v>
      </c>
      <c r="AQ500" t="e">
        <f t="shared" si="125"/>
        <v>#N/A</v>
      </c>
    </row>
    <row r="501" spans="15:43">
      <c r="O501">
        <v>497</v>
      </c>
      <c r="P501" s="401">
        <f>'Lab test'!N500</f>
        <v>76</v>
      </c>
      <c r="Q501" s="401">
        <f>'Lab test'!M500</f>
        <v>0.76</v>
      </c>
      <c r="R501">
        <f>IF('Lab test'!O500&gt;0,'Lab test'!O500,NA())</f>
        <v>109.82000000000001</v>
      </c>
      <c r="S501">
        <f>'Lab test'!Q500</f>
        <v>100</v>
      </c>
      <c r="T501" s="401">
        <f>IF('Lab test'!P500&gt;0,'Lab test'!P500,NA())</f>
        <v>0.14450000000000002</v>
      </c>
      <c r="U501" s="401">
        <f>'Lab test'!AZ500</f>
        <v>1985</v>
      </c>
      <c r="V501">
        <f>IF('Lab test'!AQ500&gt;0,'Lab test'!AQ500,NA())</f>
        <v>0.42378613917792241</v>
      </c>
      <c r="W501">
        <f>IF('Lab test'!AU500&gt;0,'Lab test'!AU500,NA())</f>
        <v>0.80888888888888888</v>
      </c>
      <c r="X501">
        <f>IF('Lab test'!AT500&gt;0,'Lab test'!AT500,NA())</f>
        <v>0.14527215066754645</v>
      </c>
      <c r="Y501">
        <f t="shared" si="111"/>
        <v>1</v>
      </c>
      <c r="Z501" t="str">
        <f>'Lab test'!AC500</f>
        <v>LTWa</v>
      </c>
      <c r="AA501" t="str">
        <f>'Lab test'!T500</f>
        <v>Steel</v>
      </c>
      <c r="AC501">
        <f t="shared" si="112"/>
        <v>0.80888888888888888</v>
      </c>
      <c r="AD501" t="e">
        <f t="shared" si="113"/>
        <v>#N/A</v>
      </c>
      <c r="AE501" t="e">
        <f t="shared" si="114"/>
        <v>#N/A</v>
      </c>
      <c r="AF501" t="e">
        <f t="shared" si="115"/>
        <v>#N/A</v>
      </c>
      <c r="AG501" t="e">
        <f t="shared" si="116"/>
        <v>#N/A</v>
      </c>
      <c r="AH501" t="e">
        <f t="shared" si="117"/>
        <v>#N/A</v>
      </c>
      <c r="AI501" t="e">
        <f t="shared" si="118"/>
        <v>#N/A</v>
      </c>
      <c r="AK501">
        <f t="shared" si="119"/>
        <v>0.14527215066754645</v>
      </c>
      <c r="AL501" t="e">
        <f t="shared" si="120"/>
        <v>#N/A</v>
      </c>
      <c r="AM501" t="e">
        <f t="shared" si="121"/>
        <v>#N/A</v>
      </c>
      <c r="AN501" t="e">
        <f t="shared" si="122"/>
        <v>#N/A</v>
      </c>
      <c r="AO501" t="e">
        <f t="shared" si="123"/>
        <v>#N/A</v>
      </c>
      <c r="AP501" t="e">
        <f t="shared" si="124"/>
        <v>#N/A</v>
      </c>
      <c r="AQ501" t="e">
        <f t="shared" si="125"/>
        <v>#N/A</v>
      </c>
    </row>
    <row r="502" spans="15:43">
      <c r="O502">
        <v>498</v>
      </c>
      <c r="P502" s="401">
        <f>'Lab test'!N501</f>
        <v>76</v>
      </c>
      <c r="Q502" s="401">
        <f>'Lab test'!M501</f>
        <v>0.80851063829787229</v>
      </c>
      <c r="R502">
        <f>IF('Lab test'!O501&gt;0,'Lab test'!O501,NA())</f>
        <v>110.2</v>
      </c>
      <c r="S502">
        <f>'Lab test'!Q501</f>
        <v>94</v>
      </c>
      <c r="T502" s="401">
        <f>IF('Lab test'!P501&gt;0,'Lab test'!P501,NA())</f>
        <v>0.14955608070752505</v>
      </c>
      <c r="U502" s="401">
        <f>'Lab test'!AZ501</f>
        <v>1985</v>
      </c>
      <c r="V502">
        <f>IF('Lab test'!AQ501&gt;0,'Lab test'!AQ501,NA())</f>
        <v>0.54783454153201261</v>
      </c>
      <c r="W502">
        <f>IF('Lab test'!AU501&gt;0,'Lab test'!AU501,NA())</f>
        <v>0.91249999999999998</v>
      </c>
      <c r="X502">
        <f>IF('Lab test'!AT501&gt;0,'Lab test'!AT501,NA())</f>
        <v>0.27386194996722629</v>
      </c>
      <c r="Y502">
        <f t="shared" si="111"/>
        <v>1</v>
      </c>
      <c r="Z502" t="str">
        <f>'Lab test'!AC501</f>
        <v>LTWa</v>
      </c>
      <c r="AA502" t="str">
        <f>'Lab test'!T501</f>
        <v>Steel</v>
      </c>
      <c r="AC502">
        <f t="shared" si="112"/>
        <v>0.91249999999999998</v>
      </c>
      <c r="AD502" t="e">
        <f t="shared" si="113"/>
        <v>#N/A</v>
      </c>
      <c r="AE502" t="e">
        <f t="shared" si="114"/>
        <v>#N/A</v>
      </c>
      <c r="AF502" t="e">
        <f t="shared" si="115"/>
        <v>#N/A</v>
      </c>
      <c r="AG502" t="e">
        <f t="shared" si="116"/>
        <v>#N/A</v>
      </c>
      <c r="AH502" t="e">
        <f t="shared" si="117"/>
        <v>#N/A</v>
      </c>
      <c r="AI502" t="e">
        <f t="shared" si="118"/>
        <v>#N/A</v>
      </c>
      <c r="AK502">
        <f t="shared" si="119"/>
        <v>0.27386194996722629</v>
      </c>
      <c r="AL502" t="e">
        <f t="shared" si="120"/>
        <v>#N/A</v>
      </c>
      <c r="AM502" t="e">
        <f t="shared" si="121"/>
        <v>#N/A</v>
      </c>
      <c r="AN502" t="e">
        <f t="shared" si="122"/>
        <v>#N/A</v>
      </c>
      <c r="AO502" t="e">
        <f t="shared" si="123"/>
        <v>#N/A</v>
      </c>
      <c r="AP502" t="e">
        <f t="shared" si="124"/>
        <v>#N/A</v>
      </c>
      <c r="AQ502" t="e">
        <f t="shared" si="125"/>
        <v>#N/A</v>
      </c>
    </row>
    <row r="503" spans="15:43">
      <c r="O503">
        <v>499</v>
      </c>
      <c r="P503" s="401">
        <f>'Lab test'!N502</f>
        <v>76</v>
      </c>
      <c r="Q503" s="401">
        <f>'Lab test'!M502</f>
        <v>0.76</v>
      </c>
      <c r="R503">
        <f>IF('Lab test'!O502&gt;0,'Lab test'!O502,NA())</f>
        <v>24.7</v>
      </c>
      <c r="S503">
        <f>'Lab test'!Q502</f>
        <v>100</v>
      </c>
      <c r="T503" s="401">
        <f>IF('Lab test'!P502&gt;0,'Lab test'!P502,NA())</f>
        <v>3.2500000000000001E-2</v>
      </c>
      <c r="U503" s="401">
        <f>'Lab test'!AZ502</f>
        <v>1985</v>
      </c>
      <c r="V503">
        <f>IF('Lab test'!AQ502&gt;0,'Lab test'!AQ502,NA())</f>
        <v>0.58243833816776025</v>
      </c>
      <c r="W503">
        <f>IF('Lab test'!AU502&gt;0,'Lab test'!AU502,NA())</f>
        <v>0.87058823529411766</v>
      </c>
      <c r="X503">
        <f>IF('Lab test'!AT502&gt;0,'Lab test'!AT502,NA())</f>
        <v>0.29533349311534168</v>
      </c>
      <c r="Y503">
        <f t="shared" si="111"/>
        <v>1</v>
      </c>
      <c r="Z503" t="str">
        <f>'Lab test'!AC502</f>
        <v>Machined</v>
      </c>
      <c r="AA503" t="str">
        <f>'Lab test'!T502</f>
        <v>Steel</v>
      </c>
      <c r="AC503" t="e">
        <f t="shared" si="112"/>
        <v>#N/A</v>
      </c>
      <c r="AD503" t="e">
        <f t="shared" si="113"/>
        <v>#N/A</v>
      </c>
      <c r="AE503" t="e">
        <f t="shared" si="114"/>
        <v>#N/A</v>
      </c>
      <c r="AF503">
        <f t="shared" si="115"/>
        <v>0.87058823529411766</v>
      </c>
      <c r="AG503" t="e">
        <f t="shared" si="116"/>
        <v>#N/A</v>
      </c>
      <c r="AH503" t="e">
        <f t="shared" si="117"/>
        <v>#N/A</v>
      </c>
      <c r="AI503" t="e">
        <f t="shared" si="118"/>
        <v>#N/A</v>
      </c>
      <c r="AK503" t="e">
        <f t="shared" si="119"/>
        <v>#N/A</v>
      </c>
      <c r="AL503" t="e">
        <f t="shared" si="120"/>
        <v>#N/A</v>
      </c>
      <c r="AM503" t="e">
        <f t="shared" si="121"/>
        <v>#N/A</v>
      </c>
      <c r="AN503">
        <f t="shared" si="122"/>
        <v>0.29533349311534168</v>
      </c>
      <c r="AO503" t="e">
        <f t="shared" si="123"/>
        <v>#N/A</v>
      </c>
      <c r="AP503" t="e">
        <f t="shared" si="124"/>
        <v>#N/A</v>
      </c>
      <c r="AQ503" t="e">
        <f t="shared" si="125"/>
        <v>#N/A</v>
      </c>
    </row>
    <row r="504" spans="15:43">
      <c r="O504">
        <v>500</v>
      </c>
      <c r="P504" s="401">
        <f>'Lab test'!N503</f>
        <v>76</v>
      </c>
      <c r="Q504" s="401">
        <f>'Lab test'!M503</f>
        <v>0.64406779661016944</v>
      </c>
      <c r="R504">
        <f>IF('Lab test'!O503&gt;0,'Lab test'!O503,NA())</f>
        <v>24.7</v>
      </c>
      <c r="S504">
        <f>'Lab test'!Q503</f>
        <v>118</v>
      </c>
      <c r="T504" s="401">
        <f>IF('Lab test'!P503&gt;0,'Lab test'!P503,NA())</f>
        <v>2.991867508169551E-2</v>
      </c>
      <c r="U504" s="401">
        <f>'Lab test'!AZ503</f>
        <v>1985</v>
      </c>
      <c r="V504">
        <f>IF('Lab test'!AQ503&gt;0,'Lab test'!AQ503,NA())</f>
        <v>0.56589512312144497</v>
      </c>
      <c r="W504">
        <f>IF('Lab test'!AU503&gt;0,'Lab test'!AU503,NA())</f>
        <v>0.91176470588235292</v>
      </c>
      <c r="X504">
        <f>IF('Lab test'!AT503&gt;0,'Lab test'!AT503,NA())</f>
        <v>0.29198105886916753</v>
      </c>
      <c r="Y504">
        <f t="shared" si="111"/>
        <v>1</v>
      </c>
      <c r="Z504" t="str">
        <f>'Lab test'!AC503</f>
        <v>Machined</v>
      </c>
      <c r="AA504" t="str">
        <f>'Lab test'!T503</f>
        <v>Steel</v>
      </c>
      <c r="AC504" t="e">
        <f t="shared" si="112"/>
        <v>#N/A</v>
      </c>
      <c r="AD504" t="e">
        <f t="shared" si="113"/>
        <v>#N/A</v>
      </c>
      <c r="AE504" t="e">
        <f t="shared" si="114"/>
        <v>#N/A</v>
      </c>
      <c r="AF504">
        <f t="shared" si="115"/>
        <v>0.91176470588235292</v>
      </c>
      <c r="AG504" t="e">
        <f t="shared" si="116"/>
        <v>#N/A</v>
      </c>
      <c r="AH504" t="e">
        <f t="shared" si="117"/>
        <v>#N/A</v>
      </c>
      <c r="AI504" t="e">
        <f t="shared" si="118"/>
        <v>#N/A</v>
      </c>
      <c r="AK504" t="e">
        <f t="shared" si="119"/>
        <v>#N/A</v>
      </c>
      <c r="AL504" t="e">
        <f t="shared" si="120"/>
        <v>#N/A</v>
      </c>
      <c r="AM504" t="e">
        <f t="shared" si="121"/>
        <v>#N/A</v>
      </c>
      <c r="AN504">
        <f t="shared" si="122"/>
        <v>0.29198105886916753</v>
      </c>
      <c r="AO504" t="e">
        <f t="shared" si="123"/>
        <v>#N/A</v>
      </c>
      <c r="AP504" t="e">
        <f t="shared" si="124"/>
        <v>#N/A</v>
      </c>
      <c r="AQ504" t="e">
        <f t="shared" si="125"/>
        <v>#N/A</v>
      </c>
    </row>
    <row r="505" spans="15:43">
      <c r="O505">
        <v>501</v>
      </c>
      <c r="P505" s="401">
        <f>'Lab test'!N504</f>
        <v>76</v>
      </c>
      <c r="Q505" s="401">
        <f>'Lab test'!M504</f>
        <v>0.76</v>
      </c>
      <c r="R505">
        <f>IF('Lab test'!O504&gt;0,'Lab test'!O504,NA())</f>
        <v>54.72</v>
      </c>
      <c r="S505">
        <f>'Lab test'!Q504</f>
        <v>100</v>
      </c>
      <c r="T505" s="401">
        <f>IF('Lab test'!P504&gt;0,'Lab test'!P504,NA())</f>
        <v>7.1999999999999995E-2</v>
      </c>
      <c r="U505" s="401">
        <f>'Lab test'!AZ504</f>
        <v>1985</v>
      </c>
      <c r="V505">
        <f>IF('Lab test'!AQ504&gt;0,'Lab test'!AQ504,NA())</f>
        <v>0.58243833816776025</v>
      </c>
      <c r="W505">
        <f>IF('Lab test'!AU504&gt;0,'Lab test'!AU504,NA())</f>
        <v>0.90352941176470591</v>
      </c>
      <c r="X505">
        <f>IF('Lab test'!AT504&gt;0,'Lab test'!AT504,NA())</f>
        <v>0.30650827393592217</v>
      </c>
      <c r="Y505">
        <f t="shared" si="111"/>
        <v>1</v>
      </c>
      <c r="Z505" t="str">
        <f>'Lab test'!AC504</f>
        <v>Machined</v>
      </c>
      <c r="AA505" t="str">
        <f>'Lab test'!T504</f>
        <v>Steel</v>
      </c>
      <c r="AC505" t="e">
        <f t="shared" si="112"/>
        <v>#N/A</v>
      </c>
      <c r="AD505" t="e">
        <f t="shared" si="113"/>
        <v>#N/A</v>
      </c>
      <c r="AE505" t="e">
        <f t="shared" si="114"/>
        <v>#N/A</v>
      </c>
      <c r="AF505">
        <f t="shared" si="115"/>
        <v>0.90352941176470591</v>
      </c>
      <c r="AG505" t="e">
        <f t="shared" si="116"/>
        <v>#N/A</v>
      </c>
      <c r="AH505" t="e">
        <f t="shared" si="117"/>
        <v>#N/A</v>
      </c>
      <c r="AI505" t="e">
        <f t="shared" si="118"/>
        <v>#N/A</v>
      </c>
      <c r="AK505" t="e">
        <f t="shared" si="119"/>
        <v>#N/A</v>
      </c>
      <c r="AL505" t="e">
        <f t="shared" si="120"/>
        <v>#N/A</v>
      </c>
      <c r="AM505" t="e">
        <f t="shared" si="121"/>
        <v>#N/A</v>
      </c>
      <c r="AN505">
        <f t="shared" si="122"/>
        <v>0.30650827393592217</v>
      </c>
      <c r="AO505" t="e">
        <f t="shared" si="123"/>
        <v>#N/A</v>
      </c>
      <c r="AP505" t="e">
        <f t="shared" si="124"/>
        <v>#N/A</v>
      </c>
      <c r="AQ505" t="e">
        <f t="shared" si="125"/>
        <v>#N/A</v>
      </c>
    </row>
    <row r="506" spans="15:43">
      <c r="O506">
        <v>502</v>
      </c>
      <c r="P506" s="401">
        <f>'Lab test'!N505</f>
        <v>76</v>
      </c>
      <c r="Q506" s="401">
        <f>'Lab test'!M505</f>
        <v>0.8</v>
      </c>
      <c r="R506">
        <f>IF('Lab test'!O505&gt;0,'Lab test'!O505,NA())</f>
        <v>54.72</v>
      </c>
      <c r="S506">
        <f>'Lab test'!Q505</f>
        <v>95</v>
      </c>
      <c r="T506" s="401">
        <f>IF('Lab test'!P505&gt;0,'Lab test'!P505,NA())</f>
        <v>7.38704413501311E-2</v>
      </c>
      <c r="U506" s="401">
        <f>'Lab test'!AZ505</f>
        <v>1985</v>
      </c>
      <c r="V506">
        <f>IF('Lab test'!AQ505&gt;0,'Lab test'!AQ505,NA())</f>
        <v>0.50775797138340706</v>
      </c>
      <c r="W506">
        <f>IF('Lab test'!AU505&gt;0,'Lab test'!AU505,NA())</f>
        <v>0.88823529411764701</v>
      </c>
      <c r="X506">
        <f>IF('Lab test'!AT505&gt;0,'Lab test'!AT505,NA())</f>
        <v>0.22900318695889604</v>
      </c>
      <c r="Y506">
        <f t="shared" si="111"/>
        <v>1</v>
      </c>
      <c r="Z506" t="str">
        <f>'Lab test'!AC505</f>
        <v>Machined</v>
      </c>
      <c r="AA506" t="str">
        <f>'Lab test'!T505</f>
        <v>Steel</v>
      </c>
      <c r="AC506" t="e">
        <f t="shared" si="112"/>
        <v>#N/A</v>
      </c>
      <c r="AD506" t="e">
        <f t="shared" si="113"/>
        <v>#N/A</v>
      </c>
      <c r="AE506" t="e">
        <f t="shared" si="114"/>
        <v>#N/A</v>
      </c>
      <c r="AF506">
        <f t="shared" si="115"/>
        <v>0.88823529411764701</v>
      </c>
      <c r="AG506" t="e">
        <f t="shared" si="116"/>
        <v>#N/A</v>
      </c>
      <c r="AH506" t="e">
        <f t="shared" si="117"/>
        <v>#N/A</v>
      </c>
      <c r="AI506" t="e">
        <f t="shared" si="118"/>
        <v>#N/A</v>
      </c>
      <c r="AK506" t="e">
        <f t="shared" si="119"/>
        <v>#N/A</v>
      </c>
      <c r="AL506" t="e">
        <f t="shared" si="120"/>
        <v>#N/A</v>
      </c>
      <c r="AM506" t="e">
        <f t="shared" si="121"/>
        <v>#N/A</v>
      </c>
      <c r="AN506">
        <f t="shared" si="122"/>
        <v>0.22900318695889604</v>
      </c>
      <c r="AO506" t="e">
        <f t="shared" si="123"/>
        <v>#N/A</v>
      </c>
      <c r="AP506" t="e">
        <f t="shared" si="124"/>
        <v>#N/A</v>
      </c>
      <c r="AQ506" t="e">
        <f t="shared" si="125"/>
        <v>#N/A</v>
      </c>
    </row>
    <row r="507" spans="15:43">
      <c r="O507">
        <v>503</v>
      </c>
      <c r="P507" s="401">
        <f>'Lab test'!N506</f>
        <v>76</v>
      </c>
      <c r="Q507" s="401">
        <f>'Lab test'!M506</f>
        <v>0.76</v>
      </c>
      <c r="R507">
        <f>IF('Lab test'!O506&gt;0,'Lab test'!O506,NA())</f>
        <v>110.2</v>
      </c>
      <c r="S507">
        <f>'Lab test'!Q506</f>
        <v>100</v>
      </c>
      <c r="T507" s="401">
        <f>IF('Lab test'!P506&gt;0,'Lab test'!P506,NA())</f>
        <v>0.14499999999999999</v>
      </c>
      <c r="U507" s="401">
        <f>'Lab test'!AZ506</f>
        <v>1985</v>
      </c>
      <c r="V507">
        <f>IF('Lab test'!AQ506&gt;0,'Lab test'!AQ506,NA())</f>
        <v>0.52094868673804884</v>
      </c>
      <c r="W507">
        <f>IF('Lab test'!AU506&gt;0,'Lab test'!AU506,NA())</f>
        <v>0.8529411764705882</v>
      </c>
      <c r="X507">
        <f>IF('Lab test'!AT506&gt;0,'Lab test'!AT506,NA())</f>
        <v>0.23147760271202458</v>
      </c>
      <c r="Y507">
        <f t="shared" si="111"/>
        <v>1</v>
      </c>
      <c r="Z507" t="str">
        <f>'Lab test'!AC506</f>
        <v>Machined</v>
      </c>
      <c r="AA507" t="str">
        <f>'Lab test'!T506</f>
        <v>Steel</v>
      </c>
      <c r="AC507" t="e">
        <f t="shared" si="112"/>
        <v>#N/A</v>
      </c>
      <c r="AD507" t="e">
        <f t="shared" si="113"/>
        <v>#N/A</v>
      </c>
      <c r="AE507" t="e">
        <f t="shared" si="114"/>
        <v>#N/A</v>
      </c>
      <c r="AF507">
        <f t="shared" si="115"/>
        <v>0.8529411764705882</v>
      </c>
      <c r="AG507" t="e">
        <f t="shared" si="116"/>
        <v>#N/A</v>
      </c>
      <c r="AH507" t="e">
        <f t="shared" si="117"/>
        <v>#N/A</v>
      </c>
      <c r="AI507" t="e">
        <f t="shared" si="118"/>
        <v>#N/A</v>
      </c>
      <c r="AK507" t="e">
        <f t="shared" si="119"/>
        <v>#N/A</v>
      </c>
      <c r="AL507" t="e">
        <f t="shared" si="120"/>
        <v>#N/A</v>
      </c>
      <c r="AM507" t="e">
        <f t="shared" si="121"/>
        <v>#N/A</v>
      </c>
      <c r="AN507">
        <f t="shared" si="122"/>
        <v>0.23147760271202458</v>
      </c>
      <c r="AO507" t="e">
        <f t="shared" si="123"/>
        <v>#N/A</v>
      </c>
      <c r="AP507" t="e">
        <f t="shared" si="124"/>
        <v>#N/A</v>
      </c>
      <c r="AQ507" t="e">
        <f t="shared" si="125"/>
        <v>#N/A</v>
      </c>
    </row>
    <row r="508" spans="15:43">
      <c r="O508">
        <v>504</v>
      </c>
      <c r="P508" s="401">
        <f>'Lab test'!N507</f>
        <v>76.2</v>
      </c>
      <c r="Q508" s="401">
        <f>'Lab test'!M507</f>
        <v>2.032</v>
      </c>
      <c r="R508">
        <f>IF('Lab test'!O507&gt;0,'Lab test'!O507,NA())</f>
        <v>76.2</v>
      </c>
      <c r="S508">
        <f>'Lab test'!Q507</f>
        <v>37.5</v>
      </c>
      <c r="T508" s="401">
        <f>IF('Lab test'!P507&gt;0,'Lab test'!P507,NA())</f>
        <v>0.16329931618554519</v>
      </c>
      <c r="U508" s="401">
        <f>'Lab test'!AZ507</f>
        <v>1909</v>
      </c>
      <c r="V508">
        <f>IF('Lab test'!AQ507&gt;0,'Lab test'!AQ507,NA())</f>
        <v>0.24129977859268206</v>
      </c>
      <c r="W508">
        <f>IF('Lab test'!AU507&gt;0,'Lab test'!AU507,NA())</f>
        <v>1.3702623906705538</v>
      </c>
      <c r="X508">
        <f>IF('Lab test'!AT507&gt;0,'Lab test'!AT507,NA())</f>
        <v>7.9784326763767843E-2</v>
      </c>
      <c r="Y508">
        <f t="shared" si="111"/>
        <v>1</v>
      </c>
      <c r="Z508" t="str">
        <f>'Lab test'!AC507</f>
        <v>Tubes</v>
      </c>
      <c r="AA508" t="str">
        <f>'Lab test'!T507</f>
        <v>Steel</v>
      </c>
      <c r="AC508" t="e">
        <f t="shared" si="112"/>
        <v>#N/A</v>
      </c>
      <c r="AD508" t="e">
        <f t="shared" si="113"/>
        <v>#N/A</v>
      </c>
      <c r="AE508" t="e">
        <f t="shared" si="114"/>
        <v>#N/A</v>
      </c>
      <c r="AF508" t="e">
        <f t="shared" si="115"/>
        <v>#N/A</v>
      </c>
      <c r="AG508">
        <f t="shared" si="116"/>
        <v>1.3702623906705538</v>
      </c>
      <c r="AH508" t="e">
        <f t="shared" si="117"/>
        <v>#N/A</v>
      </c>
      <c r="AI508" t="e">
        <f t="shared" si="118"/>
        <v>#N/A</v>
      </c>
      <c r="AK508" t="e">
        <f t="shared" si="119"/>
        <v>#N/A</v>
      </c>
      <c r="AL508" t="e">
        <f t="shared" si="120"/>
        <v>#N/A</v>
      </c>
      <c r="AM508" t="e">
        <f t="shared" si="121"/>
        <v>#N/A</v>
      </c>
      <c r="AN508" t="e">
        <f t="shared" si="122"/>
        <v>#N/A</v>
      </c>
      <c r="AO508">
        <f t="shared" si="123"/>
        <v>7.9784326763767843E-2</v>
      </c>
      <c r="AP508" t="e">
        <f t="shared" si="124"/>
        <v>#N/A</v>
      </c>
      <c r="AQ508" t="e">
        <f t="shared" si="125"/>
        <v>#N/A</v>
      </c>
    </row>
    <row r="509" spans="15:43">
      <c r="O509">
        <v>505</v>
      </c>
      <c r="P509" s="401">
        <f>'Lab test'!N508</f>
        <v>76.2</v>
      </c>
      <c r="Q509" s="401">
        <f>'Lab test'!M508</f>
        <v>2.032</v>
      </c>
      <c r="R509">
        <f>IF('Lab test'!O508&gt;0,'Lab test'!O508,NA())</f>
        <v>101.6</v>
      </c>
      <c r="S509">
        <f>'Lab test'!Q508</f>
        <v>37.5</v>
      </c>
      <c r="T509" s="401">
        <f>IF('Lab test'!P508&gt;0,'Lab test'!P508,NA())</f>
        <v>0.21773242158072692</v>
      </c>
      <c r="U509" s="401">
        <f>'Lab test'!AZ508</f>
        <v>1909</v>
      </c>
      <c r="V509">
        <f>IF('Lab test'!AQ508&gt;0,'Lab test'!AQ508,NA())</f>
        <v>0.25647540059121776</v>
      </c>
      <c r="W509">
        <f>IF('Lab test'!AU508&gt;0,'Lab test'!AU508,NA())</f>
        <v>1.296774193548387</v>
      </c>
      <c r="X509">
        <f>IF('Lab test'!AT508&gt;0,'Lab test'!AT508,NA())</f>
        <v>8.5301328082539027E-2</v>
      </c>
      <c r="Y509">
        <f t="shared" si="111"/>
        <v>1</v>
      </c>
      <c r="Z509" t="str">
        <f>'Lab test'!AC508</f>
        <v>Tubes</v>
      </c>
      <c r="AA509" t="str">
        <f>'Lab test'!T508</f>
        <v>Steel</v>
      </c>
      <c r="AC509" t="e">
        <f t="shared" si="112"/>
        <v>#N/A</v>
      </c>
      <c r="AD509" t="e">
        <f t="shared" si="113"/>
        <v>#N/A</v>
      </c>
      <c r="AE509" t="e">
        <f t="shared" si="114"/>
        <v>#N/A</v>
      </c>
      <c r="AF509" t="e">
        <f t="shared" si="115"/>
        <v>#N/A</v>
      </c>
      <c r="AG509">
        <f t="shared" si="116"/>
        <v>1.296774193548387</v>
      </c>
      <c r="AH509" t="e">
        <f t="shared" si="117"/>
        <v>#N/A</v>
      </c>
      <c r="AI509" t="e">
        <f t="shared" si="118"/>
        <v>#N/A</v>
      </c>
      <c r="AK509" t="e">
        <f t="shared" si="119"/>
        <v>#N/A</v>
      </c>
      <c r="AL509" t="e">
        <f t="shared" si="120"/>
        <v>#N/A</v>
      </c>
      <c r="AM509" t="e">
        <f t="shared" si="121"/>
        <v>#N/A</v>
      </c>
      <c r="AN509" t="e">
        <f t="shared" si="122"/>
        <v>#N/A</v>
      </c>
      <c r="AO509">
        <f t="shared" si="123"/>
        <v>8.5301328082539027E-2</v>
      </c>
      <c r="AP509" t="e">
        <f t="shared" si="124"/>
        <v>#N/A</v>
      </c>
      <c r="AQ509" t="e">
        <f t="shared" si="125"/>
        <v>#N/A</v>
      </c>
    </row>
    <row r="510" spans="15:43">
      <c r="O510">
        <v>506</v>
      </c>
      <c r="P510" s="401">
        <f>'Lab test'!N509</f>
        <v>76.2</v>
      </c>
      <c r="Q510" s="401">
        <f>'Lab test'!M509</f>
        <v>2.032</v>
      </c>
      <c r="R510">
        <f>IF('Lab test'!O509&gt;0,'Lab test'!O509,NA())</f>
        <v>177.8</v>
      </c>
      <c r="S510">
        <f>'Lab test'!Q509</f>
        <v>37.5</v>
      </c>
      <c r="T510" s="401">
        <f>IF('Lab test'!P509&gt;0,'Lab test'!P509,NA())</f>
        <v>0.38103173776627214</v>
      </c>
      <c r="U510" s="401">
        <f>'Lab test'!AZ509</f>
        <v>1909</v>
      </c>
      <c r="V510">
        <f>IF('Lab test'!AQ509&gt;0,'Lab test'!AQ509,NA())</f>
        <v>0.26341393509354877</v>
      </c>
      <c r="W510">
        <f>IF('Lab test'!AU509&gt;0,'Lab test'!AU509,NA())</f>
        <v>1.1559633027522933</v>
      </c>
      <c r="X510">
        <f>IF('Lab test'!AT509&gt;0,'Lab test'!AT509,NA())</f>
        <v>8.0208711480596384E-2</v>
      </c>
      <c r="Y510">
        <f t="shared" si="111"/>
        <v>1</v>
      </c>
      <c r="Z510" t="str">
        <f>'Lab test'!AC509</f>
        <v>Tubes</v>
      </c>
      <c r="AA510" t="str">
        <f>'Lab test'!T509</f>
        <v>Steel</v>
      </c>
      <c r="AC510" t="e">
        <f t="shared" si="112"/>
        <v>#N/A</v>
      </c>
      <c r="AD510" t="e">
        <f t="shared" si="113"/>
        <v>#N/A</v>
      </c>
      <c r="AE510" t="e">
        <f t="shared" si="114"/>
        <v>#N/A</v>
      </c>
      <c r="AF510" t="e">
        <f t="shared" si="115"/>
        <v>#N/A</v>
      </c>
      <c r="AG510">
        <f t="shared" si="116"/>
        <v>1.1559633027522933</v>
      </c>
      <c r="AH510" t="e">
        <f t="shared" si="117"/>
        <v>#N/A</v>
      </c>
      <c r="AI510" t="e">
        <f t="shared" si="118"/>
        <v>#N/A</v>
      </c>
      <c r="AK510" t="e">
        <f t="shared" si="119"/>
        <v>#N/A</v>
      </c>
      <c r="AL510" t="e">
        <f t="shared" si="120"/>
        <v>#N/A</v>
      </c>
      <c r="AM510" t="e">
        <f t="shared" si="121"/>
        <v>#N/A</v>
      </c>
      <c r="AN510" t="e">
        <f t="shared" si="122"/>
        <v>#N/A</v>
      </c>
      <c r="AO510">
        <f t="shared" si="123"/>
        <v>8.0208711480596384E-2</v>
      </c>
      <c r="AP510" t="e">
        <f t="shared" si="124"/>
        <v>#N/A</v>
      </c>
      <c r="AQ510" t="e">
        <f t="shared" si="125"/>
        <v>#N/A</v>
      </c>
    </row>
    <row r="511" spans="15:43">
      <c r="O511">
        <v>507</v>
      </c>
      <c r="P511" s="401">
        <f>'Lab test'!N510</f>
        <v>76.2</v>
      </c>
      <c r="Q511" s="401">
        <f>'Lab test'!M510</f>
        <v>2.032</v>
      </c>
      <c r="R511">
        <f>IF('Lab test'!O510&gt;0,'Lab test'!O510,NA())</f>
        <v>101.6</v>
      </c>
      <c r="S511">
        <f>'Lab test'!Q510</f>
        <v>37.5</v>
      </c>
      <c r="T511" s="401">
        <f>IF('Lab test'!P510&gt;0,'Lab test'!P510,NA())</f>
        <v>0.21773242158072692</v>
      </c>
      <c r="U511" s="401">
        <f>'Lab test'!AZ510</f>
        <v>1909</v>
      </c>
      <c r="V511">
        <f>IF('Lab test'!AQ510&gt;0,'Lab test'!AQ510,NA())</f>
        <v>0.22800685913256571</v>
      </c>
      <c r="W511">
        <f>IF('Lab test'!AU510&gt;0,'Lab test'!AU510,NA())</f>
        <v>1.546938775510204</v>
      </c>
      <c r="X511">
        <f>IF('Lab test'!AT510&gt;0,'Lab test'!AT510,NA())</f>
        <v>8.0420903839010655E-2</v>
      </c>
      <c r="Y511">
        <f t="shared" si="111"/>
        <v>1</v>
      </c>
      <c r="Z511" t="str">
        <f>'Lab test'!AC510</f>
        <v>Tubes</v>
      </c>
      <c r="AA511" t="str">
        <f>'Lab test'!T510</f>
        <v>Steel</v>
      </c>
      <c r="AC511" t="e">
        <f t="shared" si="112"/>
        <v>#N/A</v>
      </c>
      <c r="AD511" t="e">
        <f t="shared" si="113"/>
        <v>#N/A</v>
      </c>
      <c r="AE511" t="e">
        <f t="shared" si="114"/>
        <v>#N/A</v>
      </c>
      <c r="AF511" t="e">
        <f t="shared" si="115"/>
        <v>#N/A</v>
      </c>
      <c r="AG511">
        <f t="shared" si="116"/>
        <v>1.546938775510204</v>
      </c>
      <c r="AH511" t="e">
        <f t="shared" si="117"/>
        <v>#N/A</v>
      </c>
      <c r="AI511" t="e">
        <f t="shared" si="118"/>
        <v>#N/A</v>
      </c>
      <c r="AK511" t="e">
        <f t="shared" si="119"/>
        <v>#N/A</v>
      </c>
      <c r="AL511" t="e">
        <f t="shared" si="120"/>
        <v>#N/A</v>
      </c>
      <c r="AM511" t="e">
        <f t="shared" si="121"/>
        <v>#N/A</v>
      </c>
      <c r="AN511" t="e">
        <f t="shared" si="122"/>
        <v>#N/A</v>
      </c>
      <c r="AO511">
        <f t="shared" si="123"/>
        <v>8.0420903839010655E-2</v>
      </c>
      <c r="AP511" t="e">
        <f t="shared" si="124"/>
        <v>#N/A</v>
      </c>
      <c r="AQ511" t="e">
        <f t="shared" si="125"/>
        <v>#N/A</v>
      </c>
    </row>
    <row r="512" spans="15:43">
      <c r="O512">
        <v>508</v>
      </c>
      <c r="P512" s="401">
        <f>'Lab test'!N511</f>
        <v>76.2</v>
      </c>
      <c r="Q512" s="401">
        <f>'Lab test'!M511</f>
        <v>2.032</v>
      </c>
      <c r="R512">
        <f>IF('Lab test'!O511&gt;0,'Lab test'!O511,NA())</f>
        <v>177.8</v>
      </c>
      <c r="S512">
        <f>'Lab test'!Q511</f>
        <v>37.5</v>
      </c>
      <c r="T512" s="401">
        <f>IF('Lab test'!P511&gt;0,'Lab test'!P511,NA())</f>
        <v>0.38103173776627214</v>
      </c>
      <c r="U512" s="401">
        <f>'Lab test'!AZ511</f>
        <v>1909</v>
      </c>
      <c r="V512">
        <f>IF('Lab test'!AQ511&gt;0,'Lab test'!AQ511,NA())</f>
        <v>0.25894552565918427</v>
      </c>
      <c r="W512">
        <f>IF('Lab test'!AU511&gt;0,'Lab test'!AU511,NA())</f>
        <v>1.221518987341772</v>
      </c>
      <c r="X512">
        <f>IF('Lab test'!AT511&gt;0,'Lab test'!AT511,NA())</f>
        <v>8.1906250347910603E-2</v>
      </c>
      <c r="Y512">
        <f t="shared" si="111"/>
        <v>1</v>
      </c>
      <c r="Z512" t="str">
        <f>'Lab test'!AC511</f>
        <v>Tubes</v>
      </c>
      <c r="AA512" t="str">
        <f>'Lab test'!T511</f>
        <v>Steel</v>
      </c>
      <c r="AC512" t="e">
        <f t="shared" si="112"/>
        <v>#N/A</v>
      </c>
      <c r="AD512" t="e">
        <f t="shared" si="113"/>
        <v>#N/A</v>
      </c>
      <c r="AE512" t="e">
        <f t="shared" si="114"/>
        <v>#N/A</v>
      </c>
      <c r="AF512" t="e">
        <f t="shared" si="115"/>
        <v>#N/A</v>
      </c>
      <c r="AG512">
        <f t="shared" si="116"/>
        <v>1.221518987341772</v>
      </c>
      <c r="AH512" t="e">
        <f t="shared" si="117"/>
        <v>#N/A</v>
      </c>
      <c r="AI512" t="e">
        <f t="shared" si="118"/>
        <v>#N/A</v>
      </c>
      <c r="AK512" t="e">
        <f t="shared" si="119"/>
        <v>#N/A</v>
      </c>
      <c r="AL512" t="e">
        <f t="shared" si="120"/>
        <v>#N/A</v>
      </c>
      <c r="AM512" t="e">
        <f t="shared" si="121"/>
        <v>#N/A</v>
      </c>
      <c r="AN512" t="e">
        <f t="shared" si="122"/>
        <v>#N/A</v>
      </c>
      <c r="AO512">
        <f t="shared" si="123"/>
        <v>8.1906250347910603E-2</v>
      </c>
      <c r="AP512" t="e">
        <f t="shared" si="124"/>
        <v>#N/A</v>
      </c>
      <c r="AQ512" t="e">
        <f t="shared" si="125"/>
        <v>#N/A</v>
      </c>
    </row>
    <row r="513" spans="15:43">
      <c r="O513">
        <v>509</v>
      </c>
      <c r="P513" s="401">
        <f>'Lab test'!N512</f>
        <v>76.2</v>
      </c>
      <c r="Q513" s="401">
        <f>'Lab test'!M512</f>
        <v>2.032</v>
      </c>
      <c r="R513">
        <f>IF('Lab test'!O512&gt;0,'Lab test'!O512,NA())</f>
        <v>107.95</v>
      </c>
      <c r="S513">
        <f>'Lab test'!Q512</f>
        <v>37.5</v>
      </c>
      <c r="T513" s="401">
        <f>IF('Lab test'!P512&gt;0,'Lab test'!P512,NA())</f>
        <v>0.23134069792952236</v>
      </c>
      <c r="U513" s="401">
        <f>'Lab test'!AZ512</f>
        <v>1909</v>
      </c>
      <c r="V513">
        <f>IF('Lab test'!AQ512&gt;0,'Lab test'!AQ512,NA())</f>
        <v>0.21635534258758049</v>
      </c>
      <c r="W513">
        <f>IF('Lab test'!AU512&gt;0,'Lab test'!AU512,NA())</f>
        <v>1.4732547597461469</v>
      </c>
      <c r="X513">
        <f>IF('Lab test'!AT512&gt;0,'Lab test'!AT512,NA())</f>
        <v>6.8962516484639746E-2</v>
      </c>
      <c r="Y513">
        <f t="shared" si="111"/>
        <v>1</v>
      </c>
      <c r="Z513" t="str">
        <f>'Lab test'!AC512</f>
        <v>Tubes</v>
      </c>
      <c r="AA513" t="str">
        <f>'Lab test'!T512</f>
        <v>Steel</v>
      </c>
      <c r="AC513" t="e">
        <f t="shared" si="112"/>
        <v>#N/A</v>
      </c>
      <c r="AD513" t="e">
        <f t="shared" si="113"/>
        <v>#N/A</v>
      </c>
      <c r="AE513" t="e">
        <f t="shared" si="114"/>
        <v>#N/A</v>
      </c>
      <c r="AF513" t="e">
        <f t="shared" si="115"/>
        <v>#N/A</v>
      </c>
      <c r="AG513">
        <f t="shared" si="116"/>
        <v>1.4732547597461469</v>
      </c>
      <c r="AH513" t="e">
        <f t="shared" si="117"/>
        <v>#N/A</v>
      </c>
      <c r="AI513" t="e">
        <f t="shared" si="118"/>
        <v>#N/A</v>
      </c>
      <c r="AK513" t="e">
        <f t="shared" si="119"/>
        <v>#N/A</v>
      </c>
      <c r="AL513" t="e">
        <f t="shared" si="120"/>
        <v>#N/A</v>
      </c>
      <c r="AM513" t="e">
        <f t="shared" si="121"/>
        <v>#N/A</v>
      </c>
      <c r="AN513" t="e">
        <f t="shared" si="122"/>
        <v>#N/A</v>
      </c>
      <c r="AO513">
        <f t="shared" si="123"/>
        <v>6.8962516484639746E-2</v>
      </c>
      <c r="AP513" t="e">
        <f t="shared" si="124"/>
        <v>#N/A</v>
      </c>
      <c r="AQ513" t="e">
        <f t="shared" si="125"/>
        <v>#N/A</v>
      </c>
    </row>
    <row r="514" spans="15:43">
      <c r="O514">
        <v>510</v>
      </c>
      <c r="P514" s="401">
        <f>'Lab test'!N513</f>
        <v>76.2</v>
      </c>
      <c r="Q514" s="401">
        <f>'Lab test'!M513</f>
        <v>2.032</v>
      </c>
      <c r="R514">
        <f>IF('Lab test'!O513&gt;0,'Lab test'!O513,NA())</f>
        <v>101.6</v>
      </c>
      <c r="S514">
        <f>'Lab test'!Q513</f>
        <v>37.5</v>
      </c>
      <c r="T514" s="401">
        <f>IF('Lab test'!P513&gt;0,'Lab test'!P513,NA())</f>
        <v>0.21773242158072692</v>
      </c>
      <c r="U514" s="401">
        <f>'Lab test'!AZ513</f>
        <v>1909</v>
      </c>
      <c r="V514">
        <f>IF('Lab test'!AQ513&gt;0,'Lab test'!AQ513,NA())</f>
        <v>0.21655140546658899</v>
      </c>
      <c r="W514">
        <f>IF('Lab test'!AU513&gt;0,'Lab test'!AU513,NA())</f>
        <v>1.5882352941176472</v>
      </c>
      <c r="X514">
        <f>IF('Lab test'!AT513&gt;0,'Lab test'!AT513,NA())</f>
        <v>7.447951780341093E-2</v>
      </c>
      <c r="Y514">
        <f t="shared" si="111"/>
        <v>1</v>
      </c>
      <c r="Z514" t="str">
        <f>'Lab test'!AC513</f>
        <v>Tubes</v>
      </c>
      <c r="AA514" t="str">
        <f>'Lab test'!T513</f>
        <v>Steel</v>
      </c>
      <c r="AC514" t="e">
        <f t="shared" si="112"/>
        <v>#N/A</v>
      </c>
      <c r="AD514" t="e">
        <f t="shared" si="113"/>
        <v>#N/A</v>
      </c>
      <c r="AE514" t="e">
        <f t="shared" si="114"/>
        <v>#N/A</v>
      </c>
      <c r="AF514" t="e">
        <f t="shared" si="115"/>
        <v>#N/A</v>
      </c>
      <c r="AG514">
        <f t="shared" si="116"/>
        <v>1.5882352941176472</v>
      </c>
      <c r="AH514" t="e">
        <f t="shared" si="117"/>
        <v>#N/A</v>
      </c>
      <c r="AI514" t="e">
        <f t="shared" si="118"/>
        <v>#N/A</v>
      </c>
      <c r="AK514" t="e">
        <f t="shared" si="119"/>
        <v>#N/A</v>
      </c>
      <c r="AL514" t="e">
        <f t="shared" si="120"/>
        <v>#N/A</v>
      </c>
      <c r="AM514" t="e">
        <f t="shared" si="121"/>
        <v>#N/A</v>
      </c>
      <c r="AN514" t="e">
        <f t="shared" si="122"/>
        <v>#N/A</v>
      </c>
      <c r="AO514">
        <f t="shared" si="123"/>
        <v>7.447951780341093E-2</v>
      </c>
      <c r="AP514" t="e">
        <f t="shared" si="124"/>
        <v>#N/A</v>
      </c>
      <c r="AQ514" t="e">
        <f t="shared" si="125"/>
        <v>#N/A</v>
      </c>
    </row>
    <row r="515" spans="15:43">
      <c r="O515">
        <v>511</v>
      </c>
      <c r="P515" s="401">
        <f>'Lab test'!N514</f>
        <v>69.849999999999994</v>
      </c>
      <c r="Q515" s="401">
        <f>'Lab test'!M514</f>
        <v>3.2258</v>
      </c>
      <c r="R515">
        <f>IF('Lab test'!O514&gt;0,'Lab test'!O514,NA())</f>
        <v>114.3</v>
      </c>
      <c r="S515">
        <f>'Lab test'!Q514</f>
        <v>21.653543307086611</v>
      </c>
      <c r="T515" s="401">
        <f>IF('Lab test'!P514&gt;0,'Lab test'!P514,NA())</f>
        <v>0.35165381515062866</v>
      </c>
      <c r="U515" s="401">
        <f>'Lab test'!AZ514</f>
        <v>1909</v>
      </c>
      <c r="V515">
        <f>IF('Lab test'!AQ514&gt;0,'Lab test'!AQ514,NA())</f>
        <v>0.1998584534906761</v>
      </c>
      <c r="W515">
        <f>IF('Lab test'!AU514&gt;0,'Lab test'!AU514,NA())</f>
        <v>1.5214723926380367</v>
      </c>
      <c r="X515">
        <f>IF('Lab test'!AT514&gt;0,'Lab test'!AT514,NA())</f>
        <v>6.077278254636697E-2</v>
      </c>
      <c r="Y515">
        <f t="shared" si="111"/>
        <v>1</v>
      </c>
      <c r="Z515" t="str">
        <f>'Lab test'!AC514</f>
        <v>Tubes</v>
      </c>
      <c r="AA515" t="str">
        <f>'Lab test'!T514</f>
        <v>Steel</v>
      </c>
      <c r="AC515" t="e">
        <f t="shared" si="112"/>
        <v>#N/A</v>
      </c>
      <c r="AD515" t="e">
        <f t="shared" si="113"/>
        <v>#N/A</v>
      </c>
      <c r="AE515" t="e">
        <f t="shared" si="114"/>
        <v>#N/A</v>
      </c>
      <c r="AF515" t="e">
        <f t="shared" si="115"/>
        <v>#N/A</v>
      </c>
      <c r="AG515">
        <f t="shared" si="116"/>
        <v>1.5214723926380367</v>
      </c>
      <c r="AH515" t="e">
        <f t="shared" si="117"/>
        <v>#N/A</v>
      </c>
      <c r="AI515" t="e">
        <f t="shared" si="118"/>
        <v>#N/A</v>
      </c>
      <c r="AK515" t="e">
        <f t="shared" si="119"/>
        <v>#N/A</v>
      </c>
      <c r="AL515" t="e">
        <f t="shared" si="120"/>
        <v>#N/A</v>
      </c>
      <c r="AM515" t="e">
        <f t="shared" si="121"/>
        <v>#N/A</v>
      </c>
      <c r="AN515" t="e">
        <f t="shared" si="122"/>
        <v>#N/A</v>
      </c>
      <c r="AO515">
        <f t="shared" si="123"/>
        <v>6.077278254636697E-2</v>
      </c>
      <c r="AP515" t="e">
        <f t="shared" si="124"/>
        <v>#N/A</v>
      </c>
      <c r="AQ515" t="e">
        <f t="shared" si="125"/>
        <v>#N/A</v>
      </c>
    </row>
    <row r="516" spans="15:43">
      <c r="O516">
        <v>512</v>
      </c>
      <c r="P516" s="401">
        <f>'Lab test'!N515</f>
        <v>76.2</v>
      </c>
      <c r="Q516" s="401">
        <f>'Lab test'!M515</f>
        <v>2.032</v>
      </c>
      <c r="R516">
        <f>IF('Lab test'!O515&gt;0,'Lab test'!O515,NA())</f>
        <v>101.6</v>
      </c>
      <c r="S516">
        <f>'Lab test'!Q515</f>
        <v>37.5</v>
      </c>
      <c r="T516" s="401">
        <f>IF('Lab test'!P515&gt;0,'Lab test'!P515,NA())</f>
        <v>0.21773242158072692</v>
      </c>
      <c r="U516" s="401">
        <f>'Lab test'!AZ515</f>
        <v>1909</v>
      </c>
      <c r="V516">
        <f>IF('Lab test'!AQ515&gt;0,'Lab test'!AQ515,NA())</f>
        <v>0.28470595517876596</v>
      </c>
      <c r="W516">
        <f>IF('Lab test'!AU515&gt;0,'Lab test'!AU515,NA())</f>
        <v>1.2041884816753927</v>
      </c>
      <c r="X516">
        <f>IF('Lab test'!AT515&gt;0,'Lab test'!AT515,NA())</f>
        <v>9.7608484870567044E-2</v>
      </c>
      <c r="Y516">
        <f t="shared" si="111"/>
        <v>1</v>
      </c>
      <c r="Z516" t="str">
        <f>'Lab test'!AC515</f>
        <v>Tubes</v>
      </c>
      <c r="AA516" t="str">
        <f>'Lab test'!T515</f>
        <v>Steel</v>
      </c>
      <c r="AC516" t="e">
        <f t="shared" si="112"/>
        <v>#N/A</v>
      </c>
      <c r="AD516" t="e">
        <f t="shared" si="113"/>
        <v>#N/A</v>
      </c>
      <c r="AE516" t="e">
        <f t="shared" si="114"/>
        <v>#N/A</v>
      </c>
      <c r="AF516" t="e">
        <f t="shared" si="115"/>
        <v>#N/A</v>
      </c>
      <c r="AG516">
        <f t="shared" si="116"/>
        <v>1.2041884816753927</v>
      </c>
      <c r="AH516" t="e">
        <f t="shared" si="117"/>
        <v>#N/A</v>
      </c>
      <c r="AI516" t="e">
        <f t="shared" si="118"/>
        <v>#N/A</v>
      </c>
      <c r="AK516" t="e">
        <f t="shared" si="119"/>
        <v>#N/A</v>
      </c>
      <c r="AL516" t="e">
        <f t="shared" si="120"/>
        <v>#N/A</v>
      </c>
      <c r="AM516" t="e">
        <f t="shared" si="121"/>
        <v>#N/A</v>
      </c>
      <c r="AN516" t="e">
        <f t="shared" si="122"/>
        <v>#N/A</v>
      </c>
      <c r="AO516">
        <f t="shared" si="123"/>
        <v>9.7608484870567044E-2</v>
      </c>
      <c r="AP516" t="e">
        <f t="shared" si="124"/>
        <v>#N/A</v>
      </c>
      <c r="AQ516" t="e">
        <f t="shared" si="125"/>
        <v>#N/A</v>
      </c>
    </row>
    <row r="517" spans="15:43">
      <c r="O517">
        <v>513</v>
      </c>
      <c r="P517" s="401">
        <f>'Lab test'!N516</f>
        <v>76.2</v>
      </c>
      <c r="Q517" s="401">
        <f>'Lab test'!M516</f>
        <v>2.032</v>
      </c>
      <c r="R517">
        <f>IF('Lab test'!O516&gt;0,'Lab test'!O516,NA())</f>
        <v>50.8</v>
      </c>
      <c r="S517">
        <f>'Lab test'!Q516</f>
        <v>37.5</v>
      </c>
      <c r="T517" s="401">
        <f>IF('Lab test'!P516&gt;0,'Lab test'!P516,NA())</f>
        <v>0.10886621079036346</v>
      </c>
      <c r="U517" s="401">
        <f>'Lab test'!AZ516</f>
        <v>1909</v>
      </c>
      <c r="V517">
        <f>IF('Lab test'!AQ516&gt;0,'Lab test'!AQ516,NA())</f>
        <v>0.27095858726259175</v>
      </c>
      <c r="W517">
        <f>IF('Lab test'!AU516&gt;0,'Lab test'!AU516,NA())</f>
        <v>1.3179190751445087</v>
      </c>
      <c r="X517">
        <f>IF('Lab test'!AT516&gt;0,'Lab test'!AT516,NA())</f>
        <v>9.6759715436909935E-2</v>
      </c>
      <c r="Y517">
        <f t="shared" si="111"/>
        <v>1</v>
      </c>
      <c r="Z517" t="str">
        <f>'Lab test'!AC516</f>
        <v>Tubes</v>
      </c>
      <c r="AA517" t="str">
        <f>'Lab test'!T516</f>
        <v>Steel</v>
      </c>
      <c r="AC517" t="e">
        <f t="shared" si="112"/>
        <v>#N/A</v>
      </c>
      <c r="AD517" t="e">
        <f t="shared" si="113"/>
        <v>#N/A</v>
      </c>
      <c r="AE517" t="e">
        <f t="shared" si="114"/>
        <v>#N/A</v>
      </c>
      <c r="AF517" t="e">
        <f t="shared" si="115"/>
        <v>#N/A</v>
      </c>
      <c r="AG517">
        <f t="shared" si="116"/>
        <v>1.3179190751445087</v>
      </c>
      <c r="AH517" t="e">
        <f t="shared" si="117"/>
        <v>#N/A</v>
      </c>
      <c r="AI517" t="e">
        <f t="shared" si="118"/>
        <v>#N/A</v>
      </c>
      <c r="AK517" t="e">
        <f t="shared" si="119"/>
        <v>#N/A</v>
      </c>
      <c r="AL517" t="e">
        <f t="shared" si="120"/>
        <v>#N/A</v>
      </c>
      <c r="AM517" t="e">
        <f t="shared" si="121"/>
        <v>#N/A</v>
      </c>
      <c r="AN517" t="e">
        <f t="shared" si="122"/>
        <v>#N/A</v>
      </c>
      <c r="AO517">
        <f t="shared" si="123"/>
        <v>9.6759715436909935E-2</v>
      </c>
      <c r="AP517" t="e">
        <f t="shared" si="124"/>
        <v>#N/A</v>
      </c>
      <c r="AQ517" t="e">
        <f t="shared" si="125"/>
        <v>#N/A</v>
      </c>
    </row>
    <row r="518" spans="15:43">
      <c r="O518">
        <v>514</v>
      </c>
      <c r="P518" s="401">
        <f>'Lab test'!N517</f>
        <v>76.2</v>
      </c>
      <c r="Q518" s="401">
        <f>'Lab test'!M517</f>
        <v>2.032</v>
      </c>
      <c r="R518">
        <f>IF('Lab test'!O517&gt;0,'Lab test'!O517,NA())</f>
        <v>76.2</v>
      </c>
      <c r="S518">
        <f>'Lab test'!Q517</f>
        <v>37.5</v>
      </c>
      <c r="T518" s="401">
        <f>IF('Lab test'!P517&gt;0,'Lab test'!P517,NA())</f>
        <v>0.16329931618554519</v>
      </c>
      <c r="U518" s="401">
        <f>'Lab test'!AZ517</f>
        <v>1909</v>
      </c>
      <c r="V518">
        <f>IF('Lab test'!AQ517&gt;0,'Lab test'!AQ517,NA())</f>
        <v>0.26661665377238258</v>
      </c>
      <c r="W518">
        <f>IF('Lab test'!AU517&gt;0,'Lab test'!AU517,NA())</f>
        <v>1.3134328358208955</v>
      </c>
      <c r="X518">
        <f>IF('Lab test'!AT517&gt;0,'Lab test'!AT517,NA())</f>
        <v>9.3364637702281511E-2</v>
      </c>
      <c r="Y518">
        <f t="shared" ref="Y518:Y581" si="126">IF(OR(ISNUMBER(W518),ISNUMBER(X518)),1,NA())</f>
        <v>1</v>
      </c>
      <c r="Z518" t="str">
        <f>'Lab test'!AC517</f>
        <v>Tubes</v>
      </c>
      <c r="AA518" t="str">
        <f>'Lab test'!T517</f>
        <v>Steel</v>
      </c>
      <c r="AC518" t="e">
        <f t="shared" ref="AC518:AC581" si="127">IF(EXACT($AC$4,Z518),W518,NA())</f>
        <v>#N/A</v>
      </c>
      <c r="AD518" t="e">
        <f t="shared" ref="AD518:AD581" si="128">IF(EXACT($AD$4,Z518),W518,NA())</f>
        <v>#N/A</v>
      </c>
      <c r="AE518" t="e">
        <f t="shared" ref="AE518:AE581" si="129">IF(EXACT($AE$4,Z518),W518,NA())</f>
        <v>#N/A</v>
      </c>
      <c r="AF518" t="e">
        <f t="shared" ref="AF518:AF581" si="130">IF(EXACT($AF$4,Z518),W518,NA())</f>
        <v>#N/A</v>
      </c>
      <c r="AG518">
        <f t="shared" ref="AG518:AG581" si="131">IF(EXACT($AG$4,Z518),W518,NA())</f>
        <v>1.3134328358208955</v>
      </c>
      <c r="AH518" t="e">
        <f t="shared" ref="AH518:AH581" si="132">IF(EXACT($AH$4,Z518),W518,NA())</f>
        <v>#N/A</v>
      </c>
      <c r="AI518" t="e">
        <f t="shared" ref="AI518:AI581" si="133">IF(EXACT($AI$4,Z518),W518,NA())</f>
        <v>#N/A</v>
      </c>
      <c r="AK518" t="e">
        <f t="shared" ref="AK518:AK581" si="134">IF(EXACT($AK$4,Z518),X518,NA())</f>
        <v>#N/A</v>
      </c>
      <c r="AL518" t="e">
        <f t="shared" ref="AL518:AL581" si="135">IF(EXACT($AL$4,Z518),X518,NA())</f>
        <v>#N/A</v>
      </c>
      <c r="AM518" t="e">
        <f t="shared" ref="AM518:AM581" si="136">IF(EXACT($AM$4,Z518),X518,NA())</f>
        <v>#N/A</v>
      </c>
      <c r="AN518" t="e">
        <f t="shared" ref="AN518:AN581" si="137">IF(EXACT($AN$4,Z518),X518,NA())</f>
        <v>#N/A</v>
      </c>
      <c r="AO518">
        <f t="shared" ref="AO518:AO581" si="138">IF(EXACT($AO$4,Z518),X518,NA())</f>
        <v>9.3364637702281511E-2</v>
      </c>
      <c r="AP518" t="e">
        <f t="shared" ref="AP518:AP581" si="139">IF(EXACT($AP$4,Z518),X518,NA())</f>
        <v>#N/A</v>
      </c>
      <c r="AQ518" t="e">
        <f t="shared" ref="AQ518:AQ581" si="140">IF(EXACT($AQ$4,Z518),X518,NA())</f>
        <v>#N/A</v>
      </c>
    </row>
    <row r="519" spans="15:43">
      <c r="O519">
        <v>515</v>
      </c>
      <c r="P519" s="401">
        <f>'Lab test'!N518</f>
        <v>76.2</v>
      </c>
      <c r="Q519" s="401">
        <f>'Lab test'!M518</f>
        <v>2.032</v>
      </c>
      <c r="R519">
        <f>IF('Lab test'!O518&gt;0,'Lab test'!O518,NA())</f>
        <v>101.6</v>
      </c>
      <c r="S519">
        <f>'Lab test'!Q518</f>
        <v>37.5</v>
      </c>
      <c r="T519" s="401">
        <f>IF('Lab test'!P518&gt;0,'Lab test'!P518,NA())</f>
        <v>0.21773242158072692</v>
      </c>
      <c r="U519" s="401">
        <f>'Lab test'!AZ518</f>
        <v>1909</v>
      </c>
      <c r="V519">
        <f>IF('Lab test'!AQ518&gt;0,'Lab test'!AQ518,NA())</f>
        <v>0.29495570336891813</v>
      </c>
      <c r="W519">
        <f>IF('Lab test'!AU518&gt;0,'Lab test'!AU518,NA())</f>
        <v>1.0780487804878049</v>
      </c>
      <c r="X519">
        <f>IF('Lab test'!AT518&gt;0,'Lab test'!AT518,NA())</f>
        <v>9.3789022419110066E-2</v>
      </c>
      <c r="Y519">
        <f t="shared" si="126"/>
        <v>1</v>
      </c>
      <c r="Z519" t="str">
        <f>'Lab test'!AC518</f>
        <v>Tubes</v>
      </c>
      <c r="AA519" t="str">
        <f>'Lab test'!T518</f>
        <v>Steel</v>
      </c>
      <c r="AC519" t="e">
        <f t="shared" si="127"/>
        <v>#N/A</v>
      </c>
      <c r="AD519" t="e">
        <f t="shared" si="128"/>
        <v>#N/A</v>
      </c>
      <c r="AE519" t="e">
        <f t="shared" si="129"/>
        <v>#N/A</v>
      </c>
      <c r="AF519" t="e">
        <f t="shared" si="130"/>
        <v>#N/A</v>
      </c>
      <c r="AG519">
        <f t="shared" si="131"/>
        <v>1.0780487804878049</v>
      </c>
      <c r="AH519" t="e">
        <f t="shared" si="132"/>
        <v>#N/A</v>
      </c>
      <c r="AI519" t="e">
        <f t="shared" si="133"/>
        <v>#N/A</v>
      </c>
      <c r="AK519" t="e">
        <f t="shared" si="134"/>
        <v>#N/A</v>
      </c>
      <c r="AL519" t="e">
        <f t="shared" si="135"/>
        <v>#N/A</v>
      </c>
      <c r="AM519" t="e">
        <f t="shared" si="136"/>
        <v>#N/A</v>
      </c>
      <c r="AN519" t="e">
        <f t="shared" si="137"/>
        <v>#N/A</v>
      </c>
      <c r="AO519">
        <f t="shared" si="138"/>
        <v>9.3789022419110066E-2</v>
      </c>
      <c r="AP519" t="e">
        <f t="shared" si="139"/>
        <v>#N/A</v>
      </c>
      <c r="AQ519" t="e">
        <f t="shared" si="140"/>
        <v>#N/A</v>
      </c>
    </row>
    <row r="520" spans="15:43">
      <c r="O520">
        <v>516</v>
      </c>
      <c r="P520" s="401">
        <f>'Lab test'!N519</f>
        <v>76.2</v>
      </c>
      <c r="Q520" s="401">
        <f>'Lab test'!M519</f>
        <v>2.032</v>
      </c>
      <c r="R520">
        <f>IF('Lab test'!O519&gt;0,'Lab test'!O519,NA())</f>
        <v>101.6</v>
      </c>
      <c r="S520">
        <f>'Lab test'!Q519</f>
        <v>37.5</v>
      </c>
      <c r="T520" s="401">
        <f>IF('Lab test'!P519&gt;0,'Lab test'!P519,NA())</f>
        <v>0.21773242158072692</v>
      </c>
      <c r="U520" s="401">
        <f>'Lab test'!AZ519</f>
        <v>1909</v>
      </c>
      <c r="V520">
        <f>IF('Lab test'!AQ519&gt;0,'Lab test'!AQ519,NA())</f>
        <v>0.29495570336891813</v>
      </c>
      <c r="W520">
        <f>IF('Lab test'!AU519&gt;0,'Lab test'!AU519,NA())</f>
        <v>1.1219512195121952</v>
      </c>
      <c r="X520">
        <f>IF('Lab test'!AT519&gt;0,'Lab test'!AT519,NA())</f>
        <v>9.7608484870567044E-2</v>
      </c>
      <c r="Y520">
        <f t="shared" si="126"/>
        <v>1</v>
      </c>
      <c r="Z520" t="str">
        <f>'Lab test'!AC519</f>
        <v>Tubes</v>
      </c>
      <c r="AA520" t="str">
        <f>'Lab test'!T519</f>
        <v>Steel</v>
      </c>
      <c r="AC520" t="e">
        <f t="shared" si="127"/>
        <v>#N/A</v>
      </c>
      <c r="AD520" t="e">
        <f t="shared" si="128"/>
        <v>#N/A</v>
      </c>
      <c r="AE520" t="e">
        <f t="shared" si="129"/>
        <v>#N/A</v>
      </c>
      <c r="AF520" t="e">
        <f t="shared" si="130"/>
        <v>#N/A</v>
      </c>
      <c r="AG520">
        <f t="shared" si="131"/>
        <v>1.1219512195121952</v>
      </c>
      <c r="AH520" t="e">
        <f t="shared" si="132"/>
        <v>#N/A</v>
      </c>
      <c r="AI520" t="e">
        <f t="shared" si="133"/>
        <v>#N/A</v>
      </c>
      <c r="AK520" t="e">
        <f t="shared" si="134"/>
        <v>#N/A</v>
      </c>
      <c r="AL520" t="e">
        <f t="shared" si="135"/>
        <v>#N/A</v>
      </c>
      <c r="AM520" t="e">
        <f t="shared" si="136"/>
        <v>#N/A</v>
      </c>
      <c r="AN520" t="e">
        <f t="shared" si="137"/>
        <v>#N/A</v>
      </c>
      <c r="AO520">
        <f t="shared" si="138"/>
        <v>9.7608484870567044E-2</v>
      </c>
      <c r="AP520" t="e">
        <f t="shared" si="139"/>
        <v>#N/A</v>
      </c>
      <c r="AQ520" t="e">
        <f t="shared" si="140"/>
        <v>#N/A</v>
      </c>
    </row>
    <row r="521" spans="15:43">
      <c r="O521">
        <v>517</v>
      </c>
      <c r="P521" s="401">
        <f>'Lab test'!N520</f>
        <v>76.2</v>
      </c>
      <c r="Q521" s="401">
        <f>'Lab test'!M520</f>
        <v>2.032</v>
      </c>
      <c r="R521">
        <f>IF('Lab test'!O520&gt;0,'Lab test'!O520,NA())</f>
        <v>152.4</v>
      </c>
      <c r="S521">
        <f>'Lab test'!Q520</f>
        <v>37.5</v>
      </c>
      <c r="T521" s="401">
        <f>IF('Lab test'!P520&gt;0,'Lab test'!P520,NA())</f>
        <v>0.32659863237109038</v>
      </c>
      <c r="U521" s="401">
        <f>'Lab test'!AZ520</f>
        <v>1909</v>
      </c>
      <c r="V521">
        <f>IF('Lab test'!AQ520&gt;0,'Lab test'!AQ520,NA())</f>
        <v>0.27561724240749319</v>
      </c>
      <c r="W521">
        <f>IF('Lab test'!AU520&gt;0,'Lab test'!AU520,NA())</f>
        <v>1.240223463687151</v>
      </c>
      <c r="X521">
        <f>IF('Lab test'!AT520&gt;0,'Lab test'!AT520,NA())</f>
        <v>9.421340713593862E-2</v>
      </c>
      <c r="Y521">
        <f t="shared" si="126"/>
        <v>1</v>
      </c>
      <c r="Z521" t="str">
        <f>'Lab test'!AC520</f>
        <v>Tubes</v>
      </c>
      <c r="AA521" t="str">
        <f>'Lab test'!T520</f>
        <v>Steel</v>
      </c>
      <c r="AC521" t="e">
        <f t="shared" si="127"/>
        <v>#N/A</v>
      </c>
      <c r="AD521" t="e">
        <f t="shared" si="128"/>
        <v>#N/A</v>
      </c>
      <c r="AE521" t="e">
        <f t="shared" si="129"/>
        <v>#N/A</v>
      </c>
      <c r="AF521" t="e">
        <f t="shared" si="130"/>
        <v>#N/A</v>
      </c>
      <c r="AG521">
        <f t="shared" si="131"/>
        <v>1.240223463687151</v>
      </c>
      <c r="AH521" t="e">
        <f t="shared" si="132"/>
        <v>#N/A</v>
      </c>
      <c r="AI521" t="e">
        <f t="shared" si="133"/>
        <v>#N/A</v>
      </c>
      <c r="AK521" t="e">
        <f t="shared" si="134"/>
        <v>#N/A</v>
      </c>
      <c r="AL521" t="e">
        <f t="shared" si="135"/>
        <v>#N/A</v>
      </c>
      <c r="AM521" t="e">
        <f t="shared" si="136"/>
        <v>#N/A</v>
      </c>
      <c r="AN521" t="e">
        <f t="shared" si="137"/>
        <v>#N/A</v>
      </c>
      <c r="AO521">
        <f t="shared" si="138"/>
        <v>9.421340713593862E-2</v>
      </c>
      <c r="AP521" t="e">
        <f t="shared" si="139"/>
        <v>#N/A</v>
      </c>
      <c r="AQ521" t="e">
        <f t="shared" si="140"/>
        <v>#N/A</v>
      </c>
    </row>
    <row r="522" spans="15:43">
      <c r="O522">
        <v>518</v>
      </c>
      <c r="P522" s="401">
        <f>'Lab test'!N521</f>
        <v>12.7</v>
      </c>
      <c r="Q522" s="401">
        <f>'Lab test'!M521</f>
        <v>1.651</v>
      </c>
      <c r="R522" t="e">
        <f>IF('Lab test'!O521&gt;0,'Lab test'!O521,NA())</f>
        <v>#N/A</v>
      </c>
      <c r="S522">
        <f>'Lab test'!Q521</f>
        <v>7.75</v>
      </c>
      <c r="T522" s="401" t="e">
        <f>IF('Lab test'!P521&gt;0,'Lab test'!P521,NA())</f>
        <v>#N/A</v>
      </c>
      <c r="U522" s="401">
        <f>'Lab test'!AZ521</f>
        <v>1938</v>
      </c>
      <c r="V522">
        <f>IF('Lab test'!AQ521&gt;0,'Lab test'!AQ521,NA())</f>
        <v>0.19641927636115525</v>
      </c>
      <c r="W522">
        <f>IF('Lab test'!AU521&gt;0,'Lab test'!AU521,NA())</f>
        <v>1.2529999999999999</v>
      </c>
      <c r="X522">
        <f>IF('Lab test'!AT521&gt;0,'Lab test'!AT521,NA())</f>
        <v>4.8341406754178563E-2</v>
      </c>
      <c r="Y522">
        <f t="shared" si="126"/>
        <v>1</v>
      </c>
      <c r="Z522" t="str">
        <f>'Lab test'!AC521</f>
        <v>Tubes</v>
      </c>
      <c r="AA522" t="str">
        <f>'Lab test'!T521</f>
        <v>Steel</v>
      </c>
      <c r="AC522" t="e">
        <f t="shared" si="127"/>
        <v>#N/A</v>
      </c>
      <c r="AD522" t="e">
        <f t="shared" si="128"/>
        <v>#N/A</v>
      </c>
      <c r="AE522" t="e">
        <f t="shared" si="129"/>
        <v>#N/A</v>
      </c>
      <c r="AF522" t="e">
        <f t="shared" si="130"/>
        <v>#N/A</v>
      </c>
      <c r="AG522">
        <f t="shared" si="131"/>
        <v>1.2529999999999999</v>
      </c>
      <c r="AH522" t="e">
        <f t="shared" si="132"/>
        <v>#N/A</v>
      </c>
      <c r="AI522" t="e">
        <f t="shared" si="133"/>
        <v>#N/A</v>
      </c>
      <c r="AK522" t="e">
        <f t="shared" si="134"/>
        <v>#N/A</v>
      </c>
      <c r="AL522" t="e">
        <f t="shared" si="135"/>
        <v>#N/A</v>
      </c>
      <c r="AM522" t="e">
        <f t="shared" si="136"/>
        <v>#N/A</v>
      </c>
      <c r="AN522" t="e">
        <f t="shared" si="137"/>
        <v>#N/A</v>
      </c>
      <c r="AO522">
        <f t="shared" si="138"/>
        <v>4.8341406754178563E-2</v>
      </c>
      <c r="AP522" t="e">
        <f t="shared" si="139"/>
        <v>#N/A</v>
      </c>
      <c r="AQ522" t="e">
        <f t="shared" si="140"/>
        <v>#N/A</v>
      </c>
    </row>
    <row r="523" spans="15:43">
      <c r="O523">
        <v>519</v>
      </c>
      <c r="P523" s="401">
        <f>'Lab test'!N522</f>
        <v>12.7</v>
      </c>
      <c r="Q523" s="401">
        <f>'Lab test'!M522</f>
        <v>1.651</v>
      </c>
      <c r="R523" t="e">
        <f>IF('Lab test'!O522&gt;0,'Lab test'!O522,NA())</f>
        <v>#N/A</v>
      </c>
      <c r="S523">
        <f>'Lab test'!Q522</f>
        <v>7.8</v>
      </c>
      <c r="T523" s="401" t="e">
        <f>IF('Lab test'!P522&gt;0,'Lab test'!P522,NA())</f>
        <v>#N/A</v>
      </c>
      <c r="U523" s="401">
        <f>'Lab test'!AZ522</f>
        <v>1938</v>
      </c>
      <c r="V523">
        <f>IF('Lab test'!AQ522&gt;0,'Lab test'!AQ522,NA())</f>
        <v>0.19708753746486549</v>
      </c>
      <c r="W523">
        <f>IF('Lab test'!AU522&gt;0,'Lab test'!AU522,NA())</f>
        <v>1.2569999999999999</v>
      </c>
      <c r="X523">
        <f>IF('Lab test'!AT522&gt;0,'Lab test'!AT522,NA())</f>
        <v>4.8826276261923693E-2</v>
      </c>
      <c r="Y523">
        <f t="shared" si="126"/>
        <v>1</v>
      </c>
      <c r="Z523" t="str">
        <f>'Lab test'!AC522</f>
        <v>Tubes</v>
      </c>
      <c r="AA523" t="str">
        <f>'Lab test'!T522</f>
        <v>Steel</v>
      </c>
      <c r="AC523" t="e">
        <f t="shared" si="127"/>
        <v>#N/A</v>
      </c>
      <c r="AD523" t="e">
        <f t="shared" si="128"/>
        <v>#N/A</v>
      </c>
      <c r="AE523" t="e">
        <f t="shared" si="129"/>
        <v>#N/A</v>
      </c>
      <c r="AF523" t="e">
        <f t="shared" si="130"/>
        <v>#N/A</v>
      </c>
      <c r="AG523">
        <f t="shared" si="131"/>
        <v>1.2569999999999999</v>
      </c>
      <c r="AH523" t="e">
        <f t="shared" si="132"/>
        <v>#N/A</v>
      </c>
      <c r="AI523" t="e">
        <f t="shared" si="133"/>
        <v>#N/A</v>
      </c>
      <c r="AK523" t="e">
        <f t="shared" si="134"/>
        <v>#N/A</v>
      </c>
      <c r="AL523" t="e">
        <f t="shared" si="135"/>
        <v>#N/A</v>
      </c>
      <c r="AM523" t="e">
        <f t="shared" si="136"/>
        <v>#N/A</v>
      </c>
      <c r="AN523" t="e">
        <f t="shared" si="137"/>
        <v>#N/A</v>
      </c>
      <c r="AO523">
        <f t="shared" si="138"/>
        <v>4.8826276261923693E-2</v>
      </c>
      <c r="AP523" t="e">
        <f t="shared" si="139"/>
        <v>#N/A</v>
      </c>
      <c r="AQ523" t="e">
        <f t="shared" si="140"/>
        <v>#N/A</v>
      </c>
    </row>
    <row r="524" spans="15:43">
      <c r="O524">
        <v>520</v>
      </c>
      <c r="P524" s="401">
        <f>'Lab test'!N523</f>
        <v>19.049999999999997</v>
      </c>
      <c r="Q524" s="401">
        <f>'Lab test'!M523</f>
        <v>1.4732000000000001</v>
      </c>
      <c r="R524" t="e">
        <f>IF('Lab test'!O523&gt;0,'Lab test'!O523,NA())</f>
        <v>#N/A</v>
      </c>
      <c r="S524">
        <f>'Lab test'!Q523</f>
        <v>12</v>
      </c>
      <c r="T524" s="401" t="e">
        <f>IF('Lab test'!P523&gt;0,'Lab test'!P523,NA())</f>
        <v>#N/A</v>
      </c>
      <c r="U524" s="401">
        <f>'Lab test'!AZ523</f>
        <v>1938</v>
      </c>
      <c r="V524">
        <f>IF('Lab test'!AQ523&gt;0,'Lab test'!AQ523,NA())</f>
        <v>0.25347229616623929</v>
      </c>
      <c r="W524">
        <f>IF('Lab test'!AU523&gt;0,'Lab test'!AU523,NA())</f>
        <v>1.135</v>
      </c>
      <c r="X524">
        <f>IF('Lab test'!AT523&gt;0,'Lab test'!AT523,NA())</f>
        <v>7.2921712588496793E-2</v>
      </c>
      <c r="Y524">
        <f t="shared" si="126"/>
        <v>1</v>
      </c>
      <c r="Z524" t="str">
        <f>'Lab test'!AC523</f>
        <v>Tubes</v>
      </c>
      <c r="AA524" t="str">
        <f>'Lab test'!T523</f>
        <v>Steel</v>
      </c>
      <c r="AC524" t="e">
        <f t="shared" si="127"/>
        <v>#N/A</v>
      </c>
      <c r="AD524" t="e">
        <f t="shared" si="128"/>
        <v>#N/A</v>
      </c>
      <c r="AE524" t="e">
        <f t="shared" si="129"/>
        <v>#N/A</v>
      </c>
      <c r="AF524" t="e">
        <f t="shared" si="130"/>
        <v>#N/A</v>
      </c>
      <c r="AG524">
        <f t="shared" si="131"/>
        <v>1.135</v>
      </c>
      <c r="AH524" t="e">
        <f t="shared" si="132"/>
        <v>#N/A</v>
      </c>
      <c r="AI524" t="e">
        <f t="shared" si="133"/>
        <v>#N/A</v>
      </c>
      <c r="AK524" t="e">
        <f t="shared" si="134"/>
        <v>#N/A</v>
      </c>
      <c r="AL524" t="e">
        <f t="shared" si="135"/>
        <v>#N/A</v>
      </c>
      <c r="AM524" t="e">
        <f t="shared" si="136"/>
        <v>#N/A</v>
      </c>
      <c r="AN524" t="e">
        <f t="shared" si="137"/>
        <v>#N/A</v>
      </c>
      <c r="AO524">
        <f t="shared" si="138"/>
        <v>7.2921712588496793E-2</v>
      </c>
      <c r="AP524" t="e">
        <f t="shared" si="139"/>
        <v>#N/A</v>
      </c>
      <c r="AQ524" t="e">
        <f t="shared" si="140"/>
        <v>#N/A</v>
      </c>
    </row>
    <row r="525" spans="15:43">
      <c r="O525">
        <v>521</v>
      </c>
      <c r="P525" s="401">
        <f>'Lab test'!N524</f>
        <v>19.049999999999997</v>
      </c>
      <c r="Q525" s="401">
        <f>'Lab test'!M524</f>
        <v>1.4732000000000001</v>
      </c>
      <c r="R525" t="e">
        <f>IF('Lab test'!O524&gt;0,'Lab test'!O524,NA())</f>
        <v>#N/A</v>
      </c>
      <c r="S525">
        <f>'Lab test'!Q524</f>
        <v>12</v>
      </c>
      <c r="T525" s="401" t="e">
        <f>IF('Lab test'!P524&gt;0,'Lab test'!P524,NA())</f>
        <v>#N/A</v>
      </c>
      <c r="U525" s="401">
        <f>'Lab test'!AZ524</f>
        <v>1938</v>
      </c>
      <c r="V525">
        <f>IF('Lab test'!AQ524&gt;0,'Lab test'!AQ524,NA())</f>
        <v>0.25355672553545666</v>
      </c>
      <c r="W525">
        <f>IF('Lab test'!AU524&gt;0,'Lab test'!AU524,NA())</f>
        <v>1.127</v>
      </c>
      <c r="X525">
        <f>IF('Lab test'!AT524&gt;0,'Lab test'!AT524,NA())</f>
        <v>7.2455971723424287E-2</v>
      </c>
      <c r="Y525">
        <f t="shared" si="126"/>
        <v>1</v>
      </c>
      <c r="Z525" t="str">
        <f>'Lab test'!AC524</f>
        <v>Tubes</v>
      </c>
      <c r="AA525" t="str">
        <f>'Lab test'!T524</f>
        <v>Steel</v>
      </c>
      <c r="AC525" t="e">
        <f t="shared" si="127"/>
        <v>#N/A</v>
      </c>
      <c r="AD525" t="e">
        <f t="shared" si="128"/>
        <v>#N/A</v>
      </c>
      <c r="AE525" t="e">
        <f t="shared" si="129"/>
        <v>#N/A</v>
      </c>
      <c r="AF525" t="e">
        <f t="shared" si="130"/>
        <v>#N/A</v>
      </c>
      <c r="AG525">
        <f t="shared" si="131"/>
        <v>1.127</v>
      </c>
      <c r="AH525" t="e">
        <f t="shared" si="132"/>
        <v>#N/A</v>
      </c>
      <c r="AI525" t="e">
        <f t="shared" si="133"/>
        <v>#N/A</v>
      </c>
      <c r="AK525" t="e">
        <f t="shared" si="134"/>
        <v>#N/A</v>
      </c>
      <c r="AL525" t="e">
        <f t="shared" si="135"/>
        <v>#N/A</v>
      </c>
      <c r="AM525" t="e">
        <f t="shared" si="136"/>
        <v>#N/A</v>
      </c>
      <c r="AN525" t="e">
        <f t="shared" si="137"/>
        <v>#N/A</v>
      </c>
      <c r="AO525">
        <f t="shared" si="138"/>
        <v>7.2455971723424287E-2</v>
      </c>
      <c r="AP525" t="e">
        <f t="shared" si="139"/>
        <v>#N/A</v>
      </c>
      <c r="AQ525" t="e">
        <f t="shared" si="140"/>
        <v>#N/A</v>
      </c>
    </row>
    <row r="526" spans="15:43">
      <c r="O526">
        <v>522</v>
      </c>
      <c r="P526" s="401">
        <f>'Lab test'!N525</f>
        <v>19.049999999999997</v>
      </c>
      <c r="Q526" s="401">
        <f>'Lab test'!M525</f>
        <v>1.4732000000000001</v>
      </c>
      <c r="R526" t="e">
        <f>IF('Lab test'!O525&gt;0,'Lab test'!O525,NA())</f>
        <v>#N/A</v>
      </c>
      <c r="S526">
        <f>'Lab test'!Q525</f>
        <v>12.3</v>
      </c>
      <c r="T526" s="401" t="e">
        <f>IF('Lab test'!P525&gt;0,'Lab test'!P525,NA())</f>
        <v>#N/A</v>
      </c>
      <c r="U526" s="401">
        <f>'Lab test'!AZ525</f>
        <v>1938</v>
      </c>
      <c r="V526">
        <f>IF('Lab test'!AQ525&gt;0,'Lab test'!AQ525,NA())</f>
        <v>0.24994717144247963</v>
      </c>
      <c r="W526">
        <f>IF('Lab test'!AU525&gt;0,'Lab test'!AU525,NA())</f>
        <v>1.1080000000000001</v>
      </c>
      <c r="X526">
        <f>IF('Lab test'!AT525&gt;0,'Lab test'!AT525,NA())</f>
        <v>6.9220736071402708E-2</v>
      </c>
      <c r="Y526">
        <f t="shared" si="126"/>
        <v>1</v>
      </c>
      <c r="Z526" t="str">
        <f>'Lab test'!AC525</f>
        <v>Tubes</v>
      </c>
      <c r="AA526" t="str">
        <f>'Lab test'!T525</f>
        <v>Steel</v>
      </c>
      <c r="AC526" t="e">
        <f t="shared" si="127"/>
        <v>#N/A</v>
      </c>
      <c r="AD526" t="e">
        <f t="shared" si="128"/>
        <v>#N/A</v>
      </c>
      <c r="AE526" t="e">
        <f t="shared" si="129"/>
        <v>#N/A</v>
      </c>
      <c r="AF526" t="e">
        <f t="shared" si="130"/>
        <v>#N/A</v>
      </c>
      <c r="AG526">
        <f t="shared" si="131"/>
        <v>1.1080000000000001</v>
      </c>
      <c r="AH526" t="e">
        <f t="shared" si="132"/>
        <v>#N/A</v>
      </c>
      <c r="AI526" t="e">
        <f t="shared" si="133"/>
        <v>#N/A</v>
      </c>
      <c r="AK526" t="e">
        <f t="shared" si="134"/>
        <v>#N/A</v>
      </c>
      <c r="AL526" t="e">
        <f t="shared" si="135"/>
        <v>#N/A</v>
      </c>
      <c r="AM526" t="e">
        <f t="shared" si="136"/>
        <v>#N/A</v>
      </c>
      <c r="AN526" t="e">
        <f t="shared" si="137"/>
        <v>#N/A</v>
      </c>
      <c r="AO526">
        <f t="shared" si="138"/>
        <v>6.9220736071402708E-2</v>
      </c>
      <c r="AP526" t="e">
        <f t="shared" si="139"/>
        <v>#N/A</v>
      </c>
      <c r="AQ526" t="e">
        <f t="shared" si="140"/>
        <v>#N/A</v>
      </c>
    </row>
    <row r="527" spans="15:43">
      <c r="O527">
        <v>523</v>
      </c>
      <c r="P527" s="401">
        <f>'Lab test'!N526</f>
        <v>12.7</v>
      </c>
      <c r="Q527" s="401">
        <f>'Lab test'!M526</f>
        <v>0.71119999999999994</v>
      </c>
      <c r="R527" t="e">
        <f>IF('Lab test'!O526&gt;0,'Lab test'!O526,NA())</f>
        <v>#N/A</v>
      </c>
      <c r="S527">
        <f>'Lab test'!Q526</f>
        <v>17</v>
      </c>
      <c r="T527" s="401" t="e">
        <f>IF('Lab test'!P526&gt;0,'Lab test'!P526,NA())</f>
        <v>#N/A</v>
      </c>
      <c r="U527" s="401">
        <f>'Lab test'!AZ526</f>
        <v>1938</v>
      </c>
      <c r="V527">
        <f>IF('Lab test'!AQ526&gt;0,'Lab test'!AQ526,NA())</f>
        <v>0.29835528985461507</v>
      </c>
      <c r="W527">
        <f>IF('Lab test'!AU526&gt;0,'Lab test'!AU526,NA())</f>
        <v>1.115</v>
      </c>
      <c r="X527">
        <f>IF('Lab test'!AT526&gt;0,'Lab test'!AT526,NA())</f>
        <v>9.9252705067417971E-2</v>
      </c>
      <c r="Y527">
        <f t="shared" si="126"/>
        <v>1</v>
      </c>
      <c r="Z527" t="str">
        <f>'Lab test'!AC526</f>
        <v>Tubes</v>
      </c>
      <c r="AA527" t="str">
        <f>'Lab test'!T526</f>
        <v>Steel</v>
      </c>
      <c r="AC527" t="e">
        <f t="shared" si="127"/>
        <v>#N/A</v>
      </c>
      <c r="AD527" t="e">
        <f t="shared" si="128"/>
        <v>#N/A</v>
      </c>
      <c r="AE527" t="e">
        <f t="shared" si="129"/>
        <v>#N/A</v>
      </c>
      <c r="AF527" t="e">
        <f t="shared" si="130"/>
        <v>#N/A</v>
      </c>
      <c r="AG527">
        <f t="shared" si="131"/>
        <v>1.115</v>
      </c>
      <c r="AH527" t="e">
        <f t="shared" si="132"/>
        <v>#N/A</v>
      </c>
      <c r="AI527" t="e">
        <f t="shared" si="133"/>
        <v>#N/A</v>
      </c>
      <c r="AK527" t="e">
        <f t="shared" si="134"/>
        <v>#N/A</v>
      </c>
      <c r="AL527" t="e">
        <f t="shared" si="135"/>
        <v>#N/A</v>
      </c>
      <c r="AM527" t="e">
        <f t="shared" si="136"/>
        <v>#N/A</v>
      </c>
      <c r="AN527" t="e">
        <f t="shared" si="137"/>
        <v>#N/A</v>
      </c>
      <c r="AO527">
        <f t="shared" si="138"/>
        <v>9.9252705067417971E-2</v>
      </c>
      <c r="AP527" t="e">
        <f t="shared" si="139"/>
        <v>#N/A</v>
      </c>
      <c r="AQ527" t="e">
        <f t="shared" si="140"/>
        <v>#N/A</v>
      </c>
    </row>
    <row r="528" spans="15:43">
      <c r="O528">
        <v>524</v>
      </c>
      <c r="P528" s="401">
        <f>'Lab test'!N527</f>
        <v>12.7</v>
      </c>
      <c r="Q528" s="401">
        <f>'Lab test'!M527</f>
        <v>0.71119999999999994</v>
      </c>
      <c r="R528" t="e">
        <f>IF('Lab test'!O527&gt;0,'Lab test'!O527,NA())</f>
        <v>#N/A</v>
      </c>
      <c r="S528">
        <f>'Lab test'!Q527</f>
        <v>17</v>
      </c>
      <c r="T528" s="401" t="e">
        <f>IF('Lab test'!P527&gt;0,'Lab test'!P527,NA())</f>
        <v>#N/A</v>
      </c>
      <c r="U528" s="401">
        <f>'Lab test'!AZ527</f>
        <v>1938</v>
      </c>
      <c r="V528">
        <f>IF('Lab test'!AQ527&gt;0,'Lab test'!AQ527,NA())</f>
        <v>0.29831572196480871</v>
      </c>
      <c r="W528">
        <f>IF('Lab test'!AU527&gt;0,'Lab test'!AU527,NA())</f>
        <v>1.1100000000000001</v>
      </c>
      <c r="X528">
        <f>IF('Lab test'!AT527&gt;0,'Lab test'!AT527,NA())</f>
        <v>9.8781419668237447E-2</v>
      </c>
      <c r="Y528">
        <f t="shared" si="126"/>
        <v>1</v>
      </c>
      <c r="Z528" t="str">
        <f>'Lab test'!AC527</f>
        <v>Tubes</v>
      </c>
      <c r="AA528" t="str">
        <f>'Lab test'!T527</f>
        <v>Steel</v>
      </c>
      <c r="AC528" t="e">
        <f t="shared" si="127"/>
        <v>#N/A</v>
      </c>
      <c r="AD528" t="e">
        <f t="shared" si="128"/>
        <v>#N/A</v>
      </c>
      <c r="AE528" t="e">
        <f t="shared" si="129"/>
        <v>#N/A</v>
      </c>
      <c r="AF528" t="e">
        <f t="shared" si="130"/>
        <v>#N/A</v>
      </c>
      <c r="AG528">
        <f t="shared" si="131"/>
        <v>1.1100000000000001</v>
      </c>
      <c r="AH528" t="e">
        <f t="shared" si="132"/>
        <v>#N/A</v>
      </c>
      <c r="AI528" t="e">
        <f t="shared" si="133"/>
        <v>#N/A</v>
      </c>
      <c r="AK528" t="e">
        <f t="shared" si="134"/>
        <v>#N/A</v>
      </c>
      <c r="AL528" t="e">
        <f t="shared" si="135"/>
        <v>#N/A</v>
      </c>
      <c r="AM528" t="e">
        <f t="shared" si="136"/>
        <v>#N/A</v>
      </c>
      <c r="AN528" t="e">
        <f t="shared" si="137"/>
        <v>#N/A</v>
      </c>
      <c r="AO528">
        <f t="shared" si="138"/>
        <v>9.8781419668237447E-2</v>
      </c>
      <c r="AP528" t="e">
        <f t="shared" si="139"/>
        <v>#N/A</v>
      </c>
      <c r="AQ528" t="e">
        <f t="shared" si="140"/>
        <v>#N/A</v>
      </c>
    </row>
    <row r="529" spans="15:43">
      <c r="O529">
        <v>525</v>
      </c>
      <c r="P529" s="401">
        <f>'Lab test'!N528</f>
        <v>19.049999999999997</v>
      </c>
      <c r="Q529" s="401">
        <f>'Lab test'!M528</f>
        <v>0.88900000000000001</v>
      </c>
      <c r="R529" t="e">
        <f>IF('Lab test'!O528&gt;0,'Lab test'!O528,NA())</f>
        <v>#N/A</v>
      </c>
      <c r="S529">
        <f>'Lab test'!Q528</f>
        <v>21.35</v>
      </c>
      <c r="T529" s="401" t="e">
        <f>IF('Lab test'!P528&gt;0,'Lab test'!P528,NA())</f>
        <v>#N/A</v>
      </c>
      <c r="U529" s="401">
        <f>'Lab test'!AZ528</f>
        <v>1938</v>
      </c>
      <c r="V529">
        <f>IF('Lab test'!AQ528&gt;0,'Lab test'!AQ528,NA())</f>
        <v>0.33020640121242489</v>
      </c>
      <c r="W529">
        <f>IF('Lab test'!AU528&gt;0,'Lab test'!AU528,NA())</f>
        <v>1.052</v>
      </c>
      <c r="X529">
        <f>IF('Lab test'!AT528&gt;0,'Lab test'!AT528,NA())</f>
        <v>0.11470615330654728</v>
      </c>
      <c r="Y529">
        <f t="shared" si="126"/>
        <v>1</v>
      </c>
      <c r="Z529" t="str">
        <f>'Lab test'!AC528</f>
        <v>Tubes</v>
      </c>
      <c r="AA529" t="str">
        <f>'Lab test'!T528</f>
        <v>Steel</v>
      </c>
      <c r="AC529" t="e">
        <f t="shared" si="127"/>
        <v>#N/A</v>
      </c>
      <c r="AD529" t="e">
        <f t="shared" si="128"/>
        <v>#N/A</v>
      </c>
      <c r="AE529" t="e">
        <f t="shared" si="129"/>
        <v>#N/A</v>
      </c>
      <c r="AF529" t="e">
        <f t="shared" si="130"/>
        <v>#N/A</v>
      </c>
      <c r="AG529">
        <f t="shared" si="131"/>
        <v>1.052</v>
      </c>
      <c r="AH529" t="e">
        <f t="shared" si="132"/>
        <v>#N/A</v>
      </c>
      <c r="AI529" t="e">
        <f t="shared" si="133"/>
        <v>#N/A</v>
      </c>
      <c r="AK529" t="e">
        <f t="shared" si="134"/>
        <v>#N/A</v>
      </c>
      <c r="AL529" t="e">
        <f t="shared" si="135"/>
        <v>#N/A</v>
      </c>
      <c r="AM529" t="e">
        <f t="shared" si="136"/>
        <v>#N/A</v>
      </c>
      <c r="AN529" t="e">
        <f t="shared" si="137"/>
        <v>#N/A</v>
      </c>
      <c r="AO529">
        <f t="shared" si="138"/>
        <v>0.11470615330654728</v>
      </c>
      <c r="AP529" t="e">
        <f t="shared" si="139"/>
        <v>#N/A</v>
      </c>
      <c r="AQ529" t="e">
        <f t="shared" si="140"/>
        <v>#N/A</v>
      </c>
    </row>
    <row r="530" spans="15:43">
      <c r="O530">
        <v>526</v>
      </c>
      <c r="P530" s="401">
        <f>'Lab test'!N529</f>
        <v>20.637499999999999</v>
      </c>
      <c r="Q530" s="401">
        <f>'Lab test'!M529</f>
        <v>0.88900000000000001</v>
      </c>
      <c r="R530" t="e">
        <f>IF('Lab test'!O529&gt;0,'Lab test'!O529,NA())</f>
        <v>#N/A</v>
      </c>
      <c r="S530">
        <f>'Lab test'!Q529</f>
        <v>22.6</v>
      </c>
      <c r="T530" s="401" t="e">
        <f>IF('Lab test'!P529&gt;0,'Lab test'!P529,NA())</f>
        <v>#N/A</v>
      </c>
      <c r="U530" s="401">
        <f>'Lab test'!AZ529</f>
        <v>1938</v>
      </c>
      <c r="V530">
        <f>IF('Lab test'!AQ529&gt;0,'Lab test'!AQ529,NA())</f>
        <v>0.3427884630065019</v>
      </c>
      <c r="W530">
        <f>IF('Lab test'!AU529&gt;0,'Lab test'!AU529,NA())</f>
        <v>1.0760000000000001</v>
      </c>
      <c r="X530">
        <f>IF('Lab test'!AT529&gt;0,'Lab test'!AT529,NA())</f>
        <v>0.12643422907850727</v>
      </c>
      <c r="Y530">
        <f t="shared" si="126"/>
        <v>1</v>
      </c>
      <c r="Z530" t="str">
        <f>'Lab test'!AC529</f>
        <v>Tubes</v>
      </c>
      <c r="AA530" t="str">
        <f>'Lab test'!T529</f>
        <v>Steel</v>
      </c>
      <c r="AC530" t="e">
        <f t="shared" si="127"/>
        <v>#N/A</v>
      </c>
      <c r="AD530" t="e">
        <f t="shared" si="128"/>
        <v>#N/A</v>
      </c>
      <c r="AE530" t="e">
        <f t="shared" si="129"/>
        <v>#N/A</v>
      </c>
      <c r="AF530" t="e">
        <f t="shared" si="130"/>
        <v>#N/A</v>
      </c>
      <c r="AG530">
        <f t="shared" si="131"/>
        <v>1.0760000000000001</v>
      </c>
      <c r="AH530" t="e">
        <f t="shared" si="132"/>
        <v>#N/A</v>
      </c>
      <c r="AI530" t="e">
        <f t="shared" si="133"/>
        <v>#N/A</v>
      </c>
      <c r="AK530" t="e">
        <f t="shared" si="134"/>
        <v>#N/A</v>
      </c>
      <c r="AL530" t="e">
        <f t="shared" si="135"/>
        <v>#N/A</v>
      </c>
      <c r="AM530" t="e">
        <f t="shared" si="136"/>
        <v>#N/A</v>
      </c>
      <c r="AN530" t="e">
        <f t="shared" si="137"/>
        <v>#N/A</v>
      </c>
      <c r="AO530">
        <f t="shared" si="138"/>
        <v>0.12643422907850727</v>
      </c>
      <c r="AP530" t="e">
        <f t="shared" si="139"/>
        <v>#N/A</v>
      </c>
      <c r="AQ530" t="e">
        <f t="shared" si="140"/>
        <v>#N/A</v>
      </c>
    </row>
    <row r="531" spans="15:43">
      <c r="O531">
        <v>527</v>
      </c>
      <c r="P531" s="401">
        <f>'Lab test'!N530</f>
        <v>20.637499999999999</v>
      </c>
      <c r="Q531" s="401">
        <f>'Lab test'!M530</f>
        <v>0.88900000000000001</v>
      </c>
      <c r="R531" t="e">
        <f>IF('Lab test'!O530&gt;0,'Lab test'!O530,NA())</f>
        <v>#N/A</v>
      </c>
      <c r="S531">
        <f>'Lab test'!Q530</f>
        <v>22.6</v>
      </c>
      <c r="T531" s="401" t="e">
        <f>IF('Lab test'!P530&gt;0,'Lab test'!P530,NA())</f>
        <v>#N/A</v>
      </c>
      <c r="U531" s="401">
        <f>'Lab test'!AZ530</f>
        <v>1938</v>
      </c>
      <c r="V531">
        <f>IF('Lab test'!AQ530&gt;0,'Lab test'!AQ530,NA())</f>
        <v>0.34288490250275433</v>
      </c>
      <c r="W531">
        <f>IF('Lab test'!AU530&gt;0,'Lab test'!AU530,NA())</f>
        <v>1.069</v>
      </c>
      <c r="X531">
        <f>IF('Lab test'!AT530&gt;0,'Lab test'!AT530,NA())</f>
        <v>0.12568239025346165</v>
      </c>
      <c r="Y531">
        <f t="shared" si="126"/>
        <v>1</v>
      </c>
      <c r="Z531" t="str">
        <f>'Lab test'!AC530</f>
        <v>Tubes</v>
      </c>
      <c r="AA531" t="str">
        <f>'Lab test'!T530</f>
        <v>Steel</v>
      </c>
      <c r="AC531" t="e">
        <f t="shared" si="127"/>
        <v>#N/A</v>
      </c>
      <c r="AD531" t="e">
        <f t="shared" si="128"/>
        <v>#N/A</v>
      </c>
      <c r="AE531" t="e">
        <f t="shared" si="129"/>
        <v>#N/A</v>
      </c>
      <c r="AF531" t="e">
        <f t="shared" si="130"/>
        <v>#N/A</v>
      </c>
      <c r="AG531">
        <f t="shared" si="131"/>
        <v>1.069</v>
      </c>
      <c r="AH531" t="e">
        <f t="shared" si="132"/>
        <v>#N/A</v>
      </c>
      <c r="AI531" t="e">
        <f t="shared" si="133"/>
        <v>#N/A</v>
      </c>
      <c r="AK531" t="e">
        <f t="shared" si="134"/>
        <v>#N/A</v>
      </c>
      <c r="AL531" t="e">
        <f t="shared" si="135"/>
        <v>#N/A</v>
      </c>
      <c r="AM531" t="e">
        <f t="shared" si="136"/>
        <v>#N/A</v>
      </c>
      <c r="AN531" t="e">
        <f t="shared" si="137"/>
        <v>#N/A</v>
      </c>
      <c r="AO531">
        <f t="shared" si="138"/>
        <v>0.12568239025346165</v>
      </c>
      <c r="AP531" t="e">
        <f t="shared" si="139"/>
        <v>#N/A</v>
      </c>
      <c r="AQ531" t="e">
        <f t="shared" si="140"/>
        <v>#N/A</v>
      </c>
    </row>
    <row r="532" spans="15:43">
      <c r="O532">
        <v>528</v>
      </c>
      <c r="P532" s="401">
        <f>'Lab test'!N531</f>
        <v>19.049999999999997</v>
      </c>
      <c r="Q532" s="401">
        <f>'Lab test'!M531</f>
        <v>0.71119999999999994</v>
      </c>
      <c r="R532" t="e">
        <f>IF('Lab test'!O531&gt;0,'Lab test'!O531,NA())</f>
        <v>#N/A</v>
      </c>
      <c r="S532">
        <f>'Lab test'!Q531</f>
        <v>26.35</v>
      </c>
      <c r="T532" s="401" t="e">
        <f>IF('Lab test'!P531&gt;0,'Lab test'!P531,NA())</f>
        <v>#N/A</v>
      </c>
      <c r="U532" s="401">
        <f>'Lab test'!AZ531</f>
        <v>1938</v>
      </c>
      <c r="V532">
        <f>IF('Lab test'!AQ531&gt;0,'Lab test'!AQ531,NA())</f>
        <v>0.35500149749190096</v>
      </c>
      <c r="W532">
        <f>IF('Lab test'!AU531&gt;0,'Lab test'!AU531,NA())</f>
        <v>1.0189999999999999</v>
      </c>
      <c r="X532">
        <f>IF('Lab test'!AT531&gt;0,'Lab test'!AT531,NA())</f>
        <v>0.1284205584227005</v>
      </c>
      <c r="Y532">
        <f t="shared" si="126"/>
        <v>1</v>
      </c>
      <c r="Z532" t="str">
        <f>'Lab test'!AC531</f>
        <v>Tubes</v>
      </c>
      <c r="AA532" t="str">
        <f>'Lab test'!T531</f>
        <v>Steel</v>
      </c>
      <c r="AC532" t="e">
        <f t="shared" si="127"/>
        <v>#N/A</v>
      </c>
      <c r="AD532" t="e">
        <f t="shared" si="128"/>
        <v>#N/A</v>
      </c>
      <c r="AE532" t="e">
        <f t="shared" si="129"/>
        <v>#N/A</v>
      </c>
      <c r="AF532" t="e">
        <f t="shared" si="130"/>
        <v>#N/A</v>
      </c>
      <c r="AG532">
        <f t="shared" si="131"/>
        <v>1.0189999999999999</v>
      </c>
      <c r="AH532" t="e">
        <f t="shared" si="132"/>
        <v>#N/A</v>
      </c>
      <c r="AI532" t="e">
        <f t="shared" si="133"/>
        <v>#N/A</v>
      </c>
      <c r="AK532" t="e">
        <f t="shared" si="134"/>
        <v>#N/A</v>
      </c>
      <c r="AL532" t="e">
        <f t="shared" si="135"/>
        <v>#N/A</v>
      </c>
      <c r="AM532" t="e">
        <f t="shared" si="136"/>
        <v>#N/A</v>
      </c>
      <c r="AN532" t="e">
        <f t="shared" si="137"/>
        <v>#N/A</v>
      </c>
      <c r="AO532">
        <f t="shared" si="138"/>
        <v>0.1284205584227005</v>
      </c>
      <c r="AP532" t="e">
        <f t="shared" si="139"/>
        <v>#N/A</v>
      </c>
      <c r="AQ532" t="e">
        <f t="shared" si="140"/>
        <v>#N/A</v>
      </c>
    </row>
    <row r="533" spans="15:43">
      <c r="O533">
        <v>529</v>
      </c>
      <c r="P533" s="401">
        <f>'Lab test'!N532</f>
        <v>19.049999999999997</v>
      </c>
      <c r="Q533" s="401">
        <f>'Lab test'!M532</f>
        <v>0.71119999999999994</v>
      </c>
      <c r="R533" t="e">
        <f>IF('Lab test'!O532&gt;0,'Lab test'!O532,NA())</f>
        <v>#N/A</v>
      </c>
      <c r="S533">
        <f>'Lab test'!Q532</f>
        <v>27.05</v>
      </c>
      <c r="T533" s="401" t="e">
        <f>IF('Lab test'!P532&gt;0,'Lab test'!P532,NA())</f>
        <v>#N/A</v>
      </c>
      <c r="U533" s="401">
        <f>'Lab test'!AZ532</f>
        <v>1938</v>
      </c>
      <c r="V533">
        <f>IF('Lab test'!AQ532&gt;0,'Lab test'!AQ532,NA())</f>
        <v>0.37213987056682507</v>
      </c>
      <c r="W533">
        <f>IF('Lab test'!AU532&gt;0,'Lab test'!AU532,NA())</f>
        <v>1.018</v>
      </c>
      <c r="X533">
        <f>IF('Lab test'!AT532&gt;0,'Lab test'!AT532,NA())</f>
        <v>0.14098086876427218</v>
      </c>
      <c r="Y533">
        <f t="shared" si="126"/>
        <v>1</v>
      </c>
      <c r="Z533" t="str">
        <f>'Lab test'!AC532</f>
        <v>Tubes</v>
      </c>
      <c r="AA533" t="str">
        <f>'Lab test'!T532</f>
        <v>Steel</v>
      </c>
      <c r="AC533" t="e">
        <f t="shared" si="127"/>
        <v>#N/A</v>
      </c>
      <c r="AD533" t="e">
        <f t="shared" si="128"/>
        <v>#N/A</v>
      </c>
      <c r="AE533" t="e">
        <f t="shared" si="129"/>
        <v>#N/A</v>
      </c>
      <c r="AF533" t="e">
        <f t="shared" si="130"/>
        <v>#N/A</v>
      </c>
      <c r="AG533">
        <f t="shared" si="131"/>
        <v>1.018</v>
      </c>
      <c r="AH533" t="e">
        <f t="shared" si="132"/>
        <v>#N/A</v>
      </c>
      <c r="AI533" t="e">
        <f t="shared" si="133"/>
        <v>#N/A</v>
      </c>
      <c r="AK533" t="e">
        <f t="shared" si="134"/>
        <v>#N/A</v>
      </c>
      <c r="AL533" t="e">
        <f t="shared" si="135"/>
        <v>#N/A</v>
      </c>
      <c r="AM533" t="e">
        <f t="shared" si="136"/>
        <v>#N/A</v>
      </c>
      <c r="AN533" t="e">
        <f t="shared" si="137"/>
        <v>#N/A</v>
      </c>
      <c r="AO533">
        <f t="shared" si="138"/>
        <v>0.14098086876427218</v>
      </c>
      <c r="AP533" t="e">
        <f t="shared" si="139"/>
        <v>#N/A</v>
      </c>
      <c r="AQ533" t="e">
        <f t="shared" si="140"/>
        <v>#N/A</v>
      </c>
    </row>
    <row r="534" spans="15:43">
      <c r="O534">
        <v>530</v>
      </c>
      <c r="P534" s="401">
        <f>'Lab test'!N533</f>
        <v>25.4</v>
      </c>
      <c r="Q534" s="401">
        <f>'Lab test'!M533</f>
        <v>0.88900000000000001</v>
      </c>
      <c r="R534" t="e">
        <f>IF('Lab test'!O533&gt;0,'Lab test'!O533,NA())</f>
        <v>#N/A</v>
      </c>
      <c r="S534">
        <f>'Lab test'!Q533</f>
        <v>28.35</v>
      </c>
      <c r="T534" s="401" t="e">
        <f>IF('Lab test'!P533&gt;0,'Lab test'!P533,NA())</f>
        <v>#N/A</v>
      </c>
      <c r="U534" s="401">
        <f>'Lab test'!AZ533</f>
        <v>1938</v>
      </c>
      <c r="V534">
        <f>IF('Lab test'!AQ533&gt;0,'Lab test'!AQ533,NA())</f>
        <v>0.38302528963221549</v>
      </c>
      <c r="W534">
        <f>IF('Lab test'!AU533&gt;0,'Lab test'!AU533,NA())</f>
        <v>0.94499999999999995</v>
      </c>
      <c r="X534">
        <f>IF('Lab test'!AT533&gt;0,'Lab test'!AT533,NA())</f>
        <v>0.1386394120104612</v>
      </c>
      <c r="Y534">
        <f t="shared" si="126"/>
        <v>1</v>
      </c>
      <c r="Z534" t="str">
        <f>'Lab test'!AC533</f>
        <v>Tubes</v>
      </c>
      <c r="AA534" t="str">
        <f>'Lab test'!T533</f>
        <v>Steel</v>
      </c>
      <c r="AC534" t="e">
        <f t="shared" si="127"/>
        <v>#N/A</v>
      </c>
      <c r="AD534" t="e">
        <f t="shared" si="128"/>
        <v>#N/A</v>
      </c>
      <c r="AE534" t="e">
        <f t="shared" si="129"/>
        <v>#N/A</v>
      </c>
      <c r="AF534" t="e">
        <f t="shared" si="130"/>
        <v>#N/A</v>
      </c>
      <c r="AG534">
        <f t="shared" si="131"/>
        <v>0.94499999999999995</v>
      </c>
      <c r="AH534" t="e">
        <f t="shared" si="132"/>
        <v>#N/A</v>
      </c>
      <c r="AI534" t="e">
        <f t="shared" si="133"/>
        <v>#N/A</v>
      </c>
      <c r="AK534" t="e">
        <f t="shared" si="134"/>
        <v>#N/A</v>
      </c>
      <c r="AL534" t="e">
        <f t="shared" si="135"/>
        <v>#N/A</v>
      </c>
      <c r="AM534" t="e">
        <f t="shared" si="136"/>
        <v>#N/A</v>
      </c>
      <c r="AN534" t="e">
        <f t="shared" si="137"/>
        <v>#N/A</v>
      </c>
      <c r="AO534">
        <f t="shared" si="138"/>
        <v>0.1386394120104612</v>
      </c>
      <c r="AP534" t="e">
        <f t="shared" si="139"/>
        <v>#N/A</v>
      </c>
      <c r="AQ534" t="e">
        <f t="shared" si="140"/>
        <v>#N/A</v>
      </c>
    </row>
    <row r="535" spans="15:43">
      <c r="O535">
        <v>531</v>
      </c>
      <c r="P535" s="401">
        <f>'Lab test'!N534</f>
        <v>25.4</v>
      </c>
      <c r="Q535" s="401">
        <f>'Lab test'!M534</f>
        <v>0.88900000000000001</v>
      </c>
      <c r="R535" t="e">
        <f>IF('Lab test'!O534&gt;0,'Lab test'!O534,NA())</f>
        <v>#N/A</v>
      </c>
      <c r="S535">
        <f>'Lab test'!Q534</f>
        <v>28.45</v>
      </c>
      <c r="T535" s="401" t="e">
        <f>IF('Lab test'!P534&gt;0,'Lab test'!P534,NA())</f>
        <v>#N/A</v>
      </c>
      <c r="U535" s="401">
        <f>'Lab test'!AZ534</f>
        <v>1938</v>
      </c>
      <c r="V535">
        <f>IF('Lab test'!AQ534&gt;0,'Lab test'!AQ534,NA())</f>
        <v>0.38368593487389618</v>
      </c>
      <c r="W535">
        <f>IF('Lab test'!AU534&gt;0,'Lab test'!AU534,NA())</f>
        <v>0.95899999999999996</v>
      </c>
      <c r="X535">
        <f>IF('Lab test'!AT534&gt;0,'Lab test'!AT534,NA())</f>
        <v>0.1411790858586334</v>
      </c>
      <c r="Y535">
        <f t="shared" si="126"/>
        <v>1</v>
      </c>
      <c r="Z535" t="str">
        <f>'Lab test'!AC534</f>
        <v>Tubes</v>
      </c>
      <c r="AA535" t="str">
        <f>'Lab test'!T534</f>
        <v>Steel</v>
      </c>
      <c r="AC535" t="e">
        <f t="shared" si="127"/>
        <v>#N/A</v>
      </c>
      <c r="AD535" t="e">
        <f t="shared" si="128"/>
        <v>#N/A</v>
      </c>
      <c r="AE535" t="e">
        <f t="shared" si="129"/>
        <v>#N/A</v>
      </c>
      <c r="AF535" t="e">
        <f t="shared" si="130"/>
        <v>#N/A</v>
      </c>
      <c r="AG535">
        <f t="shared" si="131"/>
        <v>0.95899999999999996</v>
      </c>
      <c r="AH535" t="e">
        <f t="shared" si="132"/>
        <v>#N/A</v>
      </c>
      <c r="AI535" t="e">
        <f t="shared" si="133"/>
        <v>#N/A</v>
      </c>
      <c r="AK535" t="e">
        <f t="shared" si="134"/>
        <v>#N/A</v>
      </c>
      <c r="AL535" t="e">
        <f t="shared" si="135"/>
        <v>#N/A</v>
      </c>
      <c r="AM535" t="e">
        <f t="shared" si="136"/>
        <v>#N/A</v>
      </c>
      <c r="AN535" t="e">
        <f t="shared" si="137"/>
        <v>#N/A</v>
      </c>
      <c r="AO535">
        <f t="shared" si="138"/>
        <v>0.1411790858586334</v>
      </c>
      <c r="AP535" t="e">
        <f t="shared" si="139"/>
        <v>#N/A</v>
      </c>
      <c r="AQ535" t="e">
        <f t="shared" si="140"/>
        <v>#N/A</v>
      </c>
    </row>
    <row r="536" spans="15:43">
      <c r="O536">
        <v>532</v>
      </c>
      <c r="P536" s="401">
        <f>'Lab test'!N535</f>
        <v>25.4</v>
      </c>
      <c r="Q536" s="401">
        <f>'Lab test'!M535</f>
        <v>0.88900000000000001</v>
      </c>
      <c r="R536" t="e">
        <f>IF('Lab test'!O535&gt;0,'Lab test'!O535,NA())</f>
        <v>#N/A</v>
      </c>
      <c r="S536">
        <f>'Lab test'!Q535</f>
        <v>30.9</v>
      </c>
      <c r="T536" s="401" t="e">
        <f>IF('Lab test'!P535&gt;0,'Lab test'!P535,NA())</f>
        <v>#N/A</v>
      </c>
      <c r="U536" s="401">
        <f>'Lab test'!AZ535</f>
        <v>1938</v>
      </c>
      <c r="V536">
        <f>IF('Lab test'!AQ535&gt;0,'Lab test'!AQ535,NA())</f>
        <v>0.40707717152378514</v>
      </c>
      <c r="W536">
        <f>IF('Lab test'!AU535&gt;0,'Lab test'!AU535,NA())</f>
        <v>0.94599999999999995</v>
      </c>
      <c r="X536">
        <f>IF('Lab test'!AT535&gt;0,'Lab test'!AT535,NA())</f>
        <v>0.15676338510271168</v>
      </c>
      <c r="Y536">
        <f t="shared" si="126"/>
        <v>1</v>
      </c>
      <c r="Z536" t="str">
        <f>'Lab test'!AC535</f>
        <v>Tubes</v>
      </c>
      <c r="AA536" t="str">
        <f>'Lab test'!T535</f>
        <v>Steel</v>
      </c>
      <c r="AC536" t="e">
        <f t="shared" si="127"/>
        <v>#N/A</v>
      </c>
      <c r="AD536" t="e">
        <f t="shared" si="128"/>
        <v>#N/A</v>
      </c>
      <c r="AE536" t="e">
        <f t="shared" si="129"/>
        <v>#N/A</v>
      </c>
      <c r="AF536" t="e">
        <f t="shared" si="130"/>
        <v>#N/A</v>
      </c>
      <c r="AG536">
        <f t="shared" si="131"/>
        <v>0.94599999999999995</v>
      </c>
      <c r="AH536" t="e">
        <f t="shared" si="132"/>
        <v>#N/A</v>
      </c>
      <c r="AI536" t="e">
        <f t="shared" si="133"/>
        <v>#N/A</v>
      </c>
      <c r="AK536" t="e">
        <f t="shared" si="134"/>
        <v>#N/A</v>
      </c>
      <c r="AL536" t="e">
        <f t="shared" si="135"/>
        <v>#N/A</v>
      </c>
      <c r="AM536" t="e">
        <f t="shared" si="136"/>
        <v>#N/A</v>
      </c>
      <c r="AN536" t="e">
        <f t="shared" si="137"/>
        <v>#N/A</v>
      </c>
      <c r="AO536">
        <f t="shared" si="138"/>
        <v>0.15676338510271168</v>
      </c>
      <c r="AP536" t="e">
        <f t="shared" si="139"/>
        <v>#N/A</v>
      </c>
      <c r="AQ536" t="e">
        <f t="shared" si="140"/>
        <v>#N/A</v>
      </c>
    </row>
    <row r="537" spans="15:43">
      <c r="O537">
        <v>533</v>
      </c>
      <c r="P537" s="401">
        <f>'Lab test'!N536</f>
        <v>25.4</v>
      </c>
      <c r="Q537" s="401">
        <f>'Lab test'!M536</f>
        <v>0.88900000000000001</v>
      </c>
      <c r="R537" t="e">
        <f>IF('Lab test'!O536&gt;0,'Lab test'!O536,NA())</f>
        <v>#N/A</v>
      </c>
      <c r="S537">
        <f>'Lab test'!Q536</f>
        <v>30.9</v>
      </c>
      <c r="T537" s="401" t="e">
        <f>IF('Lab test'!P536&gt;0,'Lab test'!P536,NA())</f>
        <v>#N/A</v>
      </c>
      <c r="U537" s="401">
        <f>'Lab test'!AZ536</f>
        <v>1938</v>
      </c>
      <c r="V537">
        <f>IF('Lab test'!AQ536&gt;0,'Lab test'!AQ536,NA())</f>
        <v>0.40363177156377028</v>
      </c>
      <c r="W537">
        <f>IF('Lab test'!AU536&gt;0,'Lab test'!AU536,NA())</f>
        <v>0.91700000000000004</v>
      </c>
      <c r="X537">
        <f>IF('Lab test'!AT536&gt;0,'Lab test'!AT536,NA())</f>
        <v>0.14939636263340392</v>
      </c>
      <c r="Y537">
        <f t="shared" si="126"/>
        <v>1</v>
      </c>
      <c r="Z537" t="str">
        <f>'Lab test'!AC536</f>
        <v>Tubes</v>
      </c>
      <c r="AA537" t="str">
        <f>'Lab test'!T536</f>
        <v>Steel</v>
      </c>
      <c r="AC537" t="e">
        <f t="shared" si="127"/>
        <v>#N/A</v>
      </c>
      <c r="AD537" t="e">
        <f t="shared" si="128"/>
        <v>#N/A</v>
      </c>
      <c r="AE537" t="e">
        <f t="shared" si="129"/>
        <v>#N/A</v>
      </c>
      <c r="AF537" t="e">
        <f t="shared" si="130"/>
        <v>#N/A</v>
      </c>
      <c r="AG537">
        <f t="shared" si="131"/>
        <v>0.91700000000000004</v>
      </c>
      <c r="AH537" t="e">
        <f t="shared" si="132"/>
        <v>#N/A</v>
      </c>
      <c r="AI537" t="e">
        <f t="shared" si="133"/>
        <v>#N/A</v>
      </c>
      <c r="AK537" t="e">
        <f t="shared" si="134"/>
        <v>#N/A</v>
      </c>
      <c r="AL537" t="e">
        <f t="shared" si="135"/>
        <v>#N/A</v>
      </c>
      <c r="AM537" t="e">
        <f t="shared" si="136"/>
        <v>#N/A</v>
      </c>
      <c r="AN537" t="e">
        <f t="shared" si="137"/>
        <v>#N/A</v>
      </c>
      <c r="AO537">
        <f t="shared" si="138"/>
        <v>0.14939636263340392</v>
      </c>
      <c r="AP537" t="e">
        <f t="shared" si="139"/>
        <v>#N/A</v>
      </c>
      <c r="AQ537" t="e">
        <f t="shared" si="140"/>
        <v>#N/A</v>
      </c>
    </row>
    <row r="538" spans="15:43">
      <c r="O538">
        <v>534</v>
      </c>
      <c r="P538" s="401">
        <f>'Lab test'!N537</f>
        <v>12.7</v>
      </c>
      <c r="Q538" s="401">
        <f>'Lab test'!M537</f>
        <v>0.3175</v>
      </c>
      <c r="R538" t="e">
        <f>IF('Lab test'!O537&gt;0,'Lab test'!O537,NA())</f>
        <v>#N/A</v>
      </c>
      <c r="S538">
        <f>'Lab test'!Q537</f>
        <v>39.200000000000003</v>
      </c>
      <c r="T538" s="401" t="e">
        <f>IF('Lab test'!P537&gt;0,'Lab test'!P537,NA())</f>
        <v>#N/A</v>
      </c>
      <c r="U538" s="401">
        <f>'Lab test'!AZ537</f>
        <v>1938</v>
      </c>
      <c r="V538">
        <f>IF('Lab test'!AQ537&gt;0,'Lab test'!AQ537,NA())</f>
        <v>0.38134422624060965</v>
      </c>
      <c r="W538">
        <f>IF('Lab test'!AU537&gt;0,'Lab test'!AU537,NA())</f>
        <v>1.2390000000000001</v>
      </c>
      <c r="X538">
        <f>IF('Lab test'!AT537&gt;0,'Lab test'!AT537,NA())</f>
        <v>0.18017961600105406</v>
      </c>
      <c r="Y538">
        <f t="shared" si="126"/>
        <v>1</v>
      </c>
      <c r="Z538" t="str">
        <f>'Lab test'!AC537</f>
        <v>Tubes</v>
      </c>
      <c r="AA538" t="str">
        <f>'Lab test'!T537</f>
        <v>Steel</v>
      </c>
      <c r="AC538" t="e">
        <f t="shared" si="127"/>
        <v>#N/A</v>
      </c>
      <c r="AD538" t="e">
        <f t="shared" si="128"/>
        <v>#N/A</v>
      </c>
      <c r="AE538" t="e">
        <f t="shared" si="129"/>
        <v>#N/A</v>
      </c>
      <c r="AF538" t="e">
        <f t="shared" si="130"/>
        <v>#N/A</v>
      </c>
      <c r="AG538">
        <f t="shared" si="131"/>
        <v>1.2390000000000001</v>
      </c>
      <c r="AH538" t="e">
        <f t="shared" si="132"/>
        <v>#N/A</v>
      </c>
      <c r="AI538" t="e">
        <f t="shared" si="133"/>
        <v>#N/A</v>
      </c>
      <c r="AK538" t="e">
        <f t="shared" si="134"/>
        <v>#N/A</v>
      </c>
      <c r="AL538" t="e">
        <f t="shared" si="135"/>
        <v>#N/A</v>
      </c>
      <c r="AM538" t="e">
        <f t="shared" si="136"/>
        <v>#N/A</v>
      </c>
      <c r="AN538" t="e">
        <f t="shared" si="137"/>
        <v>#N/A</v>
      </c>
      <c r="AO538">
        <f t="shared" si="138"/>
        <v>0.18017961600105406</v>
      </c>
      <c r="AP538" t="e">
        <f t="shared" si="139"/>
        <v>#N/A</v>
      </c>
      <c r="AQ538" t="e">
        <f t="shared" si="140"/>
        <v>#N/A</v>
      </c>
    </row>
    <row r="539" spans="15:43">
      <c r="O539">
        <v>535</v>
      </c>
      <c r="P539" s="401">
        <f>'Lab test'!N538</f>
        <v>12.7</v>
      </c>
      <c r="Q539" s="401">
        <f>'Lab test'!M538</f>
        <v>0.3175</v>
      </c>
      <c r="R539" t="e">
        <f>IF('Lab test'!O538&gt;0,'Lab test'!O538,NA())</f>
        <v>#N/A</v>
      </c>
      <c r="S539">
        <f>'Lab test'!Q538</f>
        <v>39.549999999999997</v>
      </c>
      <c r="T539" s="401" t="e">
        <f>IF('Lab test'!P538&gt;0,'Lab test'!P538,NA())</f>
        <v>#N/A</v>
      </c>
      <c r="U539" s="401">
        <f>'Lab test'!AZ538</f>
        <v>1938</v>
      </c>
      <c r="V539">
        <f>IF('Lab test'!AQ538&gt;0,'Lab test'!AQ538,NA())</f>
        <v>0.38312299356921936</v>
      </c>
      <c r="W539">
        <f>IF('Lab test'!AU538&gt;0,'Lab test'!AU538,NA())</f>
        <v>1.234</v>
      </c>
      <c r="X539">
        <f>IF('Lab test'!AT538&gt;0,'Lab test'!AT538,NA())</f>
        <v>0.18113050360057709</v>
      </c>
      <c r="Y539">
        <f t="shared" si="126"/>
        <v>1</v>
      </c>
      <c r="Z539" t="str">
        <f>'Lab test'!AC538</f>
        <v>Tubes</v>
      </c>
      <c r="AA539" t="str">
        <f>'Lab test'!T538</f>
        <v>Steel</v>
      </c>
      <c r="AC539" t="e">
        <f t="shared" si="127"/>
        <v>#N/A</v>
      </c>
      <c r="AD539" t="e">
        <f t="shared" si="128"/>
        <v>#N/A</v>
      </c>
      <c r="AE539" t="e">
        <f t="shared" si="129"/>
        <v>#N/A</v>
      </c>
      <c r="AF539" t="e">
        <f t="shared" si="130"/>
        <v>#N/A</v>
      </c>
      <c r="AG539">
        <f t="shared" si="131"/>
        <v>1.234</v>
      </c>
      <c r="AH539" t="e">
        <f t="shared" si="132"/>
        <v>#N/A</v>
      </c>
      <c r="AI539" t="e">
        <f t="shared" si="133"/>
        <v>#N/A</v>
      </c>
      <c r="AK539" t="e">
        <f t="shared" si="134"/>
        <v>#N/A</v>
      </c>
      <c r="AL539" t="e">
        <f t="shared" si="135"/>
        <v>#N/A</v>
      </c>
      <c r="AM539" t="e">
        <f t="shared" si="136"/>
        <v>#N/A</v>
      </c>
      <c r="AN539" t="e">
        <f t="shared" si="137"/>
        <v>#N/A</v>
      </c>
      <c r="AO539">
        <f t="shared" si="138"/>
        <v>0.18113050360057709</v>
      </c>
      <c r="AP539" t="e">
        <f t="shared" si="139"/>
        <v>#N/A</v>
      </c>
      <c r="AQ539" t="e">
        <f t="shared" si="140"/>
        <v>#N/A</v>
      </c>
    </row>
    <row r="540" spans="15:43">
      <c r="O540">
        <v>536</v>
      </c>
      <c r="P540" s="401">
        <f>'Lab test'!N539</f>
        <v>25.4</v>
      </c>
      <c r="Q540" s="401">
        <f>'Lab test'!M539</f>
        <v>0.56388000000000005</v>
      </c>
      <c r="R540" t="e">
        <f>IF('Lab test'!O539&gt;0,'Lab test'!O539,NA())</f>
        <v>#N/A</v>
      </c>
      <c r="S540">
        <f>'Lab test'!Q539</f>
        <v>44.9</v>
      </c>
      <c r="T540" s="401" t="e">
        <f>IF('Lab test'!P539&gt;0,'Lab test'!P539,NA())</f>
        <v>#N/A</v>
      </c>
      <c r="U540" s="401">
        <f>'Lab test'!AZ539</f>
        <v>1938</v>
      </c>
      <c r="V540">
        <f>IF('Lab test'!AQ539&gt;0,'Lab test'!AQ539,NA())</f>
        <v>0.43752387395572567</v>
      </c>
      <c r="W540">
        <f>IF('Lab test'!AU539&gt;0,'Lab test'!AU539,NA())</f>
        <v>1.056</v>
      </c>
      <c r="X540">
        <f>IF('Lab test'!AT539&gt;0,'Lab test'!AT539,NA())</f>
        <v>0.20214706013697437</v>
      </c>
      <c r="Y540">
        <f t="shared" si="126"/>
        <v>1</v>
      </c>
      <c r="Z540" t="str">
        <f>'Lab test'!AC539</f>
        <v>Tubes</v>
      </c>
      <c r="AA540" t="str">
        <f>'Lab test'!T539</f>
        <v>Steel</v>
      </c>
      <c r="AC540" t="e">
        <f t="shared" si="127"/>
        <v>#N/A</v>
      </c>
      <c r="AD540" t="e">
        <f t="shared" si="128"/>
        <v>#N/A</v>
      </c>
      <c r="AE540" t="e">
        <f t="shared" si="129"/>
        <v>#N/A</v>
      </c>
      <c r="AF540" t="e">
        <f t="shared" si="130"/>
        <v>#N/A</v>
      </c>
      <c r="AG540">
        <f t="shared" si="131"/>
        <v>1.056</v>
      </c>
      <c r="AH540" t="e">
        <f t="shared" si="132"/>
        <v>#N/A</v>
      </c>
      <c r="AI540" t="e">
        <f t="shared" si="133"/>
        <v>#N/A</v>
      </c>
      <c r="AK540" t="e">
        <f t="shared" si="134"/>
        <v>#N/A</v>
      </c>
      <c r="AL540" t="e">
        <f t="shared" si="135"/>
        <v>#N/A</v>
      </c>
      <c r="AM540" t="e">
        <f t="shared" si="136"/>
        <v>#N/A</v>
      </c>
      <c r="AN540" t="e">
        <f t="shared" si="137"/>
        <v>#N/A</v>
      </c>
      <c r="AO540">
        <f t="shared" si="138"/>
        <v>0.20214706013697437</v>
      </c>
      <c r="AP540" t="e">
        <f t="shared" si="139"/>
        <v>#N/A</v>
      </c>
      <c r="AQ540" t="e">
        <f t="shared" si="140"/>
        <v>#N/A</v>
      </c>
    </row>
    <row r="541" spans="15:43">
      <c r="O541">
        <v>537</v>
      </c>
      <c r="P541" s="401">
        <f>'Lab test'!N540</f>
        <v>25.4</v>
      </c>
      <c r="Q541" s="401">
        <f>'Lab test'!M540</f>
        <v>0.56388000000000005</v>
      </c>
      <c r="R541" t="e">
        <f>IF('Lab test'!O540&gt;0,'Lab test'!O540,NA())</f>
        <v>#N/A</v>
      </c>
      <c r="S541">
        <f>'Lab test'!Q540</f>
        <v>44.9</v>
      </c>
      <c r="T541" s="401" t="e">
        <f>IF('Lab test'!P540&gt;0,'Lab test'!P540,NA())</f>
        <v>#N/A</v>
      </c>
      <c r="U541" s="401">
        <f>'Lab test'!AZ540</f>
        <v>1938</v>
      </c>
      <c r="V541">
        <f>IF('Lab test'!AQ540&gt;0,'Lab test'!AQ540,NA())</f>
        <v>0.43766903544548874</v>
      </c>
      <c r="W541">
        <f>IF('Lab test'!AU540&gt;0,'Lab test'!AU540,NA())</f>
        <v>1.054</v>
      </c>
      <c r="X541">
        <f>IF('Lab test'!AT540&gt;0,'Lab test'!AT540,NA())</f>
        <v>0.20189811055552487</v>
      </c>
      <c r="Y541">
        <f t="shared" si="126"/>
        <v>1</v>
      </c>
      <c r="Z541" t="str">
        <f>'Lab test'!AC540</f>
        <v>Tubes</v>
      </c>
      <c r="AA541" t="str">
        <f>'Lab test'!T540</f>
        <v>Steel</v>
      </c>
      <c r="AC541" t="e">
        <f t="shared" si="127"/>
        <v>#N/A</v>
      </c>
      <c r="AD541" t="e">
        <f t="shared" si="128"/>
        <v>#N/A</v>
      </c>
      <c r="AE541" t="e">
        <f t="shared" si="129"/>
        <v>#N/A</v>
      </c>
      <c r="AF541" t="e">
        <f t="shared" si="130"/>
        <v>#N/A</v>
      </c>
      <c r="AG541">
        <f t="shared" si="131"/>
        <v>1.054</v>
      </c>
      <c r="AH541" t="e">
        <f t="shared" si="132"/>
        <v>#N/A</v>
      </c>
      <c r="AI541" t="e">
        <f t="shared" si="133"/>
        <v>#N/A</v>
      </c>
      <c r="AK541" t="e">
        <f t="shared" si="134"/>
        <v>#N/A</v>
      </c>
      <c r="AL541" t="e">
        <f t="shared" si="135"/>
        <v>#N/A</v>
      </c>
      <c r="AM541" t="e">
        <f t="shared" si="136"/>
        <v>#N/A</v>
      </c>
      <c r="AN541" t="e">
        <f t="shared" si="137"/>
        <v>#N/A</v>
      </c>
      <c r="AO541">
        <f t="shared" si="138"/>
        <v>0.20189811055552487</v>
      </c>
      <c r="AP541" t="e">
        <f t="shared" si="139"/>
        <v>#N/A</v>
      </c>
      <c r="AQ541" t="e">
        <f t="shared" si="140"/>
        <v>#N/A</v>
      </c>
    </row>
    <row r="542" spans="15:43">
      <c r="O542">
        <v>538</v>
      </c>
      <c r="P542" s="401">
        <f>'Lab test'!N541</f>
        <v>19.049999999999997</v>
      </c>
      <c r="Q542" s="401">
        <f>'Lab test'!M541</f>
        <v>0.38099999999999995</v>
      </c>
      <c r="R542" t="e">
        <f>IF('Lab test'!O541&gt;0,'Lab test'!O541,NA())</f>
        <v>#N/A</v>
      </c>
      <c r="S542">
        <f>'Lab test'!Q541</f>
        <v>49.65</v>
      </c>
      <c r="T542" s="401" t="e">
        <f>IF('Lab test'!P541&gt;0,'Lab test'!P541,NA())</f>
        <v>#N/A</v>
      </c>
      <c r="U542" s="401">
        <f>'Lab test'!AZ541</f>
        <v>1938</v>
      </c>
      <c r="V542">
        <f>IF('Lab test'!AQ541&gt;0,'Lab test'!AQ541,NA())</f>
        <v>0.45089153443557384</v>
      </c>
      <c r="W542">
        <f>IF('Lab test'!AU541&gt;0,'Lab test'!AU541,NA())</f>
        <v>1.1319999999999999</v>
      </c>
      <c r="X542">
        <f>IF('Lab test'!AT541&gt;0,'Lab test'!AT541,NA())</f>
        <v>0.23013919503465416</v>
      </c>
      <c r="Y542">
        <f t="shared" si="126"/>
        <v>1</v>
      </c>
      <c r="Z542" t="str">
        <f>'Lab test'!AC541</f>
        <v>Tubes</v>
      </c>
      <c r="AA542" t="str">
        <f>'Lab test'!T541</f>
        <v>Steel</v>
      </c>
      <c r="AC542" t="e">
        <f t="shared" si="127"/>
        <v>#N/A</v>
      </c>
      <c r="AD542" t="e">
        <f t="shared" si="128"/>
        <v>#N/A</v>
      </c>
      <c r="AE542" t="e">
        <f t="shared" si="129"/>
        <v>#N/A</v>
      </c>
      <c r="AF542" t="e">
        <f t="shared" si="130"/>
        <v>#N/A</v>
      </c>
      <c r="AG542">
        <f t="shared" si="131"/>
        <v>1.1319999999999999</v>
      </c>
      <c r="AH542" t="e">
        <f t="shared" si="132"/>
        <v>#N/A</v>
      </c>
      <c r="AI542" t="e">
        <f t="shared" si="133"/>
        <v>#N/A</v>
      </c>
      <c r="AK542" t="e">
        <f t="shared" si="134"/>
        <v>#N/A</v>
      </c>
      <c r="AL542" t="e">
        <f t="shared" si="135"/>
        <v>#N/A</v>
      </c>
      <c r="AM542" t="e">
        <f t="shared" si="136"/>
        <v>#N/A</v>
      </c>
      <c r="AN542" t="e">
        <f t="shared" si="137"/>
        <v>#N/A</v>
      </c>
      <c r="AO542">
        <f t="shared" si="138"/>
        <v>0.23013919503465416</v>
      </c>
      <c r="AP542" t="e">
        <f t="shared" si="139"/>
        <v>#N/A</v>
      </c>
      <c r="AQ542" t="e">
        <f t="shared" si="140"/>
        <v>#N/A</v>
      </c>
    </row>
    <row r="543" spans="15:43">
      <c r="O543">
        <v>539</v>
      </c>
      <c r="P543" s="401">
        <f>'Lab test'!N542</f>
        <v>19.049999999999997</v>
      </c>
      <c r="Q543" s="401">
        <f>'Lab test'!M542</f>
        <v>0.38099999999999995</v>
      </c>
      <c r="R543" t="e">
        <f>IF('Lab test'!O542&gt;0,'Lab test'!O542,NA())</f>
        <v>#N/A</v>
      </c>
      <c r="S543">
        <f>'Lab test'!Q542</f>
        <v>49.7</v>
      </c>
      <c r="T543" s="401" t="e">
        <f>IF('Lab test'!P542&gt;0,'Lab test'!P542,NA())</f>
        <v>#N/A</v>
      </c>
      <c r="U543" s="401">
        <f>'Lab test'!AZ542</f>
        <v>1938</v>
      </c>
      <c r="V543">
        <f>IF('Lab test'!AQ542&gt;0,'Lab test'!AQ542,NA())</f>
        <v>0.45138823940454592</v>
      </c>
      <c r="W543">
        <f>IF('Lab test'!AU542&gt;0,'Lab test'!AU542,NA())</f>
        <v>1.1319999999999999</v>
      </c>
      <c r="X543">
        <f>IF('Lab test'!AT542&gt;0,'Lab test'!AT542,NA())</f>
        <v>0.23064651990553675</v>
      </c>
      <c r="Y543">
        <f t="shared" si="126"/>
        <v>1</v>
      </c>
      <c r="Z543" t="str">
        <f>'Lab test'!AC542</f>
        <v>Tubes</v>
      </c>
      <c r="AA543" t="str">
        <f>'Lab test'!T542</f>
        <v>Steel</v>
      </c>
      <c r="AC543" t="e">
        <f t="shared" si="127"/>
        <v>#N/A</v>
      </c>
      <c r="AD543" t="e">
        <f t="shared" si="128"/>
        <v>#N/A</v>
      </c>
      <c r="AE543" t="e">
        <f t="shared" si="129"/>
        <v>#N/A</v>
      </c>
      <c r="AF543" t="e">
        <f t="shared" si="130"/>
        <v>#N/A</v>
      </c>
      <c r="AG543">
        <f t="shared" si="131"/>
        <v>1.1319999999999999</v>
      </c>
      <c r="AH543" t="e">
        <f t="shared" si="132"/>
        <v>#N/A</v>
      </c>
      <c r="AI543" t="e">
        <f t="shared" si="133"/>
        <v>#N/A</v>
      </c>
      <c r="AK543" t="e">
        <f t="shared" si="134"/>
        <v>#N/A</v>
      </c>
      <c r="AL543" t="e">
        <f t="shared" si="135"/>
        <v>#N/A</v>
      </c>
      <c r="AM543" t="e">
        <f t="shared" si="136"/>
        <v>#N/A</v>
      </c>
      <c r="AN543" t="e">
        <f t="shared" si="137"/>
        <v>#N/A</v>
      </c>
      <c r="AO543">
        <f t="shared" si="138"/>
        <v>0.23064651990553675</v>
      </c>
      <c r="AP543" t="e">
        <f t="shared" si="139"/>
        <v>#N/A</v>
      </c>
      <c r="AQ543" t="e">
        <f t="shared" si="140"/>
        <v>#N/A</v>
      </c>
    </row>
    <row r="544" spans="15:43">
      <c r="O544">
        <v>540</v>
      </c>
      <c r="P544" s="401">
        <f>'Lab test'!N543</f>
        <v>19.049999999999997</v>
      </c>
      <c r="Q544" s="401">
        <f>'Lab test'!M543</f>
        <v>2.7685999999999997</v>
      </c>
      <c r="R544" t="e">
        <f>IF('Lab test'!O543&gt;0,'Lab test'!O543,NA())</f>
        <v>#N/A</v>
      </c>
      <c r="S544">
        <f>'Lab test'!Q543</f>
        <v>6.75</v>
      </c>
      <c r="T544" s="401" t="e">
        <f>IF('Lab test'!P543&gt;0,'Lab test'!P543,NA())</f>
        <v>#N/A</v>
      </c>
      <c r="U544" s="401">
        <f>'Lab test'!AZ543</f>
        <v>1938</v>
      </c>
      <c r="V544">
        <f>IF('Lab test'!AQ543&gt;0,'Lab test'!AQ543,NA())</f>
        <v>0.20832510228242127</v>
      </c>
      <c r="W544">
        <f>IF('Lab test'!AU543&gt;0,'Lab test'!AU543,NA())</f>
        <v>1.756</v>
      </c>
      <c r="X544">
        <f>IF('Lab test'!AT543&gt;0,'Lab test'!AT543,NA())</f>
        <v>7.6209255511163129E-2</v>
      </c>
      <c r="Y544">
        <f t="shared" si="126"/>
        <v>1</v>
      </c>
      <c r="Z544" t="str">
        <f>'Lab test'!AC543</f>
        <v>Tubes</v>
      </c>
      <c r="AA544" t="str">
        <f>'Lab test'!T543</f>
        <v>Aluminium</v>
      </c>
      <c r="AC544" t="e">
        <f t="shared" si="127"/>
        <v>#N/A</v>
      </c>
      <c r="AD544" t="e">
        <f t="shared" si="128"/>
        <v>#N/A</v>
      </c>
      <c r="AE544" t="e">
        <f t="shared" si="129"/>
        <v>#N/A</v>
      </c>
      <c r="AF544" t="e">
        <f t="shared" si="130"/>
        <v>#N/A</v>
      </c>
      <c r="AG544">
        <f t="shared" si="131"/>
        <v>1.756</v>
      </c>
      <c r="AH544" t="e">
        <f t="shared" si="132"/>
        <v>#N/A</v>
      </c>
      <c r="AI544" t="e">
        <f t="shared" si="133"/>
        <v>#N/A</v>
      </c>
      <c r="AK544" t="e">
        <f t="shared" si="134"/>
        <v>#N/A</v>
      </c>
      <c r="AL544" t="e">
        <f t="shared" si="135"/>
        <v>#N/A</v>
      </c>
      <c r="AM544" t="e">
        <f t="shared" si="136"/>
        <v>#N/A</v>
      </c>
      <c r="AN544" t="e">
        <f t="shared" si="137"/>
        <v>#N/A</v>
      </c>
      <c r="AO544">
        <f t="shared" si="138"/>
        <v>7.6209255511163129E-2</v>
      </c>
      <c r="AP544" t="e">
        <f t="shared" si="139"/>
        <v>#N/A</v>
      </c>
      <c r="AQ544" t="e">
        <f t="shared" si="140"/>
        <v>#N/A</v>
      </c>
    </row>
    <row r="545" spans="15:43">
      <c r="O545">
        <v>541</v>
      </c>
      <c r="P545" s="401">
        <f>'Lab test'!N544</f>
        <v>19.049999999999997</v>
      </c>
      <c r="Q545" s="401">
        <f>'Lab test'!M544</f>
        <v>2.7685999999999997</v>
      </c>
      <c r="R545" t="e">
        <f>IF('Lab test'!O544&gt;0,'Lab test'!O544,NA())</f>
        <v>#N/A</v>
      </c>
      <c r="S545">
        <f>'Lab test'!Q544</f>
        <v>6.75</v>
      </c>
      <c r="T545" s="401" t="e">
        <f>IF('Lab test'!P544&gt;0,'Lab test'!P544,NA())</f>
        <v>#N/A</v>
      </c>
      <c r="U545" s="401">
        <f>'Lab test'!AZ544</f>
        <v>1938</v>
      </c>
      <c r="V545">
        <f>IF('Lab test'!AQ544&gt;0,'Lab test'!AQ544,NA())</f>
        <v>0.20714343166888258</v>
      </c>
      <c r="W545">
        <f>IF('Lab test'!AU544&gt;0,'Lab test'!AU544,NA())</f>
        <v>1.6830000000000001</v>
      </c>
      <c r="X545">
        <f>IF('Lab test'!AT544&gt;0,'Lab test'!AT544,NA())</f>
        <v>7.2214839360233207E-2</v>
      </c>
      <c r="Y545">
        <f t="shared" si="126"/>
        <v>1</v>
      </c>
      <c r="Z545" t="str">
        <f>'Lab test'!AC544</f>
        <v>Tubes</v>
      </c>
      <c r="AA545" t="str">
        <f>'Lab test'!T544</f>
        <v>Aluminium</v>
      </c>
      <c r="AC545" t="e">
        <f t="shared" si="127"/>
        <v>#N/A</v>
      </c>
      <c r="AD545" t="e">
        <f t="shared" si="128"/>
        <v>#N/A</v>
      </c>
      <c r="AE545" t="e">
        <f t="shared" si="129"/>
        <v>#N/A</v>
      </c>
      <c r="AF545" t="e">
        <f t="shared" si="130"/>
        <v>#N/A</v>
      </c>
      <c r="AG545">
        <f t="shared" si="131"/>
        <v>1.6830000000000001</v>
      </c>
      <c r="AH545" t="e">
        <f t="shared" si="132"/>
        <v>#N/A</v>
      </c>
      <c r="AI545" t="e">
        <f t="shared" si="133"/>
        <v>#N/A</v>
      </c>
      <c r="AK545" t="e">
        <f t="shared" si="134"/>
        <v>#N/A</v>
      </c>
      <c r="AL545" t="e">
        <f t="shared" si="135"/>
        <v>#N/A</v>
      </c>
      <c r="AM545" t="e">
        <f t="shared" si="136"/>
        <v>#N/A</v>
      </c>
      <c r="AN545" t="e">
        <f t="shared" si="137"/>
        <v>#N/A</v>
      </c>
      <c r="AO545">
        <f t="shared" si="138"/>
        <v>7.2214839360233207E-2</v>
      </c>
      <c r="AP545" t="e">
        <f t="shared" si="139"/>
        <v>#N/A</v>
      </c>
      <c r="AQ545" t="e">
        <f t="shared" si="140"/>
        <v>#N/A</v>
      </c>
    </row>
    <row r="546" spans="15:43">
      <c r="O546">
        <v>542</v>
      </c>
      <c r="P546" s="401">
        <f>'Lab test'!N545</f>
        <v>12.7</v>
      </c>
      <c r="Q546" s="401">
        <f>'Lab test'!M545</f>
        <v>1.651</v>
      </c>
      <c r="R546" t="e">
        <f>IF('Lab test'!O545&gt;0,'Lab test'!O545,NA())</f>
        <v>#N/A</v>
      </c>
      <c r="S546">
        <f>'Lab test'!Q545</f>
        <v>7.85</v>
      </c>
      <c r="T546" s="401" t="e">
        <f>IF('Lab test'!P545&gt;0,'Lab test'!P545,NA())</f>
        <v>#N/A</v>
      </c>
      <c r="U546" s="401">
        <f>'Lab test'!AZ545</f>
        <v>1938</v>
      </c>
      <c r="V546">
        <f>IF('Lab test'!AQ545&gt;0,'Lab test'!AQ545,NA())</f>
        <v>0.23132968880070068</v>
      </c>
      <c r="W546">
        <f>IF('Lab test'!AU545&gt;0,'Lab test'!AU545,NA())</f>
        <v>1.494</v>
      </c>
      <c r="X546">
        <f>IF('Lab test'!AT545&gt;0,'Lab test'!AT545,NA())</f>
        <v>7.9949056831419743E-2</v>
      </c>
      <c r="Y546">
        <f t="shared" si="126"/>
        <v>1</v>
      </c>
      <c r="Z546" t="str">
        <f>'Lab test'!AC545</f>
        <v>Tubes</v>
      </c>
      <c r="AA546" t="str">
        <f>'Lab test'!T545</f>
        <v>Aluminium</v>
      </c>
      <c r="AC546" t="e">
        <f t="shared" si="127"/>
        <v>#N/A</v>
      </c>
      <c r="AD546" t="e">
        <f t="shared" si="128"/>
        <v>#N/A</v>
      </c>
      <c r="AE546" t="e">
        <f t="shared" si="129"/>
        <v>#N/A</v>
      </c>
      <c r="AF546" t="e">
        <f t="shared" si="130"/>
        <v>#N/A</v>
      </c>
      <c r="AG546">
        <f t="shared" si="131"/>
        <v>1.494</v>
      </c>
      <c r="AH546" t="e">
        <f t="shared" si="132"/>
        <v>#N/A</v>
      </c>
      <c r="AI546" t="e">
        <f t="shared" si="133"/>
        <v>#N/A</v>
      </c>
      <c r="AK546" t="e">
        <f t="shared" si="134"/>
        <v>#N/A</v>
      </c>
      <c r="AL546" t="e">
        <f t="shared" si="135"/>
        <v>#N/A</v>
      </c>
      <c r="AM546" t="e">
        <f t="shared" si="136"/>
        <v>#N/A</v>
      </c>
      <c r="AN546" t="e">
        <f t="shared" si="137"/>
        <v>#N/A</v>
      </c>
      <c r="AO546">
        <f t="shared" si="138"/>
        <v>7.9949056831419743E-2</v>
      </c>
      <c r="AP546" t="e">
        <f t="shared" si="139"/>
        <v>#N/A</v>
      </c>
      <c r="AQ546" t="e">
        <f t="shared" si="140"/>
        <v>#N/A</v>
      </c>
    </row>
    <row r="547" spans="15:43">
      <c r="O547">
        <v>543</v>
      </c>
      <c r="P547" s="401">
        <f>'Lab test'!N546</f>
        <v>12.7</v>
      </c>
      <c r="Q547" s="401">
        <f>'Lab test'!M546</f>
        <v>1.2445999999999999</v>
      </c>
      <c r="R547" t="e">
        <f>IF('Lab test'!O546&gt;0,'Lab test'!O546,NA())</f>
        <v>#N/A</v>
      </c>
      <c r="S547">
        <f>'Lab test'!Q546</f>
        <v>10.050000000000001</v>
      </c>
      <c r="T547" s="401" t="e">
        <f>IF('Lab test'!P546&gt;0,'Lab test'!P546,NA())</f>
        <v>#N/A</v>
      </c>
      <c r="U547" s="401">
        <f>'Lab test'!AZ546</f>
        <v>1938</v>
      </c>
      <c r="V547">
        <f>IF('Lab test'!AQ546&gt;0,'Lab test'!AQ546,NA())</f>
        <v>0.25965655543785615</v>
      </c>
      <c r="W547">
        <f>IF('Lab test'!AU546&gt;0,'Lab test'!AU546,NA())</f>
        <v>1.4159999999999999</v>
      </c>
      <c r="X547">
        <f>IF('Lab test'!AT546&gt;0,'Lab test'!AT546,NA())</f>
        <v>9.5468881923103058E-2</v>
      </c>
      <c r="Y547">
        <f t="shared" si="126"/>
        <v>1</v>
      </c>
      <c r="Z547" t="str">
        <f>'Lab test'!AC546</f>
        <v>Tubes</v>
      </c>
      <c r="AA547" t="str">
        <f>'Lab test'!T546</f>
        <v>Aluminium</v>
      </c>
      <c r="AC547" t="e">
        <f t="shared" si="127"/>
        <v>#N/A</v>
      </c>
      <c r="AD547" t="e">
        <f t="shared" si="128"/>
        <v>#N/A</v>
      </c>
      <c r="AE547" t="e">
        <f t="shared" si="129"/>
        <v>#N/A</v>
      </c>
      <c r="AF547" t="e">
        <f t="shared" si="130"/>
        <v>#N/A</v>
      </c>
      <c r="AG547">
        <f t="shared" si="131"/>
        <v>1.4159999999999999</v>
      </c>
      <c r="AH547" t="e">
        <f t="shared" si="132"/>
        <v>#N/A</v>
      </c>
      <c r="AI547" t="e">
        <f t="shared" si="133"/>
        <v>#N/A</v>
      </c>
      <c r="AK547" t="e">
        <f t="shared" si="134"/>
        <v>#N/A</v>
      </c>
      <c r="AL547" t="e">
        <f t="shared" si="135"/>
        <v>#N/A</v>
      </c>
      <c r="AM547" t="e">
        <f t="shared" si="136"/>
        <v>#N/A</v>
      </c>
      <c r="AN547" t="e">
        <f t="shared" si="137"/>
        <v>#N/A</v>
      </c>
      <c r="AO547">
        <f t="shared" si="138"/>
        <v>9.5468881923103058E-2</v>
      </c>
      <c r="AP547" t="e">
        <f t="shared" si="139"/>
        <v>#N/A</v>
      </c>
      <c r="AQ547" t="e">
        <f t="shared" si="140"/>
        <v>#N/A</v>
      </c>
    </row>
    <row r="548" spans="15:43">
      <c r="O548">
        <v>544</v>
      </c>
      <c r="P548" s="401">
        <f>'Lab test'!N547</f>
        <v>12.7</v>
      </c>
      <c r="Q548" s="401">
        <f>'Lab test'!M547</f>
        <v>1.2445999999999999</v>
      </c>
      <c r="R548" t="e">
        <f>IF('Lab test'!O547&gt;0,'Lab test'!O547,NA())</f>
        <v>#N/A</v>
      </c>
      <c r="S548">
        <f>'Lab test'!Q547</f>
        <v>10.1</v>
      </c>
      <c r="T548" s="401" t="e">
        <f>IF('Lab test'!P547&gt;0,'Lab test'!P547,NA())</f>
        <v>#N/A</v>
      </c>
      <c r="U548" s="401">
        <f>'Lab test'!AZ547</f>
        <v>1938</v>
      </c>
      <c r="V548">
        <f>IF('Lab test'!AQ547&gt;0,'Lab test'!AQ547,NA())</f>
        <v>0.26029836722590582</v>
      </c>
      <c r="W548">
        <f>IF('Lab test'!AU547&gt;0,'Lab test'!AU547,NA())</f>
        <v>1.423</v>
      </c>
      <c r="X548">
        <f>IF('Lab test'!AT547&gt;0,'Lab test'!AT547,NA())</f>
        <v>9.6415706492212386E-2</v>
      </c>
      <c r="Y548">
        <f t="shared" si="126"/>
        <v>1</v>
      </c>
      <c r="Z548" t="str">
        <f>'Lab test'!AC547</f>
        <v>Tubes</v>
      </c>
      <c r="AA548" t="str">
        <f>'Lab test'!T547</f>
        <v>Aluminium</v>
      </c>
      <c r="AC548" t="e">
        <f t="shared" si="127"/>
        <v>#N/A</v>
      </c>
      <c r="AD548" t="e">
        <f t="shared" si="128"/>
        <v>#N/A</v>
      </c>
      <c r="AE548" t="e">
        <f t="shared" si="129"/>
        <v>#N/A</v>
      </c>
      <c r="AF548" t="e">
        <f t="shared" si="130"/>
        <v>#N/A</v>
      </c>
      <c r="AG548">
        <f t="shared" si="131"/>
        <v>1.423</v>
      </c>
      <c r="AH548" t="e">
        <f t="shared" si="132"/>
        <v>#N/A</v>
      </c>
      <c r="AI548" t="e">
        <f t="shared" si="133"/>
        <v>#N/A</v>
      </c>
      <c r="AK548" t="e">
        <f t="shared" si="134"/>
        <v>#N/A</v>
      </c>
      <c r="AL548" t="e">
        <f t="shared" si="135"/>
        <v>#N/A</v>
      </c>
      <c r="AM548" t="e">
        <f t="shared" si="136"/>
        <v>#N/A</v>
      </c>
      <c r="AN548" t="e">
        <f t="shared" si="137"/>
        <v>#N/A</v>
      </c>
      <c r="AO548">
        <f t="shared" si="138"/>
        <v>9.6415706492212386E-2</v>
      </c>
      <c r="AP548" t="e">
        <f t="shared" si="139"/>
        <v>#N/A</v>
      </c>
      <c r="AQ548" t="e">
        <f t="shared" si="140"/>
        <v>#N/A</v>
      </c>
    </row>
    <row r="549" spans="15:43">
      <c r="O549">
        <v>545</v>
      </c>
      <c r="P549" s="401">
        <f>'Lab test'!N548</f>
        <v>19.049999999999997</v>
      </c>
      <c r="Q549" s="401">
        <f>'Lab test'!M548</f>
        <v>1.4732000000000001</v>
      </c>
      <c r="R549" t="e">
        <f>IF('Lab test'!O548&gt;0,'Lab test'!O548,NA())</f>
        <v>#N/A</v>
      </c>
      <c r="S549">
        <f>'Lab test'!Q548</f>
        <v>12.8</v>
      </c>
      <c r="T549" s="401" t="e">
        <f>IF('Lab test'!P548&gt;0,'Lab test'!P548,NA())</f>
        <v>#N/A</v>
      </c>
      <c r="U549" s="401">
        <f>'Lab test'!AZ548</f>
        <v>1938</v>
      </c>
      <c r="V549">
        <f>IF('Lab test'!AQ548&gt;0,'Lab test'!AQ548,NA())</f>
        <v>0.28801808700427434</v>
      </c>
      <c r="W549">
        <f>IF('Lab test'!AU548&gt;0,'Lab test'!AU548,NA())</f>
        <v>1.3240000000000001</v>
      </c>
      <c r="X549">
        <f>IF('Lab test'!AT548&gt;0,'Lab test'!AT548,NA())</f>
        <v>0.10983165001668073</v>
      </c>
      <c r="Y549">
        <f t="shared" si="126"/>
        <v>1</v>
      </c>
      <c r="Z549" t="str">
        <f>'Lab test'!AC548</f>
        <v>Tubes</v>
      </c>
      <c r="AA549" t="str">
        <f>'Lab test'!T548</f>
        <v>Aluminium</v>
      </c>
      <c r="AC549" t="e">
        <f t="shared" si="127"/>
        <v>#N/A</v>
      </c>
      <c r="AD549" t="e">
        <f t="shared" si="128"/>
        <v>#N/A</v>
      </c>
      <c r="AE549" t="e">
        <f t="shared" si="129"/>
        <v>#N/A</v>
      </c>
      <c r="AF549" t="e">
        <f t="shared" si="130"/>
        <v>#N/A</v>
      </c>
      <c r="AG549">
        <f t="shared" si="131"/>
        <v>1.3240000000000001</v>
      </c>
      <c r="AH549" t="e">
        <f t="shared" si="132"/>
        <v>#N/A</v>
      </c>
      <c r="AI549" t="e">
        <f t="shared" si="133"/>
        <v>#N/A</v>
      </c>
      <c r="AK549" t="e">
        <f t="shared" si="134"/>
        <v>#N/A</v>
      </c>
      <c r="AL549" t="e">
        <f t="shared" si="135"/>
        <v>#N/A</v>
      </c>
      <c r="AM549" t="e">
        <f t="shared" si="136"/>
        <v>#N/A</v>
      </c>
      <c r="AN549" t="e">
        <f t="shared" si="137"/>
        <v>#N/A</v>
      </c>
      <c r="AO549">
        <f t="shared" si="138"/>
        <v>0.10983165001668073</v>
      </c>
      <c r="AP549" t="e">
        <f t="shared" si="139"/>
        <v>#N/A</v>
      </c>
      <c r="AQ549" t="e">
        <f t="shared" si="140"/>
        <v>#N/A</v>
      </c>
    </row>
    <row r="550" spans="15:43">
      <c r="O550">
        <v>546</v>
      </c>
      <c r="P550" s="401">
        <f>'Lab test'!N549</f>
        <v>19.049999999999997</v>
      </c>
      <c r="Q550" s="401">
        <f>'Lab test'!M549</f>
        <v>1.4732000000000001</v>
      </c>
      <c r="R550" t="e">
        <f>IF('Lab test'!O549&gt;0,'Lab test'!O549,NA())</f>
        <v>#N/A</v>
      </c>
      <c r="S550">
        <f>'Lab test'!Q549</f>
        <v>12.9</v>
      </c>
      <c r="T550" s="401" t="e">
        <f>IF('Lab test'!P549&gt;0,'Lab test'!P549,NA())</f>
        <v>#N/A</v>
      </c>
      <c r="U550" s="401">
        <f>'Lab test'!AZ549</f>
        <v>1938</v>
      </c>
      <c r="V550">
        <f>IF('Lab test'!AQ549&gt;0,'Lab test'!AQ549,NA())</f>
        <v>0.27812101617518964</v>
      </c>
      <c r="W550">
        <f>IF('Lab test'!AU549&gt;0,'Lab test'!AU549,NA())</f>
        <v>1.431</v>
      </c>
      <c r="X550">
        <f>IF('Lab test'!AT549&gt;0,'Lab test'!AT549,NA())</f>
        <v>0.11068970978243604</v>
      </c>
      <c r="Y550">
        <f t="shared" si="126"/>
        <v>1</v>
      </c>
      <c r="Z550" t="str">
        <f>'Lab test'!AC549</f>
        <v>Tubes</v>
      </c>
      <c r="AA550" t="str">
        <f>'Lab test'!T549</f>
        <v>Aluminium</v>
      </c>
      <c r="AC550" t="e">
        <f t="shared" si="127"/>
        <v>#N/A</v>
      </c>
      <c r="AD550" t="e">
        <f t="shared" si="128"/>
        <v>#N/A</v>
      </c>
      <c r="AE550" t="e">
        <f t="shared" si="129"/>
        <v>#N/A</v>
      </c>
      <c r="AF550" t="e">
        <f t="shared" si="130"/>
        <v>#N/A</v>
      </c>
      <c r="AG550">
        <f t="shared" si="131"/>
        <v>1.431</v>
      </c>
      <c r="AH550" t="e">
        <f t="shared" si="132"/>
        <v>#N/A</v>
      </c>
      <c r="AI550" t="e">
        <f t="shared" si="133"/>
        <v>#N/A</v>
      </c>
      <c r="AK550" t="e">
        <f t="shared" si="134"/>
        <v>#N/A</v>
      </c>
      <c r="AL550" t="e">
        <f t="shared" si="135"/>
        <v>#N/A</v>
      </c>
      <c r="AM550" t="e">
        <f t="shared" si="136"/>
        <v>#N/A</v>
      </c>
      <c r="AN550" t="e">
        <f t="shared" si="137"/>
        <v>#N/A</v>
      </c>
      <c r="AO550">
        <f t="shared" si="138"/>
        <v>0.11068970978243604</v>
      </c>
      <c r="AP550" t="e">
        <f t="shared" si="139"/>
        <v>#N/A</v>
      </c>
      <c r="AQ550" t="e">
        <f t="shared" si="140"/>
        <v>#N/A</v>
      </c>
    </row>
    <row r="551" spans="15:43">
      <c r="O551">
        <v>547</v>
      </c>
      <c r="P551" s="401">
        <f>'Lab test'!N550</f>
        <v>19.049999999999997</v>
      </c>
      <c r="Q551" s="401">
        <f>'Lab test'!M550</f>
        <v>1.4732000000000001</v>
      </c>
      <c r="R551" t="e">
        <f>IF('Lab test'!O550&gt;0,'Lab test'!O550,NA())</f>
        <v>#N/A</v>
      </c>
      <c r="S551">
        <f>'Lab test'!Q550</f>
        <v>12.95</v>
      </c>
      <c r="T551" s="401" t="e">
        <f>IF('Lab test'!P550&gt;0,'Lab test'!P550,NA())</f>
        <v>#N/A</v>
      </c>
      <c r="U551" s="401">
        <f>'Lab test'!AZ550</f>
        <v>1938</v>
      </c>
      <c r="V551">
        <f>IF('Lab test'!AQ550&gt;0,'Lab test'!AQ550,NA())</f>
        <v>0.28948922286141932</v>
      </c>
      <c r="W551">
        <f>IF('Lab test'!AU550&gt;0,'Lab test'!AU550,NA())</f>
        <v>1.35</v>
      </c>
      <c r="X551">
        <f>IF('Lab test'!AT550&gt;0,'Lab test'!AT550,NA())</f>
        <v>0.11313541370642648</v>
      </c>
      <c r="Y551">
        <f t="shared" si="126"/>
        <v>1</v>
      </c>
      <c r="Z551" t="str">
        <f>'Lab test'!AC550</f>
        <v>Tubes</v>
      </c>
      <c r="AA551" t="str">
        <f>'Lab test'!T550</f>
        <v>Aluminium</v>
      </c>
      <c r="AC551" t="e">
        <f t="shared" si="127"/>
        <v>#N/A</v>
      </c>
      <c r="AD551" t="e">
        <f t="shared" si="128"/>
        <v>#N/A</v>
      </c>
      <c r="AE551" t="e">
        <f t="shared" si="129"/>
        <v>#N/A</v>
      </c>
      <c r="AF551" t="e">
        <f t="shared" si="130"/>
        <v>#N/A</v>
      </c>
      <c r="AG551">
        <f t="shared" si="131"/>
        <v>1.35</v>
      </c>
      <c r="AH551" t="e">
        <f t="shared" si="132"/>
        <v>#N/A</v>
      </c>
      <c r="AI551" t="e">
        <f t="shared" si="133"/>
        <v>#N/A</v>
      </c>
      <c r="AK551" t="e">
        <f t="shared" si="134"/>
        <v>#N/A</v>
      </c>
      <c r="AL551" t="e">
        <f t="shared" si="135"/>
        <v>#N/A</v>
      </c>
      <c r="AM551" t="e">
        <f t="shared" si="136"/>
        <v>#N/A</v>
      </c>
      <c r="AN551" t="e">
        <f t="shared" si="137"/>
        <v>#N/A</v>
      </c>
      <c r="AO551">
        <f t="shared" si="138"/>
        <v>0.11313541370642648</v>
      </c>
      <c r="AP551" t="e">
        <f t="shared" si="139"/>
        <v>#N/A</v>
      </c>
      <c r="AQ551" t="e">
        <f t="shared" si="140"/>
        <v>#N/A</v>
      </c>
    </row>
    <row r="552" spans="15:43">
      <c r="O552">
        <v>548</v>
      </c>
      <c r="P552" s="401">
        <f>'Lab test'!N551</f>
        <v>19.049999999999997</v>
      </c>
      <c r="Q552" s="401">
        <f>'Lab test'!M551</f>
        <v>1.4732000000000001</v>
      </c>
      <c r="R552" t="e">
        <f>IF('Lab test'!O551&gt;0,'Lab test'!O551,NA())</f>
        <v>#N/A</v>
      </c>
      <c r="S552">
        <f>'Lab test'!Q551</f>
        <v>12.95</v>
      </c>
      <c r="T552" s="401" t="e">
        <f>IF('Lab test'!P551&gt;0,'Lab test'!P551,NA())</f>
        <v>#N/A</v>
      </c>
      <c r="U552" s="401">
        <f>'Lab test'!AZ551</f>
        <v>1938</v>
      </c>
      <c r="V552">
        <f>IF('Lab test'!AQ551&gt;0,'Lab test'!AQ551,NA())</f>
        <v>0.27864177175816857</v>
      </c>
      <c r="W552">
        <f>IF('Lab test'!AU551&gt;0,'Lab test'!AU551,NA())</f>
        <v>1.413</v>
      </c>
      <c r="X552">
        <f>IF('Lab test'!AT551&gt;0,'Lab test'!AT551,NA())</f>
        <v>0.10970706783653476</v>
      </c>
      <c r="Y552">
        <f t="shared" si="126"/>
        <v>1</v>
      </c>
      <c r="Z552" t="str">
        <f>'Lab test'!AC551</f>
        <v>Tubes</v>
      </c>
      <c r="AA552" t="str">
        <f>'Lab test'!T551</f>
        <v>Aluminium</v>
      </c>
      <c r="AC552" t="e">
        <f t="shared" si="127"/>
        <v>#N/A</v>
      </c>
      <c r="AD552" t="e">
        <f t="shared" si="128"/>
        <v>#N/A</v>
      </c>
      <c r="AE552" t="e">
        <f t="shared" si="129"/>
        <v>#N/A</v>
      </c>
      <c r="AF552" t="e">
        <f t="shared" si="130"/>
        <v>#N/A</v>
      </c>
      <c r="AG552">
        <f t="shared" si="131"/>
        <v>1.413</v>
      </c>
      <c r="AH552" t="e">
        <f t="shared" si="132"/>
        <v>#N/A</v>
      </c>
      <c r="AI552" t="e">
        <f t="shared" si="133"/>
        <v>#N/A</v>
      </c>
      <c r="AK552" t="e">
        <f t="shared" si="134"/>
        <v>#N/A</v>
      </c>
      <c r="AL552" t="e">
        <f t="shared" si="135"/>
        <v>#N/A</v>
      </c>
      <c r="AM552" t="e">
        <f t="shared" si="136"/>
        <v>#N/A</v>
      </c>
      <c r="AN552" t="e">
        <f t="shared" si="137"/>
        <v>#N/A</v>
      </c>
      <c r="AO552">
        <f t="shared" si="138"/>
        <v>0.10970706783653476</v>
      </c>
      <c r="AP552" t="e">
        <f t="shared" si="139"/>
        <v>#N/A</v>
      </c>
      <c r="AQ552" t="e">
        <f t="shared" si="140"/>
        <v>#N/A</v>
      </c>
    </row>
    <row r="553" spans="15:43">
      <c r="O553">
        <v>549</v>
      </c>
      <c r="P553" s="401">
        <f>'Lab test'!N552</f>
        <v>12.7</v>
      </c>
      <c r="Q553" s="401">
        <f>'Lab test'!M552</f>
        <v>0.71119999999999994</v>
      </c>
      <c r="R553" t="e">
        <f>IF('Lab test'!O552&gt;0,'Lab test'!O552,NA())</f>
        <v>#N/A</v>
      </c>
      <c r="S553">
        <f>'Lab test'!Q552</f>
        <v>17.649999999999999</v>
      </c>
      <c r="T553" s="401" t="e">
        <f>IF('Lab test'!P552&gt;0,'Lab test'!P552,NA())</f>
        <v>#N/A</v>
      </c>
      <c r="U553" s="401">
        <f>'Lab test'!AZ552</f>
        <v>1938</v>
      </c>
      <c r="V553">
        <f>IF('Lab test'!AQ552&gt;0,'Lab test'!AQ552,NA())</f>
        <v>0.32329722449730114</v>
      </c>
      <c r="W553">
        <f>IF('Lab test'!AU552&gt;0,'Lab test'!AU552,NA())</f>
        <v>1.3280000000000001</v>
      </c>
      <c r="X553">
        <f>IF('Lab test'!AT552&gt;0,'Lab test'!AT552,NA())</f>
        <v>0.13880401464825026</v>
      </c>
      <c r="Y553">
        <f t="shared" si="126"/>
        <v>1</v>
      </c>
      <c r="Z553" t="str">
        <f>'Lab test'!AC552</f>
        <v>Tubes</v>
      </c>
      <c r="AA553" t="str">
        <f>'Lab test'!T552</f>
        <v>Aluminium</v>
      </c>
      <c r="AC553" t="e">
        <f t="shared" si="127"/>
        <v>#N/A</v>
      </c>
      <c r="AD553" t="e">
        <f t="shared" si="128"/>
        <v>#N/A</v>
      </c>
      <c r="AE553" t="e">
        <f t="shared" si="129"/>
        <v>#N/A</v>
      </c>
      <c r="AF553" t="e">
        <f t="shared" si="130"/>
        <v>#N/A</v>
      </c>
      <c r="AG553">
        <f t="shared" si="131"/>
        <v>1.3280000000000001</v>
      </c>
      <c r="AH553" t="e">
        <f t="shared" si="132"/>
        <v>#N/A</v>
      </c>
      <c r="AI553" t="e">
        <f t="shared" si="133"/>
        <v>#N/A</v>
      </c>
      <c r="AK553" t="e">
        <f t="shared" si="134"/>
        <v>#N/A</v>
      </c>
      <c r="AL553" t="e">
        <f t="shared" si="135"/>
        <v>#N/A</v>
      </c>
      <c r="AM553" t="e">
        <f t="shared" si="136"/>
        <v>#N/A</v>
      </c>
      <c r="AN553" t="e">
        <f t="shared" si="137"/>
        <v>#N/A</v>
      </c>
      <c r="AO553">
        <f t="shared" si="138"/>
        <v>0.13880401464825026</v>
      </c>
      <c r="AP553" t="e">
        <f t="shared" si="139"/>
        <v>#N/A</v>
      </c>
      <c r="AQ553" t="e">
        <f t="shared" si="140"/>
        <v>#N/A</v>
      </c>
    </row>
    <row r="554" spans="15:43">
      <c r="O554">
        <v>550</v>
      </c>
      <c r="P554" s="401">
        <f>'Lab test'!N553</f>
        <v>12.7</v>
      </c>
      <c r="Q554" s="401">
        <f>'Lab test'!M553</f>
        <v>0.71119999999999994</v>
      </c>
      <c r="R554" t="e">
        <f>IF('Lab test'!O553&gt;0,'Lab test'!O553,NA())</f>
        <v>#N/A</v>
      </c>
      <c r="S554">
        <f>'Lab test'!Q553</f>
        <v>17.649999999999999</v>
      </c>
      <c r="T554" s="401" t="e">
        <f>IF('Lab test'!P553&gt;0,'Lab test'!P553,NA())</f>
        <v>#N/A</v>
      </c>
      <c r="U554" s="401">
        <f>'Lab test'!AZ553</f>
        <v>1938</v>
      </c>
      <c r="V554">
        <f>IF('Lab test'!AQ553&gt;0,'Lab test'!AQ553,NA())</f>
        <v>0.32329722449730114</v>
      </c>
      <c r="W554">
        <f>IF('Lab test'!AU553&gt;0,'Lab test'!AU553,NA())</f>
        <v>1.3280000000000001</v>
      </c>
      <c r="X554">
        <f>IF('Lab test'!AT553&gt;0,'Lab test'!AT553,NA())</f>
        <v>0.13880401464825026</v>
      </c>
      <c r="Y554">
        <f t="shared" si="126"/>
        <v>1</v>
      </c>
      <c r="Z554" t="str">
        <f>'Lab test'!AC553</f>
        <v>Tubes</v>
      </c>
      <c r="AA554" t="str">
        <f>'Lab test'!T553</f>
        <v>Aluminium</v>
      </c>
      <c r="AC554" t="e">
        <f t="shared" si="127"/>
        <v>#N/A</v>
      </c>
      <c r="AD554" t="e">
        <f t="shared" si="128"/>
        <v>#N/A</v>
      </c>
      <c r="AE554" t="e">
        <f t="shared" si="129"/>
        <v>#N/A</v>
      </c>
      <c r="AF554" t="e">
        <f t="shared" si="130"/>
        <v>#N/A</v>
      </c>
      <c r="AG554">
        <f t="shared" si="131"/>
        <v>1.3280000000000001</v>
      </c>
      <c r="AH554" t="e">
        <f t="shared" si="132"/>
        <v>#N/A</v>
      </c>
      <c r="AI554" t="e">
        <f t="shared" si="133"/>
        <v>#N/A</v>
      </c>
      <c r="AK554" t="e">
        <f t="shared" si="134"/>
        <v>#N/A</v>
      </c>
      <c r="AL554" t="e">
        <f t="shared" si="135"/>
        <v>#N/A</v>
      </c>
      <c r="AM554" t="e">
        <f t="shared" si="136"/>
        <v>#N/A</v>
      </c>
      <c r="AN554" t="e">
        <f t="shared" si="137"/>
        <v>#N/A</v>
      </c>
      <c r="AO554">
        <f t="shared" si="138"/>
        <v>0.13880401464825026</v>
      </c>
      <c r="AP554" t="e">
        <f t="shared" si="139"/>
        <v>#N/A</v>
      </c>
      <c r="AQ554" t="e">
        <f t="shared" si="140"/>
        <v>#N/A</v>
      </c>
    </row>
    <row r="555" spans="15:43">
      <c r="O555">
        <v>551</v>
      </c>
      <c r="P555" s="401">
        <f>'Lab test'!N554</f>
        <v>19.049999999999997</v>
      </c>
      <c r="Q555" s="401">
        <f>'Lab test'!M554</f>
        <v>0.81279999999999997</v>
      </c>
      <c r="R555" t="e">
        <f>IF('Lab test'!O554&gt;0,'Lab test'!O554,NA())</f>
        <v>#N/A</v>
      </c>
      <c r="S555">
        <f>'Lab test'!Q554</f>
        <v>22.95</v>
      </c>
      <c r="T555" s="401" t="e">
        <f>IF('Lab test'!P554&gt;0,'Lab test'!P554,NA())</f>
        <v>#N/A</v>
      </c>
      <c r="U555" s="401">
        <f>'Lab test'!AZ554</f>
        <v>1938</v>
      </c>
      <c r="V555">
        <f>IF('Lab test'!AQ554&gt;0,'Lab test'!AQ554,NA())</f>
        <v>0.37636024351929254</v>
      </c>
      <c r="W555">
        <f>IF('Lab test'!AU554&gt;0,'Lab test'!AU554,NA())</f>
        <v>1.254</v>
      </c>
      <c r="X555">
        <f>IF('Lab test'!AT554&gt;0,'Lab test'!AT554,NA())</f>
        <v>0.17762537925898408</v>
      </c>
      <c r="Y555">
        <f t="shared" si="126"/>
        <v>1</v>
      </c>
      <c r="Z555" t="str">
        <f>'Lab test'!AC554</f>
        <v>Tubes</v>
      </c>
      <c r="AA555" t="str">
        <f>'Lab test'!T554</f>
        <v>Aluminium</v>
      </c>
      <c r="AC555" t="e">
        <f t="shared" si="127"/>
        <v>#N/A</v>
      </c>
      <c r="AD555" t="e">
        <f t="shared" si="128"/>
        <v>#N/A</v>
      </c>
      <c r="AE555" t="e">
        <f t="shared" si="129"/>
        <v>#N/A</v>
      </c>
      <c r="AF555" t="e">
        <f t="shared" si="130"/>
        <v>#N/A</v>
      </c>
      <c r="AG555">
        <f t="shared" si="131"/>
        <v>1.254</v>
      </c>
      <c r="AH555" t="e">
        <f t="shared" si="132"/>
        <v>#N/A</v>
      </c>
      <c r="AI555" t="e">
        <f t="shared" si="133"/>
        <v>#N/A</v>
      </c>
      <c r="AK555" t="e">
        <f t="shared" si="134"/>
        <v>#N/A</v>
      </c>
      <c r="AL555" t="e">
        <f t="shared" si="135"/>
        <v>#N/A</v>
      </c>
      <c r="AM555" t="e">
        <f t="shared" si="136"/>
        <v>#N/A</v>
      </c>
      <c r="AN555" t="e">
        <f t="shared" si="137"/>
        <v>#N/A</v>
      </c>
      <c r="AO555">
        <f t="shared" si="138"/>
        <v>0.17762537925898408</v>
      </c>
      <c r="AP555" t="e">
        <f t="shared" si="139"/>
        <v>#N/A</v>
      </c>
      <c r="AQ555" t="e">
        <f t="shared" si="140"/>
        <v>#N/A</v>
      </c>
    </row>
    <row r="556" spans="15:43">
      <c r="O556">
        <v>552</v>
      </c>
      <c r="P556" s="401">
        <f>'Lab test'!N555</f>
        <v>19.049999999999997</v>
      </c>
      <c r="Q556" s="401">
        <f>'Lab test'!M555</f>
        <v>0.81279999999999997</v>
      </c>
      <c r="R556" t="e">
        <f>IF('Lab test'!O555&gt;0,'Lab test'!O555,NA())</f>
        <v>#N/A</v>
      </c>
      <c r="S556">
        <f>'Lab test'!Q555</f>
        <v>22.95</v>
      </c>
      <c r="T556" s="401" t="e">
        <f>IF('Lab test'!P555&gt;0,'Lab test'!P555,NA())</f>
        <v>#N/A</v>
      </c>
      <c r="U556" s="401">
        <f>'Lab test'!AZ555</f>
        <v>1938</v>
      </c>
      <c r="V556">
        <f>IF('Lab test'!AQ555&gt;0,'Lab test'!AQ555,NA())</f>
        <v>0.37916969104399589</v>
      </c>
      <c r="W556">
        <f>IF('Lab test'!AU555&gt;0,'Lab test'!AU555,NA())</f>
        <v>1.2330000000000001</v>
      </c>
      <c r="X556">
        <f>IF('Lab test'!AT555&gt;0,'Lab test'!AT555,NA())</f>
        <v>0.17726798412969036</v>
      </c>
      <c r="Y556">
        <f t="shared" si="126"/>
        <v>1</v>
      </c>
      <c r="Z556" t="str">
        <f>'Lab test'!AC555</f>
        <v>Tubes</v>
      </c>
      <c r="AA556" t="str">
        <f>'Lab test'!T555</f>
        <v>Aluminium</v>
      </c>
      <c r="AC556" t="e">
        <f t="shared" si="127"/>
        <v>#N/A</v>
      </c>
      <c r="AD556" t="e">
        <f t="shared" si="128"/>
        <v>#N/A</v>
      </c>
      <c r="AE556" t="e">
        <f t="shared" si="129"/>
        <v>#N/A</v>
      </c>
      <c r="AF556" t="e">
        <f t="shared" si="130"/>
        <v>#N/A</v>
      </c>
      <c r="AG556">
        <f t="shared" si="131"/>
        <v>1.2330000000000001</v>
      </c>
      <c r="AH556" t="e">
        <f t="shared" si="132"/>
        <v>#N/A</v>
      </c>
      <c r="AI556" t="e">
        <f t="shared" si="133"/>
        <v>#N/A</v>
      </c>
      <c r="AK556" t="e">
        <f t="shared" si="134"/>
        <v>#N/A</v>
      </c>
      <c r="AL556" t="e">
        <f t="shared" si="135"/>
        <v>#N/A</v>
      </c>
      <c r="AM556" t="e">
        <f t="shared" si="136"/>
        <v>#N/A</v>
      </c>
      <c r="AN556" t="e">
        <f t="shared" si="137"/>
        <v>#N/A</v>
      </c>
      <c r="AO556">
        <f t="shared" si="138"/>
        <v>0.17726798412969036</v>
      </c>
      <c r="AP556" t="e">
        <f t="shared" si="139"/>
        <v>#N/A</v>
      </c>
      <c r="AQ556" t="e">
        <f t="shared" si="140"/>
        <v>#N/A</v>
      </c>
    </row>
    <row r="557" spans="15:43">
      <c r="O557">
        <v>553</v>
      </c>
      <c r="P557" s="401">
        <f>'Lab test'!N556</f>
        <v>25.4</v>
      </c>
      <c r="Q557" s="401">
        <f>'Lab test'!M556</f>
        <v>1.0668</v>
      </c>
      <c r="R557" t="e">
        <f>IF('Lab test'!O556&gt;0,'Lab test'!O556,NA())</f>
        <v>#N/A</v>
      </c>
      <c r="S557">
        <f>'Lab test'!Q556</f>
        <v>23.65</v>
      </c>
      <c r="T557" s="401" t="e">
        <f>IF('Lab test'!P556&gt;0,'Lab test'!P556,NA())</f>
        <v>#N/A</v>
      </c>
      <c r="U557" s="401">
        <f>'Lab test'!AZ556</f>
        <v>1938</v>
      </c>
      <c r="V557">
        <f>IF('Lab test'!AQ556&gt;0,'Lab test'!AQ556,NA())</f>
        <v>0.39088439044414336</v>
      </c>
      <c r="W557">
        <f>IF('Lab test'!AU556&gt;0,'Lab test'!AU556,NA())</f>
        <v>1.198</v>
      </c>
      <c r="X557">
        <f>IF('Lab test'!AT556&gt;0,'Lab test'!AT556,NA())</f>
        <v>0.18304314681808162</v>
      </c>
      <c r="Y557">
        <f t="shared" si="126"/>
        <v>1</v>
      </c>
      <c r="Z557" t="str">
        <f>'Lab test'!AC556</f>
        <v>Tubes</v>
      </c>
      <c r="AA557" t="str">
        <f>'Lab test'!T556</f>
        <v>Aluminium</v>
      </c>
      <c r="AC557" t="e">
        <f t="shared" si="127"/>
        <v>#N/A</v>
      </c>
      <c r="AD557" t="e">
        <f t="shared" si="128"/>
        <v>#N/A</v>
      </c>
      <c r="AE557" t="e">
        <f t="shared" si="129"/>
        <v>#N/A</v>
      </c>
      <c r="AF557" t="e">
        <f t="shared" si="130"/>
        <v>#N/A</v>
      </c>
      <c r="AG557">
        <f t="shared" si="131"/>
        <v>1.198</v>
      </c>
      <c r="AH557" t="e">
        <f t="shared" si="132"/>
        <v>#N/A</v>
      </c>
      <c r="AI557" t="e">
        <f t="shared" si="133"/>
        <v>#N/A</v>
      </c>
      <c r="AK557" t="e">
        <f t="shared" si="134"/>
        <v>#N/A</v>
      </c>
      <c r="AL557" t="e">
        <f t="shared" si="135"/>
        <v>#N/A</v>
      </c>
      <c r="AM557" t="e">
        <f t="shared" si="136"/>
        <v>#N/A</v>
      </c>
      <c r="AN557" t="e">
        <f t="shared" si="137"/>
        <v>#N/A</v>
      </c>
      <c r="AO557">
        <f t="shared" si="138"/>
        <v>0.18304314681808162</v>
      </c>
      <c r="AP557" t="e">
        <f t="shared" si="139"/>
        <v>#N/A</v>
      </c>
      <c r="AQ557" t="e">
        <f t="shared" si="140"/>
        <v>#N/A</v>
      </c>
    </row>
    <row r="558" spans="15:43">
      <c r="O558">
        <v>554</v>
      </c>
      <c r="P558" s="401">
        <f>'Lab test'!N557</f>
        <v>25.4</v>
      </c>
      <c r="Q558" s="401">
        <f>'Lab test'!M557</f>
        <v>1.0668</v>
      </c>
      <c r="R558" t="e">
        <f>IF('Lab test'!O557&gt;0,'Lab test'!O557,NA())</f>
        <v>#N/A</v>
      </c>
      <c r="S558">
        <f>'Lab test'!Q557</f>
        <v>23.7</v>
      </c>
      <c r="T558" s="401" t="e">
        <f>IF('Lab test'!P557&gt;0,'Lab test'!P557,NA())</f>
        <v>#N/A</v>
      </c>
      <c r="U558" s="401">
        <f>'Lab test'!AZ557</f>
        <v>1938</v>
      </c>
      <c r="V558">
        <f>IF('Lab test'!AQ557&gt;0,'Lab test'!AQ557,NA())</f>
        <v>0.38997372249711054</v>
      </c>
      <c r="W558">
        <f>IF('Lab test'!AU557&gt;0,'Lab test'!AU557,NA())</f>
        <v>1.2110000000000001</v>
      </c>
      <c r="X558">
        <f>IF('Lab test'!AT557&gt;0,'Lab test'!AT557,NA())</f>
        <v>0.18416827963252486</v>
      </c>
      <c r="Y558">
        <f t="shared" si="126"/>
        <v>1</v>
      </c>
      <c r="Z558" t="str">
        <f>'Lab test'!AC557</f>
        <v>Tubes</v>
      </c>
      <c r="AA558" t="str">
        <f>'Lab test'!T557</f>
        <v>Aluminium</v>
      </c>
      <c r="AC558" t="e">
        <f t="shared" si="127"/>
        <v>#N/A</v>
      </c>
      <c r="AD558" t="e">
        <f t="shared" si="128"/>
        <v>#N/A</v>
      </c>
      <c r="AE558" t="e">
        <f t="shared" si="129"/>
        <v>#N/A</v>
      </c>
      <c r="AF558" t="e">
        <f t="shared" si="130"/>
        <v>#N/A</v>
      </c>
      <c r="AG558">
        <f t="shared" si="131"/>
        <v>1.2110000000000001</v>
      </c>
      <c r="AH558" t="e">
        <f t="shared" si="132"/>
        <v>#N/A</v>
      </c>
      <c r="AI558" t="e">
        <f t="shared" si="133"/>
        <v>#N/A</v>
      </c>
      <c r="AK558" t="e">
        <f t="shared" si="134"/>
        <v>#N/A</v>
      </c>
      <c r="AL558" t="e">
        <f t="shared" si="135"/>
        <v>#N/A</v>
      </c>
      <c r="AM558" t="e">
        <f t="shared" si="136"/>
        <v>#N/A</v>
      </c>
      <c r="AN558" t="e">
        <f t="shared" si="137"/>
        <v>#N/A</v>
      </c>
      <c r="AO558">
        <f t="shared" si="138"/>
        <v>0.18416827963252486</v>
      </c>
      <c r="AP558" t="e">
        <f t="shared" si="139"/>
        <v>#N/A</v>
      </c>
      <c r="AQ558" t="e">
        <f t="shared" si="140"/>
        <v>#N/A</v>
      </c>
    </row>
    <row r="559" spans="15:43">
      <c r="O559">
        <v>555</v>
      </c>
      <c r="P559" s="401">
        <f>'Lab test'!N558</f>
        <v>25.4</v>
      </c>
      <c r="Q559" s="401">
        <f>'Lab test'!M558</f>
        <v>0.88900000000000001</v>
      </c>
      <c r="R559" t="e">
        <f>IF('Lab test'!O558&gt;0,'Lab test'!O558,NA())</f>
        <v>#N/A</v>
      </c>
      <c r="S559">
        <f>'Lab test'!Q558</f>
        <v>27.9</v>
      </c>
      <c r="T559" s="401" t="e">
        <f>IF('Lab test'!P558&gt;0,'Lab test'!P558,NA())</f>
        <v>#N/A</v>
      </c>
      <c r="U559" s="401">
        <f>'Lab test'!AZ558</f>
        <v>1938</v>
      </c>
      <c r="V559">
        <f>IF('Lab test'!AQ558&gt;0,'Lab test'!AQ558,NA())</f>
        <v>0.42425047498696711</v>
      </c>
      <c r="W559">
        <f>IF('Lab test'!AU558&gt;0,'Lab test'!AU558,NA())</f>
        <v>1.1779999999999999</v>
      </c>
      <c r="X559">
        <f>IF('Lab test'!AT558&gt;0,'Lab test'!AT558,NA())</f>
        <v>0.21202641239041395</v>
      </c>
      <c r="Y559">
        <f t="shared" si="126"/>
        <v>1</v>
      </c>
      <c r="Z559" t="str">
        <f>'Lab test'!AC558</f>
        <v>Tubes</v>
      </c>
      <c r="AA559" t="str">
        <f>'Lab test'!T558</f>
        <v>Aluminium</v>
      </c>
      <c r="AC559" t="e">
        <f t="shared" si="127"/>
        <v>#N/A</v>
      </c>
      <c r="AD559" t="e">
        <f t="shared" si="128"/>
        <v>#N/A</v>
      </c>
      <c r="AE559" t="e">
        <f t="shared" si="129"/>
        <v>#N/A</v>
      </c>
      <c r="AF559" t="e">
        <f t="shared" si="130"/>
        <v>#N/A</v>
      </c>
      <c r="AG559">
        <f t="shared" si="131"/>
        <v>1.1779999999999999</v>
      </c>
      <c r="AH559" t="e">
        <f t="shared" si="132"/>
        <v>#N/A</v>
      </c>
      <c r="AI559" t="e">
        <f t="shared" si="133"/>
        <v>#N/A</v>
      </c>
      <c r="AK559" t="e">
        <f t="shared" si="134"/>
        <v>#N/A</v>
      </c>
      <c r="AL559" t="e">
        <f t="shared" si="135"/>
        <v>#N/A</v>
      </c>
      <c r="AM559" t="e">
        <f t="shared" si="136"/>
        <v>#N/A</v>
      </c>
      <c r="AN559" t="e">
        <f t="shared" si="137"/>
        <v>#N/A</v>
      </c>
      <c r="AO559">
        <f t="shared" si="138"/>
        <v>0.21202641239041395</v>
      </c>
      <c r="AP559" t="e">
        <f t="shared" si="139"/>
        <v>#N/A</v>
      </c>
      <c r="AQ559" t="e">
        <f t="shared" si="140"/>
        <v>#N/A</v>
      </c>
    </row>
    <row r="560" spans="15:43">
      <c r="O560">
        <v>556</v>
      </c>
      <c r="P560" s="401">
        <f>'Lab test'!N559</f>
        <v>25.4</v>
      </c>
      <c r="Q560" s="401">
        <f>'Lab test'!M559</f>
        <v>0.88900000000000001</v>
      </c>
      <c r="R560" t="e">
        <f>IF('Lab test'!O559&gt;0,'Lab test'!O559,NA())</f>
        <v>#N/A</v>
      </c>
      <c r="S560">
        <f>'Lab test'!Q559</f>
        <v>27.95</v>
      </c>
      <c r="T560" s="401" t="e">
        <f>IF('Lab test'!P559&gt;0,'Lab test'!P559,NA())</f>
        <v>#N/A</v>
      </c>
      <c r="U560" s="401">
        <f>'Lab test'!AZ559</f>
        <v>1938</v>
      </c>
      <c r="V560">
        <f>IF('Lab test'!AQ559&gt;0,'Lab test'!AQ559,NA())</f>
        <v>0.42342609902808787</v>
      </c>
      <c r="W560">
        <f>IF('Lab test'!AU559&gt;0,'Lab test'!AU559,NA())</f>
        <v>1.175</v>
      </c>
      <c r="X560">
        <f>IF('Lab test'!AT559&gt;0,'Lab test'!AT559,NA())</f>
        <v>0.21066535207231932</v>
      </c>
      <c r="Y560">
        <f t="shared" si="126"/>
        <v>1</v>
      </c>
      <c r="Z560" t="str">
        <f>'Lab test'!AC559</f>
        <v>Tubes</v>
      </c>
      <c r="AA560" t="str">
        <f>'Lab test'!T559</f>
        <v>Aluminium</v>
      </c>
      <c r="AC560" t="e">
        <f t="shared" si="127"/>
        <v>#N/A</v>
      </c>
      <c r="AD560" t="e">
        <f t="shared" si="128"/>
        <v>#N/A</v>
      </c>
      <c r="AE560" t="e">
        <f t="shared" si="129"/>
        <v>#N/A</v>
      </c>
      <c r="AF560" t="e">
        <f t="shared" si="130"/>
        <v>#N/A</v>
      </c>
      <c r="AG560">
        <f t="shared" si="131"/>
        <v>1.175</v>
      </c>
      <c r="AH560" t="e">
        <f t="shared" si="132"/>
        <v>#N/A</v>
      </c>
      <c r="AI560" t="e">
        <f t="shared" si="133"/>
        <v>#N/A</v>
      </c>
      <c r="AK560" t="e">
        <f t="shared" si="134"/>
        <v>#N/A</v>
      </c>
      <c r="AL560" t="e">
        <f t="shared" si="135"/>
        <v>#N/A</v>
      </c>
      <c r="AM560" t="e">
        <f t="shared" si="136"/>
        <v>#N/A</v>
      </c>
      <c r="AN560" t="e">
        <f t="shared" si="137"/>
        <v>#N/A</v>
      </c>
      <c r="AO560">
        <f t="shared" si="138"/>
        <v>0.21066535207231932</v>
      </c>
      <c r="AP560" t="e">
        <f t="shared" si="139"/>
        <v>#N/A</v>
      </c>
      <c r="AQ560" t="e">
        <f t="shared" si="140"/>
        <v>#N/A</v>
      </c>
    </row>
    <row r="561" spans="15:43">
      <c r="O561">
        <v>557</v>
      </c>
      <c r="P561" s="401">
        <f>'Lab test'!N560</f>
        <v>19.049999999999997</v>
      </c>
      <c r="Q561" s="401">
        <f>'Lab test'!M560</f>
        <v>0.63500000000000001</v>
      </c>
      <c r="R561" t="e">
        <f>IF('Lab test'!O560&gt;0,'Lab test'!O560,NA())</f>
        <v>#N/A</v>
      </c>
      <c r="S561">
        <f>'Lab test'!Q560</f>
        <v>30.7</v>
      </c>
      <c r="T561" s="401" t="e">
        <f>IF('Lab test'!P560&gt;0,'Lab test'!P560,NA())</f>
        <v>#N/A</v>
      </c>
      <c r="U561" s="401">
        <f>'Lab test'!AZ560</f>
        <v>1938</v>
      </c>
      <c r="V561">
        <f>IF('Lab test'!AQ560&gt;0,'Lab test'!AQ560,NA())</f>
        <v>0.43079623415356721</v>
      </c>
      <c r="W561">
        <f>IF('Lab test'!AU560&gt;0,'Lab test'!AU560,NA())</f>
        <v>1.1850000000000001</v>
      </c>
      <c r="X561">
        <f>IF('Lab test'!AT560&gt;0,'Lab test'!AT560,NA())</f>
        <v>0.21991869350266069</v>
      </c>
      <c r="Y561">
        <f t="shared" si="126"/>
        <v>1</v>
      </c>
      <c r="Z561" t="str">
        <f>'Lab test'!AC560</f>
        <v>Tubes</v>
      </c>
      <c r="AA561" t="str">
        <f>'Lab test'!T560</f>
        <v>Aluminium</v>
      </c>
      <c r="AC561" t="e">
        <f t="shared" si="127"/>
        <v>#N/A</v>
      </c>
      <c r="AD561" t="e">
        <f t="shared" si="128"/>
        <v>#N/A</v>
      </c>
      <c r="AE561" t="e">
        <f t="shared" si="129"/>
        <v>#N/A</v>
      </c>
      <c r="AF561" t="e">
        <f t="shared" si="130"/>
        <v>#N/A</v>
      </c>
      <c r="AG561">
        <f t="shared" si="131"/>
        <v>1.1850000000000001</v>
      </c>
      <c r="AH561" t="e">
        <f t="shared" si="132"/>
        <v>#N/A</v>
      </c>
      <c r="AI561" t="e">
        <f t="shared" si="133"/>
        <v>#N/A</v>
      </c>
      <c r="AK561" t="e">
        <f t="shared" si="134"/>
        <v>#N/A</v>
      </c>
      <c r="AL561" t="e">
        <f t="shared" si="135"/>
        <v>#N/A</v>
      </c>
      <c r="AM561" t="e">
        <f t="shared" si="136"/>
        <v>#N/A</v>
      </c>
      <c r="AN561" t="e">
        <f t="shared" si="137"/>
        <v>#N/A</v>
      </c>
      <c r="AO561">
        <f t="shared" si="138"/>
        <v>0.21991869350266069</v>
      </c>
      <c r="AP561" t="e">
        <f t="shared" si="139"/>
        <v>#N/A</v>
      </c>
      <c r="AQ561" t="e">
        <f t="shared" si="140"/>
        <v>#N/A</v>
      </c>
    </row>
    <row r="562" spans="15:43">
      <c r="O562">
        <v>558</v>
      </c>
      <c r="P562" s="401">
        <f>'Lab test'!N561</f>
        <v>19.049999999999997</v>
      </c>
      <c r="Q562" s="401">
        <f>'Lab test'!M561</f>
        <v>0.63500000000000001</v>
      </c>
      <c r="R562" t="e">
        <f>IF('Lab test'!O561&gt;0,'Lab test'!O561,NA())</f>
        <v>#N/A</v>
      </c>
      <c r="S562">
        <f>'Lab test'!Q561</f>
        <v>30.75</v>
      </c>
      <c r="T562" s="401" t="e">
        <f>IF('Lab test'!P561&gt;0,'Lab test'!P561,NA())</f>
        <v>#N/A</v>
      </c>
      <c r="U562" s="401">
        <f>'Lab test'!AZ561</f>
        <v>1938</v>
      </c>
      <c r="V562">
        <f>IF('Lab test'!AQ561&gt;0,'Lab test'!AQ561,NA())</f>
        <v>0.43027148458141312</v>
      </c>
      <c r="W562">
        <f>IF('Lab test'!AU561&gt;0,'Lab test'!AU561,NA())</f>
        <v>1.1950000000000001</v>
      </c>
      <c r="X562">
        <f>IF('Lab test'!AT561&gt;0,'Lab test'!AT561,NA())</f>
        <v>0.2212345927804524</v>
      </c>
      <c r="Y562">
        <f t="shared" si="126"/>
        <v>1</v>
      </c>
      <c r="Z562" t="str">
        <f>'Lab test'!AC561</f>
        <v>Tubes</v>
      </c>
      <c r="AA562" t="str">
        <f>'Lab test'!T561</f>
        <v>Aluminium</v>
      </c>
      <c r="AC562" t="e">
        <f t="shared" si="127"/>
        <v>#N/A</v>
      </c>
      <c r="AD562" t="e">
        <f t="shared" si="128"/>
        <v>#N/A</v>
      </c>
      <c r="AE562" t="e">
        <f t="shared" si="129"/>
        <v>#N/A</v>
      </c>
      <c r="AF562" t="e">
        <f t="shared" si="130"/>
        <v>#N/A</v>
      </c>
      <c r="AG562">
        <f t="shared" si="131"/>
        <v>1.1950000000000001</v>
      </c>
      <c r="AH562" t="e">
        <f t="shared" si="132"/>
        <v>#N/A</v>
      </c>
      <c r="AI562" t="e">
        <f t="shared" si="133"/>
        <v>#N/A</v>
      </c>
      <c r="AK562" t="e">
        <f t="shared" si="134"/>
        <v>#N/A</v>
      </c>
      <c r="AL562" t="e">
        <f t="shared" si="135"/>
        <v>#N/A</v>
      </c>
      <c r="AM562" t="e">
        <f t="shared" si="136"/>
        <v>#N/A</v>
      </c>
      <c r="AN562" t="e">
        <f t="shared" si="137"/>
        <v>#N/A</v>
      </c>
      <c r="AO562">
        <f t="shared" si="138"/>
        <v>0.2212345927804524</v>
      </c>
      <c r="AP562" t="e">
        <f t="shared" si="139"/>
        <v>#N/A</v>
      </c>
      <c r="AQ562" t="e">
        <f t="shared" si="140"/>
        <v>#N/A</v>
      </c>
    </row>
    <row r="563" spans="15:43">
      <c r="O563">
        <v>559</v>
      </c>
      <c r="P563" s="401">
        <f>'Lab test'!N562</f>
        <v>19.049999999999997</v>
      </c>
      <c r="Q563" s="401">
        <f>'Lab test'!M562</f>
        <v>0.63500000000000001</v>
      </c>
      <c r="R563" t="e">
        <f>IF('Lab test'!O562&gt;0,'Lab test'!O562,NA())</f>
        <v>#N/A</v>
      </c>
      <c r="S563">
        <f>'Lab test'!Q562</f>
        <v>30.75</v>
      </c>
      <c r="T563" s="401" t="e">
        <f>IF('Lab test'!P562&gt;0,'Lab test'!P562,NA())</f>
        <v>#N/A</v>
      </c>
      <c r="U563" s="401">
        <f>'Lab test'!AZ562</f>
        <v>1938</v>
      </c>
      <c r="V563">
        <f>IF('Lab test'!AQ562&gt;0,'Lab test'!AQ562,NA())</f>
        <v>0.43114690269690109</v>
      </c>
      <c r="W563">
        <f>IF('Lab test'!AU562&gt;0,'Lab test'!AU562,NA())</f>
        <v>1.1850000000000001</v>
      </c>
      <c r="X563">
        <f>IF('Lab test'!AT562&gt;0,'Lab test'!AT562,NA())</f>
        <v>0.22027686727058032</v>
      </c>
      <c r="Y563">
        <f t="shared" si="126"/>
        <v>1</v>
      </c>
      <c r="Z563" t="str">
        <f>'Lab test'!AC562</f>
        <v>Tubes</v>
      </c>
      <c r="AA563" t="str">
        <f>'Lab test'!T562</f>
        <v>Aluminium</v>
      </c>
      <c r="AC563" t="e">
        <f t="shared" si="127"/>
        <v>#N/A</v>
      </c>
      <c r="AD563" t="e">
        <f t="shared" si="128"/>
        <v>#N/A</v>
      </c>
      <c r="AE563" t="e">
        <f t="shared" si="129"/>
        <v>#N/A</v>
      </c>
      <c r="AF563" t="e">
        <f t="shared" si="130"/>
        <v>#N/A</v>
      </c>
      <c r="AG563">
        <f t="shared" si="131"/>
        <v>1.1850000000000001</v>
      </c>
      <c r="AH563" t="e">
        <f t="shared" si="132"/>
        <v>#N/A</v>
      </c>
      <c r="AI563" t="e">
        <f t="shared" si="133"/>
        <v>#N/A</v>
      </c>
      <c r="AK563" t="e">
        <f t="shared" si="134"/>
        <v>#N/A</v>
      </c>
      <c r="AL563" t="e">
        <f t="shared" si="135"/>
        <v>#N/A</v>
      </c>
      <c r="AM563" t="e">
        <f t="shared" si="136"/>
        <v>#N/A</v>
      </c>
      <c r="AN563" t="e">
        <f t="shared" si="137"/>
        <v>#N/A</v>
      </c>
      <c r="AO563">
        <f t="shared" si="138"/>
        <v>0.22027686727058032</v>
      </c>
      <c r="AP563" t="e">
        <f t="shared" si="139"/>
        <v>#N/A</v>
      </c>
      <c r="AQ563" t="e">
        <f t="shared" si="140"/>
        <v>#N/A</v>
      </c>
    </row>
    <row r="564" spans="15:43">
      <c r="O564">
        <v>560</v>
      </c>
      <c r="P564" s="401">
        <f>'Lab test'!N563</f>
        <v>25.4</v>
      </c>
      <c r="Q564" s="401">
        <f>'Lab test'!M563</f>
        <v>0.81279999999999997</v>
      </c>
      <c r="R564" t="e">
        <f>IF('Lab test'!O563&gt;0,'Lab test'!O563,NA())</f>
        <v>#N/A</v>
      </c>
      <c r="S564">
        <f>'Lab test'!Q563</f>
        <v>31.1</v>
      </c>
      <c r="T564" s="401" t="e">
        <f>IF('Lab test'!P563&gt;0,'Lab test'!P563,NA())</f>
        <v>#N/A</v>
      </c>
      <c r="U564" s="401">
        <f>'Lab test'!AZ563</f>
        <v>1938</v>
      </c>
      <c r="V564">
        <f>IF('Lab test'!AQ563&gt;0,'Lab test'!AQ563,NA())</f>
        <v>0.43741115462777957</v>
      </c>
      <c r="W564">
        <f>IF('Lab test'!AU563&gt;0,'Lab test'!AU563,NA())</f>
        <v>1.1719999999999999</v>
      </c>
      <c r="X564">
        <f>IF('Lab test'!AT563&gt;0,'Lab test'!AT563,NA())</f>
        <v>0.22423702332197012</v>
      </c>
      <c r="Y564">
        <f t="shared" si="126"/>
        <v>1</v>
      </c>
      <c r="Z564" t="str">
        <f>'Lab test'!AC563</f>
        <v>Tubes</v>
      </c>
      <c r="AA564" t="str">
        <f>'Lab test'!T563</f>
        <v>Aluminium</v>
      </c>
      <c r="AC564" t="e">
        <f t="shared" si="127"/>
        <v>#N/A</v>
      </c>
      <c r="AD564" t="e">
        <f t="shared" si="128"/>
        <v>#N/A</v>
      </c>
      <c r="AE564" t="e">
        <f t="shared" si="129"/>
        <v>#N/A</v>
      </c>
      <c r="AF564" t="e">
        <f t="shared" si="130"/>
        <v>#N/A</v>
      </c>
      <c r="AG564">
        <f t="shared" si="131"/>
        <v>1.1719999999999999</v>
      </c>
      <c r="AH564" t="e">
        <f t="shared" si="132"/>
        <v>#N/A</v>
      </c>
      <c r="AI564" t="e">
        <f t="shared" si="133"/>
        <v>#N/A</v>
      </c>
      <c r="AK564" t="e">
        <f t="shared" si="134"/>
        <v>#N/A</v>
      </c>
      <c r="AL564" t="e">
        <f t="shared" si="135"/>
        <v>#N/A</v>
      </c>
      <c r="AM564" t="e">
        <f t="shared" si="136"/>
        <v>#N/A</v>
      </c>
      <c r="AN564" t="e">
        <f t="shared" si="137"/>
        <v>#N/A</v>
      </c>
      <c r="AO564">
        <f t="shared" si="138"/>
        <v>0.22423702332197012</v>
      </c>
      <c r="AP564" t="e">
        <f t="shared" si="139"/>
        <v>#N/A</v>
      </c>
      <c r="AQ564" t="e">
        <f t="shared" si="140"/>
        <v>#N/A</v>
      </c>
    </row>
    <row r="565" spans="15:43">
      <c r="O565">
        <v>561</v>
      </c>
      <c r="P565" s="401">
        <f>'Lab test'!N564</f>
        <v>25.4</v>
      </c>
      <c r="Q565" s="401">
        <f>'Lab test'!M564</f>
        <v>0.81279999999999997</v>
      </c>
      <c r="R565" t="e">
        <f>IF('Lab test'!O564&gt;0,'Lab test'!O564,NA())</f>
        <v>#N/A</v>
      </c>
      <c r="S565">
        <f>'Lab test'!Q564</f>
        <v>31.85</v>
      </c>
      <c r="T565" s="401" t="e">
        <f>IF('Lab test'!P564&gt;0,'Lab test'!P564,NA())</f>
        <v>#N/A</v>
      </c>
      <c r="U565" s="401">
        <f>'Lab test'!AZ564</f>
        <v>1938</v>
      </c>
      <c r="V565">
        <f>IF('Lab test'!AQ564&gt;0,'Lab test'!AQ564,NA())</f>
        <v>0.45313135590429676</v>
      </c>
      <c r="W565">
        <f>IF('Lab test'!AU564&gt;0,'Lab test'!AU564,NA())</f>
        <v>1.145</v>
      </c>
      <c r="X565">
        <f>IF('Lab test'!AT564&gt;0,'Lab test'!AT564,NA())</f>
        <v>0.23510058943069806</v>
      </c>
      <c r="Y565">
        <f t="shared" si="126"/>
        <v>1</v>
      </c>
      <c r="Z565" t="str">
        <f>'Lab test'!AC564</f>
        <v>Tubes</v>
      </c>
      <c r="AA565" t="str">
        <f>'Lab test'!T564</f>
        <v>Aluminium</v>
      </c>
      <c r="AC565" t="e">
        <f t="shared" si="127"/>
        <v>#N/A</v>
      </c>
      <c r="AD565" t="e">
        <f t="shared" si="128"/>
        <v>#N/A</v>
      </c>
      <c r="AE565" t="e">
        <f t="shared" si="129"/>
        <v>#N/A</v>
      </c>
      <c r="AF565" t="e">
        <f t="shared" si="130"/>
        <v>#N/A</v>
      </c>
      <c r="AG565">
        <f t="shared" si="131"/>
        <v>1.145</v>
      </c>
      <c r="AH565" t="e">
        <f t="shared" si="132"/>
        <v>#N/A</v>
      </c>
      <c r="AI565" t="e">
        <f t="shared" si="133"/>
        <v>#N/A</v>
      </c>
      <c r="AK565" t="e">
        <f t="shared" si="134"/>
        <v>#N/A</v>
      </c>
      <c r="AL565" t="e">
        <f t="shared" si="135"/>
        <v>#N/A</v>
      </c>
      <c r="AM565" t="e">
        <f t="shared" si="136"/>
        <v>#N/A</v>
      </c>
      <c r="AN565" t="e">
        <f t="shared" si="137"/>
        <v>#N/A</v>
      </c>
      <c r="AO565">
        <f t="shared" si="138"/>
        <v>0.23510058943069806</v>
      </c>
      <c r="AP565" t="e">
        <f t="shared" si="139"/>
        <v>#N/A</v>
      </c>
      <c r="AQ565" t="e">
        <f t="shared" si="140"/>
        <v>#N/A</v>
      </c>
    </row>
    <row r="566" spans="15:43">
      <c r="O566">
        <v>562</v>
      </c>
      <c r="P566" s="401">
        <f>'Lab test'!N565</f>
        <v>25.4</v>
      </c>
      <c r="Q566" s="401">
        <f>'Lab test'!M565</f>
        <v>0.81279999999999997</v>
      </c>
      <c r="R566" t="e">
        <f>IF('Lab test'!O565&gt;0,'Lab test'!O565,NA())</f>
        <v>#N/A</v>
      </c>
      <c r="S566">
        <f>'Lab test'!Q565</f>
        <v>31.85</v>
      </c>
      <c r="T566" s="401" t="e">
        <f>IF('Lab test'!P565&gt;0,'Lab test'!P565,NA())</f>
        <v>#N/A</v>
      </c>
      <c r="U566" s="401">
        <f>'Lab test'!AZ565</f>
        <v>1938</v>
      </c>
      <c r="V566">
        <f>IF('Lab test'!AQ565&gt;0,'Lab test'!AQ565,NA())</f>
        <v>0.45200557864972907</v>
      </c>
      <c r="W566">
        <f>IF('Lab test'!AU565&gt;0,'Lab test'!AU565,NA())</f>
        <v>1.141</v>
      </c>
      <c r="X566">
        <f>IF('Lab test'!AT565&gt;0,'Lab test'!AT565,NA())</f>
        <v>0.2331166182118736</v>
      </c>
      <c r="Y566">
        <f t="shared" si="126"/>
        <v>1</v>
      </c>
      <c r="Z566" t="str">
        <f>'Lab test'!AC565</f>
        <v>Tubes</v>
      </c>
      <c r="AA566" t="str">
        <f>'Lab test'!T565</f>
        <v>Aluminium</v>
      </c>
      <c r="AC566" t="e">
        <f t="shared" si="127"/>
        <v>#N/A</v>
      </c>
      <c r="AD566" t="e">
        <f t="shared" si="128"/>
        <v>#N/A</v>
      </c>
      <c r="AE566" t="e">
        <f t="shared" si="129"/>
        <v>#N/A</v>
      </c>
      <c r="AF566" t="e">
        <f t="shared" si="130"/>
        <v>#N/A</v>
      </c>
      <c r="AG566">
        <f t="shared" si="131"/>
        <v>1.141</v>
      </c>
      <c r="AH566" t="e">
        <f t="shared" si="132"/>
        <v>#N/A</v>
      </c>
      <c r="AI566" t="e">
        <f t="shared" si="133"/>
        <v>#N/A</v>
      </c>
      <c r="AK566" t="e">
        <f t="shared" si="134"/>
        <v>#N/A</v>
      </c>
      <c r="AL566" t="e">
        <f t="shared" si="135"/>
        <v>#N/A</v>
      </c>
      <c r="AM566" t="e">
        <f t="shared" si="136"/>
        <v>#N/A</v>
      </c>
      <c r="AN566" t="e">
        <f t="shared" si="137"/>
        <v>#N/A</v>
      </c>
      <c r="AO566">
        <f t="shared" si="138"/>
        <v>0.2331166182118736</v>
      </c>
      <c r="AP566" t="e">
        <f t="shared" si="139"/>
        <v>#N/A</v>
      </c>
      <c r="AQ566" t="e">
        <f t="shared" si="140"/>
        <v>#N/A</v>
      </c>
    </row>
    <row r="567" spans="15:43">
      <c r="O567">
        <v>563</v>
      </c>
      <c r="P567" s="401">
        <f>'Lab test'!N566</f>
        <v>25.4</v>
      </c>
      <c r="Q567" s="401">
        <f>'Lab test'!M566</f>
        <v>0.63500000000000001</v>
      </c>
      <c r="R567" t="e">
        <f>IF('Lab test'!O566&gt;0,'Lab test'!O566,NA())</f>
        <v>#N/A</v>
      </c>
      <c r="S567">
        <f>'Lab test'!Q566</f>
        <v>39.049999999999997</v>
      </c>
      <c r="T567" s="401" t="e">
        <f>IF('Lab test'!P566&gt;0,'Lab test'!P566,NA())</f>
        <v>#N/A</v>
      </c>
      <c r="U567" s="401">
        <f>'Lab test'!AZ566</f>
        <v>1938</v>
      </c>
      <c r="V567">
        <f>IF('Lab test'!AQ566&gt;0,'Lab test'!AQ566,NA())</f>
        <v>0.50540328080046559</v>
      </c>
      <c r="W567">
        <f>IF('Lab test'!AU566&gt;0,'Lab test'!AU566,NA())</f>
        <v>1.038</v>
      </c>
      <c r="X567">
        <f>IF('Lab test'!AT566&gt;0,'Lab test'!AT566,NA())</f>
        <v>0.26513891034114151</v>
      </c>
      <c r="Y567">
        <f t="shared" si="126"/>
        <v>1</v>
      </c>
      <c r="Z567" t="str">
        <f>'Lab test'!AC566</f>
        <v>Tubes</v>
      </c>
      <c r="AA567" t="str">
        <f>'Lab test'!T566</f>
        <v>Aluminium</v>
      </c>
      <c r="AC567" t="e">
        <f t="shared" si="127"/>
        <v>#N/A</v>
      </c>
      <c r="AD567" t="e">
        <f t="shared" si="128"/>
        <v>#N/A</v>
      </c>
      <c r="AE567" t="e">
        <f t="shared" si="129"/>
        <v>#N/A</v>
      </c>
      <c r="AF567" t="e">
        <f t="shared" si="130"/>
        <v>#N/A</v>
      </c>
      <c r="AG567">
        <f t="shared" si="131"/>
        <v>1.038</v>
      </c>
      <c r="AH567" t="e">
        <f t="shared" si="132"/>
        <v>#N/A</v>
      </c>
      <c r="AI567" t="e">
        <f t="shared" si="133"/>
        <v>#N/A</v>
      </c>
      <c r="AK567" t="e">
        <f t="shared" si="134"/>
        <v>#N/A</v>
      </c>
      <c r="AL567" t="e">
        <f t="shared" si="135"/>
        <v>#N/A</v>
      </c>
      <c r="AM567" t="e">
        <f t="shared" si="136"/>
        <v>#N/A</v>
      </c>
      <c r="AN567" t="e">
        <f t="shared" si="137"/>
        <v>#N/A</v>
      </c>
      <c r="AO567">
        <f t="shared" si="138"/>
        <v>0.26513891034114151</v>
      </c>
      <c r="AP567" t="e">
        <f t="shared" si="139"/>
        <v>#N/A</v>
      </c>
      <c r="AQ567" t="e">
        <f t="shared" si="140"/>
        <v>#N/A</v>
      </c>
    </row>
    <row r="568" spans="15:43">
      <c r="O568">
        <v>564</v>
      </c>
      <c r="P568" s="401">
        <f>'Lab test'!N567</f>
        <v>25.4</v>
      </c>
      <c r="Q568" s="401">
        <f>'Lab test'!M567</f>
        <v>0.63500000000000001</v>
      </c>
      <c r="R568" t="e">
        <f>IF('Lab test'!O567&gt;0,'Lab test'!O567,NA())</f>
        <v>#N/A</v>
      </c>
      <c r="S568">
        <f>'Lab test'!Q567</f>
        <v>39.200000000000003</v>
      </c>
      <c r="T568" s="401" t="e">
        <f>IF('Lab test'!P567&gt;0,'Lab test'!P567,NA())</f>
        <v>#N/A</v>
      </c>
      <c r="U568" s="401">
        <f>'Lab test'!AZ567</f>
        <v>1938</v>
      </c>
      <c r="V568">
        <f>IF('Lab test'!AQ567&gt;0,'Lab test'!AQ567,NA())</f>
        <v>0.50745271177557061</v>
      </c>
      <c r="W568">
        <f>IF('Lab test'!AU567&gt;0,'Lab test'!AU567,NA())</f>
        <v>1.081</v>
      </c>
      <c r="X568">
        <f>IF('Lab test'!AT567&gt;0,'Lab test'!AT567,NA())</f>
        <v>0.2783664233181391</v>
      </c>
      <c r="Y568">
        <f t="shared" si="126"/>
        <v>1</v>
      </c>
      <c r="Z568" t="str">
        <f>'Lab test'!AC567</f>
        <v>Tubes</v>
      </c>
      <c r="AA568" t="str">
        <f>'Lab test'!T567</f>
        <v>Aluminium</v>
      </c>
      <c r="AC568" t="e">
        <f t="shared" si="127"/>
        <v>#N/A</v>
      </c>
      <c r="AD568" t="e">
        <f t="shared" si="128"/>
        <v>#N/A</v>
      </c>
      <c r="AE568" t="e">
        <f t="shared" si="129"/>
        <v>#N/A</v>
      </c>
      <c r="AF568" t="e">
        <f t="shared" si="130"/>
        <v>#N/A</v>
      </c>
      <c r="AG568">
        <f t="shared" si="131"/>
        <v>1.081</v>
      </c>
      <c r="AH568" t="e">
        <f t="shared" si="132"/>
        <v>#N/A</v>
      </c>
      <c r="AI568" t="e">
        <f t="shared" si="133"/>
        <v>#N/A</v>
      </c>
      <c r="AK568" t="e">
        <f t="shared" si="134"/>
        <v>#N/A</v>
      </c>
      <c r="AL568" t="e">
        <f t="shared" si="135"/>
        <v>#N/A</v>
      </c>
      <c r="AM568" t="e">
        <f t="shared" si="136"/>
        <v>#N/A</v>
      </c>
      <c r="AN568" t="e">
        <f t="shared" si="137"/>
        <v>#N/A</v>
      </c>
      <c r="AO568">
        <f t="shared" si="138"/>
        <v>0.2783664233181391</v>
      </c>
      <c r="AP568" t="e">
        <f t="shared" si="139"/>
        <v>#N/A</v>
      </c>
      <c r="AQ568" t="e">
        <f t="shared" si="140"/>
        <v>#N/A</v>
      </c>
    </row>
    <row r="569" spans="15:43">
      <c r="O569">
        <v>565</v>
      </c>
      <c r="P569" s="401">
        <f>'Lab test'!N568</f>
        <v>25.4</v>
      </c>
      <c r="Q569" s="401">
        <f>'Lab test'!M568</f>
        <v>0.63500000000000001</v>
      </c>
      <c r="R569" t="e">
        <f>IF('Lab test'!O568&gt;0,'Lab test'!O568,NA())</f>
        <v>#N/A</v>
      </c>
      <c r="S569">
        <f>'Lab test'!Q568</f>
        <v>39.6</v>
      </c>
      <c r="T569" s="401" t="e">
        <f>IF('Lab test'!P568&gt;0,'Lab test'!P568,NA())</f>
        <v>#N/A</v>
      </c>
      <c r="U569" s="401">
        <f>'Lab test'!AZ568</f>
        <v>1938</v>
      </c>
      <c r="V569">
        <f>IF('Lab test'!AQ568&gt;0,'Lab test'!AQ568,NA())</f>
        <v>0.50134190520437827</v>
      </c>
      <c r="W569">
        <f>IF('Lab test'!AU568&gt;0,'Lab test'!AU568,NA())</f>
        <v>1.109</v>
      </c>
      <c r="X569">
        <f>IF('Lab test'!AT568&gt;0,'Lab test'!AT568,NA())</f>
        <v>0.27874016985857697</v>
      </c>
      <c r="Y569">
        <f t="shared" si="126"/>
        <v>1</v>
      </c>
      <c r="Z569" t="str">
        <f>'Lab test'!AC568</f>
        <v>Tubes</v>
      </c>
      <c r="AA569" t="str">
        <f>'Lab test'!T568</f>
        <v>Aluminium</v>
      </c>
      <c r="AC569" t="e">
        <f t="shared" si="127"/>
        <v>#N/A</v>
      </c>
      <c r="AD569" t="e">
        <f t="shared" si="128"/>
        <v>#N/A</v>
      </c>
      <c r="AE569" t="e">
        <f t="shared" si="129"/>
        <v>#N/A</v>
      </c>
      <c r="AF569" t="e">
        <f t="shared" si="130"/>
        <v>#N/A</v>
      </c>
      <c r="AG569">
        <f t="shared" si="131"/>
        <v>1.109</v>
      </c>
      <c r="AH569" t="e">
        <f t="shared" si="132"/>
        <v>#N/A</v>
      </c>
      <c r="AI569" t="e">
        <f t="shared" si="133"/>
        <v>#N/A</v>
      </c>
      <c r="AK569" t="e">
        <f t="shared" si="134"/>
        <v>#N/A</v>
      </c>
      <c r="AL569" t="e">
        <f t="shared" si="135"/>
        <v>#N/A</v>
      </c>
      <c r="AM569" t="e">
        <f t="shared" si="136"/>
        <v>#N/A</v>
      </c>
      <c r="AN569" t="e">
        <f t="shared" si="137"/>
        <v>#N/A</v>
      </c>
      <c r="AO569">
        <f t="shared" si="138"/>
        <v>0.27874016985857697</v>
      </c>
      <c r="AP569" t="e">
        <f t="shared" si="139"/>
        <v>#N/A</v>
      </c>
      <c r="AQ569" t="e">
        <f t="shared" si="140"/>
        <v>#N/A</v>
      </c>
    </row>
    <row r="570" spans="15:43">
      <c r="O570">
        <v>566</v>
      </c>
      <c r="P570" s="401">
        <f>'Lab test'!N569</f>
        <v>25.4</v>
      </c>
      <c r="Q570" s="401">
        <f>'Lab test'!M569</f>
        <v>0.50800000000000001</v>
      </c>
      <c r="R570" t="e">
        <f>IF('Lab test'!O569&gt;0,'Lab test'!O569,NA())</f>
        <v>#N/A</v>
      </c>
      <c r="S570">
        <f>'Lab test'!Q569</f>
        <v>48.95</v>
      </c>
      <c r="T570" s="401" t="e">
        <f>IF('Lab test'!P569&gt;0,'Lab test'!P569,NA())</f>
        <v>#N/A</v>
      </c>
      <c r="U570" s="401">
        <f>'Lab test'!AZ569</f>
        <v>1938</v>
      </c>
      <c r="V570">
        <f>IF('Lab test'!AQ569&gt;0,'Lab test'!AQ569,NA())</f>
        <v>0.56685650811523136</v>
      </c>
      <c r="W570">
        <f>IF('Lab test'!AU569&gt;0,'Lab test'!AU569,NA())</f>
        <v>0.99399999999999999</v>
      </c>
      <c r="X570">
        <f>IF('Lab test'!AT569&gt;0,'Lab test'!AT569,NA())</f>
        <v>0.31939834298783781</v>
      </c>
      <c r="Y570">
        <f t="shared" si="126"/>
        <v>1</v>
      </c>
      <c r="Z570" t="str">
        <f>'Lab test'!AC569</f>
        <v>Tubes</v>
      </c>
      <c r="AA570" t="str">
        <f>'Lab test'!T569</f>
        <v>Aluminium</v>
      </c>
      <c r="AC570" t="e">
        <f t="shared" si="127"/>
        <v>#N/A</v>
      </c>
      <c r="AD570" t="e">
        <f t="shared" si="128"/>
        <v>#N/A</v>
      </c>
      <c r="AE570" t="e">
        <f t="shared" si="129"/>
        <v>#N/A</v>
      </c>
      <c r="AF570" t="e">
        <f t="shared" si="130"/>
        <v>#N/A</v>
      </c>
      <c r="AG570">
        <f t="shared" si="131"/>
        <v>0.99399999999999999</v>
      </c>
      <c r="AH570" t="e">
        <f t="shared" si="132"/>
        <v>#N/A</v>
      </c>
      <c r="AI570" t="e">
        <f t="shared" si="133"/>
        <v>#N/A</v>
      </c>
      <c r="AK570" t="e">
        <f t="shared" si="134"/>
        <v>#N/A</v>
      </c>
      <c r="AL570" t="e">
        <f t="shared" si="135"/>
        <v>#N/A</v>
      </c>
      <c r="AM570" t="e">
        <f t="shared" si="136"/>
        <v>#N/A</v>
      </c>
      <c r="AN570" t="e">
        <f t="shared" si="137"/>
        <v>#N/A</v>
      </c>
      <c r="AO570">
        <f t="shared" si="138"/>
        <v>0.31939834298783781</v>
      </c>
      <c r="AP570" t="e">
        <f t="shared" si="139"/>
        <v>#N/A</v>
      </c>
      <c r="AQ570" t="e">
        <f t="shared" si="140"/>
        <v>#N/A</v>
      </c>
    </row>
    <row r="571" spans="15:43">
      <c r="O571">
        <v>567</v>
      </c>
      <c r="P571" s="401">
        <f>'Lab test'!N570</f>
        <v>25.4</v>
      </c>
      <c r="Q571" s="401">
        <f>'Lab test'!M570</f>
        <v>0.50800000000000001</v>
      </c>
      <c r="R571" t="e">
        <f>IF('Lab test'!O570&gt;0,'Lab test'!O570,NA())</f>
        <v>#N/A</v>
      </c>
      <c r="S571">
        <f>'Lab test'!Q570</f>
        <v>49.2</v>
      </c>
      <c r="T571" s="401" t="e">
        <f>IF('Lab test'!P570&gt;0,'Lab test'!P570,NA())</f>
        <v>#N/A</v>
      </c>
      <c r="U571" s="401">
        <f>'Lab test'!AZ570</f>
        <v>1938</v>
      </c>
      <c r="V571">
        <f>IF('Lab test'!AQ570&gt;0,'Lab test'!AQ570,NA())</f>
        <v>0.56733832443533361</v>
      </c>
      <c r="W571">
        <f>IF('Lab test'!AU570&gt;0,'Lab test'!AU570,NA())</f>
        <v>0.995</v>
      </c>
      <c r="X571">
        <f>IF('Lab test'!AT570&gt;0,'Lab test'!AT570,NA())</f>
        <v>0.32026341050122636</v>
      </c>
      <c r="Y571">
        <f t="shared" si="126"/>
        <v>1</v>
      </c>
      <c r="Z571" t="str">
        <f>'Lab test'!AC570</f>
        <v>Tubes</v>
      </c>
      <c r="AA571" t="str">
        <f>'Lab test'!T570</f>
        <v>Aluminium</v>
      </c>
      <c r="AC571" t="e">
        <f t="shared" si="127"/>
        <v>#N/A</v>
      </c>
      <c r="AD571" t="e">
        <f t="shared" si="128"/>
        <v>#N/A</v>
      </c>
      <c r="AE571" t="e">
        <f t="shared" si="129"/>
        <v>#N/A</v>
      </c>
      <c r="AF571" t="e">
        <f t="shared" si="130"/>
        <v>#N/A</v>
      </c>
      <c r="AG571">
        <f t="shared" si="131"/>
        <v>0.995</v>
      </c>
      <c r="AH571" t="e">
        <f t="shared" si="132"/>
        <v>#N/A</v>
      </c>
      <c r="AI571" t="e">
        <f t="shared" si="133"/>
        <v>#N/A</v>
      </c>
      <c r="AK571" t="e">
        <f t="shared" si="134"/>
        <v>#N/A</v>
      </c>
      <c r="AL571" t="e">
        <f t="shared" si="135"/>
        <v>#N/A</v>
      </c>
      <c r="AM571" t="e">
        <f t="shared" si="136"/>
        <v>#N/A</v>
      </c>
      <c r="AN571" t="e">
        <f t="shared" si="137"/>
        <v>#N/A</v>
      </c>
      <c r="AO571">
        <f t="shared" si="138"/>
        <v>0.32026341050122636</v>
      </c>
      <c r="AP571" t="e">
        <f t="shared" si="139"/>
        <v>#N/A</v>
      </c>
      <c r="AQ571" t="e">
        <f t="shared" si="140"/>
        <v>#N/A</v>
      </c>
    </row>
    <row r="572" spans="15:43">
      <c r="O572">
        <v>568</v>
      </c>
      <c r="P572" s="401">
        <f>'Lab test'!N571</f>
        <v>190.5</v>
      </c>
      <c r="Q572" s="401">
        <f>'Lab test'!M571</f>
        <v>0.89</v>
      </c>
      <c r="R572">
        <f>IF('Lab test'!O571&gt;0,'Lab test'!O571,NA())</f>
        <v>381</v>
      </c>
      <c r="S572">
        <f>'Lab test'!Q571</f>
        <v>214.3</v>
      </c>
      <c r="T572" s="401">
        <f>IF('Lab test'!P571&gt;0,'Lab test'!P571,NA())</f>
        <v>0.1367028311411097</v>
      </c>
      <c r="U572" s="401">
        <f>'Lab test'!AZ571</f>
        <v>1982</v>
      </c>
      <c r="V572" t="e">
        <f>IF('Lab test'!AQ571&gt;0,'Lab test'!AQ571,NA())</f>
        <v>#N/A</v>
      </c>
      <c r="W572" t="e">
        <f>IF('Lab test'!AU571&gt;0,'Lab test'!AU571,NA())</f>
        <v>#N/A</v>
      </c>
      <c r="X572" t="e">
        <f>IF('Lab test'!AT571&gt;0,'Lab test'!AT571,NA())</f>
        <v>#N/A</v>
      </c>
      <c r="Y572" t="e">
        <f t="shared" si="126"/>
        <v>#N/A</v>
      </c>
      <c r="Z572" t="str">
        <f>'Lab test'!AC571</f>
        <v>LTWa</v>
      </c>
      <c r="AA572" t="str">
        <f>'Lab test'!T571</f>
        <v>Steel</v>
      </c>
      <c r="AC572" t="e">
        <f t="shared" si="127"/>
        <v>#N/A</v>
      </c>
      <c r="AD572" t="e">
        <f t="shared" si="128"/>
        <v>#N/A</v>
      </c>
      <c r="AE572" t="e">
        <f t="shared" si="129"/>
        <v>#N/A</v>
      </c>
      <c r="AF572" t="e">
        <f t="shared" si="130"/>
        <v>#N/A</v>
      </c>
      <c r="AG572" t="e">
        <f t="shared" si="131"/>
        <v>#N/A</v>
      </c>
      <c r="AH572" t="e">
        <f t="shared" si="132"/>
        <v>#N/A</v>
      </c>
      <c r="AI572" t="e">
        <f t="shared" si="133"/>
        <v>#N/A</v>
      </c>
      <c r="AK572" t="e">
        <f t="shared" si="134"/>
        <v>#N/A</v>
      </c>
      <c r="AL572" t="e">
        <f t="shared" si="135"/>
        <v>#N/A</v>
      </c>
      <c r="AM572" t="e">
        <f t="shared" si="136"/>
        <v>#N/A</v>
      </c>
      <c r="AN572" t="e">
        <f t="shared" si="137"/>
        <v>#N/A</v>
      </c>
      <c r="AO572" t="e">
        <f t="shared" si="138"/>
        <v>#N/A</v>
      </c>
      <c r="AP572" t="e">
        <f t="shared" si="139"/>
        <v>#N/A</v>
      </c>
      <c r="AQ572" t="e">
        <f t="shared" si="140"/>
        <v>#N/A</v>
      </c>
    </row>
    <row r="573" spans="15:43">
      <c r="O573">
        <v>569</v>
      </c>
      <c r="P573" s="401">
        <f>'Lab test'!N572</f>
        <v>190.5</v>
      </c>
      <c r="Q573" s="401">
        <f>'Lab test'!M572</f>
        <v>0.89</v>
      </c>
      <c r="R573">
        <f>IF('Lab test'!O572&gt;0,'Lab test'!O572,NA())</f>
        <v>381</v>
      </c>
      <c r="S573">
        <f>'Lab test'!Q572</f>
        <v>214.3</v>
      </c>
      <c r="T573" s="401">
        <f>IF('Lab test'!P572&gt;0,'Lab test'!P572,NA())</f>
        <v>0.1367028311411097</v>
      </c>
      <c r="U573" s="401">
        <f>'Lab test'!AZ572</f>
        <v>1982</v>
      </c>
      <c r="V573" t="e">
        <f>IF('Lab test'!AQ572&gt;0,'Lab test'!AQ572,NA())</f>
        <v>#N/A</v>
      </c>
      <c r="W573" t="e">
        <f>IF('Lab test'!AU572&gt;0,'Lab test'!AU572,NA())</f>
        <v>#N/A</v>
      </c>
      <c r="X573" t="e">
        <f>IF('Lab test'!AT572&gt;0,'Lab test'!AT572,NA())</f>
        <v>#N/A</v>
      </c>
      <c r="Y573" t="e">
        <f t="shared" si="126"/>
        <v>#N/A</v>
      </c>
      <c r="Z573" t="str">
        <f>'Lab test'!AC572</f>
        <v>LTWa</v>
      </c>
      <c r="AA573" t="str">
        <f>'Lab test'!T572</f>
        <v>Steel</v>
      </c>
      <c r="AC573" t="e">
        <f t="shared" si="127"/>
        <v>#N/A</v>
      </c>
      <c r="AD573" t="e">
        <f t="shared" si="128"/>
        <v>#N/A</v>
      </c>
      <c r="AE573" t="e">
        <f t="shared" si="129"/>
        <v>#N/A</v>
      </c>
      <c r="AF573" t="e">
        <f t="shared" si="130"/>
        <v>#N/A</v>
      </c>
      <c r="AG573" t="e">
        <f t="shared" si="131"/>
        <v>#N/A</v>
      </c>
      <c r="AH573" t="e">
        <f t="shared" si="132"/>
        <v>#N/A</v>
      </c>
      <c r="AI573" t="e">
        <f t="shared" si="133"/>
        <v>#N/A</v>
      </c>
      <c r="AK573" t="e">
        <f t="shared" si="134"/>
        <v>#N/A</v>
      </c>
      <c r="AL573" t="e">
        <f t="shared" si="135"/>
        <v>#N/A</v>
      </c>
      <c r="AM573" t="e">
        <f t="shared" si="136"/>
        <v>#N/A</v>
      </c>
      <c r="AN573" t="e">
        <f t="shared" si="137"/>
        <v>#N/A</v>
      </c>
      <c r="AO573" t="e">
        <f t="shared" si="138"/>
        <v>#N/A</v>
      </c>
      <c r="AP573" t="e">
        <f t="shared" si="139"/>
        <v>#N/A</v>
      </c>
      <c r="AQ573" t="e">
        <f t="shared" si="140"/>
        <v>#N/A</v>
      </c>
    </row>
    <row r="574" spans="15:43">
      <c r="O574">
        <v>570</v>
      </c>
      <c r="P574" s="401">
        <f>'Lab test'!N573</f>
        <v>190.5</v>
      </c>
      <c r="Q574" s="401">
        <f>'Lab test'!M573</f>
        <v>0.89</v>
      </c>
      <c r="R574">
        <f>IF('Lab test'!O573&gt;0,'Lab test'!O573,NA())</f>
        <v>381</v>
      </c>
      <c r="S574">
        <f>'Lab test'!Q573</f>
        <v>214.3</v>
      </c>
      <c r="T574" s="401">
        <f>IF('Lab test'!P573&gt;0,'Lab test'!P573,NA())</f>
        <v>0.1367028311411097</v>
      </c>
      <c r="U574" s="401">
        <f>'Lab test'!AZ573</f>
        <v>1982</v>
      </c>
      <c r="V574">
        <f>IF('Lab test'!AQ573&gt;0,'Lab test'!AQ573,NA())</f>
        <v>0.65703084006372336</v>
      </c>
      <c r="W574">
        <f>IF('Lab test'!AU573&gt;0,'Lab test'!AU573,NA())</f>
        <v>0.61087866108786615</v>
      </c>
      <c r="X574">
        <f>IF('Lab test'!AT573&gt;0,'Lab test'!AT573,NA())</f>
        <v>0.26370991891233025</v>
      </c>
      <c r="Y574">
        <f t="shared" si="126"/>
        <v>1</v>
      </c>
      <c r="Z574" t="str">
        <f>'Lab test'!AC573</f>
        <v>LTWa</v>
      </c>
      <c r="AA574" t="str">
        <f>'Lab test'!T573</f>
        <v>Steel</v>
      </c>
      <c r="AC574">
        <f t="shared" si="127"/>
        <v>0.61087866108786615</v>
      </c>
      <c r="AD574" t="e">
        <f t="shared" si="128"/>
        <v>#N/A</v>
      </c>
      <c r="AE574" t="e">
        <f t="shared" si="129"/>
        <v>#N/A</v>
      </c>
      <c r="AF574" t="e">
        <f t="shared" si="130"/>
        <v>#N/A</v>
      </c>
      <c r="AG574" t="e">
        <f t="shared" si="131"/>
        <v>#N/A</v>
      </c>
      <c r="AH574" t="e">
        <f t="shared" si="132"/>
        <v>#N/A</v>
      </c>
      <c r="AI574" t="e">
        <f t="shared" si="133"/>
        <v>#N/A</v>
      </c>
      <c r="AK574">
        <f t="shared" si="134"/>
        <v>0.26370991891233025</v>
      </c>
      <c r="AL574" t="e">
        <f t="shared" si="135"/>
        <v>#N/A</v>
      </c>
      <c r="AM574" t="e">
        <f t="shared" si="136"/>
        <v>#N/A</v>
      </c>
      <c r="AN574" t="e">
        <f t="shared" si="137"/>
        <v>#N/A</v>
      </c>
      <c r="AO574" t="e">
        <f t="shared" si="138"/>
        <v>#N/A</v>
      </c>
      <c r="AP574" t="e">
        <f t="shared" si="139"/>
        <v>#N/A</v>
      </c>
      <c r="AQ574" t="e">
        <f t="shared" si="140"/>
        <v>#N/A</v>
      </c>
    </row>
    <row r="575" spans="15:43">
      <c r="O575">
        <v>571</v>
      </c>
      <c r="P575" s="401">
        <f>'Lab test'!N574</f>
        <v>186</v>
      </c>
      <c r="Q575" s="401">
        <f>'Lab test'!M574</f>
        <v>0.86</v>
      </c>
      <c r="R575">
        <f>IF('Lab test'!O574&gt;0,'Lab test'!O574,NA())</f>
        <v>381</v>
      </c>
      <c r="S575">
        <f>'Lab test'!Q574</f>
        <v>215.6</v>
      </c>
      <c r="T575" s="401">
        <f>IF('Lab test'!P574&gt;0,'Lab test'!P574,NA())</f>
        <v>0.13928513997418118</v>
      </c>
      <c r="U575" s="401">
        <f>'Lab test'!AZ574</f>
        <v>1982</v>
      </c>
      <c r="V575">
        <f>IF('Lab test'!AQ574&gt;0,'Lab test'!AQ574,NA())</f>
        <v>0.59472075764221999</v>
      </c>
      <c r="W575">
        <f>IF('Lab test'!AU574&gt;0,'Lab test'!AU574,NA())</f>
        <v>0.60591133004926112</v>
      </c>
      <c r="X575">
        <f>IF('Lab test'!AT574&gt;0,'Lab test'!AT574,NA())</f>
        <v>0.21430646249840371</v>
      </c>
      <c r="Y575">
        <f t="shared" si="126"/>
        <v>1</v>
      </c>
      <c r="Z575" t="str">
        <f>'Lab test'!AC574</f>
        <v>LTWa</v>
      </c>
      <c r="AA575" t="str">
        <f>'Lab test'!T574</f>
        <v>Steel</v>
      </c>
      <c r="AC575">
        <f t="shared" si="127"/>
        <v>0.60591133004926112</v>
      </c>
      <c r="AD575" t="e">
        <f t="shared" si="128"/>
        <v>#N/A</v>
      </c>
      <c r="AE575" t="e">
        <f t="shared" si="129"/>
        <v>#N/A</v>
      </c>
      <c r="AF575" t="e">
        <f t="shared" si="130"/>
        <v>#N/A</v>
      </c>
      <c r="AG575" t="e">
        <f t="shared" si="131"/>
        <v>#N/A</v>
      </c>
      <c r="AH575" t="e">
        <f t="shared" si="132"/>
        <v>#N/A</v>
      </c>
      <c r="AI575" t="e">
        <f t="shared" si="133"/>
        <v>#N/A</v>
      </c>
      <c r="AK575">
        <f t="shared" si="134"/>
        <v>0.21430646249840371</v>
      </c>
      <c r="AL575" t="e">
        <f t="shared" si="135"/>
        <v>#N/A</v>
      </c>
      <c r="AM575" t="e">
        <f t="shared" si="136"/>
        <v>#N/A</v>
      </c>
      <c r="AN575" t="e">
        <f t="shared" si="137"/>
        <v>#N/A</v>
      </c>
      <c r="AO575" t="e">
        <f t="shared" si="138"/>
        <v>#N/A</v>
      </c>
      <c r="AP575" t="e">
        <f t="shared" si="139"/>
        <v>#N/A</v>
      </c>
      <c r="AQ575" t="e">
        <f t="shared" si="140"/>
        <v>#N/A</v>
      </c>
    </row>
    <row r="576" spans="15:43">
      <c r="O576">
        <v>572</v>
      </c>
      <c r="P576" s="401">
        <f>'Lab test'!N575</f>
        <v>186</v>
      </c>
      <c r="Q576" s="401">
        <f>'Lab test'!M575</f>
        <v>0.86</v>
      </c>
      <c r="R576">
        <f>IF('Lab test'!O575&gt;0,'Lab test'!O575,NA())</f>
        <v>381</v>
      </c>
      <c r="S576">
        <f>'Lab test'!Q575</f>
        <v>215.6</v>
      </c>
      <c r="T576" s="401">
        <f>IF('Lab test'!P575&gt;0,'Lab test'!P575,NA())</f>
        <v>0.13928513997418118</v>
      </c>
      <c r="U576" s="401">
        <f>'Lab test'!AZ575</f>
        <v>1982</v>
      </c>
      <c r="V576">
        <f>IF('Lab test'!AQ575&gt;0,'Lab test'!AQ575,NA())</f>
        <v>0.59472075764221999</v>
      </c>
      <c r="W576">
        <f>IF('Lab test'!AU575&gt;0,'Lab test'!AU575,NA())</f>
        <v>0.5714285714285714</v>
      </c>
      <c r="X576">
        <f>IF('Lab test'!AT575&gt;0,'Lab test'!AT575,NA())</f>
        <v>0.20211015975459209</v>
      </c>
      <c r="Y576">
        <f t="shared" si="126"/>
        <v>1</v>
      </c>
      <c r="Z576" t="str">
        <f>'Lab test'!AC575</f>
        <v>LTWa</v>
      </c>
      <c r="AA576" t="str">
        <f>'Lab test'!T575</f>
        <v>Steel</v>
      </c>
      <c r="AC576">
        <f t="shared" si="127"/>
        <v>0.5714285714285714</v>
      </c>
      <c r="AD576" t="e">
        <f t="shared" si="128"/>
        <v>#N/A</v>
      </c>
      <c r="AE576" t="e">
        <f t="shared" si="129"/>
        <v>#N/A</v>
      </c>
      <c r="AF576" t="e">
        <f t="shared" si="130"/>
        <v>#N/A</v>
      </c>
      <c r="AG576" t="e">
        <f t="shared" si="131"/>
        <v>#N/A</v>
      </c>
      <c r="AH576" t="e">
        <f t="shared" si="132"/>
        <v>#N/A</v>
      </c>
      <c r="AI576" t="e">
        <f t="shared" si="133"/>
        <v>#N/A</v>
      </c>
      <c r="AK576">
        <f t="shared" si="134"/>
        <v>0.20211015975459209</v>
      </c>
      <c r="AL576" t="e">
        <f t="shared" si="135"/>
        <v>#N/A</v>
      </c>
      <c r="AM576" t="e">
        <f t="shared" si="136"/>
        <v>#N/A</v>
      </c>
      <c r="AN576" t="e">
        <f t="shared" si="137"/>
        <v>#N/A</v>
      </c>
      <c r="AO576" t="e">
        <f t="shared" si="138"/>
        <v>#N/A</v>
      </c>
      <c r="AP576" t="e">
        <f t="shared" si="139"/>
        <v>#N/A</v>
      </c>
      <c r="AQ576" t="e">
        <f t="shared" si="140"/>
        <v>#N/A</v>
      </c>
    </row>
    <row r="577" spans="15:43">
      <c r="O577">
        <v>573</v>
      </c>
      <c r="P577" s="401">
        <f>'Lab test'!N576</f>
        <v>764.5</v>
      </c>
      <c r="Q577" s="401">
        <f>'Lab test'!M576</f>
        <v>5.13</v>
      </c>
      <c r="R577">
        <f>IF('Lab test'!O576&gt;0,'Lab test'!O576,NA())</f>
        <v>1524</v>
      </c>
      <c r="S577">
        <f>'Lab test'!Q576</f>
        <v>149</v>
      </c>
      <c r="T577" s="401">
        <f>IF('Lab test'!P576&gt;0,'Lab test'!P576,NA())</f>
        <v>0.16329670248209641</v>
      </c>
      <c r="U577" s="401">
        <f>'Lab test'!AZ576</f>
        <v>1982</v>
      </c>
      <c r="V577">
        <f>IF('Lab test'!AQ576&gt;0,'Lab test'!AQ576,NA())</f>
        <v>0.67700045695184841</v>
      </c>
      <c r="W577">
        <f>IF('Lab test'!AU576&gt;0,'Lab test'!AU576,NA())</f>
        <v>0.60904255319148937</v>
      </c>
      <c r="X577">
        <f>IF('Lab test'!AT576&gt;0,'Lab test'!AT576,NA())</f>
        <v>0.2791422411842544</v>
      </c>
      <c r="Y577">
        <f t="shared" si="126"/>
        <v>1</v>
      </c>
      <c r="Z577" t="str">
        <f>'Lab test'!AC576</f>
        <v>LTWa</v>
      </c>
      <c r="AA577" t="str">
        <f>'Lab test'!T576</f>
        <v>Steel</v>
      </c>
      <c r="AC577">
        <f t="shared" si="127"/>
        <v>0.60904255319148937</v>
      </c>
      <c r="AD577" t="e">
        <f t="shared" si="128"/>
        <v>#N/A</v>
      </c>
      <c r="AE577" t="e">
        <f t="shared" si="129"/>
        <v>#N/A</v>
      </c>
      <c r="AF577" t="e">
        <f t="shared" si="130"/>
        <v>#N/A</v>
      </c>
      <c r="AG577" t="e">
        <f t="shared" si="131"/>
        <v>#N/A</v>
      </c>
      <c r="AH577" t="e">
        <f t="shared" si="132"/>
        <v>#N/A</v>
      </c>
      <c r="AI577" t="e">
        <f t="shared" si="133"/>
        <v>#N/A</v>
      </c>
      <c r="AK577">
        <f t="shared" si="134"/>
        <v>0.2791422411842544</v>
      </c>
      <c r="AL577" t="e">
        <f t="shared" si="135"/>
        <v>#N/A</v>
      </c>
      <c r="AM577" t="e">
        <f t="shared" si="136"/>
        <v>#N/A</v>
      </c>
      <c r="AN577" t="e">
        <f t="shared" si="137"/>
        <v>#N/A</v>
      </c>
      <c r="AO577" t="e">
        <f t="shared" si="138"/>
        <v>#N/A</v>
      </c>
      <c r="AP577" t="e">
        <f t="shared" si="139"/>
        <v>#N/A</v>
      </c>
      <c r="AQ577" t="e">
        <f t="shared" si="140"/>
        <v>#N/A</v>
      </c>
    </row>
    <row r="578" spans="15:43">
      <c r="O578">
        <v>574</v>
      </c>
      <c r="P578" s="401">
        <f>'Lab test'!N577</f>
        <v>761.7</v>
      </c>
      <c r="Q578" s="401">
        <f>'Lab test'!M577</f>
        <v>3.43</v>
      </c>
      <c r="R578">
        <f>IF('Lab test'!O577&gt;0,'Lab test'!O577,NA())</f>
        <v>1828.8</v>
      </c>
      <c r="S578">
        <f>'Lab test'!Q577</f>
        <v>222.2</v>
      </c>
      <c r="T578" s="401">
        <f>IF('Lab test'!P577&gt;0,'Lab test'!P577,NA())</f>
        <v>0.16111550603487476</v>
      </c>
      <c r="U578" s="401">
        <f>'Lab test'!AZ577</f>
        <v>1982</v>
      </c>
      <c r="V578">
        <f>IF('Lab test'!AQ577&gt;0,'Lab test'!AQ577,NA())</f>
        <v>0.74187580759138161</v>
      </c>
      <c r="W578">
        <f>IF('Lab test'!AU577&gt;0,'Lab test'!AU577,NA())</f>
        <v>0.57843137254901966</v>
      </c>
      <c r="X578">
        <f>IF('Lab test'!AT577&gt;0,'Lab test'!AT577,NA())</f>
        <v>0.31835689332816192</v>
      </c>
      <c r="Y578">
        <f t="shared" si="126"/>
        <v>1</v>
      </c>
      <c r="Z578" t="str">
        <f>'Lab test'!AC577</f>
        <v>LTWa</v>
      </c>
      <c r="AA578" t="str">
        <f>'Lab test'!T577</f>
        <v>Steel</v>
      </c>
      <c r="AC578">
        <f t="shared" si="127"/>
        <v>0.57843137254901966</v>
      </c>
      <c r="AD578" t="e">
        <f t="shared" si="128"/>
        <v>#N/A</v>
      </c>
      <c r="AE578" t="e">
        <f t="shared" si="129"/>
        <v>#N/A</v>
      </c>
      <c r="AF578" t="e">
        <f t="shared" si="130"/>
        <v>#N/A</v>
      </c>
      <c r="AG578" t="e">
        <f t="shared" si="131"/>
        <v>#N/A</v>
      </c>
      <c r="AH578" t="e">
        <f t="shared" si="132"/>
        <v>#N/A</v>
      </c>
      <c r="AI578" t="e">
        <f t="shared" si="133"/>
        <v>#N/A</v>
      </c>
      <c r="AK578">
        <f t="shared" si="134"/>
        <v>0.31835689332816192</v>
      </c>
      <c r="AL578" t="e">
        <f t="shared" si="135"/>
        <v>#N/A</v>
      </c>
      <c r="AM578" t="e">
        <f t="shared" si="136"/>
        <v>#N/A</v>
      </c>
      <c r="AN578" t="e">
        <f t="shared" si="137"/>
        <v>#N/A</v>
      </c>
      <c r="AO578" t="e">
        <f t="shared" si="138"/>
        <v>#N/A</v>
      </c>
      <c r="AP578" t="e">
        <f t="shared" si="139"/>
        <v>#N/A</v>
      </c>
      <c r="AQ578" t="e">
        <f t="shared" si="140"/>
        <v>#N/A</v>
      </c>
    </row>
    <row r="579" spans="15:43">
      <c r="O579">
        <v>575</v>
      </c>
      <c r="P579" s="401">
        <f>'Lab test'!N578</f>
        <v>36.906199999999998</v>
      </c>
      <c r="Q579" s="401">
        <f>'Lab test'!M578</f>
        <v>0.10160000000000001</v>
      </c>
      <c r="R579">
        <f>IF('Lab test'!O578&gt;0,'Lab test'!O578,NA())</f>
        <v>203.2</v>
      </c>
      <c r="S579">
        <f>'Lab test'!Q578</f>
        <v>363.24999999999994</v>
      </c>
      <c r="T579" s="401">
        <f>IF('Lab test'!P578&gt;0,'Lab test'!P578,NA())</f>
        <v>0.28888271776099356</v>
      </c>
      <c r="U579" s="401">
        <f>'Lab test'!AZ578</f>
        <v>1965</v>
      </c>
      <c r="V579" t="e">
        <f>IF('Lab test'!AQ578&gt;0,'Lab test'!AQ578,NA())</f>
        <v>#N/A</v>
      </c>
      <c r="W579" t="e">
        <f>IF('Lab test'!AU578&gt;0,'Lab test'!AU578,NA())</f>
        <v>#N/A</v>
      </c>
      <c r="X579">
        <f>IF('Lab test'!AT578&gt;0,'Lab test'!AT578,NA())</f>
        <v>0.68161893022015496</v>
      </c>
      <c r="Y579">
        <f t="shared" si="126"/>
        <v>1</v>
      </c>
      <c r="Z579" t="str">
        <f>'Lab test'!AC578</f>
        <v>Electroforming</v>
      </c>
      <c r="AA579" t="str">
        <f>'Lab test'!T578</f>
        <v>Nickel</v>
      </c>
      <c r="AC579" t="e">
        <f t="shared" si="127"/>
        <v>#N/A</v>
      </c>
      <c r="AD579" t="e">
        <f t="shared" si="128"/>
        <v>#N/A</v>
      </c>
      <c r="AE579" t="e">
        <f t="shared" si="129"/>
        <v>#N/A</v>
      </c>
      <c r="AF579" t="e">
        <f t="shared" si="130"/>
        <v>#N/A</v>
      </c>
      <c r="AG579" t="e">
        <f t="shared" si="131"/>
        <v>#N/A</v>
      </c>
      <c r="AH579" t="e">
        <f t="shared" si="132"/>
        <v>#N/A</v>
      </c>
      <c r="AI579" t="e">
        <f t="shared" si="133"/>
        <v>#N/A</v>
      </c>
      <c r="AK579" t="e">
        <f t="shared" si="134"/>
        <v>#N/A</v>
      </c>
      <c r="AL579" t="e">
        <f t="shared" si="135"/>
        <v>#N/A</v>
      </c>
      <c r="AM579">
        <f t="shared" si="136"/>
        <v>0.68161893022015496</v>
      </c>
      <c r="AN579" t="e">
        <f t="shared" si="137"/>
        <v>#N/A</v>
      </c>
      <c r="AO579" t="e">
        <f t="shared" si="138"/>
        <v>#N/A</v>
      </c>
      <c r="AP579" t="e">
        <f t="shared" si="139"/>
        <v>#N/A</v>
      </c>
      <c r="AQ579" t="e">
        <f t="shared" si="140"/>
        <v>#N/A</v>
      </c>
    </row>
    <row r="580" spans="15:43">
      <c r="O580">
        <v>576</v>
      </c>
      <c r="P580" s="401">
        <f>'Lab test'!N579</f>
        <v>36.906199999999998</v>
      </c>
      <c r="Q580" s="401">
        <f>'Lab test'!M579</f>
        <v>0.10160000000000001</v>
      </c>
      <c r="R580">
        <f>IF('Lab test'!O579&gt;0,'Lab test'!O579,NA())</f>
        <v>203.2</v>
      </c>
      <c r="S580">
        <f>'Lab test'!Q579</f>
        <v>363.24999999999994</v>
      </c>
      <c r="T580" s="401">
        <f>IF('Lab test'!P579&gt;0,'Lab test'!P579,NA())</f>
        <v>0.28888271776099356</v>
      </c>
      <c r="U580" s="401">
        <f>'Lab test'!AZ579</f>
        <v>1965</v>
      </c>
      <c r="V580" t="e">
        <f>IF('Lab test'!AQ579&gt;0,'Lab test'!AQ579,NA())</f>
        <v>#N/A</v>
      </c>
      <c r="W580" t="e">
        <f>IF('Lab test'!AU579&gt;0,'Lab test'!AU579,NA())</f>
        <v>#N/A</v>
      </c>
      <c r="X580">
        <f>IF('Lab test'!AT579&gt;0,'Lab test'!AT579,NA())</f>
        <v>0.83917908494441196</v>
      </c>
      <c r="Y580">
        <f t="shared" si="126"/>
        <v>1</v>
      </c>
      <c r="Z580" t="str">
        <f>'Lab test'!AC579</f>
        <v>Electroforming</v>
      </c>
      <c r="AA580" t="str">
        <f>'Lab test'!T579</f>
        <v>Nickel</v>
      </c>
      <c r="AC580" t="e">
        <f t="shared" si="127"/>
        <v>#N/A</v>
      </c>
      <c r="AD580" t="e">
        <f t="shared" si="128"/>
        <v>#N/A</v>
      </c>
      <c r="AE580" t="e">
        <f t="shared" si="129"/>
        <v>#N/A</v>
      </c>
      <c r="AF580" t="e">
        <f t="shared" si="130"/>
        <v>#N/A</v>
      </c>
      <c r="AG580" t="e">
        <f t="shared" si="131"/>
        <v>#N/A</v>
      </c>
      <c r="AH580" t="e">
        <f t="shared" si="132"/>
        <v>#N/A</v>
      </c>
      <c r="AI580" t="e">
        <f t="shared" si="133"/>
        <v>#N/A</v>
      </c>
      <c r="AK580" t="e">
        <f t="shared" si="134"/>
        <v>#N/A</v>
      </c>
      <c r="AL580" t="e">
        <f t="shared" si="135"/>
        <v>#N/A</v>
      </c>
      <c r="AM580">
        <f t="shared" si="136"/>
        <v>0.83917908494441196</v>
      </c>
      <c r="AN580" t="e">
        <f t="shared" si="137"/>
        <v>#N/A</v>
      </c>
      <c r="AO580" t="e">
        <f t="shared" si="138"/>
        <v>#N/A</v>
      </c>
      <c r="AP580" t="e">
        <f t="shared" si="139"/>
        <v>#N/A</v>
      </c>
      <c r="AQ580" t="e">
        <f t="shared" si="140"/>
        <v>#N/A</v>
      </c>
    </row>
    <row r="581" spans="15:43">
      <c r="O581">
        <v>577</v>
      </c>
      <c r="P581" s="401">
        <f>'Lab test'!N580</f>
        <v>36.906199999999998</v>
      </c>
      <c r="Q581" s="401">
        <f>'Lab test'!M580</f>
        <v>0.10160000000000001</v>
      </c>
      <c r="R581">
        <f>IF('Lab test'!O580&gt;0,'Lab test'!O580,NA())</f>
        <v>203.2</v>
      </c>
      <c r="S581">
        <f>'Lab test'!Q580</f>
        <v>363.24999999999994</v>
      </c>
      <c r="T581" s="401">
        <f>IF('Lab test'!P580&gt;0,'Lab test'!P580,NA())</f>
        <v>0.28888271776099356</v>
      </c>
      <c r="U581" s="401">
        <f>'Lab test'!AZ580</f>
        <v>1965</v>
      </c>
      <c r="V581" t="e">
        <f>IF('Lab test'!AQ580&gt;0,'Lab test'!AQ580,NA())</f>
        <v>#N/A</v>
      </c>
      <c r="W581" t="e">
        <f>IF('Lab test'!AU580&gt;0,'Lab test'!AU580,NA())</f>
        <v>#N/A</v>
      </c>
      <c r="X581">
        <f>IF('Lab test'!AT580&gt;0,'Lab test'!AT580,NA())</f>
        <v>0.81040723060346065</v>
      </c>
      <c r="Y581">
        <f t="shared" si="126"/>
        <v>1</v>
      </c>
      <c r="Z581" t="str">
        <f>'Lab test'!AC580</f>
        <v>Electroforming</v>
      </c>
      <c r="AA581" t="str">
        <f>'Lab test'!T580</f>
        <v>Nickel</v>
      </c>
      <c r="AC581" t="e">
        <f t="shared" si="127"/>
        <v>#N/A</v>
      </c>
      <c r="AD581" t="e">
        <f t="shared" si="128"/>
        <v>#N/A</v>
      </c>
      <c r="AE581" t="e">
        <f t="shared" si="129"/>
        <v>#N/A</v>
      </c>
      <c r="AF581" t="e">
        <f t="shared" si="130"/>
        <v>#N/A</v>
      </c>
      <c r="AG581" t="e">
        <f t="shared" si="131"/>
        <v>#N/A</v>
      </c>
      <c r="AH581" t="e">
        <f t="shared" si="132"/>
        <v>#N/A</v>
      </c>
      <c r="AI581" t="e">
        <f t="shared" si="133"/>
        <v>#N/A</v>
      </c>
      <c r="AK581" t="e">
        <f t="shared" si="134"/>
        <v>#N/A</v>
      </c>
      <c r="AL581" t="e">
        <f t="shared" si="135"/>
        <v>#N/A</v>
      </c>
      <c r="AM581">
        <f t="shared" si="136"/>
        <v>0.81040723060346065</v>
      </c>
      <c r="AN581" t="e">
        <f t="shared" si="137"/>
        <v>#N/A</v>
      </c>
      <c r="AO581" t="e">
        <f t="shared" si="138"/>
        <v>#N/A</v>
      </c>
      <c r="AP581" t="e">
        <f t="shared" si="139"/>
        <v>#N/A</v>
      </c>
      <c r="AQ581" t="e">
        <f t="shared" si="140"/>
        <v>#N/A</v>
      </c>
    </row>
    <row r="582" spans="15:43">
      <c r="O582">
        <v>578</v>
      </c>
      <c r="P582" s="401">
        <f>'Lab test'!N581</f>
        <v>101.92512000000001</v>
      </c>
      <c r="Q582" s="401">
        <f>'Lab test'!M581</f>
        <v>0.13411200000000001</v>
      </c>
      <c r="R582">
        <f>IF('Lab test'!O581&gt;0,'Lab test'!O581,NA())</f>
        <v>177.8</v>
      </c>
      <c r="S582">
        <f>'Lab test'!Q581</f>
        <v>760</v>
      </c>
      <c r="T582" s="401">
        <f>IF('Lab test'!P581&gt;0,'Lab test'!P581,NA())</f>
        <v>6.3276686487864858E-2</v>
      </c>
      <c r="U582" s="401">
        <f>'Lab test'!AZ581</f>
        <v>1967</v>
      </c>
      <c r="V582" t="e">
        <f>IF('Lab test'!AQ581&gt;0,'Lab test'!AQ581,NA())</f>
        <v>#N/A</v>
      </c>
      <c r="W582" t="e">
        <f>IF('Lab test'!AU581&gt;0,'Lab test'!AU581,NA())</f>
        <v>#N/A</v>
      </c>
      <c r="X582">
        <f>IF('Lab test'!AT581&gt;0,'Lab test'!AT581,NA())</f>
        <v>0.61799999999999999</v>
      </c>
      <c r="Y582">
        <f t="shared" ref="Y582:Y645" si="141">IF(OR(ISNUMBER(W582),ISNUMBER(X582)),1,NA())</f>
        <v>1</v>
      </c>
      <c r="Z582" t="str">
        <f>'Lab test'!AC581</f>
        <v>Electroforming</v>
      </c>
      <c r="AA582" t="str">
        <f>'Lab test'!T581</f>
        <v>Copper</v>
      </c>
      <c r="AC582" t="e">
        <f t="shared" ref="AC582:AC645" si="142">IF(EXACT($AC$4,Z582),W582,NA())</f>
        <v>#N/A</v>
      </c>
      <c r="AD582" t="e">
        <f t="shared" ref="AD582:AD645" si="143">IF(EXACT($AD$4,Z582),W582,NA())</f>
        <v>#N/A</v>
      </c>
      <c r="AE582" t="e">
        <f t="shared" ref="AE582:AE645" si="144">IF(EXACT($AE$4,Z582),W582,NA())</f>
        <v>#N/A</v>
      </c>
      <c r="AF582" t="e">
        <f t="shared" ref="AF582:AF645" si="145">IF(EXACT($AF$4,Z582),W582,NA())</f>
        <v>#N/A</v>
      </c>
      <c r="AG582" t="e">
        <f t="shared" ref="AG582:AG645" si="146">IF(EXACT($AG$4,Z582),W582,NA())</f>
        <v>#N/A</v>
      </c>
      <c r="AH582" t="e">
        <f t="shared" ref="AH582:AH645" si="147">IF(EXACT($AH$4,Z582),W582,NA())</f>
        <v>#N/A</v>
      </c>
      <c r="AI582" t="e">
        <f t="shared" ref="AI582:AI645" si="148">IF(EXACT($AI$4,Z582),W582,NA())</f>
        <v>#N/A</v>
      </c>
      <c r="AK582" t="e">
        <f t="shared" ref="AK582:AK645" si="149">IF(EXACT($AK$4,Z582),X582,NA())</f>
        <v>#N/A</v>
      </c>
      <c r="AL582" t="e">
        <f t="shared" ref="AL582:AL645" si="150">IF(EXACT($AL$4,Z582),X582,NA())</f>
        <v>#N/A</v>
      </c>
      <c r="AM582">
        <f t="shared" ref="AM582:AM645" si="151">IF(EXACT($AM$4,Z582),X582,NA())</f>
        <v>0.61799999999999999</v>
      </c>
      <c r="AN582" t="e">
        <f t="shared" ref="AN582:AN645" si="152">IF(EXACT($AN$4,Z582),X582,NA())</f>
        <v>#N/A</v>
      </c>
      <c r="AO582" t="e">
        <f t="shared" ref="AO582:AO645" si="153">IF(EXACT($AO$4,Z582),X582,NA())</f>
        <v>#N/A</v>
      </c>
      <c r="AP582" t="e">
        <f t="shared" ref="AP582:AP645" si="154">IF(EXACT($AP$4,Z582),X582,NA())</f>
        <v>#N/A</v>
      </c>
      <c r="AQ582" t="e">
        <f t="shared" ref="AQ582:AQ645" si="155">IF(EXACT($AQ$4,Z582),X582,NA())</f>
        <v>#N/A</v>
      </c>
    </row>
    <row r="583" spans="15:43">
      <c r="O583">
        <v>579</v>
      </c>
      <c r="P583" s="401">
        <f>'Lab test'!N582</f>
        <v>101.93274</v>
      </c>
      <c r="Q583" s="401">
        <f>'Lab test'!M582</f>
        <v>0.112014</v>
      </c>
      <c r="R583">
        <f>IF('Lab test'!O582&gt;0,'Lab test'!O582,NA())</f>
        <v>203.2</v>
      </c>
      <c r="S583">
        <f>'Lab test'!Q582</f>
        <v>910</v>
      </c>
      <c r="T583" s="401">
        <f>IF('Lab test'!P582&gt;0,'Lab test'!P582,NA())</f>
        <v>6.6082932808232631E-2</v>
      </c>
      <c r="U583" s="401">
        <f>'Lab test'!AZ582</f>
        <v>1967</v>
      </c>
      <c r="V583" t="e">
        <f>IF('Lab test'!AQ582&gt;0,'Lab test'!AQ582,NA())</f>
        <v>#N/A</v>
      </c>
      <c r="W583" t="e">
        <f>IF('Lab test'!AU582&gt;0,'Lab test'!AU582,NA())</f>
        <v>#N/A</v>
      </c>
      <c r="X583">
        <f>IF('Lab test'!AT582&gt;0,'Lab test'!AT582,NA())</f>
        <v>0.65600000000000003</v>
      </c>
      <c r="Y583">
        <f t="shared" si="141"/>
        <v>1</v>
      </c>
      <c r="Z583" t="str">
        <f>'Lab test'!AC582</f>
        <v>Electroforming</v>
      </c>
      <c r="AA583" t="str">
        <f>'Lab test'!T582</f>
        <v>Copper</v>
      </c>
      <c r="AC583" t="e">
        <f t="shared" si="142"/>
        <v>#N/A</v>
      </c>
      <c r="AD583" t="e">
        <f t="shared" si="143"/>
        <v>#N/A</v>
      </c>
      <c r="AE583" t="e">
        <f t="shared" si="144"/>
        <v>#N/A</v>
      </c>
      <c r="AF583" t="e">
        <f t="shared" si="145"/>
        <v>#N/A</v>
      </c>
      <c r="AG583" t="e">
        <f t="shared" si="146"/>
        <v>#N/A</v>
      </c>
      <c r="AH583" t="e">
        <f t="shared" si="147"/>
        <v>#N/A</v>
      </c>
      <c r="AI583" t="e">
        <f t="shared" si="148"/>
        <v>#N/A</v>
      </c>
      <c r="AK583" t="e">
        <f t="shared" si="149"/>
        <v>#N/A</v>
      </c>
      <c r="AL583" t="e">
        <f t="shared" si="150"/>
        <v>#N/A</v>
      </c>
      <c r="AM583">
        <f t="shared" si="151"/>
        <v>0.65600000000000003</v>
      </c>
      <c r="AN583" t="e">
        <f t="shared" si="152"/>
        <v>#N/A</v>
      </c>
      <c r="AO583" t="e">
        <f t="shared" si="153"/>
        <v>#N/A</v>
      </c>
      <c r="AP583" t="e">
        <f t="shared" si="154"/>
        <v>#N/A</v>
      </c>
      <c r="AQ583" t="e">
        <f t="shared" si="155"/>
        <v>#N/A</v>
      </c>
    </row>
    <row r="584" spans="15:43">
      <c r="O584">
        <v>580</v>
      </c>
      <c r="P584" s="401">
        <f>'Lab test'!N583</f>
        <v>101.25710000000002</v>
      </c>
      <c r="Q584" s="401">
        <f>'Lab test'!M583</f>
        <v>0.11912600000000002</v>
      </c>
      <c r="R584">
        <f>IF('Lab test'!O583&gt;0,'Lab test'!O583,NA())</f>
        <v>254</v>
      </c>
      <c r="S584">
        <f>'Lab test'!Q583</f>
        <v>850</v>
      </c>
      <c r="T584" s="401">
        <f>IF('Lab test'!P583&gt;0,'Lab test'!P583,NA())</f>
        <v>8.6039676479372273E-2</v>
      </c>
      <c r="U584" s="401">
        <f>'Lab test'!AZ583</f>
        <v>1967</v>
      </c>
      <c r="V584" t="e">
        <f>IF('Lab test'!AQ583&gt;0,'Lab test'!AQ583,NA())</f>
        <v>#N/A</v>
      </c>
      <c r="W584" t="e">
        <f>IF('Lab test'!AU583&gt;0,'Lab test'!AU583,NA())</f>
        <v>#N/A</v>
      </c>
      <c r="X584">
        <f>IF('Lab test'!AT583&gt;0,'Lab test'!AT583,NA())</f>
        <v>0.68700000000000006</v>
      </c>
      <c r="Y584">
        <f t="shared" si="141"/>
        <v>1</v>
      </c>
      <c r="Z584" t="str">
        <f>'Lab test'!AC583</f>
        <v>Electroforming</v>
      </c>
      <c r="AA584" t="str">
        <f>'Lab test'!T583</f>
        <v>Copper</v>
      </c>
      <c r="AC584" t="e">
        <f t="shared" si="142"/>
        <v>#N/A</v>
      </c>
      <c r="AD584" t="e">
        <f t="shared" si="143"/>
        <v>#N/A</v>
      </c>
      <c r="AE584" t="e">
        <f t="shared" si="144"/>
        <v>#N/A</v>
      </c>
      <c r="AF584" t="e">
        <f t="shared" si="145"/>
        <v>#N/A</v>
      </c>
      <c r="AG584" t="e">
        <f t="shared" si="146"/>
        <v>#N/A</v>
      </c>
      <c r="AH584" t="e">
        <f t="shared" si="147"/>
        <v>#N/A</v>
      </c>
      <c r="AI584" t="e">
        <f t="shared" si="148"/>
        <v>#N/A</v>
      </c>
      <c r="AK584" t="e">
        <f t="shared" si="149"/>
        <v>#N/A</v>
      </c>
      <c r="AL584" t="e">
        <f t="shared" si="150"/>
        <v>#N/A</v>
      </c>
      <c r="AM584">
        <f t="shared" si="151"/>
        <v>0.68700000000000006</v>
      </c>
      <c r="AN584" t="e">
        <f t="shared" si="152"/>
        <v>#N/A</v>
      </c>
      <c r="AO584" t="e">
        <f t="shared" si="153"/>
        <v>#N/A</v>
      </c>
      <c r="AP584" t="e">
        <f t="shared" si="154"/>
        <v>#N/A</v>
      </c>
      <c r="AQ584" t="e">
        <f t="shared" si="155"/>
        <v>#N/A</v>
      </c>
    </row>
    <row r="585" spans="15:43">
      <c r="O585">
        <v>581</v>
      </c>
      <c r="P585" s="401">
        <f>'Lab test'!N584</f>
        <v>102.73792000000002</v>
      </c>
      <c r="Q585" s="401">
        <f>'Lab test'!M584</f>
        <v>0.13004800000000002</v>
      </c>
      <c r="R585">
        <f>IF('Lab test'!O584&gt;0,'Lab test'!O584,NA())</f>
        <v>254</v>
      </c>
      <c r="S585">
        <f>'Lab test'!Q584</f>
        <v>790</v>
      </c>
      <c r="T585" s="401">
        <f>IF('Lab test'!P584&gt;0,'Lab test'!P584,NA())</f>
        <v>8.7960846885485056E-2</v>
      </c>
      <c r="U585" s="401">
        <f>'Lab test'!AZ584</f>
        <v>1967</v>
      </c>
      <c r="V585" t="e">
        <f>IF('Lab test'!AQ584&gt;0,'Lab test'!AQ584,NA())</f>
        <v>#N/A</v>
      </c>
      <c r="W585" t="e">
        <f>IF('Lab test'!AU584&gt;0,'Lab test'!AU584,NA())</f>
        <v>#N/A</v>
      </c>
      <c r="X585">
        <f>IF('Lab test'!AT584&gt;0,'Lab test'!AT584,NA())</f>
        <v>0.68400000000000005</v>
      </c>
      <c r="Y585">
        <f t="shared" si="141"/>
        <v>1</v>
      </c>
      <c r="Z585" t="str">
        <f>'Lab test'!AC584</f>
        <v>Electroforming</v>
      </c>
      <c r="AA585" t="str">
        <f>'Lab test'!T584</f>
        <v>Copper</v>
      </c>
      <c r="AC585" t="e">
        <f t="shared" si="142"/>
        <v>#N/A</v>
      </c>
      <c r="AD585" t="e">
        <f t="shared" si="143"/>
        <v>#N/A</v>
      </c>
      <c r="AE585" t="e">
        <f t="shared" si="144"/>
        <v>#N/A</v>
      </c>
      <c r="AF585" t="e">
        <f t="shared" si="145"/>
        <v>#N/A</v>
      </c>
      <c r="AG585" t="e">
        <f t="shared" si="146"/>
        <v>#N/A</v>
      </c>
      <c r="AH585" t="e">
        <f t="shared" si="147"/>
        <v>#N/A</v>
      </c>
      <c r="AI585" t="e">
        <f t="shared" si="148"/>
        <v>#N/A</v>
      </c>
      <c r="AK585" t="e">
        <f t="shared" si="149"/>
        <v>#N/A</v>
      </c>
      <c r="AL585" t="e">
        <f t="shared" si="150"/>
        <v>#N/A</v>
      </c>
      <c r="AM585">
        <f t="shared" si="151"/>
        <v>0.68400000000000005</v>
      </c>
      <c r="AN585" t="e">
        <f t="shared" si="152"/>
        <v>#N/A</v>
      </c>
      <c r="AO585" t="e">
        <f t="shared" si="153"/>
        <v>#N/A</v>
      </c>
      <c r="AP585" t="e">
        <f t="shared" si="154"/>
        <v>#N/A</v>
      </c>
      <c r="AQ585" t="e">
        <f t="shared" si="155"/>
        <v>#N/A</v>
      </c>
    </row>
    <row r="586" spans="15:43">
      <c r="O586">
        <v>582</v>
      </c>
      <c r="P586" s="401">
        <f>'Lab test'!N585</f>
        <v>101.30028</v>
      </c>
      <c r="Q586" s="401">
        <f>'Lab test'!M585</f>
        <v>9.9314E-2</v>
      </c>
      <c r="R586">
        <f>IF('Lab test'!O585&gt;0,'Lab test'!O585,NA())</f>
        <v>203.2</v>
      </c>
      <c r="S586">
        <f>'Lab test'!Q585</f>
        <v>1020</v>
      </c>
      <c r="T586" s="401">
        <f>IF('Lab test'!P585&gt;0,'Lab test'!P585,NA())</f>
        <v>6.2807711858497525E-2</v>
      </c>
      <c r="U586" s="401">
        <f>'Lab test'!AZ585</f>
        <v>1967</v>
      </c>
      <c r="V586" t="e">
        <f>IF('Lab test'!AQ585&gt;0,'Lab test'!AQ585,NA())</f>
        <v>#N/A</v>
      </c>
      <c r="W586" t="e">
        <f>IF('Lab test'!AU585&gt;0,'Lab test'!AU585,NA())</f>
        <v>#N/A</v>
      </c>
      <c r="X586">
        <f>IF('Lab test'!AT585&gt;0,'Lab test'!AT585,NA())</f>
        <v>0.68799999999999994</v>
      </c>
      <c r="Y586">
        <f t="shared" si="141"/>
        <v>1</v>
      </c>
      <c r="Z586" t="str">
        <f>'Lab test'!AC585</f>
        <v>Electroforming</v>
      </c>
      <c r="AA586" t="str">
        <f>'Lab test'!T585</f>
        <v>Copper</v>
      </c>
      <c r="AC586" t="e">
        <f t="shared" si="142"/>
        <v>#N/A</v>
      </c>
      <c r="AD586" t="e">
        <f t="shared" si="143"/>
        <v>#N/A</v>
      </c>
      <c r="AE586" t="e">
        <f t="shared" si="144"/>
        <v>#N/A</v>
      </c>
      <c r="AF586" t="e">
        <f t="shared" si="145"/>
        <v>#N/A</v>
      </c>
      <c r="AG586" t="e">
        <f t="shared" si="146"/>
        <v>#N/A</v>
      </c>
      <c r="AH586" t="e">
        <f t="shared" si="147"/>
        <v>#N/A</v>
      </c>
      <c r="AI586" t="e">
        <f t="shared" si="148"/>
        <v>#N/A</v>
      </c>
      <c r="AK586" t="e">
        <f t="shared" si="149"/>
        <v>#N/A</v>
      </c>
      <c r="AL586" t="e">
        <f t="shared" si="150"/>
        <v>#N/A</v>
      </c>
      <c r="AM586">
        <f t="shared" si="151"/>
        <v>0.68799999999999994</v>
      </c>
      <c r="AN586" t="e">
        <f t="shared" si="152"/>
        <v>#N/A</v>
      </c>
      <c r="AO586" t="e">
        <f t="shared" si="153"/>
        <v>#N/A</v>
      </c>
      <c r="AP586" t="e">
        <f t="shared" si="154"/>
        <v>#N/A</v>
      </c>
      <c r="AQ586" t="e">
        <f t="shared" si="155"/>
        <v>#N/A</v>
      </c>
    </row>
    <row r="587" spans="15:43">
      <c r="O587">
        <v>583</v>
      </c>
      <c r="P587" s="401">
        <f>'Lab test'!N586</f>
        <v>101.94544</v>
      </c>
      <c r="Q587" s="401">
        <f>'Lab test'!M586</f>
        <v>8.7884000000000004E-2</v>
      </c>
      <c r="R587">
        <f>IF('Lab test'!O586&gt;0,'Lab test'!O586,NA())</f>
        <v>203.2</v>
      </c>
      <c r="S587">
        <f>'Lab test'!Q586</f>
        <v>1160</v>
      </c>
      <c r="T587" s="401">
        <f>IF('Lab test'!P586&gt;0,'Lab test'!P586,NA())</f>
        <v>5.8523043603219395E-2</v>
      </c>
      <c r="U587" s="401">
        <f>'Lab test'!AZ586</f>
        <v>1967</v>
      </c>
      <c r="V587" t="e">
        <f>IF('Lab test'!AQ586&gt;0,'Lab test'!AQ586,NA())</f>
        <v>#N/A</v>
      </c>
      <c r="W587" t="e">
        <f>IF('Lab test'!AU586&gt;0,'Lab test'!AU586,NA())</f>
        <v>#N/A</v>
      </c>
      <c r="X587">
        <f>IF('Lab test'!AT586&gt;0,'Lab test'!AT586,NA())</f>
        <v>0.67400000000000004</v>
      </c>
      <c r="Y587">
        <f t="shared" si="141"/>
        <v>1</v>
      </c>
      <c r="Z587" t="str">
        <f>'Lab test'!AC586</f>
        <v>Electroforming</v>
      </c>
      <c r="AA587" t="str">
        <f>'Lab test'!T586</f>
        <v>Copper</v>
      </c>
      <c r="AC587" t="e">
        <f t="shared" si="142"/>
        <v>#N/A</v>
      </c>
      <c r="AD587" t="e">
        <f t="shared" si="143"/>
        <v>#N/A</v>
      </c>
      <c r="AE587" t="e">
        <f t="shared" si="144"/>
        <v>#N/A</v>
      </c>
      <c r="AF587" t="e">
        <f t="shared" si="145"/>
        <v>#N/A</v>
      </c>
      <c r="AG587" t="e">
        <f t="shared" si="146"/>
        <v>#N/A</v>
      </c>
      <c r="AH587" t="e">
        <f t="shared" si="147"/>
        <v>#N/A</v>
      </c>
      <c r="AI587" t="e">
        <f t="shared" si="148"/>
        <v>#N/A</v>
      </c>
      <c r="AK587" t="e">
        <f t="shared" si="149"/>
        <v>#N/A</v>
      </c>
      <c r="AL587" t="e">
        <f t="shared" si="150"/>
        <v>#N/A</v>
      </c>
      <c r="AM587">
        <f t="shared" si="151"/>
        <v>0.67400000000000004</v>
      </c>
      <c r="AN587" t="e">
        <f t="shared" si="152"/>
        <v>#N/A</v>
      </c>
      <c r="AO587" t="e">
        <f t="shared" si="153"/>
        <v>#N/A</v>
      </c>
      <c r="AP587" t="e">
        <f t="shared" si="154"/>
        <v>#N/A</v>
      </c>
      <c r="AQ587" t="e">
        <f t="shared" si="155"/>
        <v>#N/A</v>
      </c>
    </row>
    <row r="588" spans="15:43">
      <c r="O588">
        <v>584</v>
      </c>
      <c r="P588" s="401">
        <f>'Lab test'!N587</f>
        <v>101.43744000000002</v>
      </c>
      <c r="Q588" s="401">
        <f>'Lab test'!M587</f>
        <v>0.10566400000000002</v>
      </c>
      <c r="R588">
        <f>IF('Lab test'!O587&gt;0,'Lab test'!O587,NA())</f>
        <v>205.74</v>
      </c>
      <c r="S588">
        <f>'Lab test'!Q587</f>
        <v>960</v>
      </c>
      <c r="T588" s="401">
        <f>IF('Lab test'!P587&gt;0,'Lab test'!P587,NA())</f>
        <v>6.5461332098607924E-2</v>
      </c>
      <c r="U588" s="401">
        <f>'Lab test'!AZ587</f>
        <v>1967</v>
      </c>
      <c r="V588" t="e">
        <f>IF('Lab test'!AQ587&gt;0,'Lab test'!AQ587,NA())</f>
        <v>#N/A</v>
      </c>
      <c r="W588" t="e">
        <f>IF('Lab test'!AU587&gt;0,'Lab test'!AU587,NA())</f>
        <v>#N/A</v>
      </c>
      <c r="X588">
        <f>IF('Lab test'!AT587&gt;0,'Lab test'!AT587,NA())</f>
        <v>0.61199999999999999</v>
      </c>
      <c r="Y588">
        <f t="shared" si="141"/>
        <v>1</v>
      </c>
      <c r="Z588" t="str">
        <f>'Lab test'!AC587</f>
        <v>Electroforming</v>
      </c>
      <c r="AA588" t="str">
        <f>'Lab test'!T587</f>
        <v>Copper</v>
      </c>
      <c r="AC588" t="e">
        <f t="shared" si="142"/>
        <v>#N/A</v>
      </c>
      <c r="AD588" t="e">
        <f t="shared" si="143"/>
        <v>#N/A</v>
      </c>
      <c r="AE588" t="e">
        <f t="shared" si="144"/>
        <v>#N/A</v>
      </c>
      <c r="AF588" t="e">
        <f t="shared" si="145"/>
        <v>#N/A</v>
      </c>
      <c r="AG588" t="e">
        <f t="shared" si="146"/>
        <v>#N/A</v>
      </c>
      <c r="AH588" t="e">
        <f t="shared" si="147"/>
        <v>#N/A</v>
      </c>
      <c r="AI588" t="e">
        <f t="shared" si="148"/>
        <v>#N/A</v>
      </c>
      <c r="AK588" t="e">
        <f t="shared" si="149"/>
        <v>#N/A</v>
      </c>
      <c r="AL588" t="e">
        <f t="shared" si="150"/>
        <v>#N/A</v>
      </c>
      <c r="AM588">
        <f t="shared" si="151"/>
        <v>0.61199999999999999</v>
      </c>
      <c r="AN588" t="e">
        <f t="shared" si="152"/>
        <v>#N/A</v>
      </c>
      <c r="AO588" t="e">
        <f t="shared" si="153"/>
        <v>#N/A</v>
      </c>
      <c r="AP588" t="e">
        <f t="shared" si="154"/>
        <v>#N/A</v>
      </c>
      <c r="AQ588" t="e">
        <f t="shared" si="155"/>
        <v>#N/A</v>
      </c>
    </row>
    <row r="589" spans="15:43">
      <c r="O589">
        <v>585</v>
      </c>
      <c r="P589" s="401">
        <f>'Lab test'!N588</f>
        <v>101.92512000000001</v>
      </c>
      <c r="Q589" s="401">
        <f>'Lab test'!M588</f>
        <v>0.106172</v>
      </c>
      <c r="R589">
        <f>IF('Lab test'!O588&gt;0,'Lab test'!O588,NA())</f>
        <v>175.26</v>
      </c>
      <c r="S589">
        <f>'Lab test'!Q588</f>
        <v>960</v>
      </c>
      <c r="T589" s="401">
        <f>IF('Lab test'!P588&gt;0,'Lab test'!P588,NA())</f>
        <v>5.5496546652443787E-2</v>
      </c>
      <c r="U589" s="401">
        <f>'Lab test'!AZ588</f>
        <v>1967</v>
      </c>
      <c r="V589" t="e">
        <f>IF('Lab test'!AQ588&gt;0,'Lab test'!AQ588,NA())</f>
        <v>#N/A</v>
      </c>
      <c r="W589" t="e">
        <f>IF('Lab test'!AU588&gt;0,'Lab test'!AU588,NA())</f>
        <v>#N/A</v>
      </c>
      <c r="X589">
        <f>IF('Lab test'!AT588&gt;0,'Lab test'!AT588,NA())</f>
        <v>0.65500000000000003</v>
      </c>
      <c r="Y589">
        <f t="shared" si="141"/>
        <v>1</v>
      </c>
      <c r="Z589" t="str">
        <f>'Lab test'!AC588</f>
        <v>Electroforming</v>
      </c>
      <c r="AA589" t="str">
        <f>'Lab test'!T588</f>
        <v>Copper</v>
      </c>
      <c r="AC589" t="e">
        <f t="shared" si="142"/>
        <v>#N/A</v>
      </c>
      <c r="AD589" t="e">
        <f t="shared" si="143"/>
        <v>#N/A</v>
      </c>
      <c r="AE589" t="e">
        <f t="shared" si="144"/>
        <v>#N/A</v>
      </c>
      <c r="AF589" t="e">
        <f t="shared" si="145"/>
        <v>#N/A</v>
      </c>
      <c r="AG589" t="e">
        <f t="shared" si="146"/>
        <v>#N/A</v>
      </c>
      <c r="AH589" t="e">
        <f t="shared" si="147"/>
        <v>#N/A</v>
      </c>
      <c r="AI589" t="e">
        <f t="shared" si="148"/>
        <v>#N/A</v>
      </c>
      <c r="AK589" t="e">
        <f t="shared" si="149"/>
        <v>#N/A</v>
      </c>
      <c r="AL589" t="e">
        <f t="shared" si="150"/>
        <v>#N/A</v>
      </c>
      <c r="AM589">
        <f t="shared" si="151"/>
        <v>0.65500000000000003</v>
      </c>
      <c r="AN589" t="e">
        <f t="shared" si="152"/>
        <v>#N/A</v>
      </c>
      <c r="AO589" t="e">
        <f t="shared" si="153"/>
        <v>#N/A</v>
      </c>
      <c r="AP589" t="e">
        <f t="shared" si="154"/>
        <v>#N/A</v>
      </c>
      <c r="AQ589" t="e">
        <f t="shared" si="155"/>
        <v>#N/A</v>
      </c>
    </row>
    <row r="590" spans="15:43">
      <c r="O590">
        <v>586</v>
      </c>
      <c r="P590" s="401">
        <f>'Lab test'!N589</f>
        <v>190.5</v>
      </c>
      <c r="Q590" s="401">
        <f>'Lab test'!M589</f>
        <v>0.17779999999999999</v>
      </c>
      <c r="R590" t="e">
        <f>IF('Lab test'!O589&gt;0,'Lab test'!O589,NA())</f>
        <v>#N/A</v>
      </c>
      <c r="S590">
        <f>'Lab test'!Q589</f>
        <v>1071.4285714285716</v>
      </c>
      <c r="T590" s="401" t="e">
        <f>IF('Lab test'!P589&gt;0,'Lab test'!P589,NA())</f>
        <v>#N/A</v>
      </c>
      <c r="U590" s="401">
        <f>'Lab test'!AZ589</f>
        <v>1964</v>
      </c>
      <c r="V590">
        <f>IF('Lab test'!AQ589&gt;0,'Lab test'!AQ589,NA())</f>
        <v>1.6979927069158915</v>
      </c>
      <c r="W590">
        <f>IF('Lab test'!AU589&gt;0,'Lab test'!AU589,NA())</f>
        <v>6.8049186129352304E-2</v>
      </c>
      <c r="X590">
        <f>IF('Lab test'!AT589&gt;0,'Lab test'!AT589,NA())</f>
        <v>0.19619800025297726</v>
      </c>
      <c r="Y590">
        <f t="shared" si="141"/>
        <v>1</v>
      </c>
      <c r="Z590" t="str">
        <f>'Lab test'!AC589</f>
        <v>LTWb</v>
      </c>
      <c r="AA590" t="str">
        <f>'Lab test'!T589</f>
        <v>Steel</v>
      </c>
      <c r="AC590" t="e">
        <f t="shared" si="142"/>
        <v>#N/A</v>
      </c>
      <c r="AD590">
        <f t="shared" si="143"/>
        <v>6.8049186129352304E-2</v>
      </c>
      <c r="AE590" t="e">
        <f t="shared" si="144"/>
        <v>#N/A</v>
      </c>
      <c r="AF590" t="e">
        <f t="shared" si="145"/>
        <v>#N/A</v>
      </c>
      <c r="AG590" t="e">
        <f t="shared" si="146"/>
        <v>#N/A</v>
      </c>
      <c r="AH590" t="e">
        <f t="shared" si="147"/>
        <v>#N/A</v>
      </c>
      <c r="AI590" t="e">
        <f t="shared" si="148"/>
        <v>#N/A</v>
      </c>
      <c r="AK590" t="e">
        <f t="shared" si="149"/>
        <v>#N/A</v>
      </c>
      <c r="AL590">
        <f t="shared" si="150"/>
        <v>0.19619800025297726</v>
      </c>
      <c r="AM590" t="e">
        <f t="shared" si="151"/>
        <v>#N/A</v>
      </c>
      <c r="AN590" t="e">
        <f t="shared" si="152"/>
        <v>#N/A</v>
      </c>
      <c r="AO590" t="e">
        <f t="shared" si="153"/>
        <v>#N/A</v>
      </c>
      <c r="AP590" t="e">
        <f t="shared" si="154"/>
        <v>#N/A</v>
      </c>
      <c r="AQ590" t="e">
        <f t="shared" si="155"/>
        <v>#N/A</v>
      </c>
    </row>
    <row r="591" spans="15:43">
      <c r="O591">
        <v>587</v>
      </c>
      <c r="P591" s="401">
        <f>'Lab test'!N590</f>
        <v>190.5</v>
      </c>
      <c r="Q591" s="401">
        <f>'Lab test'!M590</f>
        <v>0.17779999999999999</v>
      </c>
      <c r="R591" t="e">
        <f>IF('Lab test'!O590&gt;0,'Lab test'!O590,NA())</f>
        <v>#N/A</v>
      </c>
      <c r="S591">
        <f>'Lab test'!Q590</f>
        <v>1071.4285714285716</v>
      </c>
      <c r="T591" s="401" t="e">
        <f>IF('Lab test'!P590&gt;0,'Lab test'!P590,NA())</f>
        <v>#N/A</v>
      </c>
      <c r="U591" s="401">
        <f>'Lab test'!AZ590</f>
        <v>1964</v>
      </c>
      <c r="V591">
        <f>IF('Lab test'!AQ590&gt;0,'Lab test'!AQ590,NA())</f>
        <v>1.7160330855221739</v>
      </c>
      <c r="W591">
        <f>IF('Lab test'!AU590&gt;0,'Lab test'!AU590,NA())</f>
        <v>8.8463586674812938E-2</v>
      </c>
      <c r="X591">
        <f>IF('Lab test'!AT590&gt;0,'Lab test'!AT590,NA())</f>
        <v>0.2605048763774504</v>
      </c>
      <c r="Y591">
        <f t="shared" si="141"/>
        <v>1</v>
      </c>
      <c r="Z591" t="str">
        <f>'Lab test'!AC590</f>
        <v>LTWb</v>
      </c>
      <c r="AA591" t="str">
        <f>'Lab test'!T590</f>
        <v>Steel</v>
      </c>
      <c r="AC591" t="e">
        <f t="shared" si="142"/>
        <v>#N/A</v>
      </c>
      <c r="AD591">
        <f t="shared" si="143"/>
        <v>8.8463586674812938E-2</v>
      </c>
      <c r="AE591" t="e">
        <f t="shared" si="144"/>
        <v>#N/A</v>
      </c>
      <c r="AF591" t="e">
        <f t="shared" si="145"/>
        <v>#N/A</v>
      </c>
      <c r="AG591" t="e">
        <f t="shared" si="146"/>
        <v>#N/A</v>
      </c>
      <c r="AH591" t="e">
        <f t="shared" si="147"/>
        <v>#N/A</v>
      </c>
      <c r="AI591" t="e">
        <f t="shared" si="148"/>
        <v>#N/A</v>
      </c>
      <c r="AK591" t="e">
        <f t="shared" si="149"/>
        <v>#N/A</v>
      </c>
      <c r="AL591">
        <f t="shared" si="150"/>
        <v>0.2605048763774504</v>
      </c>
      <c r="AM591" t="e">
        <f t="shared" si="151"/>
        <v>#N/A</v>
      </c>
      <c r="AN591" t="e">
        <f t="shared" si="152"/>
        <v>#N/A</v>
      </c>
      <c r="AO591" t="e">
        <f t="shared" si="153"/>
        <v>#N/A</v>
      </c>
      <c r="AP591" t="e">
        <f t="shared" si="154"/>
        <v>#N/A</v>
      </c>
      <c r="AQ591" t="e">
        <f t="shared" si="155"/>
        <v>#N/A</v>
      </c>
    </row>
    <row r="592" spans="15:43">
      <c r="O592">
        <v>588</v>
      </c>
      <c r="P592" s="401">
        <f>'Lab test'!N591</f>
        <v>190.5</v>
      </c>
      <c r="Q592" s="401">
        <f>'Lab test'!M591</f>
        <v>0.17779999999999999</v>
      </c>
      <c r="R592" t="e">
        <f>IF('Lab test'!O591&gt;0,'Lab test'!O591,NA())</f>
        <v>#N/A</v>
      </c>
      <c r="S592">
        <f>'Lab test'!Q591</f>
        <v>1071.4285714285716</v>
      </c>
      <c r="T592" s="401" t="e">
        <f>IF('Lab test'!P591&gt;0,'Lab test'!P591,NA())</f>
        <v>#N/A</v>
      </c>
      <c r="U592" s="401">
        <f>'Lab test'!AZ591</f>
        <v>1964</v>
      </c>
      <c r="V592">
        <f>IF('Lab test'!AQ591&gt;0,'Lab test'!AQ591,NA())</f>
        <v>1.7827465266850737</v>
      </c>
      <c r="W592">
        <f>IF('Lab test'!AU591&gt;0,'Lab test'!AU591,NA())</f>
        <v>8.6859004296075348E-2</v>
      </c>
      <c r="X592">
        <f>IF('Lab test'!AT591&gt;0,'Lab test'!AT591,NA())</f>
        <v>0.27605400006503689</v>
      </c>
      <c r="Y592">
        <f t="shared" si="141"/>
        <v>1</v>
      </c>
      <c r="Z592" t="str">
        <f>'Lab test'!AC591</f>
        <v>LTWb</v>
      </c>
      <c r="AA592" t="str">
        <f>'Lab test'!T591</f>
        <v>Steel</v>
      </c>
      <c r="AC592" t="e">
        <f t="shared" si="142"/>
        <v>#N/A</v>
      </c>
      <c r="AD592">
        <f t="shared" si="143"/>
        <v>8.6859004296075348E-2</v>
      </c>
      <c r="AE592" t="e">
        <f t="shared" si="144"/>
        <v>#N/A</v>
      </c>
      <c r="AF592" t="e">
        <f t="shared" si="145"/>
        <v>#N/A</v>
      </c>
      <c r="AG592" t="e">
        <f t="shared" si="146"/>
        <v>#N/A</v>
      </c>
      <c r="AH592" t="e">
        <f t="shared" si="147"/>
        <v>#N/A</v>
      </c>
      <c r="AI592" t="e">
        <f t="shared" si="148"/>
        <v>#N/A</v>
      </c>
      <c r="AK592" t="e">
        <f t="shared" si="149"/>
        <v>#N/A</v>
      </c>
      <c r="AL592">
        <f t="shared" si="150"/>
        <v>0.27605400006503689</v>
      </c>
      <c r="AM592" t="e">
        <f t="shared" si="151"/>
        <v>#N/A</v>
      </c>
      <c r="AN592" t="e">
        <f t="shared" si="152"/>
        <v>#N/A</v>
      </c>
      <c r="AO592" t="e">
        <f t="shared" si="153"/>
        <v>#N/A</v>
      </c>
      <c r="AP592" t="e">
        <f t="shared" si="154"/>
        <v>#N/A</v>
      </c>
      <c r="AQ592" t="e">
        <f t="shared" si="155"/>
        <v>#N/A</v>
      </c>
    </row>
    <row r="593" spans="15:43">
      <c r="O593">
        <v>589</v>
      </c>
      <c r="P593" s="401">
        <f>'Lab test'!N592</f>
        <v>114.3</v>
      </c>
      <c r="Q593" s="401">
        <f>'Lab test'!M592</f>
        <v>0.20319999999999999</v>
      </c>
      <c r="R593" t="e">
        <f>IF('Lab test'!O592&gt;0,'Lab test'!O592,NA())</f>
        <v>#N/A</v>
      </c>
      <c r="S593">
        <f>'Lab test'!Q592</f>
        <v>562.5</v>
      </c>
      <c r="T593" s="401" t="e">
        <f>IF('Lab test'!P592&gt;0,'Lab test'!P592,NA())</f>
        <v>#N/A</v>
      </c>
      <c r="U593" s="401">
        <f>'Lab test'!AZ592</f>
        <v>1964</v>
      </c>
      <c r="V593">
        <f>IF('Lab test'!AQ592&gt;0,'Lab test'!AQ592,NA())</f>
        <v>1.1699262352480448</v>
      </c>
      <c r="W593">
        <f>IF('Lab test'!AU592&gt;0,'Lab test'!AU592,NA())</f>
        <v>0.16166453715688101</v>
      </c>
      <c r="X593">
        <f>IF('Lab test'!AT592&gt;0,'Lab test'!AT592,NA())</f>
        <v>0.22127468095561878</v>
      </c>
      <c r="Y593">
        <f t="shared" si="141"/>
        <v>1</v>
      </c>
      <c r="Z593" t="str">
        <f>'Lab test'!AC592</f>
        <v>LTWb</v>
      </c>
      <c r="AA593" t="str">
        <f>'Lab test'!T592</f>
        <v>Steel</v>
      </c>
      <c r="AC593" t="e">
        <f t="shared" si="142"/>
        <v>#N/A</v>
      </c>
      <c r="AD593">
        <f t="shared" si="143"/>
        <v>0.16166453715688101</v>
      </c>
      <c r="AE593" t="e">
        <f t="shared" si="144"/>
        <v>#N/A</v>
      </c>
      <c r="AF593" t="e">
        <f t="shared" si="145"/>
        <v>#N/A</v>
      </c>
      <c r="AG593" t="e">
        <f t="shared" si="146"/>
        <v>#N/A</v>
      </c>
      <c r="AH593" t="e">
        <f t="shared" si="147"/>
        <v>#N/A</v>
      </c>
      <c r="AI593" t="e">
        <f t="shared" si="148"/>
        <v>#N/A</v>
      </c>
      <c r="AK593" t="e">
        <f t="shared" si="149"/>
        <v>#N/A</v>
      </c>
      <c r="AL593">
        <f t="shared" si="150"/>
        <v>0.22127468095561878</v>
      </c>
      <c r="AM593" t="e">
        <f t="shared" si="151"/>
        <v>#N/A</v>
      </c>
      <c r="AN593" t="e">
        <f t="shared" si="152"/>
        <v>#N/A</v>
      </c>
      <c r="AO593" t="e">
        <f t="shared" si="153"/>
        <v>#N/A</v>
      </c>
      <c r="AP593" t="e">
        <f t="shared" si="154"/>
        <v>#N/A</v>
      </c>
      <c r="AQ593" t="e">
        <f t="shared" si="155"/>
        <v>#N/A</v>
      </c>
    </row>
    <row r="594" spans="15:43">
      <c r="O594">
        <v>590</v>
      </c>
      <c r="P594" s="401">
        <f>'Lab test'!N593</f>
        <v>114.3</v>
      </c>
      <c r="Q594" s="401">
        <f>'Lab test'!M593</f>
        <v>0.20319999999999999</v>
      </c>
      <c r="R594" t="e">
        <f>IF('Lab test'!O593&gt;0,'Lab test'!O593,NA())</f>
        <v>#N/A</v>
      </c>
      <c r="S594">
        <f>'Lab test'!Q593</f>
        <v>562.5</v>
      </c>
      <c r="T594" s="401" t="e">
        <f>IF('Lab test'!P593&gt;0,'Lab test'!P593,NA())</f>
        <v>#N/A</v>
      </c>
      <c r="U594" s="401">
        <f>'Lab test'!AZ593</f>
        <v>1964</v>
      </c>
      <c r="V594">
        <f>IF('Lab test'!AQ593&gt;0,'Lab test'!AQ593,NA())</f>
        <v>1.1071927501539178</v>
      </c>
      <c r="W594">
        <f>IF('Lab test'!AU593&gt;0,'Lab test'!AU593,NA())</f>
        <v>0.20237507600746862</v>
      </c>
      <c r="X594">
        <f>IF('Lab test'!AT593&gt;0,'Lab test'!AT593,NA())</f>
        <v>0.24808670536612881</v>
      </c>
      <c r="Y594">
        <f t="shared" si="141"/>
        <v>1</v>
      </c>
      <c r="Z594" t="str">
        <f>'Lab test'!AC593</f>
        <v>LTWb</v>
      </c>
      <c r="AA594" t="str">
        <f>'Lab test'!T593</f>
        <v>Steel</v>
      </c>
      <c r="AC594" t="e">
        <f t="shared" si="142"/>
        <v>#N/A</v>
      </c>
      <c r="AD594">
        <f t="shared" si="143"/>
        <v>0.20237507600746862</v>
      </c>
      <c r="AE594" t="e">
        <f t="shared" si="144"/>
        <v>#N/A</v>
      </c>
      <c r="AF594" t="e">
        <f t="shared" si="145"/>
        <v>#N/A</v>
      </c>
      <c r="AG594" t="e">
        <f t="shared" si="146"/>
        <v>#N/A</v>
      </c>
      <c r="AH594" t="e">
        <f t="shared" si="147"/>
        <v>#N/A</v>
      </c>
      <c r="AI594" t="e">
        <f t="shared" si="148"/>
        <v>#N/A</v>
      </c>
      <c r="AK594" t="e">
        <f t="shared" si="149"/>
        <v>#N/A</v>
      </c>
      <c r="AL594">
        <f t="shared" si="150"/>
        <v>0.24808670536612881</v>
      </c>
      <c r="AM594" t="e">
        <f t="shared" si="151"/>
        <v>#N/A</v>
      </c>
      <c r="AN594" t="e">
        <f t="shared" si="152"/>
        <v>#N/A</v>
      </c>
      <c r="AO594" t="e">
        <f t="shared" si="153"/>
        <v>#N/A</v>
      </c>
      <c r="AP594" t="e">
        <f t="shared" si="154"/>
        <v>#N/A</v>
      </c>
      <c r="AQ594" t="e">
        <f t="shared" si="155"/>
        <v>#N/A</v>
      </c>
    </row>
    <row r="595" spans="15:43">
      <c r="O595">
        <v>591</v>
      </c>
      <c r="P595" s="401">
        <f>'Lab test'!N594</f>
        <v>114.3</v>
      </c>
      <c r="Q595" s="401">
        <f>'Lab test'!M594</f>
        <v>0.20319999999999999</v>
      </c>
      <c r="R595" t="e">
        <f>IF('Lab test'!O594&gt;0,'Lab test'!O594,NA())</f>
        <v>#N/A</v>
      </c>
      <c r="S595">
        <f>'Lab test'!Q594</f>
        <v>562.5</v>
      </c>
      <c r="T595" s="401" t="e">
        <f>IF('Lab test'!P594&gt;0,'Lab test'!P594,NA())</f>
        <v>#N/A</v>
      </c>
      <c r="U595" s="401">
        <f>'Lab test'!AZ594</f>
        <v>1964</v>
      </c>
      <c r="V595">
        <f>IF('Lab test'!AQ594&gt;0,'Lab test'!AQ594,NA())</f>
        <v>1.1027808496916107</v>
      </c>
      <c r="W595">
        <f>IF('Lab test'!AU594&gt;0,'Lab test'!AU594,NA())</f>
        <v>0.21007635078011105</v>
      </c>
      <c r="X595">
        <f>IF('Lab test'!AT594&gt;0,'Lab test'!AT594,NA())</f>
        <v>0.25547922865223549</v>
      </c>
      <c r="Y595">
        <f t="shared" si="141"/>
        <v>1</v>
      </c>
      <c r="Z595" t="str">
        <f>'Lab test'!AC594</f>
        <v>LTWb</v>
      </c>
      <c r="AA595" t="str">
        <f>'Lab test'!T594</f>
        <v>Steel</v>
      </c>
      <c r="AC595" t="e">
        <f t="shared" si="142"/>
        <v>#N/A</v>
      </c>
      <c r="AD595">
        <f t="shared" si="143"/>
        <v>0.21007635078011105</v>
      </c>
      <c r="AE595" t="e">
        <f t="shared" si="144"/>
        <v>#N/A</v>
      </c>
      <c r="AF595" t="e">
        <f t="shared" si="145"/>
        <v>#N/A</v>
      </c>
      <c r="AG595" t="e">
        <f t="shared" si="146"/>
        <v>#N/A</v>
      </c>
      <c r="AH595" t="e">
        <f t="shared" si="147"/>
        <v>#N/A</v>
      </c>
      <c r="AI595" t="e">
        <f t="shared" si="148"/>
        <v>#N/A</v>
      </c>
      <c r="AK595" t="e">
        <f t="shared" si="149"/>
        <v>#N/A</v>
      </c>
      <c r="AL595">
        <f t="shared" si="150"/>
        <v>0.25547922865223549</v>
      </c>
      <c r="AM595" t="e">
        <f t="shared" si="151"/>
        <v>#N/A</v>
      </c>
      <c r="AN595" t="e">
        <f t="shared" si="152"/>
        <v>#N/A</v>
      </c>
      <c r="AO595" t="e">
        <f t="shared" si="153"/>
        <v>#N/A</v>
      </c>
      <c r="AP595" t="e">
        <f t="shared" si="154"/>
        <v>#N/A</v>
      </c>
      <c r="AQ595" t="e">
        <f t="shared" si="155"/>
        <v>#N/A</v>
      </c>
    </row>
    <row r="596" spans="15:43">
      <c r="O596">
        <v>592</v>
      </c>
      <c r="P596" s="401">
        <f>'Lab test'!N595</f>
        <v>114.3</v>
      </c>
      <c r="Q596" s="401">
        <f>'Lab test'!M595</f>
        <v>0.20319999999999999</v>
      </c>
      <c r="R596" t="e">
        <f>IF('Lab test'!O595&gt;0,'Lab test'!O595,NA())</f>
        <v>#N/A</v>
      </c>
      <c r="S596">
        <f>'Lab test'!Q595</f>
        <v>562.5</v>
      </c>
      <c r="T596" s="401" t="e">
        <f>IF('Lab test'!P595&gt;0,'Lab test'!P595,NA())</f>
        <v>#N/A</v>
      </c>
      <c r="U596" s="401">
        <f>'Lab test'!AZ595</f>
        <v>1964</v>
      </c>
      <c r="V596">
        <f>IF('Lab test'!AQ595&gt;0,'Lab test'!AQ595,NA())</f>
        <v>1.044830987952263</v>
      </c>
      <c r="W596">
        <f>IF('Lab test'!AU595&gt;0,'Lab test'!AU595,NA())</f>
        <v>0.21744061368289605</v>
      </c>
      <c r="X596">
        <f>IF('Lab test'!AT595&gt;0,'Lab test'!AT595,NA())</f>
        <v>0.23737378469400774</v>
      </c>
      <c r="Y596">
        <f t="shared" si="141"/>
        <v>1</v>
      </c>
      <c r="Z596" t="str">
        <f>'Lab test'!AC595</f>
        <v>LTWb</v>
      </c>
      <c r="AA596" t="str">
        <f>'Lab test'!T595</f>
        <v>Steel</v>
      </c>
      <c r="AC596" t="e">
        <f t="shared" si="142"/>
        <v>#N/A</v>
      </c>
      <c r="AD596">
        <f t="shared" si="143"/>
        <v>0.21744061368289605</v>
      </c>
      <c r="AE596" t="e">
        <f t="shared" si="144"/>
        <v>#N/A</v>
      </c>
      <c r="AF596" t="e">
        <f t="shared" si="145"/>
        <v>#N/A</v>
      </c>
      <c r="AG596" t="e">
        <f t="shared" si="146"/>
        <v>#N/A</v>
      </c>
      <c r="AH596" t="e">
        <f t="shared" si="147"/>
        <v>#N/A</v>
      </c>
      <c r="AI596" t="e">
        <f t="shared" si="148"/>
        <v>#N/A</v>
      </c>
      <c r="AK596" t="e">
        <f t="shared" si="149"/>
        <v>#N/A</v>
      </c>
      <c r="AL596">
        <f t="shared" si="150"/>
        <v>0.23737378469400774</v>
      </c>
      <c r="AM596" t="e">
        <f t="shared" si="151"/>
        <v>#N/A</v>
      </c>
      <c r="AN596" t="e">
        <f t="shared" si="152"/>
        <v>#N/A</v>
      </c>
      <c r="AO596" t="e">
        <f t="shared" si="153"/>
        <v>#N/A</v>
      </c>
      <c r="AP596" t="e">
        <f t="shared" si="154"/>
        <v>#N/A</v>
      </c>
      <c r="AQ596" t="e">
        <f t="shared" si="155"/>
        <v>#N/A</v>
      </c>
    </row>
    <row r="597" spans="15:43">
      <c r="O597">
        <v>593</v>
      </c>
      <c r="P597" s="401">
        <f>'Lab test'!N596</f>
        <v>114.3</v>
      </c>
      <c r="Q597" s="401">
        <f>'Lab test'!M596</f>
        <v>0.20319999999999999</v>
      </c>
      <c r="R597" t="e">
        <f>IF('Lab test'!O596&gt;0,'Lab test'!O596,NA())</f>
        <v>#N/A</v>
      </c>
      <c r="S597">
        <f>'Lab test'!Q596</f>
        <v>562.5</v>
      </c>
      <c r="T597" s="401" t="e">
        <f>IF('Lab test'!P596&gt;0,'Lab test'!P596,NA())</f>
        <v>#N/A</v>
      </c>
      <c r="U597" s="401">
        <f>'Lab test'!AZ596</f>
        <v>1964</v>
      </c>
      <c r="V597">
        <f>IF('Lab test'!AQ596&gt;0,'Lab test'!AQ596,NA())</f>
        <v>1.0286412473130768</v>
      </c>
      <c r="W597">
        <f>IF('Lab test'!AU596&gt;0,'Lab test'!AU596,NA())</f>
        <v>0.21289086906615384</v>
      </c>
      <c r="X597">
        <f>IF('Lab test'!AT596&gt;0,'Lab test'!AT596,NA())</f>
        <v>0.22526042799014018</v>
      </c>
      <c r="Y597">
        <f t="shared" si="141"/>
        <v>1</v>
      </c>
      <c r="Z597" t="str">
        <f>'Lab test'!AC596</f>
        <v>LTWb</v>
      </c>
      <c r="AA597" t="str">
        <f>'Lab test'!T596</f>
        <v>Steel</v>
      </c>
      <c r="AC597" t="e">
        <f t="shared" si="142"/>
        <v>#N/A</v>
      </c>
      <c r="AD597">
        <f t="shared" si="143"/>
        <v>0.21289086906615384</v>
      </c>
      <c r="AE597" t="e">
        <f t="shared" si="144"/>
        <v>#N/A</v>
      </c>
      <c r="AF597" t="e">
        <f t="shared" si="145"/>
        <v>#N/A</v>
      </c>
      <c r="AG597" t="e">
        <f t="shared" si="146"/>
        <v>#N/A</v>
      </c>
      <c r="AH597" t="e">
        <f t="shared" si="147"/>
        <v>#N/A</v>
      </c>
      <c r="AI597" t="e">
        <f t="shared" si="148"/>
        <v>#N/A</v>
      </c>
      <c r="AK597" t="e">
        <f t="shared" si="149"/>
        <v>#N/A</v>
      </c>
      <c r="AL597">
        <f t="shared" si="150"/>
        <v>0.22526042799014018</v>
      </c>
      <c r="AM597" t="e">
        <f t="shared" si="151"/>
        <v>#N/A</v>
      </c>
      <c r="AN597" t="e">
        <f t="shared" si="152"/>
        <v>#N/A</v>
      </c>
      <c r="AO597" t="e">
        <f t="shared" si="153"/>
        <v>#N/A</v>
      </c>
      <c r="AP597" t="e">
        <f t="shared" si="154"/>
        <v>#N/A</v>
      </c>
      <c r="AQ597" t="e">
        <f t="shared" si="155"/>
        <v>#N/A</v>
      </c>
    </row>
    <row r="598" spans="15:43">
      <c r="O598">
        <v>594</v>
      </c>
      <c r="P598" s="401">
        <f>'Lab test'!N597</f>
        <v>114.3</v>
      </c>
      <c r="Q598" s="401">
        <f>'Lab test'!M597</f>
        <v>0.38099999999999995</v>
      </c>
      <c r="R598" t="e">
        <f>IF('Lab test'!O597&gt;0,'Lab test'!O597,NA())</f>
        <v>#N/A</v>
      </c>
      <c r="S598">
        <f>'Lab test'!Q597</f>
        <v>300.00000000000006</v>
      </c>
      <c r="T598" s="401" t="e">
        <f>IF('Lab test'!P597&gt;0,'Lab test'!P597,NA())</f>
        <v>#N/A</v>
      </c>
      <c r="U598" s="401">
        <f>'Lab test'!AZ597</f>
        <v>1964</v>
      </c>
      <c r="V598">
        <f>IF('Lab test'!AQ597&gt;0,'Lab test'!AQ597,NA())</f>
        <v>0.88612731391844146</v>
      </c>
      <c r="W598">
        <f>IF('Lab test'!AU597&gt;0,'Lab test'!AU597,NA())</f>
        <v>0.43365045052971174</v>
      </c>
      <c r="X598">
        <f>IF('Lab test'!AT597&gt;0,'Lab test'!AT597,NA())</f>
        <v>0.34051170774888662</v>
      </c>
      <c r="Y598">
        <f t="shared" si="141"/>
        <v>1</v>
      </c>
      <c r="Z598" t="str">
        <f>'Lab test'!AC597</f>
        <v>LTWb</v>
      </c>
      <c r="AA598" t="str">
        <f>'Lab test'!T597</f>
        <v>Steel</v>
      </c>
      <c r="AC598" t="e">
        <f t="shared" si="142"/>
        <v>#N/A</v>
      </c>
      <c r="AD598">
        <f t="shared" si="143"/>
        <v>0.43365045052971174</v>
      </c>
      <c r="AE598" t="e">
        <f t="shared" si="144"/>
        <v>#N/A</v>
      </c>
      <c r="AF598" t="e">
        <f t="shared" si="145"/>
        <v>#N/A</v>
      </c>
      <c r="AG598" t="e">
        <f t="shared" si="146"/>
        <v>#N/A</v>
      </c>
      <c r="AH598" t="e">
        <f t="shared" si="147"/>
        <v>#N/A</v>
      </c>
      <c r="AI598" t="e">
        <f t="shared" si="148"/>
        <v>#N/A</v>
      </c>
      <c r="AK598" t="e">
        <f t="shared" si="149"/>
        <v>#N/A</v>
      </c>
      <c r="AL598">
        <f t="shared" si="150"/>
        <v>0.34051170774888662</v>
      </c>
      <c r="AM598" t="e">
        <f t="shared" si="151"/>
        <v>#N/A</v>
      </c>
      <c r="AN598" t="e">
        <f t="shared" si="152"/>
        <v>#N/A</v>
      </c>
      <c r="AO598" t="e">
        <f t="shared" si="153"/>
        <v>#N/A</v>
      </c>
      <c r="AP598" t="e">
        <f t="shared" si="154"/>
        <v>#N/A</v>
      </c>
      <c r="AQ598" t="e">
        <f t="shared" si="155"/>
        <v>#N/A</v>
      </c>
    </row>
    <row r="599" spans="15:43">
      <c r="O599">
        <v>595</v>
      </c>
      <c r="P599" s="401">
        <f>'Lab test'!N598</f>
        <v>114.3</v>
      </c>
      <c r="Q599" s="401">
        <f>'Lab test'!M598</f>
        <v>0.38099999999999995</v>
      </c>
      <c r="R599" t="e">
        <f>IF('Lab test'!O598&gt;0,'Lab test'!O598,NA())</f>
        <v>#N/A</v>
      </c>
      <c r="S599">
        <f>'Lab test'!Q598</f>
        <v>300.00000000000006</v>
      </c>
      <c r="T599" s="401" t="e">
        <f>IF('Lab test'!P598&gt;0,'Lab test'!P598,NA())</f>
        <v>#N/A</v>
      </c>
      <c r="U599" s="401">
        <f>'Lab test'!AZ598</f>
        <v>1964</v>
      </c>
      <c r="V599">
        <f>IF('Lab test'!AQ598&gt;0,'Lab test'!AQ598,NA())</f>
        <v>0.78720599259469148</v>
      </c>
      <c r="W599">
        <f>IF('Lab test'!AU598&gt;0,'Lab test'!AU598,NA())</f>
        <v>0.49875947891637451</v>
      </c>
      <c r="X599">
        <f>IF('Lab test'!AT598&gt;0,'Lab test'!AT598,NA())</f>
        <v>0.30907789481575498</v>
      </c>
      <c r="Y599">
        <f t="shared" si="141"/>
        <v>1</v>
      </c>
      <c r="Z599" t="str">
        <f>'Lab test'!AC598</f>
        <v>LTWb</v>
      </c>
      <c r="AA599" t="str">
        <f>'Lab test'!T598</f>
        <v>Steel</v>
      </c>
      <c r="AC599" t="e">
        <f t="shared" si="142"/>
        <v>#N/A</v>
      </c>
      <c r="AD599">
        <f t="shared" si="143"/>
        <v>0.49875947891637451</v>
      </c>
      <c r="AE599" t="e">
        <f t="shared" si="144"/>
        <v>#N/A</v>
      </c>
      <c r="AF599" t="e">
        <f t="shared" si="145"/>
        <v>#N/A</v>
      </c>
      <c r="AG599" t="e">
        <f t="shared" si="146"/>
        <v>#N/A</v>
      </c>
      <c r="AH599" t="e">
        <f t="shared" si="147"/>
        <v>#N/A</v>
      </c>
      <c r="AI599" t="e">
        <f t="shared" si="148"/>
        <v>#N/A</v>
      </c>
      <c r="AK599" t="e">
        <f t="shared" si="149"/>
        <v>#N/A</v>
      </c>
      <c r="AL599">
        <f t="shared" si="150"/>
        <v>0.30907789481575498</v>
      </c>
      <c r="AM599" t="e">
        <f t="shared" si="151"/>
        <v>#N/A</v>
      </c>
      <c r="AN599" t="e">
        <f t="shared" si="152"/>
        <v>#N/A</v>
      </c>
      <c r="AO599" t="e">
        <f t="shared" si="153"/>
        <v>#N/A</v>
      </c>
      <c r="AP599" t="e">
        <f t="shared" si="154"/>
        <v>#N/A</v>
      </c>
      <c r="AQ599" t="e">
        <f t="shared" si="155"/>
        <v>#N/A</v>
      </c>
    </row>
    <row r="600" spans="15:43">
      <c r="O600">
        <v>596</v>
      </c>
      <c r="P600" s="401">
        <f>'Lab test'!N599</f>
        <v>114.3</v>
      </c>
      <c r="Q600" s="401">
        <f>'Lab test'!M599</f>
        <v>0.38100000000000001</v>
      </c>
      <c r="R600" t="e">
        <f>IF('Lab test'!O599&gt;0,'Lab test'!O599,NA())</f>
        <v>#N/A</v>
      </c>
      <c r="S600">
        <f>'Lab test'!Q599</f>
        <v>300</v>
      </c>
      <c r="T600" s="401" t="e">
        <f>IF('Lab test'!P599&gt;0,'Lab test'!P599,NA())</f>
        <v>#N/A</v>
      </c>
      <c r="U600" s="401">
        <f>'Lab test'!AZ599</f>
        <v>1964</v>
      </c>
      <c r="V600">
        <f>IF('Lab test'!AQ599&gt;0,'Lab test'!AQ599,NA())</f>
        <v>0.7509519609161065</v>
      </c>
      <c r="W600">
        <f>IF('Lab test'!AU599&gt;0,'Lab test'!AU599,NA())</f>
        <v>0.53859593333860656</v>
      </c>
      <c r="X600">
        <f>IF('Lab test'!AT599&gt;0,'Lab test'!AT599,NA())</f>
        <v>0.30372978401170414</v>
      </c>
      <c r="Y600">
        <f t="shared" si="141"/>
        <v>1</v>
      </c>
      <c r="Z600" t="str">
        <f>'Lab test'!AC599</f>
        <v>LTWb</v>
      </c>
      <c r="AA600" t="str">
        <f>'Lab test'!T599</f>
        <v>Steel</v>
      </c>
      <c r="AC600" t="e">
        <f t="shared" si="142"/>
        <v>#N/A</v>
      </c>
      <c r="AD600">
        <f t="shared" si="143"/>
        <v>0.53859593333860656</v>
      </c>
      <c r="AE600" t="e">
        <f t="shared" si="144"/>
        <v>#N/A</v>
      </c>
      <c r="AF600" t="e">
        <f t="shared" si="145"/>
        <v>#N/A</v>
      </c>
      <c r="AG600" t="e">
        <f t="shared" si="146"/>
        <v>#N/A</v>
      </c>
      <c r="AH600" t="e">
        <f t="shared" si="147"/>
        <v>#N/A</v>
      </c>
      <c r="AI600" t="e">
        <f t="shared" si="148"/>
        <v>#N/A</v>
      </c>
      <c r="AK600" t="e">
        <f t="shared" si="149"/>
        <v>#N/A</v>
      </c>
      <c r="AL600">
        <f t="shared" si="150"/>
        <v>0.30372978401170414</v>
      </c>
      <c r="AM600" t="e">
        <f t="shared" si="151"/>
        <v>#N/A</v>
      </c>
      <c r="AN600" t="e">
        <f t="shared" si="152"/>
        <v>#N/A</v>
      </c>
      <c r="AO600" t="e">
        <f t="shared" si="153"/>
        <v>#N/A</v>
      </c>
      <c r="AP600" t="e">
        <f t="shared" si="154"/>
        <v>#N/A</v>
      </c>
      <c r="AQ600" t="e">
        <f t="shared" si="155"/>
        <v>#N/A</v>
      </c>
    </row>
    <row r="601" spans="15:43">
      <c r="O601">
        <v>597</v>
      </c>
      <c r="P601" s="401">
        <f>'Lab test'!N600</f>
        <v>114.3</v>
      </c>
      <c r="Q601" s="401">
        <f>'Lab test'!M600</f>
        <v>0.38100000000000001</v>
      </c>
      <c r="R601" t="e">
        <f>IF('Lab test'!O600&gt;0,'Lab test'!O600,NA())</f>
        <v>#N/A</v>
      </c>
      <c r="S601">
        <f>'Lab test'!Q600</f>
        <v>300</v>
      </c>
      <c r="T601" s="401" t="e">
        <f>IF('Lab test'!P600&gt;0,'Lab test'!P600,NA())</f>
        <v>#N/A</v>
      </c>
      <c r="U601" s="401">
        <f>'Lab test'!AZ600</f>
        <v>1964</v>
      </c>
      <c r="V601">
        <f>IF('Lab test'!AQ600&gt;0,'Lab test'!AQ600,NA())</f>
        <v>0.69996069716312881</v>
      </c>
      <c r="W601">
        <f>IF('Lab test'!AU600&gt;0,'Lab test'!AU600,NA())</f>
        <v>0.57302113020946721</v>
      </c>
      <c r="X601">
        <f>IF('Lab test'!AT600&gt;0,'Lab test'!AT600,NA())</f>
        <v>0.28074882478938595</v>
      </c>
      <c r="Y601">
        <f t="shared" si="141"/>
        <v>1</v>
      </c>
      <c r="Z601" t="str">
        <f>'Lab test'!AC600</f>
        <v>LTWb</v>
      </c>
      <c r="AA601" t="str">
        <f>'Lab test'!T600</f>
        <v>Steel</v>
      </c>
      <c r="AC601" t="e">
        <f t="shared" si="142"/>
        <v>#N/A</v>
      </c>
      <c r="AD601">
        <f t="shared" si="143"/>
        <v>0.57302113020946721</v>
      </c>
      <c r="AE601" t="e">
        <f t="shared" si="144"/>
        <v>#N/A</v>
      </c>
      <c r="AF601" t="e">
        <f t="shared" si="145"/>
        <v>#N/A</v>
      </c>
      <c r="AG601" t="e">
        <f t="shared" si="146"/>
        <v>#N/A</v>
      </c>
      <c r="AH601" t="e">
        <f t="shared" si="147"/>
        <v>#N/A</v>
      </c>
      <c r="AI601" t="e">
        <f t="shared" si="148"/>
        <v>#N/A</v>
      </c>
      <c r="AK601" t="e">
        <f t="shared" si="149"/>
        <v>#N/A</v>
      </c>
      <c r="AL601">
        <f t="shared" si="150"/>
        <v>0.28074882478938595</v>
      </c>
      <c r="AM601" t="e">
        <f t="shared" si="151"/>
        <v>#N/A</v>
      </c>
      <c r="AN601" t="e">
        <f t="shared" si="152"/>
        <v>#N/A</v>
      </c>
      <c r="AO601" t="e">
        <f t="shared" si="153"/>
        <v>#N/A</v>
      </c>
      <c r="AP601" t="e">
        <f t="shared" si="154"/>
        <v>#N/A</v>
      </c>
      <c r="AQ601" t="e">
        <f t="shared" si="155"/>
        <v>#N/A</v>
      </c>
    </row>
    <row r="602" spans="15:43">
      <c r="O602">
        <v>598</v>
      </c>
      <c r="P602" s="401">
        <f>'Lab test'!N601</f>
        <v>114.3</v>
      </c>
      <c r="Q602" s="401">
        <f>'Lab test'!M601</f>
        <v>0.38100000000000001</v>
      </c>
      <c r="R602" t="e">
        <f>IF('Lab test'!O601&gt;0,'Lab test'!O601,NA())</f>
        <v>#N/A</v>
      </c>
      <c r="S602">
        <f>'Lab test'!Q601</f>
        <v>300</v>
      </c>
      <c r="T602" s="401" t="e">
        <f>IF('Lab test'!P601&gt;0,'Lab test'!P601,NA())</f>
        <v>#N/A</v>
      </c>
      <c r="U602" s="401">
        <f>'Lab test'!AZ601</f>
        <v>1964</v>
      </c>
      <c r="V602">
        <f>IF('Lab test'!AQ601&gt;0,'Lab test'!AQ601,NA())</f>
        <v>0.64802419711259707</v>
      </c>
      <c r="W602">
        <f>IF('Lab test'!AU601&gt;0,'Lab test'!AU601,NA())</f>
        <v>0.67599178306953278</v>
      </c>
      <c r="X602">
        <f>IF('Lab test'!AT601&gt;0,'Lab test'!AT601,NA())</f>
        <v>0.28387285280970181</v>
      </c>
      <c r="Y602">
        <f t="shared" si="141"/>
        <v>1</v>
      </c>
      <c r="Z602" t="str">
        <f>'Lab test'!AC601</f>
        <v>LTWb</v>
      </c>
      <c r="AA602" t="str">
        <f>'Lab test'!T601</f>
        <v>Steel</v>
      </c>
      <c r="AC602" t="e">
        <f t="shared" si="142"/>
        <v>#N/A</v>
      </c>
      <c r="AD602">
        <f t="shared" si="143"/>
        <v>0.67599178306953278</v>
      </c>
      <c r="AE602" t="e">
        <f t="shared" si="144"/>
        <v>#N/A</v>
      </c>
      <c r="AF602" t="e">
        <f t="shared" si="145"/>
        <v>#N/A</v>
      </c>
      <c r="AG602" t="e">
        <f t="shared" si="146"/>
        <v>#N/A</v>
      </c>
      <c r="AH602" t="e">
        <f t="shared" si="147"/>
        <v>#N/A</v>
      </c>
      <c r="AI602" t="e">
        <f t="shared" si="148"/>
        <v>#N/A</v>
      </c>
      <c r="AK602" t="e">
        <f t="shared" si="149"/>
        <v>#N/A</v>
      </c>
      <c r="AL602">
        <f t="shared" si="150"/>
        <v>0.28387285280970181</v>
      </c>
      <c r="AM602" t="e">
        <f t="shared" si="151"/>
        <v>#N/A</v>
      </c>
      <c r="AN602" t="e">
        <f t="shared" si="152"/>
        <v>#N/A</v>
      </c>
      <c r="AO602" t="e">
        <f t="shared" si="153"/>
        <v>#N/A</v>
      </c>
      <c r="AP602" t="e">
        <f t="shared" si="154"/>
        <v>#N/A</v>
      </c>
      <c r="AQ602" t="e">
        <f t="shared" si="155"/>
        <v>#N/A</v>
      </c>
    </row>
    <row r="603" spans="15:43">
      <c r="O603">
        <v>599</v>
      </c>
      <c r="P603" s="401">
        <f>'Lab test'!N602</f>
        <v>114.3</v>
      </c>
      <c r="Q603" s="401">
        <f>'Lab test'!M602</f>
        <v>0.38100000000000001</v>
      </c>
      <c r="R603" t="e">
        <f>IF('Lab test'!O602&gt;0,'Lab test'!O602,NA())</f>
        <v>#N/A</v>
      </c>
      <c r="S603">
        <f>'Lab test'!Q602</f>
        <v>300</v>
      </c>
      <c r="T603" s="401" t="e">
        <f>IF('Lab test'!P602&gt;0,'Lab test'!P602,NA())</f>
        <v>#N/A</v>
      </c>
      <c r="U603" s="401">
        <f>'Lab test'!AZ602</f>
        <v>1964</v>
      </c>
      <c r="V603">
        <f>IF('Lab test'!AQ602&gt;0,'Lab test'!AQ602,NA())</f>
        <v>0.63635091959803869</v>
      </c>
      <c r="W603">
        <f>IF('Lab test'!AU602&gt;0,'Lab test'!AU602,NA())</f>
        <v>0.71555018775255785</v>
      </c>
      <c r="X603">
        <f>IF('Lab test'!AT602&gt;0,'Lab test'!AT602,NA())</f>
        <v>0.28975667680445677</v>
      </c>
      <c r="Y603">
        <f t="shared" si="141"/>
        <v>1</v>
      </c>
      <c r="Z603" t="str">
        <f>'Lab test'!AC602</f>
        <v>LTWb</v>
      </c>
      <c r="AA603" t="str">
        <f>'Lab test'!T602</f>
        <v>Steel</v>
      </c>
      <c r="AC603" t="e">
        <f t="shared" si="142"/>
        <v>#N/A</v>
      </c>
      <c r="AD603">
        <f t="shared" si="143"/>
        <v>0.71555018775255785</v>
      </c>
      <c r="AE603" t="e">
        <f t="shared" si="144"/>
        <v>#N/A</v>
      </c>
      <c r="AF603" t="e">
        <f t="shared" si="145"/>
        <v>#N/A</v>
      </c>
      <c r="AG603" t="e">
        <f t="shared" si="146"/>
        <v>#N/A</v>
      </c>
      <c r="AH603" t="e">
        <f t="shared" si="147"/>
        <v>#N/A</v>
      </c>
      <c r="AI603" t="e">
        <f t="shared" si="148"/>
        <v>#N/A</v>
      </c>
      <c r="AK603" t="e">
        <f t="shared" si="149"/>
        <v>#N/A</v>
      </c>
      <c r="AL603">
        <f t="shared" si="150"/>
        <v>0.28975667680445677</v>
      </c>
      <c r="AM603" t="e">
        <f t="shared" si="151"/>
        <v>#N/A</v>
      </c>
      <c r="AN603" t="e">
        <f t="shared" si="152"/>
        <v>#N/A</v>
      </c>
      <c r="AO603" t="e">
        <f t="shared" si="153"/>
        <v>#N/A</v>
      </c>
      <c r="AP603" t="e">
        <f t="shared" si="154"/>
        <v>#N/A</v>
      </c>
      <c r="AQ603" t="e">
        <f t="shared" si="155"/>
        <v>#N/A</v>
      </c>
    </row>
    <row r="604" spans="15:43">
      <c r="O604">
        <v>600</v>
      </c>
      <c r="P604" s="401">
        <f>'Lab test'!N603</f>
        <v>114.3</v>
      </c>
      <c r="Q604" s="401">
        <f>'Lab test'!M603</f>
        <v>0.38100000000000001</v>
      </c>
      <c r="R604" t="e">
        <f>IF('Lab test'!O603&gt;0,'Lab test'!O603,NA())</f>
        <v>#N/A</v>
      </c>
      <c r="S604">
        <f>'Lab test'!Q603</f>
        <v>300</v>
      </c>
      <c r="T604" s="401" t="e">
        <f>IF('Lab test'!P603&gt;0,'Lab test'!P603,NA())</f>
        <v>#N/A</v>
      </c>
      <c r="U604" s="401">
        <f>'Lab test'!AZ603</f>
        <v>1964</v>
      </c>
      <c r="V604">
        <f>IF('Lab test'!AQ603&gt;0,'Lab test'!AQ603,NA())</f>
        <v>0.62072394133270858</v>
      </c>
      <c r="W604">
        <f>IF('Lab test'!AU603&gt;0,'Lab test'!AU603,NA())</f>
        <v>0.69463068194469424</v>
      </c>
      <c r="X604">
        <f>IF('Lab test'!AT603&gt;0,'Lab test'!AT603,NA())</f>
        <v>0.26763995929768397</v>
      </c>
      <c r="Y604">
        <f t="shared" si="141"/>
        <v>1</v>
      </c>
      <c r="Z604" t="str">
        <f>'Lab test'!AC603</f>
        <v>LTWb</v>
      </c>
      <c r="AA604" t="str">
        <f>'Lab test'!T603</f>
        <v>Steel</v>
      </c>
      <c r="AC604" t="e">
        <f t="shared" si="142"/>
        <v>#N/A</v>
      </c>
      <c r="AD604">
        <f t="shared" si="143"/>
        <v>0.69463068194469424</v>
      </c>
      <c r="AE604" t="e">
        <f t="shared" si="144"/>
        <v>#N/A</v>
      </c>
      <c r="AF604" t="e">
        <f t="shared" si="145"/>
        <v>#N/A</v>
      </c>
      <c r="AG604" t="e">
        <f t="shared" si="146"/>
        <v>#N/A</v>
      </c>
      <c r="AH604" t="e">
        <f t="shared" si="147"/>
        <v>#N/A</v>
      </c>
      <c r="AI604" t="e">
        <f t="shared" si="148"/>
        <v>#N/A</v>
      </c>
      <c r="AK604" t="e">
        <f t="shared" si="149"/>
        <v>#N/A</v>
      </c>
      <c r="AL604">
        <f t="shared" si="150"/>
        <v>0.26763995929768397</v>
      </c>
      <c r="AM604" t="e">
        <f t="shared" si="151"/>
        <v>#N/A</v>
      </c>
      <c r="AN604" t="e">
        <f t="shared" si="152"/>
        <v>#N/A</v>
      </c>
      <c r="AO604" t="e">
        <f t="shared" si="153"/>
        <v>#N/A</v>
      </c>
      <c r="AP604" t="e">
        <f t="shared" si="154"/>
        <v>#N/A</v>
      </c>
      <c r="AQ604" t="e">
        <f t="shared" si="155"/>
        <v>#N/A</v>
      </c>
    </row>
    <row r="605" spans="15:43">
      <c r="O605">
        <v>601</v>
      </c>
      <c r="P605" s="401">
        <f>'Lab test'!N604</f>
        <v>114.3</v>
      </c>
      <c r="Q605" s="401">
        <f>'Lab test'!M604</f>
        <v>0.38100000000000001</v>
      </c>
      <c r="R605" t="e">
        <f>IF('Lab test'!O604&gt;0,'Lab test'!O604,NA())</f>
        <v>#N/A</v>
      </c>
      <c r="S605">
        <f>'Lab test'!Q604</f>
        <v>300</v>
      </c>
      <c r="T605" s="401" t="e">
        <f>IF('Lab test'!P604&gt;0,'Lab test'!P604,NA())</f>
        <v>#N/A</v>
      </c>
      <c r="U605" s="401">
        <f>'Lab test'!AZ604</f>
        <v>1964</v>
      </c>
      <c r="V605">
        <f>IF('Lab test'!AQ604&gt;0,'Lab test'!AQ604,NA())</f>
        <v>0.62446595868682853</v>
      </c>
      <c r="W605">
        <f>IF('Lab test'!AU604&gt;0,'Lab test'!AU604,NA())</f>
        <v>0.62049036917671818</v>
      </c>
      <c r="X605">
        <f>IF('Lab test'!AT604&gt;0,'Lab test'!AT604,NA())</f>
        <v>0.24196501805912921</v>
      </c>
      <c r="Y605">
        <f t="shared" si="141"/>
        <v>1</v>
      </c>
      <c r="Z605" t="str">
        <f>'Lab test'!AC604</f>
        <v>LTWb</v>
      </c>
      <c r="AA605" t="str">
        <f>'Lab test'!T604</f>
        <v>Steel</v>
      </c>
      <c r="AC605" t="e">
        <f t="shared" si="142"/>
        <v>#N/A</v>
      </c>
      <c r="AD605">
        <f t="shared" si="143"/>
        <v>0.62049036917671818</v>
      </c>
      <c r="AE605" t="e">
        <f t="shared" si="144"/>
        <v>#N/A</v>
      </c>
      <c r="AF605" t="e">
        <f t="shared" si="145"/>
        <v>#N/A</v>
      </c>
      <c r="AG605" t="e">
        <f t="shared" si="146"/>
        <v>#N/A</v>
      </c>
      <c r="AH605" t="e">
        <f t="shared" si="147"/>
        <v>#N/A</v>
      </c>
      <c r="AI605" t="e">
        <f t="shared" si="148"/>
        <v>#N/A</v>
      </c>
      <c r="AK605" t="e">
        <f t="shared" si="149"/>
        <v>#N/A</v>
      </c>
      <c r="AL605">
        <f t="shared" si="150"/>
        <v>0.24196501805912921</v>
      </c>
      <c r="AM605" t="e">
        <f t="shared" si="151"/>
        <v>#N/A</v>
      </c>
      <c r="AN605" t="e">
        <f t="shared" si="152"/>
        <v>#N/A</v>
      </c>
      <c r="AO605" t="e">
        <f t="shared" si="153"/>
        <v>#N/A</v>
      </c>
      <c r="AP605" t="e">
        <f t="shared" si="154"/>
        <v>#N/A</v>
      </c>
      <c r="AQ605" t="e">
        <f t="shared" si="155"/>
        <v>#N/A</v>
      </c>
    </row>
    <row r="606" spans="15:43">
      <c r="O606">
        <v>602</v>
      </c>
      <c r="P606" s="401">
        <f>'Lab test'!N605</f>
        <v>238.76</v>
      </c>
      <c r="Q606" s="401">
        <f>'Lab test'!M605</f>
        <v>1.2979400000000001</v>
      </c>
      <c r="R606">
        <f>IF('Lab test'!O605&gt;0,'Lab test'!O605,NA())</f>
        <v>951.99199999999996</v>
      </c>
      <c r="S606">
        <f>'Lab test'!Q605</f>
        <v>183.95303326810173</v>
      </c>
      <c r="T606" s="401">
        <f>IF('Lab test'!P605&gt;0,'Lab test'!P605,NA())</f>
        <v>0.29398031565776683</v>
      </c>
      <c r="U606" s="401">
        <f>'Lab test'!AZ605</f>
        <v>1959</v>
      </c>
      <c r="V606" t="e">
        <f>IF('Lab test'!AQ605&gt;0,'Lab test'!AQ605,NA())</f>
        <v>#N/A</v>
      </c>
      <c r="W606" t="e">
        <f>IF('Lab test'!AU605&gt;0,'Lab test'!AU605,NA())</f>
        <v>#N/A</v>
      </c>
      <c r="X606">
        <f>IF('Lab test'!AT605&gt;0,'Lab test'!AT605,NA())</f>
        <v>0.82483838488084604</v>
      </c>
      <c r="Y606">
        <f t="shared" si="141"/>
        <v>1</v>
      </c>
      <c r="Z606" t="str">
        <f>'Lab test'!AC605</f>
        <v>Miscellaneous</v>
      </c>
      <c r="AA606" t="str">
        <f>'Lab test'!T605</f>
        <v>Aluminium</v>
      </c>
      <c r="AC606" t="e">
        <f t="shared" si="142"/>
        <v>#N/A</v>
      </c>
      <c r="AD606" t="e">
        <f t="shared" si="143"/>
        <v>#N/A</v>
      </c>
      <c r="AE606" t="e">
        <f t="shared" si="144"/>
        <v>#N/A</v>
      </c>
      <c r="AF606" t="e">
        <f t="shared" si="145"/>
        <v>#N/A</v>
      </c>
      <c r="AG606" t="e">
        <f t="shared" si="146"/>
        <v>#N/A</v>
      </c>
      <c r="AH606" t="e">
        <f t="shared" si="147"/>
        <v>#N/A</v>
      </c>
      <c r="AI606" t="e">
        <f t="shared" si="148"/>
        <v>#N/A</v>
      </c>
      <c r="AK606" t="e">
        <f t="shared" si="149"/>
        <v>#N/A</v>
      </c>
      <c r="AL606" t="e">
        <f t="shared" si="150"/>
        <v>#N/A</v>
      </c>
      <c r="AM606" t="e">
        <f t="shared" si="151"/>
        <v>#N/A</v>
      </c>
      <c r="AN606" t="e">
        <f t="shared" si="152"/>
        <v>#N/A</v>
      </c>
      <c r="AO606" t="e">
        <f t="shared" si="153"/>
        <v>#N/A</v>
      </c>
      <c r="AP606" t="e">
        <f t="shared" si="154"/>
        <v>#N/A</v>
      </c>
      <c r="AQ606">
        <f t="shared" si="155"/>
        <v>0.82483838488084604</v>
      </c>
    </row>
    <row r="607" spans="15:43">
      <c r="O607">
        <v>603</v>
      </c>
      <c r="P607" s="401">
        <f>'Lab test'!N606</f>
        <v>238.76</v>
      </c>
      <c r="Q607" s="401">
        <f>'Lab test'!M606</f>
        <v>1.3055600000000001</v>
      </c>
      <c r="R607">
        <f>IF('Lab test'!O606&gt;0,'Lab test'!O606,NA())</f>
        <v>950.72199999999998</v>
      </c>
      <c r="S607">
        <f>'Lab test'!Q606</f>
        <v>182.87937743190659</v>
      </c>
      <c r="T607" s="401">
        <f>IF('Lab test'!P606&gt;0,'Lab test'!P606,NA())</f>
        <v>0.2944486762539596</v>
      </c>
      <c r="U607" s="401">
        <f>'Lab test'!AZ606</f>
        <v>1959</v>
      </c>
      <c r="V607" t="e">
        <f>IF('Lab test'!AQ606&gt;0,'Lab test'!AQ606,NA())</f>
        <v>#N/A</v>
      </c>
      <c r="W607" t="e">
        <f>IF('Lab test'!AU606&gt;0,'Lab test'!AU606,NA())</f>
        <v>#N/A</v>
      </c>
      <c r="X607">
        <f>IF('Lab test'!AT606&gt;0,'Lab test'!AT606,NA())</f>
        <v>0.86642738539875586</v>
      </c>
      <c r="Y607">
        <f t="shared" si="141"/>
        <v>1</v>
      </c>
      <c r="Z607" t="str">
        <f>'Lab test'!AC606</f>
        <v>Miscellaneous</v>
      </c>
      <c r="AA607" t="str">
        <f>'Lab test'!T606</f>
        <v>Aluminium</v>
      </c>
      <c r="AC607" t="e">
        <f t="shared" si="142"/>
        <v>#N/A</v>
      </c>
      <c r="AD607" t="e">
        <f t="shared" si="143"/>
        <v>#N/A</v>
      </c>
      <c r="AE607" t="e">
        <f t="shared" si="144"/>
        <v>#N/A</v>
      </c>
      <c r="AF607" t="e">
        <f t="shared" si="145"/>
        <v>#N/A</v>
      </c>
      <c r="AG607" t="e">
        <f t="shared" si="146"/>
        <v>#N/A</v>
      </c>
      <c r="AH607" t="e">
        <f t="shared" si="147"/>
        <v>#N/A</v>
      </c>
      <c r="AI607" t="e">
        <f t="shared" si="148"/>
        <v>#N/A</v>
      </c>
      <c r="AK607" t="e">
        <f t="shared" si="149"/>
        <v>#N/A</v>
      </c>
      <c r="AL607" t="e">
        <f t="shared" si="150"/>
        <v>#N/A</v>
      </c>
      <c r="AM607" t="e">
        <f t="shared" si="151"/>
        <v>#N/A</v>
      </c>
      <c r="AN607" t="e">
        <f t="shared" si="152"/>
        <v>#N/A</v>
      </c>
      <c r="AO607" t="e">
        <f t="shared" si="153"/>
        <v>#N/A</v>
      </c>
      <c r="AP607" t="e">
        <f t="shared" si="154"/>
        <v>#N/A</v>
      </c>
      <c r="AQ607">
        <f t="shared" si="155"/>
        <v>0.86642738539875586</v>
      </c>
    </row>
    <row r="608" spans="15:43">
      <c r="O608">
        <v>604</v>
      </c>
      <c r="P608" s="401">
        <f>'Lab test'!N607</f>
        <v>238.76</v>
      </c>
      <c r="Q608" s="401">
        <f>'Lab test'!M607</f>
        <v>1.3385800000000001</v>
      </c>
      <c r="R608">
        <f>IF('Lab test'!O607&gt;0,'Lab test'!O607,NA())</f>
        <v>950.46799999999996</v>
      </c>
      <c r="S608">
        <f>'Lab test'!Q607</f>
        <v>178.36812144212522</v>
      </c>
      <c r="T608" s="401">
        <f>IF('Lab test'!P607&gt;0,'Lab test'!P607,NA())</f>
        <v>0.29806934303864546</v>
      </c>
      <c r="U608" s="401">
        <f>'Lab test'!AZ607</f>
        <v>1959</v>
      </c>
      <c r="V608" t="e">
        <f>IF('Lab test'!AQ607&gt;0,'Lab test'!AQ607,NA())</f>
        <v>#N/A</v>
      </c>
      <c r="W608" t="e">
        <f>IF('Lab test'!AU607&gt;0,'Lab test'!AU607,NA())</f>
        <v>#N/A</v>
      </c>
      <c r="X608">
        <f>IF('Lab test'!AT607&gt;0,'Lab test'!AT607,NA())</f>
        <v>0.83683328755722586</v>
      </c>
      <c r="Y608">
        <f t="shared" si="141"/>
        <v>1</v>
      </c>
      <c r="Z608" t="str">
        <f>'Lab test'!AC607</f>
        <v>Miscellaneous</v>
      </c>
      <c r="AA608" t="str">
        <f>'Lab test'!T607</f>
        <v>Aluminium</v>
      </c>
      <c r="AC608" t="e">
        <f t="shared" si="142"/>
        <v>#N/A</v>
      </c>
      <c r="AD608" t="e">
        <f t="shared" si="143"/>
        <v>#N/A</v>
      </c>
      <c r="AE608" t="e">
        <f t="shared" si="144"/>
        <v>#N/A</v>
      </c>
      <c r="AF608" t="e">
        <f t="shared" si="145"/>
        <v>#N/A</v>
      </c>
      <c r="AG608" t="e">
        <f t="shared" si="146"/>
        <v>#N/A</v>
      </c>
      <c r="AH608" t="e">
        <f t="shared" si="147"/>
        <v>#N/A</v>
      </c>
      <c r="AI608" t="e">
        <f t="shared" si="148"/>
        <v>#N/A</v>
      </c>
      <c r="AK608" t="e">
        <f t="shared" si="149"/>
        <v>#N/A</v>
      </c>
      <c r="AL608" t="e">
        <f t="shared" si="150"/>
        <v>#N/A</v>
      </c>
      <c r="AM608" t="e">
        <f t="shared" si="151"/>
        <v>#N/A</v>
      </c>
      <c r="AN608" t="e">
        <f t="shared" si="152"/>
        <v>#N/A</v>
      </c>
      <c r="AO608" t="e">
        <f t="shared" si="153"/>
        <v>#N/A</v>
      </c>
      <c r="AP608" t="e">
        <f t="shared" si="154"/>
        <v>#N/A</v>
      </c>
      <c r="AQ608">
        <f t="shared" si="155"/>
        <v>0.83683328755722586</v>
      </c>
    </row>
    <row r="609" spans="15:43">
      <c r="O609">
        <v>605</v>
      </c>
      <c r="P609" s="401">
        <f>'Lab test'!N608</f>
        <v>42.519599999999997</v>
      </c>
      <c r="Q609" s="401">
        <f>'Lab test'!M608</f>
        <v>7.8739999999999991E-2</v>
      </c>
      <c r="R609">
        <f>IF('Lab test'!O608&gt;0,'Lab test'!O608,NA())</f>
        <v>206.22005999999996</v>
      </c>
      <c r="S609">
        <f>'Lab test'!Q608</f>
        <v>540</v>
      </c>
      <c r="T609" s="401">
        <f>IF('Lab test'!P608&gt;0,'Lab test'!P608,NA())</f>
        <v>0.20871076921228857</v>
      </c>
      <c r="U609" s="401">
        <f>'Lab test'!AZ608</f>
        <v>1968</v>
      </c>
      <c r="V609" t="e">
        <f>IF('Lab test'!AQ608&gt;0,'Lab test'!AQ608,NA())</f>
        <v>#N/A</v>
      </c>
      <c r="W609" t="e">
        <f>IF('Lab test'!AU608&gt;0,'Lab test'!AU608,NA())</f>
        <v>#N/A</v>
      </c>
      <c r="X609" t="e">
        <f>IF('Lab test'!AT608&gt;0,'Lab test'!AT608,NA())</f>
        <v>#N/A</v>
      </c>
      <c r="Y609" t="e">
        <f t="shared" si="141"/>
        <v>#N/A</v>
      </c>
      <c r="Z609" t="str">
        <f>'Lab test'!AC608</f>
        <v>Electroforming</v>
      </c>
      <c r="AA609" t="str">
        <f>'Lab test'!T608</f>
        <v>Nickel</v>
      </c>
      <c r="AC609" t="e">
        <f t="shared" si="142"/>
        <v>#N/A</v>
      </c>
      <c r="AD609" t="e">
        <f t="shared" si="143"/>
        <v>#N/A</v>
      </c>
      <c r="AE609" t="e">
        <f t="shared" si="144"/>
        <v>#N/A</v>
      </c>
      <c r="AF609" t="e">
        <f t="shared" si="145"/>
        <v>#N/A</v>
      </c>
      <c r="AG609" t="e">
        <f t="shared" si="146"/>
        <v>#N/A</v>
      </c>
      <c r="AH609" t="e">
        <f t="shared" si="147"/>
        <v>#N/A</v>
      </c>
      <c r="AI609" t="e">
        <f t="shared" si="148"/>
        <v>#N/A</v>
      </c>
      <c r="AK609" t="e">
        <f t="shared" si="149"/>
        <v>#N/A</v>
      </c>
      <c r="AL609" t="e">
        <f t="shared" si="150"/>
        <v>#N/A</v>
      </c>
      <c r="AM609" t="e">
        <f t="shared" si="151"/>
        <v>#N/A</v>
      </c>
      <c r="AN609" t="e">
        <f t="shared" si="152"/>
        <v>#N/A</v>
      </c>
      <c r="AO609" t="e">
        <f t="shared" si="153"/>
        <v>#N/A</v>
      </c>
      <c r="AP609" t="e">
        <f t="shared" si="154"/>
        <v>#N/A</v>
      </c>
      <c r="AQ609" t="e">
        <f t="shared" si="155"/>
        <v>#N/A</v>
      </c>
    </row>
    <row r="610" spans="15:43">
      <c r="O610">
        <v>606</v>
      </c>
      <c r="P610" s="401">
        <f>'Lab test'!N609</f>
        <v>42.595800000000004</v>
      </c>
      <c r="Q610" s="401">
        <f>'Lab test'!M609</f>
        <v>6.6040000000000001E-2</v>
      </c>
      <c r="R610">
        <f>IF('Lab test'!O609&gt;0,'Lab test'!O609,NA())</f>
        <v>206.58963</v>
      </c>
      <c r="S610">
        <f>'Lab test'!Q609</f>
        <v>645</v>
      </c>
      <c r="T610" s="401">
        <f>IF('Lab test'!P609&gt;0,'Lab test'!P609,NA())</f>
        <v>0.19096856350735322</v>
      </c>
      <c r="U610" s="401">
        <f>'Lab test'!AZ609</f>
        <v>1968</v>
      </c>
      <c r="V610" t="e">
        <f>IF('Lab test'!AQ609&gt;0,'Lab test'!AQ609,NA())</f>
        <v>#N/A</v>
      </c>
      <c r="W610" t="e">
        <f>IF('Lab test'!AU609&gt;0,'Lab test'!AU609,NA())</f>
        <v>#N/A</v>
      </c>
      <c r="X610" t="e">
        <f>IF('Lab test'!AT609&gt;0,'Lab test'!AT609,NA())</f>
        <v>#N/A</v>
      </c>
      <c r="Y610" t="e">
        <f t="shared" si="141"/>
        <v>#N/A</v>
      </c>
      <c r="Z610" t="str">
        <f>'Lab test'!AC609</f>
        <v>Electroforming</v>
      </c>
      <c r="AA610" t="str">
        <f>'Lab test'!T609</f>
        <v>Nickel</v>
      </c>
      <c r="AC610" t="e">
        <f t="shared" si="142"/>
        <v>#N/A</v>
      </c>
      <c r="AD610" t="e">
        <f t="shared" si="143"/>
        <v>#N/A</v>
      </c>
      <c r="AE610" t="e">
        <f t="shared" si="144"/>
        <v>#N/A</v>
      </c>
      <c r="AF610" t="e">
        <f t="shared" si="145"/>
        <v>#N/A</v>
      </c>
      <c r="AG610" t="e">
        <f t="shared" si="146"/>
        <v>#N/A</v>
      </c>
      <c r="AH610" t="e">
        <f t="shared" si="147"/>
        <v>#N/A</v>
      </c>
      <c r="AI610" t="e">
        <f t="shared" si="148"/>
        <v>#N/A</v>
      </c>
      <c r="AK610" t="e">
        <f t="shared" si="149"/>
        <v>#N/A</v>
      </c>
      <c r="AL610" t="e">
        <f t="shared" si="150"/>
        <v>#N/A</v>
      </c>
      <c r="AM610" t="e">
        <f t="shared" si="151"/>
        <v>#N/A</v>
      </c>
      <c r="AN610" t="e">
        <f t="shared" si="152"/>
        <v>#N/A</v>
      </c>
      <c r="AO610" t="e">
        <f t="shared" si="153"/>
        <v>#N/A</v>
      </c>
      <c r="AP610" t="e">
        <f t="shared" si="154"/>
        <v>#N/A</v>
      </c>
      <c r="AQ610" t="e">
        <f t="shared" si="155"/>
        <v>#N/A</v>
      </c>
    </row>
    <row r="611" spans="15:43">
      <c r="O611">
        <v>607</v>
      </c>
      <c r="P611" s="401">
        <f>'Lab test'!N610</f>
        <v>42.468800000000002</v>
      </c>
      <c r="Q611" s="401">
        <f>'Lab test'!M610</f>
        <v>5.5879999999999999E-2</v>
      </c>
      <c r="R611">
        <f>IF('Lab test'!O610&gt;0,'Lab test'!O610,NA())</f>
        <v>205.97368</v>
      </c>
      <c r="S611">
        <f>'Lab test'!Q610</f>
        <v>760</v>
      </c>
      <c r="T611" s="401">
        <f>IF('Lab test'!P610&gt;0,'Lab test'!P610,NA())</f>
        <v>0.1759279906516778</v>
      </c>
      <c r="U611" s="401">
        <f>'Lab test'!AZ610</f>
        <v>1968</v>
      </c>
      <c r="V611" t="e">
        <f>IF('Lab test'!AQ610&gt;0,'Lab test'!AQ610,NA())</f>
        <v>#N/A</v>
      </c>
      <c r="W611" t="e">
        <f>IF('Lab test'!AU610&gt;0,'Lab test'!AU610,NA())</f>
        <v>#N/A</v>
      </c>
      <c r="X611" t="e">
        <f>IF('Lab test'!AT610&gt;0,'Lab test'!AT610,NA())</f>
        <v>#N/A</v>
      </c>
      <c r="Y611" t="e">
        <f t="shared" si="141"/>
        <v>#N/A</v>
      </c>
      <c r="Z611" t="str">
        <f>'Lab test'!AC610</f>
        <v>Electroforming</v>
      </c>
      <c r="AA611" t="str">
        <f>'Lab test'!T610</f>
        <v>Nickel</v>
      </c>
      <c r="AC611" t="e">
        <f t="shared" si="142"/>
        <v>#N/A</v>
      </c>
      <c r="AD611" t="e">
        <f t="shared" si="143"/>
        <v>#N/A</v>
      </c>
      <c r="AE611" t="e">
        <f t="shared" si="144"/>
        <v>#N/A</v>
      </c>
      <c r="AF611" t="e">
        <f t="shared" si="145"/>
        <v>#N/A</v>
      </c>
      <c r="AG611" t="e">
        <f t="shared" si="146"/>
        <v>#N/A</v>
      </c>
      <c r="AH611" t="e">
        <f t="shared" si="147"/>
        <v>#N/A</v>
      </c>
      <c r="AI611" t="e">
        <f t="shared" si="148"/>
        <v>#N/A</v>
      </c>
      <c r="AK611" t="e">
        <f t="shared" si="149"/>
        <v>#N/A</v>
      </c>
      <c r="AL611" t="e">
        <f t="shared" si="150"/>
        <v>#N/A</v>
      </c>
      <c r="AM611" t="e">
        <f t="shared" si="151"/>
        <v>#N/A</v>
      </c>
      <c r="AN611" t="e">
        <f t="shared" si="152"/>
        <v>#N/A</v>
      </c>
      <c r="AO611" t="e">
        <f t="shared" si="153"/>
        <v>#N/A</v>
      </c>
      <c r="AP611" t="e">
        <f t="shared" si="154"/>
        <v>#N/A</v>
      </c>
      <c r="AQ611" t="e">
        <f t="shared" si="155"/>
        <v>#N/A</v>
      </c>
    </row>
    <row r="612" spans="15:43">
      <c r="O612">
        <v>608</v>
      </c>
      <c r="P612" s="401">
        <f>'Lab test'!N611</f>
        <v>42.595800000000004</v>
      </c>
      <c r="Q612" s="401">
        <f>'Lab test'!M611</f>
        <v>6.6040000000000001E-2</v>
      </c>
      <c r="R612">
        <f>IF('Lab test'!O611&gt;0,'Lab test'!O611,NA())</f>
        <v>206.58963</v>
      </c>
      <c r="S612">
        <f>'Lab test'!Q611</f>
        <v>645</v>
      </c>
      <c r="T612" s="401">
        <f>IF('Lab test'!P611&gt;0,'Lab test'!P611,NA())</f>
        <v>0.19096856350735322</v>
      </c>
      <c r="U612" s="401">
        <f>'Lab test'!AZ611</f>
        <v>1968</v>
      </c>
      <c r="V612" t="e">
        <f>IF('Lab test'!AQ611&gt;0,'Lab test'!AQ611,NA())</f>
        <v>#N/A</v>
      </c>
      <c r="W612" t="e">
        <f>IF('Lab test'!AU611&gt;0,'Lab test'!AU611,NA())</f>
        <v>#N/A</v>
      </c>
      <c r="X612" t="e">
        <f>IF('Lab test'!AT611&gt;0,'Lab test'!AT611,NA())</f>
        <v>#N/A</v>
      </c>
      <c r="Y612" t="e">
        <f t="shared" si="141"/>
        <v>#N/A</v>
      </c>
      <c r="Z612" t="str">
        <f>'Lab test'!AC611</f>
        <v>Electroforming</v>
      </c>
      <c r="AA612" t="str">
        <f>'Lab test'!T611</f>
        <v>Nickel</v>
      </c>
      <c r="AC612" t="e">
        <f t="shared" si="142"/>
        <v>#N/A</v>
      </c>
      <c r="AD612" t="e">
        <f t="shared" si="143"/>
        <v>#N/A</v>
      </c>
      <c r="AE612" t="e">
        <f t="shared" si="144"/>
        <v>#N/A</v>
      </c>
      <c r="AF612" t="e">
        <f t="shared" si="145"/>
        <v>#N/A</v>
      </c>
      <c r="AG612" t="e">
        <f t="shared" si="146"/>
        <v>#N/A</v>
      </c>
      <c r="AH612" t="e">
        <f t="shared" si="147"/>
        <v>#N/A</v>
      </c>
      <c r="AI612" t="e">
        <f t="shared" si="148"/>
        <v>#N/A</v>
      </c>
      <c r="AK612" t="e">
        <f t="shared" si="149"/>
        <v>#N/A</v>
      </c>
      <c r="AL612" t="e">
        <f t="shared" si="150"/>
        <v>#N/A</v>
      </c>
      <c r="AM612" t="e">
        <f t="shared" si="151"/>
        <v>#N/A</v>
      </c>
      <c r="AN612" t="e">
        <f t="shared" si="152"/>
        <v>#N/A</v>
      </c>
      <c r="AO612" t="e">
        <f t="shared" si="153"/>
        <v>#N/A</v>
      </c>
      <c r="AP612" t="e">
        <f t="shared" si="154"/>
        <v>#N/A</v>
      </c>
      <c r="AQ612" t="e">
        <f t="shared" si="155"/>
        <v>#N/A</v>
      </c>
    </row>
    <row r="613" spans="15:43">
      <c r="O613">
        <v>609</v>
      </c>
      <c r="P613" s="401">
        <f>'Lab test'!N612</f>
        <v>42.671999999999997</v>
      </c>
      <c r="Q613" s="401">
        <f>'Lab test'!M612</f>
        <v>6.096E-2</v>
      </c>
      <c r="R613">
        <f>IF('Lab test'!O612&gt;0,'Lab test'!O612,NA())</f>
        <v>206.95919999999998</v>
      </c>
      <c r="S613">
        <f>'Lab test'!Q612</f>
        <v>700</v>
      </c>
      <c r="T613" s="401">
        <f>IF('Lab test'!P612&gt;0,'Lab test'!P612,NA())</f>
        <v>0.18331276940947519</v>
      </c>
      <c r="U613" s="401">
        <f>'Lab test'!AZ612</f>
        <v>1968</v>
      </c>
      <c r="V613" t="e">
        <f>IF('Lab test'!AQ612&gt;0,'Lab test'!AQ612,NA())</f>
        <v>#N/A</v>
      </c>
      <c r="W613" t="e">
        <f>IF('Lab test'!AU612&gt;0,'Lab test'!AU612,NA())</f>
        <v>#N/A</v>
      </c>
      <c r="X613">
        <f>IF('Lab test'!AT612&gt;0,'Lab test'!AT612,NA())</f>
        <v>0.66666666666666663</v>
      </c>
      <c r="Y613">
        <f t="shared" si="141"/>
        <v>1</v>
      </c>
      <c r="Z613" t="str">
        <f>'Lab test'!AC612</f>
        <v>Electroforming</v>
      </c>
      <c r="AA613" t="str">
        <f>'Lab test'!T612</f>
        <v>Nickel</v>
      </c>
      <c r="AC613" t="e">
        <f t="shared" si="142"/>
        <v>#N/A</v>
      </c>
      <c r="AD613" t="e">
        <f t="shared" si="143"/>
        <v>#N/A</v>
      </c>
      <c r="AE613" t="e">
        <f t="shared" si="144"/>
        <v>#N/A</v>
      </c>
      <c r="AF613" t="e">
        <f t="shared" si="145"/>
        <v>#N/A</v>
      </c>
      <c r="AG613" t="e">
        <f t="shared" si="146"/>
        <v>#N/A</v>
      </c>
      <c r="AH613" t="e">
        <f t="shared" si="147"/>
        <v>#N/A</v>
      </c>
      <c r="AI613" t="e">
        <f t="shared" si="148"/>
        <v>#N/A</v>
      </c>
      <c r="AK613" t="e">
        <f t="shared" si="149"/>
        <v>#N/A</v>
      </c>
      <c r="AL613" t="e">
        <f t="shared" si="150"/>
        <v>#N/A</v>
      </c>
      <c r="AM613">
        <f t="shared" si="151"/>
        <v>0.66666666666666663</v>
      </c>
      <c r="AN613" t="e">
        <f t="shared" si="152"/>
        <v>#N/A</v>
      </c>
      <c r="AO613" t="e">
        <f t="shared" si="153"/>
        <v>#N/A</v>
      </c>
      <c r="AP613" t="e">
        <f t="shared" si="154"/>
        <v>#N/A</v>
      </c>
      <c r="AQ613" t="e">
        <f t="shared" si="155"/>
        <v>#N/A</v>
      </c>
    </row>
    <row r="614" spans="15:43">
      <c r="O614">
        <v>610</v>
      </c>
      <c r="P614" s="401">
        <f>'Lab test'!N613</f>
        <v>42.671999999999997</v>
      </c>
      <c r="Q614" s="401">
        <f>'Lab test'!M613</f>
        <v>8.1279999999999991E-2</v>
      </c>
      <c r="R614">
        <f>IF('Lab test'!O613&gt;0,'Lab test'!O613,NA())</f>
        <v>206.95919999999998</v>
      </c>
      <c r="S614">
        <f>'Lab test'!Q613</f>
        <v>525</v>
      </c>
      <c r="T614" s="401">
        <f>IF('Lab test'!P613&gt;0,'Lab test'!P613,NA())</f>
        <v>0.21167135352891259</v>
      </c>
      <c r="U614" s="401">
        <f>'Lab test'!AZ613</f>
        <v>1968</v>
      </c>
      <c r="V614" t="e">
        <f>IF('Lab test'!AQ613&gt;0,'Lab test'!AQ613,NA())</f>
        <v>#N/A</v>
      </c>
      <c r="W614" t="e">
        <f>IF('Lab test'!AU613&gt;0,'Lab test'!AU613,NA())</f>
        <v>#N/A</v>
      </c>
      <c r="X614" t="e">
        <f>IF('Lab test'!AT613&gt;0,'Lab test'!AT613,NA())</f>
        <v>#N/A</v>
      </c>
      <c r="Y614" t="e">
        <f t="shared" si="141"/>
        <v>#N/A</v>
      </c>
      <c r="Z614" t="str">
        <f>'Lab test'!AC613</f>
        <v>Electroforming</v>
      </c>
      <c r="AA614" t="str">
        <f>'Lab test'!T613</f>
        <v>Nickel</v>
      </c>
      <c r="AC614" t="e">
        <f t="shared" si="142"/>
        <v>#N/A</v>
      </c>
      <c r="AD614" t="e">
        <f t="shared" si="143"/>
        <v>#N/A</v>
      </c>
      <c r="AE614" t="e">
        <f t="shared" si="144"/>
        <v>#N/A</v>
      </c>
      <c r="AF614" t="e">
        <f t="shared" si="145"/>
        <v>#N/A</v>
      </c>
      <c r="AG614" t="e">
        <f t="shared" si="146"/>
        <v>#N/A</v>
      </c>
      <c r="AH614" t="e">
        <f t="shared" si="147"/>
        <v>#N/A</v>
      </c>
      <c r="AI614" t="e">
        <f t="shared" si="148"/>
        <v>#N/A</v>
      </c>
      <c r="AK614" t="e">
        <f t="shared" si="149"/>
        <v>#N/A</v>
      </c>
      <c r="AL614" t="e">
        <f t="shared" si="150"/>
        <v>#N/A</v>
      </c>
      <c r="AM614" t="e">
        <f t="shared" si="151"/>
        <v>#N/A</v>
      </c>
      <c r="AN614" t="e">
        <f t="shared" si="152"/>
        <v>#N/A</v>
      </c>
      <c r="AO614" t="e">
        <f t="shared" si="153"/>
        <v>#N/A</v>
      </c>
      <c r="AP614" t="e">
        <f t="shared" si="154"/>
        <v>#N/A</v>
      </c>
      <c r="AQ614" t="e">
        <f t="shared" si="155"/>
        <v>#N/A</v>
      </c>
    </row>
    <row r="615" spans="15:43">
      <c r="O615">
        <v>611</v>
      </c>
      <c r="P615" s="401">
        <f>'Lab test'!N614</f>
        <v>42.672000000000004</v>
      </c>
      <c r="Q615" s="401">
        <f>'Lab test'!M614</f>
        <v>5.0800000000000005E-2</v>
      </c>
      <c r="R615">
        <f>IF('Lab test'!O614&gt;0,'Lab test'!O614,NA())</f>
        <v>206.95920000000001</v>
      </c>
      <c r="S615">
        <f>'Lab test'!Q614</f>
        <v>840</v>
      </c>
      <c r="T615" s="401">
        <f>IF('Lab test'!P614&gt;0,'Lab test'!P614,NA())</f>
        <v>0.16734089814052089</v>
      </c>
      <c r="U615" s="401">
        <f>'Lab test'!AZ614</f>
        <v>1968</v>
      </c>
      <c r="V615" t="e">
        <f>IF('Lab test'!AQ614&gt;0,'Lab test'!AQ614,NA())</f>
        <v>#N/A</v>
      </c>
      <c r="W615" t="e">
        <f>IF('Lab test'!AU614&gt;0,'Lab test'!AU614,NA())</f>
        <v>#N/A</v>
      </c>
      <c r="X615">
        <f>IF('Lab test'!AT614&gt;0,'Lab test'!AT614,NA())</f>
        <v>0.60810810810810823</v>
      </c>
      <c r="Y615">
        <f t="shared" si="141"/>
        <v>1</v>
      </c>
      <c r="Z615" t="str">
        <f>'Lab test'!AC614</f>
        <v>Electroforming</v>
      </c>
      <c r="AA615" t="str">
        <f>'Lab test'!T614</f>
        <v>Nickel</v>
      </c>
      <c r="AC615" t="e">
        <f t="shared" si="142"/>
        <v>#N/A</v>
      </c>
      <c r="AD615" t="e">
        <f t="shared" si="143"/>
        <v>#N/A</v>
      </c>
      <c r="AE615" t="e">
        <f t="shared" si="144"/>
        <v>#N/A</v>
      </c>
      <c r="AF615" t="e">
        <f t="shared" si="145"/>
        <v>#N/A</v>
      </c>
      <c r="AG615" t="e">
        <f t="shared" si="146"/>
        <v>#N/A</v>
      </c>
      <c r="AH615" t="e">
        <f t="shared" si="147"/>
        <v>#N/A</v>
      </c>
      <c r="AI615" t="e">
        <f t="shared" si="148"/>
        <v>#N/A</v>
      </c>
      <c r="AK615" t="e">
        <f t="shared" si="149"/>
        <v>#N/A</v>
      </c>
      <c r="AL615" t="e">
        <f t="shared" si="150"/>
        <v>#N/A</v>
      </c>
      <c r="AM615">
        <f t="shared" si="151"/>
        <v>0.60810810810810823</v>
      </c>
      <c r="AN615" t="e">
        <f t="shared" si="152"/>
        <v>#N/A</v>
      </c>
      <c r="AO615" t="e">
        <f t="shared" si="153"/>
        <v>#N/A</v>
      </c>
      <c r="AP615" t="e">
        <f t="shared" si="154"/>
        <v>#N/A</v>
      </c>
      <c r="AQ615" t="e">
        <f t="shared" si="155"/>
        <v>#N/A</v>
      </c>
    </row>
    <row r="616" spans="15:43">
      <c r="O616">
        <v>612</v>
      </c>
      <c r="P616" s="401">
        <f>'Lab test'!N615</f>
        <v>42.532300000000006</v>
      </c>
      <c r="Q616" s="401">
        <f>'Lab test'!M615</f>
        <v>4.3180000000000003E-2</v>
      </c>
      <c r="R616">
        <f>IF('Lab test'!O615&gt;0,'Lab test'!O615,NA())</f>
        <v>206.28165500000003</v>
      </c>
      <c r="S616">
        <f>'Lab test'!Q615</f>
        <v>985</v>
      </c>
      <c r="T616" s="401">
        <f>IF('Lab test'!P615&gt;0,'Lab test'!P615,NA())</f>
        <v>0.15453384956021277</v>
      </c>
      <c r="U616" s="401">
        <f>'Lab test'!AZ615</f>
        <v>1968</v>
      </c>
      <c r="V616" t="e">
        <f>IF('Lab test'!AQ615&gt;0,'Lab test'!AQ615,NA())</f>
        <v>#N/A</v>
      </c>
      <c r="W616" t="e">
        <f>IF('Lab test'!AU615&gt;0,'Lab test'!AU615,NA())</f>
        <v>#N/A</v>
      </c>
      <c r="X616">
        <f>IF('Lab test'!AT615&gt;0,'Lab test'!AT615,NA())</f>
        <v>0.62857142857142845</v>
      </c>
      <c r="Y616">
        <f t="shared" si="141"/>
        <v>1</v>
      </c>
      <c r="Z616" t="str">
        <f>'Lab test'!AC615</f>
        <v>Electroforming</v>
      </c>
      <c r="AA616" t="str">
        <f>'Lab test'!T615</f>
        <v>Nickel</v>
      </c>
      <c r="AC616" t="e">
        <f t="shared" si="142"/>
        <v>#N/A</v>
      </c>
      <c r="AD616" t="e">
        <f t="shared" si="143"/>
        <v>#N/A</v>
      </c>
      <c r="AE616" t="e">
        <f t="shared" si="144"/>
        <v>#N/A</v>
      </c>
      <c r="AF616" t="e">
        <f t="shared" si="145"/>
        <v>#N/A</v>
      </c>
      <c r="AG616" t="e">
        <f t="shared" si="146"/>
        <v>#N/A</v>
      </c>
      <c r="AH616" t="e">
        <f t="shared" si="147"/>
        <v>#N/A</v>
      </c>
      <c r="AI616" t="e">
        <f t="shared" si="148"/>
        <v>#N/A</v>
      </c>
      <c r="AK616" t="e">
        <f t="shared" si="149"/>
        <v>#N/A</v>
      </c>
      <c r="AL616" t="e">
        <f t="shared" si="150"/>
        <v>#N/A</v>
      </c>
      <c r="AM616">
        <f t="shared" si="151"/>
        <v>0.62857142857142845</v>
      </c>
      <c r="AN616" t="e">
        <f t="shared" si="152"/>
        <v>#N/A</v>
      </c>
      <c r="AO616" t="e">
        <f t="shared" si="153"/>
        <v>#N/A</v>
      </c>
      <c r="AP616" t="e">
        <f t="shared" si="154"/>
        <v>#N/A</v>
      </c>
      <c r="AQ616" t="e">
        <f t="shared" si="155"/>
        <v>#N/A</v>
      </c>
    </row>
    <row r="617" spans="15:43">
      <c r="O617">
        <v>613</v>
      </c>
      <c r="P617" s="401">
        <f>'Lab test'!N616</f>
        <v>42.545000000000002</v>
      </c>
      <c r="Q617" s="401">
        <f>'Lab test'!M616</f>
        <v>6.3500000000000001E-2</v>
      </c>
      <c r="R617">
        <f>IF('Lab test'!O616&gt;0,'Lab test'!O616,NA())</f>
        <v>206.34324999999998</v>
      </c>
      <c r="S617">
        <f>'Lab test'!Q616</f>
        <v>670</v>
      </c>
      <c r="T617" s="401">
        <f>IF('Lab test'!P616&gt;0,'Lab test'!P616,NA())</f>
        <v>0.18737184675191701</v>
      </c>
      <c r="U617" s="401">
        <f>'Lab test'!AZ616</f>
        <v>1968</v>
      </c>
      <c r="V617" t="e">
        <f>IF('Lab test'!AQ616&gt;0,'Lab test'!AQ616,NA())</f>
        <v>#N/A</v>
      </c>
      <c r="W617" t="e">
        <f>IF('Lab test'!AU616&gt;0,'Lab test'!AU616,NA())</f>
        <v>#N/A</v>
      </c>
      <c r="X617" t="e">
        <f>IF('Lab test'!AT616&gt;0,'Lab test'!AT616,NA())</f>
        <v>#N/A</v>
      </c>
      <c r="Y617" t="e">
        <f t="shared" si="141"/>
        <v>#N/A</v>
      </c>
      <c r="Z617" t="str">
        <f>'Lab test'!AC616</f>
        <v>Electroforming</v>
      </c>
      <c r="AA617" t="str">
        <f>'Lab test'!T616</f>
        <v>Nickel</v>
      </c>
      <c r="AC617" t="e">
        <f t="shared" si="142"/>
        <v>#N/A</v>
      </c>
      <c r="AD617" t="e">
        <f t="shared" si="143"/>
        <v>#N/A</v>
      </c>
      <c r="AE617" t="e">
        <f t="shared" si="144"/>
        <v>#N/A</v>
      </c>
      <c r="AF617" t="e">
        <f t="shared" si="145"/>
        <v>#N/A</v>
      </c>
      <c r="AG617" t="e">
        <f t="shared" si="146"/>
        <v>#N/A</v>
      </c>
      <c r="AH617" t="e">
        <f t="shared" si="147"/>
        <v>#N/A</v>
      </c>
      <c r="AI617" t="e">
        <f t="shared" si="148"/>
        <v>#N/A</v>
      </c>
      <c r="AK617" t="e">
        <f t="shared" si="149"/>
        <v>#N/A</v>
      </c>
      <c r="AL617" t="e">
        <f t="shared" si="150"/>
        <v>#N/A</v>
      </c>
      <c r="AM617" t="e">
        <f t="shared" si="151"/>
        <v>#N/A</v>
      </c>
      <c r="AN617" t="e">
        <f t="shared" si="152"/>
        <v>#N/A</v>
      </c>
      <c r="AO617" t="e">
        <f t="shared" si="153"/>
        <v>#N/A</v>
      </c>
      <c r="AP617" t="e">
        <f t="shared" si="154"/>
        <v>#N/A</v>
      </c>
      <c r="AQ617" t="e">
        <f t="shared" si="155"/>
        <v>#N/A</v>
      </c>
    </row>
    <row r="618" spans="15:43">
      <c r="O618">
        <v>614</v>
      </c>
      <c r="P618" s="401">
        <f>'Lab test'!N617</f>
        <v>381.31623000000002</v>
      </c>
      <c r="Q618" s="401">
        <f>'Lab test'!M617</f>
        <v>0.63246000000000002</v>
      </c>
      <c r="R618">
        <f>IF('Lab test'!O617&gt;0,'Lab test'!O617,NA())</f>
        <v>812.8</v>
      </c>
      <c r="S618">
        <f>'Lab test'!Q617</f>
        <v>602.90963855421683</v>
      </c>
      <c r="T618" s="401">
        <f>IF('Lab test'!P617&gt;0,'Lab test'!P617,NA())</f>
        <v>8.6810506655749353E-2</v>
      </c>
      <c r="U618" s="401">
        <f>'Lab test'!AZ617</f>
        <v>1951</v>
      </c>
      <c r="V618" t="e">
        <f>IF('Lab test'!AQ617&gt;0,'Lab test'!AQ617,NA())</f>
        <v>#N/A</v>
      </c>
      <c r="W618" t="e">
        <f>IF('Lab test'!AU617&gt;0,'Lab test'!AU617,NA())</f>
        <v>#N/A</v>
      </c>
      <c r="X618">
        <f>IF('Lab test'!AT617&gt;0,'Lab test'!AT617,NA())</f>
        <v>0.31987969738637678</v>
      </c>
      <c r="Y618">
        <f t="shared" si="141"/>
        <v>1</v>
      </c>
      <c r="Z618" t="str">
        <f>'Lab test'!AC617</f>
        <v>LTWb</v>
      </c>
      <c r="AA618" t="str">
        <f>'Lab test'!T617</f>
        <v>Aluminium</v>
      </c>
      <c r="AC618" t="e">
        <f t="shared" si="142"/>
        <v>#N/A</v>
      </c>
      <c r="AD618" t="e">
        <f t="shared" si="143"/>
        <v>#N/A</v>
      </c>
      <c r="AE618" t="e">
        <f t="shared" si="144"/>
        <v>#N/A</v>
      </c>
      <c r="AF618" t="e">
        <f t="shared" si="145"/>
        <v>#N/A</v>
      </c>
      <c r="AG618" t="e">
        <f t="shared" si="146"/>
        <v>#N/A</v>
      </c>
      <c r="AH618" t="e">
        <f t="shared" si="147"/>
        <v>#N/A</v>
      </c>
      <c r="AI618" t="e">
        <f t="shared" si="148"/>
        <v>#N/A</v>
      </c>
      <c r="AK618" t="e">
        <f t="shared" si="149"/>
        <v>#N/A</v>
      </c>
      <c r="AL618">
        <f t="shared" si="150"/>
        <v>0.31987969738637678</v>
      </c>
      <c r="AM618" t="e">
        <f t="shared" si="151"/>
        <v>#N/A</v>
      </c>
      <c r="AN618" t="e">
        <f t="shared" si="152"/>
        <v>#N/A</v>
      </c>
      <c r="AO618" t="e">
        <f t="shared" si="153"/>
        <v>#N/A</v>
      </c>
      <c r="AP618" t="e">
        <f t="shared" si="154"/>
        <v>#N/A</v>
      </c>
      <c r="AQ618" t="e">
        <f t="shared" si="155"/>
        <v>#N/A</v>
      </c>
    </row>
    <row r="619" spans="15:43">
      <c r="O619">
        <v>615</v>
      </c>
      <c r="P619" s="401">
        <f>'Lab test'!N618</f>
        <v>222.25</v>
      </c>
      <c r="Q619" s="401">
        <f>'Lab test'!M618</f>
        <v>0.127</v>
      </c>
      <c r="R619">
        <f>IF('Lab test'!O618&gt;0,'Lab test'!O618,NA())</f>
        <v>546.1</v>
      </c>
      <c r="S619">
        <f>'Lab test'!Q618</f>
        <v>1750</v>
      </c>
      <c r="T619" s="401">
        <f>IF('Lab test'!P618&gt;0,'Lab test'!P618,NA())</f>
        <v>5.8736948801575921E-2</v>
      </c>
      <c r="U619" s="401">
        <f>'Lab test'!AZ618</f>
        <v>1957</v>
      </c>
      <c r="V619" t="e">
        <f>IF('Lab test'!AQ618&gt;0,'Lab test'!AQ618,NA())</f>
        <v>#N/A</v>
      </c>
      <c r="W619" t="e">
        <f>IF('Lab test'!AU618&gt;0,'Lab test'!AU618,NA())</f>
        <v>#N/A</v>
      </c>
      <c r="X619">
        <f>IF('Lab test'!AT618&gt;0,'Lab test'!AT618,NA())</f>
        <v>0.2354486408964809</v>
      </c>
      <c r="Y619">
        <f t="shared" si="141"/>
        <v>1</v>
      </c>
      <c r="Z619" t="str">
        <f>'Lab test'!AC618</f>
        <v>LTWb</v>
      </c>
      <c r="AA619" t="str">
        <f>'Lab test'!T618</f>
        <v>Aluminium</v>
      </c>
      <c r="AC619" t="e">
        <f t="shared" si="142"/>
        <v>#N/A</v>
      </c>
      <c r="AD619" t="e">
        <f t="shared" si="143"/>
        <v>#N/A</v>
      </c>
      <c r="AE619" t="e">
        <f t="shared" si="144"/>
        <v>#N/A</v>
      </c>
      <c r="AF619" t="e">
        <f t="shared" si="145"/>
        <v>#N/A</v>
      </c>
      <c r="AG619" t="e">
        <f t="shared" si="146"/>
        <v>#N/A</v>
      </c>
      <c r="AH619" t="e">
        <f t="shared" si="147"/>
        <v>#N/A</v>
      </c>
      <c r="AI619" t="e">
        <f t="shared" si="148"/>
        <v>#N/A</v>
      </c>
      <c r="AK619" t="e">
        <f t="shared" si="149"/>
        <v>#N/A</v>
      </c>
      <c r="AL619">
        <f t="shared" si="150"/>
        <v>0.2354486408964809</v>
      </c>
      <c r="AM619" t="e">
        <f t="shared" si="151"/>
        <v>#N/A</v>
      </c>
      <c r="AN619" t="e">
        <f t="shared" si="152"/>
        <v>#N/A</v>
      </c>
      <c r="AO619" t="e">
        <f t="shared" si="153"/>
        <v>#N/A</v>
      </c>
      <c r="AP619" t="e">
        <f t="shared" si="154"/>
        <v>#N/A</v>
      </c>
      <c r="AQ619" t="e">
        <f t="shared" si="155"/>
        <v>#N/A</v>
      </c>
    </row>
    <row r="620" spans="15:43">
      <c r="O620">
        <v>616</v>
      </c>
      <c r="P620" s="401">
        <f>'Lab test'!N619</f>
        <v>222.25</v>
      </c>
      <c r="Q620" s="401">
        <f>'Lab test'!M619</f>
        <v>0.127</v>
      </c>
      <c r="R620">
        <f>IF('Lab test'!O619&gt;0,'Lab test'!O619,NA())</f>
        <v>546.1</v>
      </c>
      <c r="S620">
        <f>'Lab test'!Q619</f>
        <v>1750</v>
      </c>
      <c r="T620" s="401">
        <f>IF('Lab test'!P619&gt;0,'Lab test'!P619,NA())</f>
        <v>5.8736948801575921E-2</v>
      </c>
      <c r="U620" s="401">
        <f>'Lab test'!AZ619</f>
        <v>1957</v>
      </c>
      <c r="V620" t="e">
        <f>IF('Lab test'!AQ619&gt;0,'Lab test'!AQ619,NA())</f>
        <v>#N/A</v>
      </c>
      <c r="W620" t="e">
        <f>IF('Lab test'!AU619&gt;0,'Lab test'!AU619,NA())</f>
        <v>#N/A</v>
      </c>
      <c r="X620">
        <f>IF('Lab test'!AT619&gt;0,'Lab test'!AT619,NA())</f>
        <v>0.22525963538400162</v>
      </c>
      <c r="Y620">
        <f t="shared" si="141"/>
        <v>1</v>
      </c>
      <c r="Z620" t="str">
        <f>'Lab test'!AC619</f>
        <v>LTWb</v>
      </c>
      <c r="AA620" t="str">
        <f>'Lab test'!T619</f>
        <v>Aluminium</v>
      </c>
      <c r="AC620" t="e">
        <f t="shared" si="142"/>
        <v>#N/A</v>
      </c>
      <c r="AD620" t="e">
        <f t="shared" si="143"/>
        <v>#N/A</v>
      </c>
      <c r="AE620" t="e">
        <f t="shared" si="144"/>
        <v>#N/A</v>
      </c>
      <c r="AF620" t="e">
        <f t="shared" si="145"/>
        <v>#N/A</v>
      </c>
      <c r="AG620" t="e">
        <f t="shared" si="146"/>
        <v>#N/A</v>
      </c>
      <c r="AH620" t="e">
        <f t="shared" si="147"/>
        <v>#N/A</v>
      </c>
      <c r="AI620" t="e">
        <f t="shared" si="148"/>
        <v>#N/A</v>
      </c>
      <c r="AK620" t="e">
        <f t="shared" si="149"/>
        <v>#N/A</v>
      </c>
      <c r="AL620">
        <f t="shared" si="150"/>
        <v>0.22525963538400162</v>
      </c>
      <c r="AM620" t="e">
        <f t="shared" si="151"/>
        <v>#N/A</v>
      </c>
      <c r="AN620" t="e">
        <f t="shared" si="152"/>
        <v>#N/A</v>
      </c>
      <c r="AO620" t="e">
        <f t="shared" si="153"/>
        <v>#N/A</v>
      </c>
      <c r="AP620" t="e">
        <f t="shared" si="154"/>
        <v>#N/A</v>
      </c>
      <c r="AQ620" t="e">
        <f t="shared" si="155"/>
        <v>#N/A</v>
      </c>
    </row>
    <row r="621" spans="15:43">
      <c r="O621">
        <v>617</v>
      </c>
      <c r="P621" s="401">
        <f>'Lab test'!N620</f>
        <v>222.25</v>
      </c>
      <c r="Q621" s="401">
        <f>'Lab test'!M620</f>
        <v>0.22097999999999998</v>
      </c>
      <c r="R621">
        <f>IF('Lab test'!O620&gt;0,'Lab test'!O620,NA())</f>
        <v>546.1</v>
      </c>
      <c r="S621">
        <f>'Lab test'!Q620</f>
        <v>1005.7471264367817</v>
      </c>
      <c r="T621" s="401">
        <f>IF('Lab test'!P620&gt;0,'Lab test'!P620,NA())</f>
        <v>7.7479356791747916E-2</v>
      </c>
      <c r="U621" s="401">
        <f>'Lab test'!AZ620</f>
        <v>1957</v>
      </c>
      <c r="V621" t="e">
        <f>IF('Lab test'!AQ620&gt;0,'Lab test'!AQ620,NA())</f>
        <v>#N/A</v>
      </c>
      <c r="W621" t="e">
        <f>IF('Lab test'!AU620&gt;0,'Lab test'!AU620,NA())</f>
        <v>#N/A</v>
      </c>
      <c r="X621">
        <f>IF('Lab test'!AT620&gt;0,'Lab test'!AT620,NA())</f>
        <v>0.35758763435205265</v>
      </c>
      <c r="Y621">
        <f t="shared" si="141"/>
        <v>1</v>
      </c>
      <c r="Z621" t="str">
        <f>'Lab test'!AC620</f>
        <v>LTWb</v>
      </c>
      <c r="AA621" t="str">
        <f>'Lab test'!T620</f>
        <v>Steel</v>
      </c>
      <c r="AC621" t="e">
        <f t="shared" si="142"/>
        <v>#N/A</v>
      </c>
      <c r="AD621" t="e">
        <f t="shared" si="143"/>
        <v>#N/A</v>
      </c>
      <c r="AE621" t="e">
        <f t="shared" si="144"/>
        <v>#N/A</v>
      </c>
      <c r="AF621" t="e">
        <f t="shared" si="145"/>
        <v>#N/A</v>
      </c>
      <c r="AG621" t="e">
        <f t="shared" si="146"/>
        <v>#N/A</v>
      </c>
      <c r="AH621" t="e">
        <f t="shared" si="147"/>
        <v>#N/A</v>
      </c>
      <c r="AI621" t="e">
        <f t="shared" si="148"/>
        <v>#N/A</v>
      </c>
      <c r="AK621" t="e">
        <f t="shared" si="149"/>
        <v>#N/A</v>
      </c>
      <c r="AL621">
        <f t="shared" si="150"/>
        <v>0.35758763435205265</v>
      </c>
      <c r="AM621" t="e">
        <f t="shared" si="151"/>
        <v>#N/A</v>
      </c>
      <c r="AN621" t="e">
        <f t="shared" si="152"/>
        <v>#N/A</v>
      </c>
      <c r="AO621" t="e">
        <f t="shared" si="153"/>
        <v>#N/A</v>
      </c>
      <c r="AP621" t="e">
        <f t="shared" si="154"/>
        <v>#N/A</v>
      </c>
      <c r="AQ621" t="e">
        <f t="shared" si="155"/>
        <v>#N/A</v>
      </c>
    </row>
    <row r="622" spans="15:43">
      <c r="O622">
        <v>618</v>
      </c>
      <c r="P622" s="401">
        <f>'Lab test'!N621</f>
        <v>222.25</v>
      </c>
      <c r="Q622" s="401">
        <f>'Lab test'!M621</f>
        <v>0.22097999999999998</v>
      </c>
      <c r="R622">
        <f>IF('Lab test'!O621&gt;0,'Lab test'!O621,NA())</f>
        <v>546.1</v>
      </c>
      <c r="S622">
        <f>'Lab test'!Q621</f>
        <v>1005.7471264367817</v>
      </c>
      <c r="T622" s="401">
        <f>IF('Lab test'!P621&gt;0,'Lab test'!P621,NA())</f>
        <v>7.7479356791747916E-2</v>
      </c>
      <c r="U622" s="401">
        <f>'Lab test'!AZ621</f>
        <v>1957</v>
      </c>
      <c r="V622" t="e">
        <f>IF('Lab test'!AQ621&gt;0,'Lab test'!AQ621,NA())</f>
        <v>#N/A</v>
      </c>
      <c r="W622" t="e">
        <f>IF('Lab test'!AU621&gt;0,'Lab test'!AU621,NA())</f>
        <v>#N/A</v>
      </c>
      <c r="X622">
        <f>IF('Lab test'!AT621&gt;0,'Lab test'!AT621,NA())</f>
        <v>0.404363297365402</v>
      </c>
      <c r="Y622">
        <f t="shared" si="141"/>
        <v>1</v>
      </c>
      <c r="Z622" t="str">
        <f>'Lab test'!AC621</f>
        <v>LTWb</v>
      </c>
      <c r="AA622" t="str">
        <f>'Lab test'!T621</f>
        <v>Steel</v>
      </c>
      <c r="AC622" t="e">
        <f t="shared" si="142"/>
        <v>#N/A</v>
      </c>
      <c r="AD622" t="e">
        <f t="shared" si="143"/>
        <v>#N/A</v>
      </c>
      <c r="AE622" t="e">
        <f t="shared" si="144"/>
        <v>#N/A</v>
      </c>
      <c r="AF622" t="e">
        <f t="shared" si="145"/>
        <v>#N/A</v>
      </c>
      <c r="AG622" t="e">
        <f t="shared" si="146"/>
        <v>#N/A</v>
      </c>
      <c r="AH622" t="e">
        <f t="shared" si="147"/>
        <v>#N/A</v>
      </c>
      <c r="AI622" t="e">
        <f t="shared" si="148"/>
        <v>#N/A</v>
      </c>
      <c r="AK622" t="e">
        <f t="shared" si="149"/>
        <v>#N/A</v>
      </c>
      <c r="AL622">
        <f t="shared" si="150"/>
        <v>0.404363297365402</v>
      </c>
      <c r="AM622" t="e">
        <f t="shared" si="151"/>
        <v>#N/A</v>
      </c>
      <c r="AN622" t="e">
        <f t="shared" si="152"/>
        <v>#N/A</v>
      </c>
      <c r="AO622" t="e">
        <f t="shared" si="153"/>
        <v>#N/A</v>
      </c>
      <c r="AP622" t="e">
        <f t="shared" si="154"/>
        <v>#N/A</v>
      </c>
      <c r="AQ622" t="e">
        <f t="shared" si="155"/>
        <v>#N/A</v>
      </c>
    </row>
    <row r="623" spans="15:43">
      <c r="O623">
        <v>619</v>
      </c>
      <c r="P623" s="401">
        <f>'Lab test'!N622</f>
        <v>222.25</v>
      </c>
      <c r="Q623" s="401">
        <f>'Lab test'!M622</f>
        <v>0.22097999999999998</v>
      </c>
      <c r="R623">
        <f>IF('Lab test'!O622&gt;0,'Lab test'!O622,NA())</f>
        <v>546.1</v>
      </c>
      <c r="S623">
        <f>'Lab test'!Q622</f>
        <v>1005.7471264367817</v>
      </c>
      <c r="T623" s="401">
        <f>IF('Lab test'!P622&gt;0,'Lab test'!P622,NA())</f>
        <v>7.7479356791747916E-2</v>
      </c>
      <c r="U623" s="401">
        <f>'Lab test'!AZ622</f>
        <v>1957</v>
      </c>
      <c r="V623" t="e">
        <f>IF('Lab test'!AQ622&gt;0,'Lab test'!AQ622,NA())</f>
        <v>#N/A</v>
      </c>
      <c r="W623" t="e">
        <f>IF('Lab test'!AU622&gt;0,'Lab test'!AU622,NA())</f>
        <v>#N/A</v>
      </c>
      <c r="X623">
        <f>IF('Lab test'!AT622&gt;0,'Lab test'!AT622,NA())</f>
        <v>0.35697216510187701</v>
      </c>
      <c r="Y623">
        <f t="shared" si="141"/>
        <v>1</v>
      </c>
      <c r="Z623" t="str">
        <f>'Lab test'!AC622</f>
        <v>LTWb</v>
      </c>
      <c r="AA623" t="str">
        <f>'Lab test'!T622</f>
        <v>Steel</v>
      </c>
      <c r="AC623" t="e">
        <f t="shared" si="142"/>
        <v>#N/A</v>
      </c>
      <c r="AD623" t="e">
        <f t="shared" si="143"/>
        <v>#N/A</v>
      </c>
      <c r="AE623" t="e">
        <f t="shared" si="144"/>
        <v>#N/A</v>
      </c>
      <c r="AF623" t="e">
        <f t="shared" si="145"/>
        <v>#N/A</v>
      </c>
      <c r="AG623" t="e">
        <f t="shared" si="146"/>
        <v>#N/A</v>
      </c>
      <c r="AH623" t="e">
        <f t="shared" si="147"/>
        <v>#N/A</v>
      </c>
      <c r="AI623" t="e">
        <f t="shared" si="148"/>
        <v>#N/A</v>
      </c>
      <c r="AK623" t="e">
        <f t="shared" si="149"/>
        <v>#N/A</v>
      </c>
      <c r="AL623">
        <f t="shared" si="150"/>
        <v>0.35697216510187701</v>
      </c>
      <c r="AM623" t="e">
        <f t="shared" si="151"/>
        <v>#N/A</v>
      </c>
      <c r="AN623" t="e">
        <f t="shared" si="152"/>
        <v>#N/A</v>
      </c>
      <c r="AO623" t="e">
        <f t="shared" si="153"/>
        <v>#N/A</v>
      </c>
      <c r="AP623" t="e">
        <f t="shared" si="154"/>
        <v>#N/A</v>
      </c>
      <c r="AQ623" t="e">
        <f t="shared" si="155"/>
        <v>#N/A</v>
      </c>
    </row>
    <row r="624" spans="15:43">
      <c r="O624">
        <v>620</v>
      </c>
      <c r="P624" s="401">
        <f>'Lab test'!N623</f>
        <v>222.25</v>
      </c>
      <c r="Q624" s="401">
        <f>'Lab test'!M623</f>
        <v>0.22097999999999998</v>
      </c>
      <c r="R624">
        <f>IF('Lab test'!O623&gt;0,'Lab test'!O623,NA())</f>
        <v>546.1</v>
      </c>
      <c r="S624">
        <f>'Lab test'!Q623</f>
        <v>1005.7471264367817</v>
      </c>
      <c r="T624" s="401">
        <f>IF('Lab test'!P623&gt;0,'Lab test'!P623,NA())</f>
        <v>7.7479356791747916E-2</v>
      </c>
      <c r="U624" s="401">
        <f>'Lab test'!AZ623</f>
        <v>1957</v>
      </c>
      <c r="V624" t="e">
        <f>IF('Lab test'!AQ623&gt;0,'Lab test'!AQ623,NA())</f>
        <v>#N/A</v>
      </c>
      <c r="W624" t="e">
        <f>IF('Lab test'!AU623&gt;0,'Lab test'!AU623,NA())</f>
        <v>#N/A</v>
      </c>
      <c r="X624">
        <f>IF('Lab test'!AT623&gt;0,'Lab test'!AT623,NA())</f>
        <v>0.41728815161909072</v>
      </c>
      <c r="Y624">
        <f t="shared" si="141"/>
        <v>1</v>
      </c>
      <c r="Z624" t="str">
        <f>'Lab test'!AC623</f>
        <v>LTWb</v>
      </c>
      <c r="AA624" t="str">
        <f>'Lab test'!T623</f>
        <v>Steel</v>
      </c>
      <c r="AC624" t="e">
        <f t="shared" si="142"/>
        <v>#N/A</v>
      </c>
      <c r="AD624" t="e">
        <f t="shared" si="143"/>
        <v>#N/A</v>
      </c>
      <c r="AE624" t="e">
        <f t="shared" si="144"/>
        <v>#N/A</v>
      </c>
      <c r="AF624" t="e">
        <f t="shared" si="145"/>
        <v>#N/A</v>
      </c>
      <c r="AG624" t="e">
        <f t="shared" si="146"/>
        <v>#N/A</v>
      </c>
      <c r="AH624" t="e">
        <f t="shared" si="147"/>
        <v>#N/A</v>
      </c>
      <c r="AI624" t="e">
        <f t="shared" si="148"/>
        <v>#N/A</v>
      </c>
      <c r="AK624" t="e">
        <f t="shared" si="149"/>
        <v>#N/A</v>
      </c>
      <c r="AL624">
        <f t="shared" si="150"/>
        <v>0.41728815161909072</v>
      </c>
      <c r="AM624" t="e">
        <f t="shared" si="151"/>
        <v>#N/A</v>
      </c>
      <c r="AN624" t="e">
        <f t="shared" si="152"/>
        <v>#N/A</v>
      </c>
      <c r="AO624" t="e">
        <f t="shared" si="153"/>
        <v>#N/A</v>
      </c>
      <c r="AP624" t="e">
        <f t="shared" si="154"/>
        <v>#N/A</v>
      </c>
      <c r="AQ624" t="e">
        <f t="shared" si="155"/>
        <v>#N/A</v>
      </c>
    </row>
    <row r="625" spans="15:43">
      <c r="O625">
        <v>621</v>
      </c>
      <c r="P625" s="401">
        <f>'Lab test'!N624</f>
        <v>222.25</v>
      </c>
      <c r="Q625" s="401">
        <f>'Lab test'!M624</f>
        <v>8.1279999999999991E-2</v>
      </c>
      <c r="R625">
        <f>IF('Lab test'!O624&gt;0,'Lab test'!O624,NA())</f>
        <v>241.29999999999998</v>
      </c>
      <c r="S625">
        <f>'Lab test'!Q624</f>
        <v>2734.3750000000005</v>
      </c>
      <c r="T625" s="401">
        <f>IF('Lab test'!P624&gt;0,'Lab test'!P624,NA())</f>
        <v>2.076282841358032E-2</v>
      </c>
      <c r="U625" s="401">
        <f>'Lab test'!AZ624</f>
        <v>1957</v>
      </c>
      <c r="V625" t="e">
        <f>IF('Lab test'!AQ624&gt;0,'Lab test'!AQ624,NA())</f>
        <v>#N/A</v>
      </c>
      <c r="W625" t="e">
        <f>IF('Lab test'!AU624&gt;0,'Lab test'!AU624,NA())</f>
        <v>#N/A</v>
      </c>
      <c r="X625">
        <f>IF('Lab test'!AT624&gt;0,'Lab test'!AT624,NA())</f>
        <v>0.29098809145882698</v>
      </c>
      <c r="Y625">
        <f t="shared" si="141"/>
        <v>1</v>
      </c>
      <c r="Z625" t="str">
        <f>'Lab test'!AC624</f>
        <v>LTWb</v>
      </c>
      <c r="AA625" t="str">
        <f>'Lab test'!T624</f>
        <v>Steel</v>
      </c>
      <c r="AC625" t="e">
        <f t="shared" si="142"/>
        <v>#N/A</v>
      </c>
      <c r="AD625" t="e">
        <f t="shared" si="143"/>
        <v>#N/A</v>
      </c>
      <c r="AE625" t="e">
        <f t="shared" si="144"/>
        <v>#N/A</v>
      </c>
      <c r="AF625" t="e">
        <f t="shared" si="145"/>
        <v>#N/A</v>
      </c>
      <c r="AG625" t="e">
        <f t="shared" si="146"/>
        <v>#N/A</v>
      </c>
      <c r="AH625" t="e">
        <f t="shared" si="147"/>
        <v>#N/A</v>
      </c>
      <c r="AI625" t="e">
        <f t="shared" si="148"/>
        <v>#N/A</v>
      </c>
      <c r="AK625" t="e">
        <f t="shared" si="149"/>
        <v>#N/A</v>
      </c>
      <c r="AL625">
        <f t="shared" si="150"/>
        <v>0.29098809145882698</v>
      </c>
      <c r="AM625" t="e">
        <f t="shared" si="151"/>
        <v>#N/A</v>
      </c>
      <c r="AN625" t="e">
        <f t="shared" si="152"/>
        <v>#N/A</v>
      </c>
      <c r="AO625" t="e">
        <f t="shared" si="153"/>
        <v>#N/A</v>
      </c>
      <c r="AP625" t="e">
        <f t="shared" si="154"/>
        <v>#N/A</v>
      </c>
      <c r="AQ625" t="e">
        <f t="shared" si="155"/>
        <v>#N/A</v>
      </c>
    </row>
    <row r="626" spans="15:43">
      <c r="O626">
        <v>622</v>
      </c>
      <c r="P626" s="401">
        <f>'Lab test'!N625</f>
        <v>222.25</v>
      </c>
      <c r="Q626" s="401">
        <f>'Lab test'!M625</f>
        <v>8.1279999999999991E-2</v>
      </c>
      <c r="R626">
        <f>IF('Lab test'!O625&gt;0,'Lab test'!O625,NA())</f>
        <v>241.29999999999998</v>
      </c>
      <c r="S626">
        <f>'Lab test'!Q625</f>
        <v>2734.3750000000005</v>
      </c>
      <c r="T626" s="401">
        <f>IF('Lab test'!P625&gt;0,'Lab test'!P625,NA())</f>
        <v>2.076282841358032E-2</v>
      </c>
      <c r="U626" s="401">
        <f>'Lab test'!AZ625</f>
        <v>1957</v>
      </c>
      <c r="V626" t="e">
        <f>IF('Lab test'!AQ625&gt;0,'Lab test'!AQ625,NA())</f>
        <v>#N/A</v>
      </c>
      <c r="W626" t="e">
        <f>IF('Lab test'!AU625&gt;0,'Lab test'!AU625,NA())</f>
        <v>#N/A</v>
      </c>
      <c r="X626">
        <f>IF('Lab test'!AT625&gt;0,'Lab test'!AT625,NA())</f>
        <v>0.27576099754119998</v>
      </c>
      <c r="Y626">
        <f t="shared" si="141"/>
        <v>1</v>
      </c>
      <c r="Z626" t="str">
        <f>'Lab test'!AC625</f>
        <v>LTWb</v>
      </c>
      <c r="AA626" t="str">
        <f>'Lab test'!T625</f>
        <v>Steel</v>
      </c>
      <c r="AC626" t="e">
        <f t="shared" si="142"/>
        <v>#N/A</v>
      </c>
      <c r="AD626" t="e">
        <f t="shared" si="143"/>
        <v>#N/A</v>
      </c>
      <c r="AE626" t="e">
        <f t="shared" si="144"/>
        <v>#N/A</v>
      </c>
      <c r="AF626" t="e">
        <f t="shared" si="145"/>
        <v>#N/A</v>
      </c>
      <c r="AG626" t="e">
        <f t="shared" si="146"/>
        <v>#N/A</v>
      </c>
      <c r="AH626" t="e">
        <f t="shared" si="147"/>
        <v>#N/A</v>
      </c>
      <c r="AI626" t="e">
        <f t="shared" si="148"/>
        <v>#N/A</v>
      </c>
      <c r="AK626" t="e">
        <f t="shared" si="149"/>
        <v>#N/A</v>
      </c>
      <c r="AL626">
        <f t="shared" si="150"/>
        <v>0.27576099754119998</v>
      </c>
      <c r="AM626" t="e">
        <f t="shared" si="151"/>
        <v>#N/A</v>
      </c>
      <c r="AN626" t="e">
        <f t="shared" si="152"/>
        <v>#N/A</v>
      </c>
      <c r="AO626" t="e">
        <f t="shared" si="153"/>
        <v>#N/A</v>
      </c>
      <c r="AP626" t="e">
        <f t="shared" si="154"/>
        <v>#N/A</v>
      </c>
      <c r="AQ626" t="e">
        <f t="shared" si="155"/>
        <v>#N/A</v>
      </c>
    </row>
    <row r="627" spans="15:43">
      <c r="O627">
        <v>623</v>
      </c>
      <c r="P627" s="401">
        <f>'Lab test'!N626</f>
        <v>222.25</v>
      </c>
      <c r="Q627" s="401">
        <f>'Lab test'!M626</f>
        <v>8.1279999999999991E-2</v>
      </c>
      <c r="R627">
        <f>IF('Lab test'!O626&gt;0,'Lab test'!O626,NA())</f>
        <v>546.1</v>
      </c>
      <c r="S627">
        <f>'Lab test'!Q626</f>
        <v>2734.3750000000005</v>
      </c>
      <c r="T627" s="401">
        <f>IF('Lab test'!P626&gt;0,'Lab test'!P626,NA())</f>
        <v>4.6989559041260731E-2</v>
      </c>
      <c r="U627" s="401">
        <f>'Lab test'!AZ626</f>
        <v>1957</v>
      </c>
      <c r="V627" t="e">
        <f>IF('Lab test'!AQ626&gt;0,'Lab test'!AQ626,NA())</f>
        <v>#N/A</v>
      </c>
      <c r="W627" t="e">
        <f>IF('Lab test'!AU626&gt;0,'Lab test'!AU626,NA())</f>
        <v>#N/A</v>
      </c>
      <c r="X627">
        <f>IF('Lab test'!AT626&gt;0,'Lab test'!AT626,NA())</f>
        <v>0.19678090601240975</v>
      </c>
      <c r="Y627">
        <f t="shared" si="141"/>
        <v>1</v>
      </c>
      <c r="Z627" t="str">
        <f>'Lab test'!AC626</f>
        <v>LTWb</v>
      </c>
      <c r="AA627" t="str">
        <f>'Lab test'!T626</f>
        <v>Steel</v>
      </c>
      <c r="AC627" t="e">
        <f t="shared" si="142"/>
        <v>#N/A</v>
      </c>
      <c r="AD627" t="e">
        <f t="shared" si="143"/>
        <v>#N/A</v>
      </c>
      <c r="AE627" t="e">
        <f t="shared" si="144"/>
        <v>#N/A</v>
      </c>
      <c r="AF627" t="e">
        <f t="shared" si="145"/>
        <v>#N/A</v>
      </c>
      <c r="AG627" t="e">
        <f t="shared" si="146"/>
        <v>#N/A</v>
      </c>
      <c r="AH627" t="e">
        <f t="shared" si="147"/>
        <v>#N/A</v>
      </c>
      <c r="AI627" t="e">
        <f t="shared" si="148"/>
        <v>#N/A</v>
      </c>
      <c r="AK627" t="e">
        <f t="shared" si="149"/>
        <v>#N/A</v>
      </c>
      <c r="AL627">
        <f t="shared" si="150"/>
        <v>0.19678090601240975</v>
      </c>
      <c r="AM627" t="e">
        <f t="shared" si="151"/>
        <v>#N/A</v>
      </c>
      <c r="AN627" t="e">
        <f t="shared" si="152"/>
        <v>#N/A</v>
      </c>
      <c r="AO627" t="e">
        <f t="shared" si="153"/>
        <v>#N/A</v>
      </c>
      <c r="AP627" t="e">
        <f t="shared" si="154"/>
        <v>#N/A</v>
      </c>
      <c r="AQ627" t="e">
        <f t="shared" si="155"/>
        <v>#N/A</v>
      </c>
    </row>
    <row r="628" spans="15:43">
      <c r="O628">
        <v>624</v>
      </c>
      <c r="P628" s="401">
        <f>'Lab test'!N627</f>
        <v>222.25</v>
      </c>
      <c r="Q628" s="401">
        <f>'Lab test'!M627</f>
        <v>8.1279999999999991E-2</v>
      </c>
      <c r="R628">
        <f>IF('Lab test'!O627&gt;0,'Lab test'!O627,NA())</f>
        <v>546.1</v>
      </c>
      <c r="S628">
        <f>'Lab test'!Q627</f>
        <v>2734.3750000000005</v>
      </c>
      <c r="T628" s="401">
        <f>IF('Lab test'!P627&gt;0,'Lab test'!P627,NA())</f>
        <v>4.6989559041260731E-2</v>
      </c>
      <c r="U628" s="401">
        <f>'Lab test'!AZ627</f>
        <v>1957</v>
      </c>
      <c r="V628" t="e">
        <f>IF('Lab test'!AQ627&gt;0,'Lab test'!AQ627,NA())</f>
        <v>#N/A</v>
      </c>
      <c r="W628" t="e">
        <f>IF('Lab test'!AU627&gt;0,'Lab test'!AU627,NA())</f>
        <v>#N/A</v>
      </c>
      <c r="X628">
        <f>IF('Lab test'!AT627&gt;0,'Lab test'!AT627,NA())</f>
        <v>0.19209564634544757</v>
      </c>
      <c r="Y628">
        <f t="shared" si="141"/>
        <v>1</v>
      </c>
      <c r="Z628" t="str">
        <f>'Lab test'!AC627</f>
        <v>LTWb</v>
      </c>
      <c r="AA628" t="str">
        <f>'Lab test'!T627</f>
        <v>Steel</v>
      </c>
      <c r="AC628" t="e">
        <f t="shared" si="142"/>
        <v>#N/A</v>
      </c>
      <c r="AD628" t="e">
        <f t="shared" si="143"/>
        <v>#N/A</v>
      </c>
      <c r="AE628" t="e">
        <f t="shared" si="144"/>
        <v>#N/A</v>
      </c>
      <c r="AF628" t="e">
        <f t="shared" si="145"/>
        <v>#N/A</v>
      </c>
      <c r="AG628" t="e">
        <f t="shared" si="146"/>
        <v>#N/A</v>
      </c>
      <c r="AH628" t="e">
        <f t="shared" si="147"/>
        <v>#N/A</v>
      </c>
      <c r="AI628" t="e">
        <f t="shared" si="148"/>
        <v>#N/A</v>
      </c>
      <c r="AK628" t="e">
        <f t="shared" si="149"/>
        <v>#N/A</v>
      </c>
      <c r="AL628">
        <f t="shared" si="150"/>
        <v>0.19209564634544757</v>
      </c>
      <c r="AM628" t="e">
        <f t="shared" si="151"/>
        <v>#N/A</v>
      </c>
      <c r="AN628" t="e">
        <f t="shared" si="152"/>
        <v>#N/A</v>
      </c>
      <c r="AO628" t="e">
        <f t="shared" si="153"/>
        <v>#N/A</v>
      </c>
      <c r="AP628" t="e">
        <f t="shared" si="154"/>
        <v>#N/A</v>
      </c>
      <c r="AQ628" t="e">
        <f t="shared" si="155"/>
        <v>#N/A</v>
      </c>
    </row>
    <row r="629" spans="15:43">
      <c r="O629">
        <v>625</v>
      </c>
      <c r="P629" s="401">
        <f>'Lab test'!N628</f>
        <v>222.25</v>
      </c>
      <c r="Q629" s="401">
        <f>'Lab test'!M628</f>
        <v>8.1279999999999991E-2</v>
      </c>
      <c r="R629">
        <f>IF('Lab test'!O628&gt;0,'Lab test'!O628,NA())</f>
        <v>546.1</v>
      </c>
      <c r="S629">
        <f>'Lab test'!Q628</f>
        <v>2734.3750000000005</v>
      </c>
      <c r="T629" s="401">
        <f>IF('Lab test'!P628&gt;0,'Lab test'!P628,NA())</f>
        <v>4.6989559041260731E-2</v>
      </c>
      <c r="U629" s="401">
        <f>'Lab test'!AZ628</f>
        <v>1957</v>
      </c>
      <c r="V629" t="e">
        <f>IF('Lab test'!AQ628&gt;0,'Lab test'!AQ628,NA())</f>
        <v>#N/A</v>
      </c>
      <c r="W629" t="e">
        <f>IF('Lab test'!AU628&gt;0,'Lab test'!AU628,NA())</f>
        <v>#N/A</v>
      </c>
      <c r="X629">
        <f>IF('Lab test'!AT628&gt;0,'Lab test'!AT628,NA())</f>
        <v>0.18356178052348082</v>
      </c>
      <c r="Y629">
        <f t="shared" si="141"/>
        <v>1</v>
      </c>
      <c r="Z629" t="str">
        <f>'Lab test'!AC628</f>
        <v>LTWb</v>
      </c>
      <c r="AA629" t="str">
        <f>'Lab test'!T628</f>
        <v>Steel</v>
      </c>
      <c r="AC629" t="e">
        <f t="shared" si="142"/>
        <v>#N/A</v>
      </c>
      <c r="AD629" t="e">
        <f t="shared" si="143"/>
        <v>#N/A</v>
      </c>
      <c r="AE629" t="e">
        <f t="shared" si="144"/>
        <v>#N/A</v>
      </c>
      <c r="AF629" t="e">
        <f t="shared" si="145"/>
        <v>#N/A</v>
      </c>
      <c r="AG629" t="e">
        <f t="shared" si="146"/>
        <v>#N/A</v>
      </c>
      <c r="AH629" t="e">
        <f t="shared" si="147"/>
        <v>#N/A</v>
      </c>
      <c r="AI629" t="e">
        <f t="shared" si="148"/>
        <v>#N/A</v>
      </c>
      <c r="AK629" t="e">
        <f t="shared" si="149"/>
        <v>#N/A</v>
      </c>
      <c r="AL629">
        <f t="shared" si="150"/>
        <v>0.18356178052348082</v>
      </c>
      <c r="AM629" t="e">
        <f t="shared" si="151"/>
        <v>#N/A</v>
      </c>
      <c r="AN629" t="e">
        <f t="shared" si="152"/>
        <v>#N/A</v>
      </c>
      <c r="AO629" t="e">
        <f t="shared" si="153"/>
        <v>#N/A</v>
      </c>
      <c r="AP629" t="e">
        <f t="shared" si="154"/>
        <v>#N/A</v>
      </c>
      <c r="AQ629" t="e">
        <f t="shared" si="155"/>
        <v>#N/A</v>
      </c>
    </row>
    <row r="630" spans="15:43">
      <c r="O630">
        <v>626</v>
      </c>
      <c r="P630" s="401">
        <f>'Lab test'!N629</f>
        <v>222.25</v>
      </c>
      <c r="Q630" s="401">
        <f>'Lab test'!M629</f>
        <v>8.1279999999999991E-2</v>
      </c>
      <c r="R630">
        <f>IF('Lab test'!O629&gt;0,'Lab test'!O629,NA())</f>
        <v>546.1</v>
      </c>
      <c r="S630">
        <f>'Lab test'!Q629</f>
        <v>2734.3750000000005</v>
      </c>
      <c r="T630" s="401">
        <f>IF('Lab test'!P629&gt;0,'Lab test'!P629,NA())</f>
        <v>4.6989559041260731E-2</v>
      </c>
      <c r="U630" s="401">
        <f>'Lab test'!AZ629</f>
        <v>1957</v>
      </c>
      <c r="V630" t="e">
        <f>IF('Lab test'!AQ629&gt;0,'Lab test'!AQ629,NA())</f>
        <v>#N/A</v>
      </c>
      <c r="W630" t="e">
        <f>IF('Lab test'!AU629&gt;0,'Lab test'!AU629,NA())</f>
        <v>#N/A</v>
      </c>
      <c r="X630">
        <f>IF('Lab test'!AT629&gt;0,'Lab test'!AT629,NA())</f>
        <v>0.18724305597609392</v>
      </c>
      <c r="Y630">
        <f t="shared" si="141"/>
        <v>1</v>
      </c>
      <c r="Z630" t="str">
        <f>'Lab test'!AC629</f>
        <v>LTWb</v>
      </c>
      <c r="AA630" t="str">
        <f>'Lab test'!T629</f>
        <v>Steel</v>
      </c>
      <c r="AC630" t="e">
        <f t="shared" si="142"/>
        <v>#N/A</v>
      </c>
      <c r="AD630" t="e">
        <f t="shared" si="143"/>
        <v>#N/A</v>
      </c>
      <c r="AE630" t="e">
        <f t="shared" si="144"/>
        <v>#N/A</v>
      </c>
      <c r="AF630" t="e">
        <f t="shared" si="145"/>
        <v>#N/A</v>
      </c>
      <c r="AG630" t="e">
        <f t="shared" si="146"/>
        <v>#N/A</v>
      </c>
      <c r="AH630" t="e">
        <f t="shared" si="147"/>
        <v>#N/A</v>
      </c>
      <c r="AI630" t="e">
        <f t="shared" si="148"/>
        <v>#N/A</v>
      </c>
      <c r="AK630" t="e">
        <f t="shared" si="149"/>
        <v>#N/A</v>
      </c>
      <c r="AL630">
        <f t="shared" si="150"/>
        <v>0.18724305597609392</v>
      </c>
      <c r="AM630" t="e">
        <f t="shared" si="151"/>
        <v>#N/A</v>
      </c>
      <c r="AN630" t="e">
        <f t="shared" si="152"/>
        <v>#N/A</v>
      </c>
      <c r="AO630" t="e">
        <f t="shared" si="153"/>
        <v>#N/A</v>
      </c>
      <c r="AP630" t="e">
        <f t="shared" si="154"/>
        <v>#N/A</v>
      </c>
      <c r="AQ630" t="e">
        <f t="shared" si="155"/>
        <v>#N/A</v>
      </c>
    </row>
    <row r="631" spans="15:43">
      <c r="O631">
        <v>627</v>
      </c>
      <c r="P631" s="401">
        <f>'Lab test'!N630</f>
        <v>222.25</v>
      </c>
      <c r="Q631" s="401">
        <f>'Lab test'!M630</f>
        <v>8.1279999999999991E-2</v>
      </c>
      <c r="R631">
        <f>IF('Lab test'!O630&gt;0,'Lab test'!O630,NA())</f>
        <v>546.1</v>
      </c>
      <c r="S631">
        <f>'Lab test'!Q630</f>
        <v>2734.3750000000005</v>
      </c>
      <c r="T631" s="401">
        <f>IF('Lab test'!P630&gt;0,'Lab test'!P630,NA())</f>
        <v>4.6989559041260731E-2</v>
      </c>
      <c r="U631" s="401">
        <f>'Lab test'!AZ630</f>
        <v>1957</v>
      </c>
      <c r="V631" t="e">
        <f>IF('Lab test'!AQ630&gt;0,'Lab test'!AQ630,NA())</f>
        <v>#N/A</v>
      </c>
      <c r="W631" t="e">
        <f>IF('Lab test'!AU630&gt;0,'Lab test'!AU630,NA())</f>
        <v>#N/A</v>
      </c>
      <c r="X631">
        <f>IF('Lab test'!AT630&gt;0,'Lab test'!AT630,NA())</f>
        <v>0.20916337798938103</v>
      </c>
      <c r="Y631">
        <f t="shared" si="141"/>
        <v>1</v>
      </c>
      <c r="Z631" t="str">
        <f>'Lab test'!AC630</f>
        <v>LTWb</v>
      </c>
      <c r="AA631" t="str">
        <f>'Lab test'!T630</f>
        <v>Steel</v>
      </c>
      <c r="AC631" t="e">
        <f t="shared" si="142"/>
        <v>#N/A</v>
      </c>
      <c r="AD631" t="e">
        <f t="shared" si="143"/>
        <v>#N/A</v>
      </c>
      <c r="AE631" t="e">
        <f t="shared" si="144"/>
        <v>#N/A</v>
      </c>
      <c r="AF631" t="e">
        <f t="shared" si="145"/>
        <v>#N/A</v>
      </c>
      <c r="AG631" t="e">
        <f t="shared" si="146"/>
        <v>#N/A</v>
      </c>
      <c r="AH631" t="e">
        <f t="shared" si="147"/>
        <v>#N/A</v>
      </c>
      <c r="AI631" t="e">
        <f t="shared" si="148"/>
        <v>#N/A</v>
      </c>
      <c r="AK631" t="e">
        <f t="shared" si="149"/>
        <v>#N/A</v>
      </c>
      <c r="AL631">
        <f t="shared" si="150"/>
        <v>0.20916337798938103</v>
      </c>
      <c r="AM631" t="e">
        <f t="shared" si="151"/>
        <v>#N/A</v>
      </c>
      <c r="AN631" t="e">
        <f t="shared" si="152"/>
        <v>#N/A</v>
      </c>
      <c r="AO631" t="e">
        <f t="shared" si="153"/>
        <v>#N/A</v>
      </c>
      <c r="AP631" t="e">
        <f t="shared" si="154"/>
        <v>#N/A</v>
      </c>
      <c r="AQ631" t="e">
        <f t="shared" si="155"/>
        <v>#N/A</v>
      </c>
    </row>
    <row r="632" spans="15:43">
      <c r="O632">
        <v>628</v>
      </c>
      <c r="P632" s="401">
        <f>'Lab test'!N631</f>
        <v>222.25</v>
      </c>
      <c r="Q632" s="401">
        <f>'Lab test'!M631</f>
        <v>8.1279999999999991E-2</v>
      </c>
      <c r="R632">
        <f>IF('Lab test'!O631&gt;0,'Lab test'!O631,NA())</f>
        <v>546.1</v>
      </c>
      <c r="S632">
        <f>'Lab test'!Q631</f>
        <v>2734.3750000000005</v>
      </c>
      <c r="T632" s="401">
        <f>IF('Lab test'!P631&gt;0,'Lab test'!P631,NA())</f>
        <v>4.6989559041260731E-2</v>
      </c>
      <c r="U632" s="401">
        <f>'Lab test'!AZ631</f>
        <v>1957</v>
      </c>
      <c r="V632" t="e">
        <f>IF('Lab test'!AQ631&gt;0,'Lab test'!AQ631,NA())</f>
        <v>#N/A</v>
      </c>
      <c r="W632" t="e">
        <f>IF('Lab test'!AU631&gt;0,'Lab test'!AU631,NA())</f>
        <v>#N/A</v>
      </c>
      <c r="X632">
        <f>IF('Lab test'!AT631&gt;0,'Lab test'!AT631,NA())</f>
        <v>0.20447811832241894</v>
      </c>
      <c r="Y632">
        <f t="shared" si="141"/>
        <v>1</v>
      </c>
      <c r="Z632" t="str">
        <f>'Lab test'!AC631</f>
        <v>LTWb</v>
      </c>
      <c r="AA632" t="str">
        <f>'Lab test'!T631</f>
        <v>Steel</v>
      </c>
      <c r="AC632" t="e">
        <f t="shared" si="142"/>
        <v>#N/A</v>
      </c>
      <c r="AD632" t="e">
        <f t="shared" si="143"/>
        <v>#N/A</v>
      </c>
      <c r="AE632" t="e">
        <f t="shared" si="144"/>
        <v>#N/A</v>
      </c>
      <c r="AF632" t="e">
        <f t="shared" si="145"/>
        <v>#N/A</v>
      </c>
      <c r="AG632" t="e">
        <f t="shared" si="146"/>
        <v>#N/A</v>
      </c>
      <c r="AH632" t="e">
        <f t="shared" si="147"/>
        <v>#N/A</v>
      </c>
      <c r="AI632" t="e">
        <f t="shared" si="148"/>
        <v>#N/A</v>
      </c>
      <c r="AK632" t="e">
        <f t="shared" si="149"/>
        <v>#N/A</v>
      </c>
      <c r="AL632">
        <f t="shared" si="150"/>
        <v>0.20447811832241894</v>
      </c>
      <c r="AM632" t="e">
        <f t="shared" si="151"/>
        <v>#N/A</v>
      </c>
      <c r="AN632" t="e">
        <f t="shared" si="152"/>
        <v>#N/A</v>
      </c>
      <c r="AO632" t="e">
        <f t="shared" si="153"/>
        <v>#N/A</v>
      </c>
      <c r="AP632" t="e">
        <f t="shared" si="154"/>
        <v>#N/A</v>
      </c>
      <c r="AQ632" t="e">
        <f t="shared" si="155"/>
        <v>#N/A</v>
      </c>
    </row>
    <row r="633" spans="15:43">
      <c r="O633">
        <v>629</v>
      </c>
      <c r="P633" s="401">
        <f>'Lab test'!N632</f>
        <v>49.841150000000006</v>
      </c>
      <c r="Q633" s="401">
        <f>'Lab test'!M632</f>
        <v>0.49529999999999996</v>
      </c>
      <c r="R633">
        <f>IF('Lab test'!O632&gt;0,'Lab test'!O632,NA())</f>
        <v>152.4</v>
      </c>
      <c r="S633">
        <f>'Lab test'!Q632</f>
        <v>100.62820512820515</v>
      </c>
      <c r="T633" s="401">
        <f>IF('Lab test'!P632&gt;0,'Lab test'!P632,NA())</f>
        <v>0.30481550150240572</v>
      </c>
      <c r="U633" s="401">
        <f>'Lab test'!AZ632</f>
        <v>1950</v>
      </c>
      <c r="V633">
        <f>IF('Lab test'!AQ632&gt;0,'Lab test'!AQ632,NA())</f>
        <v>0.78168035347984766</v>
      </c>
      <c r="W633">
        <f>IF('Lab test'!AU632&gt;0,'Lab test'!AU632,NA())</f>
        <v>0.65910423448974254</v>
      </c>
      <c r="X633">
        <f>IF('Lab test'!AT632&gt;0,'Lab test'!AT632,NA())</f>
        <v>0.40272862112889729</v>
      </c>
      <c r="Y633">
        <f t="shared" si="141"/>
        <v>1</v>
      </c>
      <c r="Z633" t="str">
        <f>'Lab test'!AC632</f>
        <v>Machined</v>
      </c>
      <c r="AA633" t="str">
        <f>'Lab test'!T632</f>
        <v>Aluminium</v>
      </c>
      <c r="AC633" t="e">
        <f t="shared" si="142"/>
        <v>#N/A</v>
      </c>
      <c r="AD633" t="e">
        <f t="shared" si="143"/>
        <v>#N/A</v>
      </c>
      <c r="AE633" t="e">
        <f t="shared" si="144"/>
        <v>#N/A</v>
      </c>
      <c r="AF633">
        <f t="shared" si="145"/>
        <v>0.65910423448974254</v>
      </c>
      <c r="AG633" t="e">
        <f t="shared" si="146"/>
        <v>#N/A</v>
      </c>
      <c r="AH633" t="e">
        <f t="shared" si="147"/>
        <v>#N/A</v>
      </c>
      <c r="AI633" t="e">
        <f t="shared" si="148"/>
        <v>#N/A</v>
      </c>
      <c r="AK633" t="e">
        <f t="shared" si="149"/>
        <v>#N/A</v>
      </c>
      <c r="AL633" t="e">
        <f t="shared" si="150"/>
        <v>#N/A</v>
      </c>
      <c r="AM633" t="e">
        <f t="shared" si="151"/>
        <v>#N/A</v>
      </c>
      <c r="AN633">
        <f t="shared" si="152"/>
        <v>0.40272862112889729</v>
      </c>
      <c r="AO633" t="e">
        <f t="shared" si="153"/>
        <v>#N/A</v>
      </c>
      <c r="AP633" t="e">
        <f t="shared" si="154"/>
        <v>#N/A</v>
      </c>
      <c r="AQ633" t="e">
        <f t="shared" si="155"/>
        <v>#N/A</v>
      </c>
    </row>
    <row r="634" spans="15:43">
      <c r="O634">
        <v>630</v>
      </c>
      <c r="P634" s="401">
        <f>'Lab test'!N633</f>
        <v>49.853850000000001</v>
      </c>
      <c r="Q634" s="401">
        <f>'Lab test'!M633</f>
        <v>0.49529999999999996</v>
      </c>
      <c r="R634">
        <f>IF('Lab test'!O633&gt;0,'Lab test'!O633,NA())</f>
        <v>101.6</v>
      </c>
      <c r="S634">
        <f>'Lab test'!Q633</f>
        <v>100.65384615384616</v>
      </c>
      <c r="T634" s="401">
        <f>IF('Lab test'!P633&gt;0,'Lab test'!P633,NA())</f>
        <v>0.20313268917173474</v>
      </c>
      <c r="U634" s="401">
        <f>'Lab test'!AZ633</f>
        <v>1950</v>
      </c>
      <c r="V634">
        <f>IF('Lab test'!AQ633&gt;0,'Lab test'!AQ633,NA())</f>
        <v>0.78177993693823999</v>
      </c>
      <c r="W634">
        <f>IF('Lab test'!AU633&gt;0,'Lab test'!AU633,NA())</f>
        <v>0.73164020018185083</v>
      </c>
      <c r="X634">
        <f>IF('Lab test'!AT633&gt;0,'Lab test'!AT633,NA())</f>
        <v>0.44716376228697385</v>
      </c>
      <c r="Y634">
        <f t="shared" si="141"/>
        <v>1</v>
      </c>
      <c r="Z634" t="str">
        <f>'Lab test'!AC633</f>
        <v>Machined</v>
      </c>
      <c r="AA634" t="str">
        <f>'Lab test'!T633</f>
        <v>Aluminium</v>
      </c>
      <c r="AC634" t="e">
        <f t="shared" si="142"/>
        <v>#N/A</v>
      </c>
      <c r="AD634" t="e">
        <f t="shared" si="143"/>
        <v>#N/A</v>
      </c>
      <c r="AE634" t="e">
        <f t="shared" si="144"/>
        <v>#N/A</v>
      </c>
      <c r="AF634">
        <f t="shared" si="145"/>
        <v>0.73164020018185083</v>
      </c>
      <c r="AG634" t="e">
        <f t="shared" si="146"/>
        <v>#N/A</v>
      </c>
      <c r="AH634" t="e">
        <f t="shared" si="147"/>
        <v>#N/A</v>
      </c>
      <c r="AI634" t="e">
        <f t="shared" si="148"/>
        <v>#N/A</v>
      </c>
      <c r="AK634" t="e">
        <f t="shared" si="149"/>
        <v>#N/A</v>
      </c>
      <c r="AL634" t="e">
        <f t="shared" si="150"/>
        <v>#N/A</v>
      </c>
      <c r="AM634" t="e">
        <f t="shared" si="151"/>
        <v>#N/A</v>
      </c>
      <c r="AN634">
        <f t="shared" si="152"/>
        <v>0.44716376228697385</v>
      </c>
      <c r="AO634" t="e">
        <f t="shared" si="153"/>
        <v>#N/A</v>
      </c>
      <c r="AP634" t="e">
        <f t="shared" si="154"/>
        <v>#N/A</v>
      </c>
      <c r="AQ634" t="e">
        <f t="shared" si="155"/>
        <v>#N/A</v>
      </c>
    </row>
    <row r="635" spans="15:43">
      <c r="O635">
        <v>631</v>
      </c>
      <c r="P635" s="401">
        <f>'Lab test'!N634</f>
        <v>49.856390000000005</v>
      </c>
      <c r="Q635" s="401">
        <f>'Lab test'!M634</f>
        <v>0.49021999999999999</v>
      </c>
      <c r="R635">
        <f>IF('Lab test'!O634&gt;0,'Lab test'!O634,NA())</f>
        <v>50.8</v>
      </c>
      <c r="S635">
        <f>'Lab test'!Q634</f>
        <v>101.70207253886012</v>
      </c>
      <c r="T635" s="401">
        <f>IF('Lab test'!P634&gt;0,'Lab test'!P634,NA())</f>
        <v>0.10103642747882337</v>
      </c>
      <c r="U635" s="401">
        <f>'Lab test'!AZ634</f>
        <v>1950</v>
      </c>
      <c r="V635">
        <f>IF('Lab test'!AQ634&gt;0,'Lab test'!AQ634,NA())</f>
        <v>0.78584018832874736</v>
      </c>
      <c r="W635">
        <f>IF('Lab test'!AU634&gt;0,'Lab test'!AU634,NA())</f>
        <v>0.74197367799895397</v>
      </c>
      <c r="X635">
        <f>IF('Lab test'!AT634&gt;0,'Lab test'!AT634,NA())</f>
        <v>0.45820198776676696</v>
      </c>
      <c r="Y635">
        <f t="shared" si="141"/>
        <v>1</v>
      </c>
      <c r="Z635" t="str">
        <f>'Lab test'!AC634</f>
        <v>Machined</v>
      </c>
      <c r="AA635" t="str">
        <f>'Lab test'!T634</f>
        <v>Aluminium</v>
      </c>
      <c r="AC635" t="e">
        <f t="shared" si="142"/>
        <v>#N/A</v>
      </c>
      <c r="AD635" t="e">
        <f t="shared" si="143"/>
        <v>#N/A</v>
      </c>
      <c r="AE635" t="e">
        <f t="shared" si="144"/>
        <v>#N/A</v>
      </c>
      <c r="AF635">
        <f t="shared" si="145"/>
        <v>0.74197367799895397</v>
      </c>
      <c r="AG635" t="e">
        <f t="shared" si="146"/>
        <v>#N/A</v>
      </c>
      <c r="AH635" t="e">
        <f t="shared" si="147"/>
        <v>#N/A</v>
      </c>
      <c r="AI635" t="e">
        <f t="shared" si="148"/>
        <v>#N/A</v>
      </c>
      <c r="AK635" t="e">
        <f t="shared" si="149"/>
        <v>#N/A</v>
      </c>
      <c r="AL635" t="e">
        <f t="shared" si="150"/>
        <v>#N/A</v>
      </c>
      <c r="AM635" t="e">
        <f t="shared" si="151"/>
        <v>#N/A</v>
      </c>
      <c r="AN635">
        <f t="shared" si="152"/>
        <v>0.45820198776676696</v>
      </c>
      <c r="AO635" t="e">
        <f t="shared" si="153"/>
        <v>#N/A</v>
      </c>
      <c r="AP635" t="e">
        <f t="shared" si="154"/>
        <v>#N/A</v>
      </c>
      <c r="AQ635" t="e">
        <f t="shared" si="155"/>
        <v>#N/A</v>
      </c>
    </row>
    <row r="636" spans="15:43">
      <c r="O636">
        <v>632</v>
      </c>
      <c r="P636" s="401">
        <f>'Lab test'!N635</f>
        <v>49.750979999999991</v>
      </c>
      <c r="Q636" s="401">
        <f>'Lab test'!M635</f>
        <v>0.32003999999999999</v>
      </c>
      <c r="R636">
        <f>IF('Lab test'!O635&gt;0,'Lab test'!O635,NA())</f>
        <v>101.6</v>
      </c>
      <c r="S636">
        <f>'Lab test'!Q635</f>
        <v>155.45238095238093</v>
      </c>
      <c r="T636" s="401">
        <f>IF('Lab test'!P635&gt;0,'Lab test'!P635,NA())</f>
        <v>0.16379226134580974</v>
      </c>
      <c r="U636" s="401">
        <f>'Lab test'!AZ635</f>
        <v>1950</v>
      </c>
      <c r="V636">
        <f>IF('Lab test'!AQ635&gt;0,'Lab test'!AQ635,NA())</f>
        <v>0.97155641252055591</v>
      </c>
      <c r="W636">
        <f>IF('Lab test'!AU635&gt;0,'Lab test'!AU635,NA())</f>
        <v>0.59943327954300518</v>
      </c>
      <c r="X636">
        <f>IF('Lab test'!AT635&gt;0,'Lab test'!AT635,NA())</f>
        <v>0.56581817779648536</v>
      </c>
      <c r="Y636">
        <f t="shared" si="141"/>
        <v>1</v>
      </c>
      <c r="Z636" t="str">
        <f>'Lab test'!AC635</f>
        <v>Machined</v>
      </c>
      <c r="AA636" t="str">
        <f>'Lab test'!T635</f>
        <v>Aluminium</v>
      </c>
      <c r="AC636" t="e">
        <f t="shared" si="142"/>
        <v>#N/A</v>
      </c>
      <c r="AD636" t="e">
        <f t="shared" si="143"/>
        <v>#N/A</v>
      </c>
      <c r="AE636" t="e">
        <f t="shared" si="144"/>
        <v>#N/A</v>
      </c>
      <c r="AF636">
        <f t="shared" si="145"/>
        <v>0.59943327954300518</v>
      </c>
      <c r="AG636" t="e">
        <f t="shared" si="146"/>
        <v>#N/A</v>
      </c>
      <c r="AH636" t="e">
        <f t="shared" si="147"/>
        <v>#N/A</v>
      </c>
      <c r="AI636" t="e">
        <f t="shared" si="148"/>
        <v>#N/A</v>
      </c>
      <c r="AK636" t="e">
        <f t="shared" si="149"/>
        <v>#N/A</v>
      </c>
      <c r="AL636" t="e">
        <f t="shared" si="150"/>
        <v>#N/A</v>
      </c>
      <c r="AM636" t="e">
        <f t="shared" si="151"/>
        <v>#N/A</v>
      </c>
      <c r="AN636">
        <f t="shared" si="152"/>
        <v>0.56581817779648536</v>
      </c>
      <c r="AO636" t="e">
        <f t="shared" si="153"/>
        <v>#N/A</v>
      </c>
      <c r="AP636" t="e">
        <f t="shared" si="154"/>
        <v>#N/A</v>
      </c>
      <c r="AQ636" t="e">
        <f t="shared" si="155"/>
        <v>#N/A</v>
      </c>
    </row>
    <row r="637" spans="15:43">
      <c r="O637">
        <v>633</v>
      </c>
      <c r="P637" s="401">
        <f>'Lab test'!N636</f>
        <v>49.636680000000005</v>
      </c>
      <c r="Q637" s="401">
        <f>'Lab test'!M636</f>
        <v>0.24892000000000003</v>
      </c>
      <c r="R637">
        <f>IF('Lab test'!O636&gt;0,'Lab test'!O636,NA())</f>
        <v>101.6</v>
      </c>
      <c r="S637">
        <f>'Lab test'!Q636</f>
        <v>199.40816326530611</v>
      </c>
      <c r="T637" s="401">
        <f>IF('Lab test'!P636&gt;0,'Lab test'!P636,NA())</f>
        <v>0.14495043257339382</v>
      </c>
      <c r="U637" s="401">
        <f>'Lab test'!AZ636</f>
        <v>1950</v>
      </c>
      <c r="V637">
        <f>IF('Lab test'!AQ636&gt;0,'Lab test'!AQ636,NA())</f>
        <v>1.1003752159579392</v>
      </c>
      <c r="W637">
        <f>IF('Lab test'!AU636&gt;0,'Lab test'!AU636,NA())</f>
        <v>0.47452014010224142</v>
      </c>
      <c r="X637">
        <f>IF('Lab test'!AT636&gt;0,'Lab test'!AT636,NA())</f>
        <v>0.57456114089363219</v>
      </c>
      <c r="Y637">
        <f t="shared" si="141"/>
        <v>1</v>
      </c>
      <c r="Z637" t="str">
        <f>'Lab test'!AC636</f>
        <v>Machined</v>
      </c>
      <c r="AA637" t="str">
        <f>'Lab test'!T636</f>
        <v>Aluminium</v>
      </c>
      <c r="AC637" t="e">
        <f t="shared" si="142"/>
        <v>#N/A</v>
      </c>
      <c r="AD637" t="e">
        <f t="shared" si="143"/>
        <v>#N/A</v>
      </c>
      <c r="AE637" t="e">
        <f t="shared" si="144"/>
        <v>#N/A</v>
      </c>
      <c r="AF637">
        <f t="shared" si="145"/>
        <v>0.47452014010224142</v>
      </c>
      <c r="AG637" t="e">
        <f t="shared" si="146"/>
        <v>#N/A</v>
      </c>
      <c r="AH637" t="e">
        <f t="shared" si="147"/>
        <v>#N/A</v>
      </c>
      <c r="AI637" t="e">
        <f t="shared" si="148"/>
        <v>#N/A</v>
      </c>
      <c r="AK637" t="e">
        <f t="shared" si="149"/>
        <v>#N/A</v>
      </c>
      <c r="AL637" t="e">
        <f t="shared" si="150"/>
        <v>#N/A</v>
      </c>
      <c r="AM637" t="e">
        <f t="shared" si="151"/>
        <v>#N/A</v>
      </c>
      <c r="AN637">
        <f t="shared" si="152"/>
        <v>0.57456114089363219</v>
      </c>
      <c r="AO637" t="e">
        <f t="shared" si="153"/>
        <v>#N/A</v>
      </c>
      <c r="AP637" t="e">
        <f t="shared" si="154"/>
        <v>#N/A</v>
      </c>
      <c r="AQ637" t="e">
        <f t="shared" si="155"/>
        <v>#N/A</v>
      </c>
    </row>
    <row r="638" spans="15:43">
      <c r="O638">
        <v>634</v>
      </c>
      <c r="P638" s="401">
        <f>'Lab test'!N637</f>
        <v>49.682400000000001</v>
      </c>
      <c r="Q638" s="401">
        <f>'Lab test'!M637</f>
        <v>0.20320000000000002</v>
      </c>
      <c r="R638">
        <f>IF('Lab test'!O637&gt;0,'Lab test'!O637,NA())</f>
        <v>152.4</v>
      </c>
      <c r="S638">
        <f>'Lab test'!Q637</f>
        <v>244.49999999999997</v>
      </c>
      <c r="T638" s="401">
        <f>IF('Lab test'!P637&gt;0,'Lab test'!P637,NA())</f>
        <v>0.19617468692977896</v>
      </c>
      <c r="U638" s="401">
        <f>'Lab test'!AZ637</f>
        <v>1950</v>
      </c>
      <c r="V638">
        <f>IF('Lab test'!AQ637&gt;0,'Lab test'!AQ637,NA())</f>
        <v>1.2184529540321307</v>
      </c>
      <c r="W638">
        <f>IF('Lab test'!AU637&gt;0,'Lab test'!AU637,NA())</f>
        <v>0.41147872227061655</v>
      </c>
      <c r="X638">
        <f>IF('Lab test'!AT637&gt;0,'Lab test'!AT637,NA())</f>
        <v>0.61089266838519762</v>
      </c>
      <c r="Y638">
        <f t="shared" si="141"/>
        <v>1</v>
      </c>
      <c r="Z638" t="str">
        <f>'Lab test'!AC637</f>
        <v>Machined</v>
      </c>
      <c r="AA638" t="str">
        <f>'Lab test'!T637</f>
        <v>Aluminium</v>
      </c>
      <c r="AC638" t="e">
        <f t="shared" si="142"/>
        <v>#N/A</v>
      </c>
      <c r="AD638" t="e">
        <f t="shared" si="143"/>
        <v>#N/A</v>
      </c>
      <c r="AE638" t="e">
        <f t="shared" si="144"/>
        <v>#N/A</v>
      </c>
      <c r="AF638">
        <f t="shared" si="145"/>
        <v>0.41147872227061655</v>
      </c>
      <c r="AG638" t="e">
        <f t="shared" si="146"/>
        <v>#N/A</v>
      </c>
      <c r="AH638" t="e">
        <f t="shared" si="147"/>
        <v>#N/A</v>
      </c>
      <c r="AI638" t="e">
        <f t="shared" si="148"/>
        <v>#N/A</v>
      </c>
      <c r="AK638" t="e">
        <f t="shared" si="149"/>
        <v>#N/A</v>
      </c>
      <c r="AL638" t="e">
        <f t="shared" si="150"/>
        <v>#N/A</v>
      </c>
      <c r="AM638" t="e">
        <f t="shared" si="151"/>
        <v>#N/A</v>
      </c>
      <c r="AN638">
        <f t="shared" si="152"/>
        <v>0.61089266838519762</v>
      </c>
      <c r="AO638" t="e">
        <f t="shared" si="153"/>
        <v>#N/A</v>
      </c>
      <c r="AP638" t="e">
        <f t="shared" si="154"/>
        <v>#N/A</v>
      </c>
      <c r="AQ638" t="e">
        <f t="shared" si="155"/>
        <v>#N/A</v>
      </c>
    </row>
    <row r="639" spans="15:43">
      <c r="O639">
        <v>635</v>
      </c>
      <c r="P639" s="401">
        <f>'Lab test'!N638</f>
        <v>49.739550000000001</v>
      </c>
      <c r="Q639" s="401">
        <f>'Lab test'!M638</f>
        <v>0.1905</v>
      </c>
      <c r="R639">
        <f>IF('Lab test'!O638&gt;0,'Lab test'!O638,NA())</f>
        <v>101.6</v>
      </c>
      <c r="S639">
        <f>'Lab test'!Q638</f>
        <v>261.10000000000002</v>
      </c>
      <c r="T639" s="401">
        <f>IF('Lab test'!P638&gt;0,'Lab test'!P638,NA())</f>
        <v>0.12641203426636155</v>
      </c>
      <c r="U639" s="401">
        <f>'Lab test'!AZ638</f>
        <v>1950</v>
      </c>
      <c r="V639">
        <f>IF('Lab test'!AQ638&gt;0,'Lab test'!AQ638,NA())</f>
        <v>1.2591363721062079</v>
      </c>
      <c r="W639">
        <f>IF('Lab test'!AU638&gt;0,'Lab test'!AU638,NA())</f>
        <v>0.43648770803450215</v>
      </c>
      <c r="X639">
        <f>IF('Lab test'!AT638&gt;0,'Lab test'!AT638,NA())</f>
        <v>0.69201826417221346</v>
      </c>
      <c r="Y639">
        <f t="shared" si="141"/>
        <v>1</v>
      </c>
      <c r="Z639" t="str">
        <f>'Lab test'!AC638</f>
        <v>Machined</v>
      </c>
      <c r="AA639" t="str">
        <f>'Lab test'!T638</f>
        <v>Aluminium</v>
      </c>
      <c r="AC639" t="e">
        <f t="shared" si="142"/>
        <v>#N/A</v>
      </c>
      <c r="AD639" t="e">
        <f t="shared" si="143"/>
        <v>#N/A</v>
      </c>
      <c r="AE639" t="e">
        <f t="shared" si="144"/>
        <v>#N/A</v>
      </c>
      <c r="AF639">
        <f t="shared" si="145"/>
        <v>0.43648770803450215</v>
      </c>
      <c r="AG639" t="e">
        <f t="shared" si="146"/>
        <v>#N/A</v>
      </c>
      <c r="AH639" t="e">
        <f t="shared" si="147"/>
        <v>#N/A</v>
      </c>
      <c r="AI639" t="e">
        <f t="shared" si="148"/>
        <v>#N/A</v>
      </c>
      <c r="AK639" t="e">
        <f t="shared" si="149"/>
        <v>#N/A</v>
      </c>
      <c r="AL639" t="e">
        <f t="shared" si="150"/>
        <v>#N/A</v>
      </c>
      <c r="AM639" t="e">
        <f t="shared" si="151"/>
        <v>#N/A</v>
      </c>
      <c r="AN639">
        <f t="shared" si="152"/>
        <v>0.69201826417221346</v>
      </c>
      <c r="AO639" t="e">
        <f t="shared" si="153"/>
        <v>#N/A</v>
      </c>
      <c r="AP639" t="e">
        <f t="shared" si="154"/>
        <v>#N/A</v>
      </c>
      <c r="AQ639" t="e">
        <f t="shared" si="155"/>
        <v>#N/A</v>
      </c>
    </row>
    <row r="640" spans="15:43">
      <c r="O640">
        <v>636</v>
      </c>
      <c r="P640" s="401">
        <f>'Lab test'!N639</f>
        <v>49.682400000000001</v>
      </c>
      <c r="Q640" s="401">
        <f>'Lab test'!M639</f>
        <v>0.20320000000000002</v>
      </c>
      <c r="R640">
        <f>IF('Lab test'!O639&gt;0,'Lab test'!O639,NA())</f>
        <v>50.8</v>
      </c>
      <c r="S640">
        <f>'Lab test'!Q639</f>
        <v>244.49999999999997</v>
      </c>
      <c r="T640" s="401">
        <f>IF('Lab test'!P639&gt;0,'Lab test'!P639,NA())</f>
        <v>6.5391562309926321E-2</v>
      </c>
      <c r="U640" s="401">
        <f>'Lab test'!AZ639</f>
        <v>1950</v>
      </c>
      <c r="V640">
        <f>IF('Lab test'!AQ639&gt;0,'Lab test'!AQ639,NA())</f>
        <v>1.2184529540321307</v>
      </c>
      <c r="W640">
        <f>IF('Lab test'!AU639&gt;0,'Lab test'!AU639,NA())</f>
        <v>0.42205831742746502</v>
      </c>
      <c r="X640">
        <f>IF('Lab test'!AT639&gt;0,'Lab test'!AT639,NA())</f>
        <v>0.62659942736446694</v>
      </c>
      <c r="Y640">
        <f t="shared" si="141"/>
        <v>1</v>
      </c>
      <c r="Z640" t="str">
        <f>'Lab test'!AC639</f>
        <v>Machined</v>
      </c>
      <c r="AA640" t="str">
        <f>'Lab test'!T639</f>
        <v>Aluminium</v>
      </c>
      <c r="AC640" t="e">
        <f t="shared" si="142"/>
        <v>#N/A</v>
      </c>
      <c r="AD640" t="e">
        <f t="shared" si="143"/>
        <v>#N/A</v>
      </c>
      <c r="AE640" t="e">
        <f t="shared" si="144"/>
        <v>#N/A</v>
      </c>
      <c r="AF640">
        <f t="shared" si="145"/>
        <v>0.42205831742746502</v>
      </c>
      <c r="AG640" t="e">
        <f t="shared" si="146"/>
        <v>#N/A</v>
      </c>
      <c r="AH640" t="e">
        <f t="shared" si="147"/>
        <v>#N/A</v>
      </c>
      <c r="AI640" t="e">
        <f t="shared" si="148"/>
        <v>#N/A</v>
      </c>
      <c r="AK640" t="e">
        <f t="shared" si="149"/>
        <v>#N/A</v>
      </c>
      <c r="AL640" t="e">
        <f t="shared" si="150"/>
        <v>#N/A</v>
      </c>
      <c r="AM640" t="e">
        <f t="shared" si="151"/>
        <v>#N/A</v>
      </c>
      <c r="AN640">
        <f t="shared" si="152"/>
        <v>0.62659942736446694</v>
      </c>
      <c r="AO640" t="e">
        <f t="shared" si="153"/>
        <v>#N/A</v>
      </c>
      <c r="AP640" t="e">
        <f t="shared" si="154"/>
        <v>#N/A</v>
      </c>
      <c r="AQ640" t="e">
        <f t="shared" si="155"/>
        <v>#N/A</v>
      </c>
    </row>
    <row r="641" spans="15:43">
      <c r="O641">
        <v>637</v>
      </c>
      <c r="P641" s="401">
        <f>'Lab test'!N640</f>
        <v>49.516029999999994</v>
      </c>
      <c r="Q641" s="401">
        <f>'Lab test'!M640</f>
        <v>0.10414000000000001</v>
      </c>
      <c r="R641">
        <f>IF('Lab test'!O640&gt;0,'Lab test'!O640,NA())</f>
        <v>152.4</v>
      </c>
      <c r="S641">
        <f>'Lab test'!Q640</f>
        <v>475.47560975609747</v>
      </c>
      <c r="T641" s="401">
        <f>IF('Lab test'!P640&gt;0,'Lab test'!P640,NA())</f>
        <v>0.14114809711466583</v>
      </c>
      <c r="U641" s="401">
        <f>'Lab test'!AZ640</f>
        <v>1950</v>
      </c>
      <c r="V641">
        <f>IF('Lab test'!AQ640&gt;0,'Lab test'!AQ640,NA())</f>
        <v>1.699156790684943</v>
      </c>
      <c r="W641">
        <f>IF('Lab test'!AU640&gt;0,'Lab test'!AU640,NA())</f>
        <v>0.13837693892294989</v>
      </c>
      <c r="X641">
        <f>IF('Lab test'!AT640&gt;0,'Lab test'!AT640,NA())</f>
        <v>0.3995127374123762</v>
      </c>
      <c r="Y641">
        <f t="shared" si="141"/>
        <v>1</v>
      </c>
      <c r="Z641" t="str">
        <f>'Lab test'!AC640</f>
        <v>Machined</v>
      </c>
      <c r="AA641" t="str">
        <f>'Lab test'!T640</f>
        <v>Aluminium</v>
      </c>
      <c r="AC641" t="e">
        <f t="shared" si="142"/>
        <v>#N/A</v>
      </c>
      <c r="AD641" t="e">
        <f t="shared" si="143"/>
        <v>#N/A</v>
      </c>
      <c r="AE641" t="e">
        <f t="shared" si="144"/>
        <v>#N/A</v>
      </c>
      <c r="AF641">
        <f t="shared" si="145"/>
        <v>0.13837693892294989</v>
      </c>
      <c r="AG641" t="e">
        <f t="shared" si="146"/>
        <v>#N/A</v>
      </c>
      <c r="AH641" t="e">
        <f t="shared" si="147"/>
        <v>#N/A</v>
      </c>
      <c r="AI641" t="e">
        <f t="shared" si="148"/>
        <v>#N/A</v>
      </c>
      <c r="AK641" t="e">
        <f t="shared" si="149"/>
        <v>#N/A</v>
      </c>
      <c r="AL641" t="e">
        <f t="shared" si="150"/>
        <v>#N/A</v>
      </c>
      <c r="AM641" t="e">
        <f t="shared" si="151"/>
        <v>#N/A</v>
      </c>
      <c r="AN641">
        <f t="shared" si="152"/>
        <v>0.3995127374123762</v>
      </c>
      <c r="AO641" t="e">
        <f t="shared" si="153"/>
        <v>#N/A</v>
      </c>
      <c r="AP641" t="e">
        <f t="shared" si="154"/>
        <v>#N/A</v>
      </c>
      <c r="AQ641" t="e">
        <f t="shared" si="155"/>
        <v>#N/A</v>
      </c>
    </row>
    <row r="642" spans="15:43">
      <c r="O642">
        <v>638</v>
      </c>
      <c r="P642" s="401">
        <f>'Lab test'!N641</f>
        <v>49.538890000000002</v>
      </c>
      <c r="Q642" s="401">
        <f>'Lab test'!M641</f>
        <v>8.3819999999999992E-2</v>
      </c>
      <c r="R642">
        <f>IF('Lab test'!O641&gt;0,'Lab test'!O641,NA())</f>
        <v>88.9</v>
      </c>
      <c r="S642">
        <f>'Lab test'!Q641</f>
        <v>591.01515151515162</v>
      </c>
      <c r="T642" s="401">
        <f>IF('Lab test'!P641&gt;0,'Lab test'!P641,NA())</f>
        <v>7.3816964521037712E-2</v>
      </c>
      <c r="U642" s="401">
        <f>'Lab test'!AZ641</f>
        <v>1950</v>
      </c>
      <c r="V642">
        <f>IF('Lab test'!AQ641&gt;0,'Lab test'!AQ641,NA())</f>
        <v>1.894386721273368</v>
      </c>
      <c r="W642">
        <f>IF('Lab test'!AU641&gt;0,'Lab test'!AU641,NA())</f>
        <v>7.4429044293290128E-2</v>
      </c>
      <c r="X642">
        <f>IF('Lab test'!AT641&gt;0,'Lab test'!AT641,NA())</f>
        <v>0.26710358938624168</v>
      </c>
      <c r="Y642">
        <f t="shared" si="141"/>
        <v>1</v>
      </c>
      <c r="Z642" t="str">
        <f>'Lab test'!AC641</f>
        <v>Machined</v>
      </c>
      <c r="AA642" t="str">
        <f>'Lab test'!T641</f>
        <v>Aluminium</v>
      </c>
      <c r="AC642" t="e">
        <f t="shared" si="142"/>
        <v>#N/A</v>
      </c>
      <c r="AD642" t="e">
        <f t="shared" si="143"/>
        <v>#N/A</v>
      </c>
      <c r="AE642" t="e">
        <f t="shared" si="144"/>
        <v>#N/A</v>
      </c>
      <c r="AF642">
        <f t="shared" si="145"/>
        <v>7.4429044293290128E-2</v>
      </c>
      <c r="AG642" t="e">
        <f t="shared" si="146"/>
        <v>#N/A</v>
      </c>
      <c r="AH642" t="e">
        <f t="shared" si="147"/>
        <v>#N/A</v>
      </c>
      <c r="AI642" t="e">
        <f t="shared" si="148"/>
        <v>#N/A</v>
      </c>
      <c r="AK642" t="e">
        <f t="shared" si="149"/>
        <v>#N/A</v>
      </c>
      <c r="AL642" t="e">
        <f t="shared" si="150"/>
        <v>#N/A</v>
      </c>
      <c r="AM642" t="e">
        <f t="shared" si="151"/>
        <v>#N/A</v>
      </c>
      <c r="AN642">
        <f t="shared" si="152"/>
        <v>0.26710358938624168</v>
      </c>
      <c r="AO642" t="e">
        <f t="shared" si="153"/>
        <v>#N/A</v>
      </c>
      <c r="AP642" t="e">
        <f t="shared" si="154"/>
        <v>#N/A</v>
      </c>
      <c r="AQ642" t="e">
        <f t="shared" si="155"/>
        <v>#N/A</v>
      </c>
    </row>
    <row r="643" spans="15:43">
      <c r="O643">
        <v>639</v>
      </c>
      <c r="P643" s="401">
        <f>'Lab test'!N642</f>
        <v>49.541430000000005</v>
      </c>
      <c r="Q643" s="401">
        <f>'Lab test'!M642</f>
        <v>7.8739999999999991E-2</v>
      </c>
      <c r="R643">
        <f>IF('Lab test'!O642&gt;0,'Lab test'!O642,NA())</f>
        <v>50.8</v>
      </c>
      <c r="S643">
        <f>'Lab test'!Q642</f>
        <v>629.17741935483889</v>
      </c>
      <c r="T643" s="401">
        <f>IF('Lab test'!P642&gt;0,'Lab test'!P642,NA())</f>
        <v>4.0879785671879373E-2</v>
      </c>
      <c r="U643" s="401">
        <f>'Lab test'!AZ642</f>
        <v>1950</v>
      </c>
      <c r="V643">
        <f>IF('Lab test'!AQ642&gt;0,'Lab test'!AQ642,NA())</f>
        <v>1.9545910119003018</v>
      </c>
      <c r="W643">
        <f>IF('Lab test'!AU642&gt;0,'Lab test'!AU642,NA())</f>
        <v>4.648752281897358E-2</v>
      </c>
      <c r="X643">
        <f>IF('Lab test'!AT642&gt;0,'Lab test'!AT642,NA())</f>
        <v>0.17760214195967022</v>
      </c>
      <c r="Y643">
        <f t="shared" si="141"/>
        <v>1</v>
      </c>
      <c r="Z643" t="str">
        <f>'Lab test'!AC642</f>
        <v>Machined</v>
      </c>
      <c r="AA643" t="str">
        <f>'Lab test'!T642</f>
        <v>Aluminium</v>
      </c>
      <c r="AC643" t="e">
        <f t="shared" si="142"/>
        <v>#N/A</v>
      </c>
      <c r="AD643" t="e">
        <f t="shared" si="143"/>
        <v>#N/A</v>
      </c>
      <c r="AE643" t="e">
        <f t="shared" si="144"/>
        <v>#N/A</v>
      </c>
      <c r="AF643">
        <f t="shared" si="145"/>
        <v>4.648752281897358E-2</v>
      </c>
      <c r="AG643" t="e">
        <f t="shared" si="146"/>
        <v>#N/A</v>
      </c>
      <c r="AH643" t="e">
        <f t="shared" si="147"/>
        <v>#N/A</v>
      </c>
      <c r="AI643" t="e">
        <f t="shared" si="148"/>
        <v>#N/A</v>
      </c>
      <c r="AK643" t="e">
        <f t="shared" si="149"/>
        <v>#N/A</v>
      </c>
      <c r="AL643" t="e">
        <f t="shared" si="150"/>
        <v>#N/A</v>
      </c>
      <c r="AM643" t="e">
        <f t="shared" si="151"/>
        <v>#N/A</v>
      </c>
      <c r="AN643">
        <f t="shared" si="152"/>
        <v>0.17760214195967022</v>
      </c>
      <c r="AO643" t="e">
        <f t="shared" si="153"/>
        <v>#N/A</v>
      </c>
      <c r="AP643" t="e">
        <f t="shared" si="154"/>
        <v>#N/A</v>
      </c>
      <c r="AQ643" t="e">
        <f t="shared" si="155"/>
        <v>#N/A</v>
      </c>
    </row>
    <row r="644" spans="15:43">
      <c r="O644">
        <v>640</v>
      </c>
      <c r="P644" s="401">
        <f>'Lab test'!N643</f>
        <v>32.200849999999996</v>
      </c>
      <c r="Q644" s="401">
        <f>'Lab test'!M643</f>
        <v>1.6637</v>
      </c>
      <c r="R644">
        <f>IF('Lab test'!O643&gt;0,'Lab test'!O643,NA())</f>
        <v>48.26</v>
      </c>
      <c r="S644">
        <f>'Lab test'!Q643</f>
        <v>19.354961832061065</v>
      </c>
      <c r="T644" s="401">
        <f>IF('Lab test'!P643&gt;0,'Lab test'!P643,NA())</f>
        <v>0.34066210222348486</v>
      </c>
      <c r="U644" s="401">
        <f>'Lab test'!AZ643</f>
        <v>1950</v>
      </c>
      <c r="V644">
        <f>IF('Lab test'!AQ643&gt;0,'Lab test'!AQ643,NA())</f>
        <v>0.34281948099173432</v>
      </c>
      <c r="W644">
        <f>IF('Lab test'!AU643&gt;0,'Lab test'!AU643,NA())</f>
        <v>1.1842241731176193</v>
      </c>
      <c r="X644">
        <f>IF('Lab test'!AT643&gt;0,'Lab test'!AT643,NA())</f>
        <v>0.13917617870188029</v>
      </c>
      <c r="Y644">
        <f t="shared" si="141"/>
        <v>1</v>
      </c>
      <c r="Z644" t="str">
        <f>'Lab test'!AC643</f>
        <v>Machined</v>
      </c>
      <c r="AA644" t="str">
        <f>'Lab test'!T643</f>
        <v>Aluminium</v>
      </c>
      <c r="AC644" t="e">
        <f t="shared" si="142"/>
        <v>#N/A</v>
      </c>
      <c r="AD644" t="e">
        <f t="shared" si="143"/>
        <v>#N/A</v>
      </c>
      <c r="AE644" t="e">
        <f t="shared" si="144"/>
        <v>#N/A</v>
      </c>
      <c r="AF644">
        <f t="shared" si="145"/>
        <v>1.1842241731176193</v>
      </c>
      <c r="AG644" t="e">
        <f t="shared" si="146"/>
        <v>#N/A</v>
      </c>
      <c r="AH644" t="e">
        <f t="shared" si="147"/>
        <v>#N/A</v>
      </c>
      <c r="AI644" t="e">
        <f t="shared" si="148"/>
        <v>#N/A</v>
      </c>
      <c r="AK644" t="e">
        <f t="shared" si="149"/>
        <v>#N/A</v>
      </c>
      <c r="AL644" t="e">
        <f t="shared" si="150"/>
        <v>#N/A</v>
      </c>
      <c r="AM644" t="e">
        <f t="shared" si="151"/>
        <v>#N/A</v>
      </c>
      <c r="AN644">
        <f t="shared" si="152"/>
        <v>0.13917617870188029</v>
      </c>
      <c r="AO644" t="e">
        <f t="shared" si="153"/>
        <v>#N/A</v>
      </c>
      <c r="AP644" t="e">
        <f t="shared" si="154"/>
        <v>#N/A</v>
      </c>
      <c r="AQ644" t="e">
        <f t="shared" si="155"/>
        <v>#N/A</v>
      </c>
    </row>
    <row r="645" spans="15:43">
      <c r="O645">
        <v>641</v>
      </c>
      <c r="P645" s="401">
        <f>'Lab test'!N644</f>
        <v>32.200849999999996</v>
      </c>
      <c r="Q645" s="401">
        <f>'Lab test'!M644</f>
        <v>1.6637</v>
      </c>
      <c r="R645">
        <f>IF('Lab test'!O644&gt;0,'Lab test'!O644,NA())</f>
        <v>88.137999999999991</v>
      </c>
      <c r="S645">
        <f>'Lab test'!Q644</f>
        <v>19.354961832061065</v>
      </c>
      <c r="T645" s="401">
        <f>IF('Lab test'!P644&gt;0,'Lab test'!P644,NA())</f>
        <v>0.62215657616604869</v>
      </c>
      <c r="U645" s="401">
        <f>'Lab test'!AZ644</f>
        <v>1950</v>
      </c>
      <c r="V645">
        <f>IF('Lab test'!AQ644&gt;0,'Lab test'!AQ644,NA())</f>
        <v>0.34281948099173432</v>
      </c>
      <c r="W645">
        <f>IF('Lab test'!AU644&gt;0,'Lab test'!AU644,NA())</f>
        <v>1.163077312883376</v>
      </c>
      <c r="X645">
        <f>IF('Lab test'!AT644&gt;0,'Lab test'!AT644,NA())</f>
        <v>0.13669088979648955</v>
      </c>
      <c r="Y645">
        <f t="shared" si="141"/>
        <v>1</v>
      </c>
      <c r="Z645" t="str">
        <f>'Lab test'!AC644</f>
        <v>Machined</v>
      </c>
      <c r="AA645" t="str">
        <f>'Lab test'!T644</f>
        <v>Aluminium</v>
      </c>
      <c r="AC645" t="e">
        <f t="shared" si="142"/>
        <v>#N/A</v>
      </c>
      <c r="AD645" t="e">
        <f t="shared" si="143"/>
        <v>#N/A</v>
      </c>
      <c r="AE645" t="e">
        <f t="shared" si="144"/>
        <v>#N/A</v>
      </c>
      <c r="AF645">
        <f t="shared" si="145"/>
        <v>1.163077312883376</v>
      </c>
      <c r="AG645" t="e">
        <f t="shared" si="146"/>
        <v>#N/A</v>
      </c>
      <c r="AH645" t="e">
        <f t="shared" si="147"/>
        <v>#N/A</v>
      </c>
      <c r="AI645" t="e">
        <f t="shared" si="148"/>
        <v>#N/A</v>
      </c>
      <c r="AK645" t="e">
        <f t="shared" si="149"/>
        <v>#N/A</v>
      </c>
      <c r="AL645" t="e">
        <f t="shared" si="150"/>
        <v>#N/A</v>
      </c>
      <c r="AM645" t="e">
        <f t="shared" si="151"/>
        <v>#N/A</v>
      </c>
      <c r="AN645">
        <f t="shared" si="152"/>
        <v>0.13669088979648955</v>
      </c>
      <c r="AO645" t="e">
        <f t="shared" si="153"/>
        <v>#N/A</v>
      </c>
      <c r="AP645" t="e">
        <f t="shared" si="154"/>
        <v>#N/A</v>
      </c>
      <c r="AQ645" t="e">
        <f t="shared" si="155"/>
        <v>#N/A</v>
      </c>
    </row>
    <row r="646" spans="15:43">
      <c r="O646">
        <v>642</v>
      </c>
      <c r="P646" s="401">
        <f>'Lab test'!N645</f>
        <v>32.200849999999996</v>
      </c>
      <c r="Q646" s="401">
        <f>'Lab test'!M645</f>
        <v>1.6637</v>
      </c>
      <c r="R646">
        <f>IF('Lab test'!O645&gt;0,'Lab test'!O645,NA())</f>
        <v>144.78</v>
      </c>
      <c r="S646">
        <f>'Lab test'!Q645</f>
        <v>19.354961832061065</v>
      </c>
      <c r="T646" s="401">
        <f>IF('Lab test'!P645&gt;0,'Lab test'!P645,NA())</f>
        <v>1.0219863066704546</v>
      </c>
      <c r="U646" s="401">
        <f>'Lab test'!AZ645</f>
        <v>1950</v>
      </c>
      <c r="V646">
        <f>IF('Lab test'!AQ645&gt;0,'Lab test'!AQ645,NA())</f>
        <v>0.34281948099173432</v>
      </c>
      <c r="W646">
        <f>IF('Lab test'!AU645&gt;0,'Lab test'!AU645,NA())</f>
        <v>1.1654269640205142</v>
      </c>
      <c r="X646">
        <f>IF('Lab test'!AT645&gt;0,'Lab test'!AT645,NA())</f>
        <v>0.13696703300819965</v>
      </c>
      <c r="Y646">
        <f t="shared" ref="Y646:Y674" si="156">IF(OR(ISNUMBER(W646),ISNUMBER(X646)),1,NA())</f>
        <v>1</v>
      </c>
      <c r="Z646" t="str">
        <f>'Lab test'!AC645</f>
        <v>Machined</v>
      </c>
      <c r="AA646" t="str">
        <f>'Lab test'!T645</f>
        <v>Aluminium</v>
      </c>
      <c r="AC646" t="e">
        <f t="shared" ref="AC646:AC674" si="157">IF(EXACT($AC$4,Z646),W646,NA())</f>
        <v>#N/A</v>
      </c>
      <c r="AD646" t="e">
        <f t="shared" ref="AD646:AD674" si="158">IF(EXACT($AD$4,Z646),W646,NA())</f>
        <v>#N/A</v>
      </c>
      <c r="AE646" t="e">
        <f t="shared" ref="AE646:AE674" si="159">IF(EXACT($AE$4,Z646),W646,NA())</f>
        <v>#N/A</v>
      </c>
      <c r="AF646">
        <f t="shared" ref="AF646:AF674" si="160">IF(EXACT($AF$4,Z646),W646,NA())</f>
        <v>1.1654269640205142</v>
      </c>
      <c r="AG646" t="e">
        <f t="shared" ref="AG646:AG674" si="161">IF(EXACT($AG$4,Z646),W646,NA())</f>
        <v>#N/A</v>
      </c>
      <c r="AH646" t="e">
        <f t="shared" ref="AH646:AH674" si="162">IF(EXACT($AH$4,Z646),W646,NA())</f>
        <v>#N/A</v>
      </c>
      <c r="AI646" t="e">
        <f t="shared" ref="AI646:AI674" si="163">IF(EXACT($AI$4,Z646),W646,NA())</f>
        <v>#N/A</v>
      </c>
      <c r="AK646" t="e">
        <f t="shared" ref="AK646:AK674" si="164">IF(EXACT($AK$4,Z646),X646,NA())</f>
        <v>#N/A</v>
      </c>
      <c r="AL646" t="e">
        <f t="shared" ref="AL646:AL674" si="165">IF(EXACT($AL$4,Z646),X646,NA())</f>
        <v>#N/A</v>
      </c>
      <c r="AM646" t="e">
        <f t="shared" ref="AM646:AM674" si="166">IF(EXACT($AM$4,Z646),X646,NA())</f>
        <v>#N/A</v>
      </c>
      <c r="AN646">
        <f t="shared" ref="AN646:AN674" si="167">IF(EXACT($AN$4,Z646),X646,NA())</f>
        <v>0.13696703300819965</v>
      </c>
      <c r="AO646" t="e">
        <f t="shared" ref="AO646:AO674" si="168">IF(EXACT($AO$4,Z646),X646,NA())</f>
        <v>#N/A</v>
      </c>
      <c r="AP646" t="e">
        <f t="shared" ref="AP646:AP674" si="169">IF(EXACT($AP$4,Z646),X646,NA())</f>
        <v>#N/A</v>
      </c>
      <c r="AQ646" t="e">
        <f t="shared" ref="AQ646:AQ674" si="170">IF(EXACT($AQ$4,Z646),X646,NA())</f>
        <v>#N/A</v>
      </c>
    </row>
    <row r="647" spans="15:43">
      <c r="O647">
        <v>643</v>
      </c>
      <c r="P647" s="401">
        <f>'Lab test'!N646</f>
        <v>32.029400000000003</v>
      </c>
      <c r="Q647" s="401">
        <f>'Lab test'!M646</f>
        <v>1.27</v>
      </c>
      <c r="R647">
        <f>IF('Lab test'!O646&gt;0,'Lab test'!O646,NA())</f>
        <v>92.202000000000012</v>
      </c>
      <c r="S647">
        <f>'Lab test'!Q646</f>
        <v>25.220000000000002</v>
      </c>
      <c r="T647" s="401">
        <f>IF('Lab test'!P646&gt;0,'Lab test'!P646,NA())</f>
        <v>0.57321691483915604</v>
      </c>
      <c r="U647" s="401">
        <f>'Lab test'!AZ646</f>
        <v>1950</v>
      </c>
      <c r="V647">
        <f>IF('Lab test'!AQ646&gt;0,'Lab test'!AQ646,NA())</f>
        <v>0.39132885715957288</v>
      </c>
      <c r="W647">
        <f>IF('Lab test'!AU646&gt;0,'Lab test'!AU646,NA())</f>
        <v>1.1202160333442182</v>
      </c>
      <c r="X647">
        <f>IF('Lab test'!AT646&gt;0,'Lab test'!AT646,NA())</f>
        <v>0.17154795035287182</v>
      </c>
      <c r="Y647">
        <f t="shared" si="156"/>
        <v>1</v>
      </c>
      <c r="Z647" t="str">
        <f>'Lab test'!AC646</f>
        <v>Machined</v>
      </c>
      <c r="AA647" t="str">
        <f>'Lab test'!T646</f>
        <v>Aluminium</v>
      </c>
      <c r="AC647" t="e">
        <f t="shared" si="157"/>
        <v>#N/A</v>
      </c>
      <c r="AD647" t="e">
        <f t="shared" si="158"/>
        <v>#N/A</v>
      </c>
      <c r="AE647" t="e">
        <f t="shared" si="159"/>
        <v>#N/A</v>
      </c>
      <c r="AF647">
        <f t="shared" si="160"/>
        <v>1.1202160333442182</v>
      </c>
      <c r="AG647" t="e">
        <f t="shared" si="161"/>
        <v>#N/A</v>
      </c>
      <c r="AH647" t="e">
        <f t="shared" si="162"/>
        <v>#N/A</v>
      </c>
      <c r="AI647" t="e">
        <f t="shared" si="163"/>
        <v>#N/A</v>
      </c>
      <c r="AK647" t="e">
        <f t="shared" si="164"/>
        <v>#N/A</v>
      </c>
      <c r="AL647" t="e">
        <f t="shared" si="165"/>
        <v>#N/A</v>
      </c>
      <c r="AM647" t="e">
        <f t="shared" si="166"/>
        <v>#N/A</v>
      </c>
      <c r="AN647">
        <f t="shared" si="167"/>
        <v>0.17154795035287182</v>
      </c>
      <c r="AO647" t="e">
        <f t="shared" si="168"/>
        <v>#N/A</v>
      </c>
      <c r="AP647" t="e">
        <f t="shared" si="169"/>
        <v>#N/A</v>
      </c>
      <c r="AQ647" t="e">
        <f t="shared" si="170"/>
        <v>#N/A</v>
      </c>
    </row>
    <row r="648" spans="15:43">
      <c r="O648">
        <v>644</v>
      </c>
      <c r="P648" s="401">
        <f>'Lab test'!N647</f>
        <v>31.908750000000001</v>
      </c>
      <c r="Q648" s="401">
        <f>'Lab test'!M647</f>
        <v>1.0541</v>
      </c>
      <c r="R648">
        <f>IF('Lab test'!O647&gt;0,'Lab test'!O647,NA())</f>
        <v>53.085999999999991</v>
      </c>
      <c r="S648">
        <f>'Lab test'!Q647</f>
        <v>30.271084337349397</v>
      </c>
      <c r="T648" s="401">
        <f>IF('Lab test'!P647&gt;0,'Lab test'!P647,NA())</f>
        <v>0.30238219991206322</v>
      </c>
      <c r="U648" s="401">
        <f>'Lab test'!AZ647</f>
        <v>1950</v>
      </c>
      <c r="V648">
        <f>IF('Lab test'!AQ647&gt;0,'Lab test'!AQ647,NA())</f>
        <v>0.42872945561881576</v>
      </c>
      <c r="W648">
        <f>IF('Lab test'!AU647&gt;0,'Lab test'!AU647,NA())</f>
        <v>1.1227301564840846</v>
      </c>
      <c r="X648">
        <f>IF('Lab test'!AT647&gt;0,'Lab test'!AT647,NA())</f>
        <v>0.20636784683510007</v>
      </c>
      <c r="Y648">
        <f t="shared" si="156"/>
        <v>1</v>
      </c>
      <c r="Z648" t="str">
        <f>'Lab test'!AC647</f>
        <v>Machined</v>
      </c>
      <c r="AA648" t="str">
        <f>'Lab test'!T647</f>
        <v>Aluminium</v>
      </c>
      <c r="AC648" t="e">
        <f t="shared" si="157"/>
        <v>#N/A</v>
      </c>
      <c r="AD648" t="e">
        <f t="shared" si="158"/>
        <v>#N/A</v>
      </c>
      <c r="AE648" t="e">
        <f t="shared" si="159"/>
        <v>#N/A</v>
      </c>
      <c r="AF648">
        <f t="shared" si="160"/>
        <v>1.1227301564840846</v>
      </c>
      <c r="AG648" t="e">
        <f t="shared" si="161"/>
        <v>#N/A</v>
      </c>
      <c r="AH648" t="e">
        <f t="shared" si="162"/>
        <v>#N/A</v>
      </c>
      <c r="AI648" t="e">
        <f t="shared" si="163"/>
        <v>#N/A</v>
      </c>
      <c r="AK648" t="e">
        <f t="shared" si="164"/>
        <v>#N/A</v>
      </c>
      <c r="AL648" t="e">
        <f t="shared" si="165"/>
        <v>#N/A</v>
      </c>
      <c r="AM648" t="e">
        <f t="shared" si="166"/>
        <v>#N/A</v>
      </c>
      <c r="AN648">
        <f t="shared" si="167"/>
        <v>0.20636784683510007</v>
      </c>
      <c r="AO648" t="e">
        <f t="shared" si="168"/>
        <v>#N/A</v>
      </c>
      <c r="AP648" t="e">
        <f t="shared" si="169"/>
        <v>#N/A</v>
      </c>
      <c r="AQ648" t="e">
        <f t="shared" si="170"/>
        <v>#N/A</v>
      </c>
    </row>
    <row r="649" spans="15:43">
      <c r="O649">
        <v>645</v>
      </c>
      <c r="P649" s="401">
        <f>'Lab test'!N648</f>
        <v>31.73095</v>
      </c>
      <c r="Q649" s="401">
        <f>'Lab test'!M648</f>
        <v>0.64769999999999994</v>
      </c>
      <c r="R649">
        <f>IF('Lab test'!O648&gt;0,'Lab test'!O648,NA())</f>
        <v>77.47</v>
      </c>
      <c r="S649">
        <f>'Lab test'!Q648</f>
        <v>48.990196078431374</v>
      </c>
      <c r="T649" s="401">
        <f>IF('Lab test'!P648&gt;0,'Lab test'!P648,NA())</f>
        <v>0.34881559425290337</v>
      </c>
      <c r="U649" s="401">
        <f>'Lab test'!AZ648</f>
        <v>1950</v>
      </c>
      <c r="V649">
        <f>IF('Lab test'!AQ648&gt;0,'Lab test'!AQ648,NA())</f>
        <v>0.54541103723030948</v>
      </c>
      <c r="W649">
        <f>IF('Lab test'!AU648&gt;0,'Lab test'!AU648,NA())</f>
        <v>0.96771139078826063</v>
      </c>
      <c r="X649">
        <f>IF('Lab test'!AT648&gt;0,'Lab test'!AT648,NA())</f>
        <v>0.2878682036419668</v>
      </c>
      <c r="Y649">
        <f t="shared" si="156"/>
        <v>1</v>
      </c>
      <c r="Z649" t="str">
        <f>'Lab test'!AC648</f>
        <v>Machined</v>
      </c>
      <c r="AA649" t="str">
        <f>'Lab test'!T648</f>
        <v>Aluminium</v>
      </c>
      <c r="AC649" t="e">
        <f t="shared" si="157"/>
        <v>#N/A</v>
      </c>
      <c r="AD649" t="e">
        <f t="shared" si="158"/>
        <v>#N/A</v>
      </c>
      <c r="AE649" t="e">
        <f t="shared" si="159"/>
        <v>#N/A</v>
      </c>
      <c r="AF649">
        <f t="shared" si="160"/>
        <v>0.96771139078826063</v>
      </c>
      <c r="AG649" t="e">
        <f t="shared" si="161"/>
        <v>#N/A</v>
      </c>
      <c r="AH649" t="e">
        <f t="shared" si="162"/>
        <v>#N/A</v>
      </c>
      <c r="AI649" t="e">
        <f t="shared" si="163"/>
        <v>#N/A</v>
      </c>
      <c r="AK649" t="e">
        <f t="shared" si="164"/>
        <v>#N/A</v>
      </c>
      <c r="AL649" t="e">
        <f t="shared" si="165"/>
        <v>#N/A</v>
      </c>
      <c r="AM649" t="e">
        <f t="shared" si="166"/>
        <v>#N/A</v>
      </c>
      <c r="AN649">
        <f t="shared" si="167"/>
        <v>0.2878682036419668</v>
      </c>
      <c r="AO649" t="e">
        <f t="shared" si="168"/>
        <v>#N/A</v>
      </c>
      <c r="AP649" t="e">
        <f t="shared" si="169"/>
        <v>#N/A</v>
      </c>
      <c r="AQ649" t="e">
        <f t="shared" si="170"/>
        <v>#N/A</v>
      </c>
    </row>
    <row r="650" spans="15:43">
      <c r="O650">
        <v>646</v>
      </c>
      <c r="P650" s="401">
        <f>'Lab test'!N649</f>
        <v>31.965900000000001</v>
      </c>
      <c r="Q650" s="401">
        <f>'Lab test'!M649</f>
        <v>1.0922000000000001</v>
      </c>
      <c r="R650">
        <f>IF('Lab test'!O649&gt;0,'Lab test'!O649,NA())</f>
        <v>73.152000000000001</v>
      </c>
      <c r="S650">
        <f>'Lab test'!Q649</f>
        <v>29.267441860465116</v>
      </c>
      <c r="T650" s="401">
        <f>IF('Lab test'!P649&gt;0,'Lab test'!P649,NA())</f>
        <v>0.42300634887561583</v>
      </c>
      <c r="U650" s="401">
        <f>'Lab test'!AZ649</f>
        <v>1950</v>
      </c>
      <c r="V650">
        <f>IF('Lab test'!AQ649&gt;0,'Lab test'!AQ649,NA())</f>
        <v>0.42156225176784912</v>
      </c>
      <c r="W650">
        <f>IF('Lab test'!AU649&gt;0,'Lab test'!AU649,NA())</f>
        <v>1.1176821705798701</v>
      </c>
      <c r="X650">
        <f>IF('Lab test'!AT649&gt;0,'Lab test'!AT649,NA())</f>
        <v>0.19862858753496088</v>
      </c>
      <c r="Y650">
        <f t="shared" si="156"/>
        <v>1</v>
      </c>
      <c r="Z650" t="str">
        <f>'Lab test'!AC649</f>
        <v>Machined</v>
      </c>
      <c r="AA650" t="str">
        <f>'Lab test'!T649</f>
        <v>Aluminium</v>
      </c>
      <c r="AC650" t="e">
        <f t="shared" si="157"/>
        <v>#N/A</v>
      </c>
      <c r="AD650" t="e">
        <f t="shared" si="158"/>
        <v>#N/A</v>
      </c>
      <c r="AE650" t="e">
        <f t="shared" si="159"/>
        <v>#N/A</v>
      </c>
      <c r="AF650">
        <f t="shared" si="160"/>
        <v>1.1176821705798701</v>
      </c>
      <c r="AG650" t="e">
        <f t="shared" si="161"/>
        <v>#N/A</v>
      </c>
      <c r="AH650" t="e">
        <f t="shared" si="162"/>
        <v>#N/A</v>
      </c>
      <c r="AI650" t="e">
        <f t="shared" si="163"/>
        <v>#N/A</v>
      </c>
      <c r="AK650" t="e">
        <f t="shared" si="164"/>
        <v>#N/A</v>
      </c>
      <c r="AL650" t="e">
        <f t="shared" si="165"/>
        <v>#N/A</v>
      </c>
      <c r="AM650" t="e">
        <f t="shared" si="166"/>
        <v>#N/A</v>
      </c>
      <c r="AN650">
        <f t="shared" si="167"/>
        <v>0.19862858753496088</v>
      </c>
      <c r="AO650" t="e">
        <f t="shared" si="168"/>
        <v>#N/A</v>
      </c>
      <c r="AP650" t="e">
        <f t="shared" si="169"/>
        <v>#N/A</v>
      </c>
      <c r="AQ650" t="e">
        <f t="shared" si="170"/>
        <v>#N/A</v>
      </c>
    </row>
    <row r="651" spans="15:43">
      <c r="O651">
        <v>647</v>
      </c>
      <c r="P651" s="401">
        <f>'Lab test'!N650</f>
        <v>31.819850000000002</v>
      </c>
      <c r="Q651" s="401">
        <f>'Lab test'!M650</f>
        <v>0.80010000000000003</v>
      </c>
      <c r="R651">
        <f>IF('Lab test'!O650&gt;0,'Lab test'!O650,NA())</f>
        <v>69.341999999999999</v>
      </c>
      <c r="S651">
        <f>'Lab test'!Q650</f>
        <v>39.769841269841272</v>
      </c>
      <c r="T651" s="401">
        <f>IF('Lab test'!P650&gt;0,'Lab test'!P650,NA())</f>
        <v>0.34555828251111398</v>
      </c>
      <c r="U651" s="401">
        <f>'Lab test'!AZ650</f>
        <v>1950</v>
      </c>
      <c r="V651">
        <f>IF('Lab test'!AQ650&gt;0,'Lab test'!AQ650,NA())</f>
        <v>0.49141257117512094</v>
      </c>
      <c r="W651">
        <f>IF('Lab test'!AU650&gt;0,'Lab test'!AU650,NA())</f>
        <v>0.96413522634375726</v>
      </c>
      <c r="X651">
        <f>IF('Lab test'!AT650&gt;0,'Lab test'!AT650,NA())</f>
        <v>0.23282546307648086</v>
      </c>
      <c r="Y651">
        <f t="shared" si="156"/>
        <v>1</v>
      </c>
      <c r="Z651" t="str">
        <f>'Lab test'!AC650</f>
        <v>Machined</v>
      </c>
      <c r="AA651" t="str">
        <f>'Lab test'!T650</f>
        <v>Aluminium</v>
      </c>
      <c r="AC651" t="e">
        <f t="shared" si="157"/>
        <v>#N/A</v>
      </c>
      <c r="AD651" t="e">
        <f t="shared" si="158"/>
        <v>#N/A</v>
      </c>
      <c r="AE651" t="e">
        <f t="shared" si="159"/>
        <v>#N/A</v>
      </c>
      <c r="AF651">
        <f t="shared" si="160"/>
        <v>0.96413522634375726</v>
      </c>
      <c r="AG651" t="e">
        <f t="shared" si="161"/>
        <v>#N/A</v>
      </c>
      <c r="AH651" t="e">
        <f t="shared" si="162"/>
        <v>#N/A</v>
      </c>
      <c r="AI651" t="e">
        <f t="shared" si="163"/>
        <v>#N/A</v>
      </c>
      <c r="AK651" t="e">
        <f t="shared" si="164"/>
        <v>#N/A</v>
      </c>
      <c r="AL651" t="e">
        <f t="shared" si="165"/>
        <v>#N/A</v>
      </c>
      <c r="AM651" t="e">
        <f t="shared" si="166"/>
        <v>#N/A</v>
      </c>
      <c r="AN651">
        <f t="shared" si="167"/>
        <v>0.23282546307648086</v>
      </c>
      <c r="AO651" t="e">
        <f t="shared" si="168"/>
        <v>#N/A</v>
      </c>
      <c r="AP651" t="e">
        <f t="shared" si="169"/>
        <v>#N/A</v>
      </c>
      <c r="AQ651" t="e">
        <f t="shared" si="170"/>
        <v>#N/A</v>
      </c>
    </row>
    <row r="652" spans="15:43">
      <c r="O652">
        <v>648</v>
      </c>
      <c r="P652" s="401">
        <f>'Lab test'!N651</f>
        <v>19.64817</v>
      </c>
      <c r="Q652" s="401">
        <f>'Lab test'!M651</f>
        <v>4.3662600000000005</v>
      </c>
      <c r="R652">
        <f>IF('Lab test'!O651&gt;0,'Lab test'!O651,NA())</f>
        <v>152.4</v>
      </c>
      <c r="S652">
        <f>'Lab test'!Q651</f>
        <v>4.5</v>
      </c>
      <c r="T652" s="401">
        <f>IF('Lab test'!P651&gt;0,'Lab test'!P651,NA())</f>
        <v>3.6564244389453688</v>
      </c>
      <c r="U652" s="401">
        <f>'Lab test'!AZ651</f>
        <v>1950</v>
      </c>
      <c r="V652">
        <f>IF('Lab test'!AQ651&gt;0,'Lab test'!AQ651,NA())</f>
        <v>0.241975947938706</v>
      </c>
      <c r="W652">
        <f>IF('Lab test'!AU651&gt;0,'Lab test'!AU651,NA())</f>
        <v>1.305863045228943</v>
      </c>
      <c r="X652">
        <f>IF('Lab test'!AT651&gt;0,'Lab test'!AT651,NA())</f>
        <v>7.6461362326397136E-2</v>
      </c>
      <c r="Y652">
        <f t="shared" si="156"/>
        <v>1</v>
      </c>
      <c r="Z652" t="str">
        <f>'Lab test'!AC651</f>
        <v>Machined</v>
      </c>
      <c r="AA652" t="str">
        <f>'Lab test'!T651</f>
        <v>Aluminium</v>
      </c>
      <c r="AC652" t="e">
        <f t="shared" si="157"/>
        <v>#N/A</v>
      </c>
      <c r="AD652" t="e">
        <f t="shared" si="158"/>
        <v>#N/A</v>
      </c>
      <c r="AE652" t="e">
        <f t="shared" si="159"/>
        <v>#N/A</v>
      </c>
      <c r="AF652">
        <f t="shared" si="160"/>
        <v>1.305863045228943</v>
      </c>
      <c r="AG652" t="e">
        <f t="shared" si="161"/>
        <v>#N/A</v>
      </c>
      <c r="AH652" t="e">
        <f t="shared" si="162"/>
        <v>#N/A</v>
      </c>
      <c r="AI652" t="e">
        <f t="shared" si="163"/>
        <v>#N/A</v>
      </c>
      <c r="AK652" t="e">
        <f t="shared" si="164"/>
        <v>#N/A</v>
      </c>
      <c r="AL652" t="e">
        <f t="shared" si="165"/>
        <v>#N/A</v>
      </c>
      <c r="AM652" t="e">
        <f t="shared" si="166"/>
        <v>#N/A</v>
      </c>
      <c r="AN652">
        <f t="shared" si="167"/>
        <v>7.6461362326397136E-2</v>
      </c>
      <c r="AO652" t="e">
        <f t="shared" si="168"/>
        <v>#N/A</v>
      </c>
      <c r="AP652" t="e">
        <f t="shared" si="169"/>
        <v>#N/A</v>
      </c>
      <c r="AQ652" t="e">
        <f t="shared" si="170"/>
        <v>#N/A</v>
      </c>
    </row>
    <row r="653" spans="15:43">
      <c r="O653">
        <v>649</v>
      </c>
      <c r="P653" s="401">
        <f>'Lab test'!N652</f>
        <v>18.116549999999997</v>
      </c>
      <c r="Q653" s="401">
        <f>'Lab test'!M652</f>
        <v>1.3081</v>
      </c>
      <c r="R653">
        <f>IF('Lab test'!O652&gt;0,'Lab test'!O652,NA())</f>
        <v>152.4</v>
      </c>
      <c r="S653">
        <f>'Lab test'!Q652</f>
        <v>13.849514563106792</v>
      </c>
      <c r="T653" s="401">
        <f>IF('Lab test'!P652&gt;0,'Lab test'!P652,NA())</f>
        <v>2.2604358912124183</v>
      </c>
      <c r="U653" s="401">
        <f>'Lab test'!AZ652</f>
        <v>1950</v>
      </c>
      <c r="V653">
        <f>IF('Lab test'!AQ652&gt;0,'Lab test'!AQ652,NA())</f>
        <v>0.4245053995073802</v>
      </c>
      <c r="W653">
        <f>IF('Lab test'!AU652&gt;0,'Lab test'!AU652,NA())</f>
        <v>1.082152328475152</v>
      </c>
      <c r="X653">
        <f>IF('Lab test'!AT652&gt;0,'Lab test'!AT652,NA())</f>
        <v>0.1950090809438263</v>
      </c>
      <c r="Y653">
        <f t="shared" si="156"/>
        <v>1</v>
      </c>
      <c r="Z653" t="str">
        <f>'Lab test'!AC652</f>
        <v>Machined</v>
      </c>
      <c r="AA653" t="str">
        <f>'Lab test'!T652</f>
        <v>Aluminium</v>
      </c>
      <c r="AC653" t="e">
        <f t="shared" si="157"/>
        <v>#N/A</v>
      </c>
      <c r="AD653" t="e">
        <f t="shared" si="158"/>
        <v>#N/A</v>
      </c>
      <c r="AE653" t="e">
        <f t="shared" si="159"/>
        <v>#N/A</v>
      </c>
      <c r="AF653">
        <f t="shared" si="160"/>
        <v>1.082152328475152</v>
      </c>
      <c r="AG653" t="e">
        <f t="shared" si="161"/>
        <v>#N/A</v>
      </c>
      <c r="AH653" t="e">
        <f t="shared" si="162"/>
        <v>#N/A</v>
      </c>
      <c r="AI653" t="e">
        <f t="shared" si="163"/>
        <v>#N/A</v>
      </c>
      <c r="AK653" t="e">
        <f t="shared" si="164"/>
        <v>#N/A</v>
      </c>
      <c r="AL653" t="e">
        <f t="shared" si="165"/>
        <v>#N/A</v>
      </c>
      <c r="AM653" t="e">
        <f t="shared" si="166"/>
        <v>#N/A</v>
      </c>
      <c r="AN653">
        <f t="shared" si="167"/>
        <v>0.1950090809438263</v>
      </c>
      <c r="AO653" t="e">
        <f t="shared" si="168"/>
        <v>#N/A</v>
      </c>
      <c r="AP653" t="e">
        <f t="shared" si="169"/>
        <v>#N/A</v>
      </c>
      <c r="AQ653" t="e">
        <f t="shared" si="170"/>
        <v>#N/A</v>
      </c>
    </row>
    <row r="654" spans="15:43">
      <c r="O654">
        <v>650</v>
      </c>
      <c r="P654" s="401">
        <f>'Lab test'!N653</f>
        <v>17.833339999999996</v>
      </c>
      <c r="Q654" s="401">
        <f>'Lab test'!M653</f>
        <v>0.73152000000000006</v>
      </c>
      <c r="R654">
        <f>IF('Lab test'!O653&gt;0,'Lab test'!O653,NA())</f>
        <v>152.4</v>
      </c>
      <c r="S654">
        <f>'Lab test'!Q653</f>
        <v>24.378472222222214</v>
      </c>
      <c r="T654" s="401">
        <f>IF('Lab test'!P653&gt;0,'Lab test'!P653,NA())</f>
        <v>1.730808561211775</v>
      </c>
      <c r="U654" s="401">
        <f>'Lab test'!AZ653</f>
        <v>1950</v>
      </c>
      <c r="V654">
        <f>IF('Lab test'!AQ653&gt;0,'Lab test'!AQ653,NA())</f>
        <v>0.56320848058467998</v>
      </c>
      <c r="W654">
        <f>IF('Lab test'!AU653&gt;0,'Lab test'!AU653,NA())</f>
        <v>1.039820577489436</v>
      </c>
      <c r="X654">
        <f>IF('Lab test'!AT653&gt;0,'Lab test'!AT653,NA())</f>
        <v>0.32983503080577481</v>
      </c>
      <c r="Y654">
        <f t="shared" si="156"/>
        <v>1</v>
      </c>
      <c r="Z654" t="str">
        <f>'Lab test'!AC653</f>
        <v>Machined</v>
      </c>
      <c r="AA654" t="str">
        <f>'Lab test'!T653</f>
        <v>Aluminium</v>
      </c>
      <c r="AC654" t="e">
        <f t="shared" si="157"/>
        <v>#N/A</v>
      </c>
      <c r="AD654" t="e">
        <f t="shared" si="158"/>
        <v>#N/A</v>
      </c>
      <c r="AE654" t="e">
        <f t="shared" si="159"/>
        <v>#N/A</v>
      </c>
      <c r="AF654">
        <f t="shared" si="160"/>
        <v>1.039820577489436</v>
      </c>
      <c r="AG654" t="e">
        <f t="shared" si="161"/>
        <v>#N/A</v>
      </c>
      <c r="AH654" t="e">
        <f t="shared" si="162"/>
        <v>#N/A</v>
      </c>
      <c r="AI654" t="e">
        <f t="shared" si="163"/>
        <v>#N/A</v>
      </c>
      <c r="AK654" t="e">
        <f t="shared" si="164"/>
        <v>#N/A</v>
      </c>
      <c r="AL654" t="e">
        <f t="shared" si="165"/>
        <v>#N/A</v>
      </c>
      <c r="AM654" t="e">
        <f t="shared" si="166"/>
        <v>#N/A</v>
      </c>
      <c r="AN654">
        <f t="shared" si="167"/>
        <v>0.32983503080577481</v>
      </c>
      <c r="AO654" t="e">
        <f t="shared" si="168"/>
        <v>#N/A</v>
      </c>
      <c r="AP654" t="e">
        <f t="shared" si="169"/>
        <v>#N/A</v>
      </c>
      <c r="AQ654" t="e">
        <f t="shared" si="170"/>
        <v>#N/A</v>
      </c>
    </row>
    <row r="655" spans="15:43">
      <c r="O655">
        <v>651</v>
      </c>
      <c r="P655" s="401">
        <f>'Lab test'!N654</f>
        <v>17.683479999999999</v>
      </c>
      <c r="Q655" s="401">
        <f>'Lab test'!M654</f>
        <v>0.44703999999999999</v>
      </c>
      <c r="R655">
        <f>IF('Lab test'!O654&gt;0,'Lab test'!O654,NA())</f>
        <v>152.4</v>
      </c>
      <c r="S655">
        <f>'Lab test'!Q654</f>
        <v>39.55681818181818</v>
      </c>
      <c r="T655" s="401">
        <f>IF('Lab test'!P654&gt;0,'Lab test'!P654,NA())</f>
        <v>1.3702712818224152</v>
      </c>
      <c r="U655" s="401">
        <f>'Lab test'!AZ654</f>
        <v>1950</v>
      </c>
      <c r="V655">
        <f>IF('Lab test'!AQ654&gt;0,'Lab test'!AQ654,NA())</f>
        <v>0.71742518528170218</v>
      </c>
      <c r="W655">
        <f>IF('Lab test'!AU654&gt;0,'Lab test'!AU654,NA())</f>
        <v>0.93907398472989767</v>
      </c>
      <c r="X655">
        <f>IF('Lab test'!AT654&gt;0,'Lab test'!AT654,NA())</f>
        <v>0.48334034365025358</v>
      </c>
      <c r="Y655">
        <f t="shared" si="156"/>
        <v>1</v>
      </c>
      <c r="Z655" t="str">
        <f>'Lab test'!AC654</f>
        <v>Machined</v>
      </c>
      <c r="AA655" t="str">
        <f>'Lab test'!T654</f>
        <v>Aluminium</v>
      </c>
      <c r="AC655" t="e">
        <f t="shared" si="157"/>
        <v>#N/A</v>
      </c>
      <c r="AD655" t="e">
        <f t="shared" si="158"/>
        <v>#N/A</v>
      </c>
      <c r="AE655" t="e">
        <f t="shared" si="159"/>
        <v>#N/A</v>
      </c>
      <c r="AF655">
        <f t="shared" si="160"/>
        <v>0.93907398472989767</v>
      </c>
      <c r="AG655" t="e">
        <f t="shared" si="161"/>
        <v>#N/A</v>
      </c>
      <c r="AH655" t="e">
        <f t="shared" si="162"/>
        <v>#N/A</v>
      </c>
      <c r="AI655" t="e">
        <f t="shared" si="163"/>
        <v>#N/A</v>
      </c>
      <c r="AK655" t="e">
        <f t="shared" si="164"/>
        <v>#N/A</v>
      </c>
      <c r="AL655" t="e">
        <f t="shared" si="165"/>
        <v>#N/A</v>
      </c>
      <c r="AM655" t="e">
        <f t="shared" si="166"/>
        <v>#N/A</v>
      </c>
      <c r="AN655">
        <f t="shared" si="167"/>
        <v>0.48334034365025358</v>
      </c>
      <c r="AO655" t="e">
        <f t="shared" si="168"/>
        <v>#N/A</v>
      </c>
      <c r="AP655" t="e">
        <f t="shared" si="169"/>
        <v>#N/A</v>
      </c>
      <c r="AQ655" t="e">
        <f t="shared" si="170"/>
        <v>#N/A</v>
      </c>
    </row>
    <row r="656" spans="15:43">
      <c r="O656">
        <v>652</v>
      </c>
      <c r="P656" s="401">
        <f>'Lab test'!N655</f>
        <v>17.639029999999998</v>
      </c>
      <c r="Q656" s="401">
        <f>'Lab test'!M655</f>
        <v>0.30734</v>
      </c>
      <c r="R656">
        <f>IF('Lab test'!O655&gt;0,'Lab test'!O655,NA())</f>
        <v>152.4</v>
      </c>
      <c r="S656">
        <f>'Lab test'!Q655</f>
        <v>57.392561983471069</v>
      </c>
      <c r="T656" s="401">
        <f>IF('Lab test'!P655&gt;0,'Lab test'!P655,NA())</f>
        <v>1.1404663143768565</v>
      </c>
      <c r="U656" s="401">
        <f>'Lab test'!AZ655</f>
        <v>1950</v>
      </c>
      <c r="V656">
        <f>IF('Lab test'!AQ655&gt;0,'Lab test'!AQ655,NA())</f>
        <v>0.86415918222963573</v>
      </c>
      <c r="W656">
        <f>IF('Lab test'!AU655&gt;0,'Lab test'!AU655,NA())</f>
        <v>0.83406953996785571</v>
      </c>
      <c r="X656">
        <f>IF('Lab test'!AT655&gt;0,'Lab test'!AT655,NA())</f>
        <v>0.62285902135906457</v>
      </c>
      <c r="Y656">
        <f t="shared" si="156"/>
        <v>1</v>
      </c>
      <c r="Z656" t="str">
        <f>'Lab test'!AC655</f>
        <v>Machined</v>
      </c>
      <c r="AA656" t="str">
        <f>'Lab test'!T655</f>
        <v>Aluminium</v>
      </c>
      <c r="AC656" t="e">
        <f t="shared" si="157"/>
        <v>#N/A</v>
      </c>
      <c r="AD656" t="e">
        <f t="shared" si="158"/>
        <v>#N/A</v>
      </c>
      <c r="AE656" t="e">
        <f t="shared" si="159"/>
        <v>#N/A</v>
      </c>
      <c r="AF656">
        <f t="shared" si="160"/>
        <v>0.83406953996785571</v>
      </c>
      <c r="AG656" t="e">
        <f t="shared" si="161"/>
        <v>#N/A</v>
      </c>
      <c r="AH656" t="e">
        <f t="shared" si="162"/>
        <v>#N/A</v>
      </c>
      <c r="AI656" t="e">
        <f t="shared" si="163"/>
        <v>#N/A</v>
      </c>
      <c r="AK656" t="e">
        <f t="shared" si="164"/>
        <v>#N/A</v>
      </c>
      <c r="AL656" t="e">
        <f t="shared" si="165"/>
        <v>#N/A</v>
      </c>
      <c r="AM656" t="e">
        <f t="shared" si="166"/>
        <v>#N/A</v>
      </c>
      <c r="AN656">
        <f t="shared" si="167"/>
        <v>0.62285902135906457</v>
      </c>
      <c r="AO656" t="e">
        <f t="shared" si="168"/>
        <v>#N/A</v>
      </c>
      <c r="AP656" t="e">
        <f t="shared" si="169"/>
        <v>#N/A</v>
      </c>
      <c r="AQ656" t="e">
        <f t="shared" si="170"/>
        <v>#N/A</v>
      </c>
    </row>
    <row r="657" spans="15:43">
      <c r="O657">
        <v>653</v>
      </c>
      <c r="P657" s="401">
        <f>'Lab test'!N656</f>
        <v>17.585689999999996</v>
      </c>
      <c r="Q657" s="401">
        <f>'Lab test'!M656</f>
        <v>0.23622000000000001</v>
      </c>
      <c r="R657">
        <f>IF('Lab test'!O656&gt;0,'Lab test'!O656,NA())</f>
        <v>152.4</v>
      </c>
      <c r="S657">
        <f>'Lab test'!Q656</f>
        <v>74.446236559139763</v>
      </c>
      <c r="T657" s="401">
        <f>IF('Lab test'!P656&gt;0,'Lab test'!P656,NA())</f>
        <v>1.0043941622808696</v>
      </c>
      <c r="U657" s="401">
        <f>'Lab test'!AZ656</f>
        <v>1950</v>
      </c>
      <c r="V657">
        <f>IF('Lab test'!AQ656&gt;0,'Lab test'!AQ656,NA())</f>
        <v>0.9842089657928268</v>
      </c>
      <c r="W657">
        <f>IF('Lab test'!AU656&gt;0,'Lab test'!AU656,NA())</f>
        <v>0.76843352990906788</v>
      </c>
      <c r="X657">
        <f>IF('Lab test'!AT656&gt;0,'Lab test'!AT656,NA())</f>
        <v>0.74435642369191912</v>
      </c>
      <c r="Y657">
        <f t="shared" si="156"/>
        <v>1</v>
      </c>
      <c r="Z657" t="str">
        <f>'Lab test'!AC656</f>
        <v>Machined</v>
      </c>
      <c r="AA657" t="str">
        <f>'Lab test'!T656</f>
        <v>Aluminium</v>
      </c>
      <c r="AC657" t="e">
        <f t="shared" si="157"/>
        <v>#N/A</v>
      </c>
      <c r="AD657" t="e">
        <f t="shared" si="158"/>
        <v>#N/A</v>
      </c>
      <c r="AE657" t="e">
        <f t="shared" si="159"/>
        <v>#N/A</v>
      </c>
      <c r="AF657">
        <f t="shared" si="160"/>
        <v>0.76843352990906788</v>
      </c>
      <c r="AG657" t="e">
        <f t="shared" si="161"/>
        <v>#N/A</v>
      </c>
      <c r="AH657" t="e">
        <f t="shared" si="162"/>
        <v>#N/A</v>
      </c>
      <c r="AI657" t="e">
        <f t="shared" si="163"/>
        <v>#N/A</v>
      </c>
      <c r="AK657" t="e">
        <f t="shared" si="164"/>
        <v>#N/A</v>
      </c>
      <c r="AL657" t="e">
        <f t="shared" si="165"/>
        <v>#N/A</v>
      </c>
      <c r="AM657" t="e">
        <f t="shared" si="166"/>
        <v>#N/A</v>
      </c>
      <c r="AN657">
        <f t="shared" si="167"/>
        <v>0.74435642369191912</v>
      </c>
      <c r="AO657" t="e">
        <f t="shared" si="168"/>
        <v>#N/A</v>
      </c>
      <c r="AP657" t="e">
        <f t="shared" si="169"/>
        <v>#N/A</v>
      </c>
      <c r="AQ657" t="e">
        <f t="shared" si="170"/>
        <v>#N/A</v>
      </c>
    </row>
    <row r="658" spans="15:43">
      <c r="O658">
        <v>654</v>
      </c>
      <c r="P658" s="401">
        <f>'Lab test'!N657</f>
        <v>19.64817</v>
      </c>
      <c r="Q658" s="401">
        <f>'Lab test'!M657</f>
        <v>4.3662599999999996</v>
      </c>
      <c r="R658">
        <f>IF('Lab test'!O657&gt;0,'Lab test'!O657,NA())</f>
        <v>152.39999999999998</v>
      </c>
      <c r="S658">
        <f>'Lab test'!Q657</f>
        <v>4.5000000000000009</v>
      </c>
      <c r="T658" s="401">
        <f>IF('Lab test'!P657&gt;0,'Lab test'!P657,NA())</f>
        <v>3.6564244389453679</v>
      </c>
      <c r="U658" s="401">
        <f>'Lab test'!AZ657</f>
        <v>1952</v>
      </c>
      <c r="V658">
        <f>IF('Lab test'!AQ657&gt;0,'Lab test'!AQ657,NA())</f>
        <v>0.24123225295325118</v>
      </c>
      <c r="W658">
        <f>IF('Lab test'!AU657&gt;0,'Lab test'!AU657,NA())</f>
        <v>1.2109756097560975</v>
      </c>
      <c r="X658">
        <f>IF('Lab test'!AT657&gt;0,'Lab test'!AT657,NA())</f>
        <v>7.0470303494935424E-2</v>
      </c>
      <c r="Y658">
        <f t="shared" si="156"/>
        <v>1</v>
      </c>
      <c r="Z658" t="str">
        <f>'Lab test'!AC657</f>
        <v>Machined</v>
      </c>
      <c r="AA658" t="str">
        <f>'Lab test'!T657</f>
        <v>Aluminium</v>
      </c>
      <c r="AC658" t="e">
        <f t="shared" si="157"/>
        <v>#N/A</v>
      </c>
      <c r="AD658" t="e">
        <f t="shared" si="158"/>
        <v>#N/A</v>
      </c>
      <c r="AE658" t="e">
        <f t="shared" si="159"/>
        <v>#N/A</v>
      </c>
      <c r="AF658">
        <f t="shared" si="160"/>
        <v>1.2109756097560975</v>
      </c>
      <c r="AG658" t="e">
        <f t="shared" si="161"/>
        <v>#N/A</v>
      </c>
      <c r="AH658" t="e">
        <f t="shared" si="162"/>
        <v>#N/A</v>
      </c>
      <c r="AI658" t="e">
        <f t="shared" si="163"/>
        <v>#N/A</v>
      </c>
      <c r="AK658" t="e">
        <f t="shared" si="164"/>
        <v>#N/A</v>
      </c>
      <c r="AL658" t="e">
        <f t="shared" si="165"/>
        <v>#N/A</v>
      </c>
      <c r="AM658" t="e">
        <f t="shared" si="166"/>
        <v>#N/A</v>
      </c>
      <c r="AN658">
        <f t="shared" si="167"/>
        <v>7.0470303494935424E-2</v>
      </c>
      <c r="AO658" t="e">
        <f t="shared" si="168"/>
        <v>#N/A</v>
      </c>
      <c r="AP658" t="e">
        <f t="shared" si="169"/>
        <v>#N/A</v>
      </c>
      <c r="AQ658" t="e">
        <f t="shared" si="170"/>
        <v>#N/A</v>
      </c>
    </row>
    <row r="659" spans="15:43">
      <c r="O659">
        <v>655</v>
      </c>
      <c r="P659" s="401">
        <f>'Lab test'!N658</f>
        <v>18.116549999999997</v>
      </c>
      <c r="Q659" s="401">
        <f>'Lab test'!M658</f>
        <v>1.3080999999999998</v>
      </c>
      <c r="R659">
        <f>IF('Lab test'!O658&gt;0,'Lab test'!O658,NA())</f>
        <v>114.3</v>
      </c>
      <c r="S659">
        <f>'Lab test'!Q658</f>
        <v>13.849514563106796</v>
      </c>
      <c r="T659" s="401">
        <f>IF('Lab test'!P658&gt;0,'Lab test'!P658,NA())</f>
        <v>1.6953269184093129</v>
      </c>
      <c r="U659" s="401">
        <f>'Lab test'!AZ658</f>
        <v>1952</v>
      </c>
      <c r="V659">
        <f>IF('Lab test'!AQ658&gt;0,'Lab test'!AQ658,NA())</f>
        <v>0.42320071389874231</v>
      </c>
      <c r="W659">
        <f>IF('Lab test'!AU658&gt;0,'Lab test'!AU658,NA())</f>
        <v>1.0219512195121949</v>
      </c>
      <c r="X659">
        <f>IF('Lab test'!AT658&gt;0,'Lab test'!AT658,NA())</f>
        <v>0.1830302822887945</v>
      </c>
      <c r="Y659">
        <f t="shared" si="156"/>
        <v>1</v>
      </c>
      <c r="Z659" t="str">
        <f>'Lab test'!AC658</f>
        <v>Machined</v>
      </c>
      <c r="AA659" t="str">
        <f>'Lab test'!T658</f>
        <v>Aluminium</v>
      </c>
      <c r="AC659" t="e">
        <f t="shared" si="157"/>
        <v>#N/A</v>
      </c>
      <c r="AD659" t="e">
        <f t="shared" si="158"/>
        <v>#N/A</v>
      </c>
      <c r="AE659" t="e">
        <f t="shared" si="159"/>
        <v>#N/A</v>
      </c>
      <c r="AF659">
        <f t="shared" si="160"/>
        <v>1.0219512195121949</v>
      </c>
      <c r="AG659" t="e">
        <f t="shared" si="161"/>
        <v>#N/A</v>
      </c>
      <c r="AH659" t="e">
        <f t="shared" si="162"/>
        <v>#N/A</v>
      </c>
      <c r="AI659" t="e">
        <f t="shared" si="163"/>
        <v>#N/A</v>
      </c>
      <c r="AK659" t="e">
        <f t="shared" si="164"/>
        <v>#N/A</v>
      </c>
      <c r="AL659" t="e">
        <f t="shared" si="165"/>
        <v>#N/A</v>
      </c>
      <c r="AM659" t="e">
        <f t="shared" si="166"/>
        <v>#N/A</v>
      </c>
      <c r="AN659">
        <f t="shared" si="167"/>
        <v>0.1830302822887945</v>
      </c>
      <c r="AO659" t="e">
        <f t="shared" si="168"/>
        <v>#N/A</v>
      </c>
      <c r="AP659" t="e">
        <f t="shared" si="169"/>
        <v>#N/A</v>
      </c>
      <c r="AQ659" t="e">
        <f t="shared" si="170"/>
        <v>#N/A</v>
      </c>
    </row>
    <row r="660" spans="15:43">
      <c r="O660">
        <v>656</v>
      </c>
      <c r="P660" s="401">
        <f>'Lab test'!N659</f>
        <v>17.83334</v>
      </c>
      <c r="Q660" s="401">
        <f>'Lab test'!M659</f>
        <v>0.73151999999999995</v>
      </c>
      <c r="R660">
        <f>IF('Lab test'!O659&gt;0,'Lab test'!O659,NA())</f>
        <v>114.3</v>
      </c>
      <c r="S660">
        <f>'Lab test'!Q659</f>
        <v>24.378472222222225</v>
      </c>
      <c r="T660" s="401">
        <f>IF('Lab test'!P659&gt;0,'Lab test'!P659,NA())</f>
        <v>1.2981064209088307</v>
      </c>
      <c r="U660" s="401">
        <f>'Lab test'!AZ659</f>
        <v>1952</v>
      </c>
      <c r="V660">
        <f>IF('Lab test'!AQ659&gt;0,'Lab test'!AQ659,NA())</f>
        <v>0.56147750142603015</v>
      </c>
      <c r="W660">
        <f>IF('Lab test'!AU659&gt;0,'Lab test'!AU659,NA())</f>
        <v>0.97926829268292681</v>
      </c>
      <c r="X660">
        <f>IF('Lab test'!AT659&gt;0,'Lab test'!AT659,NA())</f>
        <v>0.30872116907306951</v>
      </c>
      <c r="Y660">
        <f t="shared" si="156"/>
        <v>1</v>
      </c>
      <c r="Z660" t="str">
        <f>'Lab test'!AC659</f>
        <v>Machined</v>
      </c>
      <c r="AA660" t="str">
        <f>'Lab test'!T659</f>
        <v>Aluminium</v>
      </c>
      <c r="AC660" t="e">
        <f t="shared" si="157"/>
        <v>#N/A</v>
      </c>
      <c r="AD660" t="e">
        <f t="shared" si="158"/>
        <v>#N/A</v>
      </c>
      <c r="AE660" t="e">
        <f t="shared" si="159"/>
        <v>#N/A</v>
      </c>
      <c r="AF660">
        <f t="shared" si="160"/>
        <v>0.97926829268292681</v>
      </c>
      <c r="AG660" t="e">
        <f t="shared" si="161"/>
        <v>#N/A</v>
      </c>
      <c r="AH660" t="e">
        <f t="shared" si="162"/>
        <v>#N/A</v>
      </c>
      <c r="AI660" t="e">
        <f t="shared" si="163"/>
        <v>#N/A</v>
      </c>
      <c r="AK660" t="e">
        <f t="shared" si="164"/>
        <v>#N/A</v>
      </c>
      <c r="AL660" t="e">
        <f t="shared" si="165"/>
        <v>#N/A</v>
      </c>
      <c r="AM660" t="e">
        <f t="shared" si="166"/>
        <v>#N/A</v>
      </c>
      <c r="AN660">
        <f t="shared" si="167"/>
        <v>0.30872116907306951</v>
      </c>
      <c r="AO660" t="e">
        <f t="shared" si="168"/>
        <v>#N/A</v>
      </c>
      <c r="AP660" t="e">
        <f t="shared" si="169"/>
        <v>#N/A</v>
      </c>
      <c r="AQ660" t="e">
        <f t="shared" si="170"/>
        <v>#N/A</v>
      </c>
    </row>
    <row r="661" spans="15:43">
      <c r="O661">
        <v>657</v>
      </c>
      <c r="P661" s="401">
        <f>'Lab test'!N660</f>
        <v>17.683479999999996</v>
      </c>
      <c r="Q661" s="401">
        <f>'Lab test'!M660</f>
        <v>0.44703999999999999</v>
      </c>
      <c r="R661">
        <f>IF('Lab test'!O660&gt;0,'Lab test'!O660,NA())</f>
        <v>114.3</v>
      </c>
      <c r="S661">
        <f>'Lab test'!Q660</f>
        <v>39.556818181818173</v>
      </c>
      <c r="T661" s="401">
        <f>IF('Lab test'!P660&gt;0,'Lab test'!P660,NA())</f>
        <v>1.0277034613668117</v>
      </c>
      <c r="U661" s="401">
        <f>'Lab test'!AZ660</f>
        <v>1952</v>
      </c>
      <c r="V661">
        <f>IF('Lab test'!AQ660&gt;0,'Lab test'!AQ660,NA())</f>
        <v>0.71522023261066969</v>
      </c>
      <c r="W661">
        <f>IF('Lab test'!AU660&gt;0,'Lab test'!AU660,NA())</f>
        <v>0.89390243902439015</v>
      </c>
      <c r="X661">
        <f>IF('Lab test'!AT660&gt;0,'Lab test'!AT660,NA())</f>
        <v>0.45726683679565744</v>
      </c>
      <c r="Y661">
        <f t="shared" si="156"/>
        <v>1</v>
      </c>
      <c r="Z661" t="str">
        <f>'Lab test'!AC660</f>
        <v>Machined</v>
      </c>
      <c r="AA661" t="str">
        <f>'Lab test'!T660</f>
        <v>Aluminium</v>
      </c>
      <c r="AC661" t="e">
        <f t="shared" si="157"/>
        <v>#N/A</v>
      </c>
      <c r="AD661" t="e">
        <f t="shared" si="158"/>
        <v>#N/A</v>
      </c>
      <c r="AE661" t="e">
        <f t="shared" si="159"/>
        <v>#N/A</v>
      </c>
      <c r="AF661">
        <f t="shared" si="160"/>
        <v>0.89390243902439015</v>
      </c>
      <c r="AG661" t="e">
        <f t="shared" si="161"/>
        <v>#N/A</v>
      </c>
      <c r="AH661" t="e">
        <f t="shared" si="162"/>
        <v>#N/A</v>
      </c>
      <c r="AI661" t="e">
        <f t="shared" si="163"/>
        <v>#N/A</v>
      </c>
      <c r="AK661" t="e">
        <f t="shared" si="164"/>
        <v>#N/A</v>
      </c>
      <c r="AL661" t="e">
        <f t="shared" si="165"/>
        <v>#N/A</v>
      </c>
      <c r="AM661" t="e">
        <f t="shared" si="166"/>
        <v>#N/A</v>
      </c>
      <c r="AN661">
        <f t="shared" si="167"/>
        <v>0.45726683679565744</v>
      </c>
      <c r="AO661" t="e">
        <f t="shared" si="168"/>
        <v>#N/A</v>
      </c>
      <c r="AP661" t="e">
        <f t="shared" si="169"/>
        <v>#N/A</v>
      </c>
      <c r="AQ661" t="e">
        <f t="shared" si="170"/>
        <v>#N/A</v>
      </c>
    </row>
    <row r="662" spans="15:43">
      <c r="O662">
        <v>658</v>
      </c>
      <c r="P662" s="401">
        <f>'Lab test'!N661</f>
        <v>17.639029999999998</v>
      </c>
      <c r="Q662" s="401">
        <f>'Lab test'!M661</f>
        <v>0.30733999999999995</v>
      </c>
      <c r="R662">
        <f>IF('Lab test'!O661&gt;0,'Lab test'!O661,NA())</f>
        <v>114.3</v>
      </c>
      <c r="S662">
        <f>'Lab test'!Q661</f>
        <v>57.392561983471076</v>
      </c>
      <c r="T662" s="401">
        <f>IF('Lab test'!P661&gt;0,'Lab test'!P661,NA())</f>
        <v>0.85534973578264228</v>
      </c>
      <c r="U662" s="401">
        <f>'Lab test'!AZ661</f>
        <v>1952</v>
      </c>
      <c r="V662">
        <f>IF('Lab test'!AQ661&gt;0,'Lab test'!AQ661,NA())</f>
        <v>0.86150325358906799</v>
      </c>
      <c r="W662">
        <f>IF('Lab test'!AU661&gt;0,'Lab test'!AU661,NA())</f>
        <v>0.83048780487804874</v>
      </c>
      <c r="X662">
        <f>IF('Lab test'!AT661&gt;0,'Lab test'!AT661,NA())</f>
        <v>0.61637796329053485</v>
      </c>
      <c r="Y662">
        <f t="shared" si="156"/>
        <v>1</v>
      </c>
      <c r="Z662" t="str">
        <f>'Lab test'!AC661</f>
        <v>Machined</v>
      </c>
      <c r="AA662" t="str">
        <f>'Lab test'!T661</f>
        <v>Aluminium</v>
      </c>
      <c r="AC662" t="e">
        <f t="shared" si="157"/>
        <v>#N/A</v>
      </c>
      <c r="AD662" t="e">
        <f t="shared" si="158"/>
        <v>#N/A</v>
      </c>
      <c r="AE662" t="e">
        <f t="shared" si="159"/>
        <v>#N/A</v>
      </c>
      <c r="AF662">
        <f t="shared" si="160"/>
        <v>0.83048780487804874</v>
      </c>
      <c r="AG662" t="e">
        <f t="shared" si="161"/>
        <v>#N/A</v>
      </c>
      <c r="AH662" t="e">
        <f t="shared" si="162"/>
        <v>#N/A</v>
      </c>
      <c r="AI662" t="e">
        <f t="shared" si="163"/>
        <v>#N/A</v>
      </c>
      <c r="AK662" t="e">
        <f t="shared" si="164"/>
        <v>#N/A</v>
      </c>
      <c r="AL662" t="e">
        <f t="shared" si="165"/>
        <v>#N/A</v>
      </c>
      <c r="AM662" t="e">
        <f t="shared" si="166"/>
        <v>#N/A</v>
      </c>
      <c r="AN662">
        <f t="shared" si="167"/>
        <v>0.61637796329053485</v>
      </c>
      <c r="AO662" t="e">
        <f t="shared" si="168"/>
        <v>#N/A</v>
      </c>
      <c r="AP662" t="e">
        <f t="shared" si="169"/>
        <v>#N/A</v>
      </c>
      <c r="AQ662" t="e">
        <f t="shared" si="170"/>
        <v>#N/A</v>
      </c>
    </row>
    <row r="663" spans="15:43">
      <c r="O663">
        <v>659</v>
      </c>
      <c r="P663" s="401">
        <f>'Lab test'!N662</f>
        <v>17.585689999999996</v>
      </c>
      <c r="Q663" s="401">
        <f>'Lab test'!M662</f>
        <v>0.23621999999999996</v>
      </c>
      <c r="R663">
        <f>IF('Lab test'!O662&gt;0,'Lab test'!O662,NA())</f>
        <v>114.3</v>
      </c>
      <c r="S663">
        <f>'Lab test'!Q662</f>
        <v>74.446236559139777</v>
      </c>
      <c r="T663" s="401">
        <f>IF('Lab test'!P662&gt;0,'Lab test'!P662,NA())</f>
        <v>0.75329562171065223</v>
      </c>
      <c r="U663" s="401">
        <f>'Lab test'!AZ662</f>
        <v>1952</v>
      </c>
      <c r="V663">
        <f>IF('Lab test'!AQ662&gt;0,'Lab test'!AQ662,NA())</f>
        <v>0.98118407311760436</v>
      </c>
      <c r="W663">
        <f>IF('Lab test'!AU662&gt;0,'Lab test'!AU662,NA())</f>
        <v>0.73780487804878037</v>
      </c>
      <c r="X663">
        <f>IF('Lab test'!AT662&gt;0,'Lab test'!AT662,NA())</f>
        <v>0.71030112454937766</v>
      </c>
      <c r="Y663">
        <f t="shared" si="156"/>
        <v>1</v>
      </c>
      <c r="Z663" t="str">
        <f>'Lab test'!AC662</f>
        <v>Machined</v>
      </c>
      <c r="AA663" t="str">
        <f>'Lab test'!T662</f>
        <v>Aluminium</v>
      </c>
      <c r="AC663" t="e">
        <f t="shared" si="157"/>
        <v>#N/A</v>
      </c>
      <c r="AD663" t="e">
        <f t="shared" si="158"/>
        <v>#N/A</v>
      </c>
      <c r="AE663" t="e">
        <f t="shared" si="159"/>
        <v>#N/A</v>
      </c>
      <c r="AF663">
        <f t="shared" si="160"/>
        <v>0.73780487804878037</v>
      </c>
      <c r="AG663" t="e">
        <f t="shared" si="161"/>
        <v>#N/A</v>
      </c>
      <c r="AH663" t="e">
        <f t="shared" si="162"/>
        <v>#N/A</v>
      </c>
      <c r="AI663" t="e">
        <f t="shared" si="163"/>
        <v>#N/A</v>
      </c>
      <c r="AK663" t="e">
        <f t="shared" si="164"/>
        <v>#N/A</v>
      </c>
      <c r="AL663" t="e">
        <f t="shared" si="165"/>
        <v>#N/A</v>
      </c>
      <c r="AM663" t="e">
        <f t="shared" si="166"/>
        <v>#N/A</v>
      </c>
      <c r="AN663">
        <f t="shared" si="167"/>
        <v>0.71030112454937766</v>
      </c>
      <c r="AO663" t="e">
        <f t="shared" si="168"/>
        <v>#N/A</v>
      </c>
      <c r="AP663" t="e">
        <f t="shared" si="169"/>
        <v>#N/A</v>
      </c>
      <c r="AQ663" t="e">
        <f t="shared" si="170"/>
        <v>#N/A</v>
      </c>
    </row>
    <row r="664" spans="15:43">
      <c r="O664">
        <v>660</v>
      </c>
      <c r="P664" s="401">
        <f>'Lab test'!N663</f>
        <v>76.2</v>
      </c>
      <c r="Q664" s="401">
        <f>'Lab test'!M663</f>
        <v>0.15239999999999998</v>
      </c>
      <c r="R664">
        <f>IF('Lab test'!O663&gt;0,'Lab test'!O663,NA())</f>
        <v>450.84999999999997</v>
      </c>
      <c r="S664">
        <f>'Lab test'!Q663</f>
        <v>500.00000000000006</v>
      </c>
      <c r="T664" s="401">
        <f>IF('Lab test'!P663&gt;0,'Lab test'!P663,NA())</f>
        <v>0.26460137733747507</v>
      </c>
      <c r="U664" s="401">
        <f>'Lab test'!AZ663</f>
        <v>1962</v>
      </c>
      <c r="V664" t="e">
        <f>IF('Lab test'!AQ663&gt;0,'Lab test'!AQ663,NA())</f>
        <v>#N/A</v>
      </c>
      <c r="W664" t="e">
        <f>IF('Lab test'!AU663&gt;0,'Lab test'!AU663,NA())</f>
        <v>#N/A</v>
      </c>
      <c r="X664">
        <f>IF('Lab test'!AT663&gt;0,'Lab test'!AT663,NA())</f>
        <v>0.33957021167405349</v>
      </c>
      <c r="Y664">
        <f t="shared" si="156"/>
        <v>1</v>
      </c>
      <c r="Z664" t="str">
        <f>'Lab test'!AC663</f>
        <v>LTWa</v>
      </c>
      <c r="AA664" t="str">
        <f>'Lab test'!T663</f>
        <v>Steel</v>
      </c>
      <c r="AC664" t="e">
        <f t="shared" si="157"/>
        <v>#N/A</v>
      </c>
      <c r="AD664" t="e">
        <f t="shared" si="158"/>
        <v>#N/A</v>
      </c>
      <c r="AE664" t="e">
        <f t="shared" si="159"/>
        <v>#N/A</v>
      </c>
      <c r="AF664" t="e">
        <f t="shared" si="160"/>
        <v>#N/A</v>
      </c>
      <c r="AG664" t="e">
        <f t="shared" si="161"/>
        <v>#N/A</v>
      </c>
      <c r="AH664" t="e">
        <f t="shared" si="162"/>
        <v>#N/A</v>
      </c>
      <c r="AI664" t="e">
        <f t="shared" si="163"/>
        <v>#N/A</v>
      </c>
      <c r="AK664">
        <f t="shared" si="164"/>
        <v>0.33957021167405349</v>
      </c>
      <c r="AL664" t="e">
        <f t="shared" si="165"/>
        <v>#N/A</v>
      </c>
      <c r="AM664" t="e">
        <f t="shared" si="166"/>
        <v>#N/A</v>
      </c>
      <c r="AN664" t="e">
        <f t="shared" si="167"/>
        <v>#N/A</v>
      </c>
      <c r="AO664" t="e">
        <f t="shared" si="168"/>
        <v>#N/A</v>
      </c>
      <c r="AP664" t="e">
        <f t="shared" si="169"/>
        <v>#N/A</v>
      </c>
      <c r="AQ664" t="e">
        <f t="shared" si="170"/>
        <v>#N/A</v>
      </c>
    </row>
    <row r="665" spans="15:43">
      <c r="O665">
        <v>661</v>
      </c>
      <c r="P665" s="401">
        <f>'Lab test'!N664</f>
        <v>76.2</v>
      </c>
      <c r="Q665" s="401">
        <f>'Lab test'!M664</f>
        <v>0.15239999999999998</v>
      </c>
      <c r="R665">
        <f>IF('Lab test'!O664&gt;0,'Lab test'!O664,NA())</f>
        <v>450.84999999999997</v>
      </c>
      <c r="S665">
        <f>'Lab test'!Q664</f>
        <v>500.00000000000006</v>
      </c>
      <c r="T665" s="401">
        <f>IF('Lab test'!P664&gt;0,'Lab test'!P664,NA())</f>
        <v>0.26460137733747507</v>
      </c>
      <c r="U665" s="401">
        <f>'Lab test'!AZ664</f>
        <v>1962</v>
      </c>
      <c r="V665" t="e">
        <f>IF('Lab test'!AQ664&gt;0,'Lab test'!AQ664,NA())</f>
        <v>#N/A</v>
      </c>
      <c r="W665" t="e">
        <f>IF('Lab test'!AU664&gt;0,'Lab test'!AU664,NA())</f>
        <v>#N/A</v>
      </c>
      <c r="X665">
        <f>IF('Lab test'!AT664&gt;0,'Lab test'!AT664,NA())</f>
        <v>0.33330297622369343</v>
      </c>
      <c r="Y665">
        <f t="shared" si="156"/>
        <v>1</v>
      </c>
      <c r="Z665" t="str">
        <f>'Lab test'!AC664</f>
        <v>LTWa</v>
      </c>
      <c r="AA665" t="str">
        <f>'Lab test'!T664</f>
        <v>Steel</v>
      </c>
      <c r="AC665" t="e">
        <f t="shared" si="157"/>
        <v>#N/A</v>
      </c>
      <c r="AD665" t="e">
        <f t="shared" si="158"/>
        <v>#N/A</v>
      </c>
      <c r="AE665" t="e">
        <f t="shared" si="159"/>
        <v>#N/A</v>
      </c>
      <c r="AF665" t="e">
        <f t="shared" si="160"/>
        <v>#N/A</v>
      </c>
      <c r="AG665" t="e">
        <f t="shared" si="161"/>
        <v>#N/A</v>
      </c>
      <c r="AH665" t="e">
        <f t="shared" si="162"/>
        <v>#N/A</v>
      </c>
      <c r="AI665" t="e">
        <f t="shared" si="163"/>
        <v>#N/A</v>
      </c>
      <c r="AK665">
        <f t="shared" si="164"/>
        <v>0.33330297622369343</v>
      </c>
      <c r="AL665" t="e">
        <f t="shared" si="165"/>
        <v>#N/A</v>
      </c>
      <c r="AM665" t="e">
        <f t="shared" si="166"/>
        <v>#N/A</v>
      </c>
      <c r="AN665" t="e">
        <f t="shared" si="167"/>
        <v>#N/A</v>
      </c>
      <c r="AO665" t="e">
        <f t="shared" si="168"/>
        <v>#N/A</v>
      </c>
      <c r="AP665" t="e">
        <f t="shared" si="169"/>
        <v>#N/A</v>
      </c>
      <c r="AQ665" t="e">
        <f t="shared" si="170"/>
        <v>#N/A</v>
      </c>
    </row>
    <row r="666" spans="15:43">
      <c r="O666">
        <v>662</v>
      </c>
      <c r="P666" s="401">
        <f>'Lab test'!N665</f>
        <v>76.2</v>
      </c>
      <c r="Q666" s="401">
        <f>'Lab test'!M665</f>
        <v>0.15239999999999998</v>
      </c>
      <c r="R666">
        <f>IF('Lab test'!O665&gt;0,'Lab test'!O665,NA())</f>
        <v>450.84999999999997</v>
      </c>
      <c r="S666">
        <f>'Lab test'!Q665</f>
        <v>500.00000000000006</v>
      </c>
      <c r="T666" s="401">
        <f>IF('Lab test'!P665&gt;0,'Lab test'!P665,NA())</f>
        <v>0.26460137733747507</v>
      </c>
      <c r="U666" s="401">
        <f>'Lab test'!AZ665</f>
        <v>1962</v>
      </c>
      <c r="V666" t="e">
        <f>IF('Lab test'!AQ665&gt;0,'Lab test'!AQ665,NA())</f>
        <v>#N/A</v>
      </c>
      <c r="W666" t="e">
        <f>IF('Lab test'!AU665&gt;0,'Lab test'!AU665,NA())</f>
        <v>#N/A</v>
      </c>
      <c r="X666">
        <f>IF('Lab test'!AT665&gt;0,'Lab test'!AT665,NA())</f>
        <v>0.27177011907470389</v>
      </c>
      <c r="Y666">
        <f t="shared" si="156"/>
        <v>1</v>
      </c>
      <c r="Z666" t="str">
        <f>'Lab test'!AC665</f>
        <v>LTWa</v>
      </c>
      <c r="AA666" t="str">
        <f>'Lab test'!T665</f>
        <v>Steel</v>
      </c>
      <c r="AC666" t="e">
        <f t="shared" si="157"/>
        <v>#N/A</v>
      </c>
      <c r="AD666" t="e">
        <f t="shared" si="158"/>
        <v>#N/A</v>
      </c>
      <c r="AE666" t="e">
        <f t="shared" si="159"/>
        <v>#N/A</v>
      </c>
      <c r="AF666" t="e">
        <f t="shared" si="160"/>
        <v>#N/A</v>
      </c>
      <c r="AG666" t="e">
        <f t="shared" si="161"/>
        <v>#N/A</v>
      </c>
      <c r="AH666" t="e">
        <f t="shared" si="162"/>
        <v>#N/A</v>
      </c>
      <c r="AI666" t="e">
        <f t="shared" si="163"/>
        <v>#N/A</v>
      </c>
      <c r="AK666">
        <f t="shared" si="164"/>
        <v>0.27177011907470389</v>
      </c>
      <c r="AL666" t="e">
        <f t="shared" si="165"/>
        <v>#N/A</v>
      </c>
      <c r="AM666" t="e">
        <f t="shared" si="166"/>
        <v>#N/A</v>
      </c>
      <c r="AN666" t="e">
        <f t="shared" si="167"/>
        <v>#N/A</v>
      </c>
      <c r="AO666" t="e">
        <f t="shared" si="168"/>
        <v>#N/A</v>
      </c>
      <c r="AP666" t="e">
        <f t="shared" si="169"/>
        <v>#N/A</v>
      </c>
      <c r="AQ666" t="e">
        <f t="shared" si="170"/>
        <v>#N/A</v>
      </c>
    </row>
    <row r="667" spans="15:43">
      <c r="O667">
        <v>663</v>
      </c>
      <c r="P667" s="401">
        <f>'Lab test'!N666</f>
        <v>76.2</v>
      </c>
      <c r="Q667" s="401">
        <f>'Lab test'!M666</f>
        <v>0.15239999999999998</v>
      </c>
      <c r="R667">
        <f>IF('Lab test'!O666&gt;0,'Lab test'!O666,NA())</f>
        <v>450.84999999999997</v>
      </c>
      <c r="S667">
        <f>'Lab test'!Q666</f>
        <v>500.00000000000006</v>
      </c>
      <c r="T667" s="401">
        <f>IF('Lab test'!P666&gt;0,'Lab test'!P666,NA())</f>
        <v>0.26460137733747507</v>
      </c>
      <c r="U667" s="401">
        <f>'Lab test'!AZ666</f>
        <v>1962</v>
      </c>
      <c r="V667" t="e">
        <f>IF('Lab test'!AQ666&gt;0,'Lab test'!AQ666,NA())</f>
        <v>#N/A</v>
      </c>
      <c r="W667" t="e">
        <f>IF('Lab test'!AU666&gt;0,'Lab test'!AU666,NA())</f>
        <v>#N/A</v>
      </c>
      <c r="X667">
        <f>IF('Lab test'!AT666&gt;0,'Lab test'!AT666,NA())</f>
        <v>0.31678026458183517</v>
      </c>
      <c r="Y667">
        <f t="shared" si="156"/>
        <v>1</v>
      </c>
      <c r="Z667" t="str">
        <f>'Lab test'!AC666</f>
        <v>LTWa</v>
      </c>
      <c r="AA667" t="str">
        <f>'Lab test'!T666</f>
        <v>Steel</v>
      </c>
      <c r="AC667" t="e">
        <f t="shared" si="157"/>
        <v>#N/A</v>
      </c>
      <c r="AD667" t="e">
        <f t="shared" si="158"/>
        <v>#N/A</v>
      </c>
      <c r="AE667" t="e">
        <f t="shared" si="159"/>
        <v>#N/A</v>
      </c>
      <c r="AF667" t="e">
        <f t="shared" si="160"/>
        <v>#N/A</v>
      </c>
      <c r="AG667" t="e">
        <f t="shared" si="161"/>
        <v>#N/A</v>
      </c>
      <c r="AH667" t="e">
        <f t="shared" si="162"/>
        <v>#N/A</v>
      </c>
      <c r="AI667" t="e">
        <f t="shared" si="163"/>
        <v>#N/A</v>
      </c>
      <c r="AK667">
        <f t="shared" si="164"/>
        <v>0.31678026458183517</v>
      </c>
      <c r="AL667" t="e">
        <f t="shared" si="165"/>
        <v>#N/A</v>
      </c>
      <c r="AM667" t="e">
        <f t="shared" si="166"/>
        <v>#N/A</v>
      </c>
      <c r="AN667" t="e">
        <f t="shared" si="167"/>
        <v>#N/A</v>
      </c>
      <c r="AO667" t="e">
        <f t="shared" si="168"/>
        <v>#N/A</v>
      </c>
      <c r="AP667" t="e">
        <f t="shared" si="169"/>
        <v>#N/A</v>
      </c>
      <c r="AQ667" t="e">
        <f t="shared" si="170"/>
        <v>#N/A</v>
      </c>
    </row>
    <row r="668" spans="15:43">
      <c r="O668">
        <v>664</v>
      </c>
      <c r="P668" s="401">
        <f>'Lab test'!N667</f>
        <v>101.6</v>
      </c>
      <c r="Q668" s="401">
        <f>'Lab test'!M667</f>
        <v>0.1905</v>
      </c>
      <c r="R668">
        <f>IF('Lab test'!O667&gt;0,'Lab test'!O667,NA())</f>
        <v>481.83799999999997</v>
      </c>
      <c r="S668">
        <f>'Lab test'!Q667</f>
        <v>533.33333333333326</v>
      </c>
      <c r="T668" s="401">
        <f>IF('Lab test'!P667&gt;0,'Lab test'!P667,NA())</f>
        <v>0.205356273872385</v>
      </c>
      <c r="U668" s="401">
        <f>'Lab test'!AZ667</f>
        <v>1962</v>
      </c>
      <c r="V668" t="e">
        <f>IF('Lab test'!AQ667&gt;0,'Lab test'!AQ667,NA())</f>
        <v>#N/A</v>
      </c>
      <c r="W668" t="e">
        <f>IF('Lab test'!AU667&gt;0,'Lab test'!AU667,NA())</f>
        <v>#N/A</v>
      </c>
      <c r="X668">
        <f>IF('Lab test'!AT667&gt;0,'Lab test'!AT667,NA())</f>
        <v>0.2889765291293287</v>
      </c>
      <c r="Y668">
        <f t="shared" si="156"/>
        <v>1</v>
      </c>
      <c r="Z668" t="str">
        <f>'Lab test'!AC667</f>
        <v>LTWa</v>
      </c>
      <c r="AA668" t="str">
        <f>'Lab test'!T667</f>
        <v>Steel</v>
      </c>
      <c r="AC668" t="e">
        <f t="shared" si="157"/>
        <v>#N/A</v>
      </c>
      <c r="AD668" t="e">
        <f t="shared" si="158"/>
        <v>#N/A</v>
      </c>
      <c r="AE668" t="e">
        <f t="shared" si="159"/>
        <v>#N/A</v>
      </c>
      <c r="AF668" t="e">
        <f t="shared" si="160"/>
        <v>#N/A</v>
      </c>
      <c r="AG668" t="e">
        <f t="shared" si="161"/>
        <v>#N/A</v>
      </c>
      <c r="AH668" t="e">
        <f t="shared" si="162"/>
        <v>#N/A</v>
      </c>
      <c r="AI668" t="e">
        <f t="shared" si="163"/>
        <v>#N/A</v>
      </c>
      <c r="AK668">
        <f t="shared" si="164"/>
        <v>0.2889765291293287</v>
      </c>
      <c r="AL668" t="e">
        <f t="shared" si="165"/>
        <v>#N/A</v>
      </c>
      <c r="AM668" t="e">
        <f t="shared" si="166"/>
        <v>#N/A</v>
      </c>
      <c r="AN668" t="e">
        <f t="shared" si="167"/>
        <v>#N/A</v>
      </c>
      <c r="AO668" t="e">
        <f t="shared" si="168"/>
        <v>#N/A</v>
      </c>
      <c r="AP668" t="e">
        <f t="shared" si="169"/>
        <v>#N/A</v>
      </c>
      <c r="AQ668" t="e">
        <f t="shared" si="170"/>
        <v>#N/A</v>
      </c>
    </row>
    <row r="669" spans="15:43">
      <c r="O669">
        <v>665</v>
      </c>
      <c r="P669" s="401">
        <f>'Lab test'!N668</f>
        <v>76.2</v>
      </c>
      <c r="Q669" s="401">
        <f>'Lab test'!M668</f>
        <v>0.1905</v>
      </c>
      <c r="R669">
        <f>IF('Lab test'!O668&gt;0,'Lab test'!O668,NA())</f>
        <v>507.23799999999994</v>
      </c>
      <c r="S669">
        <f>'Lab test'!Q668</f>
        <v>400</v>
      </c>
      <c r="T669" s="401">
        <f>IF('Lab test'!P668&gt;0,'Lab test'!P668,NA())</f>
        <v>0.33283333333333331</v>
      </c>
      <c r="U669" s="401">
        <f>'Lab test'!AZ668</f>
        <v>1962</v>
      </c>
      <c r="V669" t="e">
        <f>IF('Lab test'!AQ668&gt;0,'Lab test'!AQ668,NA())</f>
        <v>#N/A</v>
      </c>
      <c r="W669" t="e">
        <f>IF('Lab test'!AU668&gt;0,'Lab test'!AU668,NA())</f>
        <v>#N/A</v>
      </c>
      <c r="X669">
        <f>IF('Lab test'!AT668&gt;0,'Lab test'!AT668,NA())</f>
        <v>0.41021904765993039</v>
      </c>
      <c r="Y669">
        <f t="shared" si="156"/>
        <v>1</v>
      </c>
      <c r="Z669" t="str">
        <f>'Lab test'!AC668</f>
        <v>LTWa</v>
      </c>
      <c r="AA669" t="str">
        <f>'Lab test'!T668</f>
        <v>Steel</v>
      </c>
      <c r="AC669" t="e">
        <f t="shared" si="157"/>
        <v>#N/A</v>
      </c>
      <c r="AD669" t="e">
        <f t="shared" si="158"/>
        <v>#N/A</v>
      </c>
      <c r="AE669" t="e">
        <f t="shared" si="159"/>
        <v>#N/A</v>
      </c>
      <c r="AF669" t="e">
        <f t="shared" si="160"/>
        <v>#N/A</v>
      </c>
      <c r="AG669" t="e">
        <f t="shared" si="161"/>
        <v>#N/A</v>
      </c>
      <c r="AH669" t="e">
        <f t="shared" si="162"/>
        <v>#N/A</v>
      </c>
      <c r="AI669" t="e">
        <f t="shared" si="163"/>
        <v>#N/A</v>
      </c>
      <c r="AK669">
        <f t="shared" si="164"/>
        <v>0.41021904765993039</v>
      </c>
      <c r="AL669" t="e">
        <f t="shared" si="165"/>
        <v>#N/A</v>
      </c>
      <c r="AM669" t="e">
        <f t="shared" si="166"/>
        <v>#N/A</v>
      </c>
      <c r="AN669" t="e">
        <f t="shared" si="167"/>
        <v>#N/A</v>
      </c>
      <c r="AO669" t="e">
        <f t="shared" si="168"/>
        <v>#N/A</v>
      </c>
      <c r="AP669" t="e">
        <f t="shared" si="169"/>
        <v>#N/A</v>
      </c>
      <c r="AQ669" t="e">
        <f t="shared" si="170"/>
        <v>#N/A</v>
      </c>
    </row>
    <row r="670" spans="15:43">
      <c r="O670">
        <v>666</v>
      </c>
      <c r="P670" s="401">
        <f>'Lab test'!N669</f>
        <v>76.2</v>
      </c>
      <c r="Q670" s="401">
        <f>'Lab test'!M669</f>
        <v>0.1905</v>
      </c>
      <c r="R670">
        <f>IF('Lab test'!O669&gt;0,'Lab test'!O669,NA())</f>
        <v>501.65000000000003</v>
      </c>
      <c r="S670">
        <f>'Lab test'!Q669</f>
        <v>400</v>
      </c>
      <c r="T670" s="401">
        <f>IF('Lab test'!P669&gt;0,'Lab test'!P669,NA())</f>
        <v>0.32916666666666672</v>
      </c>
      <c r="U670" s="401">
        <f>'Lab test'!AZ669</f>
        <v>1962</v>
      </c>
      <c r="V670" t="e">
        <f>IF('Lab test'!AQ669&gt;0,'Lab test'!AQ669,NA())</f>
        <v>#N/A</v>
      </c>
      <c r="W670" t="e">
        <f>IF('Lab test'!AU669&gt;0,'Lab test'!AU669,NA())</f>
        <v>#N/A</v>
      </c>
      <c r="X670">
        <f>IF('Lab test'!AT669&gt;0,'Lab test'!AT669,NA())</f>
        <v>0.45921743390819986</v>
      </c>
      <c r="Y670">
        <f t="shared" si="156"/>
        <v>1</v>
      </c>
      <c r="Z670" t="str">
        <f>'Lab test'!AC669</f>
        <v>LTWa</v>
      </c>
      <c r="AA670" t="str">
        <f>'Lab test'!T669</f>
        <v>Steel</v>
      </c>
      <c r="AC670" t="e">
        <f t="shared" si="157"/>
        <v>#N/A</v>
      </c>
      <c r="AD670" t="e">
        <f t="shared" si="158"/>
        <v>#N/A</v>
      </c>
      <c r="AE670" t="e">
        <f t="shared" si="159"/>
        <v>#N/A</v>
      </c>
      <c r="AF670" t="e">
        <f t="shared" si="160"/>
        <v>#N/A</v>
      </c>
      <c r="AG670" t="e">
        <f t="shared" si="161"/>
        <v>#N/A</v>
      </c>
      <c r="AH670" t="e">
        <f t="shared" si="162"/>
        <v>#N/A</v>
      </c>
      <c r="AI670" t="e">
        <f t="shared" si="163"/>
        <v>#N/A</v>
      </c>
      <c r="AK670">
        <f t="shared" si="164"/>
        <v>0.45921743390819986</v>
      </c>
      <c r="AL670" t="e">
        <f t="shared" si="165"/>
        <v>#N/A</v>
      </c>
      <c r="AM670" t="e">
        <f t="shared" si="166"/>
        <v>#N/A</v>
      </c>
      <c r="AN670" t="e">
        <f t="shared" si="167"/>
        <v>#N/A</v>
      </c>
      <c r="AO670" t="e">
        <f t="shared" si="168"/>
        <v>#N/A</v>
      </c>
      <c r="AP670" t="e">
        <f t="shared" si="169"/>
        <v>#N/A</v>
      </c>
      <c r="AQ670" t="e">
        <f t="shared" si="170"/>
        <v>#N/A</v>
      </c>
    </row>
    <row r="671" spans="15:43">
      <c r="O671">
        <v>667</v>
      </c>
      <c r="P671" s="401">
        <f>'Lab test'!N670</f>
        <v>50.8</v>
      </c>
      <c r="Q671" s="401">
        <f>'Lab test'!M670</f>
        <v>0.15239999999999998</v>
      </c>
      <c r="R671">
        <f>IF('Lab test'!O670&gt;0,'Lab test'!O670,NA())</f>
        <v>374.65</v>
      </c>
      <c r="S671">
        <f>'Lab test'!Q670</f>
        <v>333.33333333333337</v>
      </c>
      <c r="T671" s="401">
        <f>IF('Lab test'!P670&gt;0,'Lab test'!P670,NA())</f>
        <v>0.40394538616005998</v>
      </c>
      <c r="U671" s="401">
        <f>'Lab test'!AZ670</f>
        <v>1962</v>
      </c>
      <c r="V671" t="e">
        <f>IF('Lab test'!AQ670&gt;0,'Lab test'!AQ670,NA())</f>
        <v>#N/A</v>
      </c>
      <c r="W671" t="e">
        <f>IF('Lab test'!AU670&gt;0,'Lab test'!AU670,NA())</f>
        <v>#N/A</v>
      </c>
      <c r="X671">
        <f>IF('Lab test'!AT670&gt;0,'Lab test'!AT670,NA())</f>
        <v>0.42921067023677906</v>
      </c>
      <c r="Y671">
        <f t="shared" si="156"/>
        <v>1</v>
      </c>
      <c r="Z671" t="str">
        <f>'Lab test'!AC670</f>
        <v>LTWa</v>
      </c>
      <c r="AA671" t="str">
        <f>'Lab test'!T670</f>
        <v>Steel</v>
      </c>
      <c r="AC671" t="e">
        <f t="shared" si="157"/>
        <v>#N/A</v>
      </c>
      <c r="AD671" t="e">
        <f t="shared" si="158"/>
        <v>#N/A</v>
      </c>
      <c r="AE671" t="e">
        <f t="shared" si="159"/>
        <v>#N/A</v>
      </c>
      <c r="AF671" t="e">
        <f t="shared" si="160"/>
        <v>#N/A</v>
      </c>
      <c r="AG671" t="e">
        <f t="shared" si="161"/>
        <v>#N/A</v>
      </c>
      <c r="AH671" t="e">
        <f t="shared" si="162"/>
        <v>#N/A</v>
      </c>
      <c r="AI671" t="e">
        <f t="shared" si="163"/>
        <v>#N/A</v>
      </c>
      <c r="AK671">
        <f t="shared" si="164"/>
        <v>0.42921067023677906</v>
      </c>
      <c r="AL671" t="e">
        <f t="shared" si="165"/>
        <v>#N/A</v>
      </c>
      <c r="AM671" t="e">
        <f t="shared" si="166"/>
        <v>#N/A</v>
      </c>
      <c r="AN671" t="e">
        <f t="shared" si="167"/>
        <v>#N/A</v>
      </c>
      <c r="AO671" t="e">
        <f t="shared" si="168"/>
        <v>#N/A</v>
      </c>
      <c r="AP671" t="e">
        <f t="shared" si="169"/>
        <v>#N/A</v>
      </c>
      <c r="AQ671" t="e">
        <f t="shared" si="170"/>
        <v>#N/A</v>
      </c>
    </row>
    <row r="672" spans="15:43">
      <c r="O672">
        <v>668</v>
      </c>
      <c r="P672" s="401">
        <f>'Lab test'!N671</f>
        <v>101.6</v>
      </c>
      <c r="Q672" s="401">
        <f>'Lab test'!M671</f>
        <v>0.15240000000000001</v>
      </c>
      <c r="R672">
        <f>IF('Lab test'!O671&gt;0,'Lab test'!O671,NA())</f>
        <v>374.65</v>
      </c>
      <c r="S672">
        <f>'Lab test'!Q671</f>
        <v>666.66666666666663</v>
      </c>
      <c r="T672" s="401">
        <f>IF('Lab test'!P671&gt;0,'Lab test'!P671,NA())</f>
        <v>0.14281626089139851</v>
      </c>
      <c r="U672" s="401">
        <f>'Lab test'!AZ671</f>
        <v>1962</v>
      </c>
      <c r="V672" t="e">
        <f>IF('Lab test'!AQ671&gt;0,'Lab test'!AQ671,NA())</f>
        <v>#N/A</v>
      </c>
      <c r="W672" t="e">
        <f>IF('Lab test'!AU671&gt;0,'Lab test'!AU671,NA())</f>
        <v>#N/A</v>
      </c>
      <c r="X672">
        <f>IF('Lab test'!AT671&gt;0,'Lab test'!AT671,NA())</f>
        <v>0.30386596122957804</v>
      </c>
      <c r="Y672">
        <f t="shared" si="156"/>
        <v>1</v>
      </c>
      <c r="Z672" t="str">
        <f>'Lab test'!AC671</f>
        <v>LTWa</v>
      </c>
      <c r="AA672" t="str">
        <f>'Lab test'!T671</f>
        <v>Steel</v>
      </c>
      <c r="AC672" t="e">
        <f t="shared" si="157"/>
        <v>#N/A</v>
      </c>
      <c r="AD672" t="e">
        <f t="shared" si="158"/>
        <v>#N/A</v>
      </c>
      <c r="AE672" t="e">
        <f t="shared" si="159"/>
        <v>#N/A</v>
      </c>
      <c r="AF672" t="e">
        <f t="shared" si="160"/>
        <v>#N/A</v>
      </c>
      <c r="AG672" t="e">
        <f t="shared" si="161"/>
        <v>#N/A</v>
      </c>
      <c r="AH672" t="e">
        <f t="shared" si="162"/>
        <v>#N/A</v>
      </c>
      <c r="AI672" t="e">
        <f t="shared" si="163"/>
        <v>#N/A</v>
      </c>
      <c r="AK672">
        <f t="shared" si="164"/>
        <v>0.30386596122957804</v>
      </c>
      <c r="AL672" t="e">
        <f t="shared" si="165"/>
        <v>#N/A</v>
      </c>
      <c r="AM672" t="e">
        <f t="shared" si="166"/>
        <v>#N/A</v>
      </c>
      <c r="AN672" t="e">
        <f t="shared" si="167"/>
        <v>#N/A</v>
      </c>
      <c r="AO672" t="e">
        <f t="shared" si="168"/>
        <v>#N/A</v>
      </c>
      <c r="AP672" t="e">
        <f t="shared" si="169"/>
        <v>#N/A</v>
      </c>
      <c r="AQ672" t="e">
        <f t="shared" si="170"/>
        <v>#N/A</v>
      </c>
    </row>
    <row r="673" spans="15:43">
      <c r="O673">
        <v>669</v>
      </c>
      <c r="P673" s="401">
        <f>'Lab test'!N672</f>
        <v>101.6</v>
      </c>
      <c r="Q673" s="401">
        <f>'Lab test'!M672</f>
        <v>0.15240000000000001</v>
      </c>
      <c r="R673">
        <f>IF('Lab test'!O672&gt;0,'Lab test'!O672,NA())</f>
        <v>520.70000000000005</v>
      </c>
      <c r="S673">
        <f>'Lab test'!Q672</f>
        <v>666.66666666666663</v>
      </c>
      <c r="T673" s="401">
        <f>IF('Lab test'!P672&gt;0,'Lab test'!P672,NA())</f>
        <v>0.19849039649313016</v>
      </c>
      <c r="U673" s="401">
        <f>'Lab test'!AZ672</f>
        <v>1962</v>
      </c>
      <c r="V673" t="e">
        <f>IF('Lab test'!AQ672&gt;0,'Lab test'!AQ672,NA())</f>
        <v>#N/A</v>
      </c>
      <c r="W673" t="e">
        <f>IF('Lab test'!AU672&gt;0,'Lab test'!AU672,NA())</f>
        <v>#N/A</v>
      </c>
      <c r="X673">
        <f>IF('Lab test'!AT672&gt;0,'Lab test'!AT672,NA())</f>
        <v>0.35324417992938445</v>
      </c>
      <c r="Y673">
        <f t="shared" si="156"/>
        <v>1</v>
      </c>
      <c r="Z673" t="str">
        <f>'Lab test'!AC672</f>
        <v>LTWa</v>
      </c>
      <c r="AA673" t="str">
        <f>'Lab test'!T672</f>
        <v>Steel</v>
      </c>
      <c r="AC673" t="e">
        <f t="shared" si="157"/>
        <v>#N/A</v>
      </c>
      <c r="AD673" t="e">
        <f t="shared" si="158"/>
        <v>#N/A</v>
      </c>
      <c r="AE673" t="e">
        <f t="shared" si="159"/>
        <v>#N/A</v>
      </c>
      <c r="AF673" t="e">
        <f t="shared" si="160"/>
        <v>#N/A</v>
      </c>
      <c r="AG673" t="e">
        <f t="shared" si="161"/>
        <v>#N/A</v>
      </c>
      <c r="AH673" t="e">
        <f t="shared" si="162"/>
        <v>#N/A</v>
      </c>
      <c r="AI673" t="e">
        <f t="shared" si="163"/>
        <v>#N/A</v>
      </c>
      <c r="AK673">
        <f t="shared" si="164"/>
        <v>0.35324417992938445</v>
      </c>
      <c r="AL673" t="e">
        <f t="shared" si="165"/>
        <v>#N/A</v>
      </c>
      <c r="AM673" t="e">
        <f t="shared" si="166"/>
        <v>#N/A</v>
      </c>
      <c r="AN673" t="e">
        <f t="shared" si="167"/>
        <v>#N/A</v>
      </c>
      <c r="AO673" t="e">
        <f t="shared" si="168"/>
        <v>#N/A</v>
      </c>
      <c r="AP673" t="e">
        <f t="shared" si="169"/>
        <v>#N/A</v>
      </c>
      <c r="AQ673" t="e">
        <f t="shared" si="170"/>
        <v>#N/A</v>
      </c>
    </row>
    <row r="674" spans="15:43">
      <c r="O674">
        <v>670</v>
      </c>
      <c r="P674" s="401">
        <f>'Lab test'!N673</f>
        <v>76.2</v>
      </c>
      <c r="Q674" s="401">
        <f>'Lab test'!M673</f>
        <v>0.1905</v>
      </c>
      <c r="R674">
        <f>IF('Lab test'!O673&gt;0,'Lab test'!O673,NA())</f>
        <v>508</v>
      </c>
      <c r="S674">
        <f>'Lab test'!Q673</f>
        <v>400</v>
      </c>
      <c r="T674" s="401">
        <f>IF('Lab test'!P673&gt;0,'Lab test'!P673,NA())</f>
        <v>0.33333333333333331</v>
      </c>
      <c r="U674" s="401">
        <f>'Lab test'!AZ673</f>
        <v>1962</v>
      </c>
      <c r="V674" t="e">
        <f>IF('Lab test'!AQ673&gt;0,'Lab test'!AQ673,NA())</f>
        <v>#N/A</v>
      </c>
      <c r="W674" t="e">
        <f>IF('Lab test'!AU673&gt;0,'Lab test'!AU673,NA())</f>
        <v>#N/A</v>
      </c>
      <c r="X674">
        <f>IF('Lab test'!AT673&gt;0,'Lab test'!AT673,NA())</f>
        <v>0.43984597887981425</v>
      </c>
      <c r="Y674">
        <f t="shared" si="156"/>
        <v>1</v>
      </c>
      <c r="Z674" t="str">
        <f>'Lab test'!AC673</f>
        <v>LTWa</v>
      </c>
      <c r="AA674" t="str">
        <f>'Lab test'!T673</f>
        <v>Steel</v>
      </c>
      <c r="AC674" t="e">
        <f t="shared" si="157"/>
        <v>#N/A</v>
      </c>
      <c r="AD674" t="e">
        <f t="shared" si="158"/>
        <v>#N/A</v>
      </c>
      <c r="AE674" t="e">
        <f t="shared" si="159"/>
        <v>#N/A</v>
      </c>
      <c r="AF674" t="e">
        <f t="shared" si="160"/>
        <v>#N/A</v>
      </c>
      <c r="AG674" t="e">
        <f t="shared" si="161"/>
        <v>#N/A</v>
      </c>
      <c r="AH674" t="e">
        <f t="shared" si="162"/>
        <v>#N/A</v>
      </c>
      <c r="AI674" t="e">
        <f t="shared" si="163"/>
        <v>#N/A</v>
      </c>
      <c r="AK674">
        <f t="shared" si="164"/>
        <v>0.43984597887981425</v>
      </c>
      <c r="AL674" t="e">
        <f t="shared" si="165"/>
        <v>#N/A</v>
      </c>
      <c r="AM674" t="e">
        <f t="shared" si="166"/>
        <v>#N/A</v>
      </c>
      <c r="AN674" t="e">
        <f t="shared" si="167"/>
        <v>#N/A</v>
      </c>
      <c r="AO674" t="e">
        <f t="shared" si="168"/>
        <v>#N/A</v>
      </c>
      <c r="AP674" t="e">
        <f t="shared" si="169"/>
        <v>#N/A</v>
      </c>
      <c r="AQ674" t="e">
        <f t="shared" si="170"/>
        <v>#N/A</v>
      </c>
    </row>
  </sheetData>
  <mergeCells count="26">
    <mergeCell ref="O3:AA3"/>
    <mergeCell ref="AC3:AI3"/>
    <mergeCell ref="AK3:AQ3"/>
    <mergeCell ref="B31:B33"/>
    <mergeCell ref="B28:B30"/>
    <mergeCell ref="B25:B27"/>
    <mergeCell ref="B22:B24"/>
    <mergeCell ref="B2:C4"/>
    <mergeCell ref="B19:B21"/>
    <mergeCell ref="B16:B18"/>
    <mergeCell ref="B13:B15"/>
    <mergeCell ref="B10:B12"/>
    <mergeCell ref="B7:B9"/>
    <mergeCell ref="B5:B6"/>
    <mergeCell ref="D2:D4"/>
    <mergeCell ref="E2:E4"/>
    <mergeCell ref="B42:B43"/>
    <mergeCell ref="B40:B41"/>
    <mergeCell ref="B38:B39"/>
    <mergeCell ref="B36:B37"/>
    <mergeCell ref="B34:B35"/>
    <mergeCell ref="J2:J4"/>
    <mergeCell ref="I2:I4"/>
    <mergeCell ref="H2:H4"/>
    <mergeCell ref="G2:G4"/>
    <mergeCell ref="F2:F4"/>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930DA-50AF-487D-8A02-85E551E5A5A6}">
  <sheetPr>
    <tabColor rgb="FFFFC000"/>
  </sheetPr>
  <dimension ref="B1:DJ712"/>
  <sheetViews>
    <sheetView zoomScale="60" zoomScaleNormal="60" workbookViewId="0"/>
  </sheetViews>
  <sheetFormatPr defaultRowHeight="15.75"/>
  <cols>
    <col min="37" max="37" width="12" customWidth="1"/>
    <col min="49" max="49" width="10.25" customWidth="1"/>
    <col min="53" max="53" width="9.625" customWidth="1"/>
  </cols>
  <sheetData>
    <row r="1" spans="32:114">
      <c r="AV1" s="7"/>
      <c r="AW1" s="7"/>
      <c r="AX1" s="7"/>
      <c r="AY1" s="7"/>
      <c r="AZ1" s="7"/>
      <c r="BA1" s="7"/>
      <c r="BB1" s="7"/>
      <c r="BC1" s="7"/>
      <c r="BD1" s="7"/>
      <c r="BE1" s="7"/>
      <c r="BF1" s="7"/>
      <c r="BG1" s="7"/>
      <c r="BH1" s="7"/>
      <c r="BI1" s="7"/>
      <c r="BJ1" s="7"/>
      <c r="BK1" s="7"/>
      <c r="BL1" s="7"/>
      <c r="BM1" s="7"/>
      <c r="BN1" s="7"/>
      <c r="BO1" s="7"/>
      <c r="BP1" s="7"/>
      <c r="BQ1" s="7"/>
      <c r="BR1" s="7"/>
      <c r="BS1" s="7"/>
      <c r="BT1" s="7"/>
      <c r="BU1" s="7"/>
    </row>
    <row r="2" spans="32:114">
      <c r="AV2" s="7"/>
      <c r="AW2" s="405" t="s">
        <v>750</v>
      </c>
      <c r="AX2" s="405"/>
      <c r="AY2" s="321"/>
      <c r="AZ2" s="321"/>
      <c r="BA2" s="321"/>
      <c r="BB2" s="321"/>
      <c r="BC2" s="321"/>
      <c r="BD2" s="321"/>
      <c r="BE2" s="321"/>
      <c r="BF2" s="321"/>
      <c r="BG2" s="321"/>
      <c r="BH2" s="321"/>
      <c r="BI2" s="321"/>
      <c r="BJ2" s="321"/>
      <c r="BK2" s="321"/>
      <c r="BL2" s="321"/>
      <c r="BM2" s="321"/>
      <c r="BN2" s="321"/>
      <c r="BO2" s="321"/>
      <c r="BP2" s="321"/>
      <c r="BQ2" s="321"/>
      <c r="BR2" s="321"/>
      <c r="BS2" s="321"/>
      <c r="BT2" s="406"/>
      <c r="BU2" s="7"/>
    </row>
    <row r="3" spans="32:114">
      <c r="AV3" s="7"/>
      <c r="AW3" t="s">
        <v>919</v>
      </c>
      <c r="AX3" t="s">
        <v>920</v>
      </c>
      <c r="AY3" s="321" t="s">
        <v>921</v>
      </c>
      <c r="AZ3" s="321" t="s">
        <v>922</v>
      </c>
      <c r="BA3" s="321"/>
      <c r="BB3" s="321"/>
      <c r="BC3" s="321"/>
      <c r="BD3" s="321"/>
      <c r="BE3" s="321"/>
      <c r="BF3" s="321"/>
      <c r="BG3" s="321"/>
      <c r="BH3" s="321"/>
      <c r="BI3" s="321"/>
      <c r="BJ3" s="321"/>
      <c r="BK3" s="321"/>
      <c r="BL3" s="321"/>
      <c r="BM3" s="321"/>
      <c r="BN3" s="321"/>
      <c r="BO3" s="321"/>
      <c r="BP3" s="321"/>
      <c r="BQ3" s="321"/>
      <c r="BR3" s="321"/>
      <c r="BS3" s="321"/>
      <c r="BT3" s="406"/>
      <c r="BU3" s="7"/>
    </row>
    <row r="4" spans="32:114">
      <c r="AV4" s="7"/>
      <c r="AW4" s="405" cm="1">
        <f t="array" ref="AW4">MIN(IF(ISNUMBER($AJ$11:$AK$712),IF($AR$11:$AR$712=AW2,$AJ$11:$AJ$712)))</f>
        <v>37.5</v>
      </c>
      <c r="AX4" s="405" cm="1">
        <f t="array" ref="AX4">MAX(IF(ISNUMBER($AJ$11:$AJ$712),IF(ISNUMBER($AK$11:$AK$712),IF(ISNUMBER($AL$11:$AL$712),IF($AR$11:$AR$712=AW2,$AJ$11:$AJ$712)))))</f>
        <v>1468.9119170984457</v>
      </c>
      <c r="AY4" s="321">
        <v>7</v>
      </c>
      <c r="AZ4" s="321">
        <f>(AX4-AW4)/AY4</f>
        <v>204.48741672834939</v>
      </c>
      <c r="BA4" s="321"/>
      <c r="BB4" s="321"/>
      <c r="BC4" s="321"/>
      <c r="BD4" s="321"/>
      <c r="BE4" s="321"/>
      <c r="BF4" s="321"/>
      <c r="BG4" s="321"/>
      <c r="BH4" s="321"/>
      <c r="BI4" s="321"/>
      <c r="BJ4" s="321"/>
      <c r="BK4" s="321"/>
      <c r="BL4" s="321"/>
      <c r="BM4" s="321"/>
      <c r="BN4" s="321"/>
      <c r="BO4" s="321"/>
      <c r="BP4" s="321"/>
      <c r="BQ4" s="321"/>
      <c r="BR4" s="321"/>
      <c r="BS4" s="321"/>
      <c r="BT4" s="406"/>
      <c r="BU4" s="7"/>
    </row>
    <row r="5" spans="32:114">
      <c r="AV5" s="7"/>
      <c r="AW5" s="321"/>
      <c r="AX5" s="403"/>
      <c r="AY5" s="403"/>
      <c r="AZ5" s="403"/>
      <c r="BA5" s="403"/>
      <c r="BB5" s="403"/>
      <c r="BC5" s="403"/>
      <c r="BD5" s="403"/>
      <c r="BE5" s="403"/>
      <c r="BF5" s="403"/>
      <c r="BG5" s="403"/>
      <c r="BH5" s="403"/>
      <c r="BI5" s="403"/>
      <c r="BJ5" s="403"/>
      <c r="BK5" s="403"/>
      <c r="BL5" s="403"/>
      <c r="BM5" s="403"/>
      <c r="BN5" s="403"/>
      <c r="BO5" s="403"/>
      <c r="BP5" s="403"/>
      <c r="BQ5" s="403"/>
      <c r="BR5" s="403"/>
      <c r="BS5" s="403"/>
      <c r="BT5" s="403"/>
    </row>
    <row r="6" spans="32:114">
      <c r="AV6" s="7"/>
      <c r="AW6" s="1067" t="s">
        <v>163</v>
      </c>
      <c r="AX6" s="1067"/>
      <c r="AY6" s="1067"/>
      <c r="AZ6" s="1067"/>
      <c r="BA6" s="1067"/>
      <c r="BB6" s="1067"/>
      <c r="BC6" s="1067"/>
      <c r="BD6" s="1067"/>
      <c r="BF6" s="1067" t="s">
        <v>522</v>
      </c>
      <c r="BG6" s="1067"/>
      <c r="BH6" s="1067"/>
      <c r="BI6" s="1067"/>
      <c r="BJ6" s="1067"/>
      <c r="BK6" s="1067"/>
      <c r="BL6" s="1067"/>
      <c r="BM6" s="1067"/>
      <c r="BO6" s="1067" t="s">
        <v>175</v>
      </c>
      <c r="BP6" s="1067"/>
      <c r="BQ6" s="1067"/>
      <c r="BR6" s="1067"/>
      <c r="BS6" s="1067"/>
      <c r="BT6" s="1067"/>
      <c r="BU6" s="1067"/>
      <c r="BV6" s="1067"/>
      <c r="BY6" t="s">
        <v>959</v>
      </c>
      <c r="CL6" t="s">
        <v>959</v>
      </c>
      <c r="CY6" t="s">
        <v>959</v>
      </c>
    </row>
    <row r="7" spans="32:114">
      <c r="AV7" s="7"/>
    </row>
    <row r="8" spans="32:114">
      <c r="AV8" s="7"/>
      <c r="AW8" s="321" t="s">
        <v>881</v>
      </c>
      <c r="AX8" s="321">
        <v>1</v>
      </c>
      <c r="AY8" s="321">
        <v>2</v>
      </c>
      <c r="AZ8" s="321">
        <v>3</v>
      </c>
      <c r="BA8" s="321">
        <v>4</v>
      </c>
      <c r="BB8" s="321">
        <v>5</v>
      </c>
      <c r="BC8" s="321">
        <v>6</v>
      </c>
      <c r="BD8" s="321">
        <v>7</v>
      </c>
      <c r="BE8" s="321"/>
      <c r="BF8" s="321" t="s">
        <v>881</v>
      </c>
      <c r="BG8" s="321">
        <v>1</v>
      </c>
      <c r="BH8" s="321">
        <v>2</v>
      </c>
      <c r="BI8" s="321">
        <v>3</v>
      </c>
      <c r="BJ8" s="321">
        <v>4</v>
      </c>
      <c r="BK8" s="321">
        <v>5</v>
      </c>
      <c r="BL8" s="321">
        <v>6</v>
      </c>
      <c r="BM8" s="321">
        <v>7</v>
      </c>
      <c r="BN8" s="321"/>
      <c r="BO8" s="321" t="s">
        <v>881</v>
      </c>
      <c r="BP8" s="321">
        <v>1</v>
      </c>
      <c r="BQ8" s="321">
        <v>2</v>
      </c>
      <c r="BR8" s="321">
        <v>3</v>
      </c>
      <c r="BS8" s="321">
        <v>4</v>
      </c>
      <c r="BT8" s="321">
        <v>5</v>
      </c>
      <c r="BU8" s="321">
        <v>6</v>
      </c>
      <c r="BV8" s="321">
        <v>7</v>
      </c>
      <c r="BY8" s="40" t="s">
        <v>750</v>
      </c>
      <c r="BZ8" s="40" t="s">
        <v>163</v>
      </c>
      <c r="CL8" s="40" t="s">
        <v>750</v>
      </c>
      <c r="CM8" s="40" t="s">
        <v>522</v>
      </c>
      <c r="CY8" s="40" t="s">
        <v>750</v>
      </c>
      <c r="CZ8" s="40" t="s">
        <v>175</v>
      </c>
    </row>
    <row r="9" spans="32:114">
      <c r="AF9" s="1067" t="s">
        <v>1065</v>
      </c>
      <c r="AG9" s="1067"/>
      <c r="AH9" s="1067"/>
      <c r="AI9" s="1067"/>
      <c r="AJ9" s="1067"/>
      <c r="AK9" s="1067"/>
      <c r="AL9" s="1067"/>
      <c r="AM9" s="1067"/>
      <c r="AN9" s="1067"/>
      <c r="AO9" s="1067"/>
      <c r="AP9" s="1067"/>
      <c r="AQ9" s="1067"/>
      <c r="AR9" s="1067"/>
      <c r="AS9" s="1067"/>
      <c r="AV9" s="7"/>
      <c r="AW9" s="403" t="s">
        <v>923</v>
      </c>
      <c r="AX9" s="403">
        <f>$AW$4</f>
        <v>37.5</v>
      </c>
      <c r="AY9" s="403">
        <f t="shared" ref="AY9:BD9" si="0">AX10</f>
        <v>241.98741672834939</v>
      </c>
      <c r="AZ9" s="403">
        <f t="shared" si="0"/>
        <v>446.47483345669878</v>
      </c>
      <c r="BA9" s="403">
        <f t="shared" si="0"/>
        <v>650.96225018504811</v>
      </c>
      <c r="BB9" s="403">
        <f t="shared" si="0"/>
        <v>855.44966691339755</v>
      </c>
      <c r="BC9" s="403">
        <f t="shared" si="0"/>
        <v>1059.937083641747</v>
      </c>
      <c r="BD9" s="403">
        <f t="shared" si="0"/>
        <v>1264.4245003700964</v>
      </c>
      <c r="BE9" s="403"/>
      <c r="BF9" s="403" t="s">
        <v>923</v>
      </c>
      <c r="BG9" s="403">
        <f>$AW$4</f>
        <v>37.5</v>
      </c>
      <c r="BH9" s="403">
        <f t="shared" ref="BH9:BM9" si="1">BG10</f>
        <v>241.98741672834939</v>
      </c>
      <c r="BI9" s="403">
        <f t="shared" si="1"/>
        <v>446.47483345669878</v>
      </c>
      <c r="BJ9" s="403">
        <f t="shared" si="1"/>
        <v>650.96225018504811</v>
      </c>
      <c r="BK9" s="403">
        <f t="shared" si="1"/>
        <v>855.44966691339755</v>
      </c>
      <c r="BL9" s="403">
        <f t="shared" si="1"/>
        <v>1059.937083641747</v>
      </c>
      <c r="BM9" s="403">
        <f t="shared" si="1"/>
        <v>1264.4245003700964</v>
      </c>
      <c r="BN9" s="403"/>
      <c r="BO9" s="403" t="s">
        <v>923</v>
      </c>
      <c r="BP9" s="403">
        <f>$AW$4</f>
        <v>37.5</v>
      </c>
      <c r="BQ9" s="403">
        <f t="shared" ref="BQ9:BV9" si="2">BP10</f>
        <v>241.98741672834939</v>
      </c>
      <c r="BR9" s="403">
        <f t="shared" si="2"/>
        <v>446.47483345669878</v>
      </c>
      <c r="BS9" s="403">
        <f t="shared" si="2"/>
        <v>650.96225018504811</v>
      </c>
      <c r="BT9" s="403">
        <f t="shared" si="2"/>
        <v>855.44966691339755</v>
      </c>
      <c r="BU9" s="403">
        <f t="shared" si="2"/>
        <v>1059.937083641747</v>
      </c>
      <c r="BV9" s="403">
        <f t="shared" si="2"/>
        <v>1264.4245003700964</v>
      </c>
      <c r="CG9" t="s">
        <v>954</v>
      </c>
      <c r="CI9" t="s">
        <v>1096</v>
      </c>
      <c r="CJ9" t="s">
        <v>1097</v>
      </c>
      <c r="CT9" t="s">
        <v>954</v>
      </c>
      <c r="CV9" t="s">
        <v>1096</v>
      </c>
      <c r="CW9" t="s">
        <v>1097</v>
      </c>
      <c r="DG9" t="s">
        <v>954</v>
      </c>
      <c r="DI9" t="s">
        <v>1096</v>
      </c>
      <c r="DJ9" t="s">
        <v>1097</v>
      </c>
    </row>
    <row r="10" spans="32:114">
      <c r="AG10" t="s">
        <v>899</v>
      </c>
      <c r="AH10" t="s">
        <v>900</v>
      </c>
      <c r="AI10" t="s">
        <v>901</v>
      </c>
      <c r="AJ10" t="s">
        <v>871</v>
      </c>
      <c r="AK10" t="s">
        <v>917</v>
      </c>
      <c r="AL10" t="s">
        <v>925</v>
      </c>
      <c r="AM10" t="s">
        <v>898</v>
      </c>
      <c r="AN10" t="s">
        <v>876</v>
      </c>
      <c r="AO10" t="s">
        <v>877</v>
      </c>
      <c r="AP10" t="s">
        <v>1121</v>
      </c>
      <c r="AQ10" t="s">
        <v>894</v>
      </c>
      <c r="AR10" t="s">
        <v>875</v>
      </c>
      <c r="AS10" t="s">
        <v>21</v>
      </c>
      <c r="AV10" s="7"/>
      <c r="AW10" s="404" t="s">
        <v>924</v>
      </c>
      <c r="AX10" s="403">
        <f t="shared" ref="AX10:BD10" si="3">AX9+$AZ$4</f>
        <v>241.98741672834939</v>
      </c>
      <c r="AY10" s="403">
        <f t="shared" si="3"/>
        <v>446.47483345669878</v>
      </c>
      <c r="AZ10" s="403">
        <f t="shared" si="3"/>
        <v>650.96225018504811</v>
      </c>
      <c r="BA10" s="403">
        <f t="shared" si="3"/>
        <v>855.44966691339755</v>
      </c>
      <c r="BB10" s="403">
        <f t="shared" si="3"/>
        <v>1059.937083641747</v>
      </c>
      <c r="BC10" s="403">
        <f t="shared" si="3"/>
        <v>1264.4245003700964</v>
      </c>
      <c r="BD10" s="403">
        <f t="shared" si="3"/>
        <v>1468.9119170984459</v>
      </c>
      <c r="BE10" s="403"/>
      <c r="BF10" s="404" t="s">
        <v>924</v>
      </c>
      <c r="BG10" s="403">
        <f t="shared" ref="BG10:BM10" si="4">BG9+$AZ$4</f>
        <v>241.98741672834939</v>
      </c>
      <c r="BH10" s="403">
        <f t="shared" si="4"/>
        <v>446.47483345669878</v>
      </c>
      <c r="BI10" s="403">
        <f t="shared" si="4"/>
        <v>650.96225018504811</v>
      </c>
      <c r="BJ10" s="403">
        <f t="shared" si="4"/>
        <v>855.44966691339755</v>
      </c>
      <c r="BK10" s="403">
        <f t="shared" si="4"/>
        <v>1059.937083641747</v>
      </c>
      <c r="BL10" s="403">
        <f t="shared" si="4"/>
        <v>1264.4245003700964</v>
      </c>
      <c r="BM10" s="403">
        <f t="shared" si="4"/>
        <v>1468.9119170984459</v>
      </c>
      <c r="BN10" s="403"/>
      <c r="BO10" s="404" t="s">
        <v>924</v>
      </c>
      <c r="BP10" s="403">
        <f t="shared" ref="BP10:BV10" si="5">BP9+$AZ$4</f>
        <v>241.98741672834939</v>
      </c>
      <c r="BQ10" s="403">
        <f t="shared" si="5"/>
        <v>446.47483345669878</v>
      </c>
      <c r="BR10" s="403">
        <f t="shared" si="5"/>
        <v>650.96225018504811</v>
      </c>
      <c r="BS10" s="403">
        <f t="shared" si="5"/>
        <v>855.44966691339755</v>
      </c>
      <c r="BT10" s="403">
        <f t="shared" si="5"/>
        <v>1059.937083641747</v>
      </c>
      <c r="BU10" s="403">
        <f t="shared" si="5"/>
        <v>1264.4245003700964</v>
      </c>
      <c r="BV10" s="403">
        <f t="shared" si="5"/>
        <v>1468.9119170984459</v>
      </c>
      <c r="BZ10" t="s">
        <v>1101</v>
      </c>
      <c r="CA10" t="s">
        <v>951</v>
      </c>
      <c r="CD10" t="s">
        <v>953</v>
      </c>
      <c r="CG10">
        <v>0</v>
      </c>
      <c r="CH10">
        <f>CH11</f>
        <v>186572.13235313585</v>
      </c>
      <c r="CI10">
        <f>CH11-CH10</f>
        <v>0</v>
      </c>
      <c r="CM10" t="s">
        <v>1101</v>
      </c>
      <c r="CN10" t="s">
        <v>951</v>
      </c>
      <c r="CQ10" t="s">
        <v>953</v>
      </c>
      <c r="CT10">
        <v>0</v>
      </c>
      <c r="CU10">
        <f>CU11</f>
        <v>68947.570000000007</v>
      </c>
      <c r="CV10">
        <f>CU11-CU10</f>
        <v>0</v>
      </c>
      <c r="CZ10" t="s">
        <v>1101</v>
      </c>
      <c r="DA10" t="s">
        <v>951</v>
      </c>
      <c r="DD10" t="s">
        <v>953</v>
      </c>
      <c r="DG10">
        <v>0</v>
      </c>
      <c r="DH10">
        <f>DH11</f>
        <v>105489.8</v>
      </c>
      <c r="DI10">
        <f>DH11-DH10</f>
        <v>0</v>
      </c>
    </row>
    <row r="11" spans="32:114">
      <c r="AF11">
        <v>1</v>
      </c>
      <c r="AG11" s="401">
        <f>'Lab test'!N4</f>
        <v>33.647579999999998</v>
      </c>
      <c r="AH11" s="401">
        <f>'Lab test'!M4</f>
        <v>1.2852399999999999</v>
      </c>
      <c r="AI11">
        <f>IF('Lab test'!O4&gt;0,'Lab test'!O4,NA())</f>
        <v>152.4</v>
      </c>
      <c r="AJ11">
        <f>'Lab test'!Q4</f>
        <v>26.18</v>
      </c>
      <c r="AK11" s="401">
        <f>IF('Lab test'!V4&gt;0,'Lab test'!V4,NA())</f>
        <v>74463.38</v>
      </c>
      <c r="AL11" s="7">
        <f>IF(MAX('Lab test'!W4,'Lab test'!X4)&gt;0,MAX('Lab test'!W4,'Lab test'!X4),NA())</f>
        <v>389.55</v>
      </c>
      <c r="AM11" s="401">
        <f>IF('Lab test'!P4&gt;0,'Lab test'!P4,NA())</f>
        <v>0.88521004234513578</v>
      </c>
      <c r="AN11" s="401">
        <f>IF('Lab test'!AU4&gt;0,'Lab test'!AU4,NA())</f>
        <v>1.0371782312925171</v>
      </c>
      <c r="AO11" s="401">
        <f>IF('Lab test'!AT4&gt;0,'Lab test'!AT4,NA())</f>
        <v>0.23470631808912235</v>
      </c>
      <c r="AP11">
        <f>IF(AND(OR(ISNUMBER(AN11),ISNUMBER(AO11)),ISNUMBER(AK11),ISNUMBER(AL11)),1,NA())</f>
        <v>1</v>
      </c>
      <c r="AQ11" s="401">
        <f>'Lab test'!AZ4</f>
        <v>1965</v>
      </c>
      <c r="AR11" t="str">
        <f>'Lab test'!AC4</f>
        <v>Machined</v>
      </c>
      <c r="AS11" t="str">
        <f>'Lab test'!T4</f>
        <v>Aluminium</v>
      </c>
      <c r="AV11" s="7"/>
      <c r="AX11" t="e">
        <f>IF(ISNUMBER($AJ11),IF(ISNUMBER($AP11),IF($AJ11&gt;=AX$9,IF($AJ11&lt;=AX$10,IF($AR11=$AW$2,IF($AS11=$AW$6,$AK11,NA()),NA()),NA()),NA()),NA()),NA())</f>
        <v>#N/A</v>
      </c>
      <c r="AY11" t="e">
        <f>IF(ISNUMBER($AJ11),IF(ISNUMBER($AP11),IF($AJ11&gt;AY$9,IF($AJ11&lt;=AY$10,IF($AR11=$AW$2,IF($AS11=$AW$6,$AK11,NA()),NA()),NA()),NA()),NA()),NA())</f>
        <v>#N/A</v>
      </c>
      <c r="AZ11" t="e">
        <f t="shared" ref="AZ11:BD26" si="6">IF(ISNUMBER($AJ11),IF(ISNUMBER($AP11),IF($AJ11&gt;AZ$9,IF($AJ11&lt;=AZ$10,IF($AR11=$AW$2,IF($AS11=$AW$6,$AK11,NA()),NA()),NA()),NA()),NA()),NA())</f>
        <v>#N/A</v>
      </c>
      <c r="BA11" t="e">
        <f t="shared" si="6"/>
        <v>#N/A</v>
      </c>
      <c r="BB11" t="e">
        <f t="shared" si="6"/>
        <v>#N/A</v>
      </c>
      <c r="BC11" t="e">
        <f t="shared" si="6"/>
        <v>#N/A</v>
      </c>
      <c r="BD11" t="e">
        <f t="shared" si="6"/>
        <v>#N/A</v>
      </c>
      <c r="BG11" t="e">
        <f>IF(ISNUMBER($AJ11),IF(ISNUMBER($AP11),IF($AJ11&gt;=BG$9,IF($AJ11&lt;=BG$10,IF($AR11=$AW$2,IF($AS11=$BF$6,$AK11,NA()),NA()),NA()),NA()),NA()),NA())</f>
        <v>#N/A</v>
      </c>
      <c r="BH11" t="e">
        <f>IF(ISNUMBER($AJ11),IF(ISNUMBER($AP11),IF($AJ11&gt;BH$9,IF($AJ11&lt;=BH$10,IF($AR11=$AW$2,IF($AS11=$BF$6,$AK11,NA()),NA()),NA()),NA()),NA()),NA())</f>
        <v>#N/A</v>
      </c>
      <c r="BI11" t="e">
        <f t="shared" ref="BI11:BM26" si="7">IF(ISNUMBER($AJ11),IF(ISNUMBER($AP11),IF($AJ11&gt;BI$9,IF($AJ11&lt;=BI$10,IF($AR11=$AW$2,IF($AS11=$BF$6,$AK11,NA()),NA()),NA()),NA()),NA()),NA())</f>
        <v>#N/A</v>
      </c>
      <c r="BJ11" t="e">
        <f t="shared" si="7"/>
        <v>#N/A</v>
      </c>
      <c r="BK11" t="e">
        <f t="shared" si="7"/>
        <v>#N/A</v>
      </c>
      <c r="BL11" t="e">
        <f t="shared" si="7"/>
        <v>#N/A</v>
      </c>
      <c r="BM11" t="e">
        <f t="shared" si="7"/>
        <v>#N/A</v>
      </c>
      <c r="BP11" t="e">
        <f>IF(ISNUMBER($AJ11),IF(ISNUMBER($AP11),IF($AJ11&gt;=BP$9,IF($AJ11&lt;=BP$10,IF($AR11=$AW$2,IF($AS11=$BO$6,$AK11,NA()),NA()),NA()),NA()),NA()),NA())</f>
        <v>#N/A</v>
      </c>
      <c r="BQ11" t="e">
        <f>IF(ISNUMBER($AJ11),IF(ISNUMBER($AP11),IF($AJ11&gt;BQ$9,IF($AJ11&lt;=BQ$10,IF($AR11=$AW$2,IF($AS11=$BO$6,$AK11,NA()),NA()),NA()),NA()),NA()),NA())</f>
        <v>#N/A</v>
      </c>
      <c r="BR11" t="e">
        <f t="shared" ref="BR11:BV26" si="8">IF(ISNUMBER($AJ11),IF(ISNUMBER($AP11),IF($AJ11&gt;BR$9,IF($AJ11&lt;=BR$10,IF($AR11=$AW$2,IF($AS11=$BO$6,$AK11,NA()),NA()),NA()),NA()),NA()),NA())</f>
        <v>#N/A</v>
      </c>
      <c r="BS11" t="e">
        <f t="shared" si="8"/>
        <v>#N/A</v>
      </c>
      <c r="BT11" t="e">
        <f t="shared" si="8"/>
        <v>#N/A</v>
      </c>
      <c r="BU11" t="e">
        <f t="shared" si="8"/>
        <v>#N/A</v>
      </c>
      <c r="BV11" t="e">
        <f t="shared" si="8"/>
        <v>#N/A</v>
      </c>
      <c r="BY11" t="e">
        <f>IF(ISNUMBER(AP11),IF($AR11=$AW$2,IF($AS11=$AW$6,$AK11,NA()),NA()),NA())</f>
        <v>#N/A</v>
      </c>
      <c r="BZ11" cm="1">
        <f t="array" ref="BZ11:BZ680">_xlfn._xlws.SORT(BY11:BY680,1,1)</f>
        <v>186572.13235313585</v>
      </c>
      <c r="CA11" cm="1">
        <f t="array" ref="CA11">IF(ISNUMBER(BZ11),AF11/COUNT(IF(ISNUMBER(_xlfn.ANCHORARRAY($BZ$11)),_xlfn.ANCHORARRAY($BZ$11))),NA())</f>
        <v>1.282051282051282E-2</v>
      </c>
      <c r="CB11" t="e">
        <f>IF(BZ11=BZ12,NA(),CA11)</f>
        <v>#N/A</v>
      </c>
      <c r="CD11" t="e">
        <f>CB11</f>
        <v>#N/A</v>
      </c>
      <c r="CE11">
        <f>BZ11</f>
        <v>186572.13235313585</v>
      </c>
      <c r="CG11" cm="1">
        <f t="array" ref="CG11:CH680">_xlfn._xlws.SORT(CD11:CE680)</f>
        <v>3.8461538461538464E-2</v>
      </c>
      <c r="CH11">
        <v>186572.13235313585</v>
      </c>
      <c r="CI11">
        <f t="shared" ref="CI11:CI21" si="9">CH12-CH11</f>
        <v>1427.8676468641497</v>
      </c>
      <c r="CJ11">
        <f>CG11-CG10</f>
        <v>3.8461538461538464E-2</v>
      </c>
      <c r="CL11" t="e">
        <f>IF(ISNUMBER(AP11),IF($AR11=$AW$2,IF($AS11=$BF$6,$AK11,NA()),NA()),NA())</f>
        <v>#N/A</v>
      </c>
      <c r="CM11" cm="1">
        <f t="array" ref="CM11:CM680">_xlfn._xlws.SORT(CL11:CL680,1,1)</f>
        <v>68947.570000000007</v>
      </c>
      <c r="CN11" cm="1">
        <f t="array" ref="CN11">IF(ISNUMBER(CM11),AF11/COUNT(IF(ISNUMBER(_xlfn.ANCHORARRAY($CM$11)),_xlfn.ANCHORARRAY($CM$11))),NA())</f>
        <v>1.8181818181818181E-2</v>
      </c>
      <c r="CO11" t="e">
        <f>IF(CM11=CM12,NA(),CN11)</f>
        <v>#N/A</v>
      </c>
      <c r="CQ11" t="e">
        <f>CO11</f>
        <v>#N/A</v>
      </c>
      <c r="CR11">
        <f>CM11</f>
        <v>68947.570000000007</v>
      </c>
      <c r="CT11" cm="1">
        <f t="array" ref="CT11:CU680">_xlfn._xlws.SORT(CQ11:CR680)</f>
        <v>3.6363636363636362E-2</v>
      </c>
      <c r="CU11">
        <v>68947.570000000007</v>
      </c>
      <c r="CV11">
        <f t="shared" ref="CV11:CV15" si="10">CU12-CU11</f>
        <v>1103.1640985905542</v>
      </c>
      <c r="CW11">
        <f>CT11-CT10</f>
        <v>3.6363636363636362E-2</v>
      </c>
      <c r="CY11" t="e">
        <f>IF(ISNUMBER(AP11),IF($AR11=$AW$2,IF($AS11=$BO$6,$AK11,NA()),NA()),NA())</f>
        <v>#N/A</v>
      </c>
      <c r="CZ11" cm="1">
        <f t="array" ref="CZ11:CZ680">_xlfn._xlws.SORT(CY11:CY680,1,1)</f>
        <v>105489.8</v>
      </c>
      <c r="DA11" cm="1">
        <f t="array" ref="DA11">IF(ISNUMBER(CZ11),AF11/COUNT(IF(ISNUMBER(_xlfn.ANCHORARRAY($CZ$11)),_xlfn.ANCHORARRAY($CZ$11))),NA())</f>
        <v>3.3333333333333333E-2</v>
      </c>
      <c r="DB11" t="e">
        <f>IF(CZ11=CZ12,NA(),DA11)</f>
        <v>#N/A</v>
      </c>
      <c r="DD11" t="e">
        <f>DB11</f>
        <v>#N/A</v>
      </c>
      <c r="DE11">
        <f>CZ11</f>
        <v>105489.8</v>
      </c>
      <c r="DG11" cm="1">
        <f t="array" ref="DG11:DH680">_xlfn._xlws.SORT(DD11:DE680)</f>
        <v>0.26666666666666666</v>
      </c>
      <c r="DH11">
        <v>105489.8</v>
      </c>
      <c r="DI11">
        <f t="shared" ref="DI11:DI13" si="11">DH12-DH11</f>
        <v>2757.8894999999902</v>
      </c>
      <c r="DJ11">
        <f>DG11-DG10</f>
        <v>0.26666666666666666</v>
      </c>
    </row>
    <row r="12" spans="32:114">
      <c r="AF12">
        <v>2</v>
      </c>
      <c r="AG12" s="401">
        <f>'Lab test'!N5</f>
        <v>33.645960000000002</v>
      </c>
      <c r="AH12" s="401">
        <f>'Lab test'!M5</f>
        <v>1.27254</v>
      </c>
      <c r="AI12">
        <f>IF('Lab test'!O5&gt;0,'Lab test'!O5,NA())</f>
        <v>228.6</v>
      </c>
      <c r="AJ12">
        <f>'Lab test'!Q5</f>
        <v>26.44</v>
      </c>
      <c r="AK12" s="401">
        <f>IF('Lab test'!V5&gt;0,'Lab test'!V5,NA())</f>
        <v>74463.38</v>
      </c>
      <c r="AL12" s="7">
        <f>IF(MAX('Lab test'!W5,'Lab test'!X5)&gt;0,MAX('Lab test'!W5,'Lab test'!X5),NA())</f>
        <v>389.55</v>
      </c>
      <c r="AM12" s="401">
        <f>IF('Lab test'!P5&gt;0,'Lab test'!P5,NA())</f>
        <v>1.3213338499168563</v>
      </c>
      <c r="AN12" s="401">
        <f>IF('Lab test'!AU5&gt;0,'Lab test'!AU5,NA())</f>
        <v>1.0106292902066485</v>
      </c>
      <c r="AO12" s="401">
        <f>IF('Lab test'!AT5&gt;0,'Lab test'!AT5,NA())</f>
        <v>0.23096977394057869</v>
      </c>
      <c r="AP12">
        <f>IF(AND(OR(ISNUMBER(AN12),ISNUMBER(AO12)),ISNUMBER(AK12),ISNUMBER(AL12)),1,NA())</f>
        <v>1</v>
      </c>
      <c r="AQ12" s="401">
        <f>'Lab test'!AZ5</f>
        <v>1965</v>
      </c>
      <c r="AR12" t="str">
        <f>'Lab test'!AC5</f>
        <v>Machined</v>
      </c>
      <c r="AS12" t="str">
        <f>'Lab test'!T5</f>
        <v>Aluminium</v>
      </c>
      <c r="AV12" s="7"/>
      <c r="AX12" t="e">
        <f t="shared" ref="AX12:AX75" si="12">IF(ISNUMBER($AJ12),IF(ISNUMBER($AP12),IF($AJ12&gt;=AX$9,IF($AJ12&lt;=AX$10,IF($AR12=$AW$2,IF($AS12=$AW$6,$AK12,NA()),NA()),NA()),NA()),NA()),NA())</f>
        <v>#N/A</v>
      </c>
      <c r="AY12" t="e">
        <f t="shared" ref="AY12:BD66" si="13">IF(ISNUMBER($AJ12),IF(ISNUMBER($AP12),IF($AJ12&gt;AY$9,IF($AJ12&lt;=AY$10,IF($AR12=$AW$2,IF($AS12=$AW$6,$AK12,NA()),NA()),NA()),NA()),NA()),NA())</f>
        <v>#N/A</v>
      </c>
      <c r="AZ12" t="e">
        <f t="shared" si="6"/>
        <v>#N/A</v>
      </c>
      <c r="BA12" t="e">
        <f t="shared" si="6"/>
        <v>#N/A</v>
      </c>
      <c r="BB12" t="e">
        <f t="shared" si="6"/>
        <v>#N/A</v>
      </c>
      <c r="BC12" t="e">
        <f t="shared" si="6"/>
        <v>#N/A</v>
      </c>
      <c r="BD12" t="e">
        <f t="shared" si="6"/>
        <v>#N/A</v>
      </c>
      <c r="BG12" t="e">
        <f t="shared" ref="BG12:BG75" si="14">IF(ISNUMBER($AJ12),IF(ISNUMBER($AP12),IF($AJ12&gt;=BG$9,IF($AJ12&lt;=BG$10,IF($AR12=$AW$2,IF($AS12=$BF$6,$AK12,NA()),NA()),NA()),NA()),NA()),NA())</f>
        <v>#N/A</v>
      </c>
      <c r="BH12" t="e">
        <f t="shared" ref="BH12:BM66" si="15">IF(ISNUMBER($AJ12),IF(ISNUMBER($AP12),IF($AJ12&gt;BH$9,IF($AJ12&lt;=BH$10,IF($AR12=$AW$2,IF($AS12=$BF$6,$AK12,NA()),NA()),NA()),NA()),NA()),NA())</f>
        <v>#N/A</v>
      </c>
      <c r="BI12" t="e">
        <f t="shared" si="7"/>
        <v>#N/A</v>
      </c>
      <c r="BJ12" t="e">
        <f t="shared" si="7"/>
        <v>#N/A</v>
      </c>
      <c r="BK12" t="e">
        <f t="shared" si="7"/>
        <v>#N/A</v>
      </c>
      <c r="BL12" t="e">
        <f t="shared" si="7"/>
        <v>#N/A</v>
      </c>
      <c r="BM12" t="e">
        <f t="shared" si="7"/>
        <v>#N/A</v>
      </c>
      <c r="BP12" t="e">
        <f t="shared" ref="BP12:BP75" si="16">IF(ISNUMBER($AJ12),IF(ISNUMBER($AP12),IF($AJ12&gt;=BP$9,IF($AJ12&lt;=BP$10,IF($AR12=$AW$2,IF($AS12=$BO$6,$AK12,NA()),NA()),NA()),NA()),NA()),NA())</f>
        <v>#N/A</v>
      </c>
      <c r="BQ12" t="e">
        <f t="shared" ref="BQ12:BV66" si="17">IF(ISNUMBER($AJ12),IF(ISNUMBER($AP12),IF($AJ12&gt;BQ$9,IF($AJ12&lt;=BQ$10,IF($AR12=$AW$2,IF($AS12=$BO$6,$AK12,NA()),NA()),NA()),NA()),NA()),NA())</f>
        <v>#N/A</v>
      </c>
      <c r="BR12" t="e">
        <f t="shared" si="8"/>
        <v>#N/A</v>
      </c>
      <c r="BS12" t="e">
        <f t="shared" si="8"/>
        <v>#N/A</v>
      </c>
      <c r="BT12" t="e">
        <f t="shared" si="8"/>
        <v>#N/A</v>
      </c>
      <c r="BU12" t="e">
        <f t="shared" si="8"/>
        <v>#N/A</v>
      </c>
      <c r="BV12" t="e">
        <f t="shared" si="8"/>
        <v>#N/A</v>
      </c>
      <c r="BY12" t="e">
        <f t="shared" ref="BY12:BY75" si="18">IF(ISNUMBER(AP12),IF($AR12=$AW$2,IF($AS12=$AW$6,$AK12,NA()),NA()),NA())</f>
        <v>#N/A</v>
      </c>
      <c r="BZ12">
        <v>186572.13235313585</v>
      </c>
      <c r="CA12" cm="1">
        <f t="array" ref="CA12">IF(ISNUMBER(BZ12),AF12/COUNT(IF(ISNUMBER(_xlfn.ANCHORARRAY($BZ$11)),_xlfn.ANCHORARRAY($BZ$11))),NA())</f>
        <v>2.564102564102564E-2</v>
      </c>
      <c r="CB12" t="e">
        <f t="shared" ref="CB12:CB75" si="19">IF(BZ12=BZ13,NA(),CA12)</f>
        <v>#N/A</v>
      </c>
      <c r="CD12" t="e">
        <f t="shared" ref="CD12:CD75" si="20">CB12</f>
        <v>#N/A</v>
      </c>
      <c r="CE12">
        <f t="shared" ref="CE12:CE75" si="21">BZ12</f>
        <v>186572.13235313585</v>
      </c>
      <c r="CG12">
        <v>6.4102564102564097E-2</v>
      </c>
      <c r="CH12">
        <v>188000</v>
      </c>
      <c r="CI12">
        <f t="shared" si="9"/>
        <v>16084.81587778352</v>
      </c>
      <c r="CJ12">
        <f t="shared" ref="CJ12:CJ22" si="22">CG12-CG11</f>
        <v>2.5641025641025633E-2</v>
      </c>
      <c r="CL12" t="e">
        <f t="shared" ref="CL12:CL75" si="23">IF(ISNUMBER(AP12),IF($AR12=$AW$2,IF($AS12=$BF$6,$AK12,NA()),NA()),NA())</f>
        <v>#N/A</v>
      </c>
      <c r="CM12">
        <v>68947.570000000007</v>
      </c>
      <c r="CN12" cm="1">
        <f t="array" ref="CN12">IF(ISNUMBER(CM12),AF12/COUNT(IF(ISNUMBER(_xlfn.ANCHORARRAY($CM$11)),_xlfn.ANCHORARRAY($CM$11))),NA())</f>
        <v>3.6363636363636362E-2</v>
      </c>
      <c r="CO12">
        <f t="shared" ref="CO12:CO75" si="24">IF(CM12=CM13,NA(),CN12)</f>
        <v>3.6363636363636362E-2</v>
      </c>
      <c r="CQ12">
        <f t="shared" ref="CQ12:CQ75" si="25">CO12</f>
        <v>3.6363636363636362E-2</v>
      </c>
      <c r="CR12">
        <f t="shared" ref="CR12:CR75" si="26">CM12</f>
        <v>68947.570000000007</v>
      </c>
      <c r="CT12">
        <v>0.25454545454545452</v>
      </c>
      <c r="CU12">
        <v>70050.734098590561</v>
      </c>
      <c r="CV12">
        <f t="shared" si="10"/>
        <v>275.78590140944289</v>
      </c>
      <c r="CW12">
        <f t="shared" ref="CW12:CW16" si="27">CT12-CT11</f>
        <v>0.21818181818181814</v>
      </c>
      <c r="CY12" t="e">
        <f t="shared" ref="CY12:CY75" si="28">IF(ISNUMBER(AP12),IF($AR12=$AW$2,IF($AS12=$BO$6,$AK12,NA()),NA()),NA())</f>
        <v>#N/A</v>
      </c>
      <c r="CZ12">
        <v>105489.8</v>
      </c>
      <c r="DA12" cm="1">
        <f t="array" ref="DA12">IF(ISNUMBER(CZ12),AF12/COUNT(IF(ISNUMBER(_xlfn.ANCHORARRAY($CZ$11)),_xlfn.ANCHORARRAY($CZ$11))),NA())</f>
        <v>6.6666666666666666E-2</v>
      </c>
      <c r="DB12" t="e">
        <f t="shared" ref="DB12:DB75" si="29">IF(CZ12=CZ13,NA(),DA12)</f>
        <v>#N/A</v>
      </c>
      <c r="DD12" t="e">
        <f t="shared" ref="DD12:DD75" si="30">DB12</f>
        <v>#N/A</v>
      </c>
      <c r="DE12">
        <f t="shared" ref="DE12:DE75" si="31">CZ12</f>
        <v>105489.8</v>
      </c>
      <c r="DG12">
        <v>0.56666666666666665</v>
      </c>
      <c r="DH12">
        <v>108247.68949999999</v>
      </c>
      <c r="DI12">
        <f t="shared" si="11"/>
        <v>4136.8543800000043</v>
      </c>
      <c r="DJ12">
        <f t="shared" ref="DJ12:DJ14" si="32">DG12-DG11</f>
        <v>0.3</v>
      </c>
    </row>
    <row r="13" spans="32:114">
      <c r="AF13">
        <v>3</v>
      </c>
      <c r="AG13" s="401">
        <f>'Lab test'!N6</f>
        <v>33.647579999999998</v>
      </c>
      <c r="AH13" s="401">
        <f>'Lab test'!M6</f>
        <v>1.2852399999999999</v>
      </c>
      <c r="AI13">
        <f>IF('Lab test'!O6&gt;0,'Lab test'!O6,NA())</f>
        <v>87.63</v>
      </c>
      <c r="AJ13">
        <f>'Lab test'!Q6</f>
        <v>26.18</v>
      </c>
      <c r="AK13" s="401">
        <f>IF('Lab test'!V6&gt;0,'Lab test'!V6,NA())</f>
        <v>74463.38</v>
      </c>
      <c r="AL13" s="7">
        <f>IF(MAX('Lab test'!W6,'Lab test'!X6)&gt;0,MAX('Lab test'!W6,'Lab test'!X6),NA())</f>
        <v>389.55</v>
      </c>
      <c r="AM13" s="401">
        <f>IF('Lab test'!P6&gt;0,'Lab test'!P6,NA())</f>
        <v>0.508995774348453</v>
      </c>
      <c r="AN13" s="401">
        <f>IF('Lab test'!AU6&gt;0,'Lab test'!AU6,NA())</f>
        <v>1.0292135541008856</v>
      </c>
      <c r="AO13" s="401">
        <f>IF('Lab test'!AT6&gt;0,'Lab test'!AT6,NA())</f>
        <v>0.23290396628302373</v>
      </c>
      <c r="AP13">
        <f t="shared" ref="AP13:AP22" si="33">IF(AND(OR(ISNUMBER(AN13),ISNUMBER(AO13)),ISNUMBER(AK13),ISNUMBER(AL13)),1,NA())</f>
        <v>1</v>
      </c>
      <c r="AQ13" s="401">
        <f>'Lab test'!AZ6</f>
        <v>1965</v>
      </c>
      <c r="AR13" t="str">
        <f>'Lab test'!AC6</f>
        <v>Machined</v>
      </c>
      <c r="AS13" t="str">
        <f>'Lab test'!T6</f>
        <v>Aluminium</v>
      </c>
      <c r="AV13" s="7"/>
      <c r="AX13" t="e">
        <f t="shared" si="12"/>
        <v>#N/A</v>
      </c>
      <c r="AY13" t="e">
        <f t="shared" si="13"/>
        <v>#N/A</v>
      </c>
      <c r="AZ13" t="e">
        <f t="shared" si="6"/>
        <v>#N/A</v>
      </c>
      <c r="BA13" t="e">
        <f t="shared" si="6"/>
        <v>#N/A</v>
      </c>
      <c r="BB13" t="e">
        <f t="shared" si="6"/>
        <v>#N/A</v>
      </c>
      <c r="BC13" t="e">
        <f t="shared" si="6"/>
        <v>#N/A</v>
      </c>
      <c r="BD13" t="e">
        <f t="shared" si="6"/>
        <v>#N/A</v>
      </c>
      <c r="BG13" t="e">
        <f t="shared" si="14"/>
        <v>#N/A</v>
      </c>
      <c r="BH13" t="e">
        <f t="shared" si="15"/>
        <v>#N/A</v>
      </c>
      <c r="BI13" t="e">
        <f t="shared" si="7"/>
        <v>#N/A</v>
      </c>
      <c r="BJ13" t="e">
        <f t="shared" si="7"/>
        <v>#N/A</v>
      </c>
      <c r="BK13" t="e">
        <f t="shared" si="7"/>
        <v>#N/A</v>
      </c>
      <c r="BL13" t="e">
        <f t="shared" si="7"/>
        <v>#N/A</v>
      </c>
      <c r="BM13" t="e">
        <f t="shared" si="7"/>
        <v>#N/A</v>
      </c>
      <c r="BP13" t="e">
        <f t="shared" si="16"/>
        <v>#N/A</v>
      </c>
      <c r="BQ13" t="e">
        <f t="shared" si="17"/>
        <v>#N/A</v>
      </c>
      <c r="BR13" t="e">
        <f t="shared" si="8"/>
        <v>#N/A</v>
      </c>
      <c r="BS13" t="e">
        <f t="shared" si="8"/>
        <v>#N/A</v>
      </c>
      <c r="BT13" t="e">
        <f t="shared" si="8"/>
        <v>#N/A</v>
      </c>
      <c r="BU13" t="e">
        <f t="shared" si="8"/>
        <v>#N/A</v>
      </c>
      <c r="BV13" t="e">
        <f t="shared" si="8"/>
        <v>#N/A</v>
      </c>
      <c r="BY13" t="e">
        <f t="shared" si="18"/>
        <v>#N/A</v>
      </c>
      <c r="BZ13">
        <v>186572.13235313585</v>
      </c>
      <c r="CA13" cm="1">
        <f t="array" ref="CA13">IF(ISNUMBER(BZ13),AF13/COUNT(IF(ISNUMBER(_xlfn.ANCHORARRAY($BZ$11)),_xlfn.ANCHORARRAY($BZ$11))),NA())</f>
        <v>3.8461538461538464E-2</v>
      </c>
      <c r="CB13">
        <f t="shared" si="19"/>
        <v>3.8461538461538464E-2</v>
      </c>
      <c r="CD13">
        <f t="shared" si="20"/>
        <v>3.8461538461538464E-2</v>
      </c>
      <c r="CE13">
        <f t="shared" si="21"/>
        <v>186572.13235313585</v>
      </c>
      <c r="CG13">
        <v>0.11538461538461539</v>
      </c>
      <c r="CH13">
        <v>204084.81587778352</v>
      </c>
      <c r="CI13">
        <f t="shared" si="9"/>
        <v>915.18412221648032</v>
      </c>
      <c r="CJ13">
        <f t="shared" si="22"/>
        <v>5.1282051282051294E-2</v>
      </c>
      <c r="CL13" t="e">
        <f t="shared" si="23"/>
        <v>#N/A</v>
      </c>
      <c r="CM13">
        <v>70050.734098590561</v>
      </c>
      <c r="CN13" cm="1">
        <f t="array" ref="CN13">IF(ISNUMBER(CM13),AF13/COUNT(IF(ISNUMBER(_xlfn.ANCHORARRAY($CM$11)),_xlfn.ANCHORARRAY($CM$11))),NA())</f>
        <v>5.4545454545454543E-2</v>
      </c>
      <c r="CO13" t="e">
        <f t="shared" si="24"/>
        <v>#N/A</v>
      </c>
      <c r="CQ13" t="e">
        <f t="shared" si="25"/>
        <v>#N/A</v>
      </c>
      <c r="CR13">
        <f t="shared" si="26"/>
        <v>70050.734098590561</v>
      </c>
      <c r="CT13">
        <v>0.30909090909090908</v>
      </c>
      <c r="CU13">
        <v>70326.52</v>
      </c>
      <c r="CV13">
        <f t="shared" si="10"/>
        <v>344.73999999999069</v>
      </c>
      <c r="CW13">
        <f t="shared" si="27"/>
        <v>5.4545454545454564E-2</v>
      </c>
      <c r="CY13" t="e">
        <f t="shared" si="28"/>
        <v>#N/A</v>
      </c>
      <c r="CZ13">
        <v>105489.8</v>
      </c>
      <c r="DA13" cm="1">
        <f t="array" ref="DA13">IF(ISNUMBER(CZ13),AF13/COUNT(IF(ISNUMBER(_xlfn.ANCHORARRAY($CZ$11)),_xlfn.ANCHORARRAY($CZ$11))),NA())</f>
        <v>0.1</v>
      </c>
      <c r="DB13" t="e">
        <f t="shared" si="29"/>
        <v>#N/A</v>
      </c>
      <c r="DD13" t="e">
        <f t="shared" si="30"/>
        <v>#N/A</v>
      </c>
      <c r="DE13">
        <f t="shared" si="31"/>
        <v>105489.8</v>
      </c>
      <c r="DG13">
        <v>0.96666666666666667</v>
      </c>
      <c r="DH13">
        <v>112384.54388</v>
      </c>
      <c r="DI13">
        <f t="shared" si="11"/>
        <v>1378.9514572779735</v>
      </c>
      <c r="DJ13">
        <f t="shared" si="32"/>
        <v>0.4</v>
      </c>
    </row>
    <row r="14" spans="32:114">
      <c r="AF14">
        <v>4</v>
      </c>
      <c r="AG14" s="401">
        <f>'Lab test'!N7</f>
        <v>33.645960000000002</v>
      </c>
      <c r="AH14" s="401">
        <f>'Lab test'!M7</f>
        <v>1.27254</v>
      </c>
      <c r="AI14">
        <f>IF('Lab test'!O7&gt;0,'Lab test'!O7,NA())</f>
        <v>50.8</v>
      </c>
      <c r="AJ14">
        <f>'Lab test'!Q7</f>
        <v>26.44</v>
      </c>
      <c r="AK14" s="401">
        <f>IF('Lab test'!V7&gt;0,'Lab test'!V7,NA())</f>
        <v>74463.38</v>
      </c>
      <c r="AL14" s="7">
        <f>IF(MAX('Lab test'!W7,'Lab test'!X7)&gt;0,MAX('Lab test'!W7,'Lab test'!X7),NA())</f>
        <v>389.55</v>
      </c>
      <c r="AM14" s="401">
        <f>IF('Lab test'!P7&gt;0,'Lab test'!P7,NA())</f>
        <v>0.29362974442596801</v>
      </c>
      <c r="AN14" s="401">
        <f>IF('Lab test'!AU7&gt;0,'Lab test'!AU7,NA())</f>
        <v>1.0548774996791168</v>
      </c>
      <c r="AO14" s="401">
        <f>IF('Lab test'!AT7&gt;0,'Lab test'!AT7,NA())</f>
        <v>0.241082284074776</v>
      </c>
      <c r="AP14">
        <f t="shared" si="33"/>
        <v>1</v>
      </c>
      <c r="AQ14" s="401">
        <f>'Lab test'!AZ7</f>
        <v>1965</v>
      </c>
      <c r="AR14" t="str">
        <f>'Lab test'!AC7</f>
        <v>Machined</v>
      </c>
      <c r="AS14" t="str">
        <f>'Lab test'!T7</f>
        <v>Aluminium</v>
      </c>
      <c r="AV14" s="7"/>
      <c r="AW14" s="321"/>
      <c r="AX14" t="e">
        <f t="shared" si="12"/>
        <v>#N/A</v>
      </c>
      <c r="AY14" t="e">
        <f t="shared" si="13"/>
        <v>#N/A</v>
      </c>
      <c r="AZ14" t="e">
        <f t="shared" si="6"/>
        <v>#N/A</v>
      </c>
      <c r="BA14" t="e">
        <f t="shared" si="6"/>
        <v>#N/A</v>
      </c>
      <c r="BB14" t="e">
        <f t="shared" si="6"/>
        <v>#N/A</v>
      </c>
      <c r="BC14" t="e">
        <f t="shared" si="6"/>
        <v>#N/A</v>
      </c>
      <c r="BD14" t="e">
        <f t="shared" si="6"/>
        <v>#N/A</v>
      </c>
      <c r="BG14" t="e">
        <f t="shared" si="14"/>
        <v>#N/A</v>
      </c>
      <c r="BH14" t="e">
        <f t="shared" si="15"/>
        <v>#N/A</v>
      </c>
      <c r="BI14" t="e">
        <f t="shared" si="7"/>
        <v>#N/A</v>
      </c>
      <c r="BJ14" t="e">
        <f t="shared" si="7"/>
        <v>#N/A</v>
      </c>
      <c r="BK14" t="e">
        <f t="shared" si="7"/>
        <v>#N/A</v>
      </c>
      <c r="BL14" t="e">
        <f t="shared" si="7"/>
        <v>#N/A</v>
      </c>
      <c r="BM14" t="e">
        <f t="shared" si="7"/>
        <v>#N/A</v>
      </c>
      <c r="BP14" t="e">
        <f t="shared" si="16"/>
        <v>#N/A</v>
      </c>
      <c r="BQ14" t="e">
        <f t="shared" si="17"/>
        <v>#N/A</v>
      </c>
      <c r="BR14" t="e">
        <f t="shared" si="8"/>
        <v>#N/A</v>
      </c>
      <c r="BS14" t="e">
        <f t="shared" si="8"/>
        <v>#N/A</v>
      </c>
      <c r="BT14" t="e">
        <f t="shared" si="8"/>
        <v>#N/A</v>
      </c>
      <c r="BU14" t="e">
        <f t="shared" si="8"/>
        <v>#N/A</v>
      </c>
      <c r="BV14" t="e">
        <f t="shared" si="8"/>
        <v>#N/A</v>
      </c>
      <c r="BY14" t="e">
        <f t="shared" si="18"/>
        <v>#N/A</v>
      </c>
      <c r="BZ14">
        <v>188000</v>
      </c>
      <c r="CA14" cm="1">
        <f t="array" ref="CA14">IF(ISNUMBER(BZ14),AF14/COUNT(IF(ISNUMBER(_xlfn.ANCHORARRAY($BZ$11)),_xlfn.ANCHORARRAY($BZ$11))),NA())</f>
        <v>5.128205128205128E-2</v>
      </c>
      <c r="CB14" t="e">
        <f t="shared" si="19"/>
        <v>#N/A</v>
      </c>
      <c r="CD14" t="e">
        <f t="shared" si="20"/>
        <v>#N/A</v>
      </c>
      <c r="CE14">
        <f t="shared" si="21"/>
        <v>188000</v>
      </c>
      <c r="CG14">
        <v>0.26923076923076922</v>
      </c>
      <c r="CH14">
        <v>205000</v>
      </c>
      <c r="CI14">
        <f t="shared" si="9"/>
        <v>1842.7184000000125</v>
      </c>
      <c r="CJ14">
        <f t="shared" si="22"/>
        <v>0.15384615384615383</v>
      </c>
      <c r="CL14" t="e">
        <f t="shared" si="23"/>
        <v>#N/A</v>
      </c>
      <c r="CM14">
        <v>70050.734098590561</v>
      </c>
      <c r="CN14" cm="1">
        <f t="array" ref="CN14">IF(ISNUMBER(CM14),AF14/COUNT(IF(ISNUMBER(_xlfn.ANCHORARRAY($CM$11)),_xlfn.ANCHORARRAY($CM$11))),NA())</f>
        <v>7.2727272727272724E-2</v>
      </c>
      <c r="CO14" t="e">
        <f t="shared" si="24"/>
        <v>#N/A</v>
      </c>
      <c r="CQ14" t="e">
        <f t="shared" si="25"/>
        <v>#N/A</v>
      </c>
      <c r="CR14">
        <f t="shared" si="26"/>
        <v>70050.734098590561</v>
      </c>
      <c r="CT14">
        <v>0.4</v>
      </c>
      <c r="CU14">
        <v>70671.259999999995</v>
      </c>
      <c r="CV14">
        <f t="shared" si="10"/>
        <v>741.18866399131366</v>
      </c>
      <c r="CW14">
        <f t="shared" si="27"/>
        <v>9.0909090909090939E-2</v>
      </c>
      <c r="CY14" t="e">
        <f t="shared" si="28"/>
        <v>#N/A</v>
      </c>
      <c r="CZ14">
        <v>105489.8</v>
      </c>
      <c r="DA14" cm="1">
        <f t="array" ref="DA14">IF(ISNUMBER(CZ14),AF14/COUNT(IF(ISNUMBER(_xlfn.ANCHORARRAY($CZ$11)),_xlfn.ANCHORARRAY($CZ$11))),NA())</f>
        <v>0.13333333333333333</v>
      </c>
      <c r="DB14" t="e">
        <f t="shared" si="29"/>
        <v>#N/A</v>
      </c>
      <c r="DD14" t="e">
        <f t="shared" si="30"/>
        <v>#N/A</v>
      </c>
      <c r="DE14">
        <f t="shared" si="31"/>
        <v>105489.8</v>
      </c>
      <c r="DG14">
        <v>1</v>
      </c>
      <c r="DH14">
        <v>113763.49533727797</v>
      </c>
      <c r="DJ14">
        <f t="shared" si="32"/>
        <v>3.3333333333333326E-2</v>
      </c>
    </row>
    <row r="15" spans="32:114">
      <c r="AF15">
        <v>5</v>
      </c>
      <c r="AG15" s="401">
        <f>'Lab test'!N8</f>
        <v>33.645960000000002</v>
      </c>
      <c r="AH15" s="401">
        <f>'Lab test'!M8</f>
        <v>1.27254</v>
      </c>
      <c r="AI15">
        <f>IF('Lab test'!O8&gt;0,'Lab test'!O8,NA())</f>
        <v>99.313999999999993</v>
      </c>
      <c r="AJ15">
        <f>'Lab test'!Q8</f>
        <v>26.44</v>
      </c>
      <c r="AK15" s="401">
        <f>IF('Lab test'!V8&gt;0,'Lab test'!V8,NA())</f>
        <v>74463.38</v>
      </c>
      <c r="AL15" s="7">
        <f>IF(MAX('Lab test'!W8,'Lab test'!X8)&gt;0,MAX('Lab test'!W8,'Lab test'!X8),NA())</f>
        <v>389.55</v>
      </c>
      <c r="AM15" s="401">
        <f>IF('Lab test'!P8&gt;0,'Lab test'!P8,NA())</f>
        <v>0.57404615035276751</v>
      </c>
      <c r="AN15" s="401">
        <f>IF('Lab test'!AU8&gt;0,'Lab test'!AU8,NA())</f>
        <v>1.0283285842638943</v>
      </c>
      <c r="AO15" s="401">
        <f>IF('Lab test'!AT8&gt;0,'Lab test'!AT8,NA())</f>
        <v>0.23501478034097101</v>
      </c>
      <c r="AP15">
        <f t="shared" si="33"/>
        <v>1</v>
      </c>
      <c r="AQ15" s="401">
        <f>'Lab test'!AZ8</f>
        <v>1965</v>
      </c>
      <c r="AR15" t="str">
        <f>'Lab test'!AC8</f>
        <v>Machined</v>
      </c>
      <c r="AS15" t="str">
        <f>'Lab test'!T8</f>
        <v>Aluminium</v>
      </c>
      <c r="AV15" s="7"/>
      <c r="AW15" s="321"/>
      <c r="AX15" t="e">
        <f t="shared" si="12"/>
        <v>#N/A</v>
      </c>
      <c r="AY15" t="e">
        <f t="shared" si="13"/>
        <v>#N/A</v>
      </c>
      <c r="AZ15" t="e">
        <f t="shared" si="6"/>
        <v>#N/A</v>
      </c>
      <c r="BA15" t="e">
        <f t="shared" si="6"/>
        <v>#N/A</v>
      </c>
      <c r="BB15" t="e">
        <f t="shared" si="6"/>
        <v>#N/A</v>
      </c>
      <c r="BC15" t="e">
        <f t="shared" si="6"/>
        <v>#N/A</v>
      </c>
      <c r="BD15" t="e">
        <f t="shared" si="6"/>
        <v>#N/A</v>
      </c>
      <c r="BG15" t="e">
        <f t="shared" si="14"/>
        <v>#N/A</v>
      </c>
      <c r="BH15" t="e">
        <f t="shared" si="15"/>
        <v>#N/A</v>
      </c>
      <c r="BI15" t="e">
        <f t="shared" si="7"/>
        <v>#N/A</v>
      </c>
      <c r="BJ15" t="e">
        <f t="shared" si="7"/>
        <v>#N/A</v>
      </c>
      <c r="BK15" t="e">
        <f t="shared" si="7"/>
        <v>#N/A</v>
      </c>
      <c r="BL15" t="e">
        <f t="shared" si="7"/>
        <v>#N/A</v>
      </c>
      <c r="BM15" t="e">
        <f t="shared" si="7"/>
        <v>#N/A</v>
      </c>
      <c r="BP15" t="e">
        <f t="shared" si="16"/>
        <v>#N/A</v>
      </c>
      <c r="BQ15" t="e">
        <f t="shared" si="17"/>
        <v>#N/A</v>
      </c>
      <c r="BR15" t="e">
        <f t="shared" si="8"/>
        <v>#N/A</v>
      </c>
      <c r="BS15" t="e">
        <f t="shared" si="8"/>
        <v>#N/A</v>
      </c>
      <c r="BT15" t="e">
        <f t="shared" si="8"/>
        <v>#N/A</v>
      </c>
      <c r="BU15" t="e">
        <f t="shared" si="8"/>
        <v>#N/A</v>
      </c>
      <c r="BV15" t="e">
        <f t="shared" si="8"/>
        <v>#N/A</v>
      </c>
      <c r="BY15" t="e">
        <f t="shared" si="18"/>
        <v>#N/A</v>
      </c>
      <c r="BZ15">
        <v>188000</v>
      </c>
      <c r="CA15" cm="1">
        <f t="array" ref="CA15">IF(ISNUMBER(BZ15),AF15/COUNT(IF(ISNUMBER(_xlfn.ANCHORARRAY($BZ$11)),_xlfn.ANCHORARRAY($BZ$11))),NA())</f>
        <v>6.4102564102564097E-2</v>
      </c>
      <c r="CB15">
        <f t="shared" si="19"/>
        <v>6.4102564102564097E-2</v>
      </c>
      <c r="CD15">
        <f t="shared" si="20"/>
        <v>6.4102564102564097E-2</v>
      </c>
      <c r="CE15">
        <f t="shared" si="21"/>
        <v>188000</v>
      </c>
      <c r="CG15">
        <v>0.47435897435897434</v>
      </c>
      <c r="CH15">
        <v>206842.71840000001</v>
      </c>
      <c r="CI15">
        <f t="shared" si="9"/>
        <v>2068.5095999999903</v>
      </c>
      <c r="CJ15">
        <f t="shared" si="22"/>
        <v>0.20512820512820512</v>
      </c>
      <c r="CL15" t="e">
        <f t="shared" si="23"/>
        <v>#N/A</v>
      </c>
      <c r="CM15">
        <v>70050.734098590561</v>
      </c>
      <c r="CN15" cm="1">
        <f t="array" ref="CN15">IF(ISNUMBER(CM15),AF15/COUNT(IF(ISNUMBER(_xlfn.ANCHORARRAY($CM$11)),_xlfn.ANCHORARRAY($CM$11))),NA())</f>
        <v>9.0909090909090912E-2</v>
      </c>
      <c r="CO15" t="e">
        <f t="shared" si="24"/>
        <v>#N/A</v>
      </c>
      <c r="CQ15" t="e">
        <f t="shared" si="25"/>
        <v>#N/A</v>
      </c>
      <c r="CR15">
        <f t="shared" si="26"/>
        <v>70050.734098590561</v>
      </c>
      <c r="CT15">
        <v>0.50909090909090904</v>
      </c>
      <c r="CU15">
        <v>71412.448663991308</v>
      </c>
      <c r="CV15">
        <f t="shared" si="10"/>
        <v>1292.7669924690708</v>
      </c>
      <c r="CW15">
        <f t="shared" si="27"/>
        <v>0.10909090909090902</v>
      </c>
      <c r="CY15" t="e">
        <f t="shared" si="28"/>
        <v>#N/A</v>
      </c>
      <c r="CZ15">
        <v>105489.8</v>
      </c>
      <c r="DA15" cm="1">
        <f t="array" ref="DA15">IF(ISNUMBER(CZ15),AF15/COUNT(IF(ISNUMBER(_xlfn.ANCHORARRAY($CZ$11)),_xlfn.ANCHORARRAY($CZ$11))),NA())</f>
        <v>0.16666666666666666</v>
      </c>
      <c r="DB15" t="e">
        <f t="shared" si="29"/>
        <v>#N/A</v>
      </c>
      <c r="DD15" t="e">
        <f t="shared" si="30"/>
        <v>#N/A</v>
      </c>
      <c r="DE15">
        <f t="shared" si="31"/>
        <v>105489.8</v>
      </c>
      <c r="DG15" t="e">
        <v>#N/A</v>
      </c>
      <c r="DH15">
        <v>105489.8</v>
      </c>
    </row>
    <row r="16" spans="32:114">
      <c r="AF16">
        <v>6</v>
      </c>
      <c r="AG16" s="401">
        <f>'Lab test'!N9</f>
        <v>33.663739999999997</v>
      </c>
      <c r="AH16" s="401">
        <f>'Lab test'!M9</f>
        <v>1.26746</v>
      </c>
      <c r="AI16">
        <f>IF('Lab test'!O9&gt;0,'Lab test'!O9,NA())</f>
        <v>25.4</v>
      </c>
      <c r="AJ16">
        <f>'Lab test'!Q9</f>
        <v>26.56</v>
      </c>
      <c r="AK16" s="401">
        <f>IF('Lab test'!V9&gt;0,'Lab test'!V9,NA())</f>
        <v>74463.38</v>
      </c>
      <c r="AL16" s="7">
        <f>IF(MAX('Lab test'!W9,'Lab test'!X9)&gt;0,MAX('Lab test'!W9,'Lab test'!X9),NA())</f>
        <v>389.55</v>
      </c>
      <c r="AM16" s="401">
        <f>IF('Lab test'!P9&gt;0,'Lab test'!P9,NA())</f>
        <v>0.14640546958087963</v>
      </c>
      <c r="AN16" s="401">
        <f>IF('Lab test'!AU9&gt;0,'Lab test'!AU9,NA())</f>
        <v>1.0300984982672314</v>
      </c>
      <c r="AO16" s="401">
        <f>IF('Lab test'!AT9&gt;0,'Lab test'!AT9,NA())</f>
        <v>0.23648774618483362</v>
      </c>
      <c r="AP16">
        <f t="shared" si="33"/>
        <v>1</v>
      </c>
      <c r="AQ16" s="401">
        <f>'Lab test'!AZ9</f>
        <v>1965</v>
      </c>
      <c r="AR16" t="str">
        <f>'Lab test'!AC9</f>
        <v>Machined</v>
      </c>
      <c r="AS16" t="str">
        <f>'Lab test'!T9</f>
        <v>Aluminium</v>
      </c>
      <c r="AV16" s="7"/>
      <c r="AW16" s="321"/>
      <c r="AX16" t="e">
        <f t="shared" si="12"/>
        <v>#N/A</v>
      </c>
      <c r="AY16" t="e">
        <f t="shared" si="13"/>
        <v>#N/A</v>
      </c>
      <c r="AZ16" t="e">
        <f t="shared" si="6"/>
        <v>#N/A</v>
      </c>
      <c r="BA16" t="e">
        <f t="shared" si="6"/>
        <v>#N/A</v>
      </c>
      <c r="BB16" t="e">
        <f t="shared" si="6"/>
        <v>#N/A</v>
      </c>
      <c r="BC16" t="e">
        <f t="shared" si="6"/>
        <v>#N/A</v>
      </c>
      <c r="BD16" t="e">
        <f t="shared" si="6"/>
        <v>#N/A</v>
      </c>
      <c r="BG16" t="e">
        <f t="shared" si="14"/>
        <v>#N/A</v>
      </c>
      <c r="BH16" t="e">
        <f t="shared" si="15"/>
        <v>#N/A</v>
      </c>
      <c r="BI16" t="e">
        <f t="shared" si="7"/>
        <v>#N/A</v>
      </c>
      <c r="BJ16" t="e">
        <f t="shared" si="7"/>
        <v>#N/A</v>
      </c>
      <c r="BK16" t="e">
        <f t="shared" si="7"/>
        <v>#N/A</v>
      </c>
      <c r="BL16" t="e">
        <f t="shared" si="7"/>
        <v>#N/A</v>
      </c>
      <c r="BM16" t="e">
        <f t="shared" si="7"/>
        <v>#N/A</v>
      </c>
      <c r="BP16" t="e">
        <f t="shared" si="16"/>
        <v>#N/A</v>
      </c>
      <c r="BQ16" t="e">
        <f t="shared" si="17"/>
        <v>#N/A</v>
      </c>
      <c r="BR16" t="e">
        <f t="shared" si="8"/>
        <v>#N/A</v>
      </c>
      <c r="BS16" t="e">
        <f t="shared" si="8"/>
        <v>#N/A</v>
      </c>
      <c r="BT16" t="e">
        <f t="shared" si="8"/>
        <v>#N/A</v>
      </c>
      <c r="BU16" t="e">
        <f t="shared" si="8"/>
        <v>#N/A</v>
      </c>
      <c r="BV16" t="e">
        <f t="shared" si="8"/>
        <v>#N/A</v>
      </c>
      <c r="BY16" t="e">
        <f t="shared" si="18"/>
        <v>#N/A</v>
      </c>
      <c r="BZ16">
        <v>204084.81587778352</v>
      </c>
      <c r="CA16" cm="1">
        <f t="array" ref="CA16">IF(ISNUMBER(BZ16),AF16/COUNT(IF(ISNUMBER(_xlfn.ANCHORARRAY($BZ$11)),_xlfn.ANCHORARRAY($BZ$11))),NA())</f>
        <v>7.6923076923076927E-2</v>
      </c>
      <c r="CB16" t="e">
        <f t="shared" si="19"/>
        <v>#N/A</v>
      </c>
      <c r="CD16" t="e">
        <f t="shared" si="20"/>
        <v>#N/A</v>
      </c>
      <c r="CE16">
        <f t="shared" si="21"/>
        <v>204084.81587778352</v>
      </c>
      <c r="CG16">
        <v>0.60256410256410253</v>
      </c>
      <c r="CH16">
        <v>208911.228</v>
      </c>
      <c r="CI16">
        <f t="shared" si="9"/>
        <v>2068.3451709518849</v>
      </c>
      <c r="CJ16">
        <f t="shared" si="22"/>
        <v>0.12820512820512819</v>
      </c>
      <c r="CL16" t="e">
        <f t="shared" si="23"/>
        <v>#N/A</v>
      </c>
      <c r="CM16">
        <v>70050.734098590561</v>
      </c>
      <c r="CN16" cm="1">
        <f t="array" ref="CN16">IF(ISNUMBER(CM16),AF16/COUNT(IF(ISNUMBER(_xlfn.ANCHORARRAY($CM$11)),_xlfn.ANCHORARRAY($CM$11))),NA())</f>
        <v>0.10909090909090909</v>
      </c>
      <c r="CO16" t="e">
        <f t="shared" si="24"/>
        <v>#N/A</v>
      </c>
      <c r="CQ16" t="e">
        <f t="shared" si="25"/>
        <v>#N/A</v>
      </c>
      <c r="CR16">
        <f t="shared" si="26"/>
        <v>70050.734098590561</v>
      </c>
      <c r="CT16">
        <v>1</v>
      </c>
      <c r="CU16">
        <v>72705.215656460379</v>
      </c>
      <c r="CW16">
        <f t="shared" si="27"/>
        <v>0.49090909090909096</v>
      </c>
      <c r="CY16" t="e">
        <f t="shared" si="28"/>
        <v>#N/A</v>
      </c>
      <c r="CZ16">
        <v>105489.8</v>
      </c>
      <c r="DA16" cm="1">
        <f t="array" ref="DA16">IF(ISNUMBER(CZ16),AF16/COUNT(IF(ISNUMBER(_xlfn.ANCHORARRAY($CZ$11)),_xlfn.ANCHORARRAY($CZ$11))),NA())</f>
        <v>0.2</v>
      </c>
      <c r="DB16" t="e">
        <f t="shared" si="29"/>
        <v>#N/A</v>
      </c>
      <c r="DD16" t="e">
        <f t="shared" si="30"/>
        <v>#N/A</v>
      </c>
      <c r="DE16">
        <f t="shared" si="31"/>
        <v>105489.8</v>
      </c>
      <c r="DG16" t="e">
        <v>#N/A</v>
      </c>
      <c r="DH16">
        <v>105489.8</v>
      </c>
    </row>
    <row r="17" spans="32:112">
      <c r="AF17">
        <v>7</v>
      </c>
      <c r="AG17" s="401">
        <f>'Lab test'!N10</f>
        <v>33.659520000000001</v>
      </c>
      <c r="AH17" s="401">
        <f>'Lab test'!M10</f>
        <v>1.26492</v>
      </c>
      <c r="AI17">
        <f>IF('Lab test'!O10&gt;0,'Lab test'!O10,NA())</f>
        <v>101.6</v>
      </c>
      <c r="AJ17">
        <f>'Lab test'!Q10</f>
        <v>26.61</v>
      </c>
      <c r="AK17" s="401">
        <f>IF('Lab test'!V10&gt;0,'Lab test'!V10,NA())</f>
        <v>74463.38</v>
      </c>
      <c r="AL17" s="7">
        <f>IF(MAX('Lab test'!W10,'Lab test'!X10)&gt;0,MAX('Lab test'!W10,'Lab test'!X10),NA())</f>
        <v>389.55</v>
      </c>
      <c r="AM17" s="401">
        <f>IF('Lab test'!P10&gt;0,'Lab test'!P10,NA())</f>
        <v>0.58514481350212277</v>
      </c>
      <c r="AN17" s="401">
        <f>IF('Lab test'!AU10&gt;0,'Lab test'!AU10,NA())</f>
        <v>1.0300984982672314</v>
      </c>
      <c r="AO17" s="401">
        <f>IF('Lab test'!AT10&gt;0,'Lab test'!AT10,NA())</f>
        <v>0.23693291615148723</v>
      </c>
      <c r="AP17">
        <f t="shared" si="33"/>
        <v>1</v>
      </c>
      <c r="AQ17" s="401">
        <f>'Lab test'!AZ10</f>
        <v>1965</v>
      </c>
      <c r="AR17" t="str">
        <f>'Lab test'!AC10</f>
        <v>Machined</v>
      </c>
      <c r="AS17" t="str">
        <f>'Lab test'!T10</f>
        <v>Aluminium</v>
      </c>
      <c r="AV17" s="7"/>
      <c r="AW17" s="321"/>
      <c r="AX17" t="e">
        <f t="shared" si="12"/>
        <v>#N/A</v>
      </c>
      <c r="AY17" t="e">
        <f t="shared" si="13"/>
        <v>#N/A</v>
      </c>
      <c r="AZ17" t="e">
        <f t="shared" si="6"/>
        <v>#N/A</v>
      </c>
      <c r="BA17" t="e">
        <f t="shared" si="6"/>
        <v>#N/A</v>
      </c>
      <c r="BB17" t="e">
        <f t="shared" si="6"/>
        <v>#N/A</v>
      </c>
      <c r="BC17" t="e">
        <f t="shared" si="6"/>
        <v>#N/A</v>
      </c>
      <c r="BD17" t="e">
        <f t="shared" si="6"/>
        <v>#N/A</v>
      </c>
      <c r="BG17" t="e">
        <f t="shared" si="14"/>
        <v>#N/A</v>
      </c>
      <c r="BH17" t="e">
        <f t="shared" si="15"/>
        <v>#N/A</v>
      </c>
      <c r="BI17" t="e">
        <f t="shared" si="7"/>
        <v>#N/A</v>
      </c>
      <c r="BJ17" t="e">
        <f t="shared" si="7"/>
        <v>#N/A</v>
      </c>
      <c r="BK17" t="e">
        <f t="shared" si="7"/>
        <v>#N/A</v>
      </c>
      <c r="BL17" t="e">
        <f t="shared" si="7"/>
        <v>#N/A</v>
      </c>
      <c r="BM17" t="e">
        <f t="shared" si="7"/>
        <v>#N/A</v>
      </c>
      <c r="BP17" t="e">
        <f t="shared" si="16"/>
        <v>#N/A</v>
      </c>
      <c r="BQ17" t="e">
        <f t="shared" si="17"/>
        <v>#N/A</v>
      </c>
      <c r="BR17" t="e">
        <f t="shared" si="8"/>
        <v>#N/A</v>
      </c>
      <c r="BS17" t="e">
        <f t="shared" si="8"/>
        <v>#N/A</v>
      </c>
      <c r="BT17" t="e">
        <f t="shared" si="8"/>
        <v>#N/A</v>
      </c>
      <c r="BU17" t="e">
        <f t="shared" si="8"/>
        <v>#N/A</v>
      </c>
      <c r="BV17" t="e">
        <f t="shared" si="8"/>
        <v>#N/A</v>
      </c>
      <c r="BY17" t="e">
        <f t="shared" si="18"/>
        <v>#N/A</v>
      </c>
      <c r="BZ17">
        <v>204084.81587778352</v>
      </c>
      <c r="CA17" cm="1">
        <f t="array" ref="CA17">IF(ISNUMBER(BZ17),AF17/COUNT(IF(ISNUMBER(_xlfn.ANCHORARRAY($BZ$11)),_xlfn.ANCHORARRAY($BZ$11))),NA())</f>
        <v>8.9743589743589744E-2</v>
      </c>
      <c r="CB17" t="e">
        <f t="shared" si="19"/>
        <v>#N/A</v>
      </c>
      <c r="CD17" t="e">
        <f t="shared" si="20"/>
        <v>#N/A</v>
      </c>
      <c r="CE17">
        <f t="shared" si="21"/>
        <v>204084.81587778352</v>
      </c>
      <c r="CG17">
        <v>0.65384615384615385</v>
      </c>
      <c r="CH17">
        <v>210979.57317095189</v>
      </c>
      <c r="CI17">
        <f t="shared" si="9"/>
        <v>4826.3300990481221</v>
      </c>
      <c r="CJ17">
        <f t="shared" si="22"/>
        <v>5.1282051282051322E-2</v>
      </c>
      <c r="CL17" t="e">
        <f t="shared" si="23"/>
        <v>#N/A</v>
      </c>
      <c r="CM17">
        <v>70050.734098590561</v>
      </c>
      <c r="CN17" cm="1">
        <f t="array" ref="CN17">IF(ISNUMBER(CM17),AF17/COUNT(IF(ISNUMBER(_xlfn.ANCHORARRAY($CM$11)),_xlfn.ANCHORARRAY($CM$11))),NA())</f>
        <v>0.12727272727272726</v>
      </c>
      <c r="CO17" t="e">
        <f t="shared" si="24"/>
        <v>#N/A</v>
      </c>
      <c r="CQ17" t="e">
        <f t="shared" si="25"/>
        <v>#N/A</v>
      </c>
      <c r="CR17">
        <f t="shared" si="26"/>
        <v>70050.734098590561</v>
      </c>
      <c r="CT17" t="e">
        <v>#N/A</v>
      </c>
      <c r="CU17">
        <v>68947.570000000007</v>
      </c>
      <c r="CY17" t="e">
        <f t="shared" si="28"/>
        <v>#N/A</v>
      </c>
      <c r="CZ17">
        <v>105489.8</v>
      </c>
      <c r="DA17" cm="1">
        <f t="array" ref="DA17">IF(ISNUMBER(CZ17),AF17/COUNT(IF(ISNUMBER(_xlfn.ANCHORARRAY($CZ$11)),_xlfn.ANCHORARRAY($CZ$11))),NA())</f>
        <v>0.23333333333333334</v>
      </c>
      <c r="DB17" t="e">
        <f t="shared" si="29"/>
        <v>#N/A</v>
      </c>
      <c r="DD17" t="e">
        <f t="shared" si="30"/>
        <v>#N/A</v>
      </c>
      <c r="DE17">
        <f t="shared" si="31"/>
        <v>105489.8</v>
      </c>
      <c r="DG17" t="e">
        <v>#N/A</v>
      </c>
      <c r="DH17">
        <v>105489.8</v>
      </c>
    </row>
    <row r="18" spans="32:112">
      <c r="AF18">
        <v>8</v>
      </c>
      <c r="AG18" s="401">
        <f>'Lab test'!N11</f>
        <v>33.668559999999999</v>
      </c>
      <c r="AH18" s="401">
        <f>'Lab test'!M11</f>
        <v>1.2979400000000001</v>
      </c>
      <c r="AI18">
        <f>IF('Lab test'!O11&gt;0,'Lab test'!O11,NA())</f>
        <v>25.4</v>
      </c>
      <c r="AJ18">
        <f>'Lab test'!Q11</f>
        <v>25.94</v>
      </c>
      <c r="AK18" s="401">
        <f>IF('Lab test'!V11&gt;0,'Lab test'!V11,NA())</f>
        <v>74463.38</v>
      </c>
      <c r="AL18" s="7">
        <f>IF(MAX('Lab test'!W11,'Lab test'!X11)&gt;0,MAX('Lab test'!W11,'Lab test'!X11),NA())</f>
        <v>389.55</v>
      </c>
      <c r="AM18" s="401">
        <f>IF('Lab test'!P11&gt;0,'Lab test'!P11,NA())</f>
        <v>0.14812358406801054</v>
      </c>
      <c r="AN18" s="401">
        <f>IF('Lab test'!AU11&gt;0,'Lab test'!AU11,NA())</f>
        <v>1.0543465280451803</v>
      </c>
      <c r="AO18" s="401">
        <f>IF('Lab test'!AT11&gt;0,'Lab test'!AT11,NA())</f>
        <v>0.23640414346969585</v>
      </c>
      <c r="AP18">
        <f t="shared" si="33"/>
        <v>1</v>
      </c>
      <c r="AQ18" s="401">
        <f>'Lab test'!AZ11</f>
        <v>1965</v>
      </c>
      <c r="AR18" t="str">
        <f>'Lab test'!AC11</f>
        <v>Machined</v>
      </c>
      <c r="AS18" t="str">
        <f>'Lab test'!T11</f>
        <v>Aluminium</v>
      </c>
      <c r="AV18" s="7"/>
      <c r="AW18" s="321"/>
      <c r="AX18" t="e">
        <f t="shared" si="12"/>
        <v>#N/A</v>
      </c>
      <c r="AY18" t="e">
        <f t="shared" si="13"/>
        <v>#N/A</v>
      </c>
      <c r="AZ18" t="e">
        <f t="shared" si="6"/>
        <v>#N/A</v>
      </c>
      <c r="BA18" t="e">
        <f t="shared" si="6"/>
        <v>#N/A</v>
      </c>
      <c r="BB18" t="e">
        <f t="shared" si="6"/>
        <v>#N/A</v>
      </c>
      <c r="BC18" t="e">
        <f t="shared" si="6"/>
        <v>#N/A</v>
      </c>
      <c r="BD18" t="e">
        <f t="shared" si="6"/>
        <v>#N/A</v>
      </c>
      <c r="BG18" t="e">
        <f t="shared" si="14"/>
        <v>#N/A</v>
      </c>
      <c r="BH18" t="e">
        <f t="shared" si="15"/>
        <v>#N/A</v>
      </c>
      <c r="BI18" t="e">
        <f t="shared" si="7"/>
        <v>#N/A</v>
      </c>
      <c r="BJ18" t="e">
        <f t="shared" si="7"/>
        <v>#N/A</v>
      </c>
      <c r="BK18" t="e">
        <f t="shared" si="7"/>
        <v>#N/A</v>
      </c>
      <c r="BL18" t="e">
        <f t="shared" si="7"/>
        <v>#N/A</v>
      </c>
      <c r="BM18" t="e">
        <f t="shared" si="7"/>
        <v>#N/A</v>
      </c>
      <c r="BP18" t="e">
        <f t="shared" si="16"/>
        <v>#N/A</v>
      </c>
      <c r="BQ18" t="e">
        <f t="shared" si="17"/>
        <v>#N/A</v>
      </c>
      <c r="BR18" t="e">
        <f t="shared" si="8"/>
        <v>#N/A</v>
      </c>
      <c r="BS18" t="e">
        <f t="shared" si="8"/>
        <v>#N/A</v>
      </c>
      <c r="BT18" t="e">
        <f t="shared" si="8"/>
        <v>#N/A</v>
      </c>
      <c r="BU18" t="e">
        <f t="shared" si="8"/>
        <v>#N/A</v>
      </c>
      <c r="BV18" t="e">
        <f t="shared" si="8"/>
        <v>#N/A</v>
      </c>
      <c r="BY18" t="e">
        <f t="shared" si="18"/>
        <v>#N/A</v>
      </c>
      <c r="BZ18">
        <v>204084.81587778352</v>
      </c>
      <c r="CA18" cm="1">
        <f t="array" ref="CA18">IF(ISNUMBER(BZ18),AF18/COUNT(IF(ISNUMBER(_xlfn.ANCHORARRAY($BZ$11)),_xlfn.ANCHORARRAY($BZ$11))),NA())</f>
        <v>0.10256410256410256</v>
      </c>
      <c r="CB18" t="e">
        <f t="shared" si="19"/>
        <v>#N/A</v>
      </c>
      <c r="CD18" t="e">
        <f t="shared" si="20"/>
        <v>#N/A</v>
      </c>
      <c r="CE18">
        <f t="shared" si="21"/>
        <v>204084.81587778352</v>
      </c>
      <c r="CG18">
        <v>0.89743589743589747</v>
      </c>
      <c r="CH18">
        <v>215805.90327000001</v>
      </c>
      <c r="CI18">
        <f t="shared" si="9"/>
        <v>689.47573548654327</v>
      </c>
      <c r="CJ18">
        <f t="shared" si="22"/>
        <v>0.24358974358974361</v>
      </c>
      <c r="CL18" t="e">
        <f t="shared" si="23"/>
        <v>#N/A</v>
      </c>
      <c r="CM18">
        <v>70050.734098590561</v>
      </c>
      <c r="CN18" cm="1">
        <f t="array" ref="CN18">IF(ISNUMBER(CM18),AF18/COUNT(IF(ISNUMBER(_xlfn.ANCHORARRAY($CM$11)),_xlfn.ANCHORARRAY($CM$11))),NA())</f>
        <v>0.14545454545454545</v>
      </c>
      <c r="CO18" t="e">
        <f t="shared" si="24"/>
        <v>#N/A</v>
      </c>
      <c r="CQ18" t="e">
        <f t="shared" si="25"/>
        <v>#N/A</v>
      </c>
      <c r="CR18">
        <f t="shared" si="26"/>
        <v>70050.734098590561</v>
      </c>
      <c r="CT18" t="e">
        <v>#N/A</v>
      </c>
      <c r="CU18">
        <v>70050.734098590561</v>
      </c>
      <c r="CY18" t="e">
        <f t="shared" si="28"/>
        <v>#N/A</v>
      </c>
      <c r="CZ18">
        <v>105489.8</v>
      </c>
      <c r="DA18" cm="1">
        <f t="array" ref="DA18">IF(ISNUMBER(CZ18),AF18/COUNT(IF(ISNUMBER(_xlfn.ANCHORARRAY($CZ$11)),_xlfn.ANCHORARRAY($CZ$11))),NA())</f>
        <v>0.26666666666666666</v>
      </c>
      <c r="DB18">
        <f t="shared" si="29"/>
        <v>0.26666666666666666</v>
      </c>
      <c r="DD18">
        <f t="shared" si="30"/>
        <v>0.26666666666666666</v>
      </c>
      <c r="DE18">
        <f t="shared" si="31"/>
        <v>105489.8</v>
      </c>
      <c r="DG18" t="e">
        <v>#N/A</v>
      </c>
      <c r="DH18">
        <v>105489.8</v>
      </c>
    </row>
    <row r="19" spans="32:112">
      <c r="AF19">
        <v>9</v>
      </c>
      <c r="AG19" s="401">
        <f>'Lab test'!N12</f>
        <v>33.656419999999997</v>
      </c>
      <c r="AH19" s="401">
        <f>'Lab test'!M12</f>
        <v>1.3004800000000001</v>
      </c>
      <c r="AI19">
        <f>IF('Lab test'!O12&gt;0,'Lab test'!O12,NA())</f>
        <v>12.7</v>
      </c>
      <c r="AJ19">
        <f>'Lab test'!Q12</f>
        <v>25.88</v>
      </c>
      <c r="AK19" s="401">
        <f>IF('Lab test'!V12&gt;0,'Lab test'!V12,NA())</f>
        <v>74463.38</v>
      </c>
      <c r="AL19" s="7">
        <f>IF(MAX('Lab test'!W12,'Lab test'!X12)&gt;0,MAX('Lab test'!W12,'Lab test'!X12),NA())</f>
        <v>389.55</v>
      </c>
      <c r="AM19" s="401">
        <f>IF('Lab test'!P12&gt;0,'Lab test'!P12,NA())</f>
        <v>7.4174338487763627E-2</v>
      </c>
      <c r="AN19" s="401">
        <f>IF('Lab test'!AU12&gt;0,'Lab test'!AU12,NA())</f>
        <v>1.040010114234373</v>
      </c>
      <c r="AO19" s="401">
        <f>IF('Lab test'!AT12&gt;0,'Lab test'!AT12,NA())</f>
        <v>0.23265028588647044</v>
      </c>
      <c r="AP19">
        <f t="shared" si="33"/>
        <v>1</v>
      </c>
      <c r="AQ19" s="401">
        <f>'Lab test'!AZ12</f>
        <v>1965</v>
      </c>
      <c r="AR19" t="str">
        <f>'Lab test'!AC12</f>
        <v>Machined</v>
      </c>
      <c r="AS19" t="str">
        <f>'Lab test'!T12</f>
        <v>Aluminium</v>
      </c>
      <c r="AV19" s="7"/>
      <c r="AW19" s="321"/>
      <c r="AX19" t="e">
        <f t="shared" si="12"/>
        <v>#N/A</v>
      </c>
      <c r="AY19" t="e">
        <f t="shared" si="13"/>
        <v>#N/A</v>
      </c>
      <c r="AZ19" t="e">
        <f t="shared" si="6"/>
        <v>#N/A</v>
      </c>
      <c r="BA19" t="e">
        <f t="shared" si="6"/>
        <v>#N/A</v>
      </c>
      <c r="BB19" t="e">
        <f t="shared" si="6"/>
        <v>#N/A</v>
      </c>
      <c r="BC19" t="e">
        <f t="shared" si="6"/>
        <v>#N/A</v>
      </c>
      <c r="BD19" t="e">
        <f t="shared" si="6"/>
        <v>#N/A</v>
      </c>
      <c r="BG19" t="e">
        <f t="shared" si="14"/>
        <v>#N/A</v>
      </c>
      <c r="BH19" t="e">
        <f t="shared" si="15"/>
        <v>#N/A</v>
      </c>
      <c r="BI19" t="e">
        <f t="shared" si="7"/>
        <v>#N/A</v>
      </c>
      <c r="BJ19" t="e">
        <f t="shared" si="7"/>
        <v>#N/A</v>
      </c>
      <c r="BK19" t="e">
        <f t="shared" si="7"/>
        <v>#N/A</v>
      </c>
      <c r="BL19" t="e">
        <f t="shared" si="7"/>
        <v>#N/A</v>
      </c>
      <c r="BM19" t="e">
        <f t="shared" si="7"/>
        <v>#N/A</v>
      </c>
      <c r="BP19" t="e">
        <f t="shared" si="16"/>
        <v>#N/A</v>
      </c>
      <c r="BQ19" t="e">
        <f t="shared" si="17"/>
        <v>#N/A</v>
      </c>
      <c r="BR19" t="e">
        <f t="shared" si="8"/>
        <v>#N/A</v>
      </c>
      <c r="BS19" t="e">
        <f t="shared" si="8"/>
        <v>#N/A</v>
      </c>
      <c r="BT19" t="e">
        <f t="shared" si="8"/>
        <v>#N/A</v>
      </c>
      <c r="BU19" t="e">
        <f t="shared" si="8"/>
        <v>#N/A</v>
      </c>
      <c r="BV19" t="e">
        <f t="shared" si="8"/>
        <v>#N/A</v>
      </c>
      <c r="BY19" t="e">
        <f t="shared" si="18"/>
        <v>#N/A</v>
      </c>
      <c r="BZ19">
        <v>204084.81587778352</v>
      </c>
      <c r="CA19" cm="1">
        <f t="array" ref="CA19">IF(ISNUMBER(BZ19),AF19/COUNT(IF(ISNUMBER(_xlfn.ANCHORARRAY($BZ$11)),_xlfn.ANCHORARRAY($BZ$11))),NA())</f>
        <v>0.11538461538461539</v>
      </c>
      <c r="CB19">
        <f t="shared" si="19"/>
        <v>0.11538461538461539</v>
      </c>
      <c r="CD19">
        <f t="shared" si="20"/>
        <v>0.11538461538461539</v>
      </c>
      <c r="CE19">
        <f t="shared" si="21"/>
        <v>204084.81587778352</v>
      </c>
      <c r="CG19">
        <v>0.94871794871794868</v>
      </c>
      <c r="CH19">
        <v>216495.37900548655</v>
      </c>
      <c r="CI19">
        <f t="shared" si="9"/>
        <v>6894.8449945134344</v>
      </c>
      <c r="CJ19">
        <f t="shared" si="22"/>
        <v>5.1282051282051211E-2</v>
      </c>
      <c r="CL19" t="e">
        <f t="shared" si="23"/>
        <v>#N/A</v>
      </c>
      <c r="CM19">
        <v>70050.734098590561</v>
      </c>
      <c r="CN19" cm="1">
        <f t="array" ref="CN19">IF(ISNUMBER(CM19),AF19/COUNT(IF(ISNUMBER(_xlfn.ANCHORARRAY($CM$11)),_xlfn.ANCHORARRAY($CM$11))),NA())</f>
        <v>0.16363636363636364</v>
      </c>
      <c r="CO19" t="e">
        <f t="shared" si="24"/>
        <v>#N/A</v>
      </c>
      <c r="CQ19" t="e">
        <f t="shared" si="25"/>
        <v>#N/A</v>
      </c>
      <c r="CR19">
        <f t="shared" si="26"/>
        <v>70050.734098590561</v>
      </c>
      <c r="CT19" t="e">
        <v>#N/A</v>
      </c>
      <c r="CU19">
        <v>70050.734098590561</v>
      </c>
      <c r="CY19" t="e">
        <f t="shared" si="28"/>
        <v>#N/A</v>
      </c>
      <c r="CZ19">
        <v>108247.68949999999</v>
      </c>
      <c r="DA19" cm="1">
        <f t="array" ref="DA19">IF(ISNUMBER(CZ19),AF19/COUNT(IF(ISNUMBER(_xlfn.ANCHORARRAY($CZ$11)),_xlfn.ANCHORARRAY($CZ$11))),NA())</f>
        <v>0.3</v>
      </c>
      <c r="DB19" t="e">
        <f t="shared" si="29"/>
        <v>#N/A</v>
      </c>
      <c r="DD19" t="e">
        <f t="shared" si="30"/>
        <v>#N/A</v>
      </c>
      <c r="DE19">
        <f t="shared" si="31"/>
        <v>108247.68949999999</v>
      </c>
      <c r="DG19" t="e">
        <v>#N/A</v>
      </c>
      <c r="DH19">
        <v>105489.8</v>
      </c>
    </row>
    <row r="20" spans="32:112">
      <c r="AF20">
        <v>10</v>
      </c>
      <c r="AG20" s="401">
        <f>'Lab test'!N13</f>
        <v>33.666069999999998</v>
      </c>
      <c r="AH20" s="401">
        <f>'Lab test'!M13</f>
        <v>1.2928599999999999</v>
      </c>
      <c r="AI20">
        <f>IF('Lab test'!O13&gt;0,'Lab test'!O13,NA())</f>
        <v>6.35</v>
      </c>
      <c r="AJ20">
        <f>'Lab test'!Q13</f>
        <v>26.04</v>
      </c>
      <c r="AK20" s="401">
        <f>IF('Lab test'!V13&gt;0,'Lab test'!V13,NA())</f>
        <v>74463.38</v>
      </c>
      <c r="AL20" s="7">
        <f>IF(MAX('Lab test'!W13,'Lab test'!X13)&gt;0,MAX('Lab test'!W13,'Lab test'!X13),NA())</f>
        <v>389.55</v>
      </c>
      <c r="AM20" s="401">
        <f>IF('Lab test'!P13&gt;0,'Lab test'!P13,NA())</f>
        <v>3.6962457794091255E-2</v>
      </c>
      <c r="AN20" s="401" t="e">
        <f>IF('Lab test'!AU13&gt;0,'Lab test'!AU13,NA())</f>
        <v>#N/A</v>
      </c>
      <c r="AO20" s="401" t="e">
        <f>IF('Lab test'!AT13&gt;0,'Lab test'!AT13,NA())</f>
        <v>#N/A</v>
      </c>
      <c r="AP20" t="e">
        <f t="shared" si="33"/>
        <v>#N/A</v>
      </c>
      <c r="AQ20" s="401">
        <f>'Lab test'!AZ13</f>
        <v>1965</v>
      </c>
      <c r="AR20" t="str">
        <f>'Lab test'!AC13</f>
        <v>Machined</v>
      </c>
      <c r="AS20" t="str">
        <f>'Lab test'!T13</f>
        <v>Aluminium</v>
      </c>
      <c r="AV20" s="7"/>
      <c r="AW20" s="321"/>
      <c r="AX20" t="e">
        <f t="shared" si="12"/>
        <v>#N/A</v>
      </c>
      <c r="AY20" t="e">
        <f t="shared" si="13"/>
        <v>#N/A</v>
      </c>
      <c r="AZ20" t="e">
        <f t="shared" si="6"/>
        <v>#N/A</v>
      </c>
      <c r="BA20" t="e">
        <f t="shared" si="6"/>
        <v>#N/A</v>
      </c>
      <c r="BB20" t="e">
        <f t="shared" si="6"/>
        <v>#N/A</v>
      </c>
      <c r="BC20" t="e">
        <f t="shared" si="6"/>
        <v>#N/A</v>
      </c>
      <c r="BD20" t="e">
        <f t="shared" si="6"/>
        <v>#N/A</v>
      </c>
      <c r="BG20" t="e">
        <f t="shared" si="14"/>
        <v>#N/A</v>
      </c>
      <c r="BH20" t="e">
        <f t="shared" si="15"/>
        <v>#N/A</v>
      </c>
      <c r="BI20" t="e">
        <f t="shared" si="7"/>
        <v>#N/A</v>
      </c>
      <c r="BJ20" t="e">
        <f t="shared" si="7"/>
        <v>#N/A</v>
      </c>
      <c r="BK20" t="e">
        <f t="shared" si="7"/>
        <v>#N/A</v>
      </c>
      <c r="BL20" t="e">
        <f t="shared" si="7"/>
        <v>#N/A</v>
      </c>
      <c r="BM20" t="e">
        <f t="shared" si="7"/>
        <v>#N/A</v>
      </c>
      <c r="BP20" t="e">
        <f t="shared" si="16"/>
        <v>#N/A</v>
      </c>
      <c r="BQ20" t="e">
        <f t="shared" si="17"/>
        <v>#N/A</v>
      </c>
      <c r="BR20" t="e">
        <f t="shared" si="8"/>
        <v>#N/A</v>
      </c>
      <c r="BS20" t="e">
        <f t="shared" si="8"/>
        <v>#N/A</v>
      </c>
      <c r="BT20" t="e">
        <f t="shared" si="8"/>
        <v>#N/A</v>
      </c>
      <c r="BU20" t="e">
        <f t="shared" si="8"/>
        <v>#N/A</v>
      </c>
      <c r="BV20" t="e">
        <f t="shared" si="8"/>
        <v>#N/A</v>
      </c>
      <c r="BY20" t="e">
        <f t="shared" si="18"/>
        <v>#N/A</v>
      </c>
      <c r="BZ20">
        <v>205000</v>
      </c>
      <c r="CA20" cm="1">
        <f t="array" ref="CA20">IF(ISNUMBER(BZ20),AF20/COUNT(IF(ISNUMBER(_xlfn.ANCHORARRAY($BZ$11)),_xlfn.ANCHORARRAY($BZ$11))),NA())</f>
        <v>0.12820512820512819</v>
      </c>
      <c r="CB20" t="e">
        <f t="shared" si="19"/>
        <v>#N/A</v>
      </c>
      <c r="CD20" t="e">
        <f t="shared" si="20"/>
        <v>#N/A</v>
      </c>
      <c r="CE20">
        <f t="shared" si="21"/>
        <v>205000</v>
      </c>
      <c r="CG20">
        <v>0.96153846153846156</v>
      </c>
      <c r="CH20">
        <v>223390.22399999999</v>
      </c>
      <c r="CI20">
        <f t="shared" si="9"/>
        <v>1378.9520000000193</v>
      </c>
      <c r="CJ20">
        <f t="shared" si="22"/>
        <v>1.2820512820512886E-2</v>
      </c>
      <c r="CL20" t="e">
        <f t="shared" si="23"/>
        <v>#N/A</v>
      </c>
      <c r="CM20">
        <v>70050.734098590561</v>
      </c>
      <c r="CN20" cm="1">
        <f t="array" ref="CN20">IF(ISNUMBER(CM20),AF20/COUNT(IF(ISNUMBER(_xlfn.ANCHORARRAY($CM$11)),_xlfn.ANCHORARRAY($CM$11))),NA())</f>
        <v>0.18181818181818182</v>
      </c>
      <c r="CO20" t="e">
        <f t="shared" si="24"/>
        <v>#N/A</v>
      </c>
      <c r="CQ20" t="e">
        <f t="shared" si="25"/>
        <v>#N/A</v>
      </c>
      <c r="CR20">
        <f t="shared" si="26"/>
        <v>70050.734098590561</v>
      </c>
      <c r="CT20" t="e">
        <v>#N/A</v>
      </c>
      <c r="CU20">
        <v>70050.734098590561</v>
      </c>
      <c r="CY20" t="e">
        <f t="shared" si="28"/>
        <v>#N/A</v>
      </c>
      <c r="CZ20">
        <v>108247.68949999999</v>
      </c>
      <c r="DA20" cm="1">
        <f t="array" ref="DA20">IF(ISNUMBER(CZ20),AF20/COUNT(IF(ISNUMBER(_xlfn.ANCHORARRAY($CZ$11)),_xlfn.ANCHORARRAY($CZ$11))),NA())</f>
        <v>0.33333333333333331</v>
      </c>
      <c r="DB20" t="e">
        <f t="shared" si="29"/>
        <v>#N/A</v>
      </c>
      <c r="DD20" t="e">
        <f t="shared" si="30"/>
        <v>#N/A</v>
      </c>
      <c r="DE20">
        <f t="shared" si="31"/>
        <v>108247.68949999999</v>
      </c>
      <c r="DG20" t="e">
        <v>#N/A</v>
      </c>
      <c r="DH20">
        <v>105489.8</v>
      </c>
    </row>
    <row r="21" spans="32:112">
      <c r="AF21">
        <v>11</v>
      </c>
      <c r="AG21" s="401">
        <f>'Lab test'!N14</f>
        <v>33.171990000000001</v>
      </c>
      <c r="AH21" s="401">
        <f>'Lab test'!M14</f>
        <v>0.28955999999999998</v>
      </c>
      <c r="AI21">
        <f>IF('Lab test'!O14&gt;0,'Lab test'!O14,NA())</f>
        <v>50.8</v>
      </c>
      <c r="AJ21">
        <f>'Lab test'!Q14</f>
        <v>114.56</v>
      </c>
      <c r="AK21" s="401">
        <f>IF('Lab test'!V14&gt;0,'Lab test'!V14,NA())</f>
        <v>74463.38</v>
      </c>
      <c r="AL21" s="7">
        <f>IF(MAX('Lab test'!W14,'Lab test'!X14)&gt;0,MAX('Lab test'!W14,'Lab test'!X14),NA())</f>
        <v>389.55</v>
      </c>
      <c r="AM21" s="401">
        <f>IF('Lab test'!P14&gt;0,'Lab test'!P14,NA())</f>
        <v>0.14307893787851919</v>
      </c>
      <c r="AN21" s="401">
        <f>IF('Lab test'!AU14&gt;0,'Lab test'!AU14,NA())</f>
        <v>0.5846074444872289</v>
      </c>
      <c r="AO21" s="401">
        <f>IF('Lab test'!AT14&gt;0,'Lab test'!AT14,NA())</f>
        <v>0.57889405009843753</v>
      </c>
      <c r="AP21">
        <f t="shared" si="33"/>
        <v>1</v>
      </c>
      <c r="AQ21" s="401">
        <f>'Lab test'!AZ14</f>
        <v>1965</v>
      </c>
      <c r="AR21" t="str">
        <f>'Lab test'!AC14</f>
        <v>Machined</v>
      </c>
      <c r="AS21" t="str">
        <f>'Lab test'!T14</f>
        <v>Aluminium</v>
      </c>
      <c r="AV21" s="7"/>
      <c r="AW21" s="321"/>
      <c r="AX21" t="e">
        <f t="shared" si="12"/>
        <v>#N/A</v>
      </c>
      <c r="AY21" t="e">
        <f t="shared" si="13"/>
        <v>#N/A</v>
      </c>
      <c r="AZ21" t="e">
        <f t="shared" si="6"/>
        <v>#N/A</v>
      </c>
      <c r="BA21" t="e">
        <f t="shared" si="6"/>
        <v>#N/A</v>
      </c>
      <c r="BB21" t="e">
        <f t="shared" si="6"/>
        <v>#N/A</v>
      </c>
      <c r="BC21" t="e">
        <f t="shared" si="6"/>
        <v>#N/A</v>
      </c>
      <c r="BD21" t="e">
        <f t="shared" si="6"/>
        <v>#N/A</v>
      </c>
      <c r="BG21" t="e">
        <f t="shared" si="14"/>
        <v>#N/A</v>
      </c>
      <c r="BH21" t="e">
        <f t="shared" si="15"/>
        <v>#N/A</v>
      </c>
      <c r="BI21" t="e">
        <f t="shared" si="7"/>
        <v>#N/A</v>
      </c>
      <c r="BJ21" t="e">
        <f t="shared" si="7"/>
        <v>#N/A</v>
      </c>
      <c r="BK21" t="e">
        <f t="shared" si="7"/>
        <v>#N/A</v>
      </c>
      <c r="BL21" t="e">
        <f t="shared" si="7"/>
        <v>#N/A</v>
      </c>
      <c r="BM21" t="e">
        <f t="shared" si="7"/>
        <v>#N/A</v>
      </c>
      <c r="BP21" t="e">
        <f t="shared" si="16"/>
        <v>#N/A</v>
      </c>
      <c r="BQ21" t="e">
        <f t="shared" si="17"/>
        <v>#N/A</v>
      </c>
      <c r="BR21" t="e">
        <f t="shared" si="8"/>
        <v>#N/A</v>
      </c>
      <c r="BS21" t="e">
        <f t="shared" si="8"/>
        <v>#N/A</v>
      </c>
      <c r="BT21" t="e">
        <f t="shared" si="8"/>
        <v>#N/A</v>
      </c>
      <c r="BU21" t="e">
        <f t="shared" si="8"/>
        <v>#N/A</v>
      </c>
      <c r="BV21" t="e">
        <f t="shared" si="8"/>
        <v>#N/A</v>
      </c>
      <c r="BY21" t="e">
        <f t="shared" si="18"/>
        <v>#N/A</v>
      </c>
      <c r="BZ21">
        <v>205000</v>
      </c>
      <c r="CA21" cm="1">
        <f t="array" ref="CA21">IF(ISNUMBER(BZ21),AF21/COUNT(IF(ISNUMBER(_xlfn.ANCHORARRAY($BZ$11)),_xlfn.ANCHORARRAY($BZ$11))),NA())</f>
        <v>0.14102564102564102</v>
      </c>
      <c r="CB21" t="e">
        <f t="shared" si="19"/>
        <v>#N/A</v>
      </c>
      <c r="CD21" t="e">
        <f t="shared" si="20"/>
        <v>#N/A</v>
      </c>
      <c r="CE21">
        <f t="shared" si="21"/>
        <v>205000</v>
      </c>
      <c r="CG21">
        <v>0.98717948717948723</v>
      </c>
      <c r="CH21">
        <v>224769.17600000001</v>
      </c>
      <c r="CI21">
        <f t="shared" si="9"/>
        <v>12410.567999999999</v>
      </c>
      <c r="CJ21">
        <f t="shared" si="22"/>
        <v>2.5641025641025661E-2</v>
      </c>
      <c r="CL21" t="e">
        <f t="shared" si="23"/>
        <v>#N/A</v>
      </c>
      <c r="CM21">
        <v>70050.734098590561</v>
      </c>
      <c r="CN21" cm="1">
        <f t="array" ref="CN21">IF(ISNUMBER(CM21),AF21/COUNT(IF(ISNUMBER(_xlfn.ANCHORARRAY($CM$11)),_xlfn.ANCHORARRAY($CM$11))),NA())</f>
        <v>0.2</v>
      </c>
      <c r="CO21" t="e">
        <f t="shared" si="24"/>
        <v>#N/A</v>
      </c>
      <c r="CQ21" t="e">
        <f t="shared" si="25"/>
        <v>#N/A</v>
      </c>
      <c r="CR21">
        <f t="shared" si="26"/>
        <v>70050.734098590561</v>
      </c>
      <c r="CT21" t="e">
        <v>#N/A</v>
      </c>
      <c r="CU21">
        <v>70050.734098590561</v>
      </c>
      <c r="CY21" t="e">
        <f t="shared" si="28"/>
        <v>#N/A</v>
      </c>
      <c r="CZ21">
        <v>108247.68949999999</v>
      </c>
      <c r="DA21" cm="1">
        <f t="array" ref="DA21">IF(ISNUMBER(CZ21),AF21/COUNT(IF(ISNUMBER(_xlfn.ANCHORARRAY($CZ$11)),_xlfn.ANCHORARRAY($CZ$11))),NA())</f>
        <v>0.36666666666666664</v>
      </c>
      <c r="DB21" t="e">
        <f t="shared" si="29"/>
        <v>#N/A</v>
      </c>
      <c r="DD21" t="e">
        <f t="shared" si="30"/>
        <v>#N/A</v>
      </c>
      <c r="DE21">
        <f t="shared" si="31"/>
        <v>108247.68949999999</v>
      </c>
      <c r="DG21" t="e">
        <v>#N/A</v>
      </c>
      <c r="DH21">
        <v>105489.8</v>
      </c>
    </row>
    <row r="22" spans="32:112">
      <c r="AF22">
        <v>12</v>
      </c>
      <c r="AG22" s="401">
        <f>'Lab test'!N15</f>
        <v>33.173209999999997</v>
      </c>
      <c r="AH22" s="401">
        <f>'Lab test'!M15</f>
        <v>0.28448000000000001</v>
      </c>
      <c r="AI22">
        <f>IF('Lab test'!O15&gt;0,'Lab test'!O15,NA())</f>
        <v>25.4</v>
      </c>
      <c r="AJ22">
        <f>'Lab test'!Q15</f>
        <v>116.61</v>
      </c>
      <c r="AK22" s="401">
        <f>IF('Lab test'!V15&gt;0,'Lab test'!V15,NA())</f>
        <v>74463.38</v>
      </c>
      <c r="AL22" s="7">
        <f>IF(MAX('Lab test'!W15,'Lab test'!X15)&gt;0,MAX('Lab test'!W15,'Lab test'!X15),NA())</f>
        <v>389.55</v>
      </c>
      <c r="AM22" s="401">
        <f>IF('Lab test'!P15&gt;0,'Lab test'!P15,NA())</f>
        <v>7.090524129436114E-2</v>
      </c>
      <c r="AN22" s="401">
        <f>IF('Lab test'!AU15&gt;0,'Lab test'!AU15,NA())</f>
        <v>0.56230635348479008</v>
      </c>
      <c r="AO22" s="401">
        <f>IF('Lab test'!AT15&gt;0,'Lab test'!AT15,NA())</f>
        <v>0.56677480467050978</v>
      </c>
      <c r="AP22">
        <f t="shared" si="33"/>
        <v>1</v>
      </c>
      <c r="AQ22" s="401">
        <f>'Lab test'!AZ15</f>
        <v>1965</v>
      </c>
      <c r="AR22" t="str">
        <f>'Lab test'!AC15</f>
        <v>Machined</v>
      </c>
      <c r="AS22" t="str">
        <f>'Lab test'!T15</f>
        <v>Aluminium</v>
      </c>
      <c r="AV22" s="7"/>
      <c r="AW22" s="321"/>
      <c r="AX22" t="e">
        <f t="shared" si="12"/>
        <v>#N/A</v>
      </c>
      <c r="AY22" t="e">
        <f t="shared" si="13"/>
        <v>#N/A</v>
      </c>
      <c r="AZ22" t="e">
        <f t="shared" si="6"/>
        <v>#N/A</v>
      </c>
      <c r="BA22" t="e">
        <f t="shared" si="6"/>
        <v>#N/A</v>
      </c>
      <c r="BB22" t="e">
        <f t="shared" si="6"/>
        <v>#N/A</v>
      </c>
      <c r="BC22" t="e">
        <f t="shared" si="6"/>
        <v>#N/A</v>
      </c>
      <c r="BD22" t="e">
        <f t="shared" si="6"/>
        <v>#N/A</v>
      </c>
      <c r="BG22" t="e">
        <f t="shared" si="14"/>
        <v>#N/A</v>
      </c>
      <c r="BH22" t="e">
        <f t="shared" si="15"/>
        <v>#N/A</v>
      </c>
      <c r="BI22" t="e">
        <f t="shared" si="7"/>
        <v>#N/A</v>
      </c>
      <c r="BJ22" t="e">
        <f t="shared" si="7"/>
        <v>#N/A</v>
      </c>
      <c r="BK22" t="e">
        <f t="shared" si="7"/>
        <v>#N/A</v>
      </c>
      <c r="BL22" t="e">
        <f t="shared" si="7"/>
        <v>#N/A</v>
      </c>
      <c r="BM22" t="e">
        <f t="shared" si="7"/>
        <v>#N/A</v>
      </c>
      <c r="BP22" t="e">
        <f t="shared" si="16"/>
        <v>#N/A</v>
      </c>
      <c r="BQ22" t="e">
        <f t="shared" si="17"/>
        <v>#N/A</v>
      </c>
      <c r="BR22" t="e">
        <f t="shared" si="8"/>
        <v>#N/A</v>
      </c>
      <c r="BS22" t="e">
        <f t="shared" si="8"/>
        <v>#N/A</v>
      </c>
      <c r="BT22" t="e">
        <f t="shared" si="8"/>
        <v>#N/A</v>
      </c>
      <c r="BU22" t="e">
        <f t="shared" si="8"/>
        <v>#N/A</v>
      </c>
      <c r="BV22" t="e">
        <f t="shared" si="8"/>
        <v>#N/A</v>
      </c>
      <c r="BY22" t="e">
        <f t="shared" si="18"/>
        <v>#N/A</v>
      </c>
      <c r="BZ22">
        <v>205000</v>
      </c>
      <c r="CA22" cm="1">
        <f t="array" ref="CA22">IF(ISNUMBER(BZ22),AF22/COUNT(IF(ISNUMBER(_xlfn.ANCHORARRAY($BZ$11)),_xlfn.ANCHORARRAY($BZ$11))),NA())</f>
        <v>0.15384615384615385</v>
      </c>
      <c r="CB22" t="e">
        <f t="shared" si="19"/>
        <v>#N/A</v>
      </c>
      <c r="CD22" t="e">
        <f t="shared" si="20"/>
        <v>#N/A</v>
      </c>
      <c r="CE22">
        <f t="shared" si="21"/>
        <v>205000</v>
      </c>
      <c r="CG22">
        <v>1</v>
      </c>
      <c r="CH22">
        <v>237179.74400000001</v>
      </c>
      <c r="CJ22">
        <f t="shared" si="22"/>
        <v>1.2820512820512775E-2</v>
      </c>
      <c r="CL22" t="e">
        <f t="shared" si="23"/>
        <v>#N/A</v>
      </c>
      <c r="CM22">
        <v>70050.734098590561</v>
      </c>
      <c r="CN22" cm="1">
        <f t="array" ref="CN22">IF(ISNUMBER(CM22),AF22/COUNT(IF(ISNUMBER(_xlfn.ANCHORARRAY($CM$11)),_xlfn.ANCHORARRAY($CM$11))),NA())</f>
        <v>0.21818181818181817</v>
      </c>
      <c r="CO22" t="e">
        <f t="shared" si="24"/>
        <v>#N/A</v>
      </c>
      <c r="CQ22" t="e">
        <f t="shared" si="25"/>
        <v>#N/A</v>
      </c>
      <c r="CR22">
        <f t="shared" si="26"/>
        <v>70050.734098590561</v>
      </c>
      <c r="CT22" t="e">
        <v>#N/A</v>
      </c>
      <c r="CU22">
        <v>70050.734098590561</v>
      </c>
      <c r="CY22" t="e">
        <f t="shared" si="28"/>
        <v>#N/A</v>
      </c>
      <c r="CZ22">
        <v>108247.68949999999</v>
      </c>
      <c r="DA22" cm="1">
        <f t="array" ref="DA22">IF(ISNUMBER(CZ22),AF22/COUNT(IF(ISNUMBER(_xlfn.ANCHORARRAY($CZ$11)),_xlfn.ANCHORARRAY($CZ$11))),NA())</f>
        <v>0.4</v>
      </c>
      <c r="DB22" t="e">
        <f t="shared" si="29"/>
        <v>#N/A</v>
      </c>
      <c r="DD22" t="e">
        <f t="shared" si="30"/>
        <v>#N/A</v>
      </c>
      <c r="DE22">
        <f t="shared" si="31"/>
        <v>108247.68949999999</v>
      </c>
      <c r="DG22" t="e">
        <v>#N/A</v>
      </c>
      <c r="DH22">
        <v>108247.68949999999</v>
      </c>
    </row>
    <row r="23" spans="32:112">
      <c r="AF23">
        <v>13</v>
      </c>
      <c r="AG23" s="401">
        <f>'Lab test'!N16</f>
        <v>33.182560000000002</v>
      </c>
      <c r="AH23" s="401">
        <f>'Lab test'!M16</f>
        <v>0.29210000000000003</v>
      </c>
      <c r="AI23">
        <f>IF('Lab test'!O16&gt;0,'Lab test'!O16,NA())</f>
        <v>12.7</v>
      </c>
      <c r="AJ23">
        <f>'Lab test'!Q16</f>
        <v>113.6</v>
      </c>
      <c r="AK23" s="401">
        <f>IF('Lab test'!V16&gt;0,'Lab test'!V16,NA())</f>
        <v>74463.38</v>
      </c>
      <c r="AL23" s="7">
        <f>IF(MAX('Lab test'!W16,'Lab test'!X16)&gt;0,MAX('Lab test'!W16,'Lab test'!X16),NA())</f>
        <v>389.55</v>
      </c>
      <c r="AM23" s="401">
        <f>IF('Lab test'!P16&gt;0,'Lab test'!P16,NA())</f>
        <v>3.5909112113479857E-2</v>
      </c>
      <c r="AN23" s="401">
        <f>IF('Lab test'!AU16&gt;0,'Lab test'!AU16,NA())</f>
        <v>0.63009462199974331</v>
      </c>
      <c r="AO23" s="401">
        <f>IF('Lab test'!AT16&gt;0,'Lab test'!AT16,NA())</f>
        <v>0.61870822690062544</v>
      </c>
      <c r="AP23">
        <f t="shared" ref="AP23:AP86" si="34">IF(AND(OR(ISNUMBER(AN23),ISNUMBER(AO23)),ISNUMBER(AK23),ISNUMBER(AL23)),1,NA())</f>
        <v>1</v>
      </c>
      <c r="AQ23" s="401">
        <f>'Lab test'!AZ16</f>
        <v>1965</v>
      </c>
      <c r="AR23" t="str">
        <f>'Lab test'!AC16</f>
        <v>Machined</v>
      </c>
      <c r="AS23" t="str">
        <f>'Lab test'!T16</f>
        <v>Aluminium</v>
      </c>
      <c r="AV23" s="7"/>
      <c r="AW23" s="321"/>
      <c r="AX23" t="e">
        <f t="shared" si="12"/>
        <v>#N/A</v>
      </c>
      <c r="AY23" t="e">
        <f t="shared" si="13"/>
        <v>#N/A</v>
      </c>
      <c r="AZ23" t="e">
        <f t="shared" si="6"/>
        <v>#N/A</v>
      </c>
      <c r="BA23" t="e">
        <f t="shared" si="6"/>
        <v>#N/A</v>
      </c>
      <c r="BB23" t="e">
        <f t="shared" si="6"/>
        <v>#N/A</v>
      </c>
      <c r="BC23" t="e">
        <f t="shared" si="6"/>
        <v>#N/A</v>
      </c>
      <c r="BD23" t="e">
        <f t="shared" si="6"/>
        <v>#N/A</v>
      </c>
      <c r="BG23" t="e">
        <f t="shared" si="14"/>
        <v>#N/A</v>
      </c>
      <c r="BH23" t="e">
        <f t="shared" si="15"/>
        <v>#N/A</v>
      </c>
      <c r="BI23" t="e">
        <f t="shared" si="7"/>
        <v>#N/A</v>
      </c>
      <c r="BJ23" t="e">
        <f t="shared" si="7"/>
        <v>#N/A</v>
      </c>
      <c r="BK23" t="e">
        <f t="shared" si="7"/>
        <v>#N/A</v>
      </c>
      <c r="BL23" t="e">
        <f t="shared" si="7"/>
        <v>#N/A</v>
      </c>
      <c r="BM23" t="e">
        <f t="shared" si="7"/>
        <v>#N/A</v>
      </c>
      <c r="BP23" t="e">
        <f t="shared" si="16"/>
        <v>#N/A</v>
      </c>
      <c r="BQ23" t="e">
        <f t="shared" si="17"/>
        <v>#N/A</v>
      </c>
      <c r="BR23" t="e">
        <f t="shared" si="8"/>
        <v>#N/A</v>
      </c>
      <c r="BS23" t="e">
        <f t="shared" si="8"/>
        <v>#N/A</v>
      </c>
      <c r="BT23" t="e">
        <f t="shared" si="8"/>
        <v>#N/A</v>
      </c>
      <c r="BU23" t="e">
        <f t="shared" si="8"/>
        <v>#N/A</v>
      </c>
      <c r="BV23" t="e">
        <f t="shared" si="8"/>
        <v>#N/A</v>
      </c>
      <c r="BY23" t="e">
        <f t="shared" si="18"/>
        <v>#N/A</v>
      </c>
      <c r="BZ23">
        <v>205000</v>
      </c>
      <c r="CA23" cm="1">
        <f t="array" ref="CA23">IF(ISNUMBER(BZ23),AF23/COUNT(IF(ISNUMBER(_xlfn.ANCHORARRAY($BZ$11)),_xlfn.ANCHORARRAY($BZ$11))),NA())</f>
        <v>0.16666666666666666</v>
      </c>
      <c r="CB23" t="e">
        <f t="shared" si="19"/>
        <v>#N/A</v>
      </c>
      <c r="CD23" t="e">
        <f t="shared" si="20"/>
        <v>#N/A</v>
      </c>
      <c r="CE23">
        <f t="shared" si="21"/>
        <v>205000</v>
      </c>
      <c r="CG23" t="e">
        <v>#N/A</v>
      </c>
      <c r="CH23">
        <v>186572.13235313585</v>
      </c>
      <c r="CL23" t="e">
        <f t="shared" si="23"/>
        <v>#N/A</v>
      </c>
      <c r="CM23">
        <v>70050.734098590561</v>
      </c>
      <c r="CN23" cm="1">
        <f t="array" ref="CN23">IF(ISNUMBER(CM23),AF23/COUNT(IF(ISNUMBER(_xlfn.ANCHORARRAY($CM$11)),_xlfn.ANCHORARRAY($CM$11))),NA())</f>
        <v>0.23636363636363636</v>
      </c>
      <c r="CO23" t="e">
        <f t="shared" si="24"/>
        <v>#N/A</v>
      </c>
      <c r="CQ23" t="e">
        <f t="shared" si="25"/>
        <v>#N/A</v>
      </c>
      <c r="CR23">
        <f t="shared" si="26"/>
        <v>70050.734098590561</v>
      </c>
      <c r="CT23" t="e">
        <v>#N/A</v>
      </c>
      <c r="CU23">
        <v>70050.734098590561</v>
      </c>
      <c r="CY23" t="e">
        <f t="shared" si="28"/>
        <v>#N/A</v>
      </c>
      <c r="CZ23">
        <v>108247.68949999999</v>
      </c>
      <c r="DA23" cm="1">
        <f t="array" ref="DA23">IF(ISNUMBER(CZ23),AF23/COUNT(IF(ISNUMBER(_xlfn.ANCHORARRAY($CZ$11)),_xlfn.ANCHORARRAY($CZ$11))),NA())</f>
        <v>0.43333333333333335</v>
      </c>
      <c r="DB23" t="e">
        <f t="shared" si="29"/>
        <v>#N/A</v>
      </c>
      <c r="DD23" t="e">
        <f t="shared" si="30"/>
        <v>#N/A</v>
      </c>
      <c r="DE23">
        <f t="shared" si="31"/>
        <v>108247.68949999999</v>
      </c>
      <c r="DG23" t="e">
        <v>#N/A</v>
      </c>
      <c r="DH23">
        <v>108247.68949999999</v>
      </c>
    </row>
    <row r="24" spans="32:112">
      <c r="AF24">
        <v>14</v>
      </c>
      <c r="AG24" s="401">
        <f>'Lab test'!N17</f>
        <v>33.261299999999999</v>
      </c>
      <c r="AH24" s="401">
        <f>'Lab test'!M17</f>
        <v>0.27432000000000001</v>
      </c>
      <c r="AI24">
        <f>IF('Lab test'!O17&gt;0,'Lab test'!O17,NA())</f>
        <v>6.35</v>
      </c>
      <c r="AJ24">
        <f>'Lab test'!Q17</f>
        <v>121.25</v>
      </c>
      <c r="AK24" s="401">
        <f>IF('Lab test'!V17&gt;0,'Lab test'!V17,NA())</f>
        <v>74463.38</v>
      </c>
      <c r="AL24" s="7">
        <f>IF(MAX('Lab test'!W17,'Lab test'!X17)&gt;0,MAX('Lab test'!W17,'Lab test'!X17),NA())</f>
        <v>389.55</v>
      </c>
      <c r="AM24" s="401">
        <f>IF('Lab test'!P17&gt;0,'Lab test'!P17,NA())</f>
        <v>1.7337785765043901E-2</v>
      </c>
      <c r="AN24" s="401">
        <f>IF('Lab test'!AU17&gt;0,'Lab test'!AU17,NA())</f>
        <v>0.5877933256321396</v>
      </c>
      <c r="AO24" s="401">
        <f>IF('Lab test'!AT17&gt;0,'Lab test'!AT17,NA())</f>
        <v>0.6160389674554354</v>
      </c>
      <c r="AP24">
        <f t="shared" si="34"/>
        <v>1</v>
      </c>
      <c r="AQ24" s="401">
        <f>'Lab test'!AZ17</f>
        <v>1965</v>
      </c>
      <c r="AR24" t="str">
        <f>'Lab test'!AC17</f>
        <v>Machined</v>
      </c>
      <c r="AS24" t="str">
        <f>'Lab test'!T17</f>
        <v>Aluminium</v>
      </c>
      <c r="AV24" s="7"/>
      <c r="AW24" s="321"/>
      <c r="AX24" t="e">
        <f t="shared" si="12"/>
        <v>#N/A</v>
      </c>
      <c r="AY24" t="e">
        <f t="shared" si="13"/>
        <v>#N/A</v>
      </c>
      <c r="AZ24" t="e">
        <f t="shared" si="6"/>
        <v>#N/A</v>
      </c>
      <c r="BA24" t="e">
        <f t="shared" si="6"/>
        <v>#N/A</v>
      </c>
      <c r="BB24" t="e">
        <f t="shared" si="6"/>
        <v>#N/A</v>
      </c>
      <c r="BC24" t="e">
        <f t="shared" si="6"/>
        <v>#N/A</v>
      </c>
      <c r="BD24" t="e">
        <f t="shared" si="6"/>
        <v>#N/A</v>
      </c>
      <c r="BG24" t="e">
        <f t="shared" si="14"/>
        <v>#N/A</v>
      </c>
      <c r="BH24" t="e">
        <f t="shared" si="15"/>
        <v>#N/A</v>
      </c>
      <c r="BI24" t="e">
        <f t="shared" si="7"/>
        <v>#N/A</v>
      </c>
      <c r="BJ24" t="e">
        <f t="shared" si="7"/>
        <v>#N/A</v>
      </c>
      <c r="BK24" t="e">
        <f t="shared" si="7"/>
        <v>#N/A</v>
      </c>
      <c r="BL24" t="e">
        <f t="shared" si="7"/>
        <v>#N/A</v>
      </c>
      <c r="BM24" t="e">
        <f t="shared" si="7"/>
        <v>#N/A</v>
      </c>
      <c r="BP24" t="e">
        <f t="shared" si="16"/>
        <v>#N/A</v>
      </c>
      <c r="BQ24" t="e">
        <f t="shared" si="17"/>
        <v>#N/A</v>
      </c>
      <c r="BR24" t="e">
        <f t="shared" si="8"/>
        <v>#N/A</v>
      </c>
      <c r="BS24" t="e">
        <f t="shared" si="8"/>
        <v>#N/A</v>
      </c>
      <c r="BT24" t="e">
        <f t="shared" si="8"/>
        <v>#N/A</v>
      </c>
      <c r="BU24" t="e">
        <f t="shared" si="8"/>
        <v>#N/A</v>
      </c>
      <c r="BV24" t="e">
        <f t="shared" si="8"/>
        <v>#N/A</v>
      </c>
      <c r="BY24" t="e">
        <f t="shared" si="18"/>
        <v>#N/A</v>
      </c>
      <c r="BZ24">
        <v>205000</v>
      </c>
      <c r="CA24" cm="1">
        <f t="array" ref="CA24">IF(ISNUMBER(BZ24),AF24/COUNT(IF(ISNUMBER(_xlfn.ANCHORARRAY($BZ$11)),_xlfn.ANCHORARRAY($BZ$11))),NA())</f>
        <v>0.17948717948717949</v>
      </c>
      <c r="CB24" t="e">
        <f t="shared" si="19"/>
        <v>#N/A</v>
      </c>
      <c r="CD24" t="e">
        <f t="shared" si="20"/>
        <v>#N/A</v>
      </c>
      <c r="CE24">
        <f t="shared" si="21"/>
        <v>205000</v>
      </c>
      <c r="CG24" t="e">
        <v>#N/A</v>
      </c>
      <c r="CH24">
        <v>186572.13235313585</v>
      </c>
      <c r="CL24" t="e">
        <f t="shared" si="23"/>
        <v>#N/A</v>
      </c>
      <c r="CM24">
        <v>70050.734098590561</v>
      </c>
      <c r="CN24" cm="1">
        <f t="array" ref="CN24">IF(ISNUMBER(CM24),AF24/COUNT(IF(ISNUMBER(_xlfn.ANCHORARRAY($CM$11)),_xlfn.ANCHORARRAY($CM$11))),NA())</f>
        <v>0.25454545454545452</v>
      </c>
      <c r="CO24">
        <f t="shared" si="24"/>
        <v>0.25454545454545452</v>
      </c>
      <c r="CQ24">
        <f t="shared" si="25"/>
        <v>0.25454545454545452</v>
      </c>
      <c r="CR24">
        <f t="shared" si="26"/>
        <v>70050.734098590561</v>
      </c>
      <c r="CT24" t="e">
        <v>#N/A</v>
      </c>
      <c r="CU24">
        <v>70050.734098590561</v>
      </c>
      <c r="CY24" t="e">
        <f t="shared" si="28"/>
        <v>#N/A</v>
      </c>
      <c r="CZ24">
        <v>108247.68949999999</v>
      </c>
      <c r="DA24" cm="1">
        <f t="array" ref="DA24">IF(ISNUMBER(CZ24),AF24/COUNT(IF(ISNUMBER(_xlfn.ANCHORARRAY($CZ$11)),_xlfn.ANCHORARRAY($CZ$11))),NA())</f>
        <v>0.46666666666666667</v>
      </c>
      <c r="DB24" t="e">
        <f t="shared" si="29"/>
        <v>#N/A</v>
      </c>
      <c r="DD24" t="e">
        <f t="shared" si="30"/>
        <v>#N/A</v>
      </c>
      <c r="DE24">
        <f t="shared" si="31"/>
        <v>108247.68949999999</v>
      </c>
      <c r="DG24" t="e">
        <v>#N/A</v>
      </c>
      <c r="DH24">
        <v>108247.68949999999</v>
      </c>
    </row>
    <row r="25" spans="32:112">
      <c r="AF25">
        <v>15</v>
      </c>
      <c r="AG25" s="401">
        <f>'Lab test'!N18</f>
        <v>34.78886</v>
      </c>
      <c r="AH25" s="401">
        <f>'Lab test'!M18</f>
        <v>3.5864799999999999</v>
      </c>
      <c r="AI25">
        <f>IF('Lab test'!O18&gt;0,'Lab test'!O18,NA())</f>
        <v>101.6</v>
      </c>
      <c r="AJ25">
        <f>'Lab test'!Q18</f>
        <v>9.6999999999999993</v>
      </c>
      <c r="AK25" s="401">
        <f>IF('Lab test'!V18&gt;0,'Lab test'!V18,NA())</f>
        <v>74463.38</v>
      </c>
      <c r="AL25" s="7">
        <f>IF(MAX('Lab test'!W18,'Lab test'!X18)&gt;0,MAX('Lab test'!W18,'Lab test'!X18),NA())</f>
        <v>389.55</v>
      </c>
      <c r="AM25" s="401">
        <f>IF('Lab test'!P18&gt;0,'Lab test'!P18,NA())</f>
        <v>0.93770799380131964</v>
      </c>
      <c r="AN25" s="401">
        <f>IF('Lab test'!AU18&gt;0,'Lab test'!AU18,NA())</f>
        <v>1.2324013605442177</v>
      </c>
      <c r="AO25" s="401">
        <f>IF('Lab test'!AT18&gt;0,'Lab test'!AT18,NA())</f>
        <v>0.10332983595783488</v>
      </c>
      <c r="AP25">
        <f t="shared" si="34"/>
        <v>1</v>
      </c>
      <c r="AQ25" s="401">
        <f>'Lab test'!AZ18</f>
        <v>1965</v>
      </c>
      <c r="AR25" t="str">
        <f>'Lab test'!AC18</f>
        <v>Machined</v>
      </c>
      <c r="AS25" t="str">
        <f>'Lab test'!T18</f>
        <v>Aluminium</v>
      </c>
      <c r="AV25" s="7"/>
      <c r="AW25" s="321"/>
      <c r="AX25" t="e">
        <f t="shared" si="12"/>
        <v>#N/A</v>
      </c>
      <c r="AY25" t="e">
        <f t="shared" si="13"/>
        <v>#N/A</v>
      </c>
      <c r="AZ25" t="e">
        <f t="shared" si="6"/>
        <v>#N/A</v>
      </c>
      <c r="BA25" t="e">
        <f t="shared" si="6"/>
        <v>#N/A</v>
      </c>
      <c r="BB25" t="e">
        <f t="shared" si="6"/>
        <v>#N/A</v>
      </c>
      <c r="BC25" t="e">
        <f t="shared" si="6"/>
        <v>#N/A</v>
      </c>
      <c r="BD25" t="e">
        <f t="shared" si="6"/>
        <v>#N/A</v>
      </c>
      <c r="BG25" t="e">
        <f t="shared" si="14"/>
        <v>#N/A</v>
      </c>
      <c r="BH25" t="e">
        <f t="shared" si="15"/>
        <v>#N/A</v>
      </c>
      <c r="BI25" t="e">
        <f t="shared" si="7"/>
        <v>#N/A</v>
      </c>
      <c r="BJ25" t="e">
        <f t="shared" si="7"/>
        <v>#N/A</v>
      </c>
      <c r="BK25" t="e">
        <f t="shared" si="7"/>
        <v>#N/A</v>
      </c>
      <c r="BL25" t="e">
        <f t="shared" si="7"/>
        <v>#N/A</v>
      </c>
      <c r="BM25" t="e">
        <f t="shared" si="7"/>
        <v>#N/A</v>
      </c>
      <c r="BP25" t="e">
        <f t="shared" si="16"/>
        <v>#N/A</v>
      </c>
      <c r="BQ25" t="e">
        <f t="shared" si="17"/>
        <v>#N/A</v>
      </c>
      <c r="BR25" t="e">
        <f t="shared" si="8"/>
        <v>#N/A</v>
      </c>
      <c r="BS25" t="e">
        <f t="shared" si="8"/>
        <v>#N/A</v>
      </c>
      <c r="BT25" t="e">
        <f t="shared" si="8"/>
        <v>#N/A</v>
      </c>
      <c r="BU25" t="e">
        <f t="shared" si="8"/>
        <v>#N/A</v>
      </c>
      <c r="BV25" t="e">
        <f t="shared" si="8"/>
        <v>#N/A</v>
      </c>
      <c r="BY25" t="e">
        <f t="shared" si="18"/>
        <v>#N/A</v>
      </c>
      <c r="BZ25">
        <v>205000</v>
      </c>
      <c r="CA25" cm="1">
        <f t="array" ref="CA25">IF(ISNUMBER(BZ25),AF25/COUNT(IF(ISNUMBER(_xlfn.ANCHORARRAY($BZ$11)),_xlfn.ANCHORARRAY($BZ$11))),NA())</f>
        <v>0.19230769230769232</v>
      </c>
      <c r="CB25" t="e">
        <f t="shared" si="19"/>
        <v>#N/A</v>
      </c>
      <c r="CD25" t="e">
        <f t="shared" si="20"/>
        <v>#N/A</v>
      </c>
      <c r="CE25">
        <f t="shared" si="21"/>
        <v>205000</v>
      </c>
      <c r="CG25" t="e">
        <v>#N/A</v>
      </c>
      <c r="CH25">
        <v>188000</v>
      </c>
      <c r="CL25" t="e">
        <f t="shared" si="23"/>
        <v>#N/A</v>
      </c>
      <c r="CM25">
        <v>70326.52</v>
      </c>
      <c r="CN25" cm="1">
        <f t="array" ref="CN25">IF(ISNUMBER(CM25),AF25/COUNT(IF(ISNUMBER(_xlfn.ANCHORARRAY($CM$11)),_xlfn.ANCHORARRAY($CM$11))),NA())</f>
        <v>0.27272727272727271</v>
      </c>
      <c r="CO25" t="e">
        <f t="shared" si="24"/>
        <v>#N/A</v>
      </c>
      <c r="CQ25" t="e">
        <f t="shared" si="25"/>
        <v>#N/A</v>
      </c>
      <c r="CR25">
        <f t="shared" si="26"/>
        <v>70326.52</v>
      </c>
      <c r="CT25" t="e">
        <v>#N/A</v>
      </c>
      <c r="CU25">
        <v>70050.734098590561</v>
      </c>
      <c r="CY25" t="e">
        <f t="shared" si="28"/>
        <v>#N/A</v>
      </c>
      <c r="CZ25">
        <v>108247.68949999999</v>
      </c>
      <c r="DA25" cm="1">
        <f t="array" ref="DA25">IF(ISNUMBER(CZ25),AF25/COUNT(IF(ISNUMBER(_xlfn.ANCHORARRAY($CZ$11)),_xlfn.ANCHORARRAY($CZ$11))),NA())</f>
        <v>0.5</v>
      </c>
      <c r="DB25" t="e">
        <f t="shared" si="29"/>
        <v>#N/A</v>
      </c>
      <c r="DD25" t="e">
        <f t="shared" si="30"/>
        <v>#N/A</v>
      </c>
      <c r="DE25">
        <f t="shared" si="31"/>
        <v>108247.68949999999</v>
      </c>
      <c r="DG25" t="e">
        <v>#N/A</v>
      </c>
      <c r="DH25">
        <v>108247.68949999999</v>
      </c>
    </row>
    <row r="26" spans="32:112">
      <c r="AF26">
        <v>16</v>
      </c>
      <c r="AG26" s="401">
        <f>'Lab test'!N19</f>
        <v>35.575189999999999</v>
      </c>
      <c r="AH26" s="401">
        <f>'Lab test'!M19</f>
        <v>2.5374599999999998</v>
      </c>
      <c r="AI26">
        <f>IF('Lab test'!O19&gt;0,'Lab test'!O19,NA())</f>
        <v>50.8</v>
      </c>
      <c r="AJ26">
        <f>'Lab test'!Q19</f>
        <v>14.02</v>
      </c>
      <c r="AK26" s="401">
        <f>IF('Lab test'!V19&gt;0,'Lab test'!V19,NA())</f>
        <v>74463.38</v>
      </c>
      <c r="AL26" s="7">
        <f>IF(MAX('Lab test'!W19,'Lab test'!X19)&gt;0,MAX('Lab test'!W19,'Lab test'!X19),NA())</f>
        <v>389.55</v>
      </c>
      <c r="AM26" s="401">
        <f>IF('Lab test'!P19&gt;0,'Lab test'!P19,NA())</f>
        <v>0.38136643963529959</v>
      </c>
      <c r="AN26" s="401">
        <f>IF('Lab test'!AU19&gt;0,'Lab test'!AU19,NA())</f>
        <v>1.1347012963676038</v>
      </c>
      <c r="AO26" s="401">
        <f>IF('Lab test'!AT19&gt;0,'Lab test'!AT19,NA())</f>
        <v>0.13750907512604812</v>
      </c>
      <c r="AP26">
        <f t="shared" si="34"/>
        <v>1</v>
      </c>
      <c r="AQ26" s="401">
        <f>'Lab test'!AZ19</f>
        <v>1965</v>
      </c>
      <c r="AR26" t="str">
        <f>'Lab test'!AC19</f>
        <v>Machined</v>
      </c>
      <c r="AS26" t="str">
        <f>'Lab test'!T19</f>
        <v>Aluminium</v>
      </c>
      <c r="AV26" s="7"/>
      <c r="AW26" s="321"/>
      <c r="AX26" t="e">
        <f t="shared" si="12"/>
        <v>#N/A</v>
      </c>
      <c r="AY26" t="e">
        <f t="shared" si="13"/>
        <v>#N/A</v>
      </c>
      <c r="AZ26" t="e">
        <f t="shared" si="6"/>
        <v>#N/A</v>
      </c>
      <c r="BA26" t="e">
        <f t="shared" si="6"/>
        <v>#N/A</v>
      </c>
      <c r="BB26" t="e">
        <f t="shared" si="6"/>
        <v>#N/A</v>
      </c>
      <c r="BC26" t="e">
        <f t="shared" si="6"/>
        <v>#N/A</v>
      </c>
      <c r="BD26" t="e">
        <f t="shared" si="6"/>
        <v>#N/A</v>
      </c>
      <c r="BG26" t="e">
        <f t="shared" si="14"/>
        <v>#N/A</v>
      </c>
      <c r="BH26" t="e">
        <f t="shared" si="15"/>
        <v>#N/A</v>
      </c>
      <c r="BI26" t="e">
        <f t="shared" si="7"/>
        <v>#N/A</v>
      </c>
      <c r="BJ26" t="e">
        <f t="shared" si="7"/>
        <v>#N/A</v>
      </c>
      <c r="BK26" t="e">
        <f t="shared" si="7"/>
        <v>#N/A</v>
      </c>
      <c r="BL26" t="e">
        <f t="shared" si="7"/>
        <v>#N/A</v>
      </c>
      <c r="BM26" t="e">
        <f t="shared" si="7"/>
        <v>#N/A</v>
      </c>
      <c r="BP26" t="e">
        <f t="shared" si="16"/>
        <v>#N/A</v>
      </c>
      <c r="BQ26" t="e">
        <f t="shared" si="17"/>
        <v>#N/A</v>
      </c>
      <c r="BR26" t="e">
        <f t="shared" si="8"/>
        <v>#N/A</v>
      </c>
      <c r="BS26" t="e">
        <f t="shared" si="8"/>
        <v>#N/A</v>
      </c>
      <c r="BT26" t="e">
        <f t="shared" si="8"/>
        <v>#N/A</v>
      </c>
      <c r="BU26" t="e">
        <f t="shared" si="8"/>
        <v>#N/A</v>
      </c>
      <c r="BV26" t="e">
        <f t="shared" si="8"/>
        <v>#N/A</v>
      </c>
      <c r="BY26" t="e">
        <f t="shared" si="18"/>
        <v>#N/A</v>
      </c>
      <c r="BZ26">
        <v>205000</v>
      </c>
      <c r="CA26" cm="1">
        <f t="array" ref="CA26">IF(ISNUMBER(BZ26),AF26/COUNT(IF(ISNUMBER(_xlfn.ANCHORARRAY($BZ$11)),_xlfn.ANCHORARRAY($BZ$11))),NA())</f>
        <v>0.20512820512820512</v>
      </c>
      <c r="CB26" t="e">
        <f t="shared" si="19"/>
        <v>#N/A</v>
      </c>
      <c r="CD26" t="e">
        <f t="shared" si="20"/>
        <v>#N/A</v>
      </c>
      <c r="CE26">
        <f t="shared" si="21"/>
        <v>205000</v>
      </c>
      <c r="CG26" t="e">
        <v>#N/A</v>
      </c>
      <c r="CH26">
        <v>204084.81587778352</v>
      </c>
      <c r="CL26" t="e">
        <f t="shared" si="23"/>
        <v>#N/A</v>
      </c>
      <c r="CM26">
        <v>70326.52</v>
      </c>
      <c r="CN26" cm="1">
        <f t="array" ref="CN26">IF(ISNUMBER(CM26),AF26/COUNT(IF(ISNUMBER(_xlfn.ANCHORARRAY($CM$11)),_xlfn.ANCHORARRAY($CM$11))),NA())</f>
        <v>0.29090909090909089</v>
      </c>
      <c r="CO26" t="e">
        <f t="shared" si="24"/>
        <v>#N/A</v>
      </c>
      <c r="CQ26" t="e">
        <f t="shared" si="25"/>
        <v>#N/A</v>
      </c>
      <c r="CR26">
        <f t="shared" si="26"/>
        <v>70326.52</v>
      </c>
      <c r="CT26" t="e">
        <v>#N/A</v>
      </c>
      <c r="CU26">
        <v>70050.734098590561</v>
      </c>
      <c r="CY26" t="e">
        <f t="shared" si="28"/>
        <v>#N/A</v>
      </c>
      <c r="CZ26">
        <v>108247.68949999999</v>
      </c>
      <c r="DA26" cm="1">
        <f t="array" ref="DA26">IF(ISNUMBER(CZ26),AF26/COUNT(IF(ISNUMBER(_xlfn.ANCHORARRAY($CZ$11)),_xlfn.ANCHORARRAY($CZ$11))),NA())</f>
        <v>0.53333333333333333</v>
      </c>
      <c r="DB26" t="e">
        <f t="shared" si="29"/>
        <v>#N/A</v>
      </c>
      <c r="DD26" t="e">
        <f t="shared" si="30"/>
        <v>#N/A</v>
      </c>
      <c r="DE26">
        <f t="shared" si="31"/>
        <v>108247.68949999999</v>
      </c>
      <c r="DG26" t="e">
        <v>#N/A</v>
      </c>
      <c r="DH26">
        <v>108247.68949999999</v>
      </c>
    </row>
    <row r="27" spans="32:112">
      <c r="AF27">
        <v>17</v>
      </c>
      <c r="AG27" s="401">
        <f>'Lab test'!N20</f>
        <v>35.194569999999999</v>
      </c>
      <c r="AH27" s="401">
        <f>'Lab test'!M20</f>
        <v>1.78562</v>
      </c>
      <c r="AI27">
        <f>IF('Lab test'!O20&gt;0,'Lab test'!O20,NA())</f>
        <v>25.4</v>
      </c>
      <c r="AJ27">
        <f>'Lab test'!Q20</f>
        <v>19.71</v>
      </c>
      <c r="AK27" s="401">
        <f>IF('Lab test'!V20&gt;0,'Lab test'!V20,NA())</f>
        <v>74463.38</v>
      </c>
      <c r="AL27" s="7">
        <f>IF(MAX('Lab test'!W20,'Lab test'!X20)&gt;0,MAX('Lab test'!W20,'Lab test'!X20),NA())</f>
        <v>389.55</v>
      </c>
      <c r="AM27" s="401">
        <f>IF('Lab test'!P20&gt;0,'Lab test'!P20,NA())</f>
        <v>0.16256039364514716</v>
      </c>
      <c r="AN27" s="401">
        <f>IF('Lab test'!AU20&gt;0,'Lab test'!AU20,NA())</f>
        <v>1.0899220895905533</v>
      </c>
      <c r="AO27" s="401">
        <f>IF('Lab test'!AT20&gt;0,'Lab test'!AT20,NA())</f>
        <v>0.1856880104494715</v>
      </c>
      <c r="AP27">
        <f t="shared" si="34"/>
        <v>1</v>
      </c>
      <c r="AQ27" s="401">
        <f>'Lab test'!AZ20</f>
        <v>1965</v>
      </c>
      <c r="AR27" t="str">
        <f>'Lab test'!AC20</f>
        <v>Machined</v>
      </c>
      <c r="AS27" t="str">
        <f>'Lab test'!T20</f>
        <v>Aluminium</v>
      </c>
      <c r="AV27" s="7"/>
      <c r="AW27" s="321"/>
      <c r="AX27" t="e">
        <f t="shared" si="12"/>
        <v>#N/A</v>
      </c>
      <c r="AY27" t="e">
        <f t="shared" si="13"/>
        <v>#N/A</v>
      </c>
      <c r="AZ27" t="e">
        <f t="shared" si="13"/>
        <v>#N/A</v>
      </c>
      <c r="BA27" t="e">
        <f t="shared" si="13"/>
        <v>#N/A</v>
      </c>
      <c r="BB27" t="e">
        <f t="shared" si="13"/>
        <v>#N/A</v>
      </c>
      <c r="BC27" t="e">
        <f t="shared" si="13"/>
        <v>#N/A</v>
      </c>
      <c r="BD27" t="e">
        <f t="shared" si="13"/>
        <v>#N/A</v>
      </c>
      <c r="BG27" t="e">
        <f t="shared" si="14"/>
        <v>#N/A</v>
      </c>
      <c r="BH27" t="e">
        <f t="shared" si="15"/>
        <v>#N/A</v>
      </c>
      <c r="BI27" t="e">
        <f t="shared" si="15"/>
        <v>#N/A</v>
      </c>
      <c r="BJ27" t="e">
        <f t="shared" si="15"/>
        <v>#N/A</v>
      </c>
      <c r="BK27" t="e">
        <f t="shared" si="15"/>
        <v>#N/A</v>
      </c>
      <c r="BL27" t="e">
        <f t="shared" si="15"/>
        <v>#N/A</v>
      </c>
      <c r="BM27" t="e">
        <f t="shared" si="15"/>
        <v>#N/A</v>
      </c>
      <c r="BP27" t="e">
        <f t="shared" si="16"/>
        <v>#N/A</v>
      </c>
      <c r="BQ27" t="e">
        <f t="shared" si="17"/>
        <v>#N/A</v>
      </c>
      <c r="BR27" t="e">
        <f t="shared" si="17"/>
        <v>#N/A</v>
      </c>
      <c r="BS27" t="e">
        <f t="shared" si="17"/>
        <v>#N/A</v>
      </c>
      <c r="BT27" t="e">
        <f t="shared" si="17"/>
        <v>#N/A</v>
      </c>
      <c r="BU27" t="e">
        <f t="shared" si="17"/>
        <v>#N/A</v>
      </c>
      <c r="BV27" t="e">
        <f t="shared" si="17"/>
        <v>#N/A</v>
      </c>
      <c r="BY27" t="e">
        <f t="shared" si="18"/>
        <v>#N/A</v>
      </c>
      <c r="BZ27">
        <v>205000</v>
      </c>
      <c r="CA27" cm="1">
        <f t="array" ref="CA27">IF(ISNUMBER(BZ27),AF27/COUNT(IF(ISNUMBER(_xlfn.ANCHORARRAY($BZ$11)),_xlfn.ANCHORARRAY($BZ$11))),NA())</f>
        <v>0.21794871794871795</v>
      </c>
      <c r="CB27" t="e">
        <f t="shared" si="19"/>
        <v>#N/A</v>
      </c>
      <c r="CD27" t="e">
        <f t="shared" si="20"/>
        <v>#N/A</v>
      </c>
      <c r="CE27">
        <f t="shared" si="21"/>
        <v>205000</v>
      </c>
      <c r="CG27" t="e">
        <v>#N/A</v>
      </c>
      <c r="CH27">
        <v>204084.81587778352</v>
      </c>
      <c r="CL27" t="e">
        <f t="shared" si="23"/>
        <v>#N/A</v>
      </c>
      <c r="CM27">
        <v>70326.52</v>
      </c>
      <c r="CN27" cm="1">
        <f t="array" ref="CN27">IF(ISNUMBER(CM27),AF27/COUNT(IF(ISNUMBER(_xlfn.ANCHORARRAY($CM$11)),_xlfn.ANCHORARRAY($CM$11))),NA())</f>
        <v>0.30909090909090908</v>
      </c>
      <c r="CO27">
        <f t="shared" si="24"/>
        <v>0.30909090909090908</v>
      </c>
      <c r="CQ27">
        <f t="shared" si="25"/>
        <v>0.30909090909090908</v>
      </c>
      <c r="CR27">
        <f t="shared" si="26"/>
        <v>70326.52</v>
      </c>
      <c r="CT27" t="e">
        <v>#N/A</v>
      </c>
      <c r="CU27">
        <v>70050.734098590561</v>
      </c>
      <c r="CY27" t="e">
        <f t="shared" si="28"/>
        <v>#N/A</v>
      </c>
      <c r="CZ27">
        <v>108247.68949999999</v>
      </c>
      <c r="DA27" cm="1">
        <f t="array" ref="DA27">IF(ISNUMBER(CZ27),AF27/COUNT(IF(ISNUMBER(_xlfn.ANCHORARRAY($CZ$11)),_xlfn.ANCHORARRAY($CZ$11))),NA())</f>
        <v>0.56666666666666665</v>
      </c>
      <c r="DB27">
        <f t="shared" si="29"/>
        <v>0.56666666666666665</v>
      </c>
      <c r="DD27">
        <f t="shared" si="30"/>
        <v>0.56666666666666665</v>
      </c>
      <c r="DE27">
        <f t="shared" si="31"/>
        <v>108247.68949999999</v>
      </c>
      <c r="DG27" t="e">
        <v>#N/A</v>
      </c>
      <c r="DH27">
        <v>108247.68949999999</v>
      </c>
    </row>
    <row r="28" spans="32:112">
      <c r="AF28">
        <v>18</v>
      </c>
      <c r="AG28" s="401">
        <f>'Lab test'!N21</f>
        <v>34.734859999999998</v>
      </c>
      <c r="AH28" s="401">
        <f>'Lab test'!M21</f>
        <v>0.77724000000000004</v>
      </c>
      <c r="AI28">
        <f>IF('Lab test'!O21&gt;0,'Lab test'!O21,NA())</f>
        <v>50.8</v>
      </c>
      <c r="AJ28">
        <f>'Lab test'!Q21</f>
        <v>44.69</v>
      </c>
      <c r="AK28" s="401">
        <f>IF('Lab test'!V21&gt;0,'Lab test'!V21,NA())</f>
        <v>74463.38</v>
      </c>
      <c r="AL28" s="7">
        <f>IF(MAX('Lab test'!W21,'Lab test'!X21)&gt;0,MAX('Lab test'!W21,'Lab test'!X21),NA())</f>
        <v>389.55</v>
      </c>
      <c r="AM28" s="401">
        <f>IF('Lab test'!P21&gt;0,'Lab test'!P21,NA())</f>
        <v>0.21877261333421341</v>
      </c>
      <c r="AN28" s="401">
        <f>IF('Lab test'!AU21&gt;0,'Lab test'!AU21,NA())</f>
        <v>0.98213343601591574</v>
      </c>
      <c r="AO28" s="401">
        <f>IF('Lab test'!AT21&gt;0,'Lab test'!AT21,NA())</f>
        <v>0.37938721618464943</v>
      </c>
      <c r="AP28">
        <f t="shared" si="34"/>
        <v>1</v>
      </c>
      <c r="AQ28" s="401">
        <f>'Lab test'!AZ21</f>
        <v>1965</v>
      </c>
      <c r="AR28" t="str">
        <f>'Lab test'!AC21</f>
        <v>Machined</v>
      </c>
      <c r="AS28" t="str">
        <f>'Lab test'!T21</f>
        <v>Aluminium</v>
      </c>
      <c r="AV28" s="7"/>
      <c r="AW28" s="321"/>
      <c r="AX28" t="e">
        <f t="shared" si="12"/>
        <v>#N/A</v>
      </c>
      <c r="AY28" t="e">
        <f t="shared" si="13"/>
        <v>#N/A</v>
      </c>
      <c r="AZ28" t="e">
        <f t="shared" si="13"/>
        <v>#N/A</v>
      </c>
      <c r="BA28" t="e">
        <f t="shared" si="13"/>
        <v>#N/A</v>
      </c>
      <c r="BB28" t="e">
        <f t="shared" si="13"/>
        <v>#N/A</v>
      </c>
      <c r="BC28" t="e">
        <f t="shared" si="13"/>
        <v>#N/A</v>
      </c>
      <c r="BD28" t="e">
        <f t="shared" si="13"/>
        <v>#N/A</v>
      </c>
      <c r="BG28" t="e">
        <f t="shared" si="14"/>
        <v>#N/A</v>
      </c>
      <c r="BH28" t="e">
        <f t="shared" si="15"/>
        <v>#N/A</v>
      </c>
      <c r="BI28" t="e">
        <f t="shared" si="15"/>
        <v>#N/A</v>
      </c>
      <c r="BJ28" t="e">
        <f t="shared" si="15"/>
        <v>#N/A</v>
      </c>
      <c r="BK28" t="e">
        <f t="shared" si="15"/>
        <v>#N/A</v>
      </c>
      <c r="BL28" t="e">
        <f t="shared" si="15"/>
        <v>#N/A</v>
      </c>
      <c r="BM28" t="e">
        <f t="shared" si="15"/>
        <v>#N/A</v>
      </c>
      <c r="BP28" t="e">
        <f t="shared" si="16"/>
        <v>#N/A</v>
      </c>
      <c r="BQ28" t="e">
        <f t="shared" si="17"/>
        <v>#N/A</v>
      </c>
      <c r="BR28" t="e">
        <f t="shared" si="17"/>
        <v>#N/A</v>
      </c>
      <c r="BS28" t="e">
        <f t="shared" si="17"/>
        <v>#N/A</v>
      </c>
      <c r="BT28" t="e">
        <f t="shared" si="17"/>
        <v>#N/A</v>
      </c>
      <c r="BU28" t="e">
        <f t="shared" si="17"/>
        <v>#N/A</v>
      </c>
      <c r="BV28" t="e">
        <f t="shared" si="17"/>
        <v>#N/A</v>
      </c>
      <c r="BY28" t="e">
        <f t="shared" si="18"/>
        <v>#N/A</v>
      </c>
      <c r="BZ28">
        <v>205000</v>
      </c>
      <c r="CA28" cm="1">
        <f t="array" ref="CA28">IF(ISNUMBER(BZ28),AF28/COUNT(IF(ISNUMBER(_xlfn.ANCHORARRAY($BZ$11)),_xlfn.ANCHORARRAY($BZ$11))),NA())</f>
        <v>0.23076923076923078</v>
      </c>
      <c r="CB28" t="e">
        <f t="shared" si="19"/>
        <v>#N/A</v>
      </c>
      <c r="CD28" t="e">
        <f t="shared" si="20"/>
        <v>#N/A</v>
      </c>
      <c r="CE28">
        <f t="shared" si="21"/>
        <v>205000</v>
      </c>
      <c r="CG28" t="e">
        <v>#N/A</v>
      </c>
      <c r="CH28">
        <v>204084.81587778352</v>
      </c>
      <c r="CL28" t="e">
        <f t="shared" si="23"/>
        <v>#N/A</v>
      </c>
      <c r="CM28">
        <v>70671.259999999995</v>
      </c>
      <c r="CN28" cm="1">
        <f t="array" ref="CN28">IF(ISNUMBER(CM28),AF28/COUNT(IF(ISNUMBER(_xlfn.ANCHORARRAY($CM$11)),_xlfn.ANCHORARRAY($CM$11))),NA())</f>
        <v>0.32727272727272727</v>
      </c>
      <c r="CO28" t="e">
        <f t="shared" si="24"/>
        <v>#N/A</v>
      </c>
      <c r="CQ28" t="e">
        <f t="shared" si="25"/>
        <v>#N/A</v>
      </c>
      <c r="CR28">
        <f t="shared" si="26"/>
        <v>70671.259999999995</v>
      </c>
      <c r="CT28" t="e">
        <v>#N/A</v>
      </c>
      <c r="CU28">
        <v>70050.734098590561</v>
      </c>
      <c r="CY28" t="e">
        <f t="shared" si="28"/>
        <v>#N/A</v>
      </c>
      <c r="CZ28">
        <v>112384.54388</v>
      </c>
      <c r="DA28" cm="1">
        <f t="array" ref="DA28">IF(ISNUMBER(CZ28),AF28/COUNT(IF(ISNUMBER(_xlfn.ANCHORARRAY($CZ$11)),_xlfn.ANCHORARRAY($CZ$11))),NA())</f>
        <v>0.6</v>
      </c>
      <c r="DB28" t="e">
        <f t="shared" si="29"/>
        <v>#N/A</v>
      </c>
      <c r="DD28" t="e">
        <f t="shared" si="30"/>
        <v>#N/A</v>
      </c>
      <c r="DE28">
        <f t="shared" si="31"/>
        <v>112384.54388</v>
      </c>
      <c r="DG28" t="e">
        <v>#N/A</v>
      </c>
      <c r="DH28">
        <v>108247.68949999999</v>
      </c>
    </row>
    <row r="29" spans="32:112">
      <c r="AF29">
        <v>19</v>
      </c>
      <c r="AG29" s="401">
        <f>'Lab test'!N22</f>
        <v>34.598149999999997</v>
      </c>
      <c r="AH29" s="401">
        <f>'Lab test'!M22</f>
        <v>0.61214000000000002</v>
      </c>
      <c r="AI29">
        <f>IF('Lab test'!O22&gt;0,'Lab test'!O22,NA())</f>
        <v>25.4</v>
      </c>
      <c r="AJ29">
        <f>'Lab test'!Q22</f>
        <v>56.52</v>
      </c>
      <c r="AK29" s="401">
        <f>IF('Lab test'!V22&gt;0,'Lab test'!V22,NA())</f>
        <v>74463.38</v>
      </c>
      <c r="AL29" s="7">
        <f>IF(MAX('Lab test'!W22,'Lab test'!X22)&gt;0,MAX('Lab test'!W22,'Lab test'!X22),NA())</f>
        <v>389.55</v>
      </c>
      <c r="AM29" s="401">
        <f>IF('Lab test'!P22&gt;0,'Lab test'!P22,NA())</f>
        <v>9.7651693735800807E-2</v>
      </c>
      <c r="AN29" s="401">
        <f>IF('Lab test'!AU22&gt;0,'Lab test'!AU22,NA())</f>
        <v>0.90938937235271466</v>
      </c>
      <c r="AO29" s="401">
        <f>IF('Lab test'!AT22&gt;0,'Lab test'!AT22,NA())</f>
        <v>0.44427694734093015</v>
      </c>
      <c r="AP29">
        <f t="shared" si="34"/>
        <v>1</v>
      </c>
      <c r="AQ29" s="401">
        <f>'Lab test'!AZ22</f>
        <v>1965</v>
      </c>
      <c r="AR29" t="str">
        <f>'Lab test'!AC22</f>
        <v>Machined</v>
      </c>
      <c r="AS29" t="str">
        <f>'Lab test'!T22</f>
        <v>Aluminium</v>
      </c>
      <c r="AV29" s="7"/>
      <c r="AW29" s="321"/>
      <c r="AX29" t="e">
        <f t="shared" si="12"/>
        <v>#N/A</v>
      </c>
      <c r="AY29" t="e">
        <f t="shared" si="13"/>
        <v>#N/A</v>
      </c>
      <c r="AZ29" t="e">
        <f t="shared" si="13"/>
        <v>#N/A</v>
      </c>
      <c r="BA29" t="e">
        <f t="shared" si="13"/>
        <v>#N/A</v>
      </c>
      <c r="BB29" t="e">
        <f t="shared" si="13"/>
        <v>#N/A</v>
      </c>
      <c r="BC29" t="e">
        <f t="shared" si="13"/>
        <v>#N/A</v>
      </c>
      <c r="BD29" t="e">
        <f t="shared" si="13"/>
        <v>#N/A</v>
      </c>
      <c r="BG29" t="e">
        <f t="shared" si="14"/>
        <v>#N/A</v>
      </c>
      <c r="BH29" t="e">
        <f t="shared" si="15"/>
        <v>#N/A</v>
      </c>
      <c r="BI29" t="e">
        <f t="shared" si="15"/>
        <v>#N/A</v>
      </c>
      <c r="BJ29" t="e">
        <f t="shared" si="15"/>
        <v>#N/A</v>
      </c>
      <c r="BK29" t="e">
        <f t="shared" si="15"/>
        <v>#N/A</v>
      </c>
      <c r="BL29" t="e">
        <f t="shared" si="15"/>
        <v>#N/A</v>
      </c>
      <c r="BM29" t="e">
        <f t="shared" si="15"/>
        <v>#N/A</v>
      </c>
      <c r="BP29" t="e">
        <f t="shared" si="16"/>
        <v>#N/A</v>
      </c>
      <c r="BQ29" t="e">
        <f t="shared" si="17"/>
        <v>#N/A</v>
      </c>
      <c r="BR29" t="e">
        <f t="shared" si="17"/>
        <v>#N/A</v>
      </c>
      <c r="BS29" t="e">
        <f t="shared" si="17"/>
        <v>#N/A</v>
      </c>
      <c r="BT29" t="e">
        <f t="shared" si="17"/>
        <v>#N/A</v>
      </c>
      <c r="BU29" t="e">
        <f t="shared" si="17"/>
        <v>#N/A</v>
      </c>
      <c r="BV29" t="e">
        <f t="shared" si="17"/>
        <v>#N/A</v>
      </c>
      <c r="BY29" t="e">
        <f t="shared" si="18"/>
        <v>#N/A</v>
      </c>
      <c r="BZ29">
        <v>205000</v>
      </c>
      <c r="CA29" cm="1">
        <f t="array" ref="CA29">IF(ISNUMBER(BZ29),AF29/COUNT(IF(ISNUMBER(_xlfn.ANCHORARRAY($BZ$11)),_xlfn.ANCHORARRAY($BZ$11))),NA())</f>
        <v>0.24358974358974358</v>
      </c>
      <c r="CB29" t="e">
        <f t="shared" si="19"/>
        <v>#N/A</v>
      </c>
      <c r="CD29" t="e">
        <f t="shared" si="20"/>
        <v>#N/A</v>
      </c>
      <c r="CE29">
        <f t="shared" si="21"/>
        <v>205000</v>
      </c>
      <c r="CG29" t="e">
        <v>#N/A</v>
      </c>
      <c r="CH29">
        <v>205000</v>
      </c>
      <c r="CL29" t="e">
        <f t="shared" si="23"/>
        <v>#N/A</v>
      </c>
      <c r="CM29">
        <v>70671.259999999995</v>
      </c>
      <c r="CN29" cm="1">
        <f t="array" ref="CN29">IF(ISNUMBER(CM29),AF29/COUNT(IF(ISNUMBER(_xlfn.ANCHORARRAY($CM$11)),_xlfn.ANCHORARRAY($CM$11))),NA())</f>
        <v>0.34545454545454546</v>
      </c>
      <c r="CO29" t="e">
        <f t="shared" si="24"/>
        <v>#N/A</v>
      </c>
      <c r="CQ29" t="e">
        <f t="shared" si="25"/>
        <v>#N/A</v>
      </c>
      <c r="CR29">
        <f t="shared" si="26"/>
        <v>70671.259999999995</v>
      </c>
      <c r="CT29" t="e">
        <v>#N/A</v>
      </c>
      <c r="CU29">
        <v>70326.52</v>
      </c>
      <c r="CY29" t="e">
        <f t="shared" si="28"/>
        <v>#N/A</v>
      </c>
      <c r="CZ29">
        <v>112384.54388</v>
      </c>
      <c r="DA29" cm="1">
        <f t="array" ref="DA29">IF(ISNUMBER(CZ29),AF29/COUNT(IF(ISNUMBER(_xlfn.ANCHORARRAY($CZ$11)),_xlfn.ANCHORARRAY($CZ$11))),NA())</f>
        <v>0.6333333333333333</v>
      </c>
      <c r="DB29" t="e">
        <f t="shared" si="29"/>
        <v>#N/A</v>
      </c>
      <c r="DD29" t="e">
        <f t="shared" si="30"/>
        <v>#N/A</v>
      </c>
      <c r="DE29">
        <f t="shared" si="31"/>
        <v>112384.54388</v>
      </c>
      <c r="DG29" t="e">
        <v>#N/A</v>
      </c>
      <c r="DH29">
        <v>108247.68949999999</v>
      </c>
    </row>
    <row r="30" spans="32:112">
      <c r="AF30">
        <v>20</v>
      </c>
      <c r="AG30" s="401">
        <f>'Lab test'!N23</f>
        <v>34.488529999999997</v>
      </c>
      <c r="AH30" s="401">
        <f>'Lab test'!M23</f>
        <v>0.38607999999999998</v>
      </c>
      <c r="AI30">
        <f>IF('Lab test'!O23&gt;0,'Lab test'!O23,NA())</f>
        <v>50.8</v>
      </c>
      <c r="AJ30">
        <f>'Lab test'!Q23</f>
        <v>89.33</v>
      </c>
      <c r="AK30" s="401">
        <f>IF('Lab test'!V23&gt;0,'Lab test'!V23,NA())</f>
        <v>74463.38</v>
      </c>
      <c r="AL30" s="7">
        <f>IF(MAX('Lab test'!W23,'Lab test'!X23)&gt;0,MAX('Lab test'!W23,'Lab test'!X23),NA())</f>
        <v>389.55</v>
      </c>
      <c r="AM30" s="401">
        <f>IF('Lab test'!P23&gt;0,'Lab test'!P23,NA())</f>
        <v>0.1558440904848622</v>
      </c>
      <c r="AN30" s="401">
        <f>IF('Lab test'!AU23&gt;0,'Lab test'!AU23,NA())</f>
        <v>0.777883660634065</v>
      </c>
      <c r="AO30" s="401">
        <f>IF('Lab test'!AT23&gt;0,'Lab test'!AT23,NA())</f>
        <v>0.60063939738644889</v>
      </c>
      <c r="AP30">
        <f t="shared" si="34"/>
        <v>1</v>
      </c>
      <c r="AQ30" s="401">
        <f>'Lab test'!AZ23</f>
        <v>1965</v>
      </c>
      <c r="AR30" t="str">
        <f>'Lab test'!AC23</f>
        <v>Machined</v>
      </c>
      <c r="AS30" t="str">
        <f>'Lab test'!T23</f>
        <v>Aluminium</v>
      </c>
      <c r="AV30" s="7"/>
      <c r="AW30" s="321"/>
      <c r="AX30" t="e">
        <f t="shared" si="12"/>
        <v>#N/A</v>
      </c>
      <c r="AY30" t="e">
        <f t="shared" si="13"/>
        <v>#N/A</v>
      </c>
      <c r="AZ30" t="e">
        <f t="shared" si="13"/>
        <v>#N/A</v>
      </c>
      <c r="BA30" t="e">
        <f t="shared" si="13"/>
        <v>#N/A</v>
      </c>
      <c r="BB30" t="e">
        <f t="shared" si="13"/>
        <v>#N/A</v>
      </c>
      <c r="BC30" t="e">
        <f t="shared" si="13"/>
        <v>#N/A</v>
      </c>
      <c r="BD30" t="e">
        <f t="shared" si="13"/>
        <v>#N/A</v>
      </c>
      <c r="BG30" t="e">
        <f t="shared" si="14"/>
        <v>#N/A</v>
      </c>
      <c r="BH30" t="e">
        <f t="shared" si="15"/>
        <v>#N/A</v>
      </c>
      <c r="BI30" t="e">
        <f t="shared" si="15"/>
        <v>#N/A</v>
      </c>
      <c r="BJ30" t="e">
        <f t="shared" si="15"/>
        <v>#N/A</v>
      </c>
      <c r="BK30" t="e">
        <f t="shared" si="15"/>
        <v>#N/A</v>
      </c>
      <c r="BL30" t="e">
        <f t="shared" si="15"/>
        <v>#N/A</v>
      </c>
      <c r="BM30" t="e">
        <f t="shared" si="15"/>
        <v>#N/A</v>
      </c>
      <c r="BP30" t="e">
        <f t="shared" si="16"/>
        <v>#N/A</v>
      </c>
      <c r="BQ30" t="e">
        <f t="shared" si="17"/>
        <v>#N/A</v>
      </c>
      <c r="BR30" t="e">
        <f t="shared" si="17"/>
        <v>#N/A</v>
      </c>
      <c r="BS30" t="e">
        <f t="shared" si="17"/>
        <v>#N/A</v>
      </c>
      <c r="BT30" t="e">
        <f t="shared" si="17"/>
        <v>#N/A</v>
      </c>
      <c r="BU30" t="e">
        <f t="shared" si="17"/>
        <v>#N/A</v>
      </c>
      <c r="BV30" t="e">
        <f t="shared" si="17"/>
        <v>#N/A</v>
      </c>
      <c r="BY30" t="e">
        <f t="shared" si="18"/>
        <v>#N/A</v>
      </c>
      <c r="BZ30">
        <v>205000</v>
      </c>
      <c r="CA30" cm="1">
        <f t="array" ref="CA30">IF(ISNUMBER(BZ30),AF30/COUNT(IF(ISNUMBER(_xlfn.ANCHORARRAY($BZ$11)),_xlfn.ANCHORARRAY($BZ$11))),NA())</f>
        <v>0.25641025641025639</v>
      </c>
      <c r="CB30" t="e">
        <f t="shared" si="19"/>
        <v>#N/A</v>
      </c>
      <c r="CD30" t="e">
        <f t="shared" si="20"/>
        <v>#N/A</v>
      </c>
      <c r="CE30">
        <f t="shared" si="21"/>
        <v>205000</v>
      </c>
      <c r="CG30" t="e">
        <v>#N/A</v>
      </c>
      <c r="CH30">
        <v>205000</v>
      </c>
      <c r="CL30" t="e">
        <f t="shared" si="23"/>
        <v>#N/A</v>
      </c>
      <c r="CM30">
        <v>70671.259999999995</v>
      </c>
      <c r="CN30" cm="1">
        <f t="array" ref="CN30">IF(ISNUMBER(CM30),AF30/COUNT(IF(ISNUMBER(_xlfn.ANCHORARRAY($CM$11)),_xlfn.ANCHORARRAY($CM$11))),NA())</f>
        <v>0.36363636363636365</v>
      </c>
      <c r="CO30" t="e">
        <f t="shared" si="24"/>
        <v>#N/A</v>
      </c>
      <c r="CQ30" t="e">
        <f t="shared" si="25"/>
        <v>#N/A</v>
      </c>
      <c r="CR30">
        <f t="shared" si="26"/>
        <v>70671.259999999995</v>
      </c>
      <c r="CT30" t="e">
        <v>#N/A</v>
      </c>
      <c r="CU30">
        <v>70326.52</v>
      </c>
      <c r="CY30" t="e">
        <f t="shared" si="28"/>
        <v>#N/A</v>
      </c>
      <c r="CZ30">
        <v>112384.54388</v>
      </c>
      <c r="DA30" cm="1">
        <f t="array" ref="DA30">IF(ISNUMBER(CZ30),AF30/COUNT(IF(ISNUMBER(_xlfn.ANCHORARRAY($CZ$11)),_xlfn.ANCHORARRAY($CZ$11))),NA())</f>
        <v>0.66666666666666663</v>
      </c>
      <c r="DB30" t="e">
        <f t="shared" si="29"/>
        <v>#N/A</v>
      </c>
      <c r="DD30" t="e">
        <f t="shared" si="30"/>
        <v>#N/A</v>
      </c>
      <c r="DE30">
        <f t="shared" si="31"/>
        <v>112384.54388</v>
      </c>
      <c r="DG30" t="e">
        <v>#N/A</v>
      </c>
      <c r="DH30">
        <v>112384.54388</v>
      </c>
    </row>
    <row r="31" spans="32:112">
      <c r="AF31">
        <v>21</v>
      </c>
      <c r="AG31" s="401">
        <f>'Lab test'!N24</f>
        <v>34.805720000000001</v>
      </c>
      <c r="AH31" s="401">
        <f>'Lab test'!M24</f>
        <v>3.56616</v>
      </c>
      <c r="AI31">
        <f>IF('Lab test'!O24&gt;0,'Lab test'!O24,NA())</f>
        <v>101.6</v>
      </c>
      <c r="AJ31">
        <f>'Lab test'!Q24</f>
        <v>9.76</v>
      </c>
      <c r="AK31" s="401">
        <f>IF('Lab test'!V24&gt;0,'Lab test'!V24,NA())</f>
        <v>74463.38</v>
      </c>
      <c r="AL31" s="7">
        <f>IF(MAX('Lab test'!W24,'Lab test'!X24)&gt;0,MAX('Lab test'!W24,'Lab test'!X24),NA())</f>
        <v>389.55</v>
      </c>
      <c r="AM31" s="401">
        <f>IF('Lab test'!P24&gt;0,'Lab test'!P24,NA())</f>
        <v>0.93436849605324479</v>
      </c>
      <c r="AN31" s="401">
        <f>IF('Lab test'!AU24&gt;0,'Lab test'!AU24,NA())</f>
        <v>1.2389500962649211</v>
      </c>
      <c r="AO31" s="401">
        <f>IF('Lab test'!AT24&gt;0,'Lab test'!AT24,NA())</f>
        <v>0.10452144329222224</v>
      </c>
      <c r="AP31">
        <f t="shared" si="34"/>
        <v>1</v>
      </c>
      <c r="AQ31" s="401">
        <f>'Lab test'!AZ24</f>
        <v>1965</v>
      </c>
      <c r="AR31" t="str">
        <f>'Lab test'!AC24</f>
        <v>Machined</v>
      </c>
      <c r="AS31" t="str">
        <f>'Lab test'!T24</f>
        <v>Aluminium</v>
      </c>
      <c r="AV31" s="7"/>
      <c r="AW31" s="321"/>
      <c r="AX31" t="e">
        <f t="shared" si="12"/>
        <v>#N/A</v>
      </c>
      <c r="AY31" t="e">
        <f t="shared" si="13"/>
        <v>#N/A</v>
      </c>
      <c r="AZ31" t="e">
        <f t="shared" si="13"/>
        <v>#N/A</v>
      </c>
      <c r="BA31" t="e">
        <f t="shared" si="13"/>
        <v>#N/A</v>
      </c>
      <c r="BB31" t="e">
        <f t="shared" si="13"/>
        <v>#N/A</v>
      </c>
      <c r="BC31" t="e">
        <f t="shared" si="13"/>
        <v>#N/A</v>
      </c>
      <c r="BD31" t="e">
        <f t="shared" si="13"/>
        <v>#N/A</v>
      </c>
      <c r="BG31" t="e">
        <f t="shared" si="14"/>
        <v>#N/A</v>
      </c>
      <c r="BH31" t="e">
        <f t="shared" si="15"/>
        <v>#N/A</v>
      </c>
      <c r="BI31" t="e">
        <f t="shared" si="15"/>
        <v>#N/A</v>
      </c>
      <c r="BJ31" t="e">
        <f t="shared" si="15"/>
        <v>#N/A</v>
      </c>
      <c r="BK31" t="e">
        <f t="shared" si="15"/>
        <v>#N/A</v>
      </c>
      <c r="BL31" t="e">
        <f t="shared" si="15"/>
        <v>#N/A</v>
      </c>
      <c r="BM31" t="e">
        <f t="shared" si="15"/>
        <v>#N/A</v>
      </c>
      <c r="BP31" t="e">
        <f t="shared" si="16"/>
        <v>#N/A</v>
      </c>
      <c r="BQ31" t="e">
        <f t="shared" si="17"/>
        <v>#N/A</v>
      </c>
      <c r="BR31" t="e">
        <f t="shared" si="17"/>
        <v>#N/A</v>
      </c>
      <c r="BS31" t="e">
        <f t="shared" si="17"/>
        <v>#N/A</v>
      </c>
      <c r="BT31" t="e">
        <f t="shared" si="17"/>
        <v>#N/A</v>
      </c>
      <c r="BU31" t="e">
        <f t="shared" si="17"/>
        <v>#N/A</v>
      </c>
      <c r="BV31" t="e">
        <f t="shared" si="17"/>
        <v>#N/A</v>
      </c>
      <c r="BY31" t="e">
        <f t="shared" si="18"/>
        <v>#N/A</v>
      </c>
      <c r="BZ31">
        <v>205000</v>
      </c>
      <c r="CA31" cm="1">
        <f t="array" ref="CA31">IF(ISNUMBER(BZ31),AF31/COUNT(IF(ISNUMBER(_xlfn.ANCHORARRAY($BZ$11)),_xlfn.ANCHORARRAY($BZ$11))),NA())</f>
        <v>0.26923076923076922</v>
      </c>
      <c r="CB31">
        <f t="shared" si="19"/>
        <v>0.26923076923076922</v>
      </c>
      <c r="CD31">
        <f t="shared" si="20"/>
        <v>0.26923076923076922</v>
      </c>
      <c r="CE31">
        <f t="shared" si="21"/>
        <v>205000</v>
      </c>
      <c r="CG31" t="e">
        <v>#N/A</v>
      </c>
      <c r="CH31">
        <v>205000</v>
      </c>
      <c r="CL31" t="e">
        <f t="shared" si="23"/>
        <v>#N/A</v>
      </c>
      <c r="CM31">
        <v>70671.259999999995</v>
      </c>
      <c r="CN31" cm="1">
        <f t="array" ref="CN31">IF(ISNUMBER(CM31),AF31/COUNT(IF(ISNUMBER(_xlfn.ANCHORARRAY($CM$11)),_xlfn.ANCHORARRAY($CM$11))),NA())</f>
        <v>0.38181818181818183</v>
      </c>
      <c r="CO31" t="e">
        <f t="shared" si="24"/>
        <v>#N/A</v>
      </c>
      <c r="CQ31" t="e">
        <f t="shared" si="25"/>
        <v>#N/A</v>
      </c>
      <c r="CR31">
        <f t="shared" si="26"/>
        <v>70671.259999999995</v>
      </c>
      <c r="CT31" t="e">
        <v>#N/A</v>
      </c>
      <c r="CU31">
        <v>70671.259999999995</v>
      </c>
      <c r="CY31" t="e">
        <f t="shared" si="28"/>
        <v>#N/A</v>
      </c>
      <c r="CZ31">
        <v>112384.54388</v>
      </c>
      <c r="DA31" cm="1">
        <f t="array" ref="DA31">IF(ISNUMBER(CZ31),AF31/COUNT(IF(ISNUMBER(_xlfn.ANCHORARRAY($CZ$11)),_xlfn.ANCHORARRAY($CZ$11))),NA())</f>
        <v>0.7</v>
      </c>
      <c r="DB31" t="e">
        <f t="shared" si="29"/>
        <v>#N/A</v>
      </c>
      <c r="DD31" t="e">
        <f t="shared" si="30"/>
        <v>#N/A</v>
      </c>
      <c r="DE31">
        <f t="shared" si="31"/>
        <v>112384.54388</v>
      </c>
      <c r="DG31" t="e">
        <v>#N/A</v>
      </c>
      <c r="DH31">
        <v>112384.54388</v>
      </c>
    </row>
    <row r="32" spans="32:112">
      <c r="AF32">
        <v>22</v>
      </c>
      <c r="AG32" s="401">
        <f>'Lab test'!N25</f>
        <v>34.780929999999998</v>
      </c>
      <c r="AH32" s="401">
        <f>'Lab test'!M25</f>
        <v>3.5636199999999998</v>
      </c>
      <c r="AI32">
        <f>IF('Lab test'!O25&gt;0,'Lab test'!O25,NA())</f>
        <v>38.1</v>
      </c>
      <c r="AJ32">
        <f>'Lab test'!Q25</f>
        <v>9.76</v>
      </c>
      <c r="AK32" s="401">
        <f>IF('Lab test'!V25&gt;0,'Lab test'!V25,NA())</f>
        <v>74463.38</v>
      </c>
      <c r="AL32" s="7">
        <f>IF(MAX('Lab test'!W25,'Lab test'!X25)&gt;0,MAX('Lab test'!W25,'Lab test'!X25),NA())</f>
        <v>389.55</v>
      </c>
      <c r="AM32" s="401">
        <f>IF('Lab test'!P25&gt;0,'Lab test'!P25,NA())</f>
        <v>0.35063792210245931</v>
      </c>
      <c r="AN32" s="401">
        <f>IF('Lab test'!AU25&gt;0,'Lab test'!AU25,NA())</f>
        <v>1.2269145937620329</v>
      </c>
      <c r="AO32" s="401">
        <f>IF('Lab test'!AT25&gt;0,'Lab test'!AT25,NA())</f>
        <v>0.10350609438872335</v>
      </c>
      <c r="AP32">
        <f t="shared" si="34"/>
        <v>1</v>
      </c>
      <c r="AQ32" s="401">
        <f>'Lab test'!AZ25</f>
        <v>1965</v>
      </c>
      <c r="AR32" t="str">
        <f>'Lab test'!AC25</f>
        <v>Machined</v>
      </c>
      <c r="AS32" t="str">
        <f>'Lab test'!T25</f>
        <v>Aluminium</v>
      </c>
      <c r="AV32" s="7"/>
      <c r="AW32" s="321"/>
      <c r="AX32" t="e">
        <f t="shared" si="12"/>
        <v>#N/A</v>
      </c>
      <c r="AY32" t="e">
        <f t="shared" si="13"/>
        <v>#N/A</v>
      </c>
      <c r="AZ32" t="e">
        <f t="shared" si="13"/>
        <v>#N/A</v>
      </c>
      <c r="BA32" t="e">
        <f t="shared" si="13"/>
        <v>#N/A</v>
      </c>
      <c r="BB32" t="e">
        <f t="shared" si="13"/>
        <v>#N/A</v>
      </c>
      <c r="BC32" t="e">
        <f t="shared" si="13"/>
        <v>#N/A</v>
      </c>
      <c r="BD32" t="e">
        <f t="shared" si="13"/>
        <v>#N/A</v>
      </c>
      <c r="BG32" t="e">
        <f t="shared" si="14"/>
        <v>#N/A</v>
      </c>
      <c r="BH32" t="e">
        <f t="shared" si="15"/>
        <v>#N/A</v>
      </c>
      <c r="BI32" t="e">
        <f t="shared" si="15"/>
        <v>#N/A</v>
      </c>
      <c r="BJ32" t="e">
        <f t="shared" si="15"/>
        <v>#N/A</v>
      </c>
      <c r="BK32" t="e">
        <f t="shared" si="15"/>
        <v>#N/A</v>
      </c>
      <c r="BL32" t="e">
        <f t="shared" si="15"/>
        <v>#N/A</v>
      </c>
      <c r="BM32" t="e">
        <f t="shared" si="15"/>
        <v>#N/A</v>
      </c>
      <c r="BP32" t="e">
        <f t="shared" si="16"/>
        <v>#N/A</v>
      </c>
      <c r="BQ32" t="e">
        <f t="shared" si="17"/>
        <v>#N/A</v>
      </c>
      <c r="BR32" t="e">
        <f t="shared" si="17"/>
        <v>#N/A</v>
      </c>
      <c r="BS32" t="e">
        <f t="shared" si="17"/>
        <v>#N/A</v>
      </c>
      <c r="BT32" t="e">
        <f t="shared" si="17"/>
        <v>#N/A</v>
      </c>
      <c r="BU32" t="e">
        <f t="shared" si="17"/>
        <v>#N/A</v>
      </c>
      <c r="BV32" t="e">
        <f t="shared" si="17"/>
        <v>#N/A</v>
      </c>
      <c r="BY32" t="e">
        <f t="shared" si="18"/>
        <v>#N/A</v>
      </c>
      <c r="BZ32">
        <v>206842.71840000001</v>
      </c>
      <c r="CA32" cm="1">
        <f t="array" ref="CA32">IF(ISNUMBER(BZ32),AF32/COUNT(IF(ISNUMBER(_xlfn.ANCHORARRAY($BZ$11)),_xlfn.ANCHORARRAY($BZ$11))),NA())</f>
        <v>0.28205128205128205</v>
      </c>
      <c r="CB32" t="e">
        <f t="shared" si="19"/>
        <v>#N/A</v>
      </c>
      <c r="CD32" t="e">
        <f t="shared" si="20"/>
        <v>#N/A</v>
      </c>
      <c r="CE32">
        <f t="shared" si="21"/>
        <v>206842.71840000001</v>
      </c>
      <c r="CG32" t="e">
        <v>#N/A</v>
      </c>
      <c r="CH32">
        <v>205000</v>
      </c>
      <c r="CL32" t="e">
        <f t="shared" si="23"/>
        <v>#N/A</v>
      </c>
      <c r="CM32">
        <v>70671.259999999995</v>
      </c>
      <c r="CN32" cm="1">
        <f t="array" ref="CN32">IF(ISNUMBER(CM32),AF32/COUNT(IF(ISNUMBER(_xlfn.ANCHORARRAY($CM$11)),_xlfn.ANCHORARRAY($CM$11))),NA())</f>
        <v>0.4</v>
      </c>
      <c r="CO32">
        <f t="shared" si="24"/>
        <v>0.4</v>
      </c>
      <c r="CQ32">
        <f t="shared" si="25"/>
        <v>0.4</v>
      </c>
      <c r="CR32">
        <f t="shared" si="26"/>
        <v>70671.259999999995</v>
      </c>
      <c r="CT32" t="e">
        <v>#N/A</v>
      </c>
      <c r="CU32">
        <v>70671.259999999995</v>
      </c>
      <c r="CY32" t="e">
        <f t="shared" si="28"/>
        <v>#N/A</v>
      </c>
      <c r="CZ32">
        <v>112384.54388</v>
      </c>
      <c r="DA32" cm="1">
        <f t="array" ref="DA32">IF(ISNUMBER(CZ32),AF32/COUNT(IF(ISNUMBER(_xlfn.ANCHORARRAY($CZ$11)),_xlfn.ANCHORARRAY($CZ$11))),NA())</f>
        <v>0.73333333333333328</v>
      </c>
      <c r="DB32" t="e">
        <f t="shared" si="29"/>
        <v>#N/A</v>
      </c>
      <c r="DD32" t="e">
        <f t="shared" si="30"/>
        <v>#N/A</v>
      </c>
      <c r="DE32">
        <f t="shared" si="31"/>
        <v>112384.54388</v>
      </c>
      <c r="DG32" t="e">
        <v>#N/A</v>
      </c>
      <c r="DH32">
        <v>112384.54388</v>
      </c>
    </row>
    <row r="33" spans="32:112">
      <c r="AF33">
        <v>23</v>
      </c>
      <c r="AG33" s="401">
        <f>'Lab test'!N26</f>
        <v>34.805720000000001</v>
      </c>
      <c r="AH33" s="401">
        <f>'Lab test'!M26</f>
        <v>3.56616</v>
      </c>
      <c r="AI33">
        <f>IF('Lab test'!O26&gt;0,'Lab test'!O26,NA())</f>
        <v>25.4</v>
      </c>
      <c r="AJ33">
        <f>'Lab test'!Q26</f>
        <v>9.76</v>
      </c>
      <c r="AK33" s="401">
        <f>IF('Lab test'!V26&gt;0,'Lab test'!V26,NA())</f>
        <v>74463.38</v>
      </c>
      <c r="AL33" s="7">
        <f>IF(MAX('Lab test'!W26,'Lab test'!X26)&gt;0,MAX('Lab test'!W26,'Lab test'!X26),NA())</f>
        <v>389.55</v>
      </c>
      <c r="AM33" s="401">
        <f>IF('Lab test'!P26&gt;0,'Lab test'!P26,NA())</f>
        <v>0.2335921240133112</v>
      </c>
      <c r="AN33" s="401">
        <f>IF('Lab test'!AU26&gt;0,'Lab test'!AU26,NA())</f>
        <v>1.236118213323065</v>
      </c>
      <c r="AO33" s="401">
        <f>IF('Lab test'!AT26&gt;0,'Lab test'!AT26,NA())</f>
        <v>0.10428253738857871</v>
      </c>
      <c r="AP33">
        <f t="shared" si="34"/>
        <v>1</v>
      </c>
      <c r="AQ33" s="401">
        <f>'Lab test'!AZ26</f>
        <v>1965</v>
      </c>
      <c r="AR33" t="str">
        <f>'Lab test'!AC26</f>
        <v>Machined</v>
      </c>
      <c r="AS33" t="str">
        <f>'Lab test'!T26</f>
        <v>Aluminium</v>
      </c>
      <c r="AV33" s="7"/>
      <c r="AW33" s="321"/>
      <c r="AX33" t="e">
        <f t="shared" si="12"/>
        <v>#N/A</v>
      </c>
      <c r="AY33" t="e">
        <f t="shared" si="13"/>
        <v>#N/A</v>
      </c>
      <c r="AZ33" t="e">
        <f t="shared" si="13"/>
        <v>#N/A</v>
      </c>
      <c r="BA33" t="e">
        <f t="shared" si="13"/>
        <v>#N/A</v>
      </c>
      <c r="BB33" t="e">
        <f t="shared" si="13"/>
        <v>#N/A</v>
      </c>
      <c r="BC33" t="e">
        <f t="shared" si="13"/>
        <v>#N/A</v>
      </c>
      <c r="BD33" t="e">
        <f t="shared" si="13"/>
        <v>#N/A</v>
      </c>
      <c r="BG33" t="e">
        <f t="shared" si="14"/>
        <v>#N/A</v>
      </c>
      <c r="BH33" t="e">
        <f t="shared" si="15"/>
        <v>#N/A</v>
      </c>
      <c r="BI33" t="e">
        <f t="shared" si="15"/>
        <v>#N/A</v>
      </c>
      <c r="BJ33" t="e">
        <f t="shared" si="15"/>
        <v>#N/A</v>
      </c>
      <c r="BK33" t="e">
        <f t="shared" si="15"/>
        <v>#N/A</v>
      </c>
      <c r="BL33" t="e">
        <f t="shared" si="15"/>
        <v>#N/A</v>
      </c>
      <c r="BM33" t="e">
        <f t="shared" si="15"/>
        <v>#N/A</v>
      </c>
      <c r="BP33" t="e">
        <f t="shared" si="16"/>
        <v>#N/A</v>
      </c>
      <c r="BQ33" t="e">
        <f t="shared" si="17"/>
        <v>#N/A</v>
      </c>
      <c r="BR33" t="e">
        <f t="shared" si="17"/>
        <v>#N/A</v>
      </c>
      <c r="BS33" t="e">
        <f t="shared" si="17"/>
        <v>#N/A</v>
      </c>
      <c r="BT33" t="e">
        <f t="shared" si="17"/>
        <v>#N/A</v>
      </c>
      <c r="BU33" t="e">
        <f t="shared" si="17"/>
        <v>#N/A</v>
      </c>
      <c r="BV33" t="e">
        <f t="shared" si="17"/>
        <v>#N/A</v>
      </c>
      <c r="BY33" t="e">
        <f t="shared" si="18"/>
        <v>#N/A</v>
      </c>
      <c r="BZ33">
        <v>206842.71840000001</v>
      </c>
      <c r="CA33" cm="1">
        <f t="array" ref="CA33">IF(ISNUMBER(BZ33),AF33/COUNT(IF(ISNUMBER(_xlfn.ANCHORARRAY($BZ$11)),_xlfn.ANCHORARRAY($BZ$11))),NA())</f>
        <v>0.29487179487179488</v>
      </c>
      <c r="CB33" t="e">
        <f t="shared" si="19"/>
        <v>#N/A</v>
      </c>
      <c r="CD33" t="e">
        <f t="shared" si="20"/>
        <v>#N/A</v>
      </c>
      <c r="CE33">
        <f t="shared" si="21"/>
        <v>206842.71840000001</v>
      </c>
      <c r="CG33" t="e">
        <v>#N/A</v>
      </c>
      <c r="CH33">
        <v>205000</v>
      </c>
      <c r="CL33" t="e">
        <f t="shared" si="23"/>
        <v>#N/A</v>
      </c>
      <c r="CM33">
        <v>71412.448663991308</v>
      </c>
      <c r="CN33" cm="1">
        <f t="array" ref="CN33">IF(ISNUMBER(CM33),AF33/COUNT(IF(ISNUMBER(_xlfn.ANCHORARRAY($CM$11)),_xlfn.ANCHORARRAY($CM$11))),NA())</f>
        <v>0.41818181818181815</v>
      </c>
      <c r="CO33" t="e">
        <f t="shared" si="24"/>
        <v>#N/A</v>
      </c>
      <c r="CQ33" t="e">
        <f t="shared" si="25"/>
        <v>#N/A</v>
      </c>
      <c r="CR33">
        <f t="shared" si="26"/>
        <v>71412.448663991308</v>
      </c>
      <c r="CT33" t="e">
        <v>#N/A</v>
      </c>
      <c r="CU33">
        <v>70671.259999999995</v>
      </c>
      <c r="CY33" t="e">
        <f t="shared" si="28"/>
        <v>#N/A</v>
      </c>
      <c r="CZ33">
        <v>112384.54388</v>
      </c>
      <c r="DA33" cm="1">
        <f t="array" ref="DA33">IF(ISNUMBER(CZ33),AF33/COUNT(IF(ISNUMBER(_xlfn.ANCHORARRAY($CZ$11)),_xlfn.ANCHORARRAY($CZ$11))),NA())</f>
        <v>0.76666666666666672</v>
      </c>
      <c r="DB33" t="e">
        <f t="shared" si="29"/>
        <v>#N/A</v>
      </c>
      <c r="DD33" t="e">
        <f t="shared" si="30"/>
        <v>#N/A</v>
      </c>
      <c r="DE33">
        <f t="shared" si="31"/>
        <v>112384.54388</v>
      </c>
      <c r="DG33" t="e">
        <v>#N/A</v>
      </c>
      <c r="DH33">
        <v>112384.54388</v>
      </c>
    </row>
    <row r="34" spans="32:112">
      <c r="AF34">
        <v>24</v>
      </c>
      <c r="AG34" s="401">
        <f>'Lab test'!N27</f>
        <v>34.805720000000001</v>
      </c>
      <c r="AH34" s="401">
        <f>'Lab test'!M27</f>
        <v>3.56616</v>
      </c>
      <c r="AI34">
        <f>IF('Lab test'!O27&gt;0,'Lab test'!O27,NA())</f>
        <v>12.7</v>
      </c>
      <c r="AJ34">
        <f>'Lab test'!Q27</f>
        <v>9.76</v>
      </c>
      <c r="AK34" s="401">
        <f>IF('Lab test'!V27&gt;0,'Lab test'!V27,NA())</f>
        <v>74463.38</v>
      </c>
      <c r="AL34" s="7">
        <f>IF(MAX('Lab test'!W27,'Lab test'!X27)&gt;0,MAX('Lab test'!W27,'Lab test'!X27),NA())</f>
        <v>389.55</v>
      </c>
      <c r="AM34" s="401">
        <f>IF('Lab test'!P27&gt;0,'Lab test'!P27,NA())</f>
        <v>0.1167960620066556</v>
      </c>
      <c r="AN34" s="401" t="e">
        <f>IF('Lab test'!AU27&gt;0,'Lab test'!AU27,NA())</f>
        <v>#N/A</v>
      </c>
      <c r="AO34" s="401" t="e">
        <f>IF('Lab test'!AT27&gt;0,'Lab test'!AT27,NA())</f>
        <v>#N/A</v>
      </c>
      <c r="AP34" t="e">
        <f t="shared" si="34"/>
        <v>#N/A</v>
      </c>
      <c r="AQ34" s="401">
        <f>'Lab test'!AZ27</f>
        <v>1965</v>
      </c>
      <c r="AR34" t="str">
        <f>'Lab test'!AC27</f>
        <v>Machined</v>
      </c>
      <c r="AS34" t="str">
        <f>'Lab test'!T27</f>
        <v>Aluminium</v>
      </c>
      <c r="AV34" s="7"/>
      <c r="AW34" s="321"/>
      <c r="AX34" t="e">
        <f t="shared" si="12"/>
        <v>#N/A</v>
      </c>
      <c r="AY34" t="e">
        <f t="shared" si="13"/>
        <v>#N/A</v>
      </c>
      <c r="AZ34" t="e">
        <f t="shared" si="13"/>
        <v>#N/A</v>
      </c>
      <c r="BA34" t="e">
        <f t="shared" si="13"/>
        <v>#N/A</v>
      </c>
      <c r="BB34" t="e">
        <f t="shared" si="13"/>
        <v>#N/A</v>
      </c>
      <c r="BC34" t="e">
        <f t="shared" si="13"/>
        <v>#N/A</v>
      </c>
      <c r="BD34" t="e">
        <f t="shared" si="13"/>
        <v>#N/A</v>
      </c>
      <c r="BG34" t="e">
        <f t="shared" si="14"/>
        <v>#N/A</v>
      </c>
      <c r="BH34" t="e">
        <f t="shared" si="15"/>
        <v>#N/A</v>
      </c>
      <c r="BI34" t="e">
        <f t="shared" si="15"/>
        <v>#N/A</v>
      </c>
      <c r="BJ34" t="e">
        <f t="shared" si="15"/>
        <v>#N/A</v>
      </c>
      <c r="BK34" t="e">
        <f t="shared" si="15"/>
        <v>#N/A</v>
      </c>
      <c r="BL34" t="e">
        <f t="shared" si="15"/>
        <v>#N/A</v>
      </c>
      <c r="BM34" t="e">
        <f t="shared" si="15"/>
        <v>#N/A</v>
      </c>
      <c r="BP34" t="e">
        <f t="shared" si="16"/>
        <v>#N/A</v>
      </c>
      <c r="BQ34" t="e">
        <f t="shared" si="17"/>
        <v>#N/A</v>
      </c>
      <c r="BR34" t="e">
        <f t="shared" si="17"/>
        <v>#N/A</v>
      </c>
      <c r="BS34" t="e">
        <f t="shared" si="17"/>
        <v>#N/A</v>
      </c>
      <c r="BT34" t="e">
        <f t="shared" si="17"/>
        <v>#N/A</v>
      </c>
      <c r="BU34" t="e">
        <f t="shared" si="17"/>
        <v>#N/A</v>
      </c>
      <c r="BV34" t="e">
        <f t="shared" si="17"/>
        <v>#N/A</v>
      </c>
      <c r="BY34" t="e">
        <f t="shared" si="18"/>
        <v>#N/A</v>
      </c>
      <c r="BZ34">
        <v>206842.71840000001</v>
      </c>
      <c r="CA34" cm="1">
        <f t="array" ref="CA34">IF(ISNUMBER(BZ34),AF34/COUNT(IF(ISNUMBER(_xlfn.ANCHORARRAY($BZ$11)),_xlfn.ANCHORARRAY($BZ$11))),NA())</f>
        <v>0.30769230769230771</v>
      </c>
      <c r="CB34" t="e">
        <f t="shared" si="19"/>
        <v>#N/A</v>
      </c>
      <c r="CD34" t="e">
        <f t="shared" si="20"/>
        <v>#N/A</v>
      </c>
      <c r="CE34">
        <f t="shared" si="21"/>
        <v>206842.71840000001</v>
      </c>
      <c r="CG34" t="e">
        <v>#N/A</v>
      </c>
      <c r="CH34">
        <v>205000</v>
      </c>
      <c r="CL34" t="e">
        <f t="shared" si="23"/>
        <v>#N/A</v>
      </c>
      <c r="CM34">
        <v>71412.448663991308</v>
      </c>
      <c r="CN34" cm="1">
        <f t="array" ref="CN34">IF(ISNUMBER(CM34),AF34/COUNT(IF(ISNUMBER(_xlfn.ANCHORARRAY($CM$11)),_xlfn.ANCHORARRAY($CM$11))),NA())</f>
        <v>0.43636363636363634</v>
      </c>
      <c r="CO34" t="e">
        <f t="shared" si="24"/>
        <v>#N/A</v>
      </c>
      <c r="CQ34" t="e">
        <f t="shared" si="25"/>
        <v>#N/A</v>
      </c>
      <c r="CR34">
        <f t="shared" si="26"/>
        <v>71412.448663991308</v>
      </c>
      <c r="CT34" t="e">
        <v>#N/A</v>
      </c>
      <c r="CU34">
        <v>70671.259999999995</v>
      </c>
      <c r="CY34" t="e">
        <f t="shared" si="28"/>
        <v>#N/A</v>
      </c>
      <c r="CZ34">
        <v>112384.54388</v>
      </c>
      <c r="DA34" cm="1">
        <f t="array" ref="DA34">IF(ISNUMBER(CZ34),AF34/COUNT(IF(ISNUMBER(_xlfn.ANCHORARRAY($CZ$11)),_xlfn.ANCHORARRAY($CZ$11))),NA())</f>
        <v>0.8</v>
      </c>
      <c r="DB34" t="e">
        <f t="shared" si="29"/>
        <v>#N/A</v>
      </c>
      <c r="DD34" t="e">
        <f t="shared" si="30"/>
        <v>#N/A</v>
      </c>
      <c r="DE34">
        <f t="shared" si="31"/>
        <v>112384.54388</v>
      </c>
      <c r="DG34" t="e">
        <v>#N/A</v>
      </c>
      <c r="DH34">
        <v>112384.54388</v>
      </c>
    </row>
    <row r="35" spans="32:112">
      <c r="AF35">
        <v>25</v>
      </c>
      <c r="AG35" s="401">
        <f>'Lab test'!N28</f>
        <v>35.559109999999997</v>
      </c>
      <c r="AH35" s="401">
        <f>'Lab test'!M28</f>
        <v>2.5527000000000002</v>
      </c>
      <c r="AI35">
        <f>IF('Lab test'!O28&gt;0,'Lab test'!O28,NA())</f>
        <v>25.4</v>
      </c>
      <c r="AJ35">
        <f>'Lab test'!Q28</f>
        <v>13.93</v>
      </c>
      <c r="AK35" s="401">
        <f>IF('Lab test'!V28&gt;0,'Lab test'!V28,NA())</f>
        <v>74463.38</v>
      </c>
      <c r="AL35" s="7">
        <f>IF(MAX('Lab test'!W28,'Lab test'!X28)&gt;0,MAX('Lab test'!W28,'Lab test'!X28),NA())</f>
        <v>389.55</v>
      </c>
      <c r="AM35" s="401">
        <f>IF('Lab test'!P28&gt;0,'Lab test'!P28,NA())</f>
        <v>0.19138472917492183</v>
      </c>
      <c r="AN35" s="401">
        <f>IF('Lab test'!AU28&gt;0,'Lab test'!AU28,NA())</f>
        <v>1.1290375304838918</v>
      </c>
      <c r="AO35" s="401">
        <f>IF('Lab test'!AT28&gt;0,'Lab test'!AT28,NA())</f>
        <v>0.13594438346449247</v>
      </c>
      <c r="AP35">
        <f t="shared" si="34"/>
        <v>1</v>
      </c>
      <c r="AQ35" s="401">
        <f>'Lab test'!AZ28</f>
        <v>1965</v>
      </c>
      <c r="AR35" t="str">
        <f>'Lab test'!AC28</f>
        <v>Machined</v>
      </c>
      <c r="AS35" t="str">
        <f>'Lab test'!T28</f>
        <v>Aluminium</v>
      </c>
      <c r="AV35" s="7"/>
      <c r="AW35" s="321"/>
      <c r="AX35" t="e">
        <f t="shared" si="12"/>
        <v>#N/A</v>
      </c>
      <c r="AY35" t="e">
        <f t="shared" si="13"/>
        <v>#N/A</v>
      </c>
      <c r="AZ35" t="e">
        <f t="shared" si="13"/>
        <v>#N/A</v>
      </c>
      <c r="BA35" t="e">
        <f t="shared" si="13"/>
        <v>#N/A</v>
      </c>
      <c r="BB35" t="e">
        <f t="shared" si="13"/>
        <v>#N/A</v>
      </c>
      <c r="BC35" t="e">
        <f t="shared" si="13"/>
        <v>#N/A</v>
      </c>
      <c r="BD35" t="e">
        <f t="shared" si="13"/>
        <v>#N/A</v>
      </c>
      <c r="BG35" t="e">
        <f t="shared" si="14"/>
        <v>#N/A</v>
      </c>
      <c r="BH35" t="e">
        <f t="shared" si="15"/>
        <v>#N/A</v>
      </c>
      <c r="BI35" t="e">
        <f t="shared" si="15"/>
        <v>#N/A</v>
      </c>
      <c r="BJ35" t="e">
        <f t="shared" si="15"/>
        <v>#N/A</v>
      </c>
      <c r="BK35" t="e">
        <f t="shared" si="15"/>
        <v>#N/A</v>
      </c>
      <c r="BL35" t="e">
        <f t="shared" si="15"/>
        <v>#N/A</v>
      </c>
      <c r="BM35" t="e">
        <f t="shared" si="15"/>
        <v>#N/A</v>
      </c>
      <c r="BP35" t="e">
        <f t="shared" si="16"/>
        <v>#N/A</v>
      </c>
      <c r="BQ35" t="e">
        <f t="shared" si="17"/>
        <v>#N/A</v>
      </c>
      <c r="BR35" t="e">
        <f t="shared" si="17"/>
        <v>#N/A</v>
      </c>
      <c r="BS35" t="e">
        <f t="shared" si="17"/>
        <v>#N/A</v>
      </c>
      <c r="BT35" t="e">
        <f t="shared" si="17"/>
        <v>#N/A</v>
      </c>
      <c r="BU35" t="e">
        <f t="shared" si="17"/>
        <v>#N/A</v>
      </c>
      <c r="BV35" t="e">
        <f t="shared" si="17"/>
        <v>#N/A</v>
      </c>
      <c r="BY35" t="e">
        <f t="shared" si="18"/>
        <v>#N/A</v>
      </c>
      <c r="BZ35">
        <v>206842.71840000001</v>
      </c>
      <c r="CA35" cm="1">
        <f t="array" ref="CA35">IF(ISNUMBER(BZ35),AF35/COUNT(IF(ISNUMBER(_xlfn.ANCHORARRAY($BZ$11)),_xlfn.ANCHORARRAY($BZ$11))),NA())</f>
        <v>0.32051282051282054</v>
      </c>
      <c r="CB35" t="e">
        <f t="shared" si="19"/>
        <v>#N/A</v>
      </c>
      <c r="CD35" t="e">
        <f t="shared" si="20"/>
        <v>#N/A</v>
      </c>
      <c r="CE35">
        <f t="shared" si="21"/>
        <v>206842.71840000001</v>
      </c>
      <c r="CG35" t="e">
        <v>#N/A</v>
      </c>
      <c r="CH35">
        <v>205000</v>
      </c>
      <c r="CL35" t="e">
        <f t="shared" si="23"/>
        <v>#N/A</v>
      </c>
      <c r="CM35">
        <v>71412.448663991308</v>
      </c>
      <c r="CN35" cm="1">
        <f t="array" ref="CN35">IF(ISNUMBER(CM35),AF35/COUNT(IF(ISNUMBER(_xlfn.ANCHORARRAY($CM$11)),_xlfn.ANCHORARRAY($CM$11))),NA())</f>
        <v>0.45454545454545453</v>
      </c>
      <c r="CO35" t="e">
        <f t="shared" si="24"/>
        <v>#N/A</v>
      </c>
      <c r="CQ35" t="e">
        <f t="shared" si="25"/>
        <v>#N/A</v>
      </c>
      <c r="CR35">
        <f t="shared" si="26"/>
        <v>71412.448663991308</v>
      </c>
      <c r="CT35" t="e">
        <v>#N/A</v>
      </c>
      <c r="CU35">
        <v>71412.448663991308</v>
      </c>
      <c r="CY35" t="e">
        <f t="shared" si="28"/>
        <v>#N/A</v>
      </c>
      <c r="CZ35">
        <v>112384.54388</v>
      </c>
      <c r="DA35" cm="1">
        <f t="array" ref="DA35">IF(ISNUMBER(CZ35),AF35/COUNT(IF(ISNUMBER(_xlfn.ANCHORARRAY($CZ$11)),_xlfn.ANCHORARRAY($CZ$11))),NA())</f>
        <v>0.83333333333333337</v>
      </c>
      <c r="DB35" t="e">
        <f t="shared" si="29"/>
        <v>#N/A</v>
      </c>
      <c r="DD35" t="e">
        <f t="shared" si="30"/>
        <v>#N/A</v>
      </c>
      <c r="DE35">
        <f t="shared" si="31"/>
        <v>112384.54388</v>
      </c>
      <c r="DG35" t="e">
        <v>#N/A</v>
      </c>
      <c r="DH35">
        <v>112384.54388</v>
      </c>
    </row>
    <row r="36" spans="32:112">
      <c r="AF36">
        <v>26</v>
      </c>
      <c r="AG36" s="401">
        <f>'Lab test'!N29</f>
        <v>35.205159999999999</v>
      </c>
      <c r="AH36" s="401">
        <f>'Lab test'!M29</f>
        <v>1.7907</v>
      </c>
      <c r="AI36">
        <f>IF('Lab test'!O29&gt;0,'Lab test'!O29,NA())</f>
        <v>50.8</v>
      </c>
      <c r="AJ36">
        <f>'Lab test'!Q29</f>
        <v>19.66</v>
      </c>
      <c r="AK36" s="401">
        <f>IF('Lab test'!V29&gt;0,'Lab test'!V29,NA())</f>
        <v>74463.38</v>
      </c>
      <c r="AL36" s="7">
        <f>IF(MAX('Lab test'!W29,'Lab test'!X29)&gt;0,MAX('Lab test'!W29,'Lab test'!X29),NA())</f>
        <v>389.55</v>
      </c>
      <c r="AM36" s="401">
        <f>IF('Lab test'!P29&gt;0,'Lab test'!P29,NA())</f>
        <v>0.32543603908802227</v>
      </c>
      <c r="AN36" s="401">
        <f>IF('Lab test'!AU29&gt;0,'Lab test'!AU29,NA())</f>
        <v>1.0881521755872159</v>
      </c>
      <c r="AO36" s="401">
        <f>IF('Lab test'!AT29&gt;0,'Lab test'!AT29,NA())</f>
        <v>0.18491617869933433</v>
      </c>
      <c r="AP36">
        <f t="shared" si="34"/>
        <v>1</v>
      </c>
      <c r="AQ36" s="401">
        <f>'Lab test'!AZ29</f>
        <v>1965</v>
      </c>
      <c r="AR36" t="str">
        <f>'Lab test'!AC29</f>
        <v>Machined</v>
      </c>
      <c r="AS36" t="str">
        <f>'Lab test'!T29</f>
        <v>Aluminium</v>
      </c>
      <c r="AV36" s="7"/>
      <c r="AW36" s="321"/>
      <c r="AX36" t="e">
        <f t="shared" si="12"/>
        <v>#N/A</v>
      </c>
      <c r="AY36" t="e">
        <f t="shared" si="13"/>
        <v>#N/A</v>
      </c>
      <c r="AZ36" t="e">
        <f t="shared" si="13"/>
        <v>#N/A</v>
      </c>
      <c r="BA36" t="e">
        <f t="shared" si="13"/>
        <v>#N/A</v>
      </c>
      <c r="BB36" t="e">
        <f t="shared" si="13"/>
        <v>#N/A</v>
      </c>
      <c r="BC36" t="e">
        <f t="shared" si="13"/>
        <v>#N/A</v>
      </c>
      <c r="BD36" t="e">
        <f t="shared" si="13"/>
        <v>#N/A</v>
      </c>
      <c r="BG36" t="e">
        <f t="shared" si="14"/>
        <v>#N/A</v>
      </c>
      <c r="BH36" t="e">
        <f t="shared" si="15"/>
        <v>#N/A</v>
      </c>
      <c r="BI36" t="e">
        <f t="shared" si="15"/>
        <v>#N/A</v>
      </c>
      <c r="BJ36" t="e">
        <f t="shared" si="15"/>
        <v>#N/A</v>
      </c>
      <c r="BK36" t="e">
        <f t="shared" si="15"/>
        <v>#N/A</v>
      </c>
      <c r="BL36" t="e">
        <f t="shared" si="15"/>
        <v>#N/A</v>
      </c>
      <c r="BM36" t="e">
        <f t="shared" si="15"/>
        <v>#N/A</v>
      </c>
      <c r="BP36" t="e">
        <f t="shared" si="16"/>
        <v>#N/A</v>
      </c>
      <c r="BQ36" t="e">
        <f t="shared" si="17"/>
        <v>#N/A</v>
      </c>
      <c r="BR36" t="e">
        <f t="shared" si="17"/>
        <v>#N/A</v>
      </c>
      <c r="BS36" t="e">
        <f t="shared" si="17"/>
        <v>#N/A</v>
      </c>
      <c r="BT36" t="e">
        <f t="shared" si="17"/>
        <v>#N/A</v>
      </c>
      <c r="BU36" t="e">
        <f t="shared" si="17"/>
        <v>#N/A</v>
      </c>
      <c r="BV36" t="e">
        <f t="shared" si="17"/>
        <v>#N/A</v>
      </c>
      <c r="BY36" t="e">
        <f t="shared" si="18"/>
        <v>#N/A</v>
      </c>
      <c r="BZ36">
        <v>206842.71840000001</v>
      </c>
      <c r="CA36" cm="1">
        <f t="array" ref="CA36">IF(ISNUMBER(BZ36),AF36/COUNT(IF(ISNUMBER(_xlfn.ANCHORARRAY($BZ$11)),_xlfn.ANCHORARRAY($BZ$11))),NA())</f>
        <v>0.33333333333333331</v>
      </c>
      <c r="CB36" t="e">
        <f t="shared" si="19"/>
        <v>#N/A</v>
      </c>
      <c r="CD36" t="e">
        <f t="shared" si="20"/>
        <v>#N/A</v>
      </c>
      <c r="CE36">
        <f t="shared" si="21"/>
        <v>206842.71840000001</v>
      </c>
      <c r="CG36" t="e">
        <v>#N/A</v>
      </c>
      <c r="CH36">
        <v>205000</v>
      </c>
      <c r="CL36" t="e">
        <f t="shared" si="23"/>
        <v>#N/A</v>
      </c>
      <c r="CM36">
        <v>71412.448663991308</v>
      </c>
      <c r="CN36" cm="1">
        <f t="array" ref="CN36">IF(ISNUMBER(CM36),AF36/COUNT(IF(ISNUMBER(_xlfn.ANCHORARRAY($CM$11)),_xlfn.ANCHORARRAY($CM$11))),NA())</f>
        <v>0.47272727272727272</v>
      </c>
      <c r="CO36" t="e">
        <f t="shared" si="24"/>
        <v>#N/A</v>
      </c>
      <c r="CQ36" t="e">
        <f t="shared" si="25"/>
        <v>#N/A</v>
      </c>
      <c r="CR36">
        <f t="shared" si="26"/>
        <v>71412.448663991308</v>
      </c>
      <c r="CT36" t="e">
        <v>#N/A</v>
      </c>
      <c r="CU36">
        <v>71412.448663991308</v>
      </c>
      <c r="CY36" t="e">
        <f t="shared" si="28"/>
        <v>#N/A</v>
      </c>
      <c r="CZ36">
        <v>112384.54388</v>
      </c>
      <c r="DA36" cm="1">
        <f t="array" ref="DA36">IF(ISNUMBER(CZ36),AF36/COUNT(IF(ISNUMBER(_xlfn.ANCHORARRAY($CZ$11)),_xlfn.ANCHORARRAY($CZ$11))),NA())</f>
        <v>0.8666666666666667</v>
      </c>
      <c r="DB36" t="e">
        <f t="shared" si="29"/>
        <v>#N/A</v>
      </c>
      <c r="DD36" t="e">
        <f t="shared" si="30"/>
        <v>#N/A</v>
      </c>
      <c r="DE36">
        <f t="shared" si="31"/>
        <v>112384.54388</v>
      </c>
      <c r="DG36" t="e">
        <v>#N/A</v>
      </c>
      <c r="DH36">
        <v>112384.54388</v>
      </c>
    </row>
    <row r="37" spans="32:112">
      <c r="AF37">
        <v>27</v>
      </c>
      <c r="AG37" s="401">
        <f>'Lab test'!N30</f>
        <v>34.682960000000001</v>
      </c>
      <c r="AH37" s="401">
        <f>'Lab test'!M30</f>
        <v>0.78486</v>
      </c>
      <c r="AI37">
        <f>IF('Lab test'!O30&gt;0,'Lab test'!O30,NA())</f>
        <v>25.4</v>
      </c>
      <c r="AJ37">
        <f>'Lab test'!Q30</f>
        <v>44.19</v>
      </c>
      <c r="AK37" s="401">
        <f>IF('Lab test'!V30&gt;0,'Lab test'!V30,NA())</f>
        <v>74463.38</v>
      </c>
      <c r="AL37" s="7">
        <f>IF(MAX('Lab test'!W30,'Lab test'!X30)&gt;0,MAX('Lab test'!W30,'Lab test'!X30),NA())</f>
        <v>389.55</v>
      </c>
      <c r="AM37" s="401">
        <f>IF('Lab test'!P30&gt;0,'Lab test'!P30,NA())</f>
        <v>0.11016802963167525</v>
      </c>
      <c r="AN37" s="401">
        <f>IF('Lab test'!AU30&gt;0,'Lab test'!AU30,NA())</f>
        <v>0.9447879347965602</v>
      </c>
      <c r="AO37" s="401">
        <f>IF('Lab test'!AT30&gt;0,'Lab test'!AT30,NA())</f>
        <v>0.3608777315798819</v>
      </c>
      <c r="AP37">
        <f t="shared" si="34"/>
        <v>1</v>
      </c>
      <c r="AQ37" s="401">
        <f>'Lab test'!AZ30</f>
        <v>1965</v>
      </c>
      <c r="AR37" t="str">
        <f>'Lab test'!AC30</f>
        <v>Machined</v>
      </c>
      <c r="AS37" t="str">
        <f>'Lab test'!T30</f>
        <v>Aluminium</v>
      </c>
      <c r="AV37" s="7"/>
      <c r="AW37" s="321"/>
      <c r="AX37" t="e">
        <f t="shared" si="12"/>
        <v>#N/A</v>
      </c>
      <c r="AY37" t="e">
        <f t="shared" si="13"/>
        <v>#N/A</v>
      </c>
      <c r="AZ37" t="e">
        <f t="shared" si="13"/>
        <v>#N/A</v>
      </c>
      <c r="BA37" t="e">
        <f t="shared" si="13"/>
        <v>#N/A</v>
      </c>
      <c r="BB37" t="e">
        <f t="shared" si="13"/>
        <v>#N/A</v>
      </c>
      <c r="BC37" t="e">
        <f t="shared" si="13"/>
        <v>#N/A</v>
      </c>
      <c r="BD37" t="e">
        <f t="shared" si="13"/>
        <v>#N/A</v>
      </c>
      <c r="BG37" t="e">
        <f t="shared" si="14"/>
        <v>#N/A</v>
      </c>
      <c r="BH37" t="e">
        <f t="shared" si="15"/>
        <v>#N/A</v>
      </c>
      <c r="BI37" t="e">
        <f t="shared" si="15"/>
        <v>#N/A</v>
      </c>
      <c r="BJ37" t="e">
        <f t="shared" si="15"/>
        <v>#N/A</v>
      </c>
      <c r="BK37" t="e">
        <f t="shared" si="15"/>
        <v>#N/A</v>
      </c>
      <c r="BL37" t="e">
        <f t="shared" si="15"/>
        <v>#N/A</v>
      </c>
      <c r="BM37" t="e">
        <f t="shared" si="15"/>
        <v>#N/A</v>
      </c>
      <c r="BP37" t="e">
        <f t="shared" si="16"/>
        <v>#N/A</v>
      </c>
      <c r="BQ37" t="e">
        <f t="shared" si="17"/>
        <v>#N/A</v>
      </c>
      <c r="BR37" t="e">
        <f t="shared" si="17"/>
        <v>#N/A</v>
      </c>
      <c r="BS37" t="e">
        <f t="shared" si="17"/>
        <v>#N/A</v>
      </c>
      <c r="BT37" t="e">
        <f t="shared" si="17"/>
        <v>#N/A</v>
      </c>
      <c r="BU37" t="e">
        <f t="shared" si="17"/>
        <v>#N/A</v>
      </c>
      <c r="BV37" t="e">
        <f t="shared" si="17"/>
        <v>#N/A</v>
      </c>
      <c r="BY37" t="e">
        <f t="shared" si="18"/>
        <v>#N/A</v>
      </c>
      <c r="BZ37">
        <v>206842.71840000001</v>
      </c>
      <c r="CA37" cm="1">
        <f t="array" ref="CA37">IF(ISNUMBER(BZ37),AF37/COUNT(IF(ISNUMBER(_xlfn.ANCHORARRAY($BZ$11)),_xlfn.ANCHORARRAY($BZ$11))),NA())</f>
        <v>0.34615384615384615</v>
      </c>
      <c r="CB37" t="e">
        <f t="shared" si="19"/>
        <v>#N/A</v>
      </c>
      <c r="CD37" t="e">
        <f t="shared" si="20"/>
        <v>#N/A</v>
      </c>
      <c r="CE37">
        <f t="shared" si="21"/>
        <v>206842.71840000001</v>
      </c>
      <c r="CG37" t="e">
        <v>#N/A</v>
      </c>
      <c r="CH37">
        <v>205000</v>
      </c>
      <c r="CL37" t="e">
        <f t="shared" si="23"/>
        <v>#N/A</v>
      </c>
      <c r="CM37">
        <v>71412.448663991308</v>
      </c>
      <c r="CN37" cm="1">
        <f t="array" ref="CN37">IF(ISNUMBER(CM37),AF37/COUNT(IF(ISNUMBER(_xlfn.ANCHORARRAY($CM$11)),_xlfn.ANCHORARRAY($CM$11))),NA())</f>
        <v>0.49090909090909091</v>
      </c>
      <c r="CO37" t="e">
        <f t="shared" si="24"/>
        <v>#N/A</v>
      </c>
      <c r="CQ37" t="e">
        <f t="shared" si="25"/>
        <v>#N/A</v>
      </c>
      <c r="CR37">
        <f t="shared" si="26"/>
        <v>71412.448663991308</v>
      </c>
      <c r="CT37" t="e">
        <v>#N/A</v>
      </c>
      <c r="CU37">
        <v>71412.448663991308</v>
      </c>
      <c r="CY37" t="e">
        <f t="shared" si="28"/>
        <v>#N/A</v>
      </c>
      <c r="CZ37">
        <v>112384.54388</v>
      </c>
      <c r="DA37" cm="1">
        <f t="array" ref="DA37">IF(ISNUMBER(CZ37),AF37/COUNT(IF(ISNUMBER(_xlfn.ANCHORARRAY($CZ$11)),_xlfn.ANCHORARRAY($CZ$11))),NA())</f>
        <v>0.9</v>
      </c>
      <c r="DB37" t="e">
        <f t="shared" si="29"/>
        <v>#N/A</v>
      </c>
      <c r="DD37" t="e">
        <f t="shared" si="30"/>
        <v>#N/A</v>
      </c>
      <c r="DE37">
        <f t="shared" si="31"/>
        <v>112384.54388</v>
      </c>
      <c r="DG37" t="e">
        <v>#N/A</v>
      </c>
      <c r="DH37">
        <v>112384.54388</v>
      </c>
    </row>
    <row r="38" spans="32:112">
      <c r="AF38">
        <v>28</v>
      </c>
      <c r="AG38" s="401">
        <f>'Lab test'!N31</f>
        <v>34.601509999999998</v>
      </c>
      <c r="AH38" s="401">
        <f>'Lab test'!M31</f>
        <v>0.62992000000000004</v>
      </c>
      <c r="AI38">
        <f>IF('Lab test'!O31&gt;0,'Lab test'!O31,NA())</f>
        <v>50.8</v>
      </c>
      <c r="AJ38">
        <f>'Lab test'!Q31</f>
        <v>54.93</v>
      </c>
      <c r="AK38" s="401">
        <f>IF('Lab test'!V31&gt;0,'Lab test'!V31,NA())</f>
        <v>74463.38</v>
      </c>
      <c r="AL38" s="7">
        <f>IF(MAX('Lab test'!W31,'Lab test'!X31)&gt;0,MAX('Lab test'!W31,'Lab test'!X31),NA())</f>
        <v>389.55</v>
      </c>
      <c r="AM38" s="401">
        <f>IF('Lab test'!P31&gt;0,'Lab test'!P31,NA())</f>
        <v>0.19809058450577152</v>
      </c>
      <c r="AN38" s="401">
        <f>IF('Lab test'!AU31&gt;0,'Lab test'!AU31,NA())</f>
        <v>0.89629190091130784</v>
      </c>
      <c r="AO38" s="401">
        <f>IF('Lab test'!AT31&gt;0,'Lab test'!AT31,NA())</f>
        <v>0.42556011044727304</v>
      </c>
      <c r="AP38">
        <f t="shared" si="34"/>
        <v>1</v>
      </c>
      <c r="AQ38" s="401">
        <f>'Lab test'!AZ31</f>
        <v>1965</v>
      </c>
      <c r="AR38" t="str">
        <f>'Lab test'!AC31</f>
        <v>Machined</v>
      </c>
      <c r="AS38" t="str">
        <f>'Lab test'!T31</f>
        <v>Aluminium</v>
      </c>
      <c r="AV38" s="7"/>
      <c r="AW38" s="321"/>
      <c r="AX38" t="e">
        <f t="shared" si="12"/>
        <v>#N/A</v>
      </c>
      <c r="AY38" t="e">
        <f t="shared" si="13"/>
        <v>#N/A</v>
      </c>
      <c r="AZ38" t="e">
        <f t="shared" si="13"/>
        <v>#N/A</v>
      </c>
      <c r="BA38" t="e">
        <f t="shared" si="13"/>
        <v>#N/A</v>
      </c>
      <c r="BB38" t="e">
        <f t="shared" si="13"/>
        <v>#N/A</v>
      </c>
      <c r="BC38" t="e">
        <f t="shared" si="13"/>
        <v>#N/A</v>
      </c>
      <c r="BD38" t="e">
        <f t="shared" si="13"/>
        <v>#N/A</v>
      </c>
      <c r="BG38" t="e">
        <f t="shared" si="14"/>
        <v>#N/A</v>
      </c>
      <c r="BH38" t="e">
        <f t="shared" si="15"/>
        <v>#N/A</v>
      </c>
      <c r="BI38" t="e">
        <f t="shared" si="15"/>
        <v>#N/A</v>
      </c>
      <c r="BJ38" t="e">
        <f t="shared" si="15"/>
        <v>#N/A</v>
      </c>
      <c r="BK38" t="e">
        <f t="shared" si="15"/>
        <v>#N/A</v>
      </c>
      <c r="BL38" t="e">
        <f t="shared" si="15"/>
        <v>#N/A</v>
      </c>
      <c r="BM38" t="e">
        <f t="shared" si="15"/>
        <v>#N/A</v>
      </c>
      <c r="BP38" t="e">
        <f t="shared" si="16"/>
        <v>#N/A</v>
      </c>
      <c r="BQ38" t="e">
        <f t="shared" si="17"/>
        <v>#N/A</v>
      </c>
      <c r="BR38" t="e">
        <f t="shared" si="17"/>
        <v>#N/A</v>
      </c>
      <c r="BS38" t="e">
        <f t="shared" si="17"/>
        <v>#N/A</v>
      </c>
      <c r="BT38" t="e">
        <f t="shared" si="17"/>
        <v>#N/A</v>
      </c>
      <c r="BU38" t="e">
        <f t="shared" si="17"/>
        <v>#N/A</v>
      </c>
      <c r="BV38" t="e">
        <f t="shared" si="17"/>
        <v>#N/A</v>
      </c>
      <c r="BY38" t="e">
        <f t="shared" si="18"/>
        <v>#N/A</v>
      </c>
      <c r="BZ38">
        <v>206842.71840000001</v>
      </c>
      <c r="CA38" cm="1">
        <f t="array" ref="CA38">IF(ISNUMBER(BZ38),AF38/COUNT(IF(ISNUMBER(_xlfn.ANCHORARRAY($BZ$11)),_xlfn.ANCHORARRAY($BZ$11))),NA())</f>
        <v>0.35897435897435898</v>
      </c>
      <c r="CB38" t="e">
        <f t="shared" si="19"/>
        <v>#N/A</v>
      </c>
      <c r="CD38" t="e">
        <f t="shared" si="20"/>
        <v>#N/A</v>
      </c>
      <c r="CE38">
        <f t="shared" si="21"/>
        <v>206842.71840000001</v>
      </c>
      <c r="CG38" t="e">
        <v>#N/A</v>
      </c>
      <c r="CH38">
        <v>205000</v>
      </c>
      <c r="CL38" t="e">
        <f t="shared" si="23"/>
        <v>#N/A</v>
      </c>
      <c r="CM38">
        <v>71412.448663991308</v>
      </c>
      <c r="CN38" cm="1">
        <f t="array" ref="CN38">IF(ISNUMBER(CM38),AF38/COUNT(IF(ISNUMBER(_xlfn.ANCHORARRAY($CM$11)),_xlfn.ANCHORARRAY($CM$11))),NA())</f>
        <v>0.50909090909090904</v>
      </c>
      <c r="CO38">
        <f t="shared" si="24"/>
        <v>0.50909090909090904</v>
      </c>
      <c r="CQ38">
        <f t="shared" si="25"/>
        <v>0.50909090909090904</v>
      </c>
      <c r="CR38">
        <f t="shared" si="26"/>
        <v>71412.448663991308</v>
      </c>
      <c r="CT38" t="e">
        <v>#N/A</v>
      </c>
      <c r="CU38">
        <v>71412.448663991308</v>
      </c>
      <c r="CY38" t="e">
        <f t="shared" si="28"/>
        <v>#N/A</v>
      </c>
      <c r="CZ38">
        <v>112384.54388</v>
      </c>
      <c r="DA38" cm="1">
        <f t="array" ref="DA38">IF(ISNUMBER(CZ38),AF38/COUNT(IF(ISNUMBER(_xlfn.ANCHORARRAY($CZ$11)),_xlfn.ANCHORARRAY($CZ$11))),NA())</f>
        <v>0.93333333333333335</v>
      </c>
      <c r="DB38" t="e">
        <f t="shared" si="29"/>
        <v>#N/A</v>
      </c>
      <c r="DD38" t="e">
        <f t="shared" si="30"/>
        <v>#N/A</v>
      </c>
      <c r="DE38">
        <f t="shared" si="31"/>
        <v>112384.54388</v>
      </c>
      <c r="DG38" t="e">
        <v>#N/A</v>
      </c>
      <c r="DH38">
        <v>112384.54388</v>
      </c>
    </row>
    <row r="39" spans="32:112">
      <c r="AF39">
        <v>29</v>
      </c>
      <c r="AG39" s="401">
        <f>'Lab test'!N32</f>
        <v>34.493450000000003</v>
      </c>
      <c r="AH39" s="401">
        <f>'Lab test'!M32</f>
        <v>0.40132000000000001</v>
      </c>
      <c r="AI39">
        <f>IF('Lab test'!O32&gt;0,'Lab test'!O32,NA())</f>
        <v>25.4</v>
      </c>
      <c r="AJ39">
        <f>'Lab test'!Q32</f>
        <v>85.95</v>
      </c>
      <c r="AK39" s="401">
        <f>IF('Lab test'!V32&gt;0,'Lab test'!V32,NA())</f>
        <v>74463.38</v>
      </c>
      <c r="AL39" s="7">
        <f>IF(MAX('Lab test'!W32,'Lab test'!X32)&gt;0,MAX('Lab test'!W32,'Lab test'!X32),NA())</f>
        <v>389.55</v>
      </c>
      <c r="AM39" s="401">
        <f>IF('Lab test'!P32&gt;0,'Lab test'!P32,NA())</f>
        <v>7.9428098745692621E-2</v>
      </c>
      <c r="AN39" s="401">
        <f>IF('Lab test'!AU32&gt;0,'Lab test'!AU32,NA())</f>
        <v>0.77328186368887175</v>
      </c>
      <c r="AO39" s="401">
        <f>IF('Lab test'!AT32&gt;0,'Lab test'!AT32,NA())</f>
        <v>0.57449392656608378</v>
      </c>
      <c r="AP39">
        <f t="shared" si="34"/>
        <v>1</v>
      </c>
      <c r="AQ39" s="401">
        <f>'Lab test'!AZ32</f>
        <v>1965</v>
      </c>
      <c r="AR39" t="str">
        <f>'Lab test'!AC32</f>
        <v>Machined</v>
      </c>
      <c r="AS39" t="str">
        <f>'Lab test'!T32</f>
        <v>Aluminium</v>
      </c>
      <c r="AV39" s="7"/>
      <c r="AW39" s="321"/>
      <c r="AX39" t="e">
        <f t="shared" si="12"/>
        <v>#N/A</v>
      </c>
      <c r="AY39" t="e">
        <f t="shared" si="13"/>
        <v>#N/A</v>
      </c>
      <c r="AZ39" t="e">
        <f t="shared" si="13"/>
        <v>#N/A</v>
      </c>
      <c r="BA39" t="e">
        <f t="shared" si="13"/>
        <v>#N/A</v>
      </c>
      <c r="BB39" t="e">
        <f t="shared" si="13"/>
        <v>#N/A</v>
      </c>
      <c r="BC39" t="e">
        <f t="shared" si="13"/>
        <v>#N/A</v>
      </c>
      <c r="BD39" t="e">
        <f t="shared" si="13"/>
        <v>#N/A</v>
      </c>
      <c r="BG39" t="e">
        <f t="shared" si="14"/>
        <v>#N/A</v>
      </c>
      <c r="BH39" t="e">
        <f t="shared" si="15"/>
        <v>#N/A</v>
      </c>
      <c r="BI39" t="e">
        <f t="shared" si="15"/>
        <v>#N/A</v>
      </c>
      <c r="BJ39" t="e">
        <f t="shared" si="15"/>
        <v>#N/A</v>
      </c>
      <c r="BK39" t="e">
        <f t="shared" si="15"/>
        <v>#N/A</v>
      </c>
      <c r="BL39" t="e">
        <f t="shared" si="15"/>
        <v>#N/A</v>
      </c>
      <c r="BM39" t="e">
        <f t="shared" si="15"/>
        <v>#N/A</v>
      </c>
      <c r="BP39" t="e">
        <f t="shared" si="16"/>
        <v>#N/A</v>
      </c>
      <c r="BQ39" t="e">
        <f t="shared" si="17"/>
        <v>#N/A</v>
      </c>
      <c r="BR39" t="e">
        <f t="shared" si="17"/>
        <v>#N/A</v>
      </c>
      <c r="BS39" t="e">
        <f t="shared" si="17"/>
        <v>#N/A</v>
      </c>
      <c r="BT39" t="e">
        <f t="shared" si="17"/>
        <v>#N/A</v>
      </c>
      <c r="BU39" t="e">
        <f t="shared" si="17"/>
        <v>#N/A</v>
      </c>
      <c r="BV39" t="e">
        <f t="shared" si="17"/>
        <v>#N/A</v>
      </c>
      <c r="BY39" t="e">
        <f t="shared" si="18"/>
        <v>#N/A</v>
      </c>
      <c r="BZ39">
        <v>206842.71840000001</v>
      </c>
      <c r="CA39" cm="1">
        <f t="array" ref="CA39">IF(ISNUMBER(BZ39),AF39/COUNT(IF(ISNUMBER(_xlfn.ANCHORARRAY($BZ$11)),_xlfn.ANCHORARRAY($BZ$11))),NA())</f>
        <v>0.37179487179487181</v>
      </c>
      <c r="CB39" t="e">
        <f t="shared" si="19"/>
        <v>#N/A</v>
      </c>
      <c r="CD39" t="e">
        <f t="shared" si="20"/>
        <v>#N/A</v>
      </c>
      <c r="CE39">
        <f t="shared" si="21"/>
        <v>206842.71840000001</v>
      </c>
      <c r="CG39" t="e">
        <v>#N/A</v>
      </c>
      <c r="CH39">
        <v>205000</v>
      </c>
      <c r="CL39" t="e">
        <f t="shared" si="23"/>
        <v>#N/A</v>
      </c>
      <c r="CM39">
        <v>72705.215656460379</v>
      </c>
      <c r="CN39" cm="1">
        <f t="array" ref="CN39">IF(ISNUMBER(CM39),AF39/COUNT(IF(ISNUMBER(_xlfn.ANCHORARRAY($CM$11)),_xlfn.ANCHORARRAY($CM$11))),NA())</f>
        <v>0.52727272727272723</v>
      </c>
      <c r="CO39" t="e">
        <f t="shared" si="24"/>
        <v>#N/A</v>
      </c>
      <c r="CQ39" t="e">
        <f t="shared" si="25"/>
        <v>#N/A</v>
      </c>
      <c r="CR39">
        <f t="shared" si="26"/>
        <v>72705.215656460379</v>
      </c>
      <c r="CT39" t="e">
        <v>#N/A</v>
      </c>
      <c r="CU39">
        <v>71412.448663991308</v>
      </c>
      <c r="CY39" t="e">
        <f t="shared" si="28"/>
        <v>#N/A</v>
      </c>
      <c r="CZ39">
        <v>112384.54388</v>
      </c>
      <c r="DA39" cm="1">
        <f t="array" ref="DA39">IF(ISNUMBER(CZ39),AF39/COUNT(IF(ISNUMBER(_xlfn.ANCHORARRAY($CZ$11)),_xlfn.ANCHORARRAY($CZ$11))),NA())</f>
        <v>0.96666666666666667</v>
      </c>
      <c r="DB39">
        <f t="shared" si="29"/>
        <v>0.96666666666666667</v>
      </c>
      <c r="DD39">
        <f t="shared" si="30"/>
        <v>0.96666666666666667</v>
      </c>
      <c r="DE39">
        <f t="shared" si="31"/>
        <v>112384.54388</v>
      </c>
      <c r="DG39" t="e">
        <v>#N/A</v>
      </c>
      <c r="DH39">
        <v>112384.54388</v>
      </c>
    </row>
    <row r="40" spans="32:112">
      <c r="AF40">
        <v>30</v>
      </c>
      <c r="AG40" s="401">
        <f>'Lab test'!N33</f>
        <v>34.813490000000002</v>
      </c>
      <c r="AH40" s="401">
        <f>'Lab test'!M33</f>
        <v>3.5890200000000001</v>
      </c>
      <c r="AI40">
        <f>IF('Lab test'!O33&gt;0,'Lab test'!O33,NA())</f>
        <v>101.6</v>
      </c>
      <c r="AJ40">
        <f>'Lab test'!Q33</f>
        <v>9.6999999999999993</v>
      </c>
      <c r="AK40" s="401">
        <f>IF('Lab test'!V33&gt;0,'Lab test'!V33,NA())</f>
        <v>74463.38</v>
      </c>
      <c r="AL40" s="7">
        <f>IF(MAX('Lab test'!W33,'Lab test'!X33)&gt;0,MAX('Lab test'!W33,'Lab test'!X33),NA())</f>
        <v>389.55</v>
      </c>
      <c r="AM40" s="401">
        <f>IF('Lab test'!P33&gt;0,'Lab test'!P33,NA())</f>
        <v>0.93704468775581917</v>
      </c>
      <c r="AN40" s="401">
        <f>IF('Lab test'!AU33&gt;0,'Lab test'!AU33,NA())</f>
        <v>1.2253216531895776</v>
      </c>
      <c r="AO40" s="401">
        <f>IF('Lab test'!AT33&gt;0,'Lab test'!AT33,NA())</f>
        <v>0.1027362191960427</v>
      </c>
      <c r="AP40">
        <f t="shared" si="34"/>
        <v>1</v>
      </c>
      <c r="AQ40" s="401">
        <f>'Lab test'!AZ33</f>
        <v>1965</v>
      </c>
      <c r="AR40" t="str">
        <f>'Lab test'!AC33</f>
        <v>Machined</v>
      </c>
      <c r="AS40" t="str">
        <f>'Lab test'!T33</f>
        <v>Aluminium</v>
      </c>
      <c r="AV40" s="7"/>
      <c r="AW40" s="321"/>
      <c r="AX40" t="e">
        <f t="shared" si="12"/>
        <v>#N/A</v>
      </c>
      <c r="AY40" t="e">
        <f t="shared" si="13"/>
        <v>#N/A</v>
      </c>
      <c r="AZ40" t="e">
        <f t="shared" si="13"/>
        <v>#N/A</v>
      </c>
      <c r="BA40" t="e">
        <f t="shared" si="13"/>
        <v>#N/A</v>
      </c>
      <c r="BB40" t="e">
        <f t="shared" si="13"/>
        <v>#N/A</v>
      </c>
      <c r="BC40" t="e">
        <f t="shared" si="13"/>
        <v>#N/A</v>
      </c>
      <c r="BD40" t="e">
        <f t="shared" si="13"/>
        <v>#N/A</v>
      </c>
      <c r="BG40" t="e">
        <f t="shared" si="14"/>
        <v>#N/A</v>
      </c>
      <c r="BH40" t="e">
        <f t="shared" si="15"/>
        <v>#N/A</v>
      </c>
      <c r="BI40" t="e">
        <f t="shared" si="15"/>
        <v>#N/A</v>
      </c>
      <c r="BJ40" t="e">
        <f t="shared" si="15"/>
        <v>#N/A</v>
      </c>
      <c r="BK40" t="e">
        <f t="shared" si="15"/>
        <v>#N/A</v>
      </c>
      <c r="BL40" t="e">
        <f t="shared" si="15"/>
        <v>#N/A</v>
      </c>
      <c r="BM40" t="e">
        <f t="shared" si="15"/>
        <v>#N/A</v>
      </c>
      <c r="BP40" t="e">
        <f t="shared" si="16"/>
        <v>#N/A</v>
      </c>
      <c r="BQ40" t="e">
        <f t="shared" si="17"/>
        <v>#N/A</v>
      </c>
      <c r="BR40" t="e">
        <f t="shared" si="17"/>
        <v>#N/A</v>
      </c>
      <c r="BS40" t="e">
        <f t="shared" si="17"/>
        <v>#N/A</v>
      </c>
      <c r="BT40" t="e">
        <f t="shared" si="17"/>
        <v>#N/A</v>
      </c>
      <c r="BU40" t="e">
        <f t="shared" si="17"/>
        <v>#N/A</v>
      </c>
      <c r="BV40" t="e">
        <f t="shared" si="17"/>
        <v>#N/A</v>
      </c>
      <c r="BY40" t="e">
        <f t="shared" si="18"/>
        <v>#N/A</v>
      </c>
      <c r="BZ40">
        <v>206842.71840000001</v>
      </c>
      <c r="CA40" cm="1">
        <f t="array" ref="CA40">IF(ISNUMBER(BZ40),AF40/COUNT(IF(ISNUMBER(_xlfn.ANCHORARRAY($BZ$11)),_xlfn.ANCHORARRAY($BZ$11))),NA())</f>
        <v>0.38461538461538464</v>
      </c>
      <c r="CB40" t="e">
        <f t="shared" si="19"/>
        <v>#N/A</v>
      </c>
      <c r="CD40" t="e">
        <f t="shared" si="20"/>
        <v>#N/A</v>
      </c>
      <c r="CE40">
        <f t="shared" si="21"/>
        <v>206842.71840000001</v>
      </c>
      <c r="CG40" t="e">
        <v>#N/A</v>
      </c>
      <c r="CH40">
        <v>206842.71840000001</v>
      </c>
      <c r="CL40" t="e">
        <f t="shared" si="23"/>
        <v>#N/A</v>
      </c>
      <c r="CM40">
        <v>72705.215656460379</v>
      </c>
      <c r="CN40" cm="1">
        <f t="array" ref="CN40">IF(ISNUMBER(CM40),AF40/COUNT(IF(ISNUMBER(_xlfn.ANCHORARRAY($CM$11)),_xlfn.ANCHORARRAY($CM$11))),NA())</f>
        <v>0.54545454545454541</v>
      </c>
      <c r="CO40" t="e">
        <f t="shared" si="24"/>
        <v>#N/A</v>
      </c>
      <c r="CQ40" t="e">
        <f t="shared" si="25"/>
        <v>#N/A</v>
      </c>
      <c r="CR40">
        <f t="shared" si="26"/>
        <v>72705.215656460379</v>
      </c>
      <c r="CT40" t="e">
        <v>#N/A</v>
      </c>
      <c r="CU40">
        <v>72705.215656460379</v>
      </c>
      <c r="CY40" t="e">
        <f t="shared" si="28"/>
        <v>#N/A</v>
      </c>
      <c r="CZ40">
        <v>113763.49533727797</v>
      </c>
      <c r="DA40" cm="1">
        <f t="array" ref="DA40">IF(ISNUMBER(CZ40),AF40/COUNT(IF(ISNUMBER(_xlfn.ANCHORARRAY($CZ$11)),_xlfn.ANCHORARRAY($CZ$11))),NA())</f>
        <v>1</v>
      </c>
      <c r="DB40" t="e">
        <f t="shared" si="29"/>
        <v>#N/A</v>
      </c>
      <c r="DD40">
        <v>1</v>
      </c>
      <c r="DE40">
        <f t="shared" si="31"/>
        <v>113763.49533727797</v>
      </c>
      <c r="DG40" t="e">
        <v>#N/A</v>
      </c>
      <c r="DH40">
        <v>112384.54388</v>
      </c>
    </row>
    <row r="41" spans="32:112">
      <c r="AF41">
        <v>31</v>
      </c>
      <c r="AG41" s="401">
        <f>'Lab test'!N34</f>
        <v>43.3324</v>
      </c>
      <c r="AH41" s="401">
        <f>'Lab test'!M34</f>
        <v>2.3113999999999999</v>
      </c>
      <c r="AI41">
        <f>IF('Lab test'!O34&gt;0,'Lab test'!O34,NA())</f>
        <v>127.0254</v>
      </c>
      <c r="AJ41">
        <f>'Lab test'!Q34</f>
        <v>18.7</v>
      </c>
      <c r="AK41" s="401">
        <f>IF('Lab test'!V34&gt;0,'Lab test'!V34,NA())</f>
        <v>217184.9</v>
      </c>
      <c r="AL41" s="7">
        <f>IF(MAX('Lab test'!W34,'Lab test'!X34)&gt;0,MAX('Lab test'!W34,'Lab test'!X34),NA())</f>
        <v>251.65860000000001</v>
      </c>
      <c r="AM41" s="401">
        <f>IF('Lab test'!P34&gt;0,'Lab test'!P34,NA())</f>
        <v>0.67703171052205713</v>
      </c>
      <c r="AN41" s="401">
        <f>IF('Lab test'!AU34&gt;0,'Lab test'!AU34,NA())</f>
        <v>1.2807080054902387</v>
      </c>
      <c r="AO41" s="401">
        <f>IF('Lab test'!AT34&gt;0,'Lab test'!AT34,NA())</f>
        <v>4.634293759890018E-2</v>
      </c>
      <c r="AP41">
        <f t="shared" si="34"/>
        <v>1</v>
      </c>
      <c r="AQ41" s="401">
        <f>'Lab test'!AZ34</f>
        <v>1980</v>
      </c>
      <c r="AR41" t="str">
        <f>'Lab test'!AC34</f>
        <v>Tubes</v>
      </c>
      <c r="AS41" t="str">
        <f>'Lab test'!T34</f>
        <v>Steel</v>
      </c>
      <c r="AV41" s="7"/>
      <c r="AW41" s="321"/>
      <c r="AX41" t="e">
        <f t="shared" si="12"/>
        <v>#N/A</v>
      </c>
      <c r="AY41" t="e">
        <f t="shared" si="13"/>
        <v>#N/A</v>
      </c>
      <c r="AZ41" t="e">
        <f t="shared" si="13"/>
        <v>#N/A</v>
      </c>
      <c r="BA41" t="e">
        <f t="shared" si="13"/>
        <v>#N/A</v>
      </c>
      <c r="BB41" t="e">
        <f t="shared" si="13"/>
        <v>#N/A</v>
      </c>
      <c r="BC41" t="e">
        <f t="shared" si="13"/>
        <v>#N/A</v>
      </c>
      <c r="BD41" t="e">
        <f t="shared" si="13"/>
        <v>#N/A</v>
      </c>
      <c r="BG41" t="e">
        <f t="shared" si="14"/>
        <v>#N/A</v>
      </c>
      <c r="BH41" t="e">
        <f t="shared" si="15"/>
        <v>#N/A</v>
      </c>
      <c r="BI41" t="e">
        <f t="shared" si="15"/>
        <v>#N/A</v>
      </c>
      <c r="BJ41" t="e">
        <f t="shared" si="15"/>
        <v>#N/A</v>
      </c>
      <c r="BK41" t="e">
        <f t="shared" si="15"/>
        <v>#N/A</v>
      </c>
      <c r="BL41" t="e">
        <f t="shared" si="15"/>
        <v>#N/A</v>
      </c>
      <c r="BM41" t="e">
        <f t="shared" si="15"/>
        <v>#N/A</v>
      </c>
      <c r="BP41" t="e">
        <f t="shared" si="16"/>
        <v>#N/A</v>
      </c>
      <c r="BQ41" t="e">
        <f t="shared" si="17"/>
        <v>#N/A</v>
      </c>
      <c r="BR41" t="e">
        <f t="shared" si="17"/>
        <v>#N/A</v>
      </c>
      <c r="BS41" t="e">
        <f t="shared" si="17"/>
        <v>#N/A</v>
      </c>
      <c r="BT41" t="e">
        <f t="shared" si="17"/>
        <v>#N/A</v>
      </c>
      <c r="BU41" t="e">
        <f t="shared" si="17"/>
        <v>#N/A</v>
      </c>
      <c r="BV41" t="e">
        <f t="shared" si="17"/>
        <v>#N/A</v>
      </c>
      <c r="BY41" t="e">
        <f t="shared" si="18"/>
        <v>#N/A</v>
      </c>
      <c r="BZ41">
        <v>206842.71840000001</v>
      </c>
      <c r="CA41" cm="1">
        <f t="array" ref="CA41">IF(ISNUMBER(BZ41),AF41/COUNT(IF(ISNUMBER(_xlfn.ANCHORARRAY($BZ$11)),_xlfn.ANCHORARRAY($BZ$11))),NA())</f>
        <v>0.39743589743589741</v>
      </c>
      <c r="CB41" t="e">
        <f t="shared" si="19"/>
        <v>#N/A</v>
      </c>
      <c r="CD41" t="e">
        <f t="shared" si="20"/>
        <v>#N/A</v>
      </c>
      <c r="CE41">
        <f t="shared" si="21"/>
        <v>206842.71840000001</v>
      </c>
      <c r="CG41" t="e">
        <v>#N/A</v>
      </c>
      <c r="CH41">
        <v>206842.71840000001</v>
      </c>
      <c r="CL41" t="e">
        <f t="shared" si="23"/>
        <v>#N/A</v>
      </c>
      <c r="CM41">
        <v>72705.215656460379</v>
      </c>
      <c r="CN41" cm="1">
        <f t="array" ref="CN41">IF(ISNUMBER(CM41),AF41/COUNT(IF(ISNUMBER(_xlfn.ANCHORARRAY($CM$11)),_xlfn.ANCHORARRAY($CM$11))),NA())</f>
        <v>0.5636363636363636</v>
      </c>
      <c r="CO41" t="e">
        <f t="shared" si="24"/>
        <v>#N/A</v>
      </c>
      <c r="CQ41" t="e">
        <f t="shared" si="25"/>
        <v>#N/A</v>
      </c>
      <c r="CR41">
        <f t="shared" si="26"/>
        <v>72705.215656460379</v>
      </c>
      <c r="CT41" t="e">
        <v>#N/A</v>
      </c>
      <c r="CU41">
        <v>72705.215656460379</v>
      </c>
      <c r="CY41" t="e">
        <f t="shared" si="28"/>
        <v>#N/A</v>
      </c>
      <c r="CZ41" t="e">
        <v>#N/A</v>
      </c>
      <c r="DA41" t="e" cm="1">
        <f t="array" ref="DA41">IF(ISNUMBER(CZ41),AF41/COUNT(IF(ISNUMBER(_xlfn.ANCHORARRAY($CZ$11)),_xlfn.ANCHORARRAY($CZ$11))),NA())</f>
        <v>#N/A</v>
      </c>
      <c r="DB41" t="e">
        <f t="shared" si="29"/>
        <v>#N/A</v>
      </c>
      <c r="DD41" t="e">
        <f t="shared" si="30"/>
        <v>#N/A</v>
      </c>
      <c r="DE41" t="e">
        <f t="shared" si="31"/>
        <v>#N/A</v>
      </c>
      <c r="DG41" t="e">
        <v>#N/A</v>
      </c>
      <c r="DH41" t="e">
        <v>#N/A</v>
      </c>
    </row>
    <row r="42" spans="32:112">
      <c r="AF42">
        <v>32</v>
      </c>
      <c r="AG42" s="401">
        <f>'Lab test'!N35</f>
        <v>43.3324</v>
      </c>
      <c r="AH42" s="401">
        <f>'Lab test'!M35</f>
        <v>2.3622000000000001</v>
      </c>
      <c r="AI42">
        <f>IF('Lab test'!O35&gt;0,'Lab test'!O35,NA())</f>
        <v>127.127</v>
      </c>
      <c r="AJ42">
        <f>'Lab test'!Q35</f>
        <v>18.3</v>
      </c>
      <c r="AK42" s="401">
        <f>IF('Lab test'!V35&gt;0,'Lab test'!V35,NA())</f>
        <v>217184.9</v>
      </c>
      <c r="AL42" s="7">
        <f>IF(MAX('Lab test'!W35,'Lab test'!X35)&gt;0,MAX('Lab test'!W35,'Lab test'!X35),NA())</f>
        <v>251.65860000000001</v>
      </c>
      <c r="AM42" s="401">
        <f>IF('Lab test'!P35&gt;0,'Lab test'!P35,NA())</f>
        <v>0.68497861940704874</v>
      </c>
      <c r="AN42" s="401">
        <f>IF('Lab test'!AU35&gt;0,'Lab test'!AU35,NA())</f>
        <v>1.310877485246057</v>
      </c>
      <c r="AO42" s="401">
        <f>IF('Lab test'!AT35&gt;0,'Lab test'!AT35,NA())</f>
        <v>4.641453281394127E-2</v>
      </c>
      <c r="AP42">
        <f t="shared" si="34"/>
        <v>1</v>
      </c>
      <c r="AQ42" s="401">
        <f>'Lab test'!AZ35</f>
        <v>1980</v>
      </c>
      <c r="AR42" t="str">
        <f>'Lab test'!AC35</f>
        <v>Tubes</v>
      </c>
      <c r="AS42" t="str">
        <f>'Lab test'!T35</f>
        <v>Steel</v>
      </c>
      <c r="AV42" s="7"/>
      <c r="AW42" s="321"/>
      <c r="AX42" t="e">
        <f t="shared" si="12"/>
        <v>#N/A</v>
      </c>
      <c r="AY42" t="e">
        <f t="shared" si="13"/>
        <v>#N/A</v>
      </c>
      <c r="AZ42" t="e">
        <f t="shared" si="13"/>
        <v>#N/A</v>
      </c>
      <c r="BA42" t="e">
        <f t="shared" si="13"/>
        <v>#N/A</v>
      </c>
      <c r="BB42" t="e">
        <f t="shared" si="13"/>
        <v>#N/A</v>
      </c>
      <c r="BC42" t="e">
        <f t="shared" si="13"/>
        <v>#N/A</v>
      </c>
      <c r="BD42" t="e">
        <f t="shared" si="13"/>
        <v>#N/A</v>
      </c>
      <c r="BG42" t="e">
        <f t="shared" si="14"/>
        <v>#N/A</v>
      </c>
      <c r="BH42" t="e">
        <f t="shared" si="15"/>
        <v>#N/A</v>
      </c>
      <c r="BI42" t="e">
        <f t="shared" si="15"/>
        <v>#N/A</v>
      </c>
      <c r="BJ42" t="e">
        <f t="shared" si="15"/>
        <v>#N/A</v>
      </c>
      <c r="BK42" t="e">
        <f t="shared" si="15"/>
        <v>#N/A</v>
      </c>
      <c r="BL42" t="e">
        <f t="shared" si="15"/>
        <v>#N/A</v>
      </c>
      <c r="BM42" t="e">
        <f t="shared" si="15"/>
        <v>#N/A</v>
      </c>
      <c r="BP42" t="e">
        <f t="shared" si="16"/>
        <v>#N/A</v>
      </c>
      <c r="BQ42" t="e">
        <f t="shared" si="17"/>
        <v>#N/A</v>
      </c>
      <c r="BR42" t="e">
        <f t="shared" si="17"/>
        <v>#N/A</v>
      </c>
      <c r="BS42" t="e">
        <f t="shared" si="17"/>
        <v>#N/A</v>
      </c>
      <c r="BT42" t="e">
        <f t="shared" si="17"/>
        <v>#N/A</v>
      </c>
      <c r="BU42" t="e">
        <f t="shared" si="17"/>
        <v>#N/A</v>
      </c>
      <c r="BV42" t="e">
        <f t="shared" si="17"/>
        <v>#N/A</v>
      </c>
      <c r="BY42" t="e">
        <f t="shared" si="18"/>
        <v>#N/A</v>
      </c>
      <c r="BZ42">
        <v>206842.71840000001</v>
      </c>
      <c r="CA42" cm="1">
        <f t="array" ref="CA42">IF(ISNUMBER(BZ42),AF42/COUNT(IF(ISNUMBER(_xlfn.ANCHORARRAY($BZ$11)),_xlfn.ANCHORARRAY($BZ$11))),NA())</f>
        <v>0.41025641025641024</v>
      </c>
      <c r="CB42" t="e">
        <f t="shared" si="19"/>
        <v>#N/A</v>
      </c>
      <c r="CD42" t="e">
        <f t="shared" si="20"/>
        <v>#N/A</v>
      </c>
      <c r="CE42">
        <f t="shared" si="21"/>
        <v>206842.71840000001</v>
      </c>
      <c r="CG42" t="e">
        <v>#N/A</v>
      </c>
      <c r="CH42">
        <v>206842.71840000001</v>
      </c>
      <c r="CL42" t="e">
        <f t="shared" si="23"/>
        <v>#N/A</v>
      </c>
      <c r="CM42">
        <v>72705.215656460379</v>
      </c>
      <c r="CN42" cm="1">
        <f t="array" ref="CN42">IF(ISNUMBER(CM42),AF42/COUNT(IF(ISNUMBER(_xlfn.ANCHORARRAY($CM$11)),_xlfn.ANCHORARRAY($CM$11))),NA())</f>
        <v>0.58181818181818179</v>
      </c>
      <c r="CO42" t="e">
        <f t="shared" si="24"/>
        <v>#N/A</v>
      </c>
      <c r="CQ42" t="e">
        <f t="shared" si="25"/>
        <v>#N/A</v>
      </c>
      <c r="CR42">
        <f t="shared" si="26"/>
        <v>72705.215656460379</v>
      </c>
      <c r="CT42" t="e">
        <v>#N/A</v>
      </c>
      <c r="CU42">
        <v>72705.215656460379</v>
      </c>
      <c r="CY42" t="e">
        <f t="shared" si="28"/>
        <v>#N/A</v>
      </c>
      <c r="CZ42" t="e">
        <v>#N/A</v>
      </c>
      <c r="DA42" t="e" cm="1">
        <f t="array" ref="DA42">IF(ISNUMBER(CZ42),AF42/COUNT(IF(ISNUMBER(_xlfn.ANCHORARRAY($CZ$11)),_xlfn.ANCHORARRAY($CZ$11))),NA())</f>
        <v>#N/A</v>
      </c>
      <c r="DB42" t="e">
        <f t="shared" si="29"/>
        <v>#N/A</v>
      </c>
      <c r="DD42" t="e">
        <f t="shared" si="30"/>
        <v>#N/A</v>
      </c>
      <c r="DE42" t="e">
        <f t="shared" si="31"/>
        <v>#N/A</v>
      </c>
      <c r="DG42" t="e">
        <v>#N/A</v>
      </c>
      <c r="DH42" t="e">
        <v>#N/A</v>
      </c>
    </row>
    <row r="43" spans="32:112">
      <c r="AF43">
        <v>33</v>
      </c>
      <c r="AG43" s="401">
        <f>'Lab test'!N36</f>
        <v>43.3324</v>
      </c>
      <c r="AH43" s="401">
        <f>'Lab test'!M36</f>
        <v>2.3622000000000001</v>
      </c>
      <c r="AI43">
        <f>IF('Lab test'!O36&gt;0,'Lab test'!O36,NA())</f>
        <v>254.35560000000001</v>
      </c>
      <c r="AJ43">
        <f>'Lab test'!Q36</f>
        <v>18.3</v>
      </c>
      <c r="AK43" s="401">
        <f>IF('Lab test'!V36&gt;0,'Lab test'!V36,NA())</f>
        <v>217184.9</v>
      </c>
      <c r="AL43" s="7">
        <f>IF(MAX('Lab test'!W36,'Lab test'!X36)&gt;0,MAX('Lab test'!W36,'Lab test'!X36),NA())</f>
        <v>251.65860000000001</v>
      </c>
      <c r="AM43" s="401">
        <f>IF('Lab test'!P36&gt;0,'Lab test'!P36,NA())</f>
        <v>1.3705046742741633</v>
      </c>
      <c r="AN43" s="401">
        <f>IF('Lab test'!AU36&gt;0,'Lab test'!AU36,NA())</f>
        <v>1.3383591935321377</v>
      </c>
      <c r="AO43" s="401">
        <f>IF('Lab test'!AT36&gt;0,'Lab test'!AT36,NA())</f>
        <v>4.738758381632998E-2</v>
      </c>
      <c r="AP43">
        <f t="shared" si="34"/>
        <v>1</v>
      </c>
      <c r="AQ43" s="401">
        <f>'Lab test'!AZ36</f>
        <v>1980</v>
      </c>
      <c r="AR43" t="str">
        <f>'Lab test'!AC36</f>
        <v>Tubes</v>
      </c>
      <c r="AS43" t="str">
        <f>'Lab test'!T36</f>
        <v>Steel</v>
      </c>
      <c r="AV43" s="7"/>
      <c r="AW43" s="321"/>
      <c r="AX43" t="e">
        <f t="shared" si="12"/>
        <v>#N/A</v>
      </c>
      <c r="AY43" t="e">
        <f t="shared" si="13"/>
        <v>#N/A</v>
      </c>
      <c r="AZ43" t="e">
        <f t="shared" si="13"/>
        <v>#N/A</v>
      </c>
      <c r="BA43" t="e">
        <f t="shared" si="13"/>
        <v>#N/A</v>
      </c>
      <c r="BB43" t="e">
        <f t="shared" si="13"/>
        <v>#N/A</v>
      </c>
      <c r="BC43" t="e">
        <f t="shared" si="13"/>
        <v>#N/A</v>
      </c>
      <c r="BD43" t="e">
        <f t="shared" si="13"/>
        <v>#N/A</v>
      </c>
      <c r="BG43" t="e">
        <f t="shared" si="14"/>
        <v>#N/A</v>
      </c>
      <c r="BH43" t="e">
        <f t="shared" si="15"/>
        <v>#N/A</v>
      </c>
      <c r="BI43" t="e">
        <f t="shared" si="15"/>
        <v>#N/A</v>
      </c>
      <c r="BJ43" t="e">
        <f t="shared" si="15"/>
        <v>#N/A</v>
      </c>
      <c r="BK43" t="e">
        <f t="shared" si="15"/>
        <v>#N/A</v>
      </c>
      <c r="BL43" t="e">
        <f t="shared" si="15"/>
        <v>#N/A</v>
      </c>
      <c r="BM43" t="e">
        <f t="shared" si="15"/>
        <v>#N/A</v>
      </c>
      <c r="BP43" t="e">
        <f t="shared" si="16"/>
        <v>#N/A</v>
      </c>
      <c r="BQ43" t="e">
        <f t="shared" si="17"/>
        <v>#N/A</v>
      </c>
      <c r="BR43" t="e">
        <f t="shared" si="17"/>
        <v>#N/A</v>
      </c>
      <c r="BS43" t="e">
        <f t="shared" si="17"/>
        <v>#N/A</v>
      </c>
      <c r="BT43" t="e">
        <f t="shared" si="17"/>
        <v>#N/A</v>
      </c>
      <c r="BU43" t="e">
        <f t="shared" si="17"/>
        <v>#N/A</v>
      </c>
      <c r="BV43" t="e">
        <f t="shared" si="17"/>
        <v>#N/A</v>
      </c>
      <c r="BY43" t="e">
        <f t="shared" si="18"/>
        <v>#N/A</v>
      </c>
      <c r="BZ43">
        <v>206842.71840000001</v>
      </c>
      <c r="CA43" cm="1">
        <f t="array" ref="CA43">IF(ISNUMBER(BZ43),AF43/COUNT(IF(ISNUMBER(_xlfn.ANCHORARRAY($BZ$11)),_xlfn.ANCHORARRAY($BZ$11))),NA())</f>
        <v>0.42307692307692307</v>
      </c>
      <c r="CB43" t="e">
        <f t="shared" si="19"/>
        <v>#N/A</v>
      </c>
      <c r="CD43" t="e">
        <f t="shared" si="20"/>
        <v>#N/A</v>
      </c>
      <c r="CE43">
        <f t="shared" si="21"/>
        <v>206842.71840000001</v>
      </c>
      <c r="CG43" t="e">
        <v>#N/A</v>
      </c>
      <c r="CH43">
        <v>206842.71840000001</v>
      </c>
      <c r="CL43" t="e">
        <f t="shared" si="23"/>
        <v>#N/A</v>
      </c>
      <c r="CM43">
        <v>72705.215656460379</v>
      </c>
      <c r="CN43" cm="1">
        <f t="array" ref="CN43">IF(ISNUMBER(CM43),AF43/COUNT(IF(ISNUMBER(_xlfn.ANCHORARRAY($CM$11)),_xlfn.ANCHORARRAY($CM$11))),NA())</f>
        <v>0.6</v>
      </c>
      <c r="CO43" t="e">
        <f t="shared" si="24"/>
        <v>#N/A</v>
      </c>
      <c r="CQ43" t="e">
        <f t="shared" si="25"/>
        <v>#N/A</v>
      </c>
      <c r="CR43">
        <f t="shared" si="26"/>
        <v>72705.215656460379</v>
      </c>
      <c r="CT43" t="e">
        <v>#N/A</v>
      </c>
      <c r="CU43">
        <v>72705.215656460379</v>
      </c>
      <c r="CY43" t="e">
        <f t="shared" si="28"/>
        <v>#N/A</v>
      </c>
      <c r="CZ43" t="e">
        <v>#N/A</v>
      </c>
      <c r="DA43" t="e" cm="1">
        <f t="array" ref="DA43">IF(ISNUMBER(CZ43),AF43/COUNT(IF(ISNUMBER(_xlfn.ANCHORARRAY($CZ$11)),_xlfn.ANCHORARRAY($CZ$11))),NA())</f>
        <v>#N/A</v>
      </c>
      <c r="DB43" t="e">
        <f t="shared" si="29"/>
        <v>#N/A</v>
      </c>
      <c r="DD43" t="e">
        <f t="shared" si="30"/>
        <v>#N/A</v>
      </c>
      <c r="DE43" t="e">
        <f t="shared" si="31"/>
        <v>#N/A</v>
      </c>
      <c r="DG43" t="e">
        <v>#N/A</v>
      </c>
      <c r="DH43" t="e">
        <v>#N/A</v>
      </c>
    </row>
    <row r="44" spans="32:112">
      <c r="AF44">
        <v>34</v>
      </c>
      <c r="AG44" s="401">
        <f>'Lab test'!N37</f>
        <v>43.205399999999997</v>
      </c>
      <c r="AH44" s="401">
        <f>'Lab test'!M37</f>
        <v>2.3368000000000002</v>
      </c>
      <c r="AI44">
        <f>IF('Lab test'!O37&gt;0,'Lab test'!O37,NA())</f>
        <v>126.6952</v>
      </c>
      <c r="AJ44">
        <f>'Lab test'!Q37</f>
        <v>18.5</v>
      </c>
      <c r="AK44" s="401">
        <f>IF('Lab test'!V37&gt;0,'Lab test'!V37,NA())</f>
        <v>217184.9</v>
      </c>
      <c r="AL44" s="7">
        <f>IF(MAX('Lab test'!W37,'Lab test'!X37)&gt;0,MAX('Lab test'!W37,'Lab test'!X37),NA())</f>
        <v>251.65860000000001</v>
      </c>
      <c r="AM44" s="401">
        <f>IF('Lab test'!P37&gt;0,'Lab test'!P37,NA())</f>
        <v>0.68196782936566747</v>
      </c>
      <c r="AN44" s="401">
        <f>IF('Lab test'!AU37&gt;0,'Lab test'!AU37,NA())</f>
        <v>1.1507039699495796</v>
      </c>
      <c r="AO44" s="401">
        <f>IF('Lab test'!AT37&gt;0,'Lab test'!AT37,NA())</f>
        <v>4.1065384964786705E-2</v>
      </c>
      <c r="AP44">
        <f t="shared" si="34"/>
        <v>1</v>
      </c>
      <c r="AQ44" s="401">
        <f>'Lab test'!AZ37</f>
        <v>1980</v>
      </c>
      <c r="AR44" t="str">
        <f>'Lab test'!AC37</f>
        <v>Tubes</v>
      </c>
      <c r="AS44" t="str">
        <f>'Lab test'!T37</f>
        <v>Steel</v>
      </c>
      <c r="AV44" s="7"/>
      <c r="AW44" s="7"/>
      <c r="AX44" t="e">
        <f t="shared" si="12"/>
        <v>#N/A</v>
      </c>
      <c r="AY44" t="e">
        <f t="shared" si="13"/>
        <v>#N/A</v>
      </c>
      <c r="AZ44" t="e">
        <f t="shared" si="13"/>
        <v>#N/A</v>
      </c>
      <c r="BA44" t="e">
        <f t="shared" si="13"/>
        <v>#N/A</v>
      </c>
      <c r="BB44" t="e">
        <f t="shared" si="13"/>
        <v>#N/A</v>
      </c>
      <c r="BC44" t="e">
        <f t="shared" si="13"/>
        <v>#N/A</v>
      </c>
      <c r="BD44" t="e">
        <f t="shared" si="13"/>
        <v>#N/A</v>
      </c>
      <c r="BG44" t="e">
        <f t="shared" si="14"/>
        <v>#N/A</v>
      </c>
      <c r="BH44" t="e">
        <f t="shared" si="15"/>
        <v>#N/A</v>
      </c>
      <c r="BI44" t="e">
        <f t="shared" si="15"/>
        <v>#N/A</v>
      </c>
      <c r="BJ44" t="e">
        <f t="shared" si="15"/>
        <v>#N/A</v>
      </c>
      <c r="BK44" t="e">
        <f t="shared" si="15"/>
        <v>#N/A</v>
      </c>
      <c r="BL44" t="e">
        <f t="shared" si="15"/>
        <v>#N/A</v>
      </c>
      <c r="BM44" t="e">
        <f t="shared" si="15"/>
        <v>#N/A</v>
      </c>
      <c r="BP44" t="e">
        <f t="shared" si="16"/>
        <v>#N/A</v>
      </c>
      <c r="BQ44" t="e">
        <f t="shared" si="17"/>
        <v>#N/A</v>
      </c>
      <c r="BR44" t="e">
        <f t="shared" si="17"/>
        <v>#N/A</v>
      </c>
      <c r="BS44" t="e">
        <f t="shared" si="17"/>
        <v>#N/A</v>
      </c>
      <c r="BT44" t="e">
        <f t="shared" si="17"/>
        <v>#N/A</v>
      </c>
      <c r="BU44" t="e">
        <f t="shared" si="17"/>
        <v>#N/A</v>
      </c>
      <c r="BV44" t="e">
        <f t="shared" si="17"/>
        <v>#N/A</v>
      </c>
      <c r="BY44" t="e">
        <f t="shared" si="18"/>
        <v>#N/A</v>
      </c>
      <c r="BZ44">
        <v>206842.71840000001</v>
      </c>
      <c r="CA44" cm="1">
        <f t="array" ref="CA44">IF(ISNUMBER(BZ44),AF44/COUNT(IF(ISNUMBER(_xlfn.ANCHORARRAY($BZ$11)),_xlfn.ANCHORARRAY($BZ$11))),NA())</f>
        <v>0.4358974358974359</v>
      </c>
      <c r="CB44" t="e">
        <f t="shared" si="19"/>
        <v>#N/A</v>
      </c>
      <c r="CD44" t="e">
        <f t="shared" si="20"/>
        <v>#N/A</v>
      </c>
      <c r="CE44">
        <f t="shared" si="21"/>
        <v>206842.71840000001</v>
      </c>
      <c r="CG44" t="e">
        <v>#N/A</v>
      </c>
      <c r="CH44">
        <v>206842.71840000001</v>
      </c>
      <c r="CL44" t="e">
        <f t="shared" si="23"/>
        <v>#N/A</v>
      </c>
      <c r="CM44">
        <v>72705.215656460379</v>
      </c>
      <c r="CN44" cm="1">
        <f t="array" ref="CN44">IF(ISNUMBER(CM44),AF44/COUNT(IF(ISNUMBER(_xlfn.ANCHORARRAY($CM$11)),_xlfn.ANCHORARRAY($CM$11))),NA())</f>
        <v>0.61818181818181817</v>
      </c>
      <c r="CO44" t="e">
        <f t="shared" si="24"/>
        <v>#N/A</v>
      </c>
      <c r="CQ44" t="e">
        <f t="shared" si="25"/>
        <v>#N/A</v>
      </c>
      <c r="CR44">
        <f t="shared" si="26"/>
        <v>72705.215656460379</v>
      </c>
      <c r="CT44" t="e">
        <v>#N/A</v>
      </c>
      <c r="CU44">
        <v>72705.215656460379</v>
      </c>
      <c r="CY44" t="e">
        <f t="shared" si="28"/>
        <v>#N/A</v>
      </c>
      <c r="CZ44" t="e">
        <v>#N/A</v>
      </c>
      <c r="DA44" t="e" cm="1">
        <f t="array" ref="DA44">IF(ISNUMBER(CZ44),AF44/COUNT(IF(ISNUMBER(_xlfn.ANCHORARRAY($CZ$11)),_xlfn.ANCHORARRAY($CZ$11))),NA())</f>
        <v>#N/A</v>
      </c>
      <c r="DB44" t="e">
        <f t="shared" si="29"/>
        <v>#N/A</v>
      </c>
      <c r="DD44" t="e">
        <f t="shared" si="30"/>
        <v>#N/A</v>
      </c>
      <c r="DE44" t="e">
        <f t="shared" si="31"/>
        <v>#N/A</v>
      </c>
      <c r="DG44" t="e">
        <v>#N/A</v>
      </c>
      <c r="DH44" t="e">
        <v>#N/A</v>
      </c>
    </row>
    <row r="45" spans="32:112">
      <c r="AF45">
        <v>35</v>
      </c>
      <c r="AG45" s="401">
        <f>'Lab test'!N38</f>
        <v>200</v>
      </c>
      <c r="AH45" s="401">
        <f>'Lab test'!M38</f>
        <v>0.5</v>
      </c>
      <c r="AI45">
        <f>IF('Lab test'!O38&gt;0,'Lab test'!O38,NA())</f>
        <v>350</v>
      </c>
      <c r="AJ45">
        <f>'Lab test'!Q38</f>
        <v>400</v>
      </c>
      <c r="AK45" s="401">
        <f>IF('Lab test'!V38&gt;0,'Lab test'!V38,NA())</f>
        <v>216055</v>
      </c>
      <c r="AL45" s="7">
        <f>IF(MAX('Lab test'!W38,'Lab test'!X38)&gt;0,MAX('Lab test'!W38,'Lab test'!X38),NA())</f>
        <v>404</v>
      </c>
      <c r="AM45" s="401">
        <f>IF('Lab test'!P38&gt;0,'Lab test'!P38,NA())</f>
        <v>8.7500000000000008E-2</v>
      </c>
      <c r="AN45" s="401">
        <f>IF('Lab test'!AU38&gt;0,'Lab test'!AU38,NA())</f>
        <v>0.42822134440814413</v>
      </c>
      <c r="AO45" s="401">
        <f>IF('Lab test'!AT38&gt;0,'Lab test'!AT38,NA())</f>
        <v>0.52920832717373667</v>
      </c>
      <c r="AP45">
        <f t="shared" si="34"/>
        <v>1</v>
      </c>
      <c r="AQ45" s="401">
        <f>'Lab test'!AZ38</f>
        <v>2017</v>
      </c>
      <c r="AR45" t="str">
        <f>'Lab test'!AC38</f>
        <v>LTWa</v>
      </c>
      <c r="AS45" t="str">
        <f>'Lab test'!T38</f>
        <v>Steel</v>
      </c>
      <c r="AV45" s="7"/>
      <c r="AW45" s="7"/>
      <c r="AX45" t="e">
        <f t="shared" si="12"/>
        <v>#N/A</v>
      </c>
      <c r="AY45" t="e">
        <f t="shared" si="13"/>
        <v>#N/A</v>
      </c>
      <c r="AZ45" t="e">
        <f t="shared" si="13"/>
        <v>#N/A</v>
      </c>
      <c r="BA45" t="e">
        <f t="shared" si="13"/>
        <v>#N/A</v>
      </c>
      <c r="BB45" t="e">
        <f t="shared" si="13"/>
        <v>#N/A</v>
      </c>
      <c r="BC45" t="e">
        <f t="shared" si="13"/>
        <v>#N/A</v>
      </c>
      <c r="BD45" t="e">
        <f t="shared" si="13"/>
        <v>#N/A</v>
      </c>
      <c r="BG45" t="e">
        <f t="shared" si="14"/>
        <v>#N/A</v>
      </c>
      <c r="BH45" t="e">
        <f t="shared" si="15"/>
        <v>#N/A</v>
      </c>
      <c r="BI45" t="e">
        <f t="shared" si="15"/>
        <v>#N/A</v>
      </c>
      <c r="BJ45" t="e">
        <f t="shared" si="15"/>
        <v>#N/A</v>
      </c>
      <c r="BK45" t="e">
        <f t="shared" si="15"/>
        <v>#N/A</v>
      </c>
      <c r="BL45" t="e">
        <f t="shared" si="15"/>
        <v>#N/A</v>
      </c>
      <c r="BM45" t="e">
        <f t="shared" si="15"/>
        <v>#N/A</v>
      </c>
      <c r="BP45" t="e">
        <f t="shared" si="16"/>
        <v>#N/A</v>
      </c>
      <c r="BQ45" t="e">
        <f t="shared" si="17"/>
        <v>#N/A</v>
      </c>
      <c r="BR45" t="e">
        <f t="shared" si="17"/>
        <v>#N/A</v>
      </c>
      <c r="BS45" t="e">
        <f t="shared" si="17"/>
        <v>#N/A</v>
      </c>
      <c r="BT45" t="e">
        <f t="shared" si="17"/>
        <v>#N/A</v>
      </c>
      <c r="BU45" t="e">
        <f t="shared" si="17"/>
        <v>#N/A</v>
      </c>
      <c r="BV45" t="e">
        <f t="shared" si="17"/>
        <v>#N/A</v>
      </c>
      <c r="BY45" t="e">
        <f t="shared" si="18"/>
        <v>#N/A</v>
      </c>
      <c r="BZ45">
        <v>206842.71840000001</v>
      </c>
      <c r="CA45" cm="1">
        <f t="array" ref="CA45">IF(ISNUMBER(BZ45),AF45/COUNT(IF(ISNUMBER(_xlfn.ANCHORARRAY($BZ$11)),_xlfn.ANCHORARRAY($BZ$11))),NA())</f>
        <v>0.44871794871794873</v>
      </c>
      <c r="CB45" t="e">
        <f t="shared" si="19"/>
        <v>#N/A</v>
      </c>
      <c r="CD45" t="e">
        <f t="shared" si="20"/>
        <v>#N/A</v>
      </c>
      <c r="CE45">
        <f t="shared" si="21"/>
        <v>206842.71840000001</v>
      </c>
      <c r="CG45" t="e">
        <v>#N/A</v>
      </c>
      <c r="CH45">
        <v>206842.71840000001</v>
      </c>
      <c r="CL45" t="e">
        <f t="shared" si="23"/>
        <v>#N/A</v>
      </c>
      <c r="CM45">
        <v>72705.215656460379</v>
      </c>
      <c r="CN45" cm="1">
        <f t="array" ref="CN45">IF(ISNUMBER(CM45),AF45/COUNT(IF(ISNUMBER(_xlfn.ANCHORARRAY($CM$11)),_xlfn.ANCHORARRAY($CM$11))),NA())</f>
        <v>0.63636363636363635</v>
      </c>
      <c r="CO45" t="e">
        <f t="shared" si="24"/>
        <v>#N/A</v>
      </c>
      <c r="CQ45" t="e">
        <f t="shared" si="25"/>
        <v>#N/A</v>
      </c>
      <c r="CR45">
        <f t="shared" si="26"/>
        <v>72705.215656460379</v>
      </c>
      <c r="CT45" t="e">
        <v>#N/A</v>
      </c>
      <c r="CU45">
        <v>72705.215656460379</v>
      </c>
      <c r="CY45" t="e">
        <f t="shared" si="28"/>
        <v>#N/A</v>
      </c>
      <c r="CZ45" t="e">
        <v>#N/A</v>
      </c>
      <c r="DA45" t="e" cm="1">
        <f t="array" ref="DA45">IF(ISNUMBER(CZ45),AF45/COUNT(IF(ISNUMBER(_xlfn.ANCHORARRAY($CZ$11)),_xlfn.ANCHORARRAY($CZ$11))),NA())</f>
        <v>#N/A</v>
      </c>
      <c r="DB45" t="e">
        <f t="shared" si="29"/>
        <v>#N/A</v>
      </c>
      <c r="DD45" t="e">
        <f t="shared" si="30"/>
        <v>#N/A</v>
      </c>
      <c r="DE45" t="e">
        <f t="shared" si="31"/>
        <v>#N/A</v>
      </c>
      <c r="DG45" t="e">
        <v>#N/A</v>
      </c>
      <c r="DH45" t="e">
        <v>#N/A</v>
      </c>
    </row>
    <row r="46" spans="32:112">
      <c r="AF46">
        <v>36</v>
      </c>
      <c r="AG46" s="401">
        <f>'Lab test'!N39</f>
        <v>200</v>
      </c>
      <c r="AH46" s="401">
        <f>'Lab test'!M39</f>
        <v>0.5</v>
      </c>
      <c r="AI46">
        <f>IF('Lab test'!O39&gt;0,'Lab test'!O39,NA())</f>
        <v>350</v>
      </c>
      <c r="AJ46">
        <f>'Lab test'!Q39</f>
        <v>400</v>
      </c>
      <c r="AK46" s="401">
        <f>IF('Lab test'!V39&gt;0,'Lab test'!V39,NA())</f>
        <v>216055</v>
      </c>
      <c r="AL46" s="7">
        <f>IF(MAX('Lab test'!W39,'Lab test'!X39)&gt;0,MAX('Lab test'!W39,'Lab test'!X39),NA())</f>
        <v>404</v>
      </c>
      <c r="AM46" s="401">
        <f>IF('Lab test'!P39&gt;0,'Lab test'!P39,NA())</f>
        <v>8.7500000000000008E-2</v>
      </c>
      <c r="AN46" s="401">
        <f>IF('Lab test'!AU39&gt;0,'Lab test'!AU39,NA())</f>
        <v>0.28915774314220588</v>
      </c>
      <c r="AO46" s="401">
        <f>IF('Lab test'!AT39&gt;0,'Lab test'!AT39,NA())</f>
        <v>0.35734950519367314</v>
      </c>
      <c r="AP46">
        <f t="shared" si="34"/>
        <v>1</v>
      </c>
      <c r="AQ46" s="401">
        <f>'Lab test'!AZ39</f>
        <v>2017</v>
      </c>
      <c r="AR46" t="str">
        <f>'Lab test'!AC39</f>
        <v>LTWa</v>
      </c>
      <c r="AS46" t="str">
        <f>'Lab test'!T39</f>
        <v>Steel</v>
      </c>
      <c r="AV46" s="7"/>
      <c r="AW46" s="7"/>
      <c r="AX46" t="e">
        <f t="shared" si="12"/>
        <v>#N/A</v>
      </c>
      <c r="AY46" t="e">
        <f t="shared" si="13"/>
        <v>#N/A</v>
      </c>
      <c r="AZ46" t="e">
        <f t="shared" si="13"/>
        <v>#N/A</v>
      </c>
      <c r="BA46" t="e">
        <f t="shared" si="13"/>
        <v>#N/A</v>
      </c>
      <c r="BB46" t="e">
        <f t="shared" si="13"/>
        <v>#N/A</v>
      </c>
      <c r="BC46" t="e">
        <f t="shared" si="13"/>
        <v>#N/A</v>
      </c>
      <c r="BD46" t="e">
        <f t="shared" si="13"/>
        <v>#N/A</v>
      </c>
      <c r="BG46" t="e">
        <f t="shared" si="14"/>
        <v>#N/A</v>
      </c>
      <c r="BH46" t="e">
        <f t="shared" si="15"/>
        <v>#N/A</v>
      </c>
      <c r="BI46" t="e">
        <f t="shared" si="15"/>
        <v>#N/A</v>
      </c>
      <c r="BJ46" t="e">
        <f t="shared" si="15"/>
        <v>#N/A</v>
      </c>
      <c r="BK46" t="e">
        <f t="shared" si="15"/>
        <v>#N/A</v>
      </c>
      <c r="BL46" t="e">
        <f t="shared" si="15"/>
        <v>#N/A</v>
      </c>
      <c r="BM46" t="e">
        <f t="shared" si="15"/>
        <v>#N/A</v>
      </c>
      <c r="BP46" t="e">
        <f t="shared" si="16"/>
        <v>#N/A</v>
      </c>
      <c r="BQ46" t="e">
        <f t="shared" si="17"/>
        <v>#N/A</v>
      </c>
      <c r="BR46" t="e">
        <f t="shared" si="17"/>
        <v>#N/A</v>
      </c>
      <c r="BS46" t="e">
        <f t="shared" si="17"/>
        <v>#N/A</v>
      </c>
      <c r="BT46" t="e">
        <f t="shared" si="17"/>
        <v>#N/A</v>
      </c>
      <c r="BU46" t="e">
        <f t="shared" si="17"/>
        <v>#N/A</v>
      </c>
      <c r="BV46" t="e">
        <f t="shared" si="17"/>
        <v>#N/A</v>
      </c>
      <c r="BY46" t="e">
        <f t="shared" si="18"/>
        <v>#N/A</v>
      </c>
      <c r="BZ46">
        <v>206842.71840000001</v>
      </c>
      <c r="CA46" cm="1">
        <f t="array" ref="CA46">IF(ISNUMBER(BZ46),AF46/COUNT(IF(ISNUMBER(_xlfn.ANCHORARRAY($BZ$11)),_xlfn.ANCHORARRAY($BZ$11))),NA())</f>
        <v>0.46153846153846156</v>
      </c>
      <c r="CB46" t="e">
        <f t="shared" si="19"/>
        <v>#N/A</v>
      </c>
      <c r="CD46" t="e">
        <f t="shared" si="20"/>
        <v>#N/A</v>
      </c>
      <c r="CE46">
        <f t="shared" si="21"/>
        <v>206842.71840000001</v>
      </c>
      <c r="CG46" t="e">
        <v>#N/A</v>
      </c>
      <c r="CH46">
        <v>206842.71840000001</v>
      </c>
      <c r="CL46" t="e">
        <f t="shared" si="23"/>
        <v>#N/A</v>
      </c>
      <c r="CM46">
        <v>72705.215656460379</v>
      </c>
      <c r="CN46" cm="1">
        <f t="array" ref="CN46">IF(ISNUMBER(CM46),AF46/COUNT(IF(ISNUMBER(_xlfn.ANCHORARRAY($CM$11)),_xlfn.ANCHORARRAY($CM$11))),NA())</f>
        <v>0.65454545454545454</v>
      </c>
      <c r="CO46" t="e">
        <f t="shared" si="24"/>
        <v>#N/A</v>
      </c>
      <c r="CQ46" t="e">
        <f t="shared" si="25"/>
        <v>#N/A</v>
      </c>
      <c r="CR46">
        <f t="shared" si="26"/>
        <v>72705.215656460379</v>
      </c>
      <c r="CT46" t="e">
        <v>#N/A</v>
      </c>
      <c r="CU46">
        <v>72705.215656460379</v>
      </c>
      <c r="CY46" t="e">
        <f t="shared" si="28"/>
        <v>#N/A</v>
      </c>
      <c r="CZ46" t="e">
        <v>#N/A</v>
      </c>
      <c r="DA46" t="e" cm="1">
        <f t="array" ref="DA46">IF(ISNUMBER(CZ46),AF46/COUNT(IF(ISNUMBER(_xlfn.ANCHORARRAY($CZ$11)),_xlfn.ANCHORARRAY($CZ$11))),NA())</f>
        <v>#N/A</v>
      </c>
      <c r="DB46" t="e">
        <f t="shared" si="29"/>
        <v>#N/A</v>
      </c>
      <c r="DD46" t="e">
        <f t="shared" si="30"/>
        <v>#N/A</v>
      </c>
      <c r="DE46" t="e">
        <f t="shared" si="31"/>
        <v>#N/A</v>
      </c>
      <c r="DG46" t="e">
        <v>#N/A</v>
      </c>
      <c r="DH46" t="e">
        <v>#N/A</v>
      </c>
    </row>
    <row r="47" spans="32:112">
      <c r="AF47">
        <v>37</v>
      </c>
      <c r="AG47" s="401">
        <f>'Lab test'!N40</f>
        <v>150</v>
      </c>
      <c r="AH47" s="401">
        <f>'Lab test'!M40</f>
        <v>1</v>
      </c>
      <c r="AI47">
        <f>IF('Lab test'!O40&gt;0,'Lab test'!O40,NA())</f>
        <v>350</v>
      </c>
      <c r="AJ47">
        <f>'Lab test'!Q40</f>
        <v>150</v>
      </c>
      <c r="AK47" s="401">
        <f>IF('Lab test'!V40&gt;0,'Lab test'!V40,NA())</f>
        <v>216055</v>
      </c>
      <c r="AL47" s="7">
        <f>IF(MAX('Lab test'!W40,'Lab test'!X40)&gt;0,MAX('Lab test'!W40,'Lab test'!X40),NA())</f>
        <v>404</v>
      </c>
      <c r="AM47" s="401">
        <f>IF('Lab test'!P40&gt;0,'Lab test'!P40,NA())</f>
        <v>0.1905158688831361</v>
      </c>
      <c r="AN47" s="401">
        <f>IF('Lab test'!AU40&gt;0,'Lab test'!AU40,NA())</f>
        <v>0.65657979823389157</v>
      </c>
      <c r="AO47" s="401">
        <f>IF('Lab test'!AT40&gt;0,'Lab test'!AT40,NA())</f>
        <v>0.30428261682022567</v>
      </c>
      <c r="AP47">
        <f t="shared" si="34"/>
        <v>1</v>
      </c>
      <c r="AQ47" s="401">
        <f>'Lab test'!AZ40</f>
        <v>2017</v>
      </c>
      <c r="AR47" t="str">
        <f>'Lab test'!AC40</f>
        <v>LTWa</v>
      </c>
      <c r="AS47" t="str">
        <f>'Lab test'!T40</f>
        <v>Steel</v>
      </c>
      <c r="AV47" s="7"/>
      <c r="AW47" s="7"/>
      <c r="AX47" t="e">
        <f t="shared" si="12"/>
        <v>#N/A</v>
      </c>
      <c r="AY47" t="e">
        <f t="shared" si="13"/>
        <v>#N/A</v>
      </c>
      <c r="AZ47" t="e">
        <f t="shared" si="13"/>
        <v>#N/A</v>
      </c>
      <c r="BA47" t="e">
        <f t="shared" si="13"/>
        <v>#N/A</v>
      </c>
      <c r="BB47" t="e">
        <f t="shared" si="13"/>
        <v>#N/A</v>
      </c>
      <c r="BC47" t="e">
        <f t="shared" si="13"/>
        <v>#N/A</v>
      </c>
      <c r="BD47" t="e">
        <f t="shared" si="13"/>
        <v>#N/A</v>
      </c>
      <c r="BG47" t="e">
        <f t="shared" si="14"/>
        <v>#N/A</v>
      </c>
      <c r="BH47" t="e">
        <f t="shared" si="15"/>
        <v>#N/A</v>
      </c>
      <c r="BI47" t="e">
        <f t="shared" si="15"/>
        <v>#N/A</v>
      </c>
      <c r="BJ47" t="e">
        <f t="shared" si="15"/>
        <v>#N/A</v>
      </c>
      <c r="BK47" t="e">
        <f t="shared" si="15"/>
        <v>#N/A</v>
      </c>
      <c r="BL47" t="e">
        <f t="shared" si="15"/>
        <v>#N/A</v>
      </c>
      <c r="BM47" t="e">
        <f t="shared" si="15"/>
        <v>#N/A</v>
      </c>
      <c r="BP47" t="e">
        <f t="shared" si="16"/>
        <v>#N/A</v>
      </c>
      <c r="BQ47" t="e">
        <f t="shared" si="17"/>
        <v>#N/A</v>
      </c>
      <c r="BR47" t="e">
        <f t="shared" si="17"/>
        <v>#N/A</v>
      </c>
      <c r="BS47" t="e">
        <f t="shared" si="17"/>
        <v>#N/A</v>
      </c>
      <c r="BT47" t="e">
        <f t="shared" si="17"/>
        <v>#N/A</v>
      </c>
      <c r="BU47" t="e">
        <f t="shared" si="17"/>
        <v>#N/A</v>
      </c>
      <c r="BV47" t="e">
        <f t="shared" si="17"/>
        <v>#N/A</v>
      </c>
      <c r="BY47" t="e">
        <f t="shared" si="18"/>
        <v>#N/A</v>
      </c>
      <c r="BZ47">
        <v>206842.71840000001</v>
      </c>
      <c r="CA47" cm="1">
        <f t="array" ref="CA47">IF(ISNUMBER(BZ47),AF47/COUNT(IF(ISNUMBER(_xlfn.ANCHORARRAY($BZ$11)),_xlfn.ANCHORARRAY($BZ$11))),NA())</f>
        <v>0.47435897435897434</v>
      </c>
      <c r="CB47">
        <f t="shared" si="19"/>
        <v>0.47435897435897434</v>
      </c>
      <c r="CD47">
        <f t="shared" si="20"/>
        <v>0.47435897435897434</v>
      </c>
      <c r="CE47">
        <f t="shared" si="21"/>
        <v>206842.71840000001</v>
      </c>
      <c r="CG47" t="e">
        <v>#N/A</v>
      </c>
      <c r="CH47">
        <v>206842.71840000001</v>
      </c>
      <c r="CL47" t="e">
        <f t="shared" si="23"/>
        <v>#N/A</v>
      </c>
      <c r="CM47">
        <v>72705.215656460379</v>
      </c>
      <c r="CN47" cm="1">
        <f t="array" ref="CN47">IF(ISNUMBER(CM47),AF47/COUNT(IF(ISNUMBER(_xlfn.ANCHORARRAY($CM$11)),_xlfn.ANCHORARRAY($CM$11))),NA())</f>
        <v>0.67272727272727273</v>
      </c>
      <c r="CO47" t="e">
        <f t="shared" si="24"/>
        <v>#N/A</v>
      </c>
      <c r="CQ47" t="e">
        <f t="shared" si="25"/>
        <v>#N/A</v>
      </c>
      <c r="CR47">
        <f t="shared" si="26"/>
        <v>72705.215656460379</v>
      </c>
      <c r="CT47" t="e">
        <v>#N/A</v>
      </c>
      <c r="CU47">
        <v>72705.215656460379</v>
      </c>
      <c r="CY47" t="e">
        <f t="shared" si="28"/>
        <v>#N/A</v>
      </c>
      <c r="CZ47" t="e">
        <v>#N/A</v>
      </c>
      <c r="DA47" t="e" cm="1">
        <f t="array" ref="DA47">IF(ISNUMBER(CZ47),AF47/COUNT(IF(ISNUMBER(_xlfn.ANCHORARRAY($CZ$11)),_xlfn.ANCHORARRAY($CZ$11))),NA())</f>
        <v>#N/A</v>
      </c>
      <c r="DB47" t="e">
        <f t="shared" si="29"/>
        <v>#N/A</v>
      </c>
      <c r="DD47" t="e">
        <f t="shared" si="30"/>
        <v>#N/A</v>
      </c>
      <c r="DE47" t="e">
        <f t="shared" si="31"/>
        <v>#N/A</v>
      </c>
      <c r="DG47" t="e">
        <v>#N/A</v>
      </c>
      <c r="DH47" t="e">
        <v>#N/A</v>
      </c>
    </row>
    <row r="48" spans="32:112">
      <c r="AF48">
        <v>38</v>
      </c>
      <c r="AG48" s="401">
        <f>'Lab test'!N41</f>
        <v>150</v>
      </c>
      <c r="AH48" s="401">
        <f>'Lab test'!M41</f>
        <v>1</v>
      </c>
      <c r="AI48">
        <f>IF('Lab test'!O41&gt;0,'Lab test'!O41,NA())</f>
        <v>350</v>
      </c>
      <c r="AJ48">
        <f>'Lab test'!Q41</f>
        <v>150</v>
      </c>
      <c r="AK48" s="401">
        <f>IF('Lab test'!V41&gt;0,'Lab test'!V41,NA())</f>
        <v>216055</v>
      </c>
      <c r="AL48" s="7">
        <f>IF(MAX('Lab test'!W41,'Lab test'!X41)&gt;0,MAX('Lab test'!W41,'Lab test'!X41),NA())</f>
        <v>404</v>
      </c>
      <c r="AM48" s="401">
        <f>IF('Lab test'!P41&gt;0,'Lab test'!P41,NA())</f>
        <v>0.1905158688831361</v>
      </c>
      <c r="AN48" s="401">
        <f>IF('Lab test'!AU41&gt;0,'Lab test'!AU41,NA())</f>
        <v>0.74324833160076531</v>
      </c>
      <c r="AO48" s="401">
        <f>IF('Lab test'!AT41&gt;0,'Lab test'!AT41,NA())</f>
        <v>0.34444792224049547</v>
      </c>
      <c r="AP48">
        <f t="shared" si="34"/>
        <v>1</v>
      </c>
      <c r="AQ48" s="401">
        <f>'Lab test'!AZ41</f>
        <v>2017</v>
      </c>
      <c r="AR48" t="str">
        <f>'Lab test'!AC41</f>
        <v>LTWa</v>
      </c>
      <c r="AS48" t="str">
        <f>'Lab test'!T41</f>
        <v>Steel</v>
      </c>
      <c r="AV48" s="7"/>
      <c r="AW48" s="7"/>
      <c r="AX48" t="e">
        <f t="shared" si="12"/>
        <v>#N/A</v>
      </c>
      <c r="AY48" t="e">
        <f t="shared" si="13"/>
        <v>#N/A</v>
      </c>
      <c r="AZ48" t="e">
        <f t="shared" si="13"/>
        <v>#N/A</v>
      </c>
      <c r="BA48" t="e">
        <f t="shared" si="13"/>
        <v>#N/A</v>
      </c>
      <c r="BB48" t="e">
        <f t="shared" si="13"/>
        <v>#N/A</v>
      </c>
      <c r="BC48" t="e">
        <f t="shared" si="13"/>
        <v>#N/A</v>
      </c>
      <c r="BD48" t="e">
        <f t="shared" si="13"/>
        <v>#N/A</v>
      </c>
      <c r="BG48" t="e">
        <f t="shared" si="14"/>
        <v>#N/A</v>
      </c>
      <c r="BH48" t="e">
        <f t="shared" si="15"/>
        <v>#N/A</v>
      </c>
      <c r="BI48" t="e">
        <f t="shared" si="15"/>
        <v>#N/A</v>
      </c>
      <c r="BJ48" t="e">
        <f t="shared" si="15"/>
        <v>#N/A</v>
      </c>
      <c r="BK48" t="e">
        <f t="shared" si="15"/>
        <v>#N/A</v>
      </c>
      <c r="BL48" t="e">
        <f t="shared" si="15"/>
        <v>#N/A</v>
      </c>
      <c r="BM48" t="e">
        <f t="shared" si="15"/>
        <v>#N/A</v>
      </c>
      <c r="BP48" t="e">
        <f t="shared" si="16"/>
        <v>#N/A</v>
      </c>
      <c r="BQ48" t="e">
        <f t="shared" si="17"/>
        <v>#N/A</v>
      </c>
      <c r="BR48" t="e">
        <f t="shared" si="17"/>
        <v>#N/A</v>
      </c>
      <c r="BS48" t="e">
        <f t="shared" si="17"/>
        <v>#N/A</v>
      </c>
      <c r="BT48" t="e">
        <f t="shared" si="17"/>
        <v>#N/A</v>
      </c>
      <c r="BU48" t="e">
        <f t="shared" si="17"/>
        <v>#N/A</v>
      </c>
      <c r="BV48" t="e">
        <f t="shared" si="17"/>
        <v>#N/A</v>
      </c>
      <c r="BY48" t="e">
        <f t="shared" si="18"/>
        <v>#N/A</v>
      </c>
      <c r="BZ48">
        <v>208911.228</v>
      </c>
      <c r="CA48" cm="1">
        <f t="array" ref="CA48">IF(ISNUMBER(BZ48),AF48/COUNT(IF(ISNUMBER(_xlfn.ANCHORARRAY($BZ$11)),_xlfn.ANCHORARRAY($BZ$11))),NA())</f>
        <v>0.48717948717948717</v>
      </c>
      <c r="CB48" t="e">
        <f t="shared" si="19"/>
        <v>#N/A</v>
      </c>
      <c r="CD48" t="e">
        <f t="shared" si="20"/>
        <v>#N/A</v>
      </c>
      <c r="CE48">
        <f t="shared" si="21"/>
        <v>208911.228</v>
      </c>
      <c r="CG48" t="e">
        <v>#N/A</v>
      </c>
      <c r="CH48">
        <v>206842.71840000001</v>
      </c>
      <c r="CL48" t="e">
        <f t="shared" si="23"/>
        <v>#N/A</v>
      </c>
      <c r="CM48">
        <v>72705.215656460379</v>
      </c>
      <c r="CN48" cm="1">
        <f t="array" ref="CN48">IF(ISNUMBER(CM48),AF48/COUNT(IF(ISNUMBER(_xlfn.ANCHORARRAY($CM$11)),_xlfn.ANCHORARRAY($CM$11))),NA())</f>
        <v>0.69090909090909092</v>
      </c>
      <c r="CO48" t="e">
        <f t="shared" si="24"/>
        <v>#N/A</v>
      </c>
      <c r="CQ48" t="e">
        <f t="shared" si="25"/>
        <v>#N/A</v>
      </c>
      <c r="CR48">
        <f t="shared" si="26"/>
        <v>72705.215656460379</v>
      </c>
      <c r="CT48" t="e">
        <v>#N/A</v>
      </c>
      <c r="CU48">
        <v>72705.215656460379</v>
      </c>
      <c r="CY48" t="e">
        <f t="shared" si="28"/>
        <v>#N/A</v>
      </c>
      <c r="CZ48" t="e">
        <v>#N/A</v>
      </c>
      <c r="DA48" t="e" cm="1">
        <f t="array" ref="DA48">IF(ISNUMBER(CZ48),AF48/COUNT(IF(ISNUMBER(_xlfn.ANCHORARRAY($CZ$11)),_xlfn.ANCHORARRAY($CZ$11))),NA())</f>
        <v>#N/A</v>
      </c>
      <c r="DB48" t="e">
        <f t="shared" si="29"/>
        <v>#N/A</v>
      </c>
      <c r="DD48" t="e">
        <f t="shared" si="30"/>
        <v>#N/A</v>
      </c>
      <c r="DE48" t="e">
        <f t="shared" si="31"/>
        <v>#N/A</v>
      </c>
      <c r="DG48" t="e">
        <v>#N/A</v>
      </c>
      <c r="DH48" t="e">
        <v>#N/A</v>
      </c>
    </row>
    <row r="49" spans="2:112">
      <c r="AF49">
        <v>39</v>
      </c>
      <c r="AG49" s="401">
        <f>'Lab test'!N42</f>
        <v>150</v>
      </c>
      <c r="AH49" s="401">
        <f>'Lab test'!M42</f>
        <v>3</v>
      </c>
      <c r="AI49">
        <f>IF('Lab test'!O42&gt;0,'Lab test'!O42,NA())</f>
        <v>350</v>
      </c>
      <c r="AJ49">
        <f>'Lab test'!Q42</f>
        <v>50</v>
      </c>
      <c r="AK49" s="401">
        <f>IF('Lab test'!V42&gt;0,'Lab test'!V42,NA())</f>
        <v>216055</v>
      </c>
      <c r="AL49" s="7">
        <f>IF(MAX('Lab test'!W42,'Lab test'!X42)&gt;0,MAX('Lab test'!W42,'Lab test'!X42),NA())</f>
        <v>404</v>
      </c>
      <c r="AM49" s="401">
        <f>IF('Lab test'!P42&gt;0,'Lab test'!P42,NA())</f>
        <v>0.32998316455372217</v>
      </c>
      <c r="AN49" s="401">
        <f>IF('Lab test'!AU42&gt;0,'Lab test'!AU42,NA())</f>
        <v>0.89163536600162485</v>
      </c>
      <c r="AO49" s="401">
        <f>IF('Lab test'!AT42&gt;0,'Lab test'!AT42,NA())</f>
        <v>0.1377385978806222</v>
      </c>
      <c r="AP49">
        <f t="shared" si="34"/>
        <v>1</v>
      </c>
      <c r="AQ49" s="401">
        <f>'Lab test'!AZ42</f>
        <v>2017</v>
      </c>
      <c r="AR49" t="str">
        <f>'Lab test'!AC42</f>
        <v>LTWa</v>
      </c>
      <c r="AS49" t="str">
        <f>'Lab test'!T42</f>
        <v>Steel</v>
      </c>
      <c r="AV49" s="7"/>
      <c r="AW49" s="7"/>
      <c r="AX49" t="e">
        <f t="shared" si="12"/>
        <v>#N/A</v>
      </c>
      <c r="AY49" t="e">
        <f t="shared" si="13"/>
        <v>#N/A</v>
      </c>
      <c r="AZ49" t="e">
        <f t="shared" si="13"/>
        <v>#N/A</v>
      </c>
      <c r="BA49" t="e">
        <f t="shared" si="13"/>
        <v>#N/A</v>
      </c>
      <c r="BB49" t="e">
        <f t="shared" si="13"/>
        <v>#N/A</v>
      </c>
      <c r="BC49" t="e">
        <f t="shared" si="13"/>
        <v>#N/A</v>
      </c>
      <c r="BD49" t="e">
        <f t="shared" si="13"/>
        <v>#N/A</v>
      </c>
      <c r="BG49" t="e">
        <f t="shared" si="14"/>
        <v>#N/A</v>
      </c>
      <c r="BH49" t="e">
        <f t="shared" si="15"/>
        <v>#N/A</v>
      </c>
      <c r="BI49" t="e">
        <f t="shared" si="15"/>
        <v>#N/A</v>
      </c>
      <c r="BJ49" t="e">
        <f t="shared" si="15"/>
        <v>#N/A</v>
      </c>
      <c r="BK49" t="e">
        <f t="shared" si="15"/>
        <v>#N/A</v>
      </c>
      <c r="BL49" t="e">
        <f t="shared" si="15"/>
        <v>#N/A</v>
      </c>
      <c r="BM49" t="e">
        <f t="shared" si="15"/>
        <v>#N/A</v>
      </c>
      <c r="BP49" t="e">
        <f t="shared" si="16"/>
        <v>#N/A</v>
      </c>
      <c r="BQ49" t="e">
        <f t="shared" si="17"/>
        <v>#N/A</v>
      </c>
      <c r="BR49" t="e">
        <f t="shared" si="17"/>
        <v>#N/A</v>
      </c>
      <c r="BS49" t="e">
        <f t="shared" si="17"/>
        <v>#N/A</v>
      </c>
      <c r="BT49" t="e">
        <f t="shared" si="17"/>
        <v>#N/A</v>
      </c>
      <c r="BU49" t="e">
        <f t="shared" si="17"/>
        <v>#N/A</v>
      </c>
      <c r="BV49" t="e">
        <f t="shared" si="17"/>
        <v>#N/A</v>
      </c>
      <c r="BY49" t="e">
        <f t="shared" si="18"/>
        <v>#N/A</v>
      </c>
      <c r="BZ49">
        <v>208911.228</v>
      </c>
      <c r="CA49" cm="1">
        <f t="array" ref="CA49">IF(ISNUMBER(BZ49),AF49/COUNT(IF(ISNUMBER(_xlfn.ANCHORARRAY($BZ$11)),_xlfn.ANCHORARRAY($BZ$11))),NA())</f>
        <v>0.5</v>
      </c>
      <c r="CB49" t="e">
        <f t="shared" si="19"/>
        <v>#N/A</v>
      </c>
      <c r="CD49" t="e">
        <f t="shared" si="20"/>
        <v>#N/A</v>
      </c>
      <c r="CE49">
        <f t="shared" si="21"/>
        <v>208911.228</v>
      </c>
      <c r="CG49" t="e">
        <v>#N/A</v>
      </c>
      <c r="CH49">
        <v>206842.71840000001</v>
      </c>
      <c r="CL49" t="e">
        <f t="shared" si="23"/>
        <v>#N/A</v>
      </c>
      <c r="CM49">
        <v>72705.215656460379</v>
      </c>
      <c r="CN49" cm="1">
        <f t="array" ref="CN49">IF(ISNUMBER(CM49),AF49/COUNT(IF(ISNUMBER(_xlfn.ANCHORARRAY($CM$11)),_xlfn.ANCHORARRAY($CM$11))),NA())</f>
        <v>0.70909090909090911</v>
      </c>
      <c r="CO49" t="e">
        <f t="shared" si="24"/>
        <v>#N/A</v>
      </c>
      <c r="CQ49" t="e">
        <f t="shared" si="25"/>
        <v>#N/A</v>
      </c>
      <c r="CR49">
        <f t="shared" si="26"/>
        <v>72705.215656460379</v>
      </c>
      <c r="CT49" t="e">
        <v>#N/A</v>
      </c>
      <c r="CU49">
        <v>72705.215656460379</v>
      </c>
      <c r="CX49" t="s">
        <v>918</v>
      </c>
      <c r="CY49" t="e">
        <f t="shared" si="28"/>
        <v>#N/A</v>
      </c>
      <c r="CZ49" t="e">
        <v>#N/A</v>
      </c>
      <c r="DA49" t="e" cm="1">
        <f t="array" ref="DA49">IF(ISNUMBER(CZ49),AF49/COUNT(IF(ISNUMBER(_xlfn.ANCHORARRAY($CZ$11)),_xlfn.ANCHORARRAY($CZ$11))),NA())</f>
        <v>#N/A</v>
      </c>
      <c r="DB49" t="e">
        <f t="shared" si="29"/>
        <v>#N/A</v>
      </c>
      <c r="DD49" t="e">
        <f t="shared" si="30"/>
        <v>#N/A</v>
      </c>
      <c r="DE49" t="e">
        <f t="shared" si="31"/>
        <v>#N/A</v>
      </c>
      <c r="DG49" t="e">
        <v>#N/A</v>
      </c>
      <c r="DH49" t="e">
        <v>#N/A</v>
      </c>
    </row>
    <row r="50" spans="2:112">
      <c r="AF50">
        <v>40</v>
      </c>
      <c r="AG50" s="401">
        <f>'Lab test'!N43</f>
        <v>150</v>
      </c>
      <c r="AH50" s="401">
        <f>'Lab test'!M43</f>
        <v>3</v>
      </c>
      <c r="AI50">
        <f>IF('Lab test'!O43&gt;0,'Lab test'!O43,NA())</f>
        <v>350</v>
      </c>
      <c r="AJ50">
        <f>'Lab test'!Q43</f>
        <v>50</v>
      </c>
      <c r="AK50" s="401">
        <f>IF('Lab test'!V43&gt;0,'Lab test'!V43,NA())</f>
        <v>216055</v>
      </c>
      <c r="AL50" s="7">
        <f>IF(MAX('Lab test'!W43,'Lab test'!X43)&gt;0,MAX('Lab test'!W43,'Lab test'!X43),NA())</f>
        <v>404</v>
      </c>
      <c r="AM50" s="401">
        <f>IF('Lab test'!P43&gt;0,'Lab test'!P43,NA())</f>
        <v>0.32998316455372217</v>
      </c>
      <c r="AN50" s="401">
        <f>IF('Lab test'!AU43&gt;0,'Lab test'!AU43,NA())</f>
        <v>0.9018780108540736</v>
      </c>
      <c r="AO50" s="401">
        <f>IF('Lab test'!AT43&gt;0,'Lab test'!AT43,NA())</f>
        <v>0.13932086748808736</v>
      </c>
      <c r="AP50">
        <f t="shared" si="34"/>
        <v>1</v>
      </c>
      <c r="AQ50" s="401">
        <f>'Lab test'!AZ43</f>
        <v>2017</v>
      </c>
      <c r="AR50" t="str">
        <f>'Lab test'!AC43</f>
        <v>LTWa</v>
      </c>
      <c r="AS50" t="str">
        <f>'Lab test'!T43</f>
        <v>Steel</v>
      </c>
      <c r="AV50" s="7"/>
      <c r="AW50" s="7"/>
      <c r="AX50" t="e">
        <f t="shared" si="12"/>
        <v>#N/A</v>
      </c>
      <c r="AY50" t="e">
        <f t="shared" si="13"/>
        <v>#N/A</v>
      </c>
      <c r="AZ50" t="e">
        <f t="shared" si="13"/>
        <v>#N/A</v>
      </c>
      <c r="BA50" t="e">
        <f t="shared" si="13"/>
        <v>#N/A</v>
      </c>
      <c r="BB50" t="e">
        <f t="shared" si="13"/>
        <v>#N/A</v>
      </c>
      <c r="BC50" t="e">
        <f t="shared" si="13"/>
        <v>#N/A</v>
      </c>
      <c r="BD50" t="e">
        <f t="shared" si="13"/>
        <v>#N/A</v>
      </c>
      <c r="BG50" t="e">
        <f t="shared" si="14"/>
        <v>#N/A</v>
      </c>
      <c r="BH50" t="e">
        <f t="shared" si="15"/>
        <v>#N/A</v>
      </c>
      <c r="BI50" t="e">
        <f t="shared" si="15"/>
        <v>#N/A</v>
      </c>
      <c r="BJ50" t="e">
        <f t="shared" si="15"/>
        <v>#N/A</v>
      </c>
      <c r="BK50" t="e">
        <f t="shared" si="15"/>
        <v>#N/A</v>
      </c>
      <c r="BL50" t="e">
        <f t="shared" si="15"/>
        <v>#N/A</v>
      </c>
      <c r="BM50" t="e">
        <f t="shared" si="15"/>
        <v>#N/A</v>
      </c>
      <c r="BP50" t="e">
        <f t="shared" si="16"/>
        <v>#N/A</v>
      </c>
      <c r="BQ50" t="e">
        <f t="shared" si="17"/>
        <v>#N/A</v>
      </c>
      <c r="BR50" t="e">
        <f t="shared" si="17"/>
        <v>#N/A</v>
      </c>
      <c r="BS50" t="e">
        <f t="shared" si="17"/>
        <v>#N/A</v>
      </c>
      <c r="BT50" t="e">
        <f t="shared" si="17"/>
        <v>#N/A</v>
      </c>
      <c r="BU50" t="e">
        <f t="shared" si="17"/>
        <v>#N/A</v>
      </c>
      <c r="BV50" t="e">
        <f t="shared" si="17"/>
        <v>#N/A</v>
      </c>
      <c r="BY50" t="e">
        <f t="shared" si="18"/>
        <v>#N/A</v>
      </c>
      <c r="BZ50">
        <v>208911.228</v>
      </c>
      <c r="CA50" cm="1">
        <f t="array" ref="CA50">IF(ISNUMBER(BZ50),AF50/COUNT(IF(ISNUMBER(_xlfn.ANCHORARRAY($BZ$11)),_xlfn.ANCHORARRAY($BZ$11))),NA())</f>
        <v>0.51282051282051277</v>
      </c>
      <c r="CB50" t="e">
        <f t="shared" si="19"/>
        <v>#N/A</v>
      </c>
      <c r="CD50" t="e">
        <f t="shared" si="20"/>
        <v>#N/A</v>
      </c>
      <c r="CE50">
        <f t="shared" si="21"/>
        <v>208911.228</v>
      </c>
      <c r="CG50" t="e">
        <v>#N/A</v>
      </c>
      <c r="CH50">
        <v>206842.71840000001</v>
      </c>
      <c r="CL50" t="e">
        <f t="shared" si="23"/>
        <v>#N/A</v>
      </c>
      <c r="CM50">
        <v>72705.215656460379</v>
      </c>
      <c r="CN50" cm="1">
        <f t="array" ref="CN50">IF(ISNUMBER(CM50),AF50/COUNT(IF(ISNUMBER(_xlfn.ANCHORARRAY($CM$11)),_xlfn.ANCHORARRAY($CM$11))),NA())</f>
        <v>0.72727272727272729</v>
      </c>
      <c r="CO50" t="e">
        <f t="shared" si="24"/>
        <v>#N/A</v>
      </c>
      <c r="CQ50" t="e">
        <f t="shared" si="25"/>
        <v>#N/A</v>
      </c>
      <c r="CR50">
        <f t="shared" si="26"/>
        <v>72705.215656460379</v>
      </c>
      <c r="CT50" t="e">
        <v>#N/A</v>
      </c>
      <c r="CU50">
        <v>72705.215656460379</v>
      </c>
      <c r="CY50" t="e">
        <f t="shared" si="28"/>
        <v>#N/A</v>
      </c>
      <c r="CZ50" t="e">
        <v>#N/A</v>
      </c>
      <c r="DA50" t="e" cm="1">
        <f t="array" ref="DA50">IF(ISNUMBER(CZ50),AF50/COUNT(IF(ISNUMBER(_xlfn.ANCHORARRAY($CZ$11)),_xlfn.ANCHORARRAY($CZ$11))),NA())</f>
        <v>#N/A</v>
      </c>
      <c r="DB50" t="e">
        <f t="shared" si="29"/>
        <v>#N/A</v>
      </c>
      <c r="DD50" t="e">
        <f t="shared" si="30"/>
        <v>#N/A</v>
      </c>
      <c r="DE50" t="e">
        <f t="shared" si="31"/>
        <v>#N/A</v>
      </c>
      <c r="DG50" t="e">
        <v>#N/A</v>
      </c>
      <c r="DH50" t="e">
        <v>#N/A</v>
      </c>
    </row>
    <row r="51" spans="2:112">
      <c r="AF51">
        <v>41</v>
      </c>
      <c r="AG51" s="401">
        <f>'Lab test'!N44</f>
        <v>200</v>
      </c>
      <c r="AH51" s="401">
        <f>'Lab test'!M44</f>
        <v>0.6</v>
      </c>
      <c r="AI51">
        <f>IF('Lab test'!O44&gt;0,'Lab test'!O44,NA())</f>
        <v>350</v>
      </c>
      <c r="AJ51">
        <f>'Lab test'!Q44</f>
        <v>333.33333333333337</v>
      </c>
      <c r="AK51" s="401">
        <f>IF('Lab test'!V44&gt;0,'Lab test'!V44,NA())</f>
        <v>216213</v>
      </c>
      <c r="AL51" s="7">
        <f>IF(MAX('Lab test'!W44,'Lab test'!X44)&gt;0,MAX('Lab test'!W44,'Lab test'!X44),NA())</f>
        <v>768</v>
      </c>
      <c r="AM51" s="401">
        <f>IF('Lab test'!P44&gt;0,'Lab test'!P44,NA())</f>
        <v>9.585144756340408E-2</v>
      </c>
      <c r="AN51" s="401">
        <f>IF('Lab test'!AU44&gt;0,'Lab test'!AU44,NA())</f>
        <v>0.1533524191250033</v>
      </c>
      <c r="AO51" s="401">
        <f>IF('Lab test'!AT44&gt;0,'Lab test'!AT44,NA())</f>
        <v>0.30000612220387285</v>
      </c>
      <c r="AP51">
        <f t="shared" si="34"/>
        <v>1</v>
      </c>
      <c r="AQ51" s="401">
        <f>'Lab test'!AZ44</f>
        <v>2017</v>
      </c>
      <c r="AR51" t="str">
        <f>'Lab test'!AC44</f>
        <v>LTWa</v>
      </c>
      <c r="AS51" t="str">
        <f>'Lab test'!T44</f>
        <v>Steel</v>
      </c>
      <c r="AV51" s="7"/>
      <c r="AW51" s="7"/>
      <c r="AX51" t="e">
        <f t="shared" si="12"/>
        <v>#N/A</v>
      </c>
      <c r="AY51" t="e">
        <f t="shared" si="13"/>
        <v>#N/A</v>
      </c>
      <c r="AZ51" t="e">
        <f t="shared" si="13"/>
        <v>#N/A</v>
      </c>
      <c r="BA51" t="e">
        <f t="shared" si="13"/>
        <v>#N/A</v>
      </c>
      <c r="BB51" t="e">
        <f t="shared" si="13"/>
        <v>#N/A</v>
      </c>
      <c r="BC51" t="e">
        <f t="shared" si="13"/>
        <v>#N/A</v>
      </c>
      <c r="BD51" t="e">
        <f t="shared" si="13"/>
        <v>#N/A</v>
      </c>
      <c r="BG51" t="e">
        <f t="shared" si="14"/>
        <v>#N/A</v>
      </c>
      <c r="BH51" t="e">
        <f t="shared" si="15"/>
        <v>#N/A</v>
      </c>
      <c r="BI51" t="e">
        <f t="shared" si="15"/>
        <v>#N/A</v>
      </c>
      <c r="BJ51" t="e">
        <f t="shared" si="15"/>
        <v>#N/A</v>
      </c>
      <c r="BK51" t="e">
        <f t="shared" si="15"/>
        <v>#N/A</v>
      </c>
      <c r="BL51" t="e">
        <f t="shared" si="15"/>
        <v>#N/A</v>
      </c>
      <c r="BM51" t="e">
        <f t="shared" si="15"/>
        <v>#N/A</v>
      </c>
      <c r="BP51" t="e">
        <f t="shared" si="16"/>
        <v>#N/A</v>
      </c>
      <c r="BQ51" t="e">
        <f t="shared" si="17"/>
        <v>#N/A</v>
      </c>
      <c r="BR51" t="e">
        <f t="shared" si="17"/>
        <v>#N/A</v>
      </c>
      <c r="BS51" t="e">
        <f t="shared" si="17"/>
        <v>#N/A</v>
      </c>
      <c r="BT51" t="e">
        <f t="shared" si="17"/>
        <v>#N/A</v>
      </c>
      <c r="BU51" t="e">
        <f t="shared" si="17"/>
        <v>#N/A</v>
      </c>
      <c r="BV51" t="e">
        <f t="shared" si="17"/>
        <v>#N/A</v>
      </c>
      <c r="BY51" t="e">
        <f t="shared" si="18"/>
        <v>#N/A</v>
      </c>
      <c r="BZ51">
        <v>208911.228</v>
      </c>
      <c r="CA51" cm="1">
        <f t="array" ref="CA51">IF(ISNUMBER(BZ51),AF51/COUNT(IF(ISNUMBER(_xlfn.ANCHORARRAY($BZ$11)),_xlfn.ANCHORARRAY($BZ$11))),NA())</f>
        <v>0.52564102564102566</v>
      </c>
      <c r="CB51" t="e">
        <f t="shared" si="19"/>
        <v>#N/A</v>
      </c>
      <c r="CD51" t="e">
        <f t="shared" si="20"/>
        <v>#N/A</v>
      </c>
      <c r="CE51">
        <f t="shared" si="21"/>
        <v>208911.228</v>
      </c>
      <c r="CG51" t="e">
        <v>#N/A</v>
      </c>
      <c r="CH51">
        <v>206842.71840000001</v>
      </c>
      <c r="CL51" t="e">
        <f t="shared" si="23"/>
        <v>#N/A</v>
      </c>
      <c r="CM51">
        <v>72705.215656460379</v>
      </c>
      <c r="CN51" cm="1">
        <f t="array" ref="CN51">IF(ISNUMBER(CM51),AF51/COUNT(IF(ISNUMBER(_xlfn.ANCHORARRAY($CM$11)),_xlfn.ANCHORARRAY($CM$11))),NA())</f>
        <v>0.74545454545454548</v>
      </c>
      <c r="CO51" t="e">
        <f t="shared" si="24"/>
        <v>#N/A</v>
      </c>
      <c r="CQ51" t="e">
        <f t="shared" si="25"/>
        <v>#N/A</v>
      </c>
      <c r="CR51">
        <f t="shared" si="26"/>
        <v>72705.215656460379</v>
      </c>
      <c r="CT51" t="e">
        <v>#N/A</v>
      </c>
      <c r="CU51">
        <v>72705.215656460379</v>
      </c>
      <c r="CY51" t="e">
        <f t="shared" si="28"/>
        <v>#N/A</v>
      </c>
      <c r="CZ51" t="e">
        <v>#N/A</v>
      </c>
      <c r="DA51" t="e" cm="1">
        <f t="array" ref="DA51">IF(ISNUMBER(CZ51),AF51/COUNT(IF(ISNUMBER(_xlfn.ANCHORARRAY($CZ$11)),_xlfn.ANCHORARRAY($CZ$11))),NA())</f>
        <v>#N/A</v>
      </c>
      <c r="DB51" t="e">
        <f t="shared" si="29"/>
        <v>#N/A</v>
      </c>
      <c r="DD51" t="e">
        <f t="shared" si="30"/>
        <v>#N/A</v>
      </c>
      <c r="DE51" t="e">
        <f t="shared" si="31"/>
        <v>#N/A</v>
      </c>
      <c r="DG51" t="e">
        <v>#N/A</v>
      </c>
      <c r="DH51" t="e">
        <v>#N/A</v>
      </c>
    </row>
    <row r="52" spans="2:112">
      <c r="AF52">
        <v>42</v>
      </c>
      <c r="AG52" s="401">
        <f>'Lab test'!N45</f>
        <v>200</v>
      </c>
      <c r="AH52" s="401">
        <f>'Lab test'!M45</f>
        <v>0.6</v>
      </c>
      <c r="AI52">
        <f>IF('Lab test'!O45&gt;0,'Lab test'!O45,NA())</f>
        <v>350</v>
      </c>
      <c r="AJ52">
        <f>'Lab test'!Q45</f>
        <v>333.33333333333337</v>
      </c>
      <c r="AK52" s="401">
        <f>IF('Lab test'!V45&gt;0,'Lab test'!V45,NA())</f>
        <v>216213</v>
      </c>
      <c r="AL52" s="7">
        <f>IF(MAX('Lab test'!W45,'Lab test'!X45)&gt;0,MAX('Lab test'!W45,'Lab test'!X45),NA())</f>
        <v>768</v>
      </c>
      <c r="AM52" s="401">
        <f>IF('Lab test'!P45&gt;0,'Lab test'!P45,NA())</f>
        <v>9.585144756340408E-2</v>
      </c>
      <c r="AN52" s="401">
        <f>IF('Lab test'!AU45&gt;0,'Lab test'!AU45,NA())</f>
        <v>0.19082705307784759</v>
      </c>
      <c r="AO52" s="401">
        <f>IF('Lab test'!AT45&gt;0,'Lab test'!AT45,NA())</f>
        <v>0.37331842909378327</v>
      </c>
      <c r="AP52">
        <f t="shared" si="34"/>
        <v>1</v>
      </c>
      <c r="AQ52" s="401">
        <f>'Lab test'!AZ45</f>
        <v>2017</v>
      </c>
      <c r="AR52" t="str">
        <f>'Lab test'!AC45</f>
        <v>LTWa</v>
      </c>
      <c r="AS52" t="str">
        <f>'Lab test'!T45</f>
        <v>Steel</v>
      </c>
      <c r="AV52" s="7"/>
      <c r="AW52" s="7"/>
      <c r="AX52" t="e">
        <f t="shared" si="12"/>
        <v>#N/A</v>
      </c>
      <c r="AY52" t="e">
        <f t="shared" si="13"/>
        <v>#N/A</v>
      </c>
      <c r="AZ52" t="e">
        <f t="shared" si="13"/>
        <v>#N/A</v>
      </c>
      <c r="BA52" t="e">
        <f t="shared" si="13"/>
        <v>#N/A</v>
      </c>
      <c r="BB52" t="e">
        <f t="shared" si="13"/>
        <v>#N/A</v>
      </c>
      <c r="BC52" t="e">
        <f t="shared" si="13"/>
        <v>#N/A</v>
      </c>
      <c r="BD52" t="e">
        <f t="shared" si="13"/>
        <v>#N/A</v>
      </c>
      <c r="BG52" t="e">
        <f t="shared" si="14"/>
        <v>#N/A</v>
      </c>
      <c r="BH52" t="e">
        <f t="shared" si="15"/>
        <v>#N/A</v>
      </c>
      <c r="BI52" t="e">
        <f t="shared" si="15"/>
        <v>#N/A</v>
      </c>
      <c r="BJ52" t="e">
        <f t="shared" si="15"/>
        <v>#N/A</v>
      </c>
      <c r="BK52" t="e">
        <f t="shared" si="15"/>
        <v>#N/A</v>
      </c>
      <c r="BL52" t="e">
        <f t="shared" si="15"/>
        <v>#N/A</v>
      </c>
      <c r="BM52" t="e">
        <f t="shared" si="15"/>
        <v>#N/A</v>
      </c>
      <c r="BP52" t="e">
        <f t="shared" si="16"/>
        <v>#N/A</v>
      </c>
      <c r="BQ52" t="e">
        <f t="shared" si="17"/>
        <v>#N/A</v>
      </c>
      <c r="BR52" t="e">
        <f t="shared" si="17"/>
        <v>#N/A</v>
      </c>
      <c r="BS52" t="e">
        <f t="shared" si="17"/>
        <v>#N/A</v>
      </c>
      <c r="BT52" t="e">
        <f t="shared" si="17"/>
        <v>#N/A</v>
      </c>
      <c r="BU52" t="e">
        <f t="shared" si="17"/>
        <v>#N/A</v>
      </c>
      <c r="BV52" t="e">
        <f t="shared" si="17"/>
        <v>#N/A</v>
      </c>
      <c r="BY52" t="e">
        <f t="shared" si="18"/>
        <v>#N/A</v>
      </c>
      <c r="BZ52">
        <v>208911.228</v>
      </c>
      <c r="CA52" cm="1">
        <f t="array" ref="CA52">IF(ISNUMBER(BZ52),AF52/COUNT(IF(ISNUMBER(_xlfn.ANCHORARRAY($BZ$11)),_xlfn.ANCHORARRAY($BZ$11))),NA())</f>
        <v>0.53846153846153844</v>
      </c>
      <c r="CB52" t="e">
        <f t="shared" si="19"/>
        <v>#N/A</v>
      </c>
      <c r="CD52" t="e">
        <f t="shared" si="20"/>
        <v>#N/A</v>
      </c>
      <c r="CE52">
        <f t="shared" si="21"/>
        <v>208911.228</v>
      </c>
      <c r="CG52" t="e">
        <v>#N/A</v>
      </c>
      <c r="CH52">
        <v>206842.71840000001</v>
      </c>
      <c r="CL52" t="e">
        <f t="shared" si="23"/>
        <v>#N/A</v>
      </c>
      <c r="CM52">
        <v>72705.215656460379</v>
      </c>
      <c r="CN52" cm="1">
        <f t="array" ref="CN52">IF(ISNUMBER(CM52),AF52/COUNT(IF(ISNUMBER(_xlfn.ANCHORARRAY($CM$11)),_xlfn.ANCHORARRAY($CM$11))),NA())</f>
        <v>0.76363636363636367</v>
      </c>
      <c r="CO52" t="e">
        <f t="shared" si="24"/>
        <v>#N/A</v>
      </c>
      <c r="CQ52" t="e">
        <f t="shared" si="25"/>
        <v>#N/A</v>
      </c>
      <c r="CR52">
        <f t="shared" si="26"/>
        <v>72705.215656460379</v>
      </c>
      <c r="CT52" t="e">
        <v>#N/A</v>
      </c>
      <c r="CU52">
        <v>72705.215656460379</v>
      </c>
      <c r="CY52" t="e">
        <f t="shared" si="28"/>
        <v>#N/A</v>
      </c>
      <c r="CZ52" t="e">
        <v>#N/A</v>
      </c>
      <c r="DA52" t="e" cm="1">
        <f t="array" ref="DA52">IF(ISNUMBER(CZ52),AF52/COUNT(IF(ISNUMBER(_xlfn.ANCHORARRAY($CZ$11)),_xlfn.ANCHORARRAY($CZ$11))),NA())</f>
        <v>#N/A</v>
      </c>
      <c r="DB52" t="e">
        <f t="shared" si="29"/>
        <v>#N/A</v>
      </c>
      <c r="DD52" t="e">
        <f t="shared" si="30"/>
        <v>#N/A</v>
      </c>
      <c r="DE52" t="e">
        <f t="shared" si="31"/>
        <v>#N/A</v>
      </c>
      <c r="DG52" t="e">
        <v>#N/A</v>
      </c>
      <c r="DH52" t="e">
        <v>#N/A</v>
      </c>
    </row>
    <row r="53" spans="2:112">
      <c r="AF53">
        <v>43</v>
      </c>
      <c r="AG53" s="401">
        <f>'Lab test'!N46</f>
        <v>150</v>
      </c>
      <c r="AH53" s="401">
        <f>'Lab test'!M46</f>
        <v>1</v>
      </c>
      <c r="AI53">
        <f>IF('Lab test'!O46&gt;0,'Lab test'!O46,NA())</f>
        <v>350</v>
      </c>
      <c r="AJ53">
        <f>'Lab test'!Q46</f>
        <v>150</v>
      </c>
      <c r="AK53" s="401">
        <f>IF('Lab test'!V46&gt;0,'Lab test'!V46,NA())</f>
        <v>216213</v>
      </c>
      <c r="AL53" s="7">
        <f>IF(MAX('Lab test'!W46,'Lab test'!X46)&gt;0,MAX('Lab test'!W46,'Lab test'!X46),NA())</f>
        <v>768</v>
      </c>
      <c r="AM53" s="401">
        <f>IF('Lab test'!P46&gt;0,'Lab test'!P46,NA())</f>
        <v>0.1905158688831361</v>
      </c>
      <c r="AN53" s="401">
        <f>IF('Lab test'!AU46&gt;0,'Lab test'!AU46,NA())</f>
        <v>0.51366152640248863</v>
      </c>
      <c r="AO53" s="401">
        <f>IF('Lab test'!AT46&gt;0,'Lab test'!AT46,NA())</f>
        <v>0.45219841717054027</v>
      </c>
      <c r="AP53">
        <f t="shared" si="34"/>
        <v>1</v>
      </c>
      <c r="AQ53" s="401">
        <f>'Lab test'!AZ46</f>
        <v>2017</v>
      </c>
      <c r="AR53" t="str">
        <f>'Lab test'!AC46</f>
        <v>LTWa</v>
      </c>
      <c r="AS53" t="str">
        <f>'Lab test'!T46</f>
        <v>Steel</v>
      </c>
      <c r="AV53" s="7"/>
      <c r="AW53" s="7"/>
      <c r="AX53" t="e">
        <f t="shared" si="12"/>
        <v>#N/A</v>
      </c>
      <c r="AY53" t="e">
        <f t="shared" si="13"/>
        <v>#N/A</v>
      </c>
      <c r="AZ53" t="e">
        <f t="shared" si="13"/>
        <v>#N/A</v>
      </c>
      <c r="BA53" t="e">
        <f t="shared" si="13"/>
        <v>#N/A</v>
      </c>
      <c r="BB53" t="e">
        <f t="shared" si="13"/>
        <v>#N/A</v>
      </c>
      <c r="BC53" t="e">
        <f t="shared" si="13"/>
        <v>#N/A</v>
      </c>
      <c r="BD53" t="e">
        <f t="shared" si="13"/>
        <v>#N/A</v>
      </c>
      <c r="BG53" t="e">
        <f t="shared" si="14"/>
        <v>#N/A</v>
      </c>
      <c r="BH53" t="e">
        <f t="shared" si="15"/>
        <v>#N/A</v>
      </c>
      <c r="BI53" t="e">
        <f t="shared" si="15"/>
        <v>#N/A</v>
      </c>
      <c r="BJ53" t="e">
        <f t="shared" si="15"/>
        <v>#N/A</v>
      </c>
      <c r="BK53" t="e">
        <f t="shared" si="15"/>
        <v>#N/A</v>
      </c>
      <c r="BL53" t="e">
        <f t="shared" si="15"/>
        <v>#N/A</v>
      </c>
      <c r="BM53" t="e">
        <f t="shared" si="15"/>
        <v>#N/A</v>
      </c>
      <c r="BP53" t="e">
        <f t="shared" si="16"/>
        <v>#N/A</v>
      </c>
      <c r="BQ53" t="e">
        <f t="shared" si="17"/>
        <v>#N/A</v>
      </c>
      <c r="BR53" t="e">
        <f t="shared" si="17"/>
        <v>#N/A</v>
      </c>
      <c r="BS53" t="e">
        <f t="shared" si="17"/>
        <v>#N/A</v>
      </c>
      <c r="BT53" t="e">
        <f t="shared" si="17"/>
        <v>#N/A</v>
      </c>
      <c r="BU53" t="e">
        <f t="shared" si="17"/>
        <v>#N/A</v>
      </c>
      <c r="BV53" t="e">
        <f t="shared" si="17"/>
        <v>#N/A</v>
      </c>
      <c r="BY53" t="e">
        <f t="shared" si="18"/>
        <v>#N/A</v>
      </c>
      <c r="BZ53">
        <v>208911.228</v>
      </c>
      <c r="CA53" cm="1">
        <f t="array" ref="CA53">IF(ISNUMBER(BZ53),AF53/COUNT(IF(ISNUMBER(_xlfn.ANCHORARRAY($BZ$11)),_xlfn.ANCHORARRAY($BZ$11))),NA())</f>
        <v>0.55128205128205132</v>
      </c>
      <c r="CB53" t="e">
        <f t="shared" si="19"/>
        <v>#N/A</v>
      </c>
      <c r="CD53" t="e">
        <f t="shared" si="20"/>
        <v>#N/A</v>
      </c>
      <c r="CE53">
        <f t="shared" si="21"/>
        <v>208911.228</v>
      </c>
      <c r="CG53" t="e">
        <v>#N/A</v>
      </c>
      <c r="CH53">
        <v>206842.71840000001</v>
      </c>
      <c r="CL53" t="e">
        <f t="shared" si="23"/>
        <v>#N/A</v>
      </c>
      <c r="CM53">
        <v>72705.215656460379</v>
      </c>
      <c r="CN53" cm="1">
        <f t="array" ref="CN53">IF(ISNUMBER(CM53),AF53/COUNT(IF(ISNUMBER(_xlfn.ANCHORARRAY($CM$11)),_xlfn.ANCHORARRAY($CM$11))),NA())</f>
        <v>0.78181818181818186</v>
      </c>
      <c r="CO53" t="e">
        <f t="shared" si="24"/>
        <v>#N/A</v>
      </c>
      <c r="CQ53" t="e">
        <f t="shared" si="25"/>
        <v>#N/A</v>
      </c>
      <c r="CR53">
        <f t="shared" si="26"/>
        <v>72705.215656460379</v>
      </c>
      <c r="CT53" t="e">
        <v>#N/A</v>
      </c>
      <c r="CU53">
        <v>72705.215656460379</v>
      </c>
      <c r="CY53" t="e">
        <f t="shared" si="28"/>
        <v>#N/A</v>
      </c>
      <c r="CZ53" t="e">
        <v>#N/A</v>
      </c>
      <c r="DA53" t="e" cm="1">
        <f t="array" ref="DA53">IF(ISNUMBER(CZ53),AF53/COUNT(IF(ISNUMBER(_xlfn.ANCHORARRAY($CZ$11)),_xlfn.ANCHORARRAY($CZ$11))),NA())</f>
        <v>#N/A</v>
      </c>
      <c r="DB53" t="e">
        <f t="shared" si="29"/>
        <v>#N/A</v>
      </c>
      <c r="DD53" t="e">
        <f t="shared" si="30"/>
        <v>#N/A</v>
      </c>
      <c r="DE53" t="e">
        <f t="shared" si="31"/>
        <v>#N/A</v>
      </c>
      <c r="DG53" t="e">
        <v>#N/A</v>
      </c>
      <c r="DH53" t="e">
        <v>#N/A</v>
      </c>
    </row>
    <row r="54" spans="2:112">
      <c r="B54" t="s">
        <v>927</v>
      </c>
      <c r="C54">
        <f t="shared" ref="C54:I54" si="35">AVERAGE(AX9:AX10)</f>
        <v>139.74370836417469</v>
      </c>
      <c r="D54">
        <f t="shared" si="35"/>
        <v>344.23112509252405</v>
      </c>
      <c r="E54">
        <f t="shared" si="35"/>
        <v>548.7185418208735</v>
      </c>
      <c r="F54">
        <f t="shared" si="35"/>
        <v>753.20595854922283</v>
      </c>
      <c r="G54">
        <f t="shared" si="35"/>
        <v>957.69337527757227</v>
      </c>
      <c r="H54">
        <f t="shared" si="35"/>
        <v>1162.1807920059218</v>
      </c>
      <c r="I54">
        <f t="shared" si="35"/>
        <v>1366.668208734271</v>
      </c>
      <c r="AF54">
        <v>44</v>
      </c>
      <c r="AG54" s="401">
        <f>'Lab test'!N47</f>
        <v>150</v>
      </c>
      <c r="AH54" s="401">
        <f>'Lab test'!M47</f>
        <v>1</v>
      </c>
      <c r="AI54">
        <f>IF('Lab test'!O47&gt;0,'Lab test'!O47,NA())</f>
        <v>350</v>
      </c>
      <c r="AJ54">
        <f>'Lab test'!Q47</f>
        <v>150</v>
      </c>
      <c r="AK54" s="401">
        <f>IF('Lab test'!V47&gt;0,'Lab test'!V47,NA())</f>
        <v>216213</v>
      </c>
      <c r="AL54" s="7">
        <f>IF(MAX('Lab test'!W47,'Lab test'!X47)&gt;0,MAX('Lab test'!W47,'Lab test'!X47),NA())</f>
        <v>768</v>
      </c>
      <c r="AM54" s="401">
        <f>IF('Lab test'!P47&gt;0,'Lab test'!P47,NA())</f>
        <v>0.1905158688831361</v>
      </c>
      <c r="AN54" s="401">
        <f>IF('Lab test'!AU47&gt;0,'Lab test'!AU47,NA())</f>
        <v>0.53549006894460627</v>
      </c>
      <c r="AO54" s="401">
        <f>IF('Lab test'!AT47&gt;0,'Lab test'!AT47,NA())</f>
        <v>0.47141502553873432</v>
      </c>
      <c r="AP54">
        <f t="shared" si="34"/>
        <v>1</v>
      </c>
      <c r="AQ54" s="401">
        <f>'Lab test'!AZ47</f>
        <v>2017</v>
      </c>
      <c r="AR54" t="str">
        <f>'Lab test'!AC47</f>
        <v>LTWa</v>
      </c>
      <c r="AS54" t="str">
        <f>'Lab test'!T47</f>
        <v>Steel</v>
      </c>
      <c r="AV54" s="7"/>
      <c r="AW54" s="7"/>
      <c r="AX54" t="e">
        <f t="shared" si="12"/>
        <v>#N/A</v>
      </c>
      <c r="AY54" t="e">
        <f t="shared" si="13"/>
        <v>#N/A</v>
      </c>
      <c r="AZ54" t="e">
        <f t="shared" si="13"/>
        <v>#N/A</v>
      </c>
      <c r="BA54" t="e">
        <f t="shared" si="13"/>
        <v>#N/A</v>
      </c>
      <c r="BB54" t="e">
        <f t="shared" si="13"/>
        <v>#N/A</v>
      </c>
      <c r="BC54" t="e">
        <f t="shared" si="13"/>
        <v>#N/A</v>
      </c>
      <c r="BD54" t="e">
        <f t="shared" si="13"/>
        <v>#N/A</v>
      </c>
      <c r="BG54" t="e">
        <f t="shared" si="14"/>
        <v>#N/A</v>
      </c>
      <c r="BH54" t="e">
        <f t="shared" si="15"/>
        <v>#N/A</v>
      </c>
      <c r="BI54" t="e">
        <f t="shared" si="15"/>
        <v>#N/A</v>
      </c>
      <c r="BJ54" t="e">
        <f t="shared" si="15"/>
        <v>#N/A</v>
      </c>
      <c r="BK54" t="e">
        <f t="shared" si="15"/>
        <v>#N/A</v>
      </c>
      <c r="BL54" t="e">
        <f t="shared" si="15"/>
        <v>#N/A</v>
      </c>
      <c r="BM54" t="e">
        <f t="shared" si="15"/>
        <v>#N/A</v>
      </c>
      <c r="BP54" t="e">
        <f t="shared" si="16"/>
        <v>#N/A</v>
      </c>
      <c r="BQ54" t="e">
        <f t="shared" si="17"/>
        <v>#N/A</v>
      </c>
      <c r="BR54" t="e">
        <f t="shared" si="17"/>
        <v>#N/A</v>
      </c>
      <c r="BS54" t="e">
        <f t="shared" si="17"/>
        <v>#N/A</v>
      </c>
      <c r="BT54" t="e">
        <f t="shared" si="17"/>
        <v>#N/A</v>
      </c>
      <c r="BU54" t="e">
        <f t="shared" si="17"/>
        <v>#N/A</v>
      </c>
      <c r="BV54" t="e">
        <f t="shared" si="17"/>
        <v>#N/A</v>
      </c>
      <c r="BY54" t="e">
        <f t="shared" si="18"/>
        <v>#N/A</v>
      </c>
      <c r="BZ54">
        <v>208911.228</v>
      </c>
      <c r="CA54" cm="1">
        <f t="array" ref="CA54">IF(ISNUMBER(BZ54),AF54/COUNT(IF(ISNUMBER(_xlfn.ANCHORARRAY($BZ$11)),_xlfn.ANCHORARRAY($BZ$11))),NA())</f>
        <v>0.5641025641025641</v>
      </c>
      <c r="CB54" t="e">
        <f t="shared" si="19"/>
        <v>#N/A</v>
      </c>
      <c r="CD54" t="e">
        <f t="shared" si="20"/>
        <v>#N/A</v>
      </c>
      <c r="CE54">
        <f t="shared" si="21"/>
        <v>208911.228</v>
      </c>
      <c r="CG54" t="e">
        <v>#N/A</v>
      </c>
      <c r="CH54">
        <v>206842.71840000001</v>
      </c>
      <c r="CL54" t="e">
        <f t="shared" si="23"/>
        <v>#N/A</v>
      </c>
      <c r="CM54">
        <v>72705.215656460379</v>
      </c>
      <c r="CN54" cm="1">
        <f t="array" ref="CN54">IF(ISNUMBER(CM54),AF54/COUNT(IF(ISNUMBER(_xlfn.ANCHORARRAY($CM$11)),_xlfn.ANCHORARRAY($CM$11))),NA())</f>
        <v>0.8</v>
      </c>
      <c r="CO54" t="e">
        <f t="shared" si="24"/>
        <v>#N/A</v>
      </c>
      <c r="CQ54" t="e">
        <f t="shared" si="25"/>
        <v>#N/A</v>
      </c>
      <c r="CR54">
        <f t="shared" si="26"/>
        <v>72705.215656460379</v>
      </c>
      <c r="CT54" t="e">
        <v>#N/A</v>
      </c>
      <c r="CU54">
        <v>72705.215656460379</v>
      </c>
      <c r="CY54" t="e">
        <f t="shared" si="28"/>
        <v>#N/A</v>
      </c>
      <c r="CZ54" t="e">
        <v>#N/A</v>
      </c>
      <c r="DA54" t="e" cm="1">
        <f t="array" ref="DA54">IF(ISNUMBER(CZ54),AF54/COUNT(IF(ISNUMBER(_xlfn.ANCHORARRAY($CZ$11)),_xlfn.ANCHORARRAY($CZ$11))),NA())</f>
        <v>#N/A</v>
      </c>
      <c r="DB54" t="e">
        <f t="shared" si="29"/>
        <v>#N/A</v>
      </c>
      <c r="DD54" t="e">
        <f t="shared" si="30"/>
        <v>#N/A</v>
      </c>
      <c r="DE54" t="e">
        <f t="shared" si="31"/>
        <v>#N/A</v>
      </c>
      <c r="DG54" t="e">
        <v>#N/A</v>
      </c>
      <c r="DH54" t="e">
        <v>#N/A</v>
      </c>
    </row>
    <row r="55" spans="2:112">
      <c r="B55" t="s">
        <v>928</v>
      </c>
      <c r="C55" s="145">
        <f t="shared" ref="C55:I55" si="36">AX683</f>
        <v>6</v>
      </c>
      <c r="D55" s="145">
        <f t="shared" si="36"/>
        <v>36</v>
      </c>
      <c r="E55" s="145">
        <f t="shared" si="36"/>
        <v>17</v>
      </c>
      <c r="F55" s="145">
        <f t="shared" si="36"/>
        <v>6</v>
      </c>
      <c r="G55" s="145">
        <f t="shared" si="36"/>
        <v>6</v>
      </c>
      <c r="H55" s="145">
        <f t="shared" si="36"/>
        <v>4</v>
      </c>
      <c r="I55" s="145">
        <f t="shared" si="36"/>
        <v>3</v>
      </c>
      <c r="J55" s="145"/>
      <c r="K55" s="145">
        <f>SUM(C55:I55)</f>
        <v>78</v>
      </c>
      <c r="AF55">
        <v>45</v>
      </c>
      <c r="AG55" s="401">
        <f>'Lab test'!N48</f>
        <v>150</v>
      </c>
      <c r="AH55" s="401">
        <f>'Lab test'!M48</f>
        <v>3</v>
      </c>
      <c r="AI55">
        <f>IF('Lab test'!O48&gt;0,'Lab test'!O48,NA())</f>
        <v>350</v>
      </c>
      <c r="AJ55">
        <f>'Lab test'!Q48</f>
        <v>50</v>
      </c>
      <c r="AK55" s="401">
        <f>IF('Lab test'!V48&gt;0,'Lab test'!V48,NA())</f>
        <v>216213</v>
      </c>
      <c r="AL55" s="7">
        <f>IF(MAX('Lab test'!W48,'Lab test'!X48)&gt;0,MAX('Lab test'!W48,'Lab test'!X48),NA())</f>
        <v>768</v>
      </c>
      <c r="AM55" s="401">
        <f>IF('Lab test'!P48&gt;0,'Lab test'!P48,NA())</f>
        <v>0.32998316455372217</v>
      </c>
      <c r="AN55" s="401">
        <f>IF('Lab test'!AU48&gt;0,'Lab test'!AU48,NA())</f>
        <v>0.83137273947858403</v>
      </c>
      <c r="AO55" s="401">
        <f>IF('Lab test'!AT48&gt;0,'Lab test'!AT48,NA())</f>
        <v>0.24396443802461787</v>
      </c>
      <c r="AP55">
        <f t="shared" si="34"/>
        <v>1</v>
      </c>
      <c r="AQ55" s="401">
        <f>'Lab test'!AZ48</f>
        <v>2017</v>
      </c>
      <c r="AR55" t="str">
        <f>'Lab test'!AC48</f>
        <v>LTWa</v>
      </c>
      <c r="AS55" t="str">
        <f>'Lab test'!T48</f>
        <v>Steel</v>
      </c>
      <c r="AX55" t="e">
        <f t="shared" si="12"/>
        <v>#N/A</v>
      </c>
      <c r="AY55" t="e">
        <f t="shared" si="13"/>
        <v>#N/A</v>
      </c>
      <c r="AZ55" t="e">
        <f t="shared" si="13"/>
        <v>#N/A</v>
      </c>
      <c r="BA55" t="e">
        <f t="shared" si="13"/>
        <v>#N/A</v>
      </c>
      <c r="BB55" t="e">
        <f t="shared" si="13"/>
        <v>#N/A</v>
      </c>
      <c r="BC55" t="e">
        <f t="shared" si="13"/>
        <v>#N/A</v>
      </c>
      <c r="BD55" t="e">
        <f t="shared" si="13"/>
        <v>#N/A</v>
      </c>
      <c r="BG55" t="e">
        <f t="shared" si="14"/>
        <v>#N/A</v>
      </c>
      <c r="BH55" t="e">
        <f t="shared" si="15"/>
        <v>#N/A</v>
      </c>
      <c r="BI55" t="e">
        <f t="shared" si="15"/>
        <v>#N/A</v>
      </c>
      <c r="BJ55" t="e">
        <f t="shared" si="15"/>
        <v>#N/A</v>
      </c>
      <c r="BK55" t="e">
        <f t="shared" si="15"/>
        <v>#N/A</v>
      </c>
      <c r="BL55" t="e">
        <f t="shared" si="15"/>
        <v>#N/A</v>
      </c>
      <c r="BM55" t="e">
        <f t="shared" si="15"/>
        <v>#N/A</v>
      </c>
      <c r="BP55" t="e">
        <f t="shared" si="16"/>
        <v>#N/A</v>
      </c>
      <c r="BQ55" t="e">
        <f t="shared" si="17"/>
        <v>#N/A</v>
      </c>
      <c r="BR55" t="e">
        <f t="shared" si="17"/>
        <v>#N/A</v>
      </c>
      <c r="BS55" t="e">
        <f t="shared" si="17"/>
        <v>#N/A</v>
      </c>
      <c r="BT55" t="e">
        <f t="shared" si="17"/>
        <v>#N/A</v>
      </c>
      <c r="BU55" t="e">
        <f t="shared" si="17"/>
        <v>#N/A</v>
      </c>
      <c r="BV55" t="e">
        <f t="shared" si="17"/>
        <v>#N/A</v>
      </c>
      <c r="BY55" t="e">
        <f t="shared" si="18"/>
        <v>#N/A</v>
      </c>
      <c r="BZ55">
        <v>208911.228</v>
      </c>
      <c r="CA55" cm="1">
        <f t="array" ref="CA55">IF(ISNUMBER(BZ55),AF55/COUNT(IF(ISNUMBER(_xlfn.ANCHORARRAY($BZ$11)),_xlfn.ANCHORARRAY($BZ$11))),NA())</f>
        <v>0.57692307692307687</v>
      </c>
      <c r="CB55" t="e">
        <f t="shared" si="19"/>
        <v>#N/A</v>
      </c>
      <c r="CD55" t="e">
        <f t="shared" si="20"/>
        <v>#N/A</v>
      </c>
      <c r="CE55">
        <f t="shared" si="21"/>
        <v>208911.228</v>
      </c>
      <c r="CG55" t="e">
        <v>#N/A</v>
      </c>
      <c r="CH55">
        <v>208911.228</v>
      </c>
      <c r="CL55" t="e">
        <f t="shared" si="23"/>
        <v>#N/A</v>
      </c>
      <c r="CM55">
        <v>72705.215656460379</v>
      </c>
      <c r="CN55" cm="1">
        <f t="array" ref="CN55">IF(ISNUMBER(CM55),AF55/COUNT(IF(ISNUMBER(_xlfn.ANCHORARRAY($CM$11)),_xlfn.ANCHORARRAY($CM$11))),NA())</f>
        <v>0.81818181818181823</v>
      </c>
      <c r="CO55" t="e">
        <f t="shared" si="24"/>
        <v>#N/A</v>
      </c>
      <c r="CQ55" t="e">
        <f t="shared" si="25"/>
        <v>#N/A</v>
      </c>
      <c r="CR55">
        <f t="shared" si="26"/>
        <v>72705.215656460379</v>
      </c>
      <c r="CT55" t="e">
        <v>#N/A</v>
      </c>
      <c r="CU55">
        <v>72705.215656460379</v>
      </c>
      <c r="CY55" t="e">
        <f t="shared" si="28"/>
        <v>#N/A</v>
      </c>
      <c r="CZ55" t="e">
        <v>#N/A</v>
      </c>
      <c r="DA55" t="e" cm="1">
        <f t="array" ref="DA55">IF(ISNUMBER(CZ55),AF55/COUNT(IF(ISNUMBER(_xlfn.ANCHORARRAY($CZ$11)),_xlfn.ANCHORARRAY($CZ$11))),NA())</f>
        <v>#N/A</v>
      </c>
      <c r="DB55" t="e">
        <f t="shared" si="29"/>
        <v>#N/A</v>
      </c>
      <c r="DD55" t="e">
        <f t="shared" si="30"/>
        <v>#N/A</v>
      </c>
      <c r="DE55" t="e">
        <f t="shared" si="31"/>
        <v>#N/A</v>
      </c>
      <c r="DG55" t="e">
        <v>#N/A</v>
      </c>
      <c r="DH55" t="e">
        <v>#N/A</v>
      </c>
    </row>
    <row r="56" spans="2:112">
      <c r="B56" t="s">
        <v>929</v>
      </c>
      <c r="C56" s="145">
        <f t="shared" ref="C56:I56" si="37">BG683</f>
        <v>5</v>
      </c>
      <c r="D56" s="145">
        <f t="shared" si="37"/>
        <v>8</v>
      </c>
      <c r="E56" s="145">
        <f t="shared" si="37"/>
        <v>11</v>
      </c>
      <c r="F56" s="145">
        <f t="shared" si="37"/>
        <v>21</v>
      </c>
      <c r="G56" s="145">
        <f t="shared" si="37"/>
        <v>2</v>
      </c>
      <c r="H56" s="145">
        <f t="shared" si="37"/>
        <v>2</v>
      </c>
      <c r="I56" s="145">
        <f t="shared" si="37"/>
        <v>6</v>
      </c>
      <c r="J56" s="145"/>
      <c r="K56" s="145">
        <f t="shared" ref="K56:K57" si="38">SUM(C56:I56)</f>
        <v>55</v>
      </c>
      <c r="AF56">
        <v>46</v>
      </c>
      <c r="AG56" s="401">
        <f>'Lab test'!N49</f>
        <v>150</v>
      </c>
      <c r="AH56" s="401">
        <f>'Lab test'!M49</f>
        <v>3</v>
      </c>
      <c r="AI56">
        <f>IF('Lab test'!O49&gt;0,'Lab test'!O49,NA())</f>
        <v>350</v>
      </c>
      <c r="AJ56">
        <f>'Lab test'!Q49</f>
        <v>50</v>
      </c>
      <c r="AK56" s="401">
        <f>IF('Lab test'!V49&gt;0,'Lab test'!V49,NA())</f>
        <v>216213</v>
      </c>
      <c r="AL56" s="7">
        <f>IF(MAX('Lab test'!W49,'Lab test'!X49)&gt;0,MAX('Lab test'!W49,'Lab test'!X49),NA())</f>
        <v>768</v>
      </c>
      <c r="AM56" s="401">
        <f>IF('Lab test'!P49&gt;0,'Lab test'!P49,NA())</f>
        <v>0.32998316455372217</v>
      </c>
      <c r="AN56" s="401">
        <f>IF('Lab test'!AU49&gt;0,'Lab test'!AU49,NA())</f>
        <v>0.84251726963721796</v>
      </c>
      <c r="AO56" s="401">
        <f>IF('Lab test'!AT49&gt;0,'Lab test'!AT49,NA())</f>
        <v>0.24723477503242589</v>
      </c>
      <c r="AP56">
        <f t="shared" si="34"/>
        <v>1</v>
      </c>
      <c r="AQ56" s="401">
        <f>'Lab test'!AZ49</f>
        <v>2017</v>
      </c>
      <c r="AR56" t="str">
        <f>'Lab test'!AC49</f>
        <v>LTWa</v>
      </c>
      <c r="AS56" t="str">
        <f>'Lab test'!T49</f>
        <v>Steel</v>
      </c>
      <c r="AX56" t="e">
        <f t="shared" si="12"/>
        <v>#N/A</v>
      </c>
      <c r="AY56" t="e">
        <f t="shared" si="13"/>
        <v>#N/A</v>
      </c>
      <c r="AZ56" t="e">
        <f t="shared" si="13"/>
        <v>#N/A</v>
      </c>
      <c r="BA56" t="e">
        <f t="shared" si="13"/>
        <v>#N/A</v>
      </c>
      <c r="BB56" t="e">
        <f t="shared" si="13"/>
        <v>#N/A</v>
      </c>
      <c r="BC56" t="e">
        <f t="shared" si="13"/>
        <v>#N/A</v>
      </c>
      <c r="BD56" t="e">
        <f t="shared" si="13"/>
        <v>#N/A</v>
      </c>
      <c r="BG56" t="e">
        <f t="shared" si="14"/>
        <v>#N/A</v>
      </c>
      <c r="BH56" t="e">
        <f t="shared" si="15"/>
        <v>#N/A</v>
      </c>
      <c r="BI56" t="e">
        <f t="shared" si="15"/>
        <v>#N/A</v>
      </c>
      <c r="BJ56" t="e">
        <f t="shared" si="15"/>
        <v>#N/A</v>
      </c>
      <c r="BK56" t="e">
        <f t="shared" si="15"/>
        <v>#N/A</v>
      </c>
      <c r="BL56" t="e">
        <f t="shared" si="15"/>
        <v>#N/A</v>
      </c>
      <c r="BM56" t="e">
        <f t="shared" si="15"/>
        <v>#N/A</v>
      </c>
      <c r="BP56" t="e">
        <f t="shared" si="16"/>
        <v>#N/A</v>
      </c>
      <c r="BQ56" t="e">
        <f t="shared" si="17"/>
        <v>#N/A</v>
      </c>
      <c r="BR56" t="e">
        <f t="shared" si="17"/>
        <v>#N/A</v>
      </c>
      <c r="BS56" t="e">
        <f t="shared" si="17"/>
        <v>#N/A</v>
      </c>
      <c r="BT56" t="e">
        <f t="shared" si="17"/>
        <v>#N/A</v>
      </c>
      <c r="BU56" t="e">
        <f t="shared" si="17"/>
        <v>#N/A</v>
      </c>
      <c r="BV56" t="e">
        <f t="shared" si="17"/>
        <v>#N/A</v>
      </c>
      <c r="BY56" t="e">
        <f t="shared" si="18"/>
        <v>#N/A</v>
      </c>
      <c r="BZ56">
        <v>208911.228</v>
      </c>
      <c r="CA56" cm="1">
        <f t="array" ref="CA56">IF(ISNUMBER(BZ56),AF56/COUNT(IF(ISNUMBER(_xlfn.ANCHORARRAY($BZ$11)),_xlfn.ANCHORARRAY($BZ$11))),NA())</f>
        <v>0.58974358974358976</v>
      </c>
      <c r="CB56" t="e">
        <f t="shared" si="19"/>
        <v>#N/A</v>
      </c>
      <c r="CD56" t="e">
        <f t="shared" si="20"/>
        <v>#N/A</v>
      </c>
      <c r="CE56">
        <f t="shared" si="21"/>
        <v>208911.228</v>
      </c>
      <c r="CG56" t="e">
        <v>#N/A</v>
      </c>
      <c r="CH56">
        <v>208911.228</v>
      </c>
      <c r="CL56" t="e">
        <f t="shared" si="23"/>
        <v>#N/A</v>
      </c>
      <c r="CM56">
        <v>72705.215656460379</v>
      </c>
      <c r="CN56" cm="1">
        <f t="array" ref="CN56">IF(ISNUMBER(CM56),AF56/COUNT(IF(ISNUMBER(_xlfn.ANCHORARRAY($CM$11)),_xlfn.ANCHORARRAY($CM$11))),NA())</f>
        <v>0.83636363636363631</v>
      </c>
      <c r="CO56" t="e">
        <f t="shared" si="24"/>
        <v>#N/A</v>
      </c>
      <c r="CQ56" t="e">
        <f t="shared" si="25"/>
        <v>#N/A</v>
      </c>
      <c r="CR56">
        <f t="shared" si="26"/>
        <v>72705.215656460379</v>
      </c>
      <c r="CT56" t="e">
        <v>#N/A</v>
      </c>
      <c r="CU56">
        <v>72705.215656460379</v>
      </c>
      <c r="CY56" t="e">
        <f t="shared" si="28"/>
        <v>#N/A</v>
      </c>
      <c r="CZ56" t="e">
        <v>#N/A</v>
      </c>
      <c r="DA56" t="e" cm="1">
        <f t="array" ref="DA56">IF(ISNUMBER(CZ56),AF56/COUNT(IF(ISNUMBER(_xlfn.ANCHORARRAY($CZ$11)),_xlfn.ANCHORARRAY($CZ$11))),NA())</f>
        <v>#N/A</v>
      </c>
      <c r="DB56" t="e">
        <f t="shared" si="29"/>
        <v>#N/A</v>
      </c>
      <c r="DD56" t="e">
        <f t="shared" si="30"/>
        <v>#N/A</v>
      </c>
      <c r="DE56" t="e">
        <f t="shared" si="31"/>
        <v>#N/A</v>
      </c>
      <c r="DG56" t="e">
        <v>#N/A</v>
      </c>
      <c r="DH56" t="e">
        <v>#N/A</v>
      </c>
    </row>
    <row r="57" spans="2:112">
      <c r="B57" t="s">
        <v>930</v>
      </c>
      <c r="C57" s="145">
        <f t="shared" ref="C57:I57" si="39">BP683</f>
        <v>5</v>
      </c>
      <c r="D57" s="145">
        <f t="shared" si="39"/>
        <v>9</v>
      </c>
      <c r="E57" s="145">
        <f t="shared" si="39"/>
        <v>9</v>
      </c>
      <c r="F57" s="145">
        <f t="shared" si="39"/>
        <v>0</v>
      </c>
      <c r="G57" s="145">
        <f t="shared" si="39"/>
        <v>4</v>
      </c>
      <c r="H57" s="145">
        <f t="shared" si="39"/>
        <v>0</v>
      </c>
      <c r="I57" s="145">
        <f t="shared" si="39"/>
        <v>3</v>
      </c>
      <c r="J57" s="145"/>
      <c r="K57" s="145">
        <f t="shared" si="38"/>
        <v>30</v>
      </c>
      <c r="AF57">
        <v>47</v>
      </c>
      <c r="AG57" s="401">
        <f>'Lab test'!N50</f>
        <v>250</v>
      </c>
      <c r="AH57" s="401">
        <f>'Lab test'!M50</f>
        <v>0.5</v>
      </c>
      <c r="AI57">
        <f>IF('Lab test'!O50&gt;0,'Lab test'!O50,NA())</f>
        <v>500</v>
      </c>
      <c r="AJ57">
        <f>'Lab test'!Q50</f>
        <v>500</v>
      </c>
      <c r="AK57" s="401">
        <f>IF('Lab test'!V50&gt;0,'Lab test'!V50,NA())</f>
        <v>193000</v>
      </c>
      <c r="AL57" s="7">
        <f>IF(MAX('Lab test'!W50,'Lab test'!X50)&gt;0,MAX('Lab test'!W50,'Lab test'!X50),NA())</f>
        <v>215</v>
      </c>
      <c r="AM57" s="401">
        <f>IF('Lab test'!P50&gt;0,'Lab test'!P50,NA())</f>
        <v>8.9442719099991588E-2</v>
      </c>
      <c r="AN57" s="401">
        <f>IF('Lab test'!AU50&gt;0,'Lab test'!AU50,NA())</f>
        <v>0.41572751646701595</v>
      </c>
      <c r="AO57" s="401">
        <f>IF('Lab test'!AT50&gt;0,'Lab test'!AT50,NA())</f>
        <v>0.38259672626337743</v>
      </c>
      <c r="AP57">
        <f t="shared" si="34"/>
        <v>1</v>
      </c>
      <c r="AQ57" s="401">
        <f>'Lab test'!AZ50</f>
        <v>2015</v>
      </c>
      <c r="AR57" t="str">
        <f>'Lab test'!AC50</f>
        <v>LTWa</v>
      </c>
      <c r="AS57" t="str">
        <f>'Lab test'!T50</f>
        <v>Steel</v>
      </c>
      <c r="AX57" t="e">
        <f t="shared" si="12"/>
        <v>#N/A</v>
      </c>
      <c r="AY57" t="e">
        <f t="shared" si="13"/>
        <v>#N/A</v>
      </c>
      <c r="AZ57" t="e">
        <f t="shared" si="13"/>
        <v>#N/A</v>
      </c>
      <c r="BA57" t="e">
        <f t="shared" si="13"/>
        <v>#N/A</v>
      </c>
      <c r="BB57" t="e">
        <f t="shared" si="13"/>
        <v>#N/A</v>
      </c>
      <c r="BC57" t="e">
        <f t="shared" si="13"/>
        <v>#N/A</v>
      </c>
      <c r="BD57" t="e">
        <f t="shared" si="13"/>
        <v>#N/A</v>
      </c>
      <c r="BG57" t="e">
        <f t="shared" si="14"/>
        <v>#N/A</v>
      </c>
      <c r="BH57" t="e">
        <f t="shared" si="15"/>
        <v>#N/A</v>
      </c>
      <c r="BI57" t="e">
        <f t="shared" si="15"/>
        <v>#N/A</v>
      </c>
      <c r="BJ57" t="e">
        <f t="shared" si="15"/>
        <v>#N/A</v>
      </c>
      <c r="BK57" t="e">
        <f t="shared" si="15"/>
        <v>#N/A</v>
      </c>
      <c r="BL57" t="e">
        <f t="shared" si="15"/>
        <v>#N/A</v>
      </c>
      <c r="BM57" t="e">
        <f t="shared" si="15"/>
        <v>#N/A</v>
      </c>
      <c r="BP57" t="e">
        <f t="shared" si="16"/>
        <v>#N/A</v>
      </c>
      <c r="BQ57" t="e">
        <f t="shared" si="17"/>
        <v>#N/A</v>
      </c>
      <c r="BR57" t="e">
        <f t="shared" si="17"/>
        <v>#N/A</v>
      </c>
      <c r="BS57" t="e">
        <f t="shared" si="17"/>
        <v>#N/A</v>
      </c>
      <c r="BT57" t="e">
        <f t="shared" si="17"/>
        <v>#N/A</v>
      </c>
      <c r="BU57" t="e">
        <f t="shared" si="17"/>
        <v>#N/A</v>
      </c>
      <c r="BV57" t="e">
        <f t="shared" si="17"/>
        <v>#N/A</v>
      </c>
      <c r="BY57" t="e">
        <f t="shared" si="18"/>
        <v>#N/A</v>
      </c>
      <c r="BZ57">
        <v>208911.228</v>
      </c>
      <c r="CA57" cm="1">
        <f t="array" ref="CA57">IF(ISNUMBER(BZ57),AF57/COUNT(IF(ISNUMBER(_xlfn.ANCHORARRAY($BZ$11)),_xlfn.ANCHORARRAY($BZ$11))),NA())</f>
        <v>0.60256410256410253</v>
      </c>
      <c r="CB57">
        <f t="shared" si="19"/>
        <v>0.60256410256410253</v>
      </c>
      <c r="CD57">
        <f t="shared" si="20"/>
        <v>0.60256410256410253</v>
      </c>
      <c r="CE57">
        <f t="shared" si="21"/>
        <v>208911.228</v>
      </c>
      <c r="CG57" t="e">
        <v>#N/A</v>
      </c>
      <c r="CH57">
        <v>208911.228</v>
      </c>
      <c r="CL57" t="e">
        <f t="shared" si="23"/>
        <v>#N/A</v>
      </c>
      <c r="CM57">
        <v>72705.215656460379</v>
      </c>
      <c r="CN57" cm="1">
        <f t="array" ref="CN57">IF(ISNUMBER(CM57),AF57/COUNT(IF(ISNUMBER(_xlfn.ANCHORARRAY($CM$11)),_xlfn.ANCHORARRAY($CM$11))),NA())</f>
        <v>0.8545454545454545</v>
      </c>
      <c r="CO57" t="e">
        <f t="shared" si="24"/>
        <v>#N/A</v>
      </c>
      <c r="CQ57" t="e">
        <f t="shared" si="25"/>
        <v>#N/A</v>
      </c>
      <c r="CR57">
        <f t="shared" si="26"/>
        <v>72705.215656460379</v>
      </c>
      <c r="CT57" t="e">
        <v>#N/A</v>
      </c>
      <c r="CU57">
        <v>72705.215656460379</v>
      </c>
      <c r="CY57" t="e">
        <f t="shared" si="28"/>
        <v>#N/A</v>
      </c>
      <c r="CZ57" t="e">
        <v>#N/A</v>
      </c>
      <c r="DA57" t="e" cm="1">
        <f t="array" ref="DA57">IF(ISNUMBER(CZ57),AF57/COUNT(IF(ISNUMBER(_xlfn.ANCHORARRAY($CZ$11)),_xlfn.ANCHORARRAY($CZ$11))),NA())</f>
        <v>#N/A</v>
      </c>
      <c r="DB57" t="e">
        <f t="shared" si="29"/>
        <v>#N/A</v>
      </c>
      <c r="DD57" t="e">
        <f t="shared" si="30"/>
        <v>#N/A</v>
      </c>
      <c r="DE57" t="e">
        <f t="shared" si="31"/>
        <v>#N/A</v>
      </c>
      <c r="DG57" t="e">
        <v>#N/A</v>
      </c>
      <c r="DH57" t="e">
        <v>#N/A</v>
      </c>
    </row>
    <row r="58" spans="2:112">
      <c r="AF58">
        <v>48</v>
      </c>
      <c r="AG58" s="401">
        <f>'Lab test'!N51</f>
        <v>350</v>
      </c>
      <c r="AH58" s="401">
        <f>'Lab test'!M51</f>
        <v>0.8</v>
      </c>
      <c r="AI58">
        <f>IF('Lab test'!O51&gt;0,'Lab test'!O51,NA())</f>
        <v>450</v>
      </c>
      <c r="AJ58">
        <f>'Lab test'!Q51</f>
        <v>437.5</v>
      </c>
      <c r="AK58" s="401">
        <f>IF('Lab test'!V51&gt;0,'Lab test'!V51,NA())</f>
        <v>205000</v>
      </c>
      <c r="AL58" s="7">
        <f>IF(MAX('Lab test'!W51,'Lab test'!X51)&gt;0,MAX('Lab test'!W51,'Lab test'!X51),NA())</f>
        <v>310</v>
      </c>
      <c r="AM58" s="401">
        <f>IF('Lab test'!P51&gt;0,'Lab test'!P51,NA())</f>
        <v>6.146889990862596E-2</v>
      </c>
      <c r="AN58" s="401">
        <f>IF('Lab test'!AU51&gt;0,'Lab test'!AU51,NA())</f>
        <v>0.29887391387072509</v>
      </c>
      <c r="AO58" s="401">
        <f>IF('Lab test'!AT51&gt;0,'Lab test'!AT51,NA())</f>
        <v>0.32670458130080182</v>
      </c>
      <c r="AP58">
        <f t="shared" si="34"/>
        <v>1</v>
      </c>
      <c r="AQ58" s="401">
        <f>'Lab test'!AZ51</f>
        <v>2004</v>
      </c>
      <c r="AR58" t="str">
        <f>'Lab test'!AC51</f>
        <v>LTWb</v>
      </c>
      <c r="AS58" t="str">
        <f>'Lab test'!T51</f>
        <v>Steel</v>
      </c>
      <c r="AX58" t="e">
        <f t="shared" si="12"/>
        <v>#N/A</v>
      </c>
      <c r="AY58">
        <f t="shared" si="13"/>
        <v>205000</v>
      </c>
      <c r="AZ58" t="e">
        <f t="shared" si="13"/>
        <v>#N/A</v>
      </c>
      <c r="BA58" t="e">
        <f t="shared" si="13"/>
        <v>#N/A</v>
      </c>
      <c r="BB58" t="e">
        <f t="shared" si="13"/>
        <v>#N/A</v>
      </c>
      <c r="BC58" t="e">
        <f t="shared" si="13"/>
        <v>#N/A</v>
      </c>
      <c r="BD58" t="e">
        <f t="shared" si="13"/>
        <v>#N/A</v>
      </c>
      <c r="BG58" t="e">
        <f t="shared" si="14"/>
        <v>#N/A</v>
      </c>
      <c r="BH58" t="e">
        <f t="shared" si="15"/>
        <v>#N/A</v>
      </c>
      <c r="BI58" t="e">
        <f t="shared" si="15"/>
        <v>#N/A</v>
      </c>
      <c r="BJ58" t="e">
        <f t="shared" si="15"/>
        <v>#N/A</v>
      </c>
      <c r="BK58" t="e">
        <f t="shared" si="15"/>
        <v>#N/A</v>
      </c>
      <c r="BL58" t="e">
        <f t="shared" si="15"/>
        <v>#N/A</v>
      </c>
      <c r="BM58" t="e">
        <f t="shared" si="15"/>
        <v>#N/A</v>
      </c>
      <c r="BP58" t="e">
        <f t="shared" si="16"/>
        <v>#N/A</v>
      </c>
      <c r="BQ58" t="e">
        <f t="shared" si="17"/>
        <v>#N/A</v>
      </c>
      <c r="BR58" t="e">
        <f t="shared" si="17"/>
        <v>#N/A</v>
      </c>
      <c r="BS58" t="e">
        <f t="shared" si="17"/>
        <v>#N/A</v>
      </c>
      <c r="BT58" t="e">
        <f t="shared" si="17"/>
        <v>#N/A</v>
      </c>
      <c r="BU58" t="e">
        <f t="shared" si="17"/>
        <v>#N/A</v>
      </c>
      <c r="BV58" t="e">
        <f t="shared" si="17"/>
        <v>#N/A</v>
      </c>
      <c r="BY58">
        <f t="shared" si="18"/>
        <v>205000</v>
      </c>
      <c r="BZ58">
        <v>210979.57317095189</v>
      </c>
      <c r="CA58" cm="1">
        <f t="array" ref="CA58">IF(ISNUMBER(BZ58),AF58/COUNT(IF(ISNUMBER(_xlfn.ANCHORARRAY($BZ$11)),_xlfn.ANCHORARRAY($BZ$11))),NA())</f>
        <v>0.61538461538461542</v>
      </c>
      <c r="CB58" t="e">
        <f t="shared" si="19"/>
        <v>#N/A</v>
      </c>
      <c r="CD58" t="e">
        <f t="shared" si="20"/>
        <v>#N/A</v>
      </c>
      <c r="CE58">
        <f t="shared" si="21"/>
        <v>210979.57317095189</v>
      </c>
      <c r="CG58" t="e">
        <v>#N/A</v>
      </c>
      <c r="CH58">
        <v>208911.228</v>
      </c>
      <c r="CL58" t="e">
        <f t="shared" si="23"/>
        <v>#N/A</v>
      </c>
      <c r="CM58">
        <v>72705.215656460379</v>
      </c>
      <c r="CN58" cm="1">
        <f t="array" ref="CN58">IF(ISNUMBER(CM58),AF58/COUNT(IF(ISNUMBER(_xlfn.ANCHORARRAY($CM$11)),_xlfn.ANCHORARRAY($CM$11))),NA())</f>
        <v>0.87272727272727268</v>
      </c>
      <c r="CO58" t="e">
        <f t="shared" si="24"/>
        <v>#N/A</v>
      </c>
      <c r="CQ58" t="e">
        <f t="shared" si="25"/>
        <v>#N/A</v>
      </c>
      <c r="CR58">
        <f t="shared" si="26"/>
        <v>72705.215656460379</v>
      </c>
      <c r="CT58" t="e">
        <v>#N/A</v>
      </c>
      <c r="CU58">
        <v>72705.215656460379</v>
      </c>
      <c r="CY58" t="e">
        <f t="shared" si="28"/>
        <v>#N/A</v>
      </c>
      <c r="CZ58" t="e">
        <v>#N/A</v>
      </c>
      <c r="DA58" t="e" cm="1">
        <f t="array" ref="DA58">IF(ISNUMBER(CZ58),AF58/COUNT(IF(ISNUMBER(_xlfn.ANCHORARRAY($CZ$11)),_xlfn.ANCHORARRAY($CZ$11))),NA())</f>
        <v>#N/A</v>
      </c>
      <c r="DB58" t="e">
        <f t="shared" si="29"/>
        <v>#N/A</v>
      </c>
      <c r="DD58" t="e">
        <f t="shared" si="30"/>
        <v>#N/A</v>
      </c>
      <c r="DE58" t="e">
        <f t="shared" si="31"/>
        <v>#N/A</v>
      </c>
      <c r="DG58" t="e">
        <v>#N/A</v>
      </c>
      <c r="DH58" t="e">
        <v>#N/A</v>
      </c>
    </row>
    <row r="59" spans="2:112">
      <c r="C59">
        <f>ROUND(C54,0)</f>
        <v>140</v>
      </c>
      <c r="D59">
        <f t="shared" ref="D59:I59" si="40">ROUND(D54,0)</f>
        <v>344</v>
      </c>
      <c r="E59">
        <f t="shared" si="40"/>
        <v>549</v>
      </c>
      <c r="F59">
        <f t="shared" si="40"/>
        <v>753</v>
      </c>
      <c r="G59">
        <f t="shared" si="40"/>
        <v>958</v>
      </c>
      <c r="H59">
        <f t="shared" si="40"/>
        <v>1162</v>
      </c>
      <c r="I59">
        <f t="shared" si="40"/>
        <v>1367</v>
      </c>
      <c r="AF59">
        <v>49</v>
      </c>
      <c r="AG59" s="401">
        <f>'Lab test'!N52</f>
        <v>350</v>
      </c>
      <c r="AH59" s="401">
        <f>'Lab test'!M52</f>
        <v>0.8</v>
      </c>
      <c r="AI59">
        <f>IF('Lab test'!O52&gt;0,'Lab test'!O52,NA())</f>
        <v>450</v>
      </c>
      <c r="AJ59">
        <f>'Lab test'!Q52</f>
        <v>437.5</v>
      </c>
      <c r="AK59" s="401">
        <f>IF('Lab test'!V52&gt;0,'Lab test'!V52,NA())</f>
        <v>205000</v>
      </c>
      <c r="AL59" s="7">
        <f>IF(MAX('Lab test'!W52,'Lab test'!X52)&gt;0,MAX('Lab test'!W52,'Lab test'!X52),NA())</f>
        <v>310</v>
      </c>
      <c r="AM59" s="401">
        <f>IF('Lab test'!P52&gt;0,'Lab test'!P52,NA())</f>
        <v>6.146889990862596E-2</v>
      </c>
      <c r="AN59" s="401">
        <f>IF('Lab test'!AU52&gt;0,'Lab test'!AU52,NA())</f>
        <v>0.24918383371184996</v>
      </c>
      <c r="AO59" s="401">
        <f>IF('Lab test'!AT52&gt;0,'Lab test'!AT52,NA())</f>
        <v>0.2723874392563127</v>
      </c>
      <c r="AP59">
        <f t="shared" si="34"/>
        <v>1</v>
      </c>
      <c r="AQ59" s="401">
        <f>'Lab test'!AZ52</f>
        <v>2004</v>
      </c>
      <c r="AR59" t="str">
        <f>'Lab test'!AC52</f>
        <v>LTWb</v>
      </c>
      <c r="AS59" t="str">
        <f>'Lab test'!T52</f>
        <v>Steel</v>
      </c>
      <c r="AX59" t="e">
        <f t="shared" si="12"/>
        <v>#N/A</v>
      </c>
      <c r="AY59">
        <f t="shared" si="13"/>
        <v>205000</v>
      </c>
      <c r="AZ59" t="e">
        <f t="shared" si="13"/>
        <v>#N/A</v>
      </c>
      <c r="BA59" t="e">
        <f t="shared" si="13"/>
        <v>#N/A</v>
      </c>
      <c r="BB59" t="e">
        <f t="shared" si="13"/>
        <v>#N/A</v>
      </c>
      <c r="BC59" t="e">
        <f t="shared" si="13"/>
        <v>#N/A</v>
      </c>
      <c r="BD59" t="e">
        <f t="shared" si="13"/>
        <v>#N/A</v>
      </c>
      <c r="BG59" t="e">
        <f t="shared" si="14"/>
        <v>#N/A</v>
      </c>
      <c r="BH59" t="e">
        <f t="shared" si="15"/>
        <v>#N/A</v>
      </c>
      <c r="BI59" t="e">
        <f t="shared" si="15"/>
        <v>#N/A</v>
      </c>
      <c r="BJ59" t="e">
        <f t="shared" si="15"/>
        <v>#N/A</v>
      </c>
      <c r="BK59" t="e">
        <f t="shared" si="15"/>
        <v>#N/A</v>
      </c>
      <c r="BL59" t="e">
        <f t="shared" si="15"/>
        <v>#N/A</v>
      </c>
      <c r="BM59" t="e">
        <f t="shared" si="15"/>
        <v>#N/A</v>
      </c>
      <c r="BP59" t="e">
        <f t="shared" si="16"/>
        <v>#N/A</v>
      </c>
      <c r="BQ59" t="e">
        <f t="shared" si="17"/>
        <v>#N/A</v>
      </c>
      <c r="BR59" t="e">
        <f t="shared" si="17"/>
        <v>#N/A</v>
      </c>
      <c r="BS59" t="e">
        <f t="shared" si="17"/>
        <v>#N/A</v>
      </c>
      <c r="BT59" t="e">
        <f t="shared" si="17"/>
        <v>#N/A</v>
      </c>
      <c r="BU59" t="e">
        <f t="shared" si="17"/>
        <v>#N/A</v>
      </c>
      <c r="BV59" t="e">
        <f t="shared" si="17"/>
        <v>#N/A</v>
      </c>
      <c r="BY59">
        <f t="shared" si="18"/>
        <v>205000</v>
      </c>
      <c r="BZ59">
        <v>210979.57317095189</v>
      </c>
      <c r="CA59" cm="1">
        <f t="array" ref="CA59">IF(ISNUMBER(BZ59),AF59/COUNT(IF(ISNUMBER(_xlfn.ANCHORARRAY($BZ$11)),_xlfn.ANCHORARRAY($BZ$11))),NA())</f>
        <v>0.62820512820512819</v>
      </c>
      <c r="CB59" t="e">
        <f t="shared" si="19"/>
        <v>#N/A</v>
      </c>
      <c r="CD59" t="e">
        <f t="shared" si="20"/>
        <v>#N/A</v>
      </c>
      <c r="CE59">
        <f t="shared" si="21"/>
        <v>210979.57317095189</v>
      </c>
      <c r="CG59" t="e">
        <v>#N/A</v>
      </c>
      <c r="CH59">
        <v>208911.228</v>
      </c>
      <c r="CL59" t="e">
        <f t="shared" si="23"/>
        <v>#N/A</v>
      </c>
      <c r="CM59">
        <v>72705.215656460379</v>
      </c>
      <c r="CN59" cm="1">
        <f t="array" ref="CN59">IF(ISNUMBER(CM59),AF59/COUNT(IF(ISNUMBER(_xlfn.ANCHORARRAY($CM$11)),_xlfn.ANCHORARRAY($CM$11))),NA())</f>
        <v>0.89090909090909087</v>
      </c>
      <c r="CO59" t="e">
        <f t="shared" si="24"/>
        <v>#N/A</v>
      </c>
      <c r="CQ59" t="e">
        <f t="shared" si="25"/>
        <v>#N/A</v>
      </c>
      <c r="CR59">
        <f t="shared" si="26"/>
        <v>72705.215656460379</v>
      </c>
      <c r="CT59" t="e">
        <v>#N/A</v>
      </c>
      <c r="CU59">
        <v>72705.215656460379</v>
      </c>
      <c r="CY59" t="e">
        <f t="shared" si="28"/>
        <v>#N/A</v>
      </c>
      <c r="CZ59" t="e">
        <v>#N/A</v>
      </c>
      <c r="DA59" t="e" cm="1">
        <f t="array" ref="DA59">IF(ISNUMBER(CZ59),AF59/COUNT(IF(ISNUMBER(_xlfn.ANCHORARRAY($CZ$11)),_xlfn.ANCHORARRAY($CZ$11))),NA())</f>
        <v>#N/A</v>
      </c>
      <c r="DB59" t="e">
        <f t="shared" si="29"/>
        <v>#N/A</v>
      </c>
      <c r="DD59" t="e">
        <f t="shared" si="30"/>
        <v>#N/A</v>
      </c>
      <c r="DE59" t="e">
        <f t="shared" si="31"/>
        <v>#N/A</v>
      </c>
      <c r="DG59" t="e">
        <v>#N/A</v>
      </c>
      <c r="DH59" t="e">
        <v>#N/A</v>
      </c>
    </row>
    <row r="60" spans="2:112">
      <c r="B60" t="s">
        <v>931</v>
      </c>
      <c r="C60">
        <f t="shared" ref="C60:I62" si="41">C55/SUM(C$55:C$57)*100</f>
        <v>37.5</v>
      </c>
      <c r="D60">
        <f t="shared" si="41"/>
        <v>67.924528301886795</v>
      </c>
      <c r="E60">
        <f t="shared" si="41"/>
        <v>45.945945945945951</v>
      </c>
      <c r="F60">
        <f t="shared" si="41"/>
        <v>22.222222222222221</v>
      </c>
      <c r="G60">
        <f t="shared" si="41"/>
        <v>50</v>
      </c>
      <c r="H60">
        <f t="shared" si="41"/>
        <v>66.666666666666657</v>
      </c>
      <c r="I60">
        <f t="shared" si="41"/>
        <v>25</v>
      </c>
      <c r="AF60">
        <v>50</v>
      </c>
      <c r="AG60" s="401">
        <f>'Lab test'!N53</f>
        <v>350</v>
      </c>
      <c r="AH60" s="401">
        <f>'Lab test'!M53</f>
        <v>0.8</v>
      </c>
      <c r="AI60">
        <f>IF('Lab test'!O53&gt;0,'Lab test'!O53,NA())</f>
        <v>450</v>
      </c>
      <c r="AJ60">
        <f>'Lab test'!Q53</f>
        <v>437.5</v>
      </c>
      <c r="AK60" s="401">
        <f>IF('Lab test'!V53&gt;0,'Lab test'!V53,NA())</f>
        <v>205000</v>
      </c>
      <c r="AL60" s="7">
        <f>IF(MAX('Lab test'!W53,'Lab test'!X53)&gt;0,MAX('Lab test'!W53,'Lab test'!X53),NA())</f>
        <v>310</v>
      </c>
      <c r="AM60" s="401">
        <f>IF('Lab test'!P53&gt;0,'Lab test'!P53,NA())</f>
        <v>6.146889990862596E-2</v>
      </c>
      <c r="AN60" s="401">
        <f>IF('Lab test'!AU53&gt;0,'Lab test'!AU53,NA())</f>
        <v>0.25780167049217145</v>
      </c>
      <c r="AO60" s="401">
        <f>IF('Lab test'!AT53&gt;0,'Lab test'!AT53,NA())</f>
        <v>0.2818077554042499</v>
      </c>
      <c r="AP60">
        <f t="shared" si="34"/>
        <v>1</v>
      </c>
      <c r="AQ60" s="401">
        <f>'Lab test'!AZ53</f>
        <v>2004</v>
      </c>
      <c r="AR60" t="str">
        <f>'Lab test'!AC53</f>
        <v>LTWb</v>
      </c>
      <c r="AS60" t="str">
        <f>'Lab test'!T53</f>
        <v>Steel</v>
      </c>
      <c r="AX60" t="e">
        <f t="shared" si="12"/>
        <v>#N/A</v>
      </c>
      <c r="AY60">
        <f t="shared" si="13"/>
        <v>205000</v>
      </c>
      <c r="AZ60" t="e">
        <f t="shared" si="13"/>
        <v>#N/A</v>
      </c>
      <c r="BA60" t="e">
        <f t="shared" si="13"/>
        <v>#N/A</v>
      </c>
      <c r="BB60" t="e">
        <f t="shared" si="13"/>
        <v>#N/A</v>
      </c>
      <c r="BC60" t="e">
        <f t="shared" si="13"/>
        <v>#N/A</v>
      </c>
      <c r="BD60" t="e">
        <f t="shared" si="13"/>
        <v>#N/A</v>
      </c>
      <c r="BG60" t="e">
        <f t="shared" si="14"/>
        <v>#N/A</v>
      </c>
      <c r="BH60" t="e">
        <f t="shared" si="15"/>
        <v>#N/A</v>
      </c>
      <c r="BI60" t="e">
        <f t="shared" si="15"/>
        <v>#N/A</v>
      </c>
      <c r="BJ60" t="e">
        <f t="shared" si="15"/>
        <v>#N/A</v>
      </c>
      <c r="BK60" t="e">
        <f t="shared" si="15"/>
        <v>#N/A</v>
      </c>
      <c r="BL60" t="e">
        <f t="shared" si="15"/>
        <v>#N/A</v>
      </c>
      <c r="BM60" t="e">
        <f t="shared" si="15"/>
        <v>#N/A</v>
      </c>
      <c r="BP60" t="e">
        <f t="shared" si="16"/>
        <v>#N/A</v>
      </c>
      <c r="BQ60" t="e">
        <f t="shared" si="17"/>
        <v>#N/A</v>
      </c>
      <c r="BR60" t="e">
        <f t="shared" si="17"/>
        <v>#N/A</v>
      </c>
      <c r="BS60" t="e">
        <f t="shared" si="17"/>
        <v>#N/A</v>
      </c>
      <c r="BT60" t="e">
        <f t="shared" si="17"/>
        <v>#N/A</v>
      </c>
      <c r="BU60" t="e">
        <f t="shared" si="17"/>
        <v>#N/A</v>
      </c>
      <c r="BV60" t="e">
        <f t="shared" si="17"/>
        <v>#N/A</v>
      </c>
      <c r="BY60">
        <f t="shared" si="18"/>
        <v>205000</v>
      </c>
      <c r="BZ60">
        <v>210979.57317095189</v>
      </c>
      <c r="CA60" cm="1">
        <f t="array" ref="CA60">IF(ISNUMBER(BZ60),AF60/COUNT(IF(ISNUMBER(_xlfn.ANCHORARRAY($BZ$11)),_xlfn.ANCHORARRAY($BZ$11))),NA())</f>
        <v>0.64102564102564108</v>
      </c>
      <c r="CB60" t="e">
        <f t="shared" si="19"/>
        <v>#N/A</v>
      </c>
      <c r="CD60" t="e">
        <f t="shared" si="20"/>
        <v>#N/A</v>
      </c>
      <c r="CE60">
        <f t="shared" si="21"/>
        <v>210979.57317095189</v>
      </c>
      <c r="CG60" t="e">
        <v>#N/A</v>
      </c>
      <c r="CH60">
        <v>208911.228</v>
      </c>
      <c r="CL60" t="e">
        <f t="shared" si="23"/>
        <v>#N/A</v>
      </c>
      <c r="CM60">
        <v>72705.215656460379</v>
      </c>
      <c r="CN60" cm="1">
        <f t="array" ref="CN60">IF(ISNUMBER(CM60),AF60/COUNT(IF(ISNUMBER(_xlfn.ANCHORARRAY($CM$11)),_xlfn.ANCHORARRAY($CM$11))),NA())</f>
        <v>0.90909090909090906</v>
      </c>
      <c r="CO60" t="e">
        <f t="shared" si="24"/>
        <v>#N/A</v>
      </c>
      <c r="CQ60" t="e">
        <f t="shared" si="25"/>
        <v>#N/A</v>
      </c>
      <c r="CR60">
        <f t="shared" si="26"/>
        <v>72705.215656460379</v>
      </c>
      <c r="CT60" t="e">
        <v>#N/A</v>
      </c>
      <c r="CU60">
        <v>72705.215656460379</v>
      </c>
      <c r="CY60" t="e">
        <f t="shared" si="28"/>
        <v>#N/A</v>
      </c>
      <c r="CZ60" t="e">
        <v>#N/A</v>
      </c>
      <c r="DA60" t="e" cm="1">
        <f t="array" ref="DA60">IF(ISNUMBER(CZ60),AF60/COUNT(IF(ISNUMBER(_xlfn.ANCHORARRAY($CZ$11)),_xlfn.ANCHORARRAY($CZ$11))),NA())</f>
        <v>#N/A</v>
      </c>
      <c r="DB60" t="e">
        <f t="shared" si="29"/>
        <v>#N/A</v>
      </c>
      <c r="DD60" t="e">
        <f t="shared" si="30"/>
        <v>#N/A</v>
      </c>
      <c r="DE60" t="e">
        <f t="shared" si="31"/>
        <v>#N/A</v>
      </c>
      <c r="DG60" t="e">
        <v>#N/A</v>
      </c>
      <c r="DH60" t="e">
        <v>#N/A</v>
      </c>
    </row>
    <row r="61" spans="2:112">
      <c r="B61" t="s">
        <v>933</v>
      </c>
      <c r="C61">
        <f t="shared" si="41"/>
        <v>31.25</v>
      </c>
      <c r="D61">
        <f t="shared" si="41"/>
        <v>15.09433962264151</v>
      </c>
      <c r="E61">
        <f t="shared" si="41"/>
        <v>29.72972972972973</v>
      </c>
      <c r="F61">
        <f t="shared" si="41"/>
        <v>77.777777777777786</v>
      </c>
      <c r="G61">
        <f t="shared" si="41"/>
        <v>16.666666666666664</v>
      </c>
      <c r="H61">
        <f t="shared" si="41"/>
        <v>33.333333333333329</v>
      </c>
      <c r="I61">
        <f t="shared" si="41"/>
        <v>50</v>
      </c>
      <c r="AF61">
        <v>51</v>
      </c>
      <c r="AG61" s="401">
        <f>'Lab test'!N54</f>
        <v>350</v>
      </c>
      <c r="AH61" s="401">
        <f>'Lab test'!M54</f>
        <v>0.8</v>
      </c>
      <c r="AI61">
        <f>IF('Lab test'!O54&gt;0,'Lab test'!O54,NA())</f>
        <v>450</v>
      </c>
      <c r="AJ61">
        <f>'Lab test'!Q54</f>
        <v>437.5</v>
      </c>
      <c r="AK61" s="401">
        <f>IF('Lab test'!V54&gt;0,'Lab test'!V54,NA())</f>
        <v>205000</v>
      </c>
      <c r="AL61" s="7">
        <f>IF(MAX('Lab test'!W54,'Lab test'!X54)&gt;0,MAX('Lab test'!W54,'Lab test'!X54),NA())</f>
        <v>310</v>
      </c>
      <c r="AM61" s="401">
        <f>IF('Lab test'!P54&gt;0,'Lab test'!P54,NA())</f>
        <v>6.146889990862596E-2</v>
      </c>
      <c r="AN61" s="401">
        <f>IF('Lab test'!AU54&gt;0,'Lab test'!AU54,NA())</f>
        <v>0.25670152111596023</v>
      </c>
      <c r="AO61" s="401">
        <f>IF('Lab test'!AT54&gt;0,'Lab test'!AT54,NA())</f>
        <v>0.28060516185344947</v>
      </c>
      <c r="AP61">
        <f t="shared" si="34"/>
        <v>1</v>
      </c>
      <c r="AQ61" s="401">
        <f>'Lab test'!AZ54</f>
        <v>2004</v>
      </c>
      <c r="AR61" t="str">
        <f>'Lab test'!AC54</f>
        <v>LTWb</v>
      </c>
      <c r="AS61" t="str">
        <f>'Lab test'!T54</f>
        <v>Steel</v>
      </c>
      <c r="AX61" t="e">
        <f t="shared" si="12"/>
        <v>#N/A</v>
      </c>
      <c r="AY61">
        <f t="shared" si="13"/>
        <v>205000</v>
      </c>
      <c r="AZ61" t="e">
        <f t="shared" si="13"/>
        <v>#N/A</v>
      </c>
      <c r="BA61" t="e">
        <f t="shared" si="13"/>
        <v>#N/A</v>
      </c>
      <c r="BB61" t="e">
        <f t="shared" si="13"/>
        <v>#N/A</v>
      </c>
      <c r="BC61" t="e">
        <f t="shared" si="13"/>
        <v>#N/A</v>
      </c>
      <c r="BD61" t="e">
        <f t="shared" si="13"/>
        <v>#N/A</v>
      </c>
      <c r="BG61" t="e">
        <f t="shared" si="14"/>
        <v>#N/A</v>
      </c>
      <c r="BH61" t="e">
        <f t="shared" si="15"/>
        <v>#N/A</v>
      </c>
      <c r="BI61" t="e">
        <f t="shared" si="15"/>
        <v>#N/A</v>
      </c>
      <c r="BJ61" t="e">
        <f t="shared" si="15"/>
        <v>#N/A</v>
      </c>
      <c r="BK61" t="e">
        <f t="shared" si="15"/>
        <v>#N/A</v>
      </c>
      <c r="BL61" t="e">
        <f t="shared" si="15"/>
        <v>#N/A</v>
      </c>
      <c r="BM61" t="e">
        <f t="shared" si="15"/>
        <v>#N/A</v>
      </c>
      <c r="BP61" t="e">
        <f t="shared" si="16"/>
        <v>#N/A</v>
      </c>
      <c r="BQ61" t="e">
        <f t="shared" si="17"/>
        <v>#N/A</v>
      </c>
      <c r="BR61" t="e">
        <f t="shared" si="17"/>
        <v>#N/A</v>
      </c>
      <c r="BS61" t="e">
        <f t="shared" si="17"/>
        <v>#N/A</v>
      </c>
      <c r="BT61" t="e">
        <f t="shared" si="17"/>
        <v>#N/A</v>
      </c>
      <c r="BU61" t="e">
        <f t="shared" si="17"/>
        <v>#N/A</v>
      </c>
      <c r="BV61" t="e">
        <f t="shared" si="17"/>
        <v>#N/A</v>
      </c>
      <c r="BY61">
        <f t="shared" si="18"/>
        <v>205000</v>
      </c>
      <c r="BZ61">
        <v>210979.57317095189</v>
      </c>
      <c r="CA61" cm="1">
        <f t="array" ref="CA61">IF(ISNUMBER(BZ61),AF61/COUNT(IF(ISNUMBER(_xlfn.ANCHORARRAY($BZ$11)),_xlfn.ANCHORARRAY($BZ$11))),NA())</f>
        <v>0.65384615384615385</v>
      </c>
      <c r="CB61">
        <f t="shared" si="19"/>
        <v>0.65384615384615385</v>
      </c>
      <c r="CD61">
        <f t="shared" si="20"/>
        <v>0.65384615384615385</v>
      </c>
      <c r="CE61">
        <f t="shared" si="21"/>
        <v>210979.57317095189</v>
      </c>
      <c r="CG61" t="e">
        <v>#N/A</v>
      </c>
      <c r="CH61">
        <v>208911.228</v>
      </c>
      <c r="CL61" t="e">
        <f t="shared" si="23"/>
        <v>#N/A</v>
      </c>
      <c r="CM61">
        <v>72705.215656460379</v>
      </c>
      <c r="CN61" cm="1">
        <f t="array" ref="CN61">IF(ISNUMBER(CM61),AF61/COUNT(IF(ISNUMBER(_xlfn.ANCHORARRAY($CM$11)),_xlfn.ANCHORARRAY($CM$11))),NA())</f>
        <v>0.92727272727272725</v>
      </c>
      <c r="CO61" t="e">
        <f t="shared" si="24"/>
        <v>#N/A</v>
      </c>
      <c r="CQ61" t="e">
        <f t="shared" si="25"/>
        <v>#N/A</v>
      </c>
      <c r="CR61">
        <f t="shared" si="26"/>
        <v>72705.215656460379</v>
      </c>
      <c r="CT61" t="e">
        <v>#N/A</v>
      </c>
      <c r="CU61">
        <v>72705.215656460379</v>
      </c>
      <c r="CY61" t="e">
        <f t="shared" si="28"/>
        <v>#N/A</v>
      </c>
      <c r="CZ61" t="e">
        <v>#N/A</v>
      </c>
      <c r="DA61" t="e" cm="1">
        <f t="array" ref="DA61">IF(ISNUMBER(CZ61),AF61/COUNT(IF(ISNUMBER(_xlfn.ANCHORARRAY($CZ$11)),_xlfn.ANCHORARRAY($CZ$11))),NA())</f>
        <v>#N/A</v>
      </c>
      <c r="DB61" t="e">
        <f t="shared" si="29"/>
        <v>#N/A</v>
      </c>
      <c r="DD61" t="e">
        <f t="shared" si="30"/>
        <v>#N/A</v>
      </c>
      <c r="DE61" t="e">
        <f t="shared" si="31"/>
        <v>#N/A</v>
      </c>
      <c r="DG61" t="e">
        <v>#N/A</v>
      </c>
      <c r="DH61" t="e">
        <v>#N/A</v>
      </c>
    </row>
    <row r="62" spans="2:112">
      <c r="B62" t="s">
        <v>932</v>
      </c>
      <c r="C62">
        <f t="shared" si="41"/>
        <v>31.25</v>
      </c>
      <c r="D62">
        <f t="shared" si="41"/>
        <v>16.981132075471699</v>
      </c>
      <c r="E62">
        <f t="shared" si="41"/>
        <v>24.324324324324326</v>
      </c>
      <c r="F62">
        <f t="shared" si="41"/>
        <v>0</v>
      </c>
      <c r="G62">
        <f t="shared" si="41"/>
        <v>33.333333333333329</v>
      </c>
      <c r="H62">
        <f t="shared" si="41"/>
        <v>0</v>
      </c>
      <c r="I62">
        <f t="shared" si="41"/>
        <v>25</v>
      </c>
      <c r="AF62">
        <v>52</v>
      </c>
      <c r="AG62" s="401">
        <f>'Lab test'!N55</f>
        <v>350</v>
      </c>
      <c r="AH62" s="401">
        <f>'Lab test'!M55</f>
        <v>1</v>
      </c>
      <c r="AI62">
        <f>IF('Lab test'!O55&gt;0,'Lab test'!O55,NA())</f>
        <v>450</v>
      </c>
      <c r="AJ62">
        <f>'Lab test'!Q55</f>
        <v>350</v>
      </c>
      <c r="AK62" s="401">
        <f>IF('Lab test'!V55&gt;0,'Lab test'!V55,NA())</f>
        <v>205000</v>
      </c>
      <c r="AL62" s="7">
        <f>IF(MAX('Lab test'!W55,'Lab test'!X55)&gt;0,MAX('Lab test'!W55,'Lab test'!X55),NA())</f>
        <v>310</v>
      </c>
      <c r="AM62" s="401">
        <f>IF('Lab test'!P55&gt;0,'Lab test'!P55,NA())</f>
        <v>6.872431934890913E-2</v>
      </c>
      <c r="AN62" s="401">
        <f>IF('Lab test'!AU55&gt;0,'Lab test'!AU55,NA())</f>
        <v>0.35527490522448896</v>
      </c>
      <c r="AO62" s="401">
        <f>IF('Lab test'!AT55&gt;0,'Lab test'!AT55,NA())</f>
        <v>0.31068603520413929</v>
      </c>
      <c r="AP62">
        <f t="shared" si="34"/>
        <v>1</v>
      </c>
      <c r="AQ62" s="401">
        <f>'Lab test'!AZ55</f>
        <v>2004</v>
      </c>
      <c r="AR62" t="str">
        <f>'Lab test'!AC55</f>
        <v>LTWb</v>
      </c>
      <c r="AS62" t="str">
        <f>'Lab test'!T55</f>
        <v>Steel</v>
      </c>
      <c r="AX62" t="e">
        <f t="shared" si="12"/>
        <v>#N/A</v>
      </c>
      <c r="AY62">
        <f t="shared" si="13"/>
        <v>205000</v>
      </c>
      <c r="AZ62" t="e">
        <f t="shared" si="13"/>
        <v>#N/A</v>
      </c>
      <c r="BA62" t="e">
        <f t="shared" si="13"/>
        <v>#N/A</v>
      </c>
      <c r="BB62" t="e">
        <f t="shared" si="13"/>
        <v>#N/A</v>
      </c>
      <c r="BC62" t="e">
        <f t="shared" si="13"/>
        <v>#N/A</v>
      </c>
      <c r="BD62" t="e">
        <f t="shared" si="13"/>
        <v>#N/A</v>
      </c>
      <c r="BG62" t="e">
        <f t="shared" si="14"/>
        <v>#N/A</v>
      </c>
      <c r="BH62" t="e">
        <f t="shared" si="15"/>
        <v>#N/A</v>
      </c>
      <c r="BI62" t="e">
        <f t="shared" si="15"/>
        <v>#N/A</v>
      </c>
      <c r="BJ62" t="e">
        <f t="shared" si="15"/>
        <v>#N/A</v>
      </c>
      <c r="BK62" t="e">
        <f t="shared" si="15"/>
        <v>#N/A</v>
      </c>
      <c r="BL62" t="e">
        <f t="shared" si="15"/>
        <v>#N/A</v>
      </c>
      <c r="BM62" t="e">
        <f t="shared" si="15"/>
        <v>#N/A</v>
      </c>
      <c r="BP62" t="e">
        <f t="shared" si="16"/>
        <v>#N/A</v>
      </c>
      <c r="BQ62" t="e">
        <f t="shared" si="17"/>
        <v>#N/A</v>
      </c>
      <c r="BR62" t="e">
        <f t="shared" si="17"/>
        <v>#N/A</v>
      </c>
      <c r="BS62" t="e">
        <f t="shared" si="17"/>
        <v>#N/A</v>
      </c>
      <c r="BT62" t="e">
        <f t="shared" si="17"/>
        <v>#N/A</v>
      </c>
      <c r="BU62" t="e">
        <f t="shared" si="17"/>
        <v>#N/A</v>
      </c>
      <c r="BV62" t="e">
        <f t="shared" si="17"/>
        <v>#N/A</v>
      </c>
      <c r="BY62">
        <f t="shared" si="18"/>
        <v>205000</v>
      </c>
      <c r="BZ62">
        <v>215805.90327000001</v>
      </c>
      <c r="CA62" cm="1">
        <f t="array" ref="CA62">IF(ISNUMBER(BZ62),AF62/COUNT(IF(ISNUMBER(_xlfn.ANCHORARRAY($BZ$11)),_xlfn.ANCHORARRAY($BZ$11))),NA())</f>
        <v>0.66666666666666663</v>
      </c>
      <c r="CB62" t="e">
        <f t="shared" si="19"/>
        <v>#N/A</v>
      </c>
      <c r="CD62" t="e">
        <f t="shared" si="20"/>
        <v>#N/A</v>
      </c>
      <c r="CE62">
        <f t="shared" si="21"/>
        <v>215805.90327000001</v>
      </c>
      <c r="CG62" t="e">
        <v>#N/A</v>
      </c>
      <c r="CH62">
        <v>208911.228</v>
      </c>
      <c r="CL62" t="e">
        <f t="shared" si="23"/>
        <v>#N/A</v>
      </c>
      <c r="CM62">
        <v>72705.215656460379</v>
      </c>
      <c r="CN62" cm="1">
        <f t="array" ref="CN62">IF(ISNUMBER(CM62),AF62/COUNT(IF(ISNUMBER(_xlfn.ANCHORARRAY($CM$11)),_xlfn.ANCHORARRAY($CM$11))),NA())</f>
        <v>0.94545454545454544</v>
      </c>
      <c r="CO62" t="e">
        <f t="shared" si="24"/>
        <v>#N/A</v>
      </c>
      <c r="CQ62" t="e">
        <f t="shared" si="25"/>
        <v>#N/A</v>
      </c>
      <c r="CR62">
        <f t="shared" si="26"/>
        <v>72705.215656460379</v>
      </c>
      <c r="CT62" t="e">
        <v>#N/A</v>
      </c>
      <c r="CU62">
        <v>72705.215656460379</v>
      </c>
      <c r="CY62" t="e">
        <f t="shared" si="28"/>
        <v>#N/A</v>
      </c>
      <c r="CZ62" t="e">
        <v>#N/A</v>
      </c>
      <c r="DA62" t="e" cm="1">
        <f t="array" ref="DA62">IF(ISNUMBER(CZ62),AF62/COUNT(IF(ISNUMBER(_xlfn.ANCHORARRAY($CZ$11)),_xlfn.ANCHORARRAY($CZ$11))),NA())</f>
        <v>#N/A</v>
      </c>
      <c r="DB62" t="e">
        <f t="shared" si="29"/>
        <v>#N/A</v>
      </c>
      <c r="DD62" t="e">
        <f t="shared" si="30"/>
        <v>#N/A</v>
      </c>
      <c r="DE62" t="e">
        <f t="shared" si="31"/>
        <v>#N/A</v>
      </c>
      <c r="DG62" t="e">
        <v>#N/A</v>
      </c>
      <c r="DH62" t="e">
        <v>#N/A</v>
      </c>
    </row>
    <row r="63" spans="2:112">
      <c r="AF63">
        <v>53</v>
      </c>
      <c r="AG63" s="401">
        <f>'Lab test'!N56</f>
        <v>350</v>
      </c>
      <c r="AH63" s="401">
        <f>'Lab test'!M56</f>
        <v>1</v>
      </c>
      <c r="AI63">
        <f>IF('Lab test'!O56&gt;0,'Lab test'!O56,NA())</f>
        <v>450</v>
      </c>
      <c r="AJ63">
        <f>'Lab test'!Q56</f>
        <v>350</v>
      </c>
      <c r="AK63" s="401">
        <f>IF('Lab test'!V56&gt;0,'Lab test'!V56,NA())</f>
        <v>205000</v>
      </c>
      <c r="AL63" s="7">
        <f>IF(MAX('Lab test'!W56,'Lab test'!X56)&gt;0,MAX('Lab test'!W56,'Lab test'!X56),NA())</f>
        <v>310</v>
      </c>
      <c r="AM63" s="401">
        <f>IF('Lab test'!P56&gt;0,'Lab test'!P56,NA())</f>
        <v>6.872431934890913E-2</v>
      </c>
      <c r="AN63" s="401">
        <f>IF('Lab test'!AU56&gt;0,'Lab test'!AU56,NA())</f>
        <v>0.34104630662549001</v>
      </c>
      <c r="AO63" s="401">
        <f>IF('Lab test'!AT56&gt;0,'Lab test'!AT56,NA())</f>
        <v>0.29824320059852344</v>
      </c>
      <c r="AP63">
        <f t="shared" si="34"/>
        <v>1</v>
      </c>
      <c r="AQ63" s="401">
        <f>'Lab test'!AZ56</f>
        <v>2004</v>
      </c>
      <c r="AR63" t="str">
        <f>'Lab test'!AC56</f>
        <v>LTWb</v>
      </c>
      <c r="AS63" t="str">
        <f>'Lab test'!T56</f>
        <v>Steel</v>
      </c>
      <c r="AX63" t="e">
        <f t="shared" si="12"/>
        <v>#N/A</v>
      </c>
      <c r="AY63">
        <f t="shared" si="13"/>
        <v>205000</v>
      </c>
      <c r="AZ63" t="e">
        <f t="shared" si="13"/>
        <v>#N/A</v>
      </c>
      <c r="BA63" t="e">
        <f t="shared" si="13"/>
        <v>#N/A</v>
      </c>
      <c r="BB63" t="e">
        <f t="shared" si="13"/>
        <v>#N/A</v>
      </c>
      <c r="BC63" t="e">
        <f t="shared" si="13"/>
        <v>#N/A</v>
      </c>
      <c r="BD63" t="e">
        <f t="shared" si="13"/>
        <v>#N/A</v>
      </c>
      <c r="BG63" t="e">
        <f t="shared" si="14"/>
        <v>#N/A</v>
      </c>
      <c r="BH63" t="e">
        <f t="shared" si="15"/>
        <v>#N/A</v>
      </c>
      <c r="BI63" t="e">
        <f t="shared" si="15"/>
        <v>#N/A</v>
      </c>
      <c r="BJ63" t="e">
        <f t="shared" si="15"/>
        <v>#N/A</v>
      </c>
      <c r="BK63" t="e">
        <f t="shared" si="15"/>
        <v>#N/A</v>
      </c>
      <c r="BL63" t="e">
        <f t="shared" si="15"/>
        <v>#N/A</v>
      </c>
      <c r="BM63" t="e">
        <f t="shared" si="15"/>
        <v>#N/A</v>
      </c>
      <c r="BP63" t="e">
        <f t="shared" si="16"/>
        <v>#N/A</v>
      </c>
      <c r="BQ63" t="e">
        <f t="shared" si="17"/>
        <v>#N/A</v>
      </c>
      <c r="BR63" t="e">
        <f t="shared" si="17"/>
        <v>#N/A</v>
      </c>
      <c r="BS63" t="e">
        <f t="shared" si="17"/>
        <v>#N/A</v>
      </c>
      <c r="BT63" t="e">
        <f t="shared" si="17"/>
        <v>#N/A</v>
      </c>
      <c r="BU63" t="e">
        <f t="shared" si="17"/>
        <v>#N/A</v>
      </c>
      <c r="BV63" t="e">
        <f t="shared" si="17"/>
        <v>#N/A</v>
      </c>
      <c r="BY63">
        <f t="shared" si="18"/>
        <v>205000</v>
      </c>
      <c r="BZ63">
        <v>215805.90327000001</v>
      </c>
      <c r="CA63" cm="1">
        <f t="array" ref="CA63">IF(ISNUMBER(BZ63),AF63/COUNT(IF(ISNUMBER(_xlfn.ANCHORARRAY($BZ$11)),_xlfn.ANCHORARRAY($BZ$11))),NA())</f>
        <v>0.67948717948717952</v>
      </c>
      <c r="CB63" t="e">
        <f t="shared" si="19"/>
        <v>#N/A</v>
      </c>
      <c r="CD63" t="e">
        <f t="shared" si="20"/>
        <v>#N/A</v>
      </c>
      <c r="CE63">
        <f t="shared" si="21"/>
        <v>215805.90327000001</v>
      </c>
      <c r="CG63" t="e">
        <v>#N/A</v>
      </c>
      <c r="CH63">
        <v>208911.228</v>
      </c>
      <c r="CL63" t="e">
        <f t="shared" si="23"/>
        <v>#N/A</v>
      </c>
      <c r="CM63">
        <v>72705.215656460379</v>
      </c>
      <c r="CN63" cm="1">
        <f t="array" ref="CN63">IF(ISNUMBER(CM63),AF63/COUNT(IF(ISNUMBER(_xlfn.ANCHORARRAY($CM$11)),_xlfn.ANCHORARRAY($CM$11))),NA())</f>
        <v>0.96363636363636362</v>
      </c>
      <c r="CO63" t="e">
        <f t="shared" si="24"/>
        <v>#N/A</v>
      </c>
      <c r="CQ63" t="e">
        <f t="shared" si="25"/>
        <v>#N/A</v>
      </c>
      <c r="CR63">
        <f t="shared" si="26"/>
        <v>72705.215656460379</v>
      </c>
      <c r="CT63" t="e">
        <v>#N/A</v>
      </c>
      <c r="CU63">
        <v>72705.215656460379</v>
      </c>
      <c r="CY63" t="e">
        <f t="shared" si="28"/>
        <v>#N/A</v>
      </c>
      <c r="CZ63" t="e">
        <v>#N/A</v>
      </c>
      <c r="DA63" t="e" cm="1">
        <f t="array" ref="DA63">IF(ISNUMBER(CZ63),AF63/COUNT(IF(ISNUMBER(_xlfn.ANCHORARRAY($CZ$11)),_xlfn.ANCHORARRAY($CZ$11))),NA())</f>
        <v>#N/A</v>
      </c>
      <c r="DB63" t="e">
        <f t="shared" si="29"/>
        <v>#N/A</v>
      </c>
      <c r="DD63" t="e">
        <f t="shared" si="30"/>
        <v>#N/A</v>
      </c>
      <c r="DE63" t="e">
        <f t="shared" si="31"/>
        <v>#N/A</v>
      </c>
      <c r="DG63" t="e">
        <v>#N/A</v>
      </c>
      <c r="DH63" t="e">
        <v>#N/A</v>
      </c>
    </row>
    <row r="64" spans="2:112">
      <c r="AF64">
        <v>54</v>
      </c>
      <c r="AG64" s="401">
        <f>'Lab test'!N57</f>
        <v>350</v>
      </c>
      <c r="AH64" s="401">
        <f>'Lab test'!M57</f>
        <v>1</v>
      </c>
      <c r="AI64">
        <f>IF('Lab test'!O57&gt;0,'Lab test'!O57,NA())</f>
        <v>450</v>
      </c>
      <c r="AJ64">
        <f>'Lab test'!Q57</f>
        <v>350</v>
      </c>
      <c r="AK64" s="401">
        <f>IF('Lab test'!V57&gt;0,'Lab test'!V57,NA())</f>
        <v>205000</v>
      </c>
      <c r="AL64" s="7">
        <f>IF(MAX('Lab test'!W57,'Lab test'!X57)&gt;0,MAX('Lab test'!W57,'Lab test'!X57),NA())</f>
        <v>310</v>
      </c>
      <c r="AM64" s="401">
        <f>IF('Lab test'!P57&gt;0,'Lab test'!P57,NA())</f>
        <v>6.872431934890913E-2</v>
      </c>
      <c r="AN64" s="401">
        <f>IF('Lab test'!AU57&gt;0,'Lab test'!AU57,NA())</f>
        <v>0.32197705077116157</v>
      </c>
      <c r="AO64" s="401">
        <f>IF('Lab test'!AT57&gt;0,'Lab test'!AT57,NA())</f>
        <v>0.2815672366940899</v>
      </c>
      <c r="AP64">
        <f t="shared" si="34"/>
        <v>1</v>
      </c>
      <c r="AQ64" s="401">
        <f>'Lab test'!AZ57</f>
        <v>2004</v>
      </c>
      <c r="AR64" t="str">
        <f>'Lab test'!AC57</f>
        <v>LTWb</v>
      </c>
      <c r="AS64" t="str">
        <f>'Lab test'!T57</f>
        <v>Steel</v>
      </c>
      <c r="AX64" t="e">
        <f t="shared" si="12"/>
        <v>#N/A</v>
      </c>
      <c r="AY64">
        <f t="shared" si="13"/>
        <v>205000</v>
      </c>
      <c r="AZ64" t="e">
        <f t="shared" si="13"/>
        <v>#N/A</v>
      </c>
      <c r="BA64" t="e">
        <f t="shared" si="13"/>
        <v>#N/A</v>
      </c>
      <c r="BB64" t="e">
        <f t="shared" si="13"/>
        <v>#N/A</v>
      </c>
      <c r="BC64" t="e">
        <f t="shared" si="13"/>
        <v>#N/A</v>
      </c>
      <c r="BD64" t="e">
        <f t="shared" si="13"/>
        <v>#N/A</v>
      </c>
      <c r="BG64" t="e">
        <f t="shared" si="14"/>
        <v>#N/A</v>
      </c>
      <c r="BH64" t="e">
        <f t="shared" si="15"/>
        <v>#N/A</v>
      </c>
      <c r="BI64" t="e">
        <f t="shared" si="15"/>
        <v>#N/A</v>
      </c>
      <c r="BJ64" t="e">
        <f t="shared" si="15"/>
        <v>#N/A</v>
      </c>
      <c r="BK64" t="e">
        <f t="shared" si="15"/>
        <v>#N/A</v>
      </c>
      <c r="BL64" t="e">
        <f t="shared" si="15"/>
        <v>#N/A</v>
      </c>
      <c r="BM64" t="e">
        <f t="shared" si="15"/>
        <v>#N/A</v>
      </c>
      <c r="BP64" t="e">
        <f t="shared" si="16"/>
        <v>#N/A</v>
      </c>
      <c r="BQ64" t="e">
        <f t="shared" si="17"/>
        <v>#N/A</v>
      </c>
      <c r="BR64" t="e">
        <f t="shared" si="17"/>
        <v>#N/A</v>
      </c>
      <c r="BS64" t="e">
        <f t="shared" si="17"/>
        <v>#N/A</v>
      </c>
      <c r="BT64" t="e">
        <f t="shared" si="17"/>
        <v>#N/A</v>
      </c>
      <c r="BU64" t="e">
        <f t="shared" si="17"/>
        <v>#N/A</v>
      </c>
      <c r="BV64" t="e">
        <f t="shared" si="17"/>
        <v>#N/A</v>
      </c>
      <c r="BY64">
        <f t="shared" si="18"/>
        <v>205000</v>
      </c>
      <c r="BZ64">
        <v>215805.90327000001</v>
      </c>
      <c r="CA64" cm="1">
        <f t="array" ref="CA64">IF(ISNUMBER(BZ64),AF64/COUNT(IF(ISNUMBER(_xlfn.ANCHORARRAY($BZ$11)),_xlfn.ANCHORARRAY($BZ$11))),NA())</f>
        <v>0.69230769230769229</v>
      </c>
      <c r="CB64" t="e">
        <f t="shared" si="19"/>
        <v>#N/A</v>
      </c>
      <c r="CD64" t="e">
        <f t="shared" si="20"/>
        <v>#N/A</v>
      </c>
      <c r="CE64">
        <f t="shared" si="21"/>
        <v>215805.90327000001</v>
      </c>
      <c r="CG64" t="e">
        <v>#N/A</v>
      </c>
      <c r="CH64">
        <v>210979.57317095189</v>
      </c>
      <c r="CL64" t="e">
        <f t="shared" si="23"/>
        <v>#N/A</v>
      </c>
      <c r="CM64">
        <v>72705.215656460379</v>
      </c>
      <c r="CN64" cm="1">
        <f t="array" ref="CN64">IF(ISNUMBER(CM64),AF64/COUNT(IF(ISNUMBER(_xlfn.ANCHORARRAY($CM$11)),_xlfn.ANCHORARRAY($CM$11))),NA())</f>
        <v>0.98181818181818181</v>
      </c>
      <c r="CO64" t="e">
        <f t="shared" si="24"/>
        <v>#N/A</v>
      </c>
      <c r="CQ64" t="e">
        <f t="shared" si="25"/>
        <v>#N/A</v>
      </c>
      <c r="CR64">
        <f t="shared" si="26"/>
        <v>72705.215656460379</v>
      </c>
      <c r="CT64" t="e">
        <v>#N/A</v>
      </c>
      <c r="CU64">
        <v>72705.215656460379</v>
      </c>
      <c r="CY64" t="e">
        <f t="shared" si="28"/>
        <v>#N/A</v>
      </c>
      <c r="CZ64" t="e">
        <v>#N/A</v>
      </c>
      <c r="DA64" t="e" cm="1">
        <f t="array" ref="DA64">IF(ISNUMBER(CZ64),AF64/COUNT(IF(ISNUMBER(_xlfn.ANCHORARRAY($CZ$11)),_xlfn.ANCHORARRAY($CZ$11))),NA())</f>
        <v>#N/A</v>
      </c>
      <c r="DB64" t="e">
        <f t="shared" si="29"/>
        <v>#N/A</v>
      </c>
      <c r="DD64" t="e">
        <f t="shared" si="30"/>
        <v>#N/A</v>
      </c>
      <c r="DE64" t="e">
        <f t="shared" si="31"/>
        <v>#N/A</v>
      </c>
      <c r="DG64" t="e">
        <v>#N/A</v>
      </c>
      <c r="DH64" t="e">
        <v>#N/A</v>
      </c>
    </row>
    <row r="65" spans="32:112">
      <c r="AF65">
        <v>55</v>
      </c>
      <c r="AG65" s="401">
        <f>'Lab test'!N58</f>
        <v>350</v>
      </c>
      <c r="AH65" s="401">
        <f>'Lab test'!M58</f>
        <v>1</v>
      </c>
      <c r="AI65">
        <f>IF('Lab test'!O58&gt;0,'Lab test'!O58,NA())</f>
        <v>450</v>
      </c>
      <c r="AJ65">
        <f>'Lab test'!Q58</f>
        <v>350</v>
      </c>
      <c r="AK65" s="401">
        <f>IF('Lab test'!V58&gt;0,'Lab test'!V58,NA())</f>
        <v>205000</v>
      </c>
      <c r="AL65" s="7">
        <f>IF(MAX('Lab test'!W58,'Lab test'!X58)&gt;0,MAX('Lab test'!W58,'Lab test'!X58),NA())</f>
        <v>310</v>
      </c>
      <c r="AM65" s="401">
        <f>IF('Lab test'!P58&gt;0,'Lab test'!P58,NA())</f>
        <v>6.872431934890913E-2</v>
      </c>
      <c r="AN65" s="401">
        <f>IF('Lab test'!AU58&gt;0,'Lab test'!AU58,NA())</f>
        <v>0.36246254781573584</v>
      </c>
      <c r="AO65" s="401">
        <f>IF('Lab test'!AT58&gt;0,'Lab test'!AT58,NA())</f>
        <v>0.31697159082965648</v>
      </c>
      <c r="AP65">
        <f t="shared" si="34"/>
        <v>1</v>
      </c>
      <c r="AQ65" s="401">
        <f>'Lab test'!AZ58</f>
        <v>2004</v>
      </c>
      <c r="AR65" t="str">
        <f>'Lab test'!AC58</f>
        <v>LTWb</v>
      </c>
      <c r="AS65" t="str">
        <f>'Lab test'!T58</f>
        <v>Steel</v>
      </c>
      <c r="AX65" t="e">
        <f t="shared" si="12"/>
        <v>#N/A</v>
      </c>
      <c r="AY65">
        <f t="shared" si="13"/>
        <v>205000</v>
      </c>
      <c r="AZ65" t="e">
        <f t="shared" si="13"/>
        <v>#N/A</v>
      </c>
      <c r="BA65" t="e">
        <f t="shared" si="13"/>
        <v>#N/A</v>
      </c>
      <c r="BB65" t="e">
        <f t="shared" si="13"/>
        <v>#N/A</v>
      </c>
      <c r="BC65" t="e">
        <f t="shared" si="13"/>
        <v>#N/A</v>
      </c>
      <c r="BD65" t="e">
        <f t="shared" si="13"/>
        <v>#N/A</v>
      </c>
      <c r="BG65" t="e">
        <f t="shared" si="14"/>
        <v>#N/A</v>
      </c>
      <c r="BH65" t="e">
        <f t="shared" si="15"/>
        <v>#N/A</v>
      </c>
      <c r="BI65" t="e">
        <f t="shared" si="15"/>
        <v>#N/A</v>
      </c>
      <c r="BJ65" t="e">
        <f t="shared" si="15"/>
        <v>#N/A</v>
      </c>
      <c r="BK65" t="e">
        <f t="shared" si="15"/>
        <v>#N/A</v>
      </c>
      <c r="BL65" t="e">
        <f t="shared" si="15"/>
        <v>#N/A</v>
      </c>
      <c r="BM65" t="e">
        <f t="shared" si="15"/>
        <v>#N/A</v>
      </c>
      <c r="BP65" t="e">
        <f t="shared" si="16"/>
        <v>#N/A</v>
      </c>
      <c r="BQ65" t="e">
        <f t="shared" si="17"/>
        <v>#N/A</v>
      </c>
      <c r="BR65" t="e">
        <f t="shared" si="17"/>
        <v>#N/A</v>
      </c>
      <c r="BS65" t="e">
        <f t="shared" si="17"/>
        <v>#N/A</v>
      </c>
      <c r="BT65" t="e">
        <f t="shared" si="17"/>
        <v>#N/A</v>
      </c>
      <c r="BU65" t="e">
        <f t="shared" si="17"/>
        <v>#N/A</v>
      </c>
      <c r="BV65" t="e">
        <f t="shared" si="17"/>
        <v>#N/A</v>
      </c>
      <c r="BY65">
        <f t="shared" si="18"/>
        <v>205000</v>
      </c>
      <c r="BZ65">
        <v>215805.90327000001</v>
      </c>
      <c r="CA65" cm="1">
        <f t="array" ref="CA65">IF(ISNUMBER(BZ65),AF65/COUNT(IF(ISNUMBER(_xlfn.ANCHORARRAY($BZ$11)),_xlfn.ANCHORARRAY($BZ$11))),NA())</f>
        <v>0.70512820512820518</v>
      </c>
      <c r="CB65" t="e">
        <f t="shared" si="19"/>
        <v>#N/A</v>
      </c>
      <c r="CD65" t="e">
        <f t="shared" si="20"/>
        <v>#N/A</v>
      </c>
      <c r="CE65">
        <f t="shared" si="21"/>
        <v>215805.90327000001</v>
      </c>
      <c r="CG65" t="e">
        <v>#N/A</v>
      </c>
      <c r="CH65">
        <v>210979.57317095189</v>
      </c>
      <c r="CL65" t="e">
        <f t="shared" si="23"/>
        <v>#N/A</v>
      </c>
      <c r="CM65">
        <v>72705.215656460379</v>
      </c>
      <c r="CN65" cm="1">
        <f t="array" ref="CN65">IF(ISNUMBER(CM65),AF65/COUNT(IF(ISNUMBER(_xlfn.ANCHORARRAY($CM$11)),_xlfn.ANCHORARRAY($CM$11))),NA())</f>
        <v>1</v>
      </c>
      <c r="CO65" t="e">
        <f t="shared" si="24"/>
        <v>#N/A</v>
      </c>
      <c r="CQ65">
        <v>1</v>
      </c>
      <c r="CR65">
        <f t="shared" si="26"/>
        <v>72705.215656460379</v>
      </c>
      <c r="CT65" t="e">
        <v>#N/A</v>
      </c>
      <c r="CU65">
        <v>72705.215656460379</v>
      </c>
      <c r="CY65" t="e">
        <f t="shared" si="28"/>
        <v>#N/A</v>
      </c>
      <c r="CZ65" t="e">
        <v>#N/A</v>
      </c>
      <c r="DA65" t="e" cm="1">
        <f t="array" ref="DA65">IF(ISNUMBER(CZ65),AF65/COUNT(IF(ISNUMBER(_xlfn.ANCHORARRAY($CZ$11)),_xlfn.ANCHORARRAY($CZ$11))),NA())</f>
        <v>#N/A</v>
      </c>
      <c r="DB65" t="e">
        <f t="shared" si="29"/>
        <v>#N/A</v>
      </c>
      <c r="DD65" t="e">
        <f t="shared" si="30"/>
        <v>#N/A</v>
      </c>
      <c r="DE65" t="e">
        <f t="shared" si="31"/>
        <v>#N/A</v>
      </c>
      <c r="DG65" t="e">
        <v>#N/A</v>
      </c>
      <c r="DH65" t="e">
        <v>#N/A</v>
      </c>
    </row>
    <row r="66" spans="32:112">
      <c r="AF66">
        <v>56</v>
      </c>
      <c r="AG66" s="401">
        <f>'Lab test'!N59</f>
        <v>350</v>
      </c>
      <c r="AH66" s="401">
        <f>'Lab test'!M59</f>
        <v>1.25</v>
      </c>
      <c r="AI66">
        <f>IF('Lab test'!O59&gt;0,'Lab test'!O59,NA())</f>
        <v>450</v>
      </c>
      <c r="AJ66">
        <f>'Lab test'!Q59</f>
        <v>280</v>
      </c>
      <c r="AK66" s="401">
        <f>IF('Lab test'!V59&gt;0,'Lab test'!V59,NA())</f>
        <v>205000</v>
      </c>
      <c r="AL66" s="7">
        <f>IF(MAX('Lab test'!W59,'Lab test'!X59)&gt;0,MAX('Lab test'!W59,'Lab test'!X59),NA())</f>
        <v>310</v>
      </c>
      <c r="AM66" s="401">
        <f>IF('Lab test'!P59&gt;0,'Lab test'!P59,NA())</f>
        <v>7.6836124885782453E-2</v>
      </c>
      <c r="AN66" s="401">
        <f>IF('Lab test'!AU59&gt;0,'Lab test'!AU59,NA())</f>
        <v>0.375635003013572</v>
      </c>
      <c r="AO66" s="401">
        <f>IF('Lab test'!AT59&gt;0,'Lab test'!AT59,NA())</f>
        <v>0.2627926668706061</v>
      </c>
      <c r="AP66">
        <f t="shared" si="34"/>
        <v>1</v>
      </c>
      <c r="AQ66" s="401">
        <f>'Lab test'!AZ59</f>
        <v>2004</v>
      </c>
      <c r="AR66" t="str">
        <f>'Lab test'!AC59</f>
        <v>LTWb</v>
      </c>
      <c r="AS66" t="str">
        <f>'Lab test'!T59</f>
        <v>Steel</v>
      </c>
      <c r="AX66" t="e">
        <f t="shared" si="12"/>
        <v>#N/A</v>
      </c>
      <c r="AY66">
        <f t="shared" si="13"/>
        <v>205000</v>
      </c>
      <c r="AZ66" t="e">
        <f t="shared" si="13"/>
        <v>#N/A</v>
      </c>
      <c r="BA66" t="e">
        <f t="shared" si="13"/>
        <v>#N/A</v>
      </c>
      <c r="BB66" t="e">
        <f t="shared" si="13"/>
        <v>#N/A</v>
      </c>
      <c r="BC66" t="e">
        <f t="shared" si="13"/>
        <v>#N/A</v>
      </c>
      <c r="BD66" t="e">
        <f t="shared" si="13"/>
        <v>#N/A</v>
      </c>
      <c r="BG66" t="e">
        <f t="shared" si="14"/>
        <v>#N/A</v>
      </c>
      <c r="BH66" t="e">
        <f t="shared" si="15"/>
        <v>#N/A</v>
      </c>
      <c r="BI66" t="e">
        <f t="shared" si="15"/>
        <v>#N/A</v>
      </c>
      <c r="BJ66" t="e">
        <f t="shared" si="15"/>
        <v>#N/A</v>
      </c>
      <c r="BK66" t="e">
        <f t="shared" si="15"/>
        <v>#N/A</v>
      </c>
      <c r="BL66" t="e">
        <f t="shared" si="15"/>
        <v>#N/A</v>
      </c>
      <c r="BM66" t="e">
        <f t="shared" si="15"/>
        <v>#N/A</v>
      </c>
      <c r="BP66" t="e">
        <f t="shared" si="16"/>
        <v>#N/A</v>
      </c>
      <c r="BQ66" t="e">
        <f t="shared" si="17"/>
        <v>#N/A</v>
      </c>
      <c r="BR66" t="e">
        <f t="shared" si="17"/>
        <v>#N/A</v>
      </c>
      <c r="BS66" t="e">
        <f t="shared" si="17"/>
        <v>#N/A</v>
      </c>
      <c r="BT66" t="e">
        <f t="shared" si="17"/>
        <v>#N/A</v>
      </c>
      <c r="BU66" t="e">
        <f t="shared" si="17"/>
        <v>#N/A</v>
      </c>
      <c r="BV66" t="e">
        <f t="shared" si="17"/>
        <v>#N/A</v>
      </c>
      <c r="BY66">
        <f t="shared" si="18"/>
        <v>205000</v>
      </c>
      <c r="BZ66">
        <v>215805.90327000001</v>
      </c>
      <c r="CA66" cm="1">
        <f t="array" ref="CA66">IF(ISNUMBER(BZ66),AF66/COUNT(IF(ISNUMBER(_xlfn.ANCHORARRAY($BZ$11)),_xlfn.ANCHORARRAY($BZ$11))),NA())</f>
        <v>0.71794871794871795</v>
      </c>
      <c r="CB66" t="e">
        <f t="shared" si="19"/>
        <v>#N/A</v>
      </c>
      <c r="CD66" t="e">
        <f t="shared" si="20"/>
        <v>#N/A</v>
      </c>
      <c r="CE66">
        <f t="shared" si="21"/>
        <v>215805.90327000001</v>
      </c>
      <c r="CG66" t="e">
        <v>#N/A</v>
      </c>
      <c r="CH66">
        <v>210979.57317095189</v>
      </c>
      <c r="CL66" t="e">
        <f t="shared" si="23"/>
        <v>#N/A</v>
      </c>
      <c r="CM66" t="e">
        <v>#N/A</v>
      </c>
      <c r="CN66" t="e" cm="1">
        <f t="array" ref="CN66">IF(ISNUMBER(CM66),AF66/COUNT(IF(ISNUMBER(_xlfn.ANCHORARRAY($CM$11)),_xlfn.ANCHORARRAY($CM$11))),NA())</f>
        <v>#N/A</v>
      </c>
      <c r="CO66" t="e">
        <f t="shared" si="24"/>
        <v>#N/A</v>
      </c>
      <c r="CQ66" t="e">
        <f t="shared" si="25"/>
        <v>#N/A</v>
      </c>
      <c r="CR66" t="e">
        <f t="shared" si="26"/>
        <v>#N/A</v>
      </c>
      <c r="CT66" t="e">
        <v>#N/A</v>
      </c>
      <c r="CU66" t="e">
        <v>#N/A</v>
      </c>
      <c r="CY66" t="e">
        <f t="shared" si="28"/>
        <v>#N/A</v>
      </c>
      <c r="CZ66" t="e">
        <v>#N/A</v>
      </c>
      <c r="DA66" t="e" cm="1">
        <f t="array" ref="DA66">IF(ISNUMBER(CZ66),AF66/COUNT(IF(ISNUMBER(_xlfn.ANCHORARRAY($CZ$11)),_xlfn.ANCHORARRAY($CZ$11))),NA())</f>
        <v>#N/A</v>
      </c>
      <c r="DB66" t="e">
        <f t="shared" si="29"/>
        <v>#N/A</v>
      </c>
      <c r="DD66" t="e">
        <f t="shared" si="30"/>
        <v>#N/A</v>
      </c>
      <c r="DE66" t="e">
        <f t="shared" si="31"/>
        <v>#N/A</v>
      </c>
      <c r="DG66" t="e">
        <v>#N/A</v>
      </c>
      <c r="DH66" t="e">
        <v>#N/A</v>
      </c>
    </row>
    <row r="67" spans="32:112">
      <c r="AF67">
        <v>57</v>
      </c>
      <c r="AG67" s="401">
        <f>'Lab test'!N60</f>
        <v>350</v>
      </c>
      <c r="AH67" s="401">
        <f>'Lab test'!M60</f>
        <v>1.25</v>
      </c>
      <c r="AI67">
        <f>IF('Lab test'!O60&gt;0,'Lab test'!O60,NA())</f>
        <v>450</v>
      </c>
      <c r="AJ67">
        <f>'Lab test'!Q60</f>
        <v>280</v>
      </c>
      <c r="AK67" s="401">
        <f>IF('Lab test'!V60&gt;0,'Lab test'!V60,NA())</f>
        <v>205000</v>
      </c>
      <c r="AL67" s="7">
        <f>IF(MAX('Lab test'!W60,'Lab test'!X60)&gt;0,MAX('Lab test'!W60,'Lab test'!X60),NA())</f>
        <v>310</v>
      </c>
      <c r="AM67" s="401">
        <f>IF('Lab test'!P60&gt;0,'Lab test'!P60,NA())</f>
        <v>7.6836124885782453E-2</v>
      </c>
      <c r="AN67" s="401">
        <f>IF('Lab test'!AU60&gt;0,'Lab test'!AU60,NA())</f>
        <v>0.37669114641473478</v>
      </c>
      <c r="AO67" s="401">
        <f>IF('Lab test'!AT60&gt;0,'Lab test'!AT60,NA())</f>
        <v>0.26353154034821785</v>
      </c>
      <c r="AP67">
        <f t="shared" si="34"/>
        <v>1</v>
      </c>
      <c r="AQ67" s="401">
        <f>'Lab test'!AZ60</f>
        <v>2004</v>
      </c>
      <c r="AR67" t="str">
        <f>'Lab test'!AC60</f>
        <v>LTWb</v>
      </c>
      <c r="AS67" t="str">
        <f>'Lab test'!T60</f>
        <v>Steel</v>
      </c>
      <c r="AX67" t="e">
        <f t="shared" si="12"/>
        <v>#N/A</v>
      </c>
      <c r="AY67">
        <f t="shared" ref="AY67:BD109" si="42">IF(ISNUMBER($AJ67),IF(ISNUMBER($AP67),IF($AJ67&gt;AY$9,IF($AJ67&lt;=AY$10,IF($AR67=$AW$2,IF($AS67=$AW$6,$AK67,NA()),NA()),NA()),NA()),NA()),NA())</f>
        <v>205000</v>
      </c>
      <c r="AZ67" t="e">
        <f t="shared" si="42"/>
        <v>#N/A</v>
      </c>
      <c r="BA67" t="e">
        <f t="shared" si="42"/>
        <v>#N/A</v>
      </c>
      <c r="BB67" t="e">
        <f t="shared" si="42"/>
        <v>#N/A</v>
      </c>
      <c r="BC67" t="e">
        <f t="shared" si="42"/>
        <v>#N/A</v>
      </c>
      <c r="BD67" t="e">
        <f t="shared" si="42"/>
        <v>#N/A</v>
      </c>
      <c r="BG67" t="e">
        <f t="shared" si="14"/>
        <v>#N/A</v>
      </c>
      <c r="BH67" t="e">
        <f t="shared" ref="BH67:BM109" si="43">IF(ISNUMBER($AJ67),IF(ISNUMBER($AP67),IF($AJ67&gt;BH$9,IF($AJ67&lt;=BH$10,IF($AR67=$AW$2,IF($AS67=$BF$6,$AK67,NA()),NA()),NA()),NA()),NA()),NA())</f>
        <v>#N/A</v>
      </c>
      <c r="BI67" t="e">
        <f t="shared" si="43"/>
        <v>#N/A</v>
      </c>
      <c r="BJ67" t="e">
        <f t="shared" si="43"/>
        <v>#N/A</v>
      </c>
      <c r="BK67" t="e">
        <f t="shared" si="43"/>
        <v>#N/A</v>
      </c>
      <c r="BL67" t="e">
        <f t="shared" si="43"/>
        <v>#N/A</v>
      </c>
      <c r="BM67" t="e">
        <f t="shared" si="43"/>
        <v>#N/A</v>
      </c>
      <c r="BP67" t="e">
        <f t="shared" si="16"/>
        <v>#N/A</v>
      </c>
      <c r="BQ67" t="e">
        <f t="shared" ref="BQ67:BV109" si="44">IF(ISNUMBER($AJ67),IF(ISNUMBER($AP67),IF($AJ67&gt;BQ$9,IF($AJ67&lt;=BQ$10,IF($AR67=$AW$2,IF($AS67=$BO$6,$AK67,NA()),NA()),NA()),NA()),NA()),NA())</f>
        <v>#N/A</v>
      </c>
      <c r="BR67" t="e">
        <f t="shared" si="44"/>
        <v>#N/A</v>
      </c>
      <c r="BS67" t="e">
        <f t="shared" si="44"/>
        <v>#N/A</v>
      </c>
      <c r="BT67" t="e">
        <f t="shared" si="44"/>
        <v>#N/A</v>
      </c>
      <c r="BU67" t="e">
        <f t="shared" si="44"/>
        <v>#N/A</v>
      </c>
      <c r="BV67" t="e">
        <f t="shared" si="44"/>
        <v>#N/A</v>
      </c>
      <c r="BY67">
        <f t="shared" si="18"/>
        <v>205000</v>
      </c>
      <c r="BZ67">
        <v>215805.90327000001</v>
      </c>
      <c r="CA67" cm="1">
        <f t="array" ref="CA67">IF(ISNUMBER(BZ67),AF67/COUNT(IF(ISNUMBER(_xlfn.ANCHORARRAY($BZ$11)),_xlfn.ANCHORARRAY($BZ$11))),NA())</f>
        <v>0.73076923076923073</v>
      </c>
      <c r="CB67" t="e">
        <f t="shared" si="19"/>
        <v>#N/A</v>
      </c>
      <c r="CD67" t="e">
        <f t="shared" si="20"/>
        <v>#N/A</v>
      </c>
      <c r="CE67">
        <f t="shared" si="21"/>
        <v>215805.90327000001</v>
      </c>
      <c r="CG67" t="e">
        <v>#N/A</v>
      </c>
      <c r="CH67">
        <v>215805.90327000001</v>
      </c>
      <c r="CL67" t="e">
        <f t="shared" si="23"/>
        <v>#N/A</v>
      </c>
      <c r="CM67" t="e">
        <v>#N/A</v>
      </c>
      <c r="CN67" t="e" cm="1">
        <f t="array" ref="CN67">IF(ISNUMBER(CM67),AF67/COUNT(IF(ISNUMBER(_xlfn.ANCHORARRAY($CM$11)),_xlfn.ANCHORARRAY($CM$11))),NA())</f>
        <v>#N/A</v>
      </c>
      <c r="CO67" t="e">
        <f t="shared" si="24"/>
        <v>#N/A</v>
      </c>
      <c r="CQ67" t="e">
        <f t="shared" si="25"/>
        <v>#N/A</v>
      </c>
      <c r="CR67" t="e">
        <f t="shared" si="26"/>
        <v>#N/A</v>
      </c>
      <c r="CT67" t="e">
        <v>#N/A</v>
      </c>
      <c r="CU67" t="e">
        <v>#N/A</v>
      </c>
      <c r="CY67" t="e">
        <f t="shared" si="28"/>
        <v>#N/A</v>
      </c>
      <c r="CZ67" t="e">
        <v>#N/A</v>
      </c>
      <c r="DA67" t="e" cm="1">
        <f t="array" ref="DA67">IF(ISNUMBER(CZ67),AF67/COUNT(IF(ISNUMBER(_xlfn.ANCHORARRAY($CZ$11)),_xlfn.ANCHORARRAY($CZ$11))),NA())</f>
        <v>#N/A</v>
      </c>
      <c r="DB67" t="e">
        <f t="shared" si="29"/>
        <v>#N/A</v>
      </c>
      <c r="DD67" t="e">
        <f t="shared" si="30"/>
        <v>#N/A</v>
      </c>
      <c r="DE67" t="e">
        <f t="shared" si="31"/>
        <v>#N/A</v>
      </c>
      <c r="DG67" t="e">
        <v>#N/A</v>
      </c>
      <c r="DH67" t="e">
        <v>#N/A</v>
      </c>
    </row>
    <row r="68" spans="32:112">
      <c r="AF68">
        <v>58</v>
      </c>
      <c r="AG68" s="401">
        <f>'Lab test'!N61</f>
        <v>350</v>
      </c>
      <c r="AH68" s="401">
        <f>'Lab test'!M61</f>
        <v>1.25</v>
      </c>
      <c r="AI68">
        <f>IF('Lab test'!O61&gt;0,'Lab test'!O61,NA())</f>
        <v>450</v>
      </c>
      <c r="AJ68">
        <f>'Lab test'!Q61</f>
        <v>280</v>
      </c>
      <c r="AK68" s="401">
        <f>IF('Lab test'!V61&gt;0,'Lab test'!V61,NA())</f>
        <v>205000</v>
      </c>
      <c r="AL68" s="7">
        <f>IF(MAX('Lab test'!W61,'Lab test'!X61)&gt;0,MAX('Lab test'!W61,'Lab test'!X61),NA())</f>
        <v>310</v>
      </c>
      <c r="AM68" s="401">
        <f>IF('Lab test'!P61&gt;0,'Lab test'!P61,NA())</f>
        <v>7.6836124885782453E-2</v>
      </c>
      <c r="AN68" s="401">
        <f>IF('Lab test'!AU61&gt;0,'Lab test'!AU61,NA())</f>
        <v>0.36354802853359763</v>
      </c>
      <c r="AO68" s="401">
        <f>IF('Lab test'!AT61&gt;0,'Lab test'!AT61,NA())</f>
        <v>0.25433667040460406</v>
      </c>
      <c r="AP68">
        <f t="shared" si="34"/>
        <v>1</v>
      </c>
      <c r="AQ68" s="401">
        <f>'Lab test'!AZ61</f>
        <v>2004</v>
      </c>
      <c r="AR68" t="str">
        <f>'Lab test'!AC61</f>
        <v>LTWb</v>
      </c>
      <c r="AS68" t="str">
        <f>'Lab test'!T61</f>
        <v>Steel</v>
      </c>
      <c r="AX68" t="e">
        <f t="shared" si="12"/>
        <v>#N/A</v>
      </c>
      <c r="AY68">
        <f t="shared" si="42"/>
        <v>205000</v>
      </c>
      <c r="AZ68" t="e">
        <f t="shared" si="42"/>
        <v>#N/A</v>
      </c>
      <c r="BA68" t="e">
        <f t="shared" si="42"/>
        <v>#N/A</v>
      </c>
      <c r="BB68" t="e">
        <f t="shared" si="42"/>
        <v>#N/A</v>
      </c>
      <c r="BC68" t="e">
        <f t="shared" si="42"/>
        <v>#N/A</v>
      </c>
      <c r="BD68" t="e">
        <f t="shared" si="42"/>
        <v>#N/A</v>
      </c>
      <c r="BG68" t="e">
        <f t="shared" si="14"/>
        <v>#N/A</v>
      </c>
      <c r="BH68" t="e">
        <f t="shared" si="43"/>
        <v>#N/A</v>
      </c>
      <c r="BI68" t="e">
        <f t="shared" si="43"/>
        <v>#N/A</v>
      </c>
      <c r="BJ68" t="e">
        <f t="shared" si="43"/>
        <v>#N/A</v>
      </c>
      <c r="BK68" t="e">
        <f t="shared" si="43"/>
        <v>#N/A</v>
      </c>
      <c r="BL68" t="e">
        <f t="shared" si="43"/>
        <v>#N/A</v>
      </c>
      <c r="BM68" t="e">
        <f t="shared" si="43"/>
        <v>#N/A</v>
      </c>
      <c r="BP68" t="e">
        <f t="shared" si="16"/>
        <v>#N/A</v>
      </c>
      <c r="BQ68" t="e">
        <f t="shared" si="44"/>
        <v>#N/A</v>
      </c>
      <c r="BR68" t="e">
        <f t="shared" si="44"/>
        <v>#N/A</v>
      </c>
      <c r="BS68" t="e">
        <f t="shared" si="44"/>
        <v>#N/A</v>
      </c>
      <c r="BT68" t="e">
        <f t="shared" si="44"/>
        <v>#N/A</v>
      </c>
      <c r="BU68" t="e">
        <f t="shared" si="44"/>
        <v>#N/A</v>
      </c>
      <c r="BV68" t="e">
        <f t="shared" si="44"/>
        <v>#N/A</v>
      </c>
      <c r="BY68">
        <f t="shared" si="18"/>
        <v>205000</v>
      </c>
      <c r="BZ68">
        <v>215805.90327000001</v>
      </c>
      <c r="CA68" cm="1">
        <f t="array" ref="CA68">IF(ISNUMBER(BZ68),AF68/COUNT(IF(ISNUMBER(_xlfn.ANCHORARRAY($BZ$11)),_xlfn.ANCHORARRAY($BZ$11))),NA())</f>
        <v>0.74358974358974361</v>
      </c>
      <c r="CB68" t="e">
        <f t="shared" si="19"/>
        <v>#N/A</v>
      </c>
      <c r="CD68" t="e">
        <f t="shared" si="20"/>
        <v>#N/A</v>
      </c>
      <c r="CE68">
        <f t="shared" si="21"/>
        <v>215805.90327000001</v>
      </c>
      <c r="CG68" t="e">
        <v>#N/A</v>
      </c>
      <c r="CH68">
        <v>215805.90327000001</v>
      </c>
      <c r="CL68" t="e">
        <f t="shared" si="23"/>
        <v>#N/A</v>
      </c>
      <c r="CM68" t="e">
        <v>#N/A</v>
      </c>
      <c r="CN68" t="e" cm="1">
        <f t="array" ref="CN68">IF(ISNUMBER(CM68),AF68/COUNT(IF(ISNUMBER(_xlfn.ANCHORARRAY($CM$11)),_xlfn.ANCHORARRAY($CM$11))),NA())</f>
        <v>#N/A</v>
      </c>
      <c r="CO68" t="e">
        <f t="shared" si="24"/>
        <v>#N/A</v>
      </c>
      <c r="CQ68" t="e">
        <f t="shared" si="25"/>
        <v>#N/A</v>
      </c>
      <c r="CR68" t="e">
        <f t="shared" si="26"/>
        <v>#N/A</v>
      </c>
      <c r="CT68" t="e">
        <v>#N/A</v>
      </c>
      <c r="CU68" t="e">
        <v>#N/A</v>
      </c>
      <c r="CY68" t="e">
        <f t="shared" si="28"/>
        <v>#N/A</v>
      </c>
      <c r="CZ68" t="e">
        <v>#N/A</v>
      </c>
      <c r="DA68" t="e" cm="1">
        <f t="array" ref="DA68">IF(ISNUMBER(CZ68),AF68/COUNT(IF(ISNUMBER(_xlfn.ANCHORARRAY($CZ$11)),_xlfn.ANCHORARRAY($CZ$11))),NA())</f>
        <v>#N/A</v>
      </c>
      <c r="DB68" t="e">
        <f t="shared" si="29"/>
        <v>#N/A</v>
      </c>
      <c r="DD68" t="e">
        <f t="shared" si="30"/>
        <v>#N/A</v>
      </c>
      <c r="DE68" t="e">
        <f t="shared" si="31"/>
        <v>#N/A</v>
      </c>
      <c r="DG68" t="e">
        <v>#N/A</v>
      </c>
      <c r="DH68" t="e">
        <v>#N/A</v>
      </c>
    </row>
    <row r="69" spans="32:112">
      <c r="AF69">
        <v>59</v>
      </c>
      <c r="AG69" s="401">
        <f>'Lab test'!N62</f>
        <v>350</v>
      </c>
      <c r="AH69" s="401">
        <f>'Lab test'!M62</f>
        <v>1.25</v>
      </c>
      <c r="AI69">
        <f>IF('Lab test'!O62&gt;0,'Lab test'!O62,NA())</f>
        <v>450</v>
      </c>
      <c r="AJ69">
        <f>'Lab test'!Q62</f>
        <v>280</v>
      </c>
      <c r="AK69" s="401">
        <f>IF('Lab test'!V62&gt;0,'Lab test'!V62,NA())</f>
        <v>205000</v>
      </c>
      <c r="AL69" s="7">
        <f>IF(MAX('Lab test'!W62,'Lab test'!X62)&gt;0,MAX('Lab test'!W62,'Lab test'!X62),NA())</f>
        <v>310</v>
      </c>
      <c r="AM69" s="401">
        <f>IF('Lab test'!P62&gt;0,'Lab test'!P62,NA())</f>
        <v>7.6836124885782453E-2</v>
      </c>
      <c r="AN69" s="401">
        <f>IF('Lab test'!AU62&gt;0,'Lab test'!AU62,NA())</f>
        <v>0.33644034790375221</v>
      </c>
      <c r="AO69" s="401">
        <f>IF('Lab test'!AT62&gt;0,'Lab test'!AT62,NA())</f>
        <v>0.23537225114590049</v>
      </c>
      <c r="AP69">
        <f t="shared" si="34"/>
        <v>1</v>
      </c>
      <c r="AQ69" s="401">
        <f>'Lab test'!AZ62</f>
        <v>2004</v>
      </c>
      <c r="AR69" t="str">
        <f>'Lab test'!AC62</f>
        <v>LTWb</v>
      </c>
      <c r="AS69" t="str">
        <f>'Lab test'!T62</f>
        <v>Steel</v>
      </c>
      <c r="AX69" t="e">
        <f t="shared" si="12"/>
        <v>#N/A</v>
      </c>
      <c r="AY69">
        <f t="shared" si="42"/>
        <v>205000</v>
      </c>
      <c r="AZ69" t="e">
        <f t="shared" si="42"/>
        <v>#N/A</v>
      </c>
      <c r="BA69" t="e">
        <f t="shared" si="42"/>
        <v>#N/A</v>
      </c>
      <c r="BB69" t="e">
        <f t="shared" si="42"/>
        <v>#N/A</v>
      </c>
      <c r="BC69" t="e">
        <f t="shared" si="42"/>
        <v>#N/A</v>
      </c>
      <c r="BD69" t="e">
        <f t="shared" si="42"/>
        <v>#N/A</v>
      </c>
      <c r="BG69" t="e">
        <f t="shared" si="14"/>
        <v>#N/A</v>
      </c>
      <c r="BH69" t="e">
        <f t="shared" si="43"/>
        <v>#N/A</v>
      </c>
      <c r="BI69" t="e">
        <f t="shared" si="43"/>
        <v>#N/A</v>
      </c>
      <c r="BJ69" t="e">
        <f t="shared" si="43"/>
        <v>#N/A</v>
      </c>
      <c r="BK69" t="e">
        <f t="shared" si="43"/>
        <v>#N/A</v>
      </c>
      <c r="BL69" t="e">
        <f t="shared" si="43"/>
        <v>#N/A</v>
      </c>
      <c r="BM69" t="e">
        <f t="shared" si="43"/>
        <v>#N/A</v>
      </c>
      <c r="BP69" t="e">
        <f t="shared" si="16"/>
        <v>#N/A</v>
      </c>
      <c r="BQ69" t="e">
        <f t="shared" si="44"/>
        <v>#N/A</v>
      </c>
      <c r="BR69" t="e">
        <f t="shared" si="44"/>
        <v>#N/A</v>
      </c>
      <c r="BS69" t="e">
        <f t="shared" si="44"/>
        <v>#N/A</v>
      </c>
      <c r="BT69" t="e">
        <f t="shared" si="44"/>
        <v>#N/A</v>
      </c>
      <c r="BU69" t="e">
        <f t="shared" si="44"/>
        <v>#N/A</v>
      </c>
      <c r="BV69" t="e">
        <f t="shared" si="44"/>
        <v>#N/A</v>
      </c>
      <c r="BY69">
        <f t="shared" si="18"/>
        <v>205000</v>
      </c>
      <c r="BZ69">
        <v>215805.90327000001</v>
      </c>
      <c r="CA69" cm="1">
        <f t="array" ref="CA69">IF(ISNUMBER(BZ69),AF69/COUNT(IF(ISNUMBER(_xlfn.ANCHORARRAY($BZ$11)),_xlfn.ANCHORARRAY($BZ$11))),NA())</f>
        <v>0.75641025641025639</v>
      </c>
      <c r="CB69" t="e">
        <f t="shared" si="19"/>
        <v>#N/A</v>
      </c>
      <c r="CD69" t="e">
        <f t="shared" si="20"/>
        <v>#N/A</v>
      </c>
      <c r="CE69">
        <f t="shared" si="21"/>
        <v>215805.90327000001</v>
      </c>
      <c r="CG69" t="e">
        <v>#N/A</v>
      </c>
      <c r="CH69">
        <v>215805.90327000001</v>
      </c>
      <c r="CL69" t="e">
        <f t="shared" si="23"/>
        <v>#N/A</v>
      </c>
      <c r="CM69" t="e">
        <v>#N/A</v>
      </c>
      <c r="CN69" t="e" cm="1">
        <f t="array" ref="CN69">IF(ISNUMBER(CM69),AF69/COUNT(IF(ISNUMBER(_xlfn.ANCHORARRAY($CM$11)),_xlfn.ANCHORARRAY($CM$11))),NA())</f>
        <v>#N/A</v>
      </c>
      <c r="CO69" t="e">
        <f t="shared" si="24"/>
        <v>#N/A</v>
      </c>
      <c r="CQ69" t="e">
        <f t="shared" si="25"/>
        <v>#N/A</v>
      </c>
      <c r="CR69" t="e">
        <f t="shared" si="26"/>
        <v>#N/A</v>
      </c>
      <c r="CT69" t="e">
        <v>#N/A</v>
      </c>
      <c r="CU69" t="e">
        <v>#N/A</v>
      </c>
      <c r="CY69" t="e">
        <f t="shared" si="28"/>
        <v>#N/A</v>
      </c>
      <c r="CZ69" t="e">
        <v>#N/A</v>
      </c>
      <c r="DA69" t="e" cm="1">
        <f t="array" ref="DA69">IF(ISNUMBER(CZ69),AF69/COUNT(IF(ISNUMBER(_xlfn.ANCHORARRAY($CZ$11)),_xlfn.ANCHORARRAY($CZ$11))),NA())</f>
        <v>#N/A</v>
      </c>
      <c r="DB69" t="e">
        <f t="shared" si="29"/>
        <v>#N/A</v>
      </c>
      <c r="DD69" t="e">
        <f t="shared" si="30"/>
        <v>#N/A</v>
      </c>
      <c r="DE69" t="e">
        <f t="shared" si="31"/>
        <v>#N/A</v>
      </c>
      <c r="DG69" t="e">
        <v>#N/A</v>
      </c>
      <c r="DH69" t="e">
        <v>#N/A</v>
      </c>
    </row>
    <row r="70" spans="32:112">
      <c r="AF70">
        <v>60</v>
      </c>
      <c r="AG70" s="401">
        <f>'Lab test'!N63</f>
        <v>101.6</v>
      </c>
      <c r="AH70" s="401">
        <f>'Lab test'!M63</f>
        <v>0.11734800000000001</v>
      </c>
      <c r="AI70">
        <f>IF('Lab test'!O63&gt;0,'Lab test'!O63,NA())</f>
        <v>254</v>
      </c>
      <c r="AJ70">
        <f>'Lab test'!Q63</f>
        <v>865.80086580086572</v>
      </c>
      <c r="AK70" s="401">
        <f>IF('Lab test'!V63&gt;0,'Lab test'!V63,NA())</f>
        <v>89631.844811188712</v>
      </c>
      <c r="AL70" s="7" t="e">
        <f>IF(MAX('Lab test'!W63,'Lab test'!X63)&gt;0,MAX('Lab test'!W63,'Lab test'!X63),NA())</f>
        <v>#N/A</v>
      </c>
      <c r="AM70" s="401">
        <f>IF('Lab test'!P63&gt;0,'Lab test'!P63,NA())</f>
        <v>8.4963227339832151E-2</v>
      </c>
      <c r="AN70" s="401" t="e">
        <f>IF('Lab test'!AU63&gt;0,'Lab test'!AU63,NA())</f>
        <v>#N/A</v>
      </c>
      <c r="AO70" s="401">
        <f>IF('Lab test'!AT63&gt;0,'Lab test'!AT63,NA())</f>
        <v>0.76004473552548202</v>
      </c>
      <c r="AP70" t="e">
        <f t="shared" si="34"/>
        <v>#N/A</v>
      </c>
      <c r="AQ70" s="401">
        <f>'Lab test'!AZ63</f>
        <v>1962</v>
      </c>
      <c r="AR70" t="str">
        <f>'Lab test'!AC63</f>
        <v>Electroforming</v>
      </c>
      <c r="AS70" t="str">
        <f>'Lab test'!T63</f>
        <v>Copper</v>
      </c>
      <c r="AX70" t="e">
        <f t="shared" si="12"/>
        <v>#N/A</v>
      </c>
      <c r="AY70" t="e">
        <f t="shared" si="42"/>
        <v>#N/A</v>
      </c>
      <c r="AZ70" t="e">
        <f t="shared" si="42"/>
        <v>#N/A</v>
      </c>
      <c r="BA70" t="e">
        <f t="shared" si="42"/>
        <v>#N/A</v>
      </c>
      <c r="BB70" t="e">
        <f t="shared" si="42"/>
        <v>#N/A</v>
      </c>
      <c r="BC70" t="e">
        <f t="shared" si="42"/>
        <v>#N/A</v>
      </c>
      <c r="BD70" t="e">
        <f t="shared" si="42"/>
        <v>#N/A</v>
      </c>
      <c r="BG70" t="e">
        <f t="shared" si="14"/>
        <v>#N/A</v>
      </c>
      <c r="BH70" t="e">
        <f t="shared" si="43"/>
        <v>#N/A</v>
      </c>
      <c r="BI70" t="e">
        <f t="shared" si="43"/>
        <v>#N/A</v>
      </c>
      <c r="BJ70" t="e">
        <f t="shared" si="43"/>
        <v>#N/A</v>
      </c>
      <c r="BK70" t="e">
        <f t="shared" si="43"/>
        <v>#N/A</v>
      </c>
      <c r="BL70" t="e">
        <f t="shared" si="43"/>
        <v>#N/A</v>
      </c>
      <c r="BM70" t="e">
        <f t="shared" si="43"/>
        <v>#N/A</v>
      </c>
      <c r="BP70" t="e">
        <f t="shared" si="16"/>
        <v>#N/A</v>
      </c>
      <c r="BQ70" t="e">
        <f t="shared" si="44"/>
        <v>#N/A</v>
      </c>
      <c r="BR70" t="e">
        <f t="shared" si="44"/>
        <v>#N/A</v>
      </c>
      <c r="BS70" t="e">
        <f t="shared" si="44"/>
        <v>#N/A</v>
      </c>
      <c r="BT70" t="e">
        <f t="shared" si="44"/>
        <v>#N/A</v>
      </c>
      <c r="BU70" t="e">
        <f t="shared" si="44"/>
        <v>#N/A</v>
      </c>
      <c r="BV70" t="e">
        <f t="shared" si="44"/>
        <v>#N/A</v>
      </c>
      <c r="BY70" t="e">
        <f t="shared" si="18"/>
        <v>#N/A</v>
      </c>
      <c r="BZ70">
        <v>215805.90327000001</v>
      </c>
      <c r="CA70" cm="1">
        <f t="array" ref="CA70">IF(ISNUMBER(BZ70),AF70/COUNT(IF(ISNUMBER(_xlfn.ANCHORARRAY($BZ$11)),_xlfn.ANCHORARRAY($BZ$11))),NA())</f>
        <v>0.76923076923076927</v>
      </c>
      <c r="CB70" t="e">
        <f t="shared" si="19"/>
        <v>#N/A</v>
      </c>
      <c r="CD70" t="e">
        <f t="shared" si="20"/>
        <v>#N/A</v>
      </c>
      <c r="CE70">
        <f t="shared" si="21"/>
        <v>215805.90327000001</v>
      </c>
      <c r="CG70" t="e">
        <v>#N/A</v>
      </c>
      <c r="CH70">
        <v>215805.90327000001</v>
      </c>
      <c r="CL70" t="e">
        <f t="shared" si="23"/>
        <v>#N/A</v>
      </c>
      <c r="CM70" t="e">
        <v>#N/A</v>
      </c>
      <c r="CN70" t="e" cm="1">
        <f t="array" ref="CN70">IF(ISNUMBER(CM70),AF70/COUNT(IF(ISNUMBER(_xlfn.ANCHORARRAY($CM$11)),_xlfn.ANCHORARRAY($CM$11))),NA())</f>
        <v>#N/A</v>
      </c>
      <c r="CO70" t="e">
        <f t="shared" si="24"/>
        <v>#N/A</v>
      </c>
      <c r="CQ70" t="e">
        <f t="shared" si="25"/>
        <v>#N/A</v>
      </c>
      <c r="CR70" t="e">
        <f t="shared" si="26"/>
        <v>#N/A</v>
      </c>
      <c r="CT70" t="e">
        <v>#N/A</v>
      </c>
      <c r="CU70" t="e">
        <v>#N/A</v>
      </c>
      <c r="CY70" t="e">
        <f t="shared" si="28"/>
        <v>#N/A</v>
      </c>
      <c r="CZ70" t="e">
        <v>#N/A</v>
      </c>
      <c r="DA70" t="e" cm="1">
        <f t="array" ref="DA70">IF(ISNUMBER(CZ70),AF70/COUNT(IF(ISNUMBER(_xlfn.ANCHORARRAY($CZ$11)),_xlfn.ANCHORARRAY($CZ$11))),NA())</f>
        <v>#N/A</v>
      </c>
      <c r="DB70" t="e">
        <f t="shared" si="29"/>
        <v>#N/A</v>
      </c>
      <c r="DD70" t="e">
        <f t="shared" si="30"/>
        <v>#N/A</v>
      </c>
      <c r="DE70" t="e">
        <f t="shared" si="31"/>
        <v>#N/A</v>
      </c>
      <c r="DG70" t="e">
        <v>#N/A</v>
      </c>
      <c r="DH70" t="e">
        <v>#N/A</v>
      </c>
    </row>
    <row r="71" spans="32:112">
      <c r="AF71">
        <v>61</v>
      </c>
      <c r="AG71" s="401">
        <f>'Lab test'!N64</f>
        <v>101.6</v>
      </c>
      <c r="AH71" s="401">
        <f>'Lab test'!M64</f>
        <v>0.11302999999999999</v>
      </c>
      <c r="AI71">
        <f>IF('Lab test'!O64&gt;0,'Lab test'!O64,NA())</f>
        <v>254</v>
      </c>
      <c r="AJ71">
        <f>'Lab test'!Q64</f>
        <v>898.87640449438209</v>
      </c>
      <c r="AK71" s="401">
        <f>IF('Lab test'!V64&gt;0,'Lab test'!V64,NA())</f>
        <v>89631.844811188712</v>
      </c>
      <c r="AL71" s="7" t="e">
        <f>IF(MAX('Lab test'!W64,'Lab test'!X64)&gt;0,MAX('Lab test'!W64,'Lab test'!X64),NA())</f>
        <v>#N/A</v>
      </c>
      <c r="AM71" s="401">
        <f>IF('Lab test'!P64&gt;0,'Lab test'!P64,NA())</f>
        <v>8.338540040078958E-2</v>
      </c>
      <c r="AN71" s="401" t="e">
        <f>IF('Lab test'!AU64&gt;0,'Lab test'!AU64,NA())</f>
        <v>#N/A</v>
      </c>
      <c r="AO71" s="401">
        <f>IF('Lab test'!AT64&gt;0,'Lab test'!AT64,NA())</f>
        <v>0.72369476991339388</v>
      </c>
      <c r="AP71" t="e">
        <f t="shared" si="34"/>
        <v>#N/A</v>
      </c>
      <c r="AQ71" s="401">
        <f>'Lab test'!AZ64</f>
        <v>1962</v>
      </c>
      <c r="AR71" t="str">
        <f>'Lab test'!AC64</f>
        <v>Electroforming</v>
      </c>
      <c r="AS71" t="str">
        <f>'Lab test'!T64</f>
        <v>Copper</v>
      </c>
      <c r="AX71" t="e">
        <f t="shared" si="12"/>
        <v>#N/A</v>
      </c>
      <c r="AY71" t="e">
        <f t="shared" si="42"/>
        <v>#N/A</v>
      </c>
      <c r="AZ71" t="e">
        <f t="shared" si="42"/>
        <v>#N/A</v>
      </c>
      <c r="BA71" t="e">
        <f t="shared" si="42"/>
        <v>#N/A</v>
      </c>
      <c r="BB71" t="e">
        <f t="shared" si="42"/>
        <v>#N/A</v>
      </c>
      <c r="BC71" t="e">
        <f t="shared" si="42"/>
        <v>#N/A</v>
      </c>
      <c r="BD71" t="e">
        <f t="shared" si="42"/>
        <v>#N/A</v>
      </c>
      <c r="BG71" t="e">
        <f t="shared" si="14"/>
        <v>#N/A</v>
      </c>
      <c r="BH71" t="e">
        <f t="shared" si="43"/>
        <v>#N/A</v>
      </c>
      <c r="BI71" t="e">
        <f t="shared" si="43"/>
        <v>#N/A</v>
      </c>
      <c r="BJ71" t="e">
        <f t="shared" si="43"/>
        <v>#N/A</v>
      </c>
      <c r="BK71" t="e">
        <f t="shared" si="43"/>
        <v>#N/A</v>
      </c>
      <c r="BL71" t="e">
        <f t="shared" si="43"/>
        <v>#N/A</v>
      </c>
      <c r="BM71" t="e">
        <f t="shared" si="43"/>
        <v>#N/A</v>
      </c>
      <c r="BP71" t="e">
        <f t="shared" si="16"/>
        <v>#N/A</v>
      </c>
      <c r="BQ71" t="e">
        <f t="shared" si="44"/>
        <v>#N/A</v>
      </c>
      <c r="BR71" t="e">
        <f t="shared" si="44"/>
        <v>#N/A</v>
      </c>
      <c r="BS71" t="e">
        <f t="shared" si="44"/>
        <v>#N/A</v>
      </c>
      <c r="BT71" t="e">
        <f t="shared" si="44"/>
        <v>#N/A</v>
      </c>
      <c r="BU71" t="e">
        <f t="shared" si="44"/>
        <v>#N/A</v>
      </c>
      <c r="BV71" t="e">
        <f t="shared" si="44"/>
        <v>#N/A</v>
      </c>
      <c r="BY71" t="e">
        <f t="shared" si="18"/>
        <v>#N/A</v>
      </c>
      <c r="BZ71">
        <v>215805.90327000001</v>
      </c>
      <c r="CA71" cm="1">
        <f t="array" ref="CA71">IF(ISNUMBER(BZ71),AF71/COUNT(IF(ISNUMBER(_xlfn.ANCHORARRAY($BZ$11)),_xlfn.ANCHORARRAY($BZ$11))),NA())</f>
        <v>0.78205128205128205</v>
      </c>
      <c r="CB71" t="e">
        <f t="shared" si="19"/>
        <v>#N/A</v>
      </c>
      <c r="CD71" t="e">
        <f t="shared" si="20"/>
        <v>#N/A</v>
      </c>
      <c r="CE71">
        <f t="shared" si="21"/>
        <v>215805.90327000001</v>
      </c>
      <c r="CG71" t="e">
        <v>#N/A</v>
      </c>
      <c r="CH71">
        <v>215805.90327000001</v>
      </c>
      <c r="CL71" t="e">
        <f t="shared" si="23"/>
        <v>#N/A</v>
      </c>
      <c r="CM71" t="e">
        <v>#N/A</v>
      </c>
      <c r="CN71" t="e" cm="1">
        <f t="array" ref="CN71">IF(ISNUMBER(CM71),AF71/COUNT(IF(ISNUMBER(_xlfn.ANCHORARRAY($CM$11)),_xlfn.ANCHORARRAY($CM$11))),NA())</f>
        <v>#N/A</v>
      </c>
      <c r="CO71" t="e">
        <f t="shared" si="24"/>
        <v>#N/A</v>
      </c>
      <c r="CQ71" t="e">
        <f t="shared" si="25"/>
        <v>#N/A</v>
      </c>
      <c r="CR71" t="e">
        <f t="shared" si="26"/>
        <v>#N/A</v>
      </c>
      <c r="CT71" t="e">
        <v>#N/A</v>
      </c>
      <c r="CU71" t="e">
        <v>#N/A</v>
      </c>
      <c r="CY71" t="e">
        <f t="shared" si="28"/>
        <v>#N/A</v>
      </c>
      <c r="CZ71" t="e">
        <v>#N/A</v>
      </c>
      <c r="DA71" t="e" cm="1">
        <f t="array" ref="DA71">IF(ISNUMBER(CZ71),AF71/COUNT(IF(ISNUMBER(_xlfn.ANCHORARRAY($CZ$11)),_xlfn.ANCHORARRAY($CZ$11))),NA())</f>
        <v>#N/A</v>
      </c>
      <c r="DB71" t="e">
        <f t="shared" si="29"/>
        <v>#N/A</v>
      </c>
      <c r="DD71" t="e">
        <f t="shared" si="30"/>
        <v>#N/A</v>
      </c>
      <c r="DE71" t="e">
        <f t="shared" si="31"/>
        <v>#N/A</v>
      </c>
      <c r="DG71" t="e">
        <v>#N/A</v>
      </c>
      <c r="DH71" t="e">
        <v>#N/A</v>
      </c>
    </row>
    <row r="72" spans="32:112">
      <c r="AF72">
        <v>62</v>
      </c>
      <c r="AG72" s="401">
        <f>'Lab test'!N65</f>
        <v>101.6</v>
      </c>
      <c r="AH72" s="401">
        <f>'Lab test'!M65</f>
        <v>0.11430000000000003</v>
      </c>
      <c r="AI72">
        <f>IF('Lab test'!O65&gt;0,'Lab test'!O65,NA())</f>
        <v>254</v>
      </c>
      <c r="AJ72">
        <f>'Lab test'!Q65</f>
        <v>888.88888888888869</v>
      </c>
      <c r="AK72" s="401">
        <f>IF('Lab test'!V65&gt;0,'Lab test'!V65,NA())</f>
        <v>89631.844811188712</v>
      </c>
      <c r="AL72" s="7" t="e">
        <f>IF(MAX('Lab test'!W65,'Lab test'!X65)&gt;0,MAX('Lab test'!W65,'Lab test'!X65),NA())</f>
        <v>#N/A</v>
      </c>
      <c r="AM72" s="401">
        <f>IF('Lab test'!P65&gt;0,'Lab test'!P65,NA())</f>
        <v>8.3852549156242115E-2</v>
      </c>
      <c r="AN72" s="401" t="e">
        <f>IF('Lab test'!AU65&gt;0,'Lab test'!AU65,NA())</f>
        <v>#N/A</v>
      </c>
      <c r="AO72" s="401">
        <f>IF('Lab test'!AT65&gt;0,'Lab test'!AT65,NA())</f>
        <v>0.71873795642083627</v>
      </c>
      <c r="AP72" t="e">
        <f t="shared" si="34"/>
        <v>#N/A</v>
      </c>
      <c r="AQ72" s="401">
        <f>'Lab test'!AZ65</f>
        <v>1962</v>
      </c>
      <c r="AR72" t="str">
        <f>'Lab test'!AC65</f>
        <v>Electroforming</v>
      </c>
      <c r="AS72" t="str">
        <f>'Lab test'!T65</f>
        <v>Copper</v>
      </c>
      <c r="AX72" t="e">
        <f t="shared" si="12"/>
        <v>#N/A</v>
      </c>
      <c r="AY72" t="e">
        <f t="shared" si="42"/>
        <v>#N/A</v>
      </c>
      <c r="AZ72" t="e">
        <f t="shared" si="42"/>
        <v>#N/A</v>
      </c>
      <c r="BA72" t="e">
        <f t="shared" si="42"/>
        <v>#N/A</v>
      </c>
      <c r="BB72" t="e">
        <f t="shared" si="42"/>
        <v>#N/A</v>
      </c>
      <c r="BC72" t="e">
        <f t="shared" si="42"/>
        <v>#N/A</v>
      </c>
      <c r="BD72" t="e">
        <f t="shared" si="42"/>
        <v>#N/A</v>
      </c>
      <c r="BG72" t="e">
        <f t="shared" si="14"/>
        <v>#N/A</v>
      </c>
      <c r="BH72" t="e">
        <f t="shared" si="43"/>
        <v>#N/A</v>
      </c>
      <c r="BI72" t="e">
        <f t="shared" si="43"/>
        <v>#N/A</v>
      </c>
      <c r="BJ72" t="e">
        <f t="shared" si="43"/>
        <v>#N/A</v>
      </c>
      <c r="BK72" t="e">
        <f t="shared" si="43"/>
        <v>#N/A</v>
      </c>
      <c r="BL72" t="e">
        <f t="shared" si="43"/>
        <v>#N/A</v>
      </c>
      <c r="BM72" t="e">
        <f t="shared" si="43"/>
        <v>#N/A</v>
      </c>
      <c r="BP72" t="e">
        <f t="shared" si="16"/>
        <v>#N/A</v>
      </c>
      <c r="BQ72" t="e">
        <f t="shared" si="44"/>
        <v>#N/A</v>
      </c>
      <c r="BR72" t="e">
        <f t="shared" si="44"/>
        <v>#N/A</v>
      </c>
      <c r="BS72" t="e">
        <f t="shared" si="44"/>
        <v>#N/A</v>
      </c>
      <c r="BT72" t="e">
        <f t="shared" si="44"/>
        <v>#N/A</v>
      </c>
      <c r="BU72" t="e">
        <f t="shared" si="44"/>
        <v>#N/A</v>
      </c>
      <c r="BV72" t="e">
        <f t="shared" si="44"/>
        <v>#N/A</v>
      </c>
      <c r="BY72" t="e">
        <f t="shared" si="18"/>
        <v>#N/A</v>
      </c>
      <c r="BZ72">
        <v>215805.90327000001</v>
      </c>
      <c r="CA72" cm="1">
        <f t="array" ref="CA72">IF(ISNUMBER(BZ72),AF72/COUNT(IF(ISNUMBER(_xlfn.ANCHORARRAY($BZ$11)),_xlfn.ANCHORARRAY($BZ$11))),NA())</f>
        <v>0.79487179487179482</v>
      </c>
      <c r="CB72" t="e">
        <f t="shared" si="19"/>
        <v>#N/A</v>
      </c>
      <c r="CD72" t="e">
        <f t="shared" si="20"/>
        <v>#N/A</v>
      </c>
      <c r="CE72">
        <f t="shared" si="21"/>
        <v>215805.90327000001</v>
      </c>
      <c r="CG72" t="e">
        <v>#N/A</v>
      </c>
      <c r="CH72">
        <v>215805.90327000001</v>
      </c>
      <c r="CL72" t="e">
        <f t="shared" si="23"/>
        <v>#N/A</v>
      </c>
      <c r="CM72" t="e">
        <v>#N/A</v>
      </c>
      <c r="CN72" t="e" cm="1">
        <f t="array" ref="CN72">IF(ISNUMBER(CM72),AF72/COUNT(IF(ISNUMBER(_xlfn.ANCHORARRAY($CM$11)),_xlfn.ANCHORARRAY($CM$11))),NA())</f>
        <v>#N/A</v>
      </c>
      <c r="CO72" t="e">
        <f t="shared" si="24"/>
        <v>#N/A</v>
      </c>
      <c r="CQ72" t="e">
        <f t="shared" si="25"/>
        <v>#N/A</v>
      </c>
      <c r="CR72" t="e">
        <f t="shared" si="26"/>
        <v>#N/A</v>
      </c>
      <c r="CT72" t="e">
        <v>#N/A</v>
      </c>
      <c r="CU72" t="e">
        <v>#N/A</v>
      </c>
      <c r="CY72" t="e">
        <f t="shared" si="28"/>
        <v>#N/A</v>
      </c>
      <c r="CZ72" t="e">
        <v>#N/A</v>
      </c>
      <c r="DA72" t="e" cm="1">
        <f t="array" ref="DA72">IF(ISNUMBER(CZ72),AF72/COUNT(IF(ISNUMBER(_xlfn.ANCHORARRAY($CZ$11)),_xlfn.ANCHORARRAY($CZ$11))),NA())</f>
        <v>#N/A</v>
      </c>
      <c r="DB72" t="e">
        <f t="shared" si="29"/>
        <v>#N/A</v>
      </c>
      <c r="DD72" t="e">
        <f t="shared" si="30"/>
        <v>#N/A</v>
      </c>
      <c r="DE72" t="e">
        <f t="shared" si="31"/>
        <v>#N/A</v>
      </c>
      <c r="DG72" t="e">
        <v>#N/A</v>
      </c>
      <c r="DH72" t="e">
        <v>#N/A</v>
      </c>
    </row>
    <row r="73" spans="32:112">
      <c r="AF73">
        <v>63</v>
      </c>
      <c r="AG73" s="401">
        <f>'Lab test'!N66</f>
        <v>203.2</v>
      </c>
      <c r="AH73" s="401">
        <f>'Lab test'!M66</f>
        <v>0.254</v>
      </c>
      <c r="AI73">
        <f>IF('Lab test'!O66&gt;0,'Lab test'!O66,NA())</f>
        <v>406.4</v>
      </c>
      <c r="AJ73">
        <f>'Lab test'!Q66</f>
        <v>800</v>
      </c>
      <c r="AK73" s="401">
        <f>IF('Lab test'!V66&gt;0,'Lab test'!V66,NA())</f>
        <v>208911.228</v>
      </c>
      <c r="AL73" s="7">
        <f>IF(MAX('Lab test'!W66,'Lab test'!X66)&gt;0,MAX('Lab test'!W66,'Lab test'!X66),NA())</f>
        <v>268.89553443356607</v>
      </c>
      <c r="AM73" s="401">
        <f>IF('Lab test'!P66&gt;0,'Lab test'!P66,NA())</f>
        <v>7.0710678118654752E-2</v>
      </c>
      <c r="AN73" s="401">
        <f>IF('Lab test'!AU66&gt;0,'Lab test'!AU66,NA())</f>
        <v>0.30105781050075592</v>
      </c>
      <c r="AO73" s="401">
        <f>IF('Lab test'!AT66&gt;0,'Lab test'!AT66,NA())</f>
        <v>0.51220406089760762</v>
      </c>
      <c r="AP73">
        <f t="shared" si="34"/>
        <v>1</v>
      </c>
      <c r="AQ73" s="401">
        <f>'Lab test'!AZ66</f>
        <v>1960</v>
      </c>
      <c r="AR73" t="str">
        <f>'Lab test'!AC66</f>
        <v>LTWb</v>
      </c>
      <c r="AS73" t="str">
        <f>'Lab test'!T66</f>
        <v>Steel</v>
      </c>
      <c r="AX73" t="e">
        <f t="shared" si="12"/>
        <v>#N/A</v>
      </c>
      <c r="AY73" t="e">
        <f t="shared" si="42"/>
        <v>#N/A</v>
      </c>
      <c r="AZ73" t="e">
        <f t="shared" si="42"/>
        <v>#N/A</v>
      </c>
      <c r="BA73">
        <f t="shared" si="42"/>
        <v>208911.228</v>
      </c>
      <c r="BB73" t="e">
        <f t="shared" si="42"/>
        <v>#N/A</v>
      </c>
      <c r="BC73" t="e">
        <f t="shared" si="42"/>
        <v>#N/A</v>
      </c>
      <c r="BD73" t="e">
        <f t="shared" si="42"/>
        <v>#N/A</v>
      </c>
      <c r="BG73" t="e">
        <f t="shared" si="14"/>
        <v>#N/A</v>
      </c>
      <c r="BH73" t="e">
        <f t="shared" si="43"/>
        <v>#N/A</v>
      </c>
      <c r="BI73" t="e">
        <f t="shared" si="43"/>
        <v>#N/A</v>
      </c>
      <c r="BJ73" t="e">
        <f t="shared" si="43"/>
        <v>#N/A</v>
      </c>
      <c r="BK73" t="e">
        <f t="shared" si="43"/>
        <v>#N/A</v>
      </c>
      <c r="BL73" t="e">
        <f t="shared" si="43"/>
        <v>#N/A</v>
      </c>
      <c r="BM73" t="e">
        <f t="shared" si="43"/>
        <v>#N/A</v>
      </c>
      <c r="BP73" t="e">
        <f t="shared" si="16"/>
        <v>#N/A</v>
      </c>
      <c r="BQ73" t="e">
        <f t="shared" si="44"/>
        <v>#N/A</v>
      </c>
      <c r="BR73" t="e">
        <f t="shared" si="44"/>
        <v>#N/A</v>
      </c>
      <c r="BS73" t="e">
        <f t="shared" si="44"/>
        <v>#N/A</v>
      </c>
      <c r="BT73" t="e">
        <f t="shared" si="44"/>
        <v>#N/A</v>
      </c>
      <c r="BU73" t="e">
        <f t="shared" si="44"/>
        <v>#N/A</v>
      </c>
      <c r="BV73" t="e">
        <f t="shared" si="44"/>
        <v>#N/A</v>
      </c>
      <c r="BY73">
        <f t="shared" si="18"/>
        <v>208911.228</v>
      </c>
      <c r="BZ73">
        <v>215805.90327000001</v>
      </c>
      <c r="CA73" cm="1">
        <f t="array" ref="CA73">IF(ISNUMBER(BZ73),AF73/COUNT(IF(ISNUMBER(_xlfn.ANCHORARRAY($BZ$11)),_xlfn.ANCHORARRAY($BZ$11))),NA())</f>
        <v>0.80769230769230771</v>
      </c>
      <c r="CB73" t="e">
        <f t="shared" si="19"/>
        <v>#N/A</v>
      </c>
      <c r="CD73" t="e">
        <f t="shared" si="20"/>
        <v>#N/A</v>
      </c>
      <c r="CE73">
        <f t="shared" si="21"/>
        <v>215805.90327000001</v>
      </c>
      <c r="CG73" t="e">
        <v>#N/A</v>
      </c>
      <c r="CH73">
        <v>215805.90327000001</v>
      </c>
      <c r="CL73" t="e">
        <f t="shared" si="23"/>
        <v>#N/A</v>
      </c>
      <c r="CM73" t="e">
        <v>#N/A</v>
      </c>
      <c r="CN73" t="e" cm="1">
        <f t="array" ref="CN73">IF(ISNUMBER(CM73),AF73/COUNT(IF(ISNUMBER(_xlfn.ANCHORARRAY($CM$11)),_xlfn.ANCHORARRAY($CM$11))),NA())</f>
        <v>#N/A</v>
      </c>
      <c r="CO73" t="e">
        <f t="shared" si="24"/>
        <v>#N/A</v>
      </c>
      <c r="CQ73" t="e">
        <f t="shared" si="25"/>
        <v>#N/A</v>
      </c>
      <c r="CR73" t="e">
        <f t="shared" si="26"/>
        <v>#N/A</v>
      </c>
      <c r="CT73" t="e">
        <v>#N/A</v>
      </c>
      <c r="CU73" t="e">
        <v>#N/A</v>
      </c>
      <c r="CY73" t="e">
        <f t="shared" si="28"/>
        <v>#N/A</v>
      </c>
      <c r="CZ73" t="e">
        <v>#N/A</v>
      </c>
      <c r="DA73" t="e" cm="1">
        <f t="array" ref="DA73">IF(ISNUMBER(CZ73),AF73/COUNT(IF(ISNUMBER(_xlfn.ANCHORARRAY($CZ$11)),_xlfn.ANCHORARRAY($CZ$11))),NA())</f>
        <v>#N/A</v>
      </c>
      <c r="DB73" t="e">
        <f t="shared" si="29"/>
        <v>#N/A</v>
      </c>
      <c r="DD73" t="e">
        <f t="shared" si="30"/>
        <v>#N/A</v>
      </c>
      <c r="DE73" t="e">
        <f t="shared" si="31"/>
        <v>#N/A</v>
      </c>
      <c r="DG73" t="e">
        <v>#N/A</v>
      </c>
      <c r="DH73" t="e">
        <v>#N/A</v>
      </c>
    </row>
    <row r="74" spans="32:112">
      <c r="AF74">
        <v>64</v>
      </c>
      <c r="AG74" s="401">
        <f>'Lab test'!N67</f>
        <v>203.2</v>
      </c>
      <c r="AH74" s="401">
        <f>'Lab test'!M67</f>
        <v>0.254</v>
      </c>
      <c r="AI74">
        <f>IF('Lab test'!O67&gt;0,'Lab test'!O67,NA())</f>
        <v>406.4</v>
      </c>
      <c r="AJ74">
        <f>'Lab test'!Q67</f>
        <v>800</v>
      </c>
      <c r="AK74" s="401">
        <f>IF('Lab test'!V67&gt;0,'Lab test'!V67,NA())</f>
        <v>208911.228</v>
      </c>
      <c r="AL74" s="7">
        <f>IF(MAX('Lab test'!W67,'Lab test'!X67)&gt;0,MAX('Lab test'!W67,'Lab test'!X67),NA())</f>
        <v>268.89553443356607</v>
      </c>
      <c r="AM74" s="401">
        <f>IF('Lab test'!P67&gt;0,'Lab test'!P67,NA())</f>
        <v>7.0710678118654752E-2</v>
      </c>
      <c r="AN74" s="401">
        <f>IF('Lab test'!AU67&gt;0,'Lab test'!AU67,NA())</f>
        <v>0.25929817872161881</v>
      </c>
      <c r="AO74" s="401">
        <f>IF('Lab test'!AT67&gt;0,'Lab test'!AT67,NA())</f>
        <v>0.44115640083761687</v>
      </c>
      <c r="AP74">
        <f t="shared" si="34"/>
        <v>1</v>
      </c>
      <c r="AQ74" s="401">
        <f>'Lab test'!AZ67</f>
        <v>1960</v>
      </c>
      <c r="AR74" t="str">
        <f>'Lab test'!AC67</f>
        <v>LTWb</v>
      </c>
      <c r="AS74" t="str">
        <f>'Lab test'!T67</f>
        <v>Steel</v>
      </c>
      <c r="AX74" t="e">
        <f t="shared" si="12"/>
        <v>#N/A</v>
      </c>
      <c r="AY74" t="e">
        <f t="shared" si="42"/>
        <v>#N/A</v>
      </c>
      <c r="AZ74" t="e">
        <f t="shared" si="42"/>
        <v>#N/A</v>
      </c>
      <c r="BA74">
        <f t="shared" si="42"/>
        <v>208911.228</v>
      </c>
      <c r="BB74" t="e">
        <f t="shared" si="42"/>
        <v>#N/A</v>
      </c>
      <c r="BC74" t="e">
        <f t="shared" si="42"/>
        <v>#N/A</v>
      </c>
      <c r="BD74" t="e">
        <f t="shared" si="42"/>
        <v>#N/A</v>
      </c>
      <c r="BG74" t="e">
        <f t="shared" si="14"/>
        <v>#N/A</v>
      </c>
      <c r="BH74" t="e">
        <f t="shared" si="43"/>
        <v>#N/A</v>
      </c>
      <c r="BI74" t="e">
        <f t="shared" si="43"/>
        <v>#N/A</v>
      </c>
      <c r="BJ74" t="e">
        <f t="shared" si="43"/>
        <v>#N/A</v>
      </c>
      <c r="BK74" t="e">
        <f t="shared" si="43"/>
        <v>#N/A</v>
      </c>
      <c r="BL74" t="e">
        <f t="shared" si="43"/>
        <v>#N/A</v>
      </c>
      <c r="BM74" t="e">
        <f t="shared" si="43"/>
        <v>#N/A</v>
      </c>
      <c r="BP74" t="e">
        <f t="shared" si="16"/>
        <v>#N/A</v>
      </c>
      <c r="BQ74" t="e">
        <f t="shared" si="44"/>
        <v>#N/A</v>
      </c>
      <c r="BR74" t="e">
        <f t="shared" si="44"/>
        <v>#N/A</v>
      </c>
      <c r="BS74" t="e">
        <f t="shared" si="44"/>
        <v>#N/A</v>
      </c>
      <c r="BT74" t="e">
        <f t="shared" si="44"/>
        <v>#N/A</v>
      </c>
      <c r="BU74" t="e">
        <f t="shared" si="44"/>
        <v>#N/A</v>
      </c>
      <c r="BV74" t="e">
        <f t="shared" si="44"/>
        <v>#N/A</v>
      </c>
      <c r="BY74">
        <f t="shared" si="18"/>
        <v>208911.228</v>
      </c>
      <c r="BZ74">
        <v>215805.90327000001</v>
      </c>
      <c r="CA74" cm="1">
        <f t="array" ref="CA74">IF(ISNUMBER(BZ74),AF74/COUNT(IF(ISNUMBER(_xlfn.ANCHORARRAY($BZ$11)),_xlfn.ANCHORARRAY($BZ$11))),NA())</f>
        <v>0.82051282051282048</v>
      </c>
      <c r="CB74" t="e">
        <f t="shared" si="19"/>
        <v>#N/A</v>
      </c>
      <c r="CD74" t="e">
        <f t="shared" si="20"/>
        <v>#N/A</v>
      </c>
      <c r="CE74">
        <f t="shared" si="21"/>
        <v>215805.90327000001</v>
      </c>
      <c r="CG74" t="e">
        <v>#N/A</v>
      </c>
      <c r="CH74">
        <v>215805.90327000001</v>
      </c>
      <c r="CL74" t="e">
        <f t="shared" si="23"/>
        <v>#N/A</v>
      </c>
      <c r="CM74" t="e">
        <v>#N/A</v>
      </c>
      <c r="CN74" t="e" cm="1">
        <f t="array" ref="CN74">IF(ISNUMBER(CM74),AF74/COUNT(IF(ISNUMBER(_xlfn.ANCHORARRAY($CM$11)),_xlfn.ANCHORARRAY($CM$11))),NA())</f>
        <v>#N/A</v>
      </c>
      <c r="CO74" t="e">
        <f t="shared" si="24"/>
        <v>#N/A</v>
      </c>
      <c r="CQ74" t="e">
        <f t="shared" si="25"/>
        <v>#N/A</v>
      </c>
      <c r="CR74" t="e">
        <f t="shared" si="26"/>
        <v>#N/A</v>
      </c>
      <c r="CT74" t="e">
        <v>#N/A</v>
      </c>
      <c r="CU74" t="e">
        <v>#N/A</v>
      </c>
      <c r="CY74" t="e">
        <f t="shared" si="28"/>
        <v>#N/A</v>
      </c>
      <c r="CZ74" t="e">
        <v>#N/A</v>
      </c>
      <c r="DA74" t="e" cm="1">
        <f t="array" ref="DA74">IF(ISNUMBER(CZ74),AF74/COUNT(IF(ISNUMBER(_xlfn.ANCHORARRAY($CZ$11)),_xlfn.ANCHORARRAY($CZ$11))),NA())</f>
        <v>#N/A</v>
      </c>
      <c r="DB74" t="e">
        <f t="shared" si="29"/>
        <v>#N/A</v>
      </c>
      <c r="DD74" t="e">
        <f t="shared" si="30"/>
        <v>#N/A</v>
      </c>
      <c r="DE74" t="e">
        <f t="shared" si="31"/>
        <v>#N/A</v>
      </c>
      <c r="DG74" t="e">
        <v>#N/A</v>
      </c>
      <c r="DH74" t="e">
        <v>#N/A</v>
      </c>
    </row>
    <row r="75" spans="32:112">
      <c r="AF75">
        <v>65</v>
      </c>
      <c r="AG75" s="401">
        <f>'Lab test'!N68</f>
        <v>203.2</v>
      </c>
      <c r="AH75" s="401">
        <f>'Lab test'!M68</f>
        <v>0.254</v>
      </c>
      <c r="AI75">
        <f>IF('Lab test'!O68&gt;0,'Lab test'!O68,NA())</f>
        <v>203.2</v>
      </c>
      <c r="AJ75">
        <f>'Lab test'!Q68</f>
        <v>800</v>
      </c>
      <c r="AK75" s="401">
        <f>IF('Lab test'!V68&gt;0,'Lab test'!V68,NA())</f>
        <v>208911.228</v>
      </c>
      <c r="AL75" s="7">
        <f>IF(MAX('Lab test'!W68,'Lab test'!X68)&gt;0,MAX('Lab test'!W68,'Lab test'!X68),NA())</f>
        <v>268.89553443356607</v>
      </c>
      <c r="AM75" s="401">
        <f>IF('Lab test'!P68&gt;0,'Lab test'!P68,NA())</f>
        <v>3.5355339059327376E-2</v>
      </c>
      <c r="AN75" s="401">
        <f>IF('Lab test'!AU68&gt;0,'Lab test'!AU68,NA())</f>
        <v>0.32533666618630075</v>
      </c>
      <c r="AO75" s="401">
        <f>IF('Lab test'!AT68&gt;0,'Lab test'!AT68,NA())</f>
        <v>0.55351084000225337</v>
      </c>
      <c r="AP75">
        <f t="shared" si="34"/>
        <v>1</v>
      </c>
      <c r="AQ75" s="401">
        <f>'Lab test'!AZ68</f>
        <v>1960</v>
      </c>
      <c r="AR75" t="str">
        <f>'Lab test'!AC68</f>
        <v>LTWb</v>
      </c>
      <c r="AS75" t="str">
        <f>'Lab test'!T68</f>
        <v>Steel</v>
      </c>
      <c r="AX75" t="e">
        <f t="shared" si="12"/>
        <v>#N/A</v>
      </c>
      <c r="AY75" t="e">
        <f t="shared" si="42"/>
        <v>#N/A</v>
      </c>
      <c r="AZ75" t="e">
        <f t="shared" si="42"/>
        <v>#N/A</v>
      </c>
      <c r="BA75">
        <f t="shared" si="42"/>
        <v>208911.228</v>
      </c>
      <c r="BB75" t="e">
        <f t="shared" si="42"/>
        <v>#N/A</v>
      </c>
      <c r="BC75" t="e">
        <f t="shared" si="42"/>
        <v>#N/A</v>
      </c>
      <c r="BD75" t="e">
        <f t="shared" si="42"/>
        <v>#N/A</v>
      </c>
      <c r="BG75" t="e">
        <f t="shared" si="14"/>
        <v>#N/A</v>
      </c>
      <c r="BH75" t="e">
        <f t="shared" si="43"/>
        <v>#N/A</v>
      </c>
      <c r="BI75" t="e">
        <f t="shared" si="43"/>
        <v>#N/A</v>
      </c>
      <c r="BJ75" t="e">
        <f t="shared" si="43"/>
        <v>#N/A</v>
      </c>
      <c r="BK75" t="e">
        <f t="shared" si="43"/>
        <v>#N/A</v>
      </c>
      <c r="BL75" t="e">
        <f t="shared" si="43"/>
        <v>#N/A</v>
      </c>
      <c r="BM75" t="e">
        <f t="shared" si="43"/>
        <v>#N/A</v>
      </c>
      <c r="BP75" t="e">
        <f t="shared" si="16"/>
        <v>#N/A</v>
      </c>
      <c r="BQ75" t="e">
        <f t="shared" si="44"/>
        <v>#N/A</v>
      </c>
      <c r="BR75" t="e">
        <f t="shared" si="44"/>
        <v>#N/A</v>
      </c>
      <c r="BS75" t="e">
        <f t="shared" si="44"/>
        <v>#N/A</v>
      </c>
      <c r="BT75" t="e">
        <f t="shared" si="44"/>
        <v>#N/A</v>
      </c>
      <c r="BU75" t="e">
        <f t="shared" si="44"/>
        <v>#N/A</v>
      </c>
      <c r="BV75" t="e">
        <f t="shared" si="44"/>
        <v>#N/A</v>
      </c>
      <c r="BY75">
        <f t="shared" si="18"/>
        <v>208911.228</v>
      </c>
      <c r="BZ75">
        <v>215805.90327000001</v>
      </c>
      <c r="CA75" cm="1">
        <f t="array" ref="CA75">IF(ISNUMBER(BZ75),AF75/COUNT(IF(ISNUMBER(_xlfn.ANCHORARRAY($BZ$11)),_xlfn.ANCHORARRAY($BZ$11))),NA())</f>
        <v>0.83333333333333337</v>
      </c>
      <c r="CB75" t="e">
        <f t="shared" si="19"/>
        <v>#N/A</v>
      </c>
      <c r="CD75" t="e">
        <f t="shared" si="20"/>
        <v>#N/A</v>
      </c>
      <c r="CE75">
        <f t="shared" si="21"/>
        <v>215805.90327000001</v>
      </c>
      <c r="CG75" t="e">
        <v>#N/A</v>
      </c>
      <c r="CH75">
        <v>215805.90327000001</v>
      </c>
      <c r="CL75" t="e">
        <f t="shared" si="23"/>
        <v>#N/A</v>
      </c>
      <c r="CM75" t="e">
        <v>#N/A</v>
      </c>
      <c r="CN75" t="e" cm="1">
        <f t="array" ref="CN75">IF(ISNUMBER(CM75),AF75/COUNT(IF(ISNUMBER(_xlfn.ANCHORARRAY($CM$11)),_xlfn.ANCHORARRAY($CM$11))),NA())</f>
        <v>#N/A</v>
      </c>
      <c r="CO75" t="e">
        <f t="shared" si="24"/>
        <v>#N/A</v>
      </c>
      <c r="CQ75" t="e">
        <f t="shared" si="25"/>
        <v>#N/A</v>
      </c>
      <c r="CR75" t="e">
        <f t="shared" si="26"/>
        <v>#N/A</v>
      </c>
      <c r="CT75" t="e">
        <v>#N/A</v>
      </c>
      <c r="CU75" t="e">
        <v>#N/A</v>
      </c>
      <c r="CY75" t="e">
        <f t="shared" si="28"/>
        <v>#N/A</v>
      </c>
      <c r="CZ75" t="e">
        <v>#N/A</v>
      </c>
      <c r="DA75" t="e" cm="1">
        <f t="array" ref="DA75">IF(ISNUMBER(CZ75),AF75/COUNT(IF(ISNUMBER(_xlfn.ANCHORARRAY($CZ$11)),_xlfn.ANCHORARRAY($CZ$11))),NA())</f>
        <v>#N/A</v>
      </c>
      <c r="DB75" t="e">
        <f t="shared" si="29"/>
        <v>#N/A</v>
      </c>
      <c r="DD75" t="e">
        <f t="shared" si="30"/>
        <v>#N/A</v>
      </c>
      <c r="DE75" t="e">
        <f t="shared" si="31"/>
        <v>#N/A</v>
      </c>
      <c r="DG75" t="e">
        <v>#N/A</v>
      </c>
      <c r="DH75" t="e">
        <v>#N/A</v>
      </c>
    </row>
    <row r="76" spans="32:112">
      <c r="AF76">
        <v>66</v>
      </c>
      <c r="AG76" s="401">
        <f>'Lab test'!N69</f>
        <v>203.2</v>
      </c>
      <c r="AH76" s="401">
        <f>'Lab test'!M69</f>
        <v>0.254</v>
      </c>
      <c r="AI76">
        <f>IF('Lab test'!O69&gt;0,'Lab test'!O69,NA())</f>
        <v>203.2</v>
      </c>
      <c r="AJ76">
        <f>'Lab test'!Q69</f>
        <v>800</v>
      </c>
      <c r="AK76" s="401">
        <f>IF('Lab test'!V69&gt;0,'Lab test'!V69,NA())</f>
        <v>208911.228</v>
      </c>
      <c r="AL76" s="7">
        <f>IF(MAX('Lab test'!W69,'Lab test'!X69)&gt;0,MAX('Lab test'!W69,'Lab test'!X69),NA())</f>
        <v>268.89553443356607</v>
      </c>
      <c r="AM76" s="401">
        <f>IF('Lab test'!P69&gt;0,'Lab test'!P69,NA())</f>
        <v>3.5355339059327376E-2</v>
      </c>
      <c r="AN76" s="401">
        <f>IF('Lab test'!AU69&gt;0,'Lab test'!AU69,NA())</f>
        <v>0.25832702449419703</v>
      </c>
      <c r="AO76" s="401">
        <f>IF('Lab test'!AT69&gt;0,'Lab test'!AT69,NA())</f>
        <v>0.43950412967343105</v>
      </c>
      <c r="AP76">
        <f t="shared" si="34"/>
        <v>1</v>
      </c>
      <c r="AQ76" s="401">
        <f>'Lab test'!AZ69</f>
        <v>1960</v>
      </c>
      <c r="AR76" t="str">
        <f>'Lab test'!AC69</f>
        <v>LTWb</v>
      </c>
      <c r="AS76" t="str">
        <f>'Lab test'!T69</f>
        <v>Steel</v>
      </c>
      <c r="AX76" t="e">
        <f t="shared" ref="AX76:AX139" si="45">IF(ISNUMBER($AJ76),IF(ISNUMBER($AP76),IF($AJ76&gt;=AX$9,IF($AJ76&lt;=AX$10,IF($AR76=$AW$2,IF($AS76=$AW$6,$AK76,NA()),NA()),NA()),NA()),NA()),NA())</f>
        <v>#N/A</v>
      </c>
      <c r="AY76" t="e">
        <f t="shared" si="42"/>
        <v>#N/A</v>
      </c>
      <c r="AZ76" t="e">
        <f t="shared" si="42"/>
        <v>#N/A</v>
      </c>
      <c r="BA76">
        <f t="shared" si="42"/>
        <v>208911.228</v>
      </c>
      <c r="BB76" t="e">
        <f t="shared" si="42"/>
        <v>#N/A</v>
      </c>
      <c r="BC76" t="e">
        <f t="shared" si="42"/>
        <v>#N/A</v>
      </c>
      <c r="BD76" t="e">
        <f t="shared" si="42"/>
        <v>#N/A</v>
      </c>
      <c r="BG76" t="e">
        <f t="shared" ref="BG76:BG139" si="46">IF(ISNUMBER($AJ76),IF(ISNUMBER($AP76),IF($AJ76&gt;=BG$9,IF($AJ76&lt;=BG$10,IF($AR76=$AW$2,IF($AS76=$BF$6,$AK76,NA()),NA()),NA()),NA()),NA()),NA())</f>
        <v>#N/A</v>
      </c>
      <c r="BH76" t="e">
        <f t="shared" si="43"/>
        <v>#N/A</v>
      </c>
      <c r="BI76" t="e">
        <f t="shared" si="43"/>
        <v>#N/A</v>
      </c>
      <c r="BJ76" t="e">
        <f t="shared" si="43"/>
        <v>#N/A</v>
      </c>
      <c r="BK76" t="e">
        <f t="shared" si="43"/>
        <v>#N/A</v>
      </c>
      <c r="BL76" t="e">
        <f t="shared" si="43"/>
        <v>#N/A</v>
      </c>
      <c r="BM76" t="e">
        <f t="shared" si="43"/>
        <v>#N/A</v>
      </c>
      <c r="BP76" t="e">
        <f t="shared" ref="BP76:BP139" si="47">IF(ISNUMBER($AJ76),IF(ISNUMBER($AP76),IF($AJ76&gt;=BP$9,IF($AJ76&lt;=BP$10,IF($AR76=$AW$2,IF($AS76=$BO$6,$AK76,NA()),NA()),NA()),NA()),NA()),NA())</f>
        <v>#N/A</v>
      </c>
      <c r="BQ76" t="e">
        <f t="shared" si="44"/>
        <v>#N/A</v>
      </c>
      <c r="BR76" t="e">
        <f t="shared" si="44"/>
        <v>#N/A</v>
      </c>
      <c r="BS76" t="e">
        <f t="shared" si="44"/>
        <v>#N/A</v>
      </c>
      <c r="BT76" t="e">
        <f t="shared" si="44"/>
        <v>#N/A</v>
      </c>
      <c r="BU76" t="e">
        <f t="shared" si="44"/>
        <v>#N/A</v>
      </c>
      <c r="BV76" t="e">
        <f t="shared" si="44"/>
        <v>#N/A</v>
      </c>
      <c r="BY76">
        <f t="shared" ref="BY76:BY139" si="48">IF(ISNUMBER(AP76),IF($AR76=$AW$2,IF($AS76=$AW$6,$AK76,NA()),NA()),NA())</f>
        <v>208911.228</v>
      </c>
      <c r="BZ76">
        <v>215805.90327000001</v>
      </c>
      <c r="CA76" cm="1">
        <f t="array" ref="CA76">IF(ISNUMBER(BZ76),AF76/COUNT(IF(ISNUMBER(_xlfn.ANCHORARRAY($BZ$11)),_xlfn.ANCHORARRAY($BZ$11))),NA())</f>
        <v>0.84615384615384615</v>
      </c>
      <c r="CB76" t="e">
        <f t="shared" ref="CB76:CB139" si="49">IF(BZ76=BZ77,NA(),CA76)</f>
        <v>#N/A</v>
      </c>
      <c r="CD76" t="e">
        <f t="shared" ref="CD76:CD139" si="50">CB76</f>
        <v>#N/A</v>
      </c>
      <c r="CE76">
        <f t="shared" ref="CE76:CE139" si="51">BZ76</f>
        <v>215805.90327000001</v>
      </c>
      <c r="CG76" t="e">
        <v>#N/A</v>
      </c>
      <c r="CH76">
        <v>215805.90327000001</v>
      </c>
      <c r="CL76" t="e">
        <f t="shared" ref="CL76:CL139" si="52">IF(ISNUMBER(AP76),IF($AR76=$AW$2,IF($AS76=$BF$6,$AK76,NA()),NA()),NA())</f>
        <v>#N/A</v>
      </c>
      <c r="CM76" t="e">
        <v>#N/A</v>
      </c>
      <c r="CN76" t="e" cm="1">
        <f t="array" ref="CN76">IF(ISNUMBER(CM76),AF76/COUNT(IF(ISNUMBER(_xlfn.ANCHORARRAY($CM$11)),_xlfn.ANCHORARRAY($CM$11))),NA())</f>
        <v>#N/A</v>
      </c>
      <c r="CO76" t="e">
        <f t="shared" ref="CO76:CO139" si="53">IF(CM76=CM77,NA(),CN76)</f>
        <v>#N/A</v>
      </c>
      <c r="CQ76" t="e">
        <f t="shared" ref="CQ76:CQ139" si="54">CO76</f>
        <v>#N/A</v>
      </c>
      <c r="CR76" t="e">
        <f t="shared" ref="CR76:CR139" si="55">CM76</f>
        <v>#N/A</v>
      </c>
      <c r="CT76" t="e">
        <v>#N/A</v>
      </c>
      <c r="CU76" t="e">
        <v>#N/A</v>
      </c>
      <c r="CY76" t="e">
        <f t="shared" ref="CY76:CY139" si="56">IF(ISNUMBER(AP76),IF($AR76=$AW$2,IF($AS76=$BO$6,$AK76,NA()),NA()),NA())</f>
        <v>#N/A</v>
      </c>
      <c r="CZ76" t="e">
        <v>#N/A</v>
      </c>
      <c r="DA76" t="e" cm="1">
        <f t="array" ref="DA76">IF(ISNUMBER(CZ76),AF76/COUNT(IF(ISNUMBER(_xlfn.ANCHORARRAY($CZ$11)),_xlfn.ANCHORARRAY($CZ$11))),NA())</f>
        <v>#N/A</v>
      </c>
      <c r="DB76" t="e">
        <f t="shared" ref="DB76:DB139" si="57">IF(CZ76=CZ77,NA(),DA76)</f>
        <v>#N/A</v>
      </c>
      <c r="DD76" t="e">
        <f t="shared" ref="DD76:DD139" si="58">DB76</f>
        <v>#N/A</v>
      </c>
      <c r="DE76" t="e">
        <f t="shared" ref="DE76:DE139" si="59">CZ76</f>
        <v>#N/A</v>
      </c>
      <c r="DG76" t="e">
        <v>#N/A</v>
      </c>
      <c r="DH76" t="e">
        <v>#N/A</v>
      </c>
    </row>
    <row r="77" spans="32:112">
      <c r="AF77">
        <v>67</v>
      </c>
      <c r="AG77" s="401">
        <f>'Lab test'!N70</f>
        <v>203.2</v>
      </c>
      <c r="AH77" s="401">
        <f>'Lab test'!M70</f>
        <v>0.50800000000000001</v>
      </c>
      <c r="AI77">
        <f>IF('Lab test'!O70&gt;0,'Lab test'!O70,NA())</f>
        <v>406.4</v>
      </c>
      <c r="AJ77">
        <f>'Lab test'!Q70</f>
        <v>400</v>
      </c>
      <c r="AK77" s="401">
        <f>IF('Lab test'!V70&gt;0,'Lab test'!V70,NA())</f>
        <v>208911.228</v>
      </c>
      <c r="AL77" s="7">
        <f>IF(MAX('Lab test'!W70,'Lab test'!X70)&gt;0,MAX('Lab test'!W70,'Lab test'!X70),NA())</f>
        <v>530.89631157396377</v>
      </c>
      <c r="AM77" s="401">
        <f>IF('Lab test'!P70&gt;0,'Lab test'!P70,NA())</f>
        <v>0.1</v>
      </c>
      <c r="AN77" s="401">
        <f>IF('Lab test'!AU70&gt;0,'Lab test'!AU70,NA())</f>
        <v>0.35612351643482798</v>
      </c>
      <c r="AO77" s="401">
        <f>IF('Lab test'!AT70&gt;0,'Lab test'!AT70,NA())</f>
        <v>0.59812216143527075</v>
      </c>
      <c r="AP77">
        <f t="shared" si="34"/>
        <v>1</v>
      </c>
      <c r="AQ77" s="401">
        <f>'Lab test'!AZ70</f>
        <v>1960</v>
      </c>
      <c r="AR77" t="str">
        <f>'Lab test'!AC70</f>
        <v>LTWb</v>
      </c>
      <c r="AS77" t="str">
        <f>'Lab test'!T70</f>
        <v>Steel</v>
      </c>
      <c r="AX77" t="e">
        <f t="shared" si="45"/>
        <v>#N/A</v>
      </c>
      <c r="AY77">
        <f t="shared" si="42"/>
        <v>208911.228</v>
      </c>
      <c r="AZ77" t="e">
        <f t="shared" si="42"/>
        <v>#N/A</v>
      </c>
      <c r="BA77" t="e">
        <f t="shared" si="42"/>
        <v>#N/A</v>
      </c>
      <c r="BB77" t="e">
        <f t="shared" si="42"/>
        <v>#N/A</v>
      </c>
      <c r="BC77" t="e">
        <f t="shared" si="42"/>
        <v>#N/A</v>
      </c>
      <c r="BD77" t="e">
        <f t="shared" si="42"/>
        <v>#N/A</v>
      </c>
      <c r="BG77" t="e">
        <f t="shared" si="46"/>
        <v>#N/A</v>
      </c>
      <c r="BH77" t="e">
        <f t="shared" si="43"/>
        <v>#N/A</v>
      </c>
      <c r="BI77" t="e">
        <f t="shared" si="43"/>
        <v>#N/A</v>
      </c>
      <c r="BJ77" t="e">
        <f t="shared" si="43"/>
        <v>#N/A</v>
      </c>
      <c r="BK77" t="e">
        <f t="shared" si="43"/>
        <v>#N/A</v>
      </c>
      <c r="BL77" t="e">
        <f t="shared" si="43"/>
        <v>#N/A</v>
      </c>
      <c r="BM77" t="e">
        <f t="shared" si="43"/>
        <v>#N/A</v>
      </c>
      <c r="BP77" t="e">
        <f t="shared" si="47"/>
        <v>#N/A</v>
      </c>
      <c r="BQ77" t="e">
        <f t="shared" si="44"/>
        <v>#N/A</v>
      </c>
      <c r="BR77" t="e">
        <f t="shared" si="44"/>
        <v>#N/A</v>
      </c>
      <c r="BS77" t="e">
        <f t="shared" si="44"/>
        <v>#N/A</v>
      </c>
      <c r="BT77" t="e">
        <f t="shared" si="44"/>
        <v>#N/A</v>
      </c>
      <c r="BU77" t="e">
        <f t="shared" si="44"/>
        <v>#N/A</v>
      </c>
      <c r="BV77" t="e">
        <f t="shared" si="44"/>
        <v>#N/A</v>
      </c>
      <c r="BY77">
        <f t="shared" si="48"/>
        <v>208911.228</v>
      </c>
      <c r="BZ77">
        <v>215805.90327000001</v>
      </c>
      <c r="CA77" cm="1">
        <f t="array" ref="CA77">IF(ISNUMBER(BZ77),AF77/COUNT(IF(ISNUMBER(_xlfn.ANCHORARRAY($BZ$11)),_xlfn.ANCHORARRAY($BZ$11))),NA())</f>
        <v>0.85897435897435892</v>
      </c>
      <c r="CB77" t="e">
        <f t="shared" si="49"/>
        <v>#N/A</v>
      </c>
      <c r="CD77" t="e">
        <f t="shared" si="50"/>
        <v>#N/A</v>
      </c>
      <c r="CE77">
        <f t="shared" si="51"/>
        <v>215805.90327000001</v>
      </c>
      <c r="CG77" t="e">
        <v>#N/A</v>
      </c>
      <c r="CH77">
        <v>215805.90327000001</v>
      </c>
      <c r="CL77" t="e">
        <f t="shared" si="52"/>
        <v>#N/A</v>
      </c>
      <c r="CM77" t="e">
        <v>#N/A</v>
      </c>
      <c r="CN77" t="e" cm="1">
        <f t="array" ref="CN77">IF(ISNUMBER(CM77),AF77/COUNT(IF(ISNUMBER(_xlfn.ANCHORARRAY($CM$11)),_xlfn.ANCHORARRAY($CM$11))),NA())</f>
        <v>#N/A</v>
      </c>
      <c r="CO77" t="e">
        <f t="shared" si="53"/>
        <v>#N/A</v>
      </c>
      <c r="CQ77" t="e">
        <f t="shared" si="54"/>
        <v>#N/A</v>
      </c>
      <c r="CR77" t="e">
        <f t="shared" si="55"/>
        <v>#N/A</v>
      </c>
      <c r="CT77" t="e">
        <v>#N/A</v>
      </c>
      <c r="CU77" t="e">
        <v>#N/A</v>
      </c>
      <c r="CY77" t="e">
        <f t="shared" si="56"/>
        <v>#N/A</v>
      </c>
      <c r="CZ77" t="e">
        <v>#N/A</v>
      </c>
      <c r="DA77" t="e" cm="1">
        <f t="array" ref="DA77">IF(ISNUMBER(CZ77),AF77/COUNT(IF(ISNUMBER(_xlfn.ANCHORARRAY($CZ$11)),_xlfn.ANCHORARRAY($CZ$11))),NA())</f>
        <v>#N/A</v>
      </c>
      <c r="DB77" t="e">
        <f t="shared" si="57"/>
        <v>#N/A</v>
      </c>
      <c r="DD77" t="e">
        <f t="shared" si="58"/>
        <v>#N/A</v>
      </c>
      <c r="DE77" t="e">
        <f t="shared" si="59"/>
        <v>#N/A</v>
      </c>
      <c r="DG77" t="e">
        <v>#N/A</v>
      </c>
      <c r="DH77" t="e">
        <v>#N/A</v>
      </c>
    </row>
    <row r="78" spans="32:112">
      <c r="AF78">
        <v>68</v>
      </c>
      <c r="AG78" s="401">
        <f>'Lab test'!N71</f>
        <v>203.2</v>
      </c>
      <c r="AH78" s="401">
        <f>'Lab test'!M71</f>
        <v>0.50800000000000001</v>
      </c>
      <c r="AI78">
        <f>IF('Lab test'!O71&gt;0,'Lab test'!O71,NA())</f>
        <v>406.4</v>
      </c>
      <c r="AJ78">
        <f>'Lab test'!Q71</f>
        <v>400</v>
      </c>
      <c r="AK78" s="401">
        <f>IF('Lab test'!V71&gt;0,'Lab test'!V71,NA())</f>
        <v>208911.228</v>
      </c>
      <c r="AL78" s="7">
        <f>IF(MAX('Lab test'!W71,'Lab test'!X71)&gt;0,MAX('Lab test'!W71,'Lab test'!X71),NA())</f>
        <v>530.89631157396377</v>
      </c>
      <c r="AM78" s="401">
        <f>IF('Lab test'!P71&gt;0,'Lab test'!P71,NA())</f>
        <v>0.1</v>
      </c>
      <c r="AN78" s="401">
        <f>IF('Lab test'!AU71&gt;0,'Lab test'!AU71,NA())</f>
        <v>0.29316245275574232</v>
      </c>
      <c r="AO78" s="401">
        <f>IF('Lab test'!AT71&gt;0,'Lab test'!AT71,NA())</f>
        <v>0.49237680692737751</v>
      </c>
      <c r="AP78">
        <f t="shared" si="34"/>
        <v>1</v>
      </c>
      <c r="AQ78" s="401">
        <f>'Lab test'!AZ71</f>
        <v>1960</v>
      </c>
      <c r="AR78" t="str">
        <f>'Lab test'!AC71</f>
        <v>LTWb</v>
      </c>
      <c r="AS78" t="str">
        <f>'Lab test'!T71</f>
        <v>Steel</v>
      </c>
      <c r="AX78" t="e">
        <f t="shared" si="45"/>
        <v>#N/A</v>
      </c>
      <c r="AY78">
        <f t="shared" si="42"/>
        <v>208911.228</v>
      </c>
      <c r="AZ78" t="e">
        <f t="shared" si="42"/>
        <v>#N/A</v>
      </c>
      <c r="BA78" t="e">
        <f t="shared" si="42"/>
        <v>#N/A</v>
      </c>
      <c r="BB78" t="e">
        <f t="shared" si="42"/>
        <v>#N/A</v>
      </c>
      <c r="BC78" t="e">
        <f t="shared" si="42"/>
        <v>#N/A</v>
      </c>
      <c r="BD78" t="e">
        <f t="shared" si="42"/>
        <v>#N/A</v>
      </c>
      <c r="BG78" t="e">
        <f t="shared" si="46"/>
        <v>#N/A</v>
      </c>
      <c r="BH78" t="e">
        <f t="shared" si="43"/>
        <v>#N/A</v>
      </c>
      <c r="BI78" t="e">
        <f t="shared" si="43"/>
        <v>#N/A</v>
      </c>
      <c r="BJ78" t="e">
        <f t="shared" si="43"/>
        <v>#N/A</v>
      </c>
      <c r="BK78" t="e">
        <f t="shared" si="43"/>
        <v>#N/A</v>
      </c>
      <c r="BL78" t="e">
        <f t="shared" si="43"/>
        <v>#N/A</v>
      </c>
      <c r="BM78" t="e">
        <f t="shared" si="43"/>
        <v>#N/A</v>
      </c>
      <c r="BP78" t="e">
        <f t="shared" si="47"/>
        <v>#N/A</v>
      </c>
      <c r="BQ78" t="e">
        <f t="shared" si="44"/>
        <v>#N/A</v>
      </c>
      <c r="BR78" t="e">
        <f t="shared" si="44"/>
        <v>#N/A</v>
      </c>
      <c r="BS78" t="e">
        <f t="shared" si="44"/>
        <v>#N/A</v>
      </c>
      <c r="BT78" t="e">
        <f t="shared" si="44"/>
        <v>#N/A</v>
      </c>
      <c r="BU78" t="e">
        <f t="shared" si="44"/>
        <v>#N/A</v>
      </c>
      <c r="BV78" t="e">
        <f t="shared" si="44"/>
        <v>#N/A</v>
      </c>
      <c r="BY78">
        <f t="shared" si="48"/>
        <v>208911.228</v>
      </c>
      <c r="BZ78">
        <v>215805.90327000001</v>
      </c>
      <c r="CA78" cm="1">
        <f t="array" ref="CA78">IF(ISNUMBER(BZ78),AF78/COUNT(IF(ISNUMBER(_xlfn.ANCHORARRAY($BZ$11)),_xlfn.ANCHORARRAY($BZ$11))),NA())</f>
        <v>0.87179487179487181</v>
      </c>
      <c r="CB78" t="e">
        <f t="shared" si="49"/>
        <v>#N/A</v>
      </c>
      <c r="CD78" t="e">
        <f t="shared" si="50"/>
        <v>#N/A</v>
      </c>
      <c r="CE78">
        <f t="shared" si="51"/>
        <v>215805.90327000001</v>
      </c>
      <c r="CG78" t="e">
        <v>#N/A</v>
      </c>
      <c r="CH78">
        <v>215805.90327000001</v>
      </c>
      <c r="CL78" t="e">
        <f t="shared" si="52"/>
        <v>#N/A</v>
      </c>
      <c r="CM78" t="e">
        <v>#N/A</v>
      </c>
      <c r="CN78" t="e" cm="1">
        <f t="array" ref="CN78">IF(ISNUMBER(CM78),AF78/COUNT(IF(ISNUMBER(_xlfn.ANCHORARRAY($CM$11)),_xlfn.ANCHORARRAY($CM$11))),NA())</f>
        <v>#N/A</v>
      </c>
      <c r="CO78" t="e">
        <f t="shared" si="53"/>
        <v>#N/A</v>
      </c>
      <c r="CQ78" t="e">
        <f t="shared" si="54"/>
        <v>#N/A</v>
      </c>
      <c r="CR78" t="e">
        <f t="shared" si="55"/>
        <v>#N/A</v>
      </c>
      <c r="CT78" t="e">
        <v>#N/A</v>
      </c>
      <c r="CU78" t="e">
        <v>#N/A</v>
      </c>
      <c r="CY78" t="e">
        <f t="shared" si="56"/>
        <v>#N/A</v>
      </c>
      <c r="CZ78" t="e">
        <v>#N/A</v>
      </c>
      <c r="DA78" t="e" cm="1">
        <f t="array" ref="DA78">IF(ISNUMBER(CZ78),AF78/COUNT(IF(ISNUMBER(_xlfn.ANCHORARRAY($CZ$11)),_xlfn.ANCHORARRAY($CZ$11))),NA())</f>
        <v>#N/A</v>
      </c>
      <c r="DB78" t="e">
        <f t="shared" si="57"/>
        <v>#N/A</v>
      </c>
      <c r="DD78" t="e">
        <f t="shared" si="58"/>
        <v>#N/A</v>
      </c>
      <c r="DE78" t="e">
        <f t="shared" si="59"/>
        <v>#N/A</v>
      </c>
      <c r="DG78" t="e">
        <v>#N/A</v>
      </c>
      <c r="DH78" t="e">
        <v>#N/A</v>
      </c>
    </row>
    <row r="79" spans="32:112">
      <c r="AF79">
        <v>69</v>
      </c>
      <c r="AG79" s="401">
        <f>'Lab test'!N72</f>
        <v>203.2</v>
      </c>
      <c r="AH79" s="401">
        <f>'Lab test'!M72</f>
        <v>0.50800000000000001</v>
      </c>
      <c r="AI79">
        <f>IF('Lab test'!O72&gt;0,'Lab test'!O72,NA())</f>
        <v>203.2</v>
      </c>
      <c r="AJ79">
        <f>'Lab test'!Q72</f>
        <v>400</v>
      </c>
      <c r="AK79" s="401">
        <f>IF('Lab test'!V72&gt;0,'Lab test'!V72,NA())</f>
        <v>208911.228</v>
      </c>
      <c r="AL79" s="7">
        <f>IF(MAX('Lab test'!W72,'Lab test'!X72)&gt;0,MAX('Lab test'!W72,'Lab test'!X72),NA())</f>
        <v>530.89631157396377</v>
      </c>
      <c r="AM79" s="401">
        <f>IF('Lab test'!P72&gt;0,'Lab test'!P72,NA())</f>
        <v>0.05</v>
      </c>
      <c r="AN79" s="401">
        <f>IF('Lab test'!AU72&gt;0,'Lab test'!AU72,NA())</f>
        <v>0.26364945415617097</v>
      </c>
      <c r="AO79" s="401">
        <f>IF('Lab test'!AT72&gt;0,'Lab test'!AT72,NA())</f>
        <v>0.44280867200180263</v>
      </c>
      <c r="AP79">
        <f t="shared" si="34"/>
        <v>1</v>
      </c>
      <c r="AQ79" s="401">
        <f>'Lab test'!AZ72</f>
        <v>1960</v>
      </c>
      <c r="AR79" t="str">
        <f>'Lab test'!AC72</f>
        <v>LTWb</v>
      </c>
      <c r="AS79" t="str">
        <f>'Lab test'!T72</f>
        <v>Steel</v>
      </c>
      <c r="AX79" t="e">
        <f t="shared" si="45"/>
        <v>#N/A</v>
      </c>
      <c r="AY79">
        <f t="shared" si="42"/>
        <v>208911.228</v>
      </c>
      <c r="AZ79" t="e">
        <f t="shared" si="42"/>
        <v>#N/A</v>
      </c>
      <c r="BA79" t="e">
        <f t="shared" si="42"/>
        <v>#N/A</v>
      </c>
      <c r="BB79" t="e">
        <f t="shared" si="42"/>
        <v>#N/A</v>
      </c>
      <c r="BC79" t="e">
        <f t="shared" si="42"/>
        <v>#N/A</v>
      </c>
      <c r="BD79" t="e">
        <f t="shared" si="42"/>
        <v>#N/A</v>
      </c>
      <c r="BG79" t="e">
        <f t="shared" si="46"/>
        <v>#N/A</v>
      </c>
      <c r="BH79" t="e">
        <f t="shared" si="43"/>
        <v>#N/A</v>
      </c>
      <c r="BI79" t="e">
        <f t="shared" si="43"/>
        <v>#N/A</v>
      </c>
      <c r="BJ79" t="e">
        <f t="shared" si="43"/>
        <v>#N/A</v>
      </c>
      <c r="BK79" t="e">
        <f t="shared" si="43"/>
        <v>#N/A</v>
      </c>
      <c r="BL79" t="e">
        <f t="shared" si="43"/>
        <v>#N/A</v>
      </c>
      <c r="BM79" t="e">
        <f t="shared" si="43"/>
        <v>#N/A</v>
      </c>
      <c r="BP79" t="e">
        <f t="shared" si="47"/>
        <v>#N/A</v>
      </c>
      <c r="BQ79" t="e">
        <f t="shared" si="44"/>
        <v>#N/A</v>
      </c>
      <c r="BR79" t="e">
        <f t="shared" si="44"/>
        <v>#N/A</v>
      </c>
      <c r="BS79" t="e">
        <f t="shared" si="44"/>
        <v>#N/A</v>
      </c>
      <c r="BT79" t="e">
        <f t="shared" si="44"/>
        <v>#N/A</v>
      </c>
      <c r="BU79" t="e">
        <f t="shared" si="44"/>
        <v>#N/A</v>
      </c>
      <c r="BV79" t="e">
        <f t="shared" si="44"/>
        <v>#N/A</v>
      </c>
      <c r="BY79">
        <f t="shared" si="48"/>
        <v>208911.228</v>
      </c>
      <c r="BZ79">
        <v>215805.90327000001</v>
      </c>
      <c r="CA79" cm="1">
        <f t="array" ref="CA79">IF(ISNUMBER(BZ79),AF79/COUNT(IF(ISNUMBER(_xlfn.ANCHORARRAY($BZ$11)),_xlfn.ANCHORARRAY($BZ$11))),NA())</f>
        <v>0.88461538461538458</v>
      </c>
      <c r="CB79" t="e">
        <f t="shared" si="49"/>
        <v>#N/A</v>
      </c>
      <c r="CD79" t="e">
        <f t="shared" si="50"/>
        <v>#N/A</v>
      </c>
      <c r="CE79">
        <f t="shared" si="51"/>
        <v>215805.90327000001</v>
      </c>
      <c r="CG79" t="e">
        <v>#N/A</v>
      </c>
      <c r="CH79">
        <v>215805.90327000001</v>
      </c>
      <c r="CL79" t="e">
        <f t="shared" si="52"/>
        <v>#N/A</v>
      </c>
      <c r="CM79" t="e">
        <v>#N/A</v>
      </c>
      <c r="CN79" t="e" cm="1">
        <f t="array" ref="CN79">IF(ISNUMBER(CM79),AF79/COUNT(IF(ISNUMBER(_xlfn.ANCHORARRAY($CM$11)),_xlfn.ANCHORARRAY($CM$11))),NA())</f>
        <v>#N/A</v>
      </c>
      <c r="CO79" t="e">
        <f t="shared" si="53"/>
        <v>#N/A</v>
      </c>
      <c r="CQ79" t="e">
        <f t="shared" si="54"/>
        <v>#N/A</v>
      </c>
      <c r="CR79" t="e">
        <f t="shared" si="55"/>
        <v>#N/A</v>
      </c>
      <c r="CT79" t="e">
        <v>#N/A</v>
      </c>
      <c r="CU79" t="e">
        <v>#N/A</v>
      </c>
      <c r="CY79" t="e">
        <f t="shared" si="56"/>
        <v>#N/A</v>
      </c>
      <c r="CZ79" t="e">
        <v>#N/A</v>
      </c>
      <c r="DA79" t="e" cm="1">
        <f t="array" ref="DA79">IF(ISNUMBER(CZ79),AF79/COUNT(IF(ISNUMBER(_xlfn.ANCHORARRAY($CZ$11)),_xlfn.ANCHORARRAY($CZ$11))),NA())</f>
        <v>#N/A</v>
      </c>
      <c r="DB79" t="e">
        <f t="shared" si="57"/>
        <v>#N/A</v>
      </c>
      <c r="DD79" t="e">
        <f t="shared" si="58"/>
        <v>#N/A</v>
      </c>
      <c r="DE79" t="e">
        <f t="shared" si="59"/>
        <v>#N/A</v>
      </c>
      <c r="DG79" t="e">
        <v>#N/A</v>
      </c>
      <c r="DH79" t="e">
        <v>#N/A</v>
      </c>
    </row>
    <row r="80" spans="32:112">
      <c r="AF80">
        <v>70</v>
      </c>
      <c r="AG80" s="401">
        <f>'Lab test'!N73</f>
        <v>203.2</v>
      </c>
      <c r="AH80" s="401">
        <f>'Lab test'!M73</f>
        <v>0.50800000000000001</v>
      </c>
      <c r="AI80">
        <f>IF('Lab test'!O73&gt;0,'Lab test'!O73,NA())</f>
        <v>203.2</v>
      </c>
      <c r="AJ80">
        <f>'Lab test'!Q73</f>
        <v>400</v>
      </c>
      <c r="AK80" s="401">
        <f>IF('Lab test'!V73&gt;0,'Lab test'!V73,NA())</f>
        <v>208911.228</v>
      </c>
      <c r="AL80" s="7">
        <f>IF(MAX('Lab test'!W73,'Lab test'!X73)&gt;0,MAX('Lab test'!W73,'Lab test'!X73),NA())</f>
        <v>530.89631157396377</v>
      </c>
      <c r="AM80" s="401">
        <f>IF('Lab test'!P73&gt;0,'Lab test'!P73,NA())</f>
        <v>0.05</v>
      </c>
      <c r="AN80" s="401">
        <f>IF('Lab test'!AU73&gt;0,'Lab test'!AU73,NA())</f>
        <v>0.34038325051505652</v>
      </c>
      <c r="AO80" s="401">
        <f>IF('Lab test'!AT73&gt;0,'Lab test'!AT73,NA())</f>
        <v>0.57168582280829738</v>
      </c>
      <c r="AP80">
        <f t="shared" si="34"/>
        <v>1</v>
      </c>
      <c r="AQ80" s="401">
        <f>'Lab test'!AZ73</f>
        <v>1960</v>
      </c>
      <c r="AR80" t="str">
        <f>'Lab test'!AC73</f>
        <v>LTWb</v>
      </c>
      <c r="AS80" t="str">
        <f>'Lab test'!T73</f>
        <v>Steel</v>
      </c>
      <c r="AX80" t="e">
        <f t="shared" si="45"/>
        <v>#N/A</v>
      </c>
      <c r="AY80">
        <f t="shared" si="42"/>
        <v>208911.228</v>
      </c>
      <c r="AZ80" t="e">
        <f t="shared" si="42"/>
        <v>#N/A</v>
      </c>
      <c r="BA80" t="e">
        <f t="shared" si="42"/>
        <v>#N/A</v>
      </c>
      <c r="BB80" t="e">
        <f t="shared" si="42"/>
        <v>#N/A</v>
      </c>
      <c r="BC80" t="e">
        <f t="shared" si="42"/>
        <v>#N/A</v>
      </c>
      <c r="BD80" t="e">
        <f t="shared" si="42"/>
        <v>#N/A</v>
      </c>
      <c r="BG80" t="e">
        <f t="shared" si="46"/>
        <v>#N/A</v>
      </c>
      <c r="BH80" t="e">
        <f t="shared" si="43"/>
        <v>#N/A</v>
      </c>
      <c r="BI80" t="e">
        <f t="shared" si="43"/>
        <v>#N/A</v>
      </c>
      <c r="BJ80" t="e">
        <f t="shared" si="43"/>
        <v>#N/A</v>
      </c>
      <c r="BK80" t="e">
        <f t="shared" si="43"/>
        <v>#N/A</v>
      </c>
      <c r="BL80" t="e">
        <f t="shared" si="43"/>
        <v>#N/A</v>
      </c>
      <c r="BM80" t="e">
        <f t="shared" si="43"/>
        <v>#N/A</v>
      </c>
      <c r="BP80" t="e">
        <f t="shared" si="47"/>
        <v>#N/A</v>
      </c>
      <c r="BQ80" t="e">
        <f t="shared" si="44"/>
        <v>#N/A</v>
      </c>
      <c r="BR80" t="e">
        <f t="shared" si="44"/>
        <v>#N/A</v>
      </c>
      <c r="BS80" t="e">
        <f t="shared" si="44"/>
        <v>#N/A</v>
      </c>
      <c r="BT80" t="e">
        <f t="shared" si="44"/>
        <v>#N/A</v>
      </c>
      <c r="BU80" t="e">
        <f t="shared" si="44"/>
        <v>#N/A</v>
      </c>
      <c r="BV80" t="e">
        <f t="shared" si="44"/>
        <v>#N/A</v>
      </c>
      <c r="BY80">
        <f t="shared" si="48"/>
        <v>208911.228</v>
      </c>
      <c r="BZ80">
        <v>215805.90327000001</v>
      </c>
      <c r="CA80" cm="1">
        <f t="array" ref="CA80">IF(ISNUMBER(BZ80),AF80/COUNT(IF(ISNUMBER(_xlfn.ANCHORARRAY($BZ$11)),_xlfn.ANCHORARRAY($BZ$11))),NA())</f>
        <v>0.89743589743589747</v>
      </c>
      <c r="CB80">
        <f t="shared" si="49"/>
        <v>0.89743589743589747</v>
      </c>
      <c r="CD80">
        <f t="shared" si="50"/>
        <v>0.89743589743589747</v>
      </c>
      <c r="CE80">
        <f t="shared" si="51"/>
        <v>215805.90327000001</v>
      </c>
      <c r="CG80" t="e">
        <v>#N/A</v>
      </c>
      <c r="CH80">
        <v>215805.90327000001</v>
      </c>
      <c r="CL80" t="e">
        <f t="shared" si="52"/>
        <v>#N/A</v>
      </c>
      <c r="CM80" t="e">
        <v>#N/A</v>
      </c>
      <c r="CN80" t="e" cm="1">
        <f t="array" ref="CN80">IF(ISNUMBER(CM80),AF80/COUNT(IF(ISNUMBER(_xlfn.ANCHORARRAY($CM$11)),_xlfn.ANCHORARRAY($CM$11))),NA())</f>
        <v>#N/A</v>
      </c>
      <c r="CO80" t="e">
        <f t="shared" si="53"/>
        <v>#N/A</v>
      </c>
      <c r="CQ80" t="e">
        <f t="shared" si="54"/>
        <v>#N/A</v>
      </c>
      <c r="CR80" t="e">
        <f t="shared" si="55"/>
        <v>#N/A</v>
      </c>
      <c r="CT80" t="e">
        <v>#N/A</v>
      </c>
      <c r="CU80" t="e">
        <v>#N/A</v>
      </c>
      <c r="CY80" t="e">
        <f t="shared" si="56"/>
        <v>#N/A</v>
      </c>
      <c r="CZ80" t="e">
        <v>#N/A</v>
      </c>
      <c r="DA80" t="e" cm="1">
        <f t="array" ref="DA80">IF(ISNUMBER(CZ80),AF80/COUNT(IF(ISNUMBER(_xlfn.ANCHORARRAY($CZ$11)),_xlfn.ANCHORARRAY($CZ$11))),NA())</f>
        <v>#N/A</v>
      </c>
      <c r="DB80" t="e">
        <f t="shared" si="57"/>
        <v>#N/A</v>
      </c>
      <c r="DD80" t="e">
        <f t="shared" si="58"/>
        <v>#N/A</v>
      </c>
      <c r="DE80" t="e">
        <f t="shared" si="59"/>
        <v>#N/A</v>
      </c>
      <c r="DG80" t="e">
        <v>#N/A</v>
      </c>
      <c r="DH80" t="e">
        <v>#N/A</v>
      </c>
    </row>
    <row r="81" spans="32:112">
      <c r="AF81">
        <v>71</v>
      </c>
      <c r="AG81" s="401">
        <f>'Lab test'!N74</f>
        <v>76.2</v>
      </c>
      <c r="AH81" s="401">
        <f>'Lab test'!M74</f>
        <v>0.20319999999999999</v>
      </c>
      <c r="AI81">
        <f>IF('Lab test'!O74&gt;0,'Lab test'!O74,NA())</f>
        <v>152.4</v>
      </c>
      <c r="AJ81">
        <f>'Lab test'!Q74</f>
        <v>375</v>
      </c>
      <c r="AK81" s="401">
        <f>IF('Lab test'!V74&gt;0,'Lab test'!V74,NA())</f>
        <v>223390.22399999999</v>
      </c>
      <c r="AL81" s="7">
        <f>IF(MAX('Lab test'!W74,'Lab test'!X74)&gt;0,MAX('Lab test'!W74,'Lab test'!X74),NA())</f>
        <v>268.89553443356607</v>
      </c>
      <c r="AM81" s="401">
        <f>IF('Lab test'!P74&gt;0,'Lab test'!P74,NA())</f>
        <v>0.10327955589886445</v>
      </c>
      <c r="AN81" s="401">
        <f>IF('Lab test'!AU74&gt;0,'Lab test'!AU74,NA())</f>
        <v>0.71778489718164218</v>
      </c>
      <c r="AO81" s="401">
        <f>IF('Lab test'!AT74&gt;0,'Lab test'!AT74,NA())</f>
        <v>0.53533585719620902</v>
      </c>
      <c r="AP81">
        <f t="shared" si="34"/>
        <v>1</v>
      </c>
      <c r="AQ81" s="401">
        <f>'Lab test'!AZ74</f>
        <v>1960</v>
      </c>
      <c r="AR81" t="str">
        <f>'Lab test'!AC74</f>
        <v>LTWb</v>
      </c>
      <c r="AS81" t="str">
        <f>'Lab test'!T74</f>
        <v>Steel</v>
      </c>
      <c r="AX81" t="e">
        <f t="shared" si="45"/>
        <v>#N/A</v>
      </c>
      <c r="AY81">
        <f t="shared" si="42"/>
        <v>223390.22399999999</v>
      </c>
      <c r="AZ81" t="e">
        <f t="shared" si="42"/>
        <v>#N/A</v>
      </c>
      <c r="BA81" t="e">
        <f t="shared" si="42"/>
        <v>#N/A</v>
      </c>
      <c r="BB81" t="e">
        <f t="shared" si="42"/>
        <v>#N/A</v>
      </c>
      <c r="BC81" t="e">
        <f t="shared" si="42"/>
        <v>#N/A</v>
      </c>
      <c r="BD81" t="e">
        <f t="shared" si="42"/>
        <v>#N/A</v>
      </c>
      <c r="BG81" t="e">
        <f t="shared" si="46"/>
        <v>#N/A</v>
      </c>
      <c r="BH81" t="e">
        <f t="shared" si="43"/>
        <v>#N/A</v>
      </c>
      <c r="BI81" t="e">
        <f t="shared" si="43"/>
        <v>#N/A</v>
      </c>
      <c r="BJ81" t="e">
        <f t="shared" si="43"/>
        <v>#N/A</v>
      </c>
      <c r="BK81" t="e">
        <f t="shared" si="43"/>
        <v>#N/A</v>
      </c>
      <c r="BL81" t="e">
        <f t="shared" si="43"/>
        <v>#N/A</v>
      </c>
      <c r="BM81" t="e">
        <f t="shared" si="43"/>
        <v>#N/A</v>
      </c>
      <c r="BP81" t="e">
        <f t="shared" si="47"/>
        <v>#N/A</v>
      </c>
      <c r="BQ81" t="e">
        <f t="shared" si="44"/>
        <v>#N/A</v>
      </c>
      <c r="BR81" t="e">
        <f t="shared" si="44"/>
        <v>#N/A</v>
      </c>
      <c r="BS81" t="e">
        <f t="shared" si="44"/>
        <v>#N/A</v>
      </c>
      <c r="BT81" t="e">
        <f t="shared" si="44"/>
        <v>#N/A</v>
      </c>
      <c r="BU81" t="e">
        <f t="shared" si="44"/>
        <v>#N/A</v>
      </c>
      <c r="BV81" t="e">
        <f t="shared" si="44"/>
        <v>#N/A</v>
      </c>
      <c r="BY81">
        <f t="shared" si="48"/>
        <v>223390.22399999999</v>
      </c>
      <c r="BZ81">
        <v>216495.37900548655</v>
      </c>
      <c r="CA81" cm="1">
        <f t="array" ref="CA81">IF(ISNUMBER(BZ81),AF81/COUNT(IF(ISNUMBER(_xlfn.ANCHORARRAY($BZ$11)),_xlfn.ANCHORARRAY($BZ$11))),NA())</f>
        <v>0.91025641025641024</v>
      </c>
      <c r="CB81" t="e">
        <f t="shared" si="49"/>
        <v>#N/A</v>
      </c>
      <c r="CD81" t="e">
        <f t="shared" si="50"/>
        <v>#N/A</v>
      </c>
      <c r="CE81">
        <f t="shared" si="51"/>
        <v>216495.37900548655</v>
      </c>
      <c r="CG81" t="e">
        <v>#N/A</v>
      </c>
      <c r="CH81">
        <v>215805.90327000001</v>
      </c>
      <c r="CL81" t="e">
        <f t="shared" si="52"/>
        <v>#N/A</v>
      </c>
      <c r="CM81" t="e">
        <v>#N/A</v>
      </c>
      <c r="CN81" t="e" cm="1">
        <f t="array" ref="CN81">IF(ISNUMBER(CM81),AF81/COUNT(IF(ISNUMBER(_xlfn.ANCHORARRAY($CM$11)),_xlfn.ANCHORARRAY($CM$11))),NA())</f>
        <v>#N/A</v>
      </c>
      <c r="CO81" t="e">
        <f t="shared" si="53"/>
        <v>#N/A</v>
      </c>
      <c r="CQ81" t="e">
        <f t="shared" si="54"/>
        <v>#N/A</v>
      </c>
      <c r="CR81" t="e">
        <f t="shared" si="55"/>
        <v>#N/A</v>
      </c>
      <c r="CT81" t="e">
        <v>#N/A</v>
      </c>
      <c r="CU81" t="e">
        <v>#N/A</v>
      </c>
      <c r="CY81" t="e">
        <f t="shared" si="56"/>
        <v>#N/A</v>
      </c>
      <c r="CZ81" t="e">
        <v>#N/A</v>
      </c>
      <c r="DA81" t="e" cm="1">
        <f t="array" ref="DA81">IF(ISNUMBER(CZ81),AF81/COUNT(IF(ISNUMBER(_xlfn.ANCHORARRAY($CZ$11)),_xlfn.ANCHORARRAY($CZ$11))),NA())</f>
        <v>#N/A</v>
      </c>
      <c r="DB81" t="e">
        <f t="shared" si="57"/>
        <v>#N/A</v>
      </c>
      <c r="DD81" t="e">
        <f t="shared" si="58"/>
        <v>#N/A</v>
      </c>
      <c r="DE81" t="e">
        <f t="shared" si="59"/>
        <v>#N/A</v>
      </c>
      <c r="DG81" t="e">
        <v>#N/A</v>
      </c>
      <c r="DH81" t="e">
        <v>#N/A</v>
      </c>
    </row>
    <row r="82" spans="32:112">
      <c r="AF82">
        <v>72</v>
      </c>
      <c r="AG82" s="401">
        <f>'Lab test'!N75</f>
        <v>76.2</v>
      </c>
      <c r="AH82" s="401">
        <f>'Lab test'!M75</f>
        <v>0.254</v>
      </c>
      <c r="AI82">
        <f>IF('Lab test'!O75&gt;0,'Lab test'!O75,NA())</f>
        <v>152.4</v>
      </c>
      <c r="AJ82">
        <f>'Lab test'!Q75</f>
        <v>300</v>
      </c>
      <c r="AK82" s="401">
        <f>IF('Lab test'!V75&gt;0,'Lab test'!V75,NA())</f>
        <v>237179.74400000001</v>
      </c>
      <c r="AL82" s="7">
        <f>IF(MAX('Lab test'!W75,'Lab test'!X75)&gt;0,MAX('Lab test'!W75,'Lab test'!X75),NA())</f>
        <v>268.89553443356607</v>
      </c>
      <c r="AM82" s="401">
        <f>IF('Lab test'!P75&gt;0,'Lab test'!P75,NA())</f>
        <v>0.11547005383792515</v>
      </c>
      <c r="AN82" s="401">
        <f>IF('Lab test'!AU75&gt;0,'Lab test'!AU75,NA())</f>
        <v>0.80266698178777074</v>
      </c>
      <c r="AO82" s="401">
        <f>IF('Lab test'!AT75&gt;0,'Lab test'!AT75,NA())</f>
        <v>0.45107002782273187</v>
      </c>
      <c r="AP82">
        <f t="shared" si="34"/>
        <v>1</v>
      </c>
      <c r="AQ82" s="401">
        <f>'Lab test'!AZ75</f>
        <v>1960</v>
      </c>
      <c r="AR82" t="str">
        <f>'Lab test'!AC75</f>
        <v>LTWb</v>
      </c>
      <c r="AS82" t="str">
        <f>'Lab test'!T75</f>
        <v>Steel</v>
      </c>
      <c r="AX82" t="e">
        <f t="shared" si="45"/>
        <v>#N/A</v>
      </c>
      <c r="AY82">
        <f t="shared" si="42"/>
        <v>237179.74400000001</v>
      </c>
      <c r="AZ82" t="e">
        <f t="shared" si="42"/>
        <v>#N/A</v>
      </c>
      <c r="BA82" t="e">
        <f t="shared" si="42"/>
        <v>#N/A</v>
      </c>
      <c r="BB82" t="e">
        <f t="shared" si="42"/>
        <v>#N/A</v>
      </c>
      <c r="BC82" t="e">
        <f t="shared" si="42"/>
        <v>#N/A</v>
      </c>
      <c r="BD82" t="e">
        <f t="shared" si="42"/>
        <v>#N/A</v>
      </c>
      <c r="BG82" t="e">
        <f t="shared" si="46"/>
        <v>#N/A</v>
      </c>
      <c r="BH82" t="e">
        <f t="shared" si="43"/>
        <v>#N/A</v>
      </c>
      <c r="BI82" t="e">
        <f t="shared" si="43"/>
        <v>#N/A</v>
      </c>
      <c r="BJ82" t="e">
        <f t="shared" si="43"/>
        <v>#N/A</v>
      </c>
      <c r="BK82" t="e">
        <f t="shared" si="43"/>
        <v>#N/A</v>
      </c>
      <c r="BL82" t="e">
        <f t="shared" si="43"/>
        <v>#N/A</v>
      </c>
      <c r="BM82" t="e">
        <f t="shared" si="43"/>
        <v>#N/A</v>
      </c>
      <c r="BP82" t="e">
        <f t="shared" si="47"/>
        <v>#N/A</v>
      </c>
      <c r="BQ82" t="e">
        <f t="shared" si="44"/>
        <v>#N/A</v>
      </c>
      <c r="BR82" t="e">
        <f t="shared" si="44"/>
        <v>#N/A</v>
      </c>
      <c r="BS82" t="e">
        <f t="shared" si="44"/>
        <v>#N/A</v>
      </c>
      <c r="BT82" t="e">
        <f t="shared" si="44"/>
        <v>#N/A</v>
      </c>
      <c r="BU82" t="e">
        <f t="shared" si="44"/>
        <v>#N/A</v>
      </c>
      <c r="BV82" t="e">
        <f t="shared" si="44"/>
        <v>#N/A</v>
      </c>
      <c r="BY82">
        <f t="shared" si="48"/>
        <v>237179.74400000001</v>
      </c>
      <c r="BZ82">
        <v>216495.37900548655</v>
      </c>
      <c r="CA82" cm="1">
        <f t="array" ref="CA82">IF(ISNUMBER(BZ82),AF82/COUNT(IF(ISNUMBER(_xlfn.ANCHORARRAY($BZ$11)),_xlfn.ANCHORARRAY($BZ$11))),NA())</f>
        <v>0.92307692307692313</v>
      </c>
      <c r="CB82" t="e">
        <f t="shared" si="49"/>
        <v>#N/A</v>
      </c>
      <c r="CD82" t="e">
        <f t="shared" si="50"/>
        <v>#N/A</v>
      </c>
      <c r="CE82">
        <f t="shared" si="51"/>
        <v>216495.37900548655</v>
      </c>
      <c r="CG82" t="e">
        <v>#N/A</v>
      </c>
      <c r="CH82">
        <v>215805.90327000001</v>
      </c>
      <c r="CL82" t="e">
        <f t="shared" si="52"/>
        <v>#N/A</v>
      </c>
      <c r="CM82" t="e">
        <v>#N/A</v>
      </c>
      <c r="CN82" t="e" cm="1">
        <f t="array" ref="CN82">IF(ISNUMBER(CM82),AF82/COUNT(IF(ISNUMBER(_xlfn.ANCHORARRAY($CM$11)),_xlfn.ANCHORARRAY($CM$11))),NA())</f>
        <v>#N/A</v>
      </c>
      <c r="CO82" t="e">
        <f t="shared" si="53"/>
        <v>#N/A</v>
      </c>
      <c r="CQ82" t="e">
        <f t="shared" si="54"/>
        <v>#N/A</v>
      </c>
      <c r="CR82" t="e">
        <f t="shared" si="55"/>
        <v>#N/A</v>
      </c>
      <c r="CT82" t="e">
        <v>#N/A</v>
      </c>
      <c r="CU82" t="e">
        <v>#N/A</v>
      </c>
      <c r="CY82" t="e">
        <f t="shared" si="56"/>
        <v>#N/A</v>
      </c>
      <c r="CZ82" t="e">
        <v>#N/A</v>
      </c>
      <c r="DA82" t="e" cm="1">
        <f t="array" ref="DA82">IF(ISNUMBER(CZ82),AF82/COUNT(IF(ISNUMBER(_xlfn.ANCHORARRAY($CZ$11)),_xlfn.ANCHORARRAY($CZ$11))),NA())</f>
        <v>#N/A</v>
      </c>
      <c r="DB82" t="e">
        <f t="shared" si="57"/>
        <v>#N/A</v>
      </c>
      <c r="DD82" t="e">
        <f t="shared" si="58"/>
        <v>#N/A</v>
      </c>
      <c r="DE82" t="e">
        <f t="shared" si="59"/>
        <v>#N/A</v>
      </c>
      <c r="DG82" t="e">
        <v>#N/A</v>
      </c>
      <c r="DH82" t="e">
        <v>#N/A</v>
      </c>
    </row>
    <row r="83" spans="32:112">
      <c r="AF83">
        <v>73</v>
      </c>
      <c r="AG83" s="401">
        <f>'Lab test'!N76</f>
        <v>76.2</v>
      </c>
      <c r="AH83" s="401">
        <f>'Lab test'!M76</f>
        <v>0.254</v>
      </c>
      <c r="AI83">
        <f>IF('Lab test'!O76&gt;0,'Lab test'!O76,NA())</f>
        <v>381</v>
      </c>
      <c r="AJ83">
        <f>'Lab test'!Q76</f>
        <v>300</v>
      </c>
      <c r="AK83" s="401">
        <f>IF('Lab test'!V76&gt;0,'Lab test'!V76,NA())</f>
        <v>208911.228</v>
      </c>
      <c r="AL83" s="7">
        <f>IF(MAX('Lab test'!W76,'Lab test'!X76)&gt;0,MAX('Lab test'!W76,'Lab test'!X76),NA())</f>
        <v>268.89553443356607</v>
      </c>
      <c r="AM83" s="401">
        <f>IF('Lab test'!P76&gt;0,'Lab test'!P76,NA())</f>
        <v>0.28867513459481287</v>
      </c>
      <c r="AN83" s="401">
        <f>IF('Lab test'!AU76&gt;0,'Lab test'!AU76,NA())</f>
        <v>0.72771823441473038</v>
      </c>
      <c r="AO83" s="401">
        <f>IF('Lab test'!AT76&gt;0,'Lab test'!AT76,NA())</f>
        <v>0.46428819713621844</v>
      </c>
      <c r="AP83">
        <f t="shared" si="34"/>
        <v>1</v>
      </c>
      <c r="AQ83" s="401">
        <f>'Lab test'!AZ76</f>
        <v>1960</v>
      </c>
      <c r="AR83" t="str">
        <f>'Lab test'!AC76</f>
        <v>LTWb</v>
      </c>
      <c r="AS83" t="str">
        <f>'Lab test'!T76</f>
        <v>Steel</v>
      </c>
      <c r="AX83" t="e">
        <f t="shared" si="45"/>
        <v>#N/A</v>
      </c>
      <c r="AY83">
        <f t="shared" si="42"/>
        <v>208911.228</v>
      </c>
      <c r="AZ83" t="e">
        <f t="shared" si="42"/>
        <v>#N/A</v>
      </c>
      <c r="BA83" t="e">
        <f t="shared" si="42"/>
        <v>#N/A</v>
      </c>
      <c r="BB83" t="e">
        <f t="shared" si="42"/>
        <v>#N/A</v>
      </c>
      <c r="BC83" t="e">
        <f t="shared" si="42"/>
        <v>#N/A</v>
      </c>
      <c r="BD83" t="e">
        <f t="shared" si="42"/>
        <v>#N/A</v>
      </c>
      <c r="BG83" t="e">
        <f t="shared" si="46"/>
        <v>#N/A</v>
      </c>
      <c r="BH83" t="e">
        <f t="shared" si="43"/>
        <v>#N/A</v>
      </c>
      <c r="BI83" t="e">
        <f t="shared" si="43"/>
        <v>#N/A</v>
      </c>
      <c r="BJ83" t="e">
        <f t="shared" si="43"/>
        <v>#N/A</v>
      </c>
      <c r="BK83" t="e">
        <f t="shared" si="43"/>
        <v>#N/A</v>
      </c>
      <c r="BL83" t="e">
        <f t="shared" si="43"/>
        <v>#N/A</v>
      </c>
      <c r="BM83" t="e">
        <f t="shared" si="43"/>
        <v>#N/A</v>
      </c>
      <c r="BP83" t="e">
        <f t="shared" si="47"/>
        <v>#N/A</v>
      </c>
      <c r="BQ83" t="e">
        <f t="shared" si="44"/>
        <v>#N/A</v>
      </c>
      <c r="BR83" t="e">
        <f t="shared" si="44"/>
        <v>#N/A</v>
      </c>
      <c r="BS83" t="e">
        <f t="shared" si="44"/>
        <v>#N/A</v>
      </c>
      <c r="BT83" t="e">
        <f t="shared" si="44"/>
        <v>#N/A</v>
      </c>
      <c r="BU83" t="e">
        <f t="shared" si="44"/>
        <v>#N/A</v>
      </c>
      <c r="BV83" t="e">
        <f t="shared" si="44"/>
        <v>#N/A</v>
      </c>
      <c r="BY83">
        <f t="shared" si="48"/>
        <v>208911.228</v>
      </c>
      <c r="BZ83">
        <v>216495.37900548655</v>
      </c>
      <c r="CA83" cm="1">
        <f t="array" ref="CA83">IF(ISNUMBER(BZ83),AF83/COUNT(IF(ISNUMBER(_xlfn.ANCHORARRAY($BZ$11)),_xlfn.ANCHORARRAY($BZ$11))),NA())</f>
        <v>0.9358974358974359</v>
      </c>
      <c r="CB83" t="e">
        <f t="shared" si="49"/>
        <v>#N/A</v>
      </c>
      <c r="CD83" t="e">
        <f t="shared" si="50"/>
        <v>#N/A</v>
      </c>
      <c r="CE83">
        <f t="shared" si="51"/>
        <v>216495.37900548655</v>
      </c>
      <c r="CG83" t="e">
        <v>#N/A</v>
      </c>
      <c r="CH83">
        <v>215805.90327000001</v>
      </c>
      <c r="CL83" t="e">
        <f t="shared" si="52"/>
        <v>#N/A</v>
      </c>
      <c r="CM83" t="e">
        <v>#N/A</v>
      </c>
      <c r="CN83" t="e" cm="1">
        <f t="array" ref="CN83">IF(ISNUMBER(CM83),AF83/COUNT(IF(ISNUMBER(_xlfn.ANCHORARRAY($CM$11)),_xlfn.ANCHORARRAY($CM$11))),NA())</f>
        <v>#N/A</v>
      </c>
      <c r="CO83" t="e">
        <f t="shared" si="53"/>
        <v>#N/A</v>
      </c>
      <c r="CQ83" t="e">
        <f t="shared" si="54"/>
        <v>#N/A</v>
      </c>
      <c r="CR83" t="e">
        <f t="shared" si="55"/>
        <v>#N/A</v>
      </c>
      <c r="CT83" t="e">
        <v>#N/A</v>
      </c>
      <c r="CU83" t="e">
        <v>#N/A</v>
      </c>
      <c r="CY83" t="e">
        <f t="shared" si="56"/>
        <v>#N/A</v>
      </c>
      <c r="CZ83" t="e">
        <v>#N/A</v>
      </c>
      <c r="DA83" t="e" cm="1">
        <f t="array" ref="DA83">IF(ISNUMBER(CZ83),AF83/COUNT(IF(ISNUMBER(_xlfn.ANCHORARRAY($CZ$11)),_xlfn.ANCHORARRAY($CZ$11))),NA())</f>
        <v>#N/A</v>
      </c>
      <c r="DB83" t="e">
        <f t="shared" si="57"/>
        <v>#N/A</v>
      </c>
      <c r="DD83" t="e">
        <f t="shared" si="58"/>
        <v>#N/A</v>
      </c>
      <c r="DE83" t="e">
        <f t="shared" si="59"/>
        <v>#N/A</v>
      </c>
      <c r="DG83" t="e">
        <v>#N/A</v>
      </c>
      <c r="DH83" t="e">
        <v>#N/A</v>
      </c>
    </row>
    <row r="84" spans="32:112">
      <c r="AF84">
        <v>74</v>
      </c>
      <c r="AG84" s="401">
        <f>'Lab test'!N77</f>
        <v>76.2</v>
      </c>
      <c r="AH84" s="401">
        <f>'Lab test'!M77</f>
        <v>0.254</v>
      </c>
      <c r="AI84">
        <f>IF('Lab test'!O77&gt;0,'Lab test'!O77,NA())</f>
        <v>76.2</v>
      </c>
      <c r="AJ84">
        <f>'Lab test'!Q77</f>
        <v>300</v>
      </c>
      <c r="AK84" s="401">
        <f>IF('Lab test'!V77&gt;0,'Lab test'!V77,NA())</f>
        <v>208911.228</v>
      </c>
      <c r="AL84" s="7">
        <f>IF(MAX('Lab test'!W77,'Lab test'!X77)&gt;0,MAX('Lab test'!W77,'Lab test'!X77),NA())</f>
        <v>268.89553443356607</v>
      </c>
      <c r="AM84" s="401">
        <f>IF('Lab test'!P77&gt;0,'Lab test'!P77,NA())</f>
        <v>5.7735026918962574E-2</v>
      </c>
      <c r="AN84" s="401">
        <f>IF('Lab test'!AU77&gt;0,'Lab test'!AU77,NA())</f>
        <v>0.78469261575680871</v>
      </c>
      <c r="AO84" s="401">
        <f>IF('Lab test'!AT77&gt;0,'Lab test'!AT77,NA())</f>
        <v>0.50063816274830664</v>
      </c>
      <c r="AP84">
        <f t="shared" si="34"/>
        <v>1</v>
      </c>
      <c r="AQ84" s="401">
        <f>'Lab test'!AZ77</f>
        <v>1960</v>
      </c>
      <c r="AR84" t="str">
        <f>'Lab test'!AC77</f>
        <v>LTWb</v>
      </c>
      <c r="AS84" t="str">
        <f>'Lab test'!T77</f>
        <v>Steel</v>
      </c>
      <c r="AX84" t="e">
        <f t="shared" si="45"/>
        <v>#N/A</v>
      </c>
      <c r="AY84">
        <f t="shared" si="42"/>
        <v>208911.228</v>
      </c>
      <c r="AZ84" t="e">
        <f t="shared" si="42"/>
        <v>#N/A</v>
      </c>
      <c r="BA84" t="e">
        <f t="shared" si="42"/>
        <v>#N/A</v>
      </c>
      <c r="BB84" t="e">
        <f t="shared" si="42"/>
        <v>#N/A</v>
      </c>
      <c r="BC84" t="e">
        <f t="shared" si="42"/>
        <v>#N/A</v>
      </c>
      <c r="BD84" t="e">
        <f t="shared" si="42"/>
        <v>#N/A</v>
      </c>
      <c r="BG84" t="e">
        <f t="shared" si="46"/>
        <v>#N/A</v>
      </c>
      <c r="BH84" t="e">
        <f t="shared" si="43"/>
        <v>#N/A</v>
      </c>
      <c r="BI84" t="e">
        <f t="shared" si="43"/>
        <v>#N/A</v>
      </c>
      <c r="BJ84" t="e">
        <f t="shared" si="43"/>
        <v>#N/A</v>
      </c>
      <c r="BK84" t="e">
        <f t="shared" si="43"/>
        <v>#N/A</v>
      </c>
      <c r="BL84" t="e">
        <f t="shared" si="43"/>
        <v>#N/A</v>
      </c>
      <c r="BM84" t="e">
        <f t="shared" si="43"/>
        <v>#N/A</v>
      </c>
      <c r="BP84" t="e">
        <f t="shared" si="47"/>
        <v>#N/A</v>
      </c>
      <c r="BQ84" t="e">
        <f t="shared" si="44"/>
        <v>#N/A</v>
      </c>
      <c r="BR84" t="e">
        <f t="shared" si="44"/>
        <v>#N/A</v>
      </c>
      <c r="BS84" t="e">
        <f t="shared" si="44"/>
        <v>#N/A</v>
      </c>
      <c r="BT84" t="e">
        <f t="shared" si="44"/>
        <v>#N/A</v>
      </c>
      <c r="BU84" t="e">
        <f t="shared" si="44"/>
        <v>#N/A</v>
      </c>
      <c r="BV84" t="e">
        <f t="shared" si="44"/>
        <v>#N/A</v>
      </c>
      <c r="BY84">
        <f t="shared" si="48"/>
        <v>208911.228</v>
      </c>
      <c r="BZ84">
        <v>216495.37900548655</v>
      </c>
      <c r="CA84" cm="1">
        <f t="array" ref="CA84">IF(ISNUMBER(BZ84),AF84/COUNT(IF(ISNUMBER(_xlfn.ANCHORARRAY($BZ$11)),_xlfn.ANCHORARRAY($BZ$11))),NA())</f>
        <v>0.94871794871794868</v>
      </c>
      <c r="CB84">
        <f t="shared" si="49"/>
        <v>0.94871794871794868</v>
      </c>
      <c r="CD84">
        <f t="shared" si="50"/>
        <v>0.94871794871794868</v>
      </c>
      <c r="CE84">
        <f t="shared" si="51"/>
        <v>216495.37900548655</v>
      </c>
      <c r="CG84" t="e">
        <v>#N/A</v>
      </c>
      <c r="CH84">
        <v>215805.90327000001</v>
      </c>
      <c r="CL84" t="e">
        <f t="shared" si="52"/>
        <v>#N/A</v>
      </c>
      <c r="CM84" t="e">
        <v>#N/A</v>
      </c>
      <c r="CN84" t="e" cm="1">
        <f t="array" ref="CN84">IF(ISNUMBER(CM84),AF84/COUNT(IF(ISNUMBER(_xlfn.ANCHORARRAY($CM$11)),_xlfn.ANCHORARRAY($CM$11))),NA())</f>
        <v>#N/A</v>
      </c>
      <c r="CO84" t="e">
        <f t="shared" si="53"/>
        <v>#N/A</v>
      </c>
      <c r="CQ84" t="e">
        <f t="shared" si="54"/>
        <v>#N/A</v>
      </c>
      <c r="CR84" t="e">
        <f t="shared" si="55"/>
        <v>#N/A</v>
      </c>
      <c r="CT84" t="e">
        <v>#N/A</v>
      </c>
      <c r="CU84" t="e">
        <v>#N/A</v>
      </c>
      <c r="CY84" t="e">
        <f t="shared" si="56"/>
        <v>#N/A</v>
      </c>
      <c r="CZ84" t="e">
        <v>#N/A</v>
      </c>
      <c r="DA84" t="e" cm="1">
        <f t="array" ref="DA84">IF(ISNUMBER(CZ84),AF84/COUNT(IF(ISNUMBER(_xlfn.ANCHORARRAY($CZ$11)),_xlfn.ANCHORARRAY($CZ$11))),NA())</f>
        <v>#N/A</v>
      </c>
      <c r="DB84" t="e">
        <f t="shared" si="57"/>
        <v>#N/A</v>
      </c>
      <c r="DD84" t="e">
        <f t="shared" si="58"/>
        <v>#N/A</v>
      </c>
      <c r="DE84" t="e">
        <f t="shared" si="59"/>
        <v>#N/A</v>
      </c>
      <c r="DG84" t="e">
        <v>#N/A</v>
      </c>
      <c r="DH84" t="e">
        <v>#N/A</v>
      </c>
    </row>
    <row r="85" spans="32:112">
      <c r="AF85">
        <v>75</v>
      </c>
      <c r="AG85" s="401">
        <f>'Lab test'!N78</f>
        <v>75.895200000000003</v>
      </c>
      <c r="AH85" s="401">
        <f>'Lab test'!M78</f>
        <v>0.30480000000000002</v>
      </c>
      <c r="AI85">
        <f>IF('Lab test'!O78&gt;0,'Lab test'!O78,NA())</f>
        <v>303.58080000000001</v>
      </c>
      <c r="AJ85">
        <f>'Lab test'!Q78</f>
        <v>249</v>
      </c>
      <c r="AK85" s="401">
        <f>IF('Lab test'!V78&gt;0,'Lab test'!V78,NA())</f>
        <v>224769.17600000001</v>
      </c>
      <c r="AL85" s="7">
        <f>IF(MAX('Lab test'!W78,'Lab test'!X78)&gt;0,MAX('Lab test'!W78,'Lab test'!X78),NA())</f>
        <v>268.89553443356607</v>
      </c>
      <c r="AM85" s="401">
        <f>IF('Lab test'!P78&gt;0,'Lab test'!P78,NA())</f>
        <v>0.25348970020979117</v>
      </c>
      <c r="AN85" s="401">
        <f>IF('Lab test'!AU78&gt;0,'Lab test'!AU78,NA())</f>
        <v>0.83589776406469851</v>
      </c>
      <c r="AO85" s="401">
        <f>IF('Lab test'!AT78&gt;0,'Lab test'!AT78,NA())</f>
        <v>0.41141551988227176</v>
      </c>
      <c r="AP85">
        <f t="shared" si="34"/>
        <v>1</v>
      </c>
      <c r="AQ85" s="401">
        <f>'Lab test'!AZ78</f>
        <v>1960</v>
      </c>
      <c r="AR85" t="str">
        <f>'Lab test'!AC78</f>
        <v>LTWb</v>
      </c>
      <c r="AS85" t="str">
        <f>'Lab test'!T78</f>
        <v>Steel</v>
      </c>
      <c r="AX85" t="e">
        <f t="shared" si="45"/>
        <v>#N/A</v>
      </c>
      <c r="AY85">
        <f t="shared" si="42"/>
        <v>224769.17600000001</v>
      </c>
      <c r="AZ85" t="e">
        <f t="shared" si="42"/>
        <v>#N/A</v>
      </c>
      <c r="BA85" t="e">
        <f t="shared" si="42"/>
        <v>#N/A</v>
      </c>
      <c r="BB85" t="e">
        <f t="shared" si="42"/>
        <v>#N/A</v>
      </c>
      <c r="BC85" t="e">
        <f t="shared" si="42"/>
        <v>#N/A</v>
      </c>
      <c r="BD85" t="e">
        <f t="shared" si="42"/>
        <v>#N/A</v>
      </c>
      <c r="BG85" t="e">
        <f t="shared" si="46"/>
        <v>#N/A</v>
      </c>
      <c r="BH85" t="e">
        <f t="shared" si="43"/>
        <v>#N/A</v>
      </c>
      <c r="BI85" t="e">
        <f t="shared" si="43"/>
        <v>#N/A</v>
      </c>
      <c r="BJ85" t="e">
        <f t="shared" si="43"/>
        <v>#N/A</v>
      </c>
      <c r="BK85" t="e">
        <f t="shared" si="43"/>
        <v>#N/A</v>
      </c>
      <c r="BL85" t="e">
        <f t="shared" si="43"/>
        <v>#N/A</v>
      </c>
      <c r="BM85" t="e">
        <f t="shared" si="43"/>
        <v>#N/A</v>
      </c>
      <c r="BP85" t="e">
        <f t="shared" si="47"/>
        <v>#N/A</v>
      </c>
      <c r="BQ85" t="e">
        <f t="shared" si="44"/>
        <v>#N/A</v>
      </c>
      <c r="BR85" t="e">
        <f t="shared" si="44"/>
        <v>#N/A</v>
      </c>
      <c r="BS85" t="e">
        <f t="shared" si="44"/>
        <v>#N/A</v>
      </c>
      <c r="BT85" t="e">
        <f t="shared" si="44"/>
        <v>#N/A</v>
      </c>
      <c r="BU85" t="e">
        <f t="shared" si="44"/>
        <v>#N/A</v>
      </c>
      <c r="BV85" t="e">
        <f t="shared" si="44"/>
        <v>#N/A</v>
      </c>
      <c r="BY85">
        <f t="shared" si="48"/>
        <v>224769.17600000001</v>
      </c>
      <c r="BZ85">
        <v>223390.22399999999</v>
      </c>
      <c r="CA85" cm="1">
        <f t="array" ref="CA85">IF(ISNUMBER(BZ85),AF85/COUNT(IF(ISNUMBER(_xlfn.ANCHORARRAY($BZ$11)),_xlfn.ANCHORARRAY($BZ$11))),NA())</f>
        <v>0.96153846153846156</v>
      </c>
      <c r="CB85">
        <f t="shared" si="49"/>
        <v>0.96153846153846156</v>
      </c>
      <c r="CD85">
        <f t="shared" si="50"/>
        <v>0.96153846153846156</v>
      </c>
      <c r="CE85">
        <f t="shared" si="51"/>
        <v>223390.22399999999</v>
      </c>
      <c r="CG85" t="e">
        <v>#N/A</v>
      </c>
      <c r="CH85">
        <v>216495.37900548655</v>
      </c>
      <c r="CL85" t="e">
        <f t="shared" si="52"/>
        <v>#N/A</v>
      </c>
      <c r="CM85" t="e">
        <v>#N/A</v>
      </c>
      <c r="CN85" t="e" cm="1">
        <f t="array" ref="CN85">IF(ISNUMBER(CM85),AF85/COUNT(IF(ISNUMBER(_xlfn.ANCHORARRAY($CM$11)),_xlfn.ANCHORARRAY($CM$11))),NA())</f>
        <v>#N/A</v>
      </c>
      <c r="CO85" t="e">
        <f t="shared" si="53"/>
        <v>#N/A</v>
      </c>
      <c r="CQ85" t="e">
        <f t="shared" si="54"/>
        <v>#N/A</v>
      </c>
      <c r="CR85" t="e">
        <f t="shared" si="55"/>
        <v>#N/A</v>
      </c>
      <c r="CT85" t="e">
        <v>#N/A</v>
      </c>
      <c r="CU85" t="e">
        <v>#N/A</v>
      </c>
      <c r="CY85" t="e">
        <f t="shared" si="56"/>
        <v>#N/A</v>
      </c>
      <c r="CZ85" t="e">
        <v>#N/A</v>
      </c>
      <c r="DA85" t="e" cm="1">
        <f t="array" ref="DA85">IF(ISNUMBER(CZ85),AF85/COUNT(IF(ISNUMBER(_xlfn.ANCHORARRAY($CZ$11)),_xlfn.ANCHORARRAY($CZ$11))),NA())</f>
        <v>#N/A</v>
      </c>
      <c r="DB85" t="e">
        <f t="shared" si="57"/>
        <v>#N/A</v>
      </c>
      <c r="DD85" t="e">
        <f t="shared" si="58"/>
        <v>#N/A</v>
      </c>
      <c r="DE85" t="e">
        <f t="shared" si="59"/>
        <v>#N/A</v>
      </c>
      <c r="DG85" t="e">
        <v>#N/A</v>
      </c>
      <c r="DH85" t="e">
        <v>#N/A</v>
      </c>
    </row>
    <row r="86" spans="32:112">
      <c r="AF86">
        <v>76</v>
      </c>
      <c r="AG86" s="401">
        <f>'Lab test'!N79</f>
        <v>75.895200000000003</v>
      </c>
      <c r="AH86" s="401">
        <f>'Lab test'!M79</f>
        <v>0.30480000000000002</v>
      </c>
      <c r="AI86">
        <f>IF('Lab test'!O79&gt;0,'Lab test'!O79,NA())</f>
        <v>151.79040000000001</v>
      </c>
      <c r="AJ86">
        <f>'Lab test'!Q79</f>
        <v>249</v>
      </c>
      <c r="AK86" s="401">
        <f>IF('Lab test'!V79&gt;0,'Lab test'!V79,NA())</f>
        <v>224769.17600000001</v>
      </c>
      <c r="AL86" s="7">
        <f>IF(MAX('Lab test'!W79,'Lab test'!X79)&gt;0,MAX('Lab test'!W79,'Lab test'!X79),NA())</f>
        <v>268.89553443356607</v>
      </c>
      <c r="AM86" s="401">
        <f>IF('Lab test'!P79&gt;0,'Lab test'!P79,NA())</f>
        <v>0.12674485010489558</v>
      </c>
      <c r="AN86" s="401">
        <f>IF('Lab test'!AU79&gt;0,'Lab test'!AU79,NA())</f>
        <v>0.8627539171270181</v>
      </c>
      <c r="AO86" s="401">
        <f>IF('Lab test'!AT79&gt;0,'Lab test'!AT79,NA())</f>
        <v>0.42463368919575839</v>
      </c>
      <c r="AP86">
        <f t="shared" si="34"/>
        <v>1</v>
      </c>
      <c r="AQ86" s="401">
        <f>'Lab test'!AZ79</f>
        <v>1960</v>
      </c>
      <c r="AR86" t="str">
        <f>'Lab test'!AC79</f>
        <v>LTWb</v>
      </c>
      <c r="AS86" t="str">
        <f>'Lab test'!T79</f>
        <v>Steel</v>
      </c>
      <c r="AX86" t="e">
        <f t="shared" si="45"/>
        <v>#N/A</v>
      </c>
      <c r="AY86">
        <f t="shared" si="42"/>
        <v>224769.17600000001</v>
      </c>
      <c r="AZ86" t="e">
        <f t="shared" si="42"/>
        <v>#N/A</v>
      </c>
      <c r="BA86" t="e">
        <f t="shared" si="42"/>
        <v>#N/A</v>
      </c>
      <c r="BB86" t="e">
        <f t="shared" si="42"/>
        <v>#N/A</v>
      </c>
      <c r="BC86" t="e">
        <f t="shared" si="42"/>
        <v>#N/A</v>
      </c>
      <c r="BD86" t="e">
        <f t="shared" si="42"/>
        <v>#N/A</v>
      </c>
      <c r="BG86" t="e">
        <f t="shared" si="46"/>
        <v>#N/A</v>
      </c>
      <c r="BH86" t="e">
        <f t="shared" si="43"/>
        <v>#N/A</v>
      </c>
      <c r="BI86" t="e">
        <f t="shared" si="43"/>
        <v>#N/A</v>
      </c>
      <c r="BJ86" t="e">
        <f t="shared" si="43"/>
        <v>#N/A</v>
      </c>
      <c r="BK86" t="e">
        <f t="shared" si="43"/>
        <v>#N/A</v>
      </c>
      <c r="BL86" t="e">
        <f t="shared" si="43"/>
        <v>#N/A</v>
      </c>
      <c r="BM86" t="e">
        <f t="shared" si="43"/>
        <v>#N/A</v>
      </c>
      <c r="BP86" t="e">
        <f t="shared" si="47"/>
        <v>#N/A</v>
      </c>
      <c r="BQ86" t="e">
        <f t="shared" si="44"/>
        <v>#N/A</v>
      </c>
      <c r="BR86" t="e">
        <f t="shared" si="44"/>
        <v>#N/A</v>
      </c>
      <c r="BS86" t="e">
        <f t="shared" si="44"/>
        <v>#N/A</v>
      </c>
      <c r="BT86" t="e">
        <f t="shared" si="44"/>
        <v>#N/A</v>
      </c>
      <c r="BU86" t="e">
        <f t="shared" si="44"/>
        <v>#N/A</v>
      </c>
      <c r="BV86" t="e">
        <f t="shared" si="44"/>
        <v>#N/A</v>
      </c>
      <c r="BY86">
        <f t="shared" si="48"/>
        <v>224769.17600000001</v>
      </c>
      <c r="BZ86">
        <v>224769.17600000001</v>
      </c>
      <c r="CA86" cm="1">
        <f t="array" ref="CA86">IF(ISNUMBER(BZ86),AF86/COUNT(IF(ISNUMBER(_xlfn.ANCHORARRAY($BZ$11)),_xlfn.ANCHORARRAY($BZ$11))),NA())</f>
        <v>0.97435897435897434</v>
      </c>
      <c r="CB86" t="e">
        <f t="shared" si="49"/>
        <v>#N/A</v>
      </c>
      <c r="CD86" t="e">
        <f t="shared" si="50"/>
        <v>#N/A</v>
      </c>
      <c r="CE86">
        <f t="shared" si="51"/>
        <v>224769.17600000001</v>
      </c>
      <c r="CG86" t="e">
        <v>#N/A</v>
      </c>
      <c r="CH86">
        <v>216495.37900548655</v>
      </c>
      <c r="CL86" t="e">
        <f t="shared" si="52"/>
        <v>#N/A</v>
      </c>
      <c r="CM86" t="e">
        <v>#N/A</v>
      </c>
      <c r="CN86" t="e" cm="1">
        <f t="array" ref="CN86">IF(ISNUMBER(CM86),AF86/COUNT(IF(ISNUMBER(_xlfn.ANCHORARRAY($CM$11)),_xlfn.ANCHORARRAY($CM$11))),NA())</f>
        <v>#N/A</v>
      </c>
      <c r="CO86" t="e">
        <f t="shared" si="53"/>
        <v>#N/A</v>
      </c>
      <c r="CQ86" t="e">
        <f t="shared" si="54"/>
        <v>#N/A</v>
      </c>
      <c r="CR86" t="e">
        <f t="shared" si="55"/>
        <v>#N/A</v>
      </c>
      <c r="CT86" t="e">
        <v>#N/A</v>
      </c>
      <c r="CU86" t="e">
        <v>#N/A</v>
      </c>
      <c r="CY86" t="e">
        <f t="shared" si="56"/>
        <v>#N/A</v>
      </c>
      <c r="CZ86" t="e">
        <v>#N/A</v>
      </c>
      <c r="DA86" t="e" cm="1">
        <f t="array" ref="DA86">IF(ISNUMBER(CZ86),AF86/COUNT(IF(ISNUMBER(_xlfn.ANCHORARRAY($CZ$11)),_xlfn.ANCHORARRAY($CZ$11))),NA())</f>
        <v>#N/A</v>
      </c>
      <c r="DB86" t="e">
        <f t="shared" si="57"/>
        <v>#N/A</v>
      </c>
      <c r="DD86" t="e">
        <f t="shared" si="58"/>
        <v>#N/A</v>
      </c>
      <c r="DE86" t="e">
        <f t="shared" si="59"/>
        <v>#N/A</v>
      </c>
      <c r="DG86" t="e">
        <v>#N/A</v>
      </c>
      <c r="DH86" t="e">
        <v>#N/A</v>
      </c>
    </row>
    <row r="87" spans="32:112">
      <c r="AF87">
        <v>77</v>
      </c>
      <c r="AG87" s="401">
        <f>'Lab test'!N80</f>
        <v>72.009</v>
      </c>
      <c r="AH87" s="401">
        <f>'Lab test'!M80</f>
        <v>7.3151999999999995E-2</v>
      </c>
      <c r="AI87">
        <f>IF('Lab test'!O80&gt;0,'Lab test'!O80,NA())</f>
        <v>152.39999999999998</v>
      </c>
      <c r="AJ87">
        <f>'Lab test'!Q80</f>
        <v>984.37500000000011</v>
      </c>
      <c r="AK87" s="401">
        <f>IF('Lab test'!V80&gt;0,'Lab test'!V80,NA())</f>
        <v>215805.90327000001</v>
      </c>
      <c r="AL87" s="7">
        <f>IF(MAX('Lab test'!W80,'Lab test'!X80)&gt;0,MAX('Lab test'!W80,'Lab test'!X80),NA())</f>
        <v>393.00116496000004</v>
      </c>
      <c r="AM87" s="401">
        <f>IF('Lab test'!P80&gt;0,'Lab test'!P80,NA())</f>
        <v>6.7455582890124502E-2</v>
      </c>
      <c r="AN87" s="401">
        <f>IF('Lab test'!AU80&gt;0,'Lab test'!AU80,NA())</f>
        <v>8.1418793104341983E-2</v>
      </c>
      <c r="AO87" s="401">
        <f>IF('Lab test'!AT80&gt;0,'Lab test'!AT80,NA())</f>
        <v>0.2411554474956889</v>
      </c>
      <c r="AP87">
        <f t="shared" ref="AP87:AP150" si="60">IF(AND(OR(ISNUMBER(AN87),ISNUMBER(AO87)),ISNUMBER(AK87),ISNUMBER(AL87)),1,NA())</f>
        <v>1</v>
      </c>
      <c r="AQ87" s="401">
        <f>'Lab test'!AZ80</f>
        <v>1934</v>
      </c>
      <c r="AR87" t="str">
        <f>'Lab test'!AC80</f>
        <v>LTWb</v>
      </c>
      <c r="AS87" t="str">
        <f>'Lab test'!T80</f>
        <v>Steel</v>
      </c>
      <c r="AX87" t="e">
        <f t="shared" si="45"/>
        <v>#N/A</v>
      </c>
      <c r="AY87" t="e">
        <f t="shared" si="42"/>
        <v>#N/A</v>
      </c>
      <c r="AZ87" t="e">
        <f t="shared" si="42"/>
        <v>#N/A</v>
      </c>
      <c r="BA87" t="e">
        <f t="shared" si="42"/>
        <v>#N/A</v>
      </c>
      <c r="BB87">
        <f t="shared" si="42"/>
        <v>215805.90327000001</v>
      </c>
      <c r="BC87" t="e">
        <f t="shared" si="42"/>
        <v>#N/A</v>
      </c>
      <c r="BD87" t="e">
        <f t="shared" si="42"/>
        <v>#N/A</v>
      </c>
      <c r="BG87" t="e">
        <f t="shared" si="46"/>
        <v>#N/A</v>
      </c>
      <c r="BH87" t="e">
        <f t="shared" si="43"/>
        <v>#N/A</v>
      </c>
      <c r="BI87" t="e">
        <f t="shared" si="43"/>
        <v>#N/A</v>
      </c>
      <c r="BJ87" t="e">
        <f t="shared" si="43"/>
        <v>#N/A</v>
      </c>
      <c r="BK87" t="e">
        <f t="shared" si="43"/>
        <v>#N/A</v>
      </c>
      <c r="BL87" t="e">
        <f t="shared" si="43"/>
        <v>#N/A</v>
      </c>
      <c r="BM87" t="e">
        <f t="shared" si="43"/>
        <v>#N/A</v>
      </c>
      <c r="BP87" t="e">
        <f t="shared" si="47"/>
        <v>#N/A</v>
      </c>
      <c r="BQ87" t="e">
        <f t="shared" si="44"/>
        <v>#N/A</v>
      </c>
      <c r="BR87" t="e">
        <f t="shared" si="44"/>
        <v>#N/A</v>
      </c>
      <c r="BS87" t="e">
        <f t="shared" si="44"/>
        <v>#N/A</v>
      </c>
      <c r="BT87" t="e">
        <f t="shared" si="44"/>
        <v>#N/A</v>
      </c>
      <c r="BU87" t="e">
        <f t="shared" si="44"/>
        <v>#N/A</v>
      </c>
      <c r="BV87" t="e">
        <f t="shared" si="44"/>
        <v>#N/A</v>
      </c>
      <c r="BY87">
        <f t="shared" si="48"/>
        <v>215805.90327000001</v>
      </c>
      <c r="BZ87">
        <v>224769.17600000001</v>
      </c>
      <c r="CA87" cm="1">
        <f t="array" ref="CA87">IF(ISNUMBER(BZ87),AF87/COUNT(IF(ISNUMBER(_xlfn.ANCHORARRAY($BZ$11)),_xlfn.ANCHORARRAY($BZ$11))),NA())</f>
        <v>0.98717948717948723</v>
      </c>
      <c r="CB87">
        <f t="shared" si="49"/>
        <v>0.98717948717948723</v>
      </c>
      <c r="CD87">
        <f t="shared" si="50"/>
        <v>0.98717948717948723</v>
      </c>
      <c r="CE87">
        <f t="shared" si="51"/>
        <v>224769.17600000001</v>
      </c>
      <c r="CG87" t="e">
        <v>#N/A</v>
      </c>
      <c r="CH87">
        <v>216495.37900548655</v>
      </c>
      <c r="CL87" t="e">
        <f t="shared" si="52"/>
        <v>#N/A</v>
      </c>
      <c r="CM87" t="e">
        <v>#N/A</v>
      </c>
      <c r="CN87" t="e" cm="1">
        <f t="array" ref="CN87">IF(ISNUMBER(CM87),AF87/COUNT(IF(ISNUMBER(_xlfn.ANCHORARRAY($CM$11)),_xlfn.ANCHORARRAY($CM$11))),NA())</f>
        <v>#N/A</v>
      </c>
      <c r="CO87" t="e">
        <f t="shared" si="53"/>
        <v>#N/A</v>
      </c>
      <c r="CQ87" t="e">
        <f t="shared" si="54"/>
        <v>#N/A</v>
      </c>
      <c r="CR87" t="e">
        <f t="shared" si="55"/>
        <v>#N/A</v>
      </c>
      <c r="CT87" t="e">
        <v>#N/A</v>
      </c>
      <c r="CU87" t="e">
        <v>#N/A</v>
      </c>
      <c r="CY87" t="e">
        <f t="shared" si="56"/>
        <v>#N/A</v>
      </c>
      <c r="CZ87" t="e">
        <v>#N/A</v>
      </c>
      <c r="DA87" t="e" cm="1">
        <f t="array" ref="DA87">IF(ISNUMBER(CZ87),AF87/COUNT(IF(ISNUMBER(_xlfn.ANCHORARRAY($CZ$11)),_xlfn.ANCHORARRAY($CZ$11))),NA())</f>
        <v>#N/A</v>
      </c>
      <c r="DB87" t="e">
        <f t="shared" si="57"/>
        <v>#N/A</v>
      </c>
      <c r="DD87" t="e">
        <f t="shared" si="58"/>
        <v>#N/A</v>
      </c>
      <c r="DE87" t="e">
        <f t="shared" si="59"/>
        <v>#N/A</v>
      </c>
      <c r="DG87" t="e">
        <v>#N/A</v>
      </c>
      <c r="DH87" t="e">
        <v>#N/A</v>
      </c>
    </row>
    <row r="88" spans="32:112">
      <c r="AF88">
        <v>78</v>
      </c>
      <c r="AG88" s="401">
        <f>'Lab test'!N81</f>
        <v>72.009</v>
      </c>
      <c r="AH88" s="401">
        <f>'Lab test'!M81</f>
        <v>7.0611999999999994E-2</v>
      </c>
      <c r="AI88">
        <f>IF('Lab test'!O81&gt;0,'Lab test'!O81,NA())</f>
        <v>152.39999999999998</v>
      </c>
      <c r="AJ88">
        <f>'Lab test'!Q81</f>
        <v>1019.7841726618706</v>
      </c>
      <c r="AK88" s="401">
        <f>IF('Lab test'!V81&gt;0,'Lab test'!V81,NA())</f>
        <v>215805.90327000001</v>
      </c>
      <c r="AL88" s="7">
        <f>IF(MAX('Lab test'!W81,'Lab test'!X81)&gt;0,MAX('Lab test'!W81,'Lab test'!X81),NA())</f>
        <v>393.00116496000004</v>
      </c>
      <c r="AM88" s="401">
        <f>IF('Lab test'!P81&gt;0,'Lab test'!P81,NA())</f>
        <v>6.6274132772494526E-2</v>
      </c>
      <c r="AN88" s="401">
        <f>IF('Lab test'!AU81&gt;0,'Lab test'!AU81,NA())</f>
        <v>8.6828336277165408E-2</v>
      </c>
      <c r="AO88" s="401">
        <f>IF('Lab test'!AT81&gt;0,'Lab test'!AT81,NA())</f>
        <v>0.26642905703710262</v>
      </c>
      <c r="AP88">
        <f t="shared" si="60"/>
        <v>1</v>
      </c>
      <c r="AQ88" s="401">
        <f>'Lab test'!AZ81</f>
        <v>1934</v>
      </c>
      <c r="AR88" t="str">
        <f>'Lab test'!AC81</f>
        <v>LTWb</v>
      </c>
      <c r="AS88" t="str">
        <f>'Lab test'!T81</f>
        <v>Steel</v>
      </c>
      <c r="AX88" t="e">
        <f t="shared" si="45"/>
        <v>#N/A</v>
      </c>
      <c r="AY88" t="e">
        <f t="shared" si="42"/>
        <v>#N/A</v>
      </c>
      <c r="AZ88" t="e">
        <f t="shared" si="42"/>
        <v>#N/A</v>
      </c>
      <c r="BA88" t="e">
        <f t="shared" si="42"/>
        <v>#N/A</v>
      </c>
      <c r="BB88">
        <f t="shared" si="42"/>
        <v>215805.90327000001</v>
      </c>
      <c r="BC88" t="e">
        <f t="shared" si="42"/>
        <v>#N/A</v>
      </c>
      <c r="BD88" t="e">
        <f t="shared" si="42"/>
        <v>#N/A</v>
      </c>
      <c r="BG88" t="e">
        <f t="shared" si="46"/>
        <v>#N/A</v>
      </c>
      <c r="BH88" t="e">
        <f t="shared" si="43"/>
        <v>#N/A</v>
      </c>
      <c r="BI88" t="e">
        <f t="shared" si="43"/>
        <v>#N/A</v>
      </c>
      <c r="BJ88" t="e">
        <f t="shared" si="43"/>
        <v>#N/A</v>
      </c>
      <c r="BK88" t="e">
        <f t="shared" si="43"/>
        <v>#N/A</v>
      </c>
      <c r="BL88" t="e">
        <f t="shared" si="43"/>
        <v>#N/A</v>
      </c>
      <c r="BM88" t="e">
        <f t="shared" si="43"/>
        <v>#N/A</v>
      </c>
      <c r="BP88" t="e">
        <f t="shared" si="47"/>
        <v>#N/A</v>
      </c>
      <c r="BQ88" t="e">
        <f t="shared" si="44"/>
        <v>#N/A</v>
      </c>
      <c r="BR88" t="e">
        <f t="shared" si="44"/>
        <v>#N/A</v>
      </c>
      <c r="BS88" t="e">
        <f t="shared" si="44"/>
        <v>#N/A</v>
      </c>
      <c r="BT88" t="e">
        <f t="shared" si="44"/>
        <v>#N/A</v>
      </c>
      <c r="BU88" t="e">
        <f t="shared" si="44"/>
        <v>#N/A</v>
      </c>
      <c r="BV88" t="e">
        <f t="shared" si="44"/>
        <v>#N/A</v>
      </c>
      <c r="BY88">
        <f t="shared" si="48"/>
        <v>215805.90327000001</v>
      </c>
      <c r="BZ88">
        <v>237179.74400000001</v>
      </c>
      <c r="CA88" cm="1">
        <f t="array" ref="CA88">IF(ISNUMBER(BZ88),AF88/COUNT(IF(ISNUMBER(_xlfn.ANCHORARRAY($BZ$11)),_xlfn.ANCHORARRAY($BZ$11))),NA())</f>
        <v>1</v>
      </c>
      <c r="CB88" t="e">
        <f t="shared" si="49"/>
        <v>#N/A</v>
      </c>
      <c r="CD88">
        <v>1</v>
      </c>
      <c r="CE88">
        <f t="shared" si="51"/>
        <v>237179.74400000001</v>
      </c>
      <c r="CG88" t="e">
        <v>#N/A</v>
      </c>
      <c r="CH88">
        <v>224769.17600000001</v>
      </c>
      <c r="CL88" t="e">
        <f t="shared" si="52"/>
        <v>#N/A</v>
      </c>
      <c r="CM88" t="e">
        <v>#N/A</v>
      </c>
      <c r="CN88" t="e" cm="1">
        <f t="array" ref="CN88">IF(ISNUMBER(CM88),AF88/COUNT(IF(ISNUMBER(_xlfn.ANCHORARRAY($CM$11)),_xlfn.ANCHORARRAY($CM$11))),NA())</f>
        <v>#N/A</v>
      </c>
      <c r="CO88" t="e">
        <f t="shared" si="53"/>
        <v>#N/A</v>
      </c>
      <c r="CQ88" t="e">
        <f t="shared" si="54"/>
        <v>#N/A</v>
      </c>
      <c r="CR88" t="e">
        <f t="shared" si="55"/>
        <v>#N/A</v>
      </c>
      <c r="CT88" t="e">
        <v>#N/A</v>
      </c>
      <c r="CU88" t="e">
        <v>#N/A</v>
      </c>
      <c r="CY88" t="e">
        <f t="shared" si="56"/>
        <v>#N/A</v>
      </c>
      <c r="CZ88" t="e">
        <v>#N/A</v>
      </c>
      <c r="DA88" t="e" cm="1">
        <f t="array" ref="DA88">IF(ISNUMBER(CZ88),AF88/COUNT(IF(ISNUMBER(_xlfn.ANCHORARRAY($CZ$11)),_xlfn.ANCHORARRAY($CZ$11))),NA())</f>
        <v>#N/A</v>
      </c>
      <c r="DB88" t="e">
        <f t="shared" si="57"/>
        <v>#N/A</v>
      </c>
      <c r="DD88" t="e">
        <f t="shared" si="58"/>
        <v>#N/A</v>
      </c>
      <c r="DE88" t="e">
        <f t="shared" si="59"/>
        <v>#N/A</v>
      </c>
      <c r="DG88" t="e">
        <v>#N/A</v>
      </c>
      <c r="DH88" t="e">
        <v>#N/A</v>
      </c>
    </row>
    <row r="89" spans="32:112">
      <c r="AF89">
        <v>79</v>
      </c>
      <c r="AG89" s="401">
        <f>'Lab test'!N82</f>
        <v>47.625</v>
      </c>
      <c r="AH89" s="401">
        <f>'Lab test'!M82</f>
        <v>7.4167999999999998E-2</v>
      </c>
      <c r="AI89">
        <f>IF('Lab test'!O82&gt;0,'Lab test'!O82,NA())</f>
        <v>152.39999999999998</v>
      </c>
      <c r="AJ89">
        <f>'Lab test'!Q82</f>
        <v>642.1232876712329</v>
      </c>
      <c r="AK89" s="401">
        <f>IF('Lab test'!V82&gt;0,'Lab test'!V82,NA())</f>
        <v>215805.90327000001</v>
      </c>
      <c r="AL89" s="7">
        <f>IF(MAX('Lab test'!W82,'Lab test'!X82)&gt;0,MAX('Lab test'!W82,'Lab test'!X82),NA())</f>
        <v>393.00116496000004</v>
      </c>
      <c r="AM89" s="401">
        <f>IF('Lab test'!P82&gt;0,'Lab test'!P82,NA())</f>
        <v>0.12628180127529592</v>
      </c>
      <c r="AN89" s="401">
        <f>IF('Lab test'!AU82&gt;0,'Lab test'!AU82,NA())</f>
        <v>0.12447982158240503</v>
      </c>
      <c r="AO89" s="401">
        <f>IF('Lab test'!AT82&gt;0,'Lab test'!AT82,NA())</f>
        <v>0.24050782929894216</v>
      </c>
      <c r="AP89">
        <f t="shared" si="60"/>
        <v>1</v>
      </c>
      <c r="AQ89" s="401">
        <f>'Lab test'!AZ82</f>
        <v>1934</v>
      </c>
      <c r="AR89" t="str">
        <f>'Lab test'!AC82</f>
        <v>LTWb</v>
      </c>
      <c r="AS89" t="str">
        <f>'Lab test'!T82</f>
        <v>Steel</v>
      </c>
      <c r="AX89" t="e">
        <f t="shared" si="45"/>
        <v>#N/A</v>
      </c>
      <c r="AY89" t="e">
        <f t="shared" si="42"/>
        <v>#N/A</v>
      </c>
      <c r="AZ89">
        <f t="shared" si="42"/>
        <v>215805.90327000001</v>
      </c>
      <c r="BA89" t="e">
        <f t="shared" si="42"/>
        <v>#N/A</v>
      </c>
      <c r="BB89" t="e">
        <f t="shared" si="42"/>
        <v>#N/A</v>
      </c>
      <c r="BC89" t="e">
        <f t="shared" si="42"/>
        <v>#N/A</v>
      </c>
      <c r="BD89" t="e">
        <f t="shared" si="42"/>
        <v>#N/A</v>
      </c>
      <c r="BG89" t="e">
        <f t="shared" si="46"/>
        <v>#N/A</v>
      </c>
      <c r="BH89" t="e">
        <f t="shared" si="43"/>
        <v>#N/A</v>
      </c>
      <c r="BI89" t="e">
        <f t="shared" si="43"/>
        <v>#N/A</v>
      </c>
      <c r="BJ89" t="e">
        <f t="shared" si="43"/>
        <v>#N/A</v>
      </c>
      <c r="BK89" t="e">
        <f t="shared" si="43"/>
        <v>#N/A</v>
      </c>
      <c r="BL89" t="e">
        <f t="shared" si="43"/>
        <v>#N/A</v>
      </c>
      <c r="BM89" t="e">
        <f t="shared" si="43"/>
        <v>#N/A</v>
      </c>
      <c r="BP89" t="e">
        <f t="shared" si="47"/>
        <v>#N/A</v>
      </c>
      <c r="BQ89" t="e">
        <f t="shared" si="44"/>
        <v>#N/A</v>
      </c>
      <c r="BR89" t="e">
        <f t="shared" si="44"/>
        <v>#N/A</v>
      </c>
      <c r="BS89" t="e">
        <f t="shared" si="44"/>
        <v>#N/A</v>
      </c>
      <c r="BT89" t="e">
        <f t="shared" si="44"/>
        <v>#N/A</v>
      </c>
      <c r="BU89" t="e">
        <f t="shared" si="44"/>
        <v>#N/A</v>
      </c>
      <c r="BV89" t="e">
        <f t="shared" si="44"/>
        <v>#N/A</v>
      </c>
      <c r="BY89">
        <f t="shared" si="48"/>
        <v>215805.90327000001</v>
      </c>
      <c r="BZ89" t="e">
        <v>#N/A</v>
      </c>
      <c r="CA89" t="e" cm="1">
        <f t="array" ref="CA89">IF(ISNUMBER(BZ89),AF89/COUNT(IF(ISNUMBER(_xlfn.ANCHORARRAY($BZ$11)),_xlfn.ANCHORARRAY($BZ$11))),NA())</f>
        <v>#N/A</v>
      </c>
      <c r="CB89" t="e">
        <f t="shared" si="49"/>
        <v>#N/A</v>
      </c>
      <c r="CD89" t="e">
        <f t="shared" si="50"/>
        <v>#N/A</v>
      </c>
      <c r="CE89" t="e">
        <f t="shared" si="51"/>
        <v>#N/A</v>
      </c>
      <c r="CG89" t="e">
        <v>#N/A</v>
      </c>
      <c r="CH89" t="e">
        <v>#N/A</v>
      </c>
      <c r="CL89" t="e">
        <f t="shared" si="52"/>
        <v>#N/A</v>
      </c>
      <c r="CM89" t="e">
        <v>#N/A</v>
      </c>
      <c r="CN89" t="e" cm="1">
        <f t="array" ref="CN89">IF(ISNUMBER(CM89),AF89/COUNT(IF(ISNUMBER(_xlfn.ANCHORARRAY($CM$11)),_xlfn.ANCHORARRAY($CM$11))),NA())</f>
        <v>#N/A</v>
      </c>
      <c r="CO89" t="e">
        <f t="shared" si="53"/>
        <v>#N/A</v>
      </c>
      <c r="CQ89" t="e">
        <f t="shared" si="54"/>
        <v>#N/A</v>
      </c>
      <c r="CR89" t="e">
        <f t="shared" si="55"/>
        <v>#N/A</v>
      </c>
      <c r="CT89" t="e">
        <v>#N/A</v>
      </c>
      <c r="CU89" t="e">
        <v>#N/A</v>
      </c>
      <c r="CY89" t="e">
        <f t="shared" si="56"/>
        <v>#N/A</v>
      </c>
      <c r="CZ89" t="e">
        <v>#N/A</v>
      </c>
      <c r="DA89" t="e" cm="1">
        <f t="array" ref="DA89">IF(ISNUMBER(CZ89),AF89/COUNT(IF(ISNUMBER(_xlfn.ANCHORARRAY($CZ$11)),_xlfn.ANCHORARRAY($CZ$11))),NA())</f>
        <v>#N/A</v>
      </c>
      <c r="DB89" t="e">
        <f t="shared" si="57"/>
        <v>#N/A</v>
      </c>
      <c r="DD89" t="e">
        <f t="shared" si="58"/>
        <v>#N/A</v>
      </c>
      <c r="DE89" t="e">
        <f t="shared" si="59"/>
        <v>#N/A</v>
      </c>
      <c r="DG89" t="e">
        <v>#N/A</v>
      </c>
      <c r="DH89" t="e">
        <v>#N/A</v>
      </c>
    </row>
    <row r="90" spans="32:112">
      <c r="AF90">
        <v>80</v>
      </c>
      <c r="AG90" s="401">
        <f>'Lab test'!N83</f>
        <v>47.625</v>
      </c>
      <c r="AH90" s="401">
        <f>'Lab test'!M83</f>
        <v>7.0611999999999994E-2</v>
      </c>
      <c r="AI90">
        <f>IF('Lab test'!O83&gt;0,'Lab test'!O83,NA())</f>
        <v>152.39999999999998</v>
      </c>
      <c r="AJ90">
        <f>'Lab test'!Q83</f>
        <v>674.46043165467631</v>
      </c>
      <c r="AK90" s="401">
        <f>IF('Lab test'!V83&gt;0,'Lab test'!V83,NA())</f>
        <v>215805.90327000001</v>
      </c>
      <c r="AL90" s="7">
        <f>IF(MAX('Lab test'!W83,'Lab test'!X83)&gt;0,MAX('Lab test'!W83,'Lab test'!X83),NA())</f>
        <v>393.00116496000004</v>
      </c>
      <c r="AM90" s="401">
        <f>IF('Lab test'!P83&gt;0,'Lab test'!P83,NA())</f>
        <v>0.12321731480058581</v>
      </c>
      <c r="AN90" s="401">
        <f>IF('Lab test'!AU83&gt;0,'Lab test'!AU83,NA())</f>
        <v>0.16397159184501497</v>
      </c>
      <c r="AO90" s="401">
        <f>IF('Lab test'!AT83&gt;0,'Lab test'!AT83,NA())</f>
        <v>0.33276445491164647</v>
      </c>
      <c r="AP90">
        <f t="shared" si="60"/>
        <v>1</v>
      </c>
      <c r="AQ90" s="401">
        <f>'Lab test'!AZ83</f>
        <v>1934</v>
      </c>
      <c r="AR90" t="str">
        <f>'Lab test'!AC83</f>
        <v>LTWb</v>
      </c>
      <c r="AS90" t="str">
        <f>'Lab test'!T83</f>
        <v>Steel</v>
      </c>
      <c r="AX90" t="e">
        <f t="shared" si="45"/>
        <v>#N/A</v>
      </c>
      <c r="AY90" t="e">
        <f t="shared" si="42"/>
        <v>#N/A</v>
      </c>
      <c r="AZ90" t="e">
        <f t="shared" si="42"/>
        <v>#N/A</v>
      </c>
      <c r="BA90">
        <f t="shared" si="42"/>
        <v>215805.90327000001</v>
      </c>
      <c r="BB90" t="e">
        <f t="shared" si="42"/>
        <v>#N/A</v>
      </c>
      <c r="BC90" t="e">
        <f t="shared" si="42"/>
        <v>#N/A</v>
      </c>
      <c r="BD90" t="e">
        <f t="shared" si="42"/>
        <v>#N/A</v>
      </c>
      <c r="BG90" t="e">
        <f t="shared" si="46"/>
        <v>#N/A</v>
      </c>
      <c r="BH90" t="e">
        <f t="shared" si="43"/>
        <v>#N/A</v>
      </c>
      <c r="BI90" t="e">
        <f t="shared" si="43"/>
        <v>#N/A</v>
      </c>
      <c r="BJ90" t="e">
        <f t="shared" si="43"/>
        <v>#N/A</v>
      </c>
      <c r="BK90" t="e">
        <f t="shared" si="43"/>
        <v>#N/A</v>
      </c>
      <c r="BL90" t="e">
        <f t="shared" si="43"/>
        <v>#N/A</v>
      </c>
      <c r="BM90" t="e">
        <f t="shared" si="43"/>
        <v>#N/A</v>
      </c>
      <c r="BP90" t="e">
        <f t="shared" si="47"/>
        <v>#N/A</v>
      </c>
      <c r="BQ90" t="e">
        <f t="shared" si="44"/>
        <v>#N/A</v>
      </c>
      <c r="BR90" t="e">
        <f t="shared" si="44"/>
        <v>#N/A</v>
      </c>
      <c r="BS90" t="e">
        <f t="shared" si="44"/>
        <v>#N/A</v>
      </c>
      <c r="BT90" t="e">
        <f t="shared" si="44"/>
        <v>#N/A</v>
      </c>
      <c r="BU90" t="e">
        <f t="shared" si="44"/>
        <v>#N/A</v>
      </c>
      <c r="BV90" t="e">
        <f t="shared" si="44"/>
        <v>#N/A</v>
      </c>
      <c r="BY90">
        <f t="shared" si="48"/>
        <v>215805.90327000001</v>
      </c>
      <c r="BZ90" t="e">
        <v>#N/A</v>
      </c>
      <c r="CA90" t="e" cm="1">
        <f t="array" ref="CA90">IF(ISNUMBER(BZ90),AF90/COUNT(IF(ISNUMBER(_xlfn.ANCHORARRAY($BZ$11)),_xlfn.ANCHORARRAY($BZ$11))),NA())</f>
        <v>#N/A</v>
      </c>
      <c r="CB90" t="e">
        <f t="shared" si="49"/>
        <v>#N/A</v>
      </c>
      <c r="CD90" t="e">
        <f t="shared" si="50"/>
        <v>#N/A</v>
      </c>
      <c r="CE90" t="e">
        <f t="shared" si="51"/>
        <v>#N/A</v>
      </c>
      <c r="CG90" t="e">
        <v>#N/A</v>
      </c>
      <c r="CH90" t="e">
        <v>#N/A</v>
      </c>
      <c r="CL90" t="e">
        <f t="shared" si="52"/>
        <v>#N/A</v>
      </c>
      <c r="CM90" t="e">
        <v>#N/A</v>
      </c>
      <c r="CN90" t="e" cm="1">
        <f t="array" ref="CN90">IF(ISNUMBER(CM90),AF90/COUNT(IF(ISNUMBER(_xlfn.ANCHORARRAY($CM$11)),_xlfn.ANCHORARRAY($CM$11))),NA())</f>
        <v>#N/A</v>
      </c>
      <c r="CO90" t="e">
        <f t="shared" si="53"/>
        <v>#N/A</v>
      </c>
      <c r="CQ90" t="e">
        <f t="shared" si="54"/>
        <v>#N/A</v>
      </c>
      <c r="CR90" t="e">
        <f t="shared" si="55"/>
        <v>#N/A</v>
      </c>
      <c r="CT90" t="e">
        <v>#N/A</v>
      </c>
      <c r="CU90" t="e">
        <v>#N/A</v>
      </c>
      <c r="CY90" t="e">
        <f t="shared" si="56"/>
        <v>#N/A</v>
      </c>
      <c r="CZ90" t="e">
        <v>#N/A</v>
      </c>
      <c r="DA90" t="e" cm="1">
        <f t="array" ref="DA90">IF(ISNUMBER(CZ90),AF90/COUNT(IF(ISNUMBER(_xlfn.ANCHORARRAY($CZ$11)),_xlfn.ANCHORARRAY($CZ$11))),NA())</f>
        <v>#N/A</v>
      </c>
      <c r="DB90" t="e">
        <f t="shared" si="57"/>
        <v>#N/A</v>
      </c>
      <c r="DD90" t="e">
        <f t="shared" si="58"/>
        <v>#N/A</v>
      </c>
      <c r="DE90" t="e">
        <f t="shared" si="59"/>
        <v>#N/A</v>
      </c>
      <c r="DG90" t="e">
        <v>#N/A</v>
      </c>
      <c r="DH90" t="e">
        <v>#N/A</v>
      </c>
    </row>
    <row r="91" spans="32:112">
      <c r="AF91">
        <v>81</v>
      </c>
      <c r="AG91" s="401">
        <f>'Lab test'!N84</f>
        <v>23.939499999999999</v>
      </c>
      <c r="AH91" s="401">
        <f>'Lab test'!M84</f>
        <v>7.2135999999999992E-2</v>
      </c>
      <c r="AI91">
        <f>IF('Lab test'!O84&gt;0,'Lab test'!O84,NA())</f>
        <v>152.39999999999998</v>
      </c>
      <c r="AJ91">
        <f>'Lab test'!Q84</f>
        <v>331.86619718309862</v>
      </c>
      <c r="AK91" s="401">
        <f>IF('Lab test'!V84&gt;0,'Lab test'!V84,NA())</f>
        <v>215805.90327000001</v>
      </c>
      <c r="AL91" s="7">
        <f>IF(MAX('Lab test'!W84,'Lab test'!X84)&gt;0,MAX('Lab test'!W84,'Lab test'!X84),NA())</f>
        <v>393.00116496000004</v>
      </c>
      <c r="AM91" s="401">
        <f>IF('Lab test'!P84&gt;0,'Lab test'!P84,NA())</f>
        <v>0.34945268531428747</v>
      </c>
      <c r="AN91" s="401">
        <f>IF('Lab test'!AU84&gt;0,'Lab test'!AU84,NA())</f>
        <v>0.29426774669959133</v>
      </c>
      <c r="AO91" s="401">
        <f>IF('Lab test'!AT84&gt;0,'Lab test'!AT84,NA())</f>
        <v>0.29384447099213151</v>
      </c>
      <c r="AP91">
        <f t="shared" si="60"/>
        <v>1</v>
      </c>
      <c r="AQ91" s="401">
        <f>'Lab test'!AZ84</f>
        <v>1934</v>
      </c>
      <c r="AR91" t="str">
        <f>'Lab test'!AC84</f>
        <v>LTWb</v>
      </c>
      <c r="AS91" t="str">
        <f>'Lab test'!T84</f>
        <v>Steel</v>
      </c>
      <c r="AX91" t="e">
        <f t="shared" si="45"/>
        <v>#N/A</v>
      </c>
      <c r="AY91">
        <f t="shared" si="42"/>
        <v>215805.90327000001</v>
      </c>
      <c r="AZ91" t="e">
        <f t="shared" si="42"/>
        <v>#N/A</v>
      </c>
      <c r="BA91" t="e">
        <f t="shared" si="42"/>
        <v>#N/A</v>
      </c>
      <c r="BB91" t="e">
        <f t="shared" si="42"/>
        <v>#N/A</v>
      </c>
      <c r="BC91" t="e">
        <f t="shared" si="42"/>
        <v>#N/A</v>
      </c>
      <c r="BD91" t="e">
        <f t="shared" si="42"/>
        <v>#N/A</v>
      </c>
      <c r="BG91" t="e">
        <f t="shared" si="46"/>
        <v>#N/A</v>
      </c>
      <c r="BH91" t="e">
        <f t="shared" si="43"/>
        <v>#N/A</v>
      </c>
      <c r="BI91" t="e">
        <f t="shared" si="43"/>
        <v>#N/A</v>
      </c>
      <c r="BJ91" t="e">
        <f t="shared" si="43"/>
        <v>#N/A</v>
      </c>
      <c r="BK91" t="e">
        <f t="shared" si="43"/>
        <v>#N/A</v>
      </c>
      <c r="BL91" t="e">
        <f t="shared" si="43"/>
        <v>#N/A</v>
      </c>
      <c r="BM91" t="e">
        <f t="shared" si="43"/>
        <v>#N/A</v>
      </c>
      <c r="BP91" t="e">
        <f t="shared" si="47"/>
        <v>#N/A</v>
      </c>
      <c r="BQ91" t="e">
        <f t="shared" si="44"/>
        <v>#N/A</v>
      </c>
      <c r="BR91" t="e">
        <f t="shared" si="44"/>
        <v>#N/A</v>
      </c>
      <c r="BS91" t="e">
        <f t="shared" si="44"/>
        <v>#N/A</v>
      </c>
      <c r="BT91" t="e">
        <f t="shared" si="44"/>
        <v>#N/A</v>
      </c>
      <c r="BU91" t="e">
        <f t="shared" si="44"/>
        <v>#N/A</v>
      </c>
      <c r="BV91" t="e">
        <f t="shared" si="44"/>
        <v>#N/A</v>
      </c>
      <c r="BY91">
        <f t="shared" si="48"/>
        <v>215805.90327000001</v>
      </c>
      <c r="BZ91" t="e">
        <v>#N/A</v>
      </c>
      <c r="CA91" t="e" cm="1">
        <f t="array" ref="CA91">IF(ISNUMBER(BZ91),AF91/COUNT(IF(ISNUMBER(_xlfn.ANCHORARRAY($BZ$11)),_xlfn.ANCHORARRAY($BZ$11))),NA())</f>
        <v>#N/A</v>
      </c>
      <c r="CB91" t="e">
        <f t="shared" si="49"/>
        <v>#N/A</v>
      </c>
      <c r="CD91" t="e">
        <f t="shared" si="50"/>
        <v>#N/A</v>
      </c>
      <c r="CE91" t="e">
        <f t="shared" si="51"/>
        <v>#N/A</v>
      </c>
      <c r="CG91" t="e">
        <v>#N/A</v>
      </c>
      <c r="CH91" t="e">
        <v>#N/A</v>
      </c>
      <c r="CL91" t="e">
        <f t="shared" si="52"/>
        <v>#N/A</v>
      </c>
      <c r="CM91" t="e">
        <v>#N/A</v>
      </c>
      <c r="CN91" t="e" cm="1">
        <f t="array" ref="CN91">IF(ISNUMBER(CM91),AF91/COUNT(IF(ISNUMBER(_xlfn.ANCHORARRAY($CM$11)),_xlfn.ANCHORARRAY($CM$11))),NA())</f>
        <v>#N/A</v>
      </c>
      <c r="CO91" t="e">
        <f t="shared" si="53"/>
        <v>#N/A</v>
      </c>
      <c r="CQ91" t="e">
        <f t="shared" si="54"/>
        <v>#N/A</v>
      </c>
      <c r="CR91" t="e">
        <f t="shared" si="55"/>
        <v>#N/A</v>
      </c>
      <c r="CT91" t="e">
        <v>#N/A</v>
      </c>
      <c r="CU91" t="e">
        <v>#N/A</v>
      </c>
      <c r="CY91" t="e">
        <f t="shared" si="56"/>
        <v>#N/A</v>
      </c>
      <c r="CZ91" t="e">
        <v>#N/A</v>
      </c>
      <c r="DA91" t="e" cm="1">
        <f t="array" ref="DA91">IF(ISNUMBER(CZ91),AF91/COUNT(IF(ISNUMBER(_xlfn.ANCHORARRAY($CZ$11)),_xlfn.ANCHORARRAY($CZ$11))),NA())</f>
        <v>#N/A</v>
      </c>
      <c r="DB91" t="e">
        <f t="shared" si="57"/>
        <v>#N/A</v>
      </c>
      <c r="DD91" t="e">
        <f t="shared" si="58"/>
        <v>#N/A</v>
      </c>
      <c r="DE91" t="e">
        <f t="shared" si="59"/>
        <v>#N/A</v>
      </c>
      <c r="DG91" t="e">
        <v>#N/A</v>
      </c>
      <c r="DH91" t="e">
        <v>#N/A</v>
      </c>
    </row>
    <row r="92" spans="32:112">
      <c r="AF92">
        <v>82</v>
      </c>
      <c r="AG92" s="401">
        <f>'Lab test'!N85</f>
        <v>23.939499999999999</v>
      </c>
      <c r="AH92" s="401">
        <f>'Lab test'!M85</f>
        <v>6.9087999999999997E-2</v>
      </c>
      <c r="AI92">
        <f>IF('Lab test'!O85&gt;0,'Lab test'!O85,NA())</f>
        <v>152.39999999999998</v>
      </c>
      <c r="AJ92">
        <f>'Lab test'!Q85</f>
        <v>346.50735294117646</v>
      </c>
      <c r="AK92" s="401">
        <f>IF('Lab test'!V85&gt;0,'Lab test'!V85,NA())</f>
        <v>215805.90327000001</v>
      </c>
      <c r="AL92" s="7">
        <f>IF(MAX('Lab test'!W85,'Lab test'!X85)&gt;0,MAX('Lab test'!W85,'Lab test'!X85),NA())</f>
        <v>393.00116496000004</v>
      </c>
      <c r="AM92" s="401">
        <f>IF('Lab test'!P85&gt;0,'Lab test'!P85,NA())</f>
        <v>0.34199020228509303</v>
      </c>
      <c r="AN92" s="401">
        <f>IF('Lab test'!AU85&gt;0,'Lab test'!AU85,NA())</f>
        <v>0.41620410022873988</v>
      </c>
      <c r="AO92" s="401">
        <f>IF('Lab test'!AT85&gt;0,'Lab test'!AT85,NA())</f>
        <v>0.43394096457861686</v>
      </c>
      <c r="AP92">
        <f t="shared" si="60"/>
        <v>1</v>
      </c>
      <c r="AQ92" s="401">
        <f>'Lab test'!AZ85</f>
        <v>1934</v>
      </c>
      <c r="AR92" t="str">
        <f>'Lab test'!AC85</f>
        <v>LTWb</v>
      </c>
      <c r="AS92" t="str">
        <f>'Lab test'!T85</f>
        <v>Steel</v>
      </c>
      <c r="AX92" t="e">
        <f t="shared" si="45"/>
        <v>#N/A</v>
      </c>
      <c r="AY92">
        <f t="shared" si="42"/>
        <v>215805.90327000001</v>
      </c>
      <c r="AZ92" t="e">
        <f t="shared" si="42"/>
        <v>#N/A</v>
      </c>
      <c r="BA92" t="e">
        <f t="shared" si="42"/>
        <v>#N/A</v>
      </c>
      <c r="BB92" t="e">
        <f t="shared" si="42"/>
        <v>#N/A</v>
      </c>
      <c r="BC92" t="e">
        <f t="shared" si="42"/>
        <v>#N/A</v>
      </c>
      <c r="BD92" t="e">
        <f t="shared" si="42"/>
        <v>#N/A</v>
      </c>
      <c r="BG92" t="e">
        <f t="shared" si="46"/>
        <v>#N/A</v>
      </c>
      <c r="BH92" t="e">
        <f t="shared" si="43"/>
        <v>#N/A</v>
      </c>
      <c r="BI92" t="e">
        <f t="shared" si="43"/>
        <v>#N/A</v>
      </c>
      <c r="BJ92" t="e">
        <f t="shared" si="43"/>
        <v>#N/A</v>
      </c>
      <c r="BK92" t="e">
        <f t="shared" si="43"/>
        <v>#N/A</v>
      </c>
      <c r="BL92" t="e">
        <f t="shared" si="43"/>
        <v>#N/A</v>
      </c>
      <c r="BM92" t="e">
        <f t="shared" si="43"/>
        <v>#N/A</v>
      </c>
      <c r="BP92" t="e">
        <f t="shared" si="47"/>
        <v>#N/A</v>
      </c>
      <c r="BQ92" t="e">
        <f t="shared" si="44"/>
        <v>#N/A</v>
      </c>
      <c r="BR92" t="e">
        <f t="shared" si="44"/>
        <v>#N/A</v>
      </c>
      <c r="BS92" t="e">
        <f t="shared" si="44"/>
        <v>#N/A</v>
      </c>
      <c r="BT92" t="e">
        <f t="shared" si="44"/>
        <v>#N/A</v>
      </c>
      <c r="BU92" t="e">
        <f t="shared" si="44"/>
        <v>#N/A</v>
      </c>
      <c r="BV92" t="e">
        <f t="shared" si="44"/>
        <v>#N/A</v>
      </c>
      <c r="BY92">
        <f t="shared" si="48"/>
        <v>215805.90327000001</v>
      </c>
      <c r="BZ92" t="e">
        <v>#N/A</v>
      </c>
      <c r="CA92" t="e" cm="1">
        <f t="array" ref="CA92">IF(ISNUMBER(BZ92),AF92/COUNT(IF(ISNUMBER(_xlfn.ANCHORARRAY($BZ$11)),_xlfn.ANCHORARRAY($BZ$11))),NA())</f>
        <v>#N/A</v>
      </c>
      <c r="CB92" t="e">
        <f t="shared" si="49"/>
        <v>#N/A</v>
      </c>
      <c r="CD92" t="e">
        <f t="shared" si="50"/>
        <v>#N/A</v>
      </c>
      <c r="CE92" t="e">
        <f t="shared" si="51"/>
        <v>#N/A</v>
      </c>
      <c r="CG92" t="e">
        <v>#N/A</v>
      </c>
      <c r="CH92" t="e">
        <v>#N/A</v>
      </c>
      <c r="CL92" t="e">
        <f t="shared" si="52"/>
        <v>#N/A</v>
      </c>
      <c r="CM92" t="e">
        <v>#N/A</v>
      </c>
      <c r="CN92" t="e" cm="1">
        <f t="array" ref="CN92">IF(ISNUMBER(CM92),AF92/COUNT(IF(ISNUMBER(_xlfn.ANCHORARRAY($CM$11)),_xlfn.ANCHORARRAY($CM$11))),NA())</f>
        <v>#N/A</v>
      </c>
      <c r="CO92" t="e">
        <f t="shared" si="53"/>
        <v>#N/A</v>
      </c>
      <c r="CQ92" t="e">
        <f t="shared" si="54"/>
        <v>#N/A</v>
      </c>
      <c r="CR92" t="e">
        <f t="shared" si="55"/>
        <v>#N/A</v>
      </c>
      <c r="CT92" t="e">
        <v>#N/A</v>
      </c>
      <c r="CU92" t="e">
        <v>#N/A</v>
      </c>
      <c r="CY92" t="e">
        <f t="shared" si="56"/>
        <v>#N/A</v>
      </c>
      <c r="CZ92" t="e">
        <v>#N/A</v>
      </c>
      <c r="DA92" t="e" cm="1">
        <f t="array" ref="DA92">IF(ISNUMBER(CZ92),AF92/COUNT(IF(ISNUMBER(_xlfn.ANCHORARRAY($CZ$11)),_xlfn.ANCHORARRAY($CZ$11))),NA())</f>
        <v>#N/A</v>
      </c>
      <c r="DB92" t="e">
        <f t="shared" si="57"/>
        <v>#N/A</v>
      </c>
      <c r="DD92" t="e">
        <f t="shared" si="58"/>
        <v>#N/A</v>
      </c>
      <c r="DE92" t="e">
        <f t="shared" si="59"/>
        <v>#N/A</v>
      </c>
      <c r="DG92" t="e">
        <v>#N/A</v>
      </c>
      <c r="DH92" t="e">
        <v>#N/A</v>
      </c>
    </row>
    <row r="93" spans="32:112">
      <c r="AF93">
        <v>83</v>
      </c>
      <c r="AG93" s="401">
        <f>'Lab test'!N86</f>
        <v>72.009</v>
      </c>
      <c r="AH93" s="401">
        <f>'Lab test'!M86</f>
        <v>5.5118E-2</v>
      </c>
      <c r="AI93">
        <f>IF('Lab test'!O86&gt;0,'Lab test'!O86,NA())</f>
        <v>152.39999999999998</v>
      </c>
      <c r="AJ93">
        <f>'Lab test'!Q86</f>
        <v>1306.4516129032259</v>
      </c>
      <c r="AK93" s="401">
        <f>IF('Lab test'!V86&gt;0,'Lab test'!V86,NA())</f>
        <v>215805.90327000001</v>
      </c>
      <c r="AL93" s="7">
        <f>IF(MAX('Lab test'!W86,'Lab test'!X86)&gt;0,MAX('Lab test'!W86,'Lab test'!X86),NA())</f>
        <v>393.00116496000004</v>
      </c>
      <c r="AM93" s="401">
        <f>IF('Lab test'!P86&gt;0,'Lab test'!P86,NA())</f>
        <v>5.8553319684838241E-2</v>
      </c>
      <c r="AN93" s="401">
        <f>IF('Lab test'!AU86&gt;0,'Lab test'!AU86,NA())</f>
        <v>3.4505954836150668E-2</v>
      </c>
      <c r="AO93" s="401">
        <f>IF('Lab test'!AT86&gt;0,'Lab test'!AT86,NA())</f>
        <v>0.13564357259641754</v>
      </c>
      <c r="AP93">
        <f t="shared" si="60"/>
        <v>1</v>
      </c>
      <c r="AQ93" s="401">
        <f>'Lab test'!AZ86</f>
        <v>1934</v>
      </c>
      <c r="AR93" t="str">
        <f>'Lab test'!AC86</f>
        <v>LTWb</v>
      </c>
      <c r="AS93" t="str">
        <f>'Lab test'!T86</f>
        <v>Steel</v>
      </c>
      <c r="AX93" t="e">
        <f t="shared" si="45"/>
        <v>#N/A</v>
      </c>
      <c r="AY93" t="e">
        <f t="shared" si="42"/>
        <v>#N/A</v>
      </c>
      <c r="AZ93" t="e">
        <f t="shared" si="42"/>
        <v>#N/A</v>
      </c>
      <c r="BA93" t="e">
        <f t="shared" si="42"/>
        <v>#N/A</v>
      </c>
      <c r="BB93" t="e">
        <f t="shared" si="42"/>
        <v>#N/A</v>
      </c>
      <c r="BC93" t="e">
        <f t="shared" si="42"/>
        <v>#N/A</v>
      </c>
      <c r="BD93">
        <f t="shared" si="42"/>
        <v>215805.90327000001</v>
      </c>
      <c r="BG93" t="e">
        <f t="shared" si="46"/>
        <v>#N/A</v>
      </c>
      <c r="BH93" t="e">
        <f t="shared" si="43"/>
        <v>#N/A</v>
      </c>
      <c r="BI93" t="e">
        <f t="shared" si="43"/>
        <v>#N/A</v>
      </c>
      <c r="BJ93" t="e">
        <f t="shared" si="43"/>
        <v>#N/A</v>
      </c>
      <c r="BK93" t="e">
        <f t="shared" si="43"/>
        <v>#N/A</v>
      </c>
      <c r="BL93" t="e">
        <f t="shared" si="43"/>
        <v>#N/A</v>
      </c>
      <c r="BM93" t="e">
        <f t="shared" si="43"/>
        <v>#N/A</v>
      </c>
      <c r="BP93" t="e">
        <f t="shared" si="47"/>
        <v>#N/A</v>
      </c>
      <c r="BQ93" t="e">
        <f t="shared" si="44"/>
        <v>#N/A</v>
      </c>
      <c r="BR93" t="e">
        <f t="shared" si="44"/>
        <v>#N/A</v>
      </c>
      <c r="BS93" t="e">
        <f t="shared" si="44"/>
        <v>#N/A</v>
      </c>
      <c r="BT93" t="e">
        <f t="shared" si="44"/>
        <v>#N/A</v>
      </c>
      <c r="BU93" t="e">
        <f t="shared" si="44"/>
        <v>#N/A</v>
      </c>
      <c r="BV93" t="e">
        <f t="shared" si="44"/>
        <v>#N/A</v>
      </c>
      <c r="BY93">
        <f t="shared" si="48"/>
        <v>215805.90327000001</v>
      </c>
      <c r="BZ93" t="e">
        <v>#N/A</v>
      </c>
      <c r="CA93" t="e" cm="1">
        <f t="array" ref="CA93">IF(ISNUMBER(BZ93),AF93/COUNT(IF(ISNUMBER(_xlfn.ANCHORARRAY($BZ$11)),_xlfn.ANCHORARRAY($BZ$11))),NA())</f>
        <v>#N/A</v>
      </c>
      <c r="CB93" t="e">
        <f t="shared" si="49"/>
        <v>#N/A</v>
      </c>
      <c r="CD93" t="e">
        <f t="shared" si="50"/>
        <v>#N/A</v>
      </c>
      <c r="CE93" t="e">
        <f t="shared" si="51"/>
        <v>#N/A</v>
      </c>
      <c r="CG93" t="e">
        <v>#N/A</v>
      </c>
      <c r="CH93" t="e">
        <v>#N/A</v>
      </c>
      <c r="CL93" t="e">
        <f t="shared" si="52"/>
        <v>#N/A</v>
      </c>
      <c r="CM93" t="e">
        <v>#N/A</v>
      </c>
      <c r="CN93" t="e" cm="1">
        <f t="array" ref="CN93">IF(ISNUMBER(CM93),AF93/COUNT(IF(ISNUMBER(_xlfn.ANCHORARRAY($CM$11)),_xlfn.ANCHORARRAY($CM$11))),NA())</f>
        <v>#N/A</v>
      </c>
      <c r="CO93" t="e">
        <f t="shared" si="53"/>
        <v>#N/A</v>
      </c>
      <c r="CQ93" t="e">
        <f t="shared" si="54"/>
        <v>#N/A</v>
      </c>
      <c r="CR93" t="e">
        <f t="shared" si="55"/>
        <v>#N/A</v>
      </c>
      <c r="CT93" t="e">
        <v>#N/A</v>
      </c>
      <c r="CU93" t="e">
        <v>#N/A</v>
      </c>
      <c r="CY93" t="e">
        <f t="shared" si="56"/>
        <v>#N/A</v>
      </c>
      <c r="CZ93" t="e">
        <v>#N/A</v>
      </c>
      <c r="DA93" t="e" cm="1">
        <f t="array" ref="DA93">IF(ISNUMBER(CZ93),AF93/COUNT(IF(ISNUMBER(_xlfn.ANCHORARRAY($CZ$11)),_xlfn.ANCHORARRAY($CZ$11))),NA())</f>
        <v>#N/A</v>
      </c>
      <c r="DB93" t="e">
        <f t="shared" si="57"/>
        <v>#N/A</v>
      </c>
      <c r="DD93" t="e">
        <f t="shared" si="58"/>
        <v>#N/A</v>
      </c>
      <c r="DE93" t="e">
        <f t="shared" si="59"/>
        <v>#N/A</v>
      </c>
      <c r="DG93" t="e">
        <v>#N/A</v>
      </c>
      <c r="DH93" t="e">
        <v>#N/A</v>
      </c>
    </row>
    <row r="94" spans="32:112">
      <c r="AF94">
        <v>84</v>
      </c>
      <c r="AG94" s="401">
        <f>'Lab test'!N87</f>
        <v>72.009</v>
      </c>
      <c r="AH94" s="401">
        <f>'Lab test'!M87</f>
        <v>5.3593999999999996E-2</v>
      </c>
      <c r="AI94">
        <f>IF('Lab test'!O87&gt;0,'Lab test'!O87,NA())</f>
        <v>152.39999999999998</v>
      </c>
      <c r="AJ94">
        <f>'Lab test'!Q87</f>
        <v>1343.6018957345973</v>
      </c>
      <c r="AK94" s="401">
        <f>IF('Lab test'!V87&gt;0,'Lab test'!V87,NA())</f>
        <v>215805.90327000001</v>
      </c>
      <c r="AL94" s="7">
        <f>IF(MAX('Lab test'!W87,'Lab test'!X87)&gt;0,MAX('Lab test'!W87,'Lab test'!X87),NA())</f>
        <v>393.00116496000004</v>
      </c>
      <c r="AM94" s="401">
        <f>IF('Lab test'!P87&gt;0,'Lab test'!P87,NA())</f>
        <v>5.7738152491526175E-2</v>
      </c>
      <c r="AN94" s="401">
        <f>IF('Lab test'!AU87&gt;0,'Lab test'!AU87,NA())</f>
        <v>3.8288785255329569E-2</v>
      </c>
      <c r="AO94" s="401">
        <f>IF('Lab test'!AT87&gt;0,'Lab test'!AT87,NA())</f>
        <v>0.15479396936850673</v>
      </c>
      <c r="AP94">
        <f t="shared" si="60"/>
        <v>1</v>
      </c>
      <c r="AQ94" s="401">
        <f>'Lab test'!AZ87</f>
        <v>1934</v>
      </c>
      <c r="AR94" t="str">
        <f>'Lab test'!AC87</f>
        <v>LTWb</v>
      </c>
      <c r="AS94" t="str">
        <f>'Lab test'!T87</f>
        <v>Steel</v>
      </c>
      <c r="AX94" t="e">
        <f t="shared" si="45"/>
        <v>#N/A</v>
      </c>
      <c r="AY94" t="e">
        <f t="shared" si="42"/>
        <v>#N/A</v>
      </c>
      <c r="AZ94" t="e">
        <f t="shared" si="42"/>
        <v>#N/A</v>
      </c>
      <c r="BA94" t="e">
        <f t="shared" si="42"/>
        <v>#N/A</v>
      </c>
      <c r="BB94" t="e">
        <f t="shared" si="42"/>
        <v>#N/A</v>
      </c>
      <c r="BC94" t="e">
        <f t="shared" si="42"/>
        <v>#N/A</v>
      </c>
      <c r="BD94">
        <f t="shared" si="42"/>
        <v>215805.90327000001</v>
      </c>
      <c r="BG94" t="e">
        <f t="shared" si="46"/>
        <v>#N/A</v>
      </c>
      <c r="BH94" t="e">
        <f t="shared" si="43"/>
        <v>#N/A</v>
      </c>
      <c r="BI94" t="e">
        <f t="shared" si="43"/>
        <v>#N/A</v>
      </c>
      <c r="BJ94" t="e">
        <f t="shared" si="43"/>
        <v>#N/A</v>
      </c>
      <c r="BK94" t="e">
        <f t="shared" si="43"/>
        <v>#N/A</v>
      </c>
      <c r="BL94" t="e">
        <f t="shared" si="43"/>
        <v>#N/A</v>
      </c>
      <c r="BM94" t="e">
        <f t="shared" si="43"/>
        <v>#N/A</v>
      </c>
      <c r="BP94" t="e">
        <f t="shared" si="47"/>
        <v>#N/A</v>
      </c>
      <c r="BQ94" t="e">
        <f t="shared" si="44"/>
        <v>#N/A</v>
      </c>
      <c r="BR94" t="e">
        <f t="shared" si="44"/>
        <v>#N/A</v>
      </c>
      <c r="BS94" t="e">
        <f t="shared" si="44"/>
        <v>#N/A</v>
      </c>
      <c r="BT94" t="e">
        <f t="shared" si="44"/>
        <v>#N/A</v>
      </c>
      <c r="BU94" t="e">
        <f t="shared" si="44"/>
        <v>#N/A</v>
      </c>
      <c r="BV94" t="e">
        <f t="shared" si="44"/>
        <v>#N/A</v>
      </c>
      <c r="BY94">
        <f t="shared" si="48"/>
        <v>215805.90327000001</v>
      </c>
      <c r="BZ94" t="e">
        <v>#N/A</v>
      </c>
      <c r="CA94" t="e" cm="1">
        <f t="array" ref="CA94">IF(ISNUMBER(BZ94),AF94/COUNT(IF(ISNUMBER(_xlfn.ANCHORARRAY($BZ$11)),_xlfn.ANCHORARRAY($BZ$11))),NA())</f>
        <v>#N/A</v>
      </c>
      <c r="CB94" t="e">
        <f t="shared" si="49"/>
        <v>#N/A</v>
      </c>
      <c r="CD94" t="e">
        <f t="shared" si="50"/>
        <v>#N/A</v>
      </c>
      <c r="CE94" t="e">
        <f t="shared" si="51"/>
        <v>#N/A</v>
      </c>
      <c r="CG94" t="e">
        <v>#N/A</v>
      </c>
      <c r="CH94" t="e">
        <v>#N/A</v>
      </c>
      <c r="CL94" t="e">
        <f t="shared" si="52"/>
        <v>#N/A</v>
      </c>
      <c r="CM94" t="e">
        <v>#N/A</v>
      </c>
      <c r="CN94" t="e" cm="1">
        <f t="array" ref="CN94">IF(ISNUMBER(CM94),AF94/COUNT(IF(ISNUMBER(_xlfn.ANCHORARRAY($CM$11)),_xlfn.ANCHORARRAY($CM$11))),NA())</f>
        <v>#N/A</v>
      </c>
      <c r="CO94" t="e">
        <f t="shared" si="53"/>
        <v>#N/A</v>
      </c>
      <c r="CQ94" t="e">
        <f t="shared" si="54"/>
        <v>#N/A</v>
      </c>
      <c r="CR94" t="e">
        <f t="shared" si="55"/>
        <v>#N/A</v>
      </c>
      <c r="CT94" t="e">
        <v>#N/A</v>
      </c>
      <c r="CU94" t="e">
        <v>#N/A</v>
      </c>
      <c r="CY94" t="e">
        <f t="shared" si="56"/>
        <v>#N/A</v>
      </c>
      <c r="CZ94" t="e">
        <v>#N/A</v>
      </c>
      <c r="DA94" t="e" cm="1">
        <f t="array" ref="DA94">IF(ISNUMBER(CZ94),AF94/COUNT(IF(ISNUMBER(_xlfn.ANCHORARRAY($CZ$11)),_xlfn.ANCHORARRAY($CZ$11))),NA())</f>
        <v>#N/A</v>
      </c>
      <c r="DB94" t="e">
        <f t="shared" si="57"/>
        <v>#N/A</v>
      </c>
      <c r="DD94" t="e">
        <f t="shared" si="58"/>
        <v>#N/A</v>
      </c>
      <c r="DE94" t="e">
        <f t="shared" si="59"/>
        <v>#N/A</v>
      </c>
      <c r="DG94" t="e">
        <v>#N/A</v>
      </c>
      <c r="DH94" t="e">
        <v>#N/A</v>
      </c>
    </row>
    <row r="95" spans="32:112">
      <c r="AF95">
        <v>85</v>
      </c>
      <c r="AG95" s="401">
        <f>'Lab test'!N88</f>
        <v>47.625</v>
      </c>
      <c r="AH95" s="401">
        <f>'Lab test'!M88</f>
        <v>5.5371999999999998E-2</v>
      </c>
      <c r="AI95">
        <f>IF('Lab test'!O88&gt;0,'Lab test'!O88,NA())</f>
        <v>152.39999999999998</v>
      </c>
      <c r="AJ95">
        <f>'Lab test'!Q88</f>
        <v>860.09174311926608</v>
      </c>
      <c r="AK95" s="401">
        <f>IF('Lab test'!V88&gt;0,'Lab test'!V88,NA())</f>
        <v>215805.90327000001</v>
      </c>
      <c r="AL95" s="7">
        <f>IF(MAX('Lab test'!W88,'Lab test'!X88)&gt;0,MAX('Lab test'!W88,'Lab test'!X88),NA())</f>
        <v>393.00116496000004</v>
      </c>
      <c r="AM95" s="401">
        <f>IF('Lab test'!P88&gt;0,'Lab test'!P88,NA())</f>
        <v>0.10911327447504572</v>
      </c>
      <c r="AN95" s="401">
        <f>IF('Lab test'!AU88&gt;0,'Lab test'!AU88,NA())</f>
        <v>9.0883936512525992E-2</v>
      </c>
      <c r="AO95" s="401">
        <f>IF('Lab test'!AT88&gt;0,'Lab test'!AT88,NA())</f>
        <v>0.2352034831345686</v>
      </c>
      <c r="AP95">
        <f t="shared" si="60"/>
        <v>1</v>
      </c>
      <c r="AQ95" s="401">
        <f>'Lab test'!AZ88</f>
        <v>1934</v>
      </c>
      <c r="AR95" t="str">
        <f>'Lab test'!AC88</f>
        <v>LTWb</v>
      </c>
      <c r="AS95" t="str">
        <f>'Lab test'!T88</f>
        <v>Steel</v>
      </c>
      <c r="AX95" t="e">
        <f t="shared" si="45"/>
        <v>#N/A</v>
      </c>
      <c r="AY95" t="e">
        <f t="shared" si="42"/>
        <v>#N/A</v>
      </c>
      <c r="AZ95" t="e">
        <f t="shared" si="42"/>
        <v>#N/A</v>
      </c>
      <c r="BA95" t="e">
        <f t="shared" si="42"/>
        <v>#N/A</v>
      </c>
      <c r="BB95">
        <f t="shared" si="42"/>
        <v>215805.90327000001</v>
      </c>
      <c r="BC95" t="e">
        <f t="shared" si="42"/>
        <v>#N/A</v>
      </c>
      <c r="BD95" t="e">
        <f t="shared" si="42"/>
        <v>#N/A</v>
      </c>
      <c r="BG95" t="e">
        <f t="shared" si="46"/>
        <v>#N/A</v>
      </c>
      <c r="BH95" t="e">
        <f t="shared" si="43"/>
        <v>#N/A</v>
      </c>
      <c r="BI95" t="e">
        <f t="shared" si="43"/>
        <v>#N/A</v>
      </c>
      <c r="BJ95" t="e">
        <f t="shared" si="43"/>
        <v>#N/A</v>
      </c>
      <c r="BK95" t="e">
        <f t="shared" si="43"/>
        <v>#N/A</v>
      </c>
      <c r="BL95" t="e">
        <f t="shared" si="43"/>
        <v>#N/A</v>
      </c>
      <c r="BM95" t="e">
        <f t="shared" si="43"/>
        <v>#N/A</v>
      </c>
      <c r="BP95" t="e">
        <f t="shared" si="47"/>
        <v>#N/A</v>
      </c>
      <c r="BQ95" t="e">
        <f t="shared" si="44"/>
        <v>#N/A</v>
      </c>
      <c r="BR95" t="e">
        <f t="shared" si="44"/>
        <v>#N/A</v>
      </c>
      <c r="BS95" t="e">
        <f t="shared" si="44"/>
        <v>#N/A</v>
      </c>
      <c r="BT95" t="e">
        <f t="shared" si="44"/>
        <v>#N/A</v>
      </c>
      <c r="BU95" t="e">
        <f t="shared" si="44"/>
        <v>#N/A</v>
      </c>
      <c r="BV95" t="e">
        <f t="shared" si="44"/>
        <v>#N/A</v>
      </c>
      <c r="BY95">
        <f t="shared" si="48"/>
        <v>215805.90327000001</v>
      </c>
      <c r="BZ95" t="e">
        <v>#N/A</v>
      </c>
      <c r="CA95" t="e" cm="1">
        <f t="array" ref="CA95">IF(ISNUMBER(BZ95),AF95/COUNT(IF(ISNUMBER(_xlfn.ANCHORARRAY($BZ$11)),_xlfn.ANCHORARRAY($BZ$11))),NA())</f>
        <v>#N/A</v>
      </c>
      <c r="CB95" t="e">
        <f t="shared" si="49"/>
        <v>#N/A</v>
      </c>
      <c r="CD95" t="e">
        <f t="shared" si="50"/>
        <v>#N/A</v>
      </c>
      <c r="CE95" t="e">
        <f t="shared" si="51"/>
        <v>#N/A</v>
      </c>
      <c r="CG95" t="e">
        <v>#N/A</v>
      </c>
      <c r="CH95" t="e">
        <v>#N/A</v>
      </c>
      <c r="CL95" t="e">
        <f t="shared" si="52"/>
        <v>#N/A</v>
      </c>
      <c r="CM95" t="e">
        <v>#N/A</v>
      </c>
      <c r="CN95" t="e" cm="1">
        <f t="array" ref="CN95">IF(ISNUMBER(CM95),AF95/COUNT(IF(ISNUMBER(_xlfn.ANCHORARRAY($CM$11)),_xlfn.ANCHORARRAY($CM$11))),NA())</f>
        <v>#N/A</v>
      </c>
      <c r="CO95" t="e">
        <f t="shared" si="53"/>
        <v>#N/A</v>
      </c>
      <c r="CQ95" t="e">
        <f t="shared" si="54"/>
        <v>#N/A</v>
      </c>
      <c r="CR95" t="e">
        <f t="shared" si="55"/>
        <v>#N/A</v>
      </c>
      <c r="CT95" t="e">
        <v>#N/A</v>
      </c>
      <c r="CU95" t="e">
        <v>#N/A</v>
      </c>
      <c r="CY95" t="e">
        <f t="shared" si="56"/>
        <v>#N/A</v>
      </c>
      <c r="CZ95" t="e">
        <v>#N/A</v>
      </c>
      <c r="DA95" t="e" cm="1">
        <f t="array" ref="DA95">IF(ISNUMBER(CZ95),AF95/COUNT(IF(ISNUMBER(_xlfn.ANCHORARRAY($CZ$11)),_xlfn.ANCHORARRAY($CZ$11))),NA())</f>
        <v>#N/A</v>
      </c>
      <c r="DB95" t="e">
        <f t="shared" si="57"/>
        <v>#N/A</v>
      </c>
      <c r="DD95" t="e">
        <f t="shared" si="58"/>
        <v>#N/A</v>
      </c>
      <c r="DE95" t="e">
        <f t="shared" si="59"/>
        <v>#N/A</v>
      </c>
      <c r="DG95" t="e">
        <v>#N/A</v>
      </c>
      <c r="DH95" t="e">
        <v>#N/A</v>
      </c>
    </row>
    <row r="96" spans="32:112">
      <c r="AF96">
        <v>86</v>
      </c>
      <c r="AG96" s="401">
        <f>'Lab test'!N89</f>
        <v>47.625</v>
      </c>
      <c r="AH96" s="401">
        <f>'Lab test'!M89</f>
        <v>5.4101999999999997E-2</v>
      </c>
      <c r="AI96">
        <f>IF('Lab test'!O89&gt;0,'Lab test'!O89,NA())</f>
        <v>152.39999999999998</v>
      </c>
      <c r="AJ96">
        <f>'Lab test'!Q89</f>
        <v>880.28169014084506</v>
      </c>
      <c r="AK96" s="401">
        <f>IF('Lab test'!V89&gt;0,'Lab test'!V89,NA())</f>
        <v>215805.90327000001</v>
      </c>
      <c r="AL96" s="7">
        <f>IF(MAX('Lab test'!W89,'Lab test'!X89)&gt;0,MAX('Lab test'!W89,'Lab test'!X89),NA())</f>
        <v>393.00116496000004</v>
      </c>
      <c r="AM96" s="401">
        <f>IF('Lab test'!P89&gt;0,'Lab test'!P89,NA())</f>
        <v>0.10785471709665738</v>
      </c>
      <c r="AN96" s="401">
        <f>IF('Lab test'!AU89&gt;0,'Lab test'!AU89,NA())</f>
        <v>0.11120120750457747</v>
      </c>
      <c r="AO96" s="401">
        <f>IF('Lab test'!AT89&gt;0,'Lab test'!AT89,NA())</f>
        <v>0.29453913877225468</v>
      </c>
      <c r="AP96">
        <f t="shared" si="60"/>
        <v>1</v>
      </c>
      <c r="AQ96" s="401">
        <f>'Lab test'!AZ89</f>
        <v>1934</v>
      </c>
      <c r="AR96" t="str">
        <f>'Lab test'!AC89</f>
        <v>LTWb</v>
      </c>
      <c r="AS96" t="str">
        <f>'Lab test'!T89</f>
        <v>Steel</v>
      </c>
      <c r="AX96" t="e">
        <f t="shared" si="45"/>
        <v>#N/A</v>
      </c>
      <c r="AY96" t="e">
        <f t="shared" si="42"/>
        <v>#N/A</v>
      </c>
      <c r="AZ96" t="e">
        <f t="shared" si="42"/>
        <v>#N/A</v>
      </c>
      <c r="BA96" t="e">
        <f t="shared" si="42"/>
        <v>#N/A</v>
      </c>
      <c r="BB96">
        <f t="shared" si="42"/>
        <v>215805.90327000001</v>
      </c>
      <c r="BC96" t="e">
        <f t="shared" si="42"/>
        <v>#N/A</v>
      </c>
      <c r="BD96" t="e">
        <f t="shared" si="42"/>
        <v>#N/A</v>
      </c>
      <c r="BG96" t="e">
        <f t="shared" si="46"/>
        <v>#N/A</v>
      </c>
      <c r="BH96" t="e">
        <f t="shared" si="43"/>
        <v>#N/A</v>
      </c>
      <c r="BI96" t="e">
        <f t="shared" si="43"/>
        <v>#N/A</v>
      </c>
      <c r="BJ96" t="e">
        <f t="shared" si="43"/>
        <v>#N/A</v>
      </c>
      <c r="BK96" t="e">
        <f t="shared" si="43"/>
        <v>#N/A</v>
      </c>
      <c r="BL96" t="e">
        <f t="shared" si="43"/>
        <v>#N/A</v>
      </c>
      <c r="BM96" t="e">
        <f t="shared" si="43"/>
        <v>#N/A</v>
      </c>
      <c r="BP96" t="e">
        <f t="shared" si="47"/>
        <v>#N/A</v>
      </c>
      <c r="BQ96" t="e">
        <f t="shared" si="44"/>
        <v>#N/A</v>
      </c>
      <c r="BR96" t="e">
        <f t="shared" si="44"/>
        <v>#N/A</v>
      </c>
      <c r="BS96" t="e">
        <f t="shared" si="44"/>
        <v>#N/A</v>
      </c>
      <c r="BT96" t="e">
        <f t="shared" si="44"/>
        <v>#N/A</v>
      </c>
      <c r="BU96" t="e">
        <f t="shared" si="44"/>
        <v>#N/A</v>
      </c>
      <c r="BV96" t="e">
        <f t="shared" si="44"/>
        <v>#N/A</v>
      </c>
      <c r="BY96">
        <f t="shared" si="48"/>
        <v>215805.90327000001</v>
      </c>
      <c r="BZ96" t="e">
        <v>#N/A</v>
      </c>
      <c r="CA96" t="e" cm="1">
        <f t="array" ref="CA96">IF(ISNUMBER(BZ96),AF96/COUNT(IF(ISNUMBER(_xlfn.ANCHORARRAY($BZ$11)),_xlfn.ANCHORARRAY($BZ$11))),NA())</f>
        <v>#N/A</v>
      </c>
      <c r="CB96" t="e">
        <f t="shared" si="49"/>
        <v>#N/A</v>
      </c>
      <c r="CD96" t="e">
        <f t="shared" si="50"/>
        <v>#N/A</v>
      </c>
      <c r="CE96" t="e">
        <f t="shared" si="51"/>
        <v>#N/A</v>
      </c>
      <c r="CG96" t="e">
        <v>#N/A</v>
      </c>
      <c r="CH96" t="e">
        <v>#N/A</v>
      </c>
      <c r="CL96" t="e">
        <f t="shared" si="52"/>
        <v>#N/A</v>
      </c>
      <c r="CM96" t="e">
        <v>#N/A</v>
      </c>
      <c r="CN96" t="e" cm="1">
        <f t="array" ref="CN96">IF(ISNUMBER(CM96),AF96/COUNT(IF(ISNUMBER(_xlfn.ANCHORARRAY($CM$11)),_xlfn.ANCHORARRAY($CM$11))),NA())</f>
        <v>#N/A</v>
      </c>
      <c r="CO96" t="e">
        <f t="shared" si="53"/>
        <v>#N/A</v>
      </c>
      <c r="CQ96" t="e">
        <f t="shared" si="54"/>
        <v>#N/A</v>
      </c>
      <c r="CR96" t="e">
        <f t="shared" si="55"/>
        <v>#N/A</v>
      </c>
      <c r="CT96" t="e">
        <v>#N/A</v>
      </c>
      <c r="CU96" t="e">
        <v>#N/A</v>
      </c>
      <c r="CY96" t="e">
        <f t="shared" si="56"/>
        <v>#N/A</v>
      </c>
      <c r="CZ96" t="e">
        <v>#N/A</v>
      </c>
      <c r="DA96" t="e" cm="1">
        <f t="array" ref="DA96">IF(ISNUMBER(CZ96),AF96/COUNT(IF(ISNUMBER(_xlfn.ANCHORARRAY($CZ$11)),_xlfn.ANCHORARRAY($CZ$11))),NA())</f>
        <v>#N/A</v>
      </c>
      <c r="DB96" t="e">
        <f t="shared" si="57"/>
        <v>#N/A</v>
      </c>
      <c r="DD96" t="e">
        <f t="shared" si="58"/>
        <v>#N/A</v>
      </c>
      <c r="DE96" t="e">
        <f t="shared" si="59"/>
        <v>#N/A</v>
      </c>
      <c r="DG96" t="e">
        <v>#N/A</v>
      </c>
      <c r="DH96" t="e">
        <v>#N/A</v>
      </c>
    </row>
    <row r="97" spans="32:112">
      <c r="AF97">
        <v>87</v>
      </c>
      <c r="AG97" s="401">
        <f>'Lab test'!N90</f>
        <v>23.939499999999999</v>
      </c>
      <c r="AH97" s="401">
        <f>'Lab test'!M90</f>
        <v>5.2069999999999991E-2</v>
      </c>
      <c r="AI97">
        <f>IF('Lab test'!O90&gt;0,'Lab test'!O90,NA())</f>
        <v>152.39999999999998</v>
      </c>
      <c r="AJ97">
        <f>'Lab test'!Q90</f>
        <v>459.75609756097566</v>
      </c>
      <c r="AK97" s="401">
        <f>IF('Lab test'!V90&gt;0,'Lab test'!V90,NA())</f>
        <v>215805.90327000001</v>
      </c>
      <c r="AL97" s="7">
        <f>IF(MAX('Lab test'!W90,'Lab test'!X90)&gt;0,MAX('Lab test'!W90,'Lab test'!X90),NA())</f>
        <v>393.00116496000004</v>
      </c>
      <c r="AM97" s="401">
        <f>IF('Lab test'!P90&gt;0,'Lab test'!P90,NA())</f>
        <v>0.29689722786195405</v>
      </c>
      <c r="AN97" s="401">
        <f>IF('Lab test'!AU90&gt;0,'Lab test'!AU90,NA())</f>
        <v>0.19371481349938846</v>
      </c>
      <c r="AO97" s="401">
        <f>IF('Lab test'!AT90&gt;0,'Lab test'!AT90,NA())</f>
        <v>0.26797986958233588</v>
      </c>
      <c r="AP97">
        <f t="shared" si="60"/>
        <v>1</v>
      </c>
      <c r="AQ97" s="401">
        <f>'Lab test'!AZ90</f>
        <v>1934</v>
      </c>
      <c r="AR97" t="str">
        <f>'Lab test'!AC90</f>
        <v>LTWb</v>
      </c>
      <c r="AS97" t="str">
        <f>'Lab test'!T90</f>
        <v>Steel</v>
      </c>
      <c r="AX97" t="e">
        <f t="shared" si="45"/>
        <v>#N/A</v>
      </c>
      <c r="AY97" t="e">
        <f t="shared" si="42"/>
        <v>#N/A</v>
      </c>
      <c r="AZ97">
        <f t="shared" si="42"/>
        <v>215805.90327000001</v>
      </c>
      <c r="BA97" t="e">
        <f t="shared" si="42"/>
        <v>#N/A</v>
      </c>
      <c r="BB97" t="e">
        <f t="shared" si="42"/>
        <v>#N/A</v>
      </c>
      <c r="BC97" t="e">
        <f t="shared" si="42"/>
        <v>#N/A</v>
      </c>
      <c r="BD97" t="e">
        <f t="shared" si="42"/>
        <v>#N/A</v>
      </c>
      <c r="BG97" t="e">
        <f t="shared" si="46"/>
        <v>#N/A</v>
      </c>
      <c r="BH97" t="e">
        <f t="shared" si="43"/>
        <v>#N/A</v>
      </c>
      <c r="BI97" t="e">
        <f t="shared" si="43"/>
        <v>#N/A</v>
      </c>
      <c r="BJ97" t="e">
        <f t="shared" si="43"/>
        <v>#N/A</v>
      </c>
      <c r="BK97" t="e">
        <f t="shared" si="43"/>
        <v>#N/A</v>
      </c>
      <c r="BL97" t="e">
        <f t="shared" si="43"/>
        <v>#N/A</v>
      </c>
      <c r="BM97" t="e">
        <f t="shared" si="43"/>
        <v>#N/A</v>
      </c>
      <c r="BP97" t="e">
        <f t="shared" si="47"/>
        <v>#N/A</v>
      </c>
      <c r="BQ97" t="e">
        <f t="shared" si="44"/>
        <v>#N/A</v>
      </c>
      <c r="BR97" t="e">
        <f t="shared" si="44"/>
        <v>#N/A</v>
      </c>
      <c r="BS97" t="e">
        <f t="shared" si="44"/>
        <v>#N/A</v>
      </c>
      <c r="BT97" t="e">
        <f t="shared" si="44"/>
        <v>#N/A</v>
      </c>
      <c r="BU97" t="e">
        <f t="shared" si="44"/>
        <v>#N/A</v>
      </c>
      <c r="BV97" t="e">
        <f t="shared" si="44"/>
        <v>#N/A</v>
      </c>
      <c r="BY97">
        <f t="shared" si="48"/>
        <v>215805.90327000001</v>
      </c>
      <c r="BZ97" t="e">
        <v>#N/A</v>
      </c>
      <c r="CA97" t="e" cm="1">
        <f t="array" ref="CA97">IF(ISNUMBER(BZ97),AF97/COUNT(IF(ISNUMBER(_xlfn.ANCHORARRAY($BZ$11)),_xlfn.ANCHORARRAY($BZ$11))),NA())</f>
        <v>#N/A</v>
      </c>
      <c r="CB97" t="e">
        <f t="shared" si="49"/>
        <v>#N/A</v>
      </c>
      <c r="CD97" t="e">
        <f t="shared" si="50"/>
        <v>#N/A</v>
      </c>
      <c r="CE97" t="e">
        <f t="shared" si="51"/>
        <v>#N/A</v>
      </c>
      <c r="CG97" t="e">
        <v>#N/A</v>
      </c>
      <c r="CH97" t="e">
        <v>#N/A</v>
      </c>
      <c r="CL97" t="e">
        <f t="shared" si="52"/>
        <v>#N/A</v>
      </c>
      <c r="CM97" t="e">
        <v>#N/A</v>
      </c>
      <c r="CN97" t="e" cm="1">
        <f t="array" ref="CN97">IF(ISNUMBER(CM97),AF97/COUNT(IF(ISNUMBER(_xlfn.ANCHORARRAY($CM$11)),_xlfn.ANCHORARRAY($CM$11))),NA())</f>
        <v>#N/A</v>
      </c>
      <c r="CO97" t="e">
        <f t="shared" si="53"/>
        <v>#N/A</v>
      </c>
      <c r="CQ97" t="e">
        <f t="shared" si="54"/>
        <v>#N/A</v>
      </c>
      <c r="CR97" t="e">
        <f t="shared" si="55"/>
        <v>#N/A</v>
      </c>
      <c r="CT97" t="e">
        <v>#N/A</v>
      </c>
      <c r="CU97" t="e">
        <v>#N/A</v>
      </c>
      <c r="CY97" t="e">
        <f t="shared" si="56"/>
        <v>#N/A</v>
      </c>
      <c r="CZ97" t="e">
        <v>#N/A</v>
      </c>
      <c r="DA97" t="e" cm="1">
        <f t="array" ref="DA97">IF(ISNUMBER(CZ97),AF97/COUNT(IF(ISNUMBER(_xlfn.ANCHORARRAY($CZ$11)),_xlfn.ANCHORARRAY($CZ$11))),NA())</f>
        <v>#N/A</v>
      </c>
      <c r="DB97" t="e">
        <f t="shared" si="57"/>
        <v>#N/A</v>
      </c>
      <c r="DD97" t="e">
        <f t="shared" si="58"/>
        <v>#N/A</v>
      </c>
      <c r="DE97" t="e">
        <f t="shared" si="59"/>
        <v>#N/A</v>
      </c>
      <c r="DG97" t="e">
        <v>#N/A</v>
      </c>
      <c r="DH97" t="e">
        <v>#N/A</v>
      </c>
    </row>
    <row r="98" spans="32:112">
      <c r="AF98">
        <v>88</v>
      </c>
      <c r="AG98" s="401">
        <f>'Lab test'!N91</f>
        <v>23.939499999999999</v>
      </c>
      <c r="AH98" s="401">
        <f>'Lab test'!M91</f>
        <v>5.156199999999999E-2</v>
      </c>
      <c r="AI98">
        <f>IF('Lab test'!O91&gt;0,'Lab test'!O91,NA())</f>
        <v>152.39999999999998</v>
      </c>
      <c r="AJ98">
        <f>'Lab test'!Q91</f>
        <v>464.28571428571433</v>
      </c>
      <c r="AK98" s="401">
        <f>IF('Lab test'!V91&gt;0,'Lab test'!V91,NA())</f>
        <v>215805.90327000001</v>
      </c>
      <c r="AL98" s="7">
        <f>IF(MAX('Lab test'!W91,'Lab test'!X91)&gt;0,MAX('Lab test'!W91,'Lab test'!X91),NA())</f>
        <v>393.00116496000004</v>
      </c>
      <c r="AM98" s="401">
        <f>IF('Lab test'!P91&gt;0,'Lab test'!P91,NA())</f>
        <v>0.29544539897650313</v>
      </c>
      <c r="AN98" s="401">
        <f>IF('Lab test'!AU91&gt;0,'Lab test'!AU91,NA())</f>
        <v>0.23212022446925107</v>
      </c>
      <c r="AO98" s="401">
        <f>IF('Lab test'!AT91&gt;0,'Lab test'!AT91,NA())</f>
        <v>0.32427251782276756</v>
      </c>
      <c r="AP98">
        <f t="shared" si="60"/>
        <v>1</v>
      </c>
      <c r="AQ98" s="401">
        <f>'Lab test'!AZ91</f>
        <v>1934</v>
      </c>
      <c r="AR98" t="str">
        <f>'Lab test'!AC91</f>
        <v>LTWb</v>
      </c>
      <c r="AS98" t="str">
        <f>'Lab test'!T91</f>
        <v>Steel</v>
      </c>
      <c r="AX98" t="e">
        <f t="shared" si="45"/>
        <v>#N/A</v>
      </c>
      <c r="AY98" t="e">
        <f t="shared" si="42"/>
        <v>#N/A</v>
      </c>
      <c r="AZ98">
        <f t="shared" si="42"/>
        <v>215805.90327000001</v>
      </c>
      <c r="BA98" t="e">
        <f t="shared" si="42"/>
        <v>#N/A</v>
      </c>
      <c r="BB98" t="e">
        <f t="shared" si="42"/>
        <v>#N/A</v>
      </c>
      <c r="BC98" t="e">
        <f t="shared" si="42"/>
        <v>#N/A</v>
      </c>
      <c r="BD98" t="e">
        <f t="shared" si="42"/>
        <v>#N/A</v>
      </c>
      <c r="BG98" t="e">
        <f t="shared" si="46"/>
        <v>#N/A</v>
      </c>
      <c r="BH98" t="e">
        <f t="shared" si="43"/>
        <v>#N/A</v>
      </c>
      <c r="BI98" t="e">
        <f t="shared" si="43"/>
        <v>#N/A</v>
      </c>
      <c r="BJ98" t="e">
        <f t="shared" si="43"/>
        <v>#N/A</v>
      </c>
      <c r="BK98" t="e">
        <f t="shared" si="43"/>
        <v>#N/A</v>
      </c>
      <c r="BL98" t="e">
        <f t="shared" si="43"/>
        <v>#N/A</v>
      </c>
      <c r="BM98" t="e">
        <f t="shared" si="43"/>
        <v>#N/A</v>
      </c>
      <c r="BP98" t="e">
        <f t="shared" si="47"/>
        <v>#N/A</v>
      </c>
      <c r="BQ98" t="e">
        <f t="shared" si="44"/>
        <v>#N/A</v>
      </c>
      <c r="BR98" t="e">
        <f t="shared" si="44"/>
        <v>#N/A</v>
      </c>
      <c r="BS98" t="e">
        <f t="shared" si="44"/>
        <v>#N/A</v>
      </c>
      <c r="BT98" t="e">
        <f t="shared" si="44"/>
        <v>#N/A</v>
      </c>
      <c r="BU98" t="e">
        <f t="shared" si="44"/>
        <v>#N/A</v>
      </c>
      <c r="BV98" t="e">
        <f t="shared" si="44"/>
        <v>#N/A</v>
      </c>
      <c r="BY98">
        <f t="shared" si="48"/>
        <v>215805.90327000001</v>
      </c>
      <c r="BZ98" t="e">
        <v>#N/A</v>
      </c>
      <c r="CA98" t="e" cm="1">
        <f t="array" ref="CA98">IF(ISNUMBER(BZ98),AF98/COUNT(IF(ISNUMBER(_xlfn.ANCHORARRAY($BZ$11)),_xlfn.ANCHORARRAY($BZ$11))),NA())</f>
        <v>#N/A</v>
      </c>
      <c r="CB98" t="e">
        <f t="shared" si="49"/>
        <v>#N/A</v>
      </c>
      <c r="CD98" t="e">
        <f t="shared" si="50"/>
        <v>#N/A</v>
      </c>
      <c r="CE98" t="e">
        <f t="shared" si="51"/>
        <v>#N/A</v>
      </c>
      <c r="CG98" t="e">
        <v>#N/A</v>
      </c>
      <c r="CH98" t="e">
        <v>#N/A</v>
      </c>
      <c r="CL98" t="e">
        <f t="shared" si="52"/>
        <v>#N/A</v>
      </c>
      <c r="CM98" t="e">
        <v>#N/A</v>
      </c>
      <c r="CN98" t="e" cm="1">
        <f t="array" ref="CN98">IF(ISNUMBER(CM98),AF98/COUNT(IF(ISNUMBER(_xlfn.ANCHORARRAY($CM$11)),_xlfn.ANCHORARRAY($CM$11))),NA())</f>
        <v>#N/A</v>
      </c>
      <c r="CO98" t="e">
        <f t="shared" si="53"/>
        <v>#N/A</v>
      </c>
      <c r="CQ98" t="e">
        <f t="shared" si="54"/>
        <v>#N/A</v>
      </c>
      <c r="CR98" t="e">
        <f t="shared" si="55"/>
        <v>#N/A</v>
      </c>
      <c r="CT98" t="e">
        <v>#N/A</v>
      </c>
      <c r="CU98" t="e">
        <v>#N/A</v>
      </c>
      <c r="CY98" t="e">
        <f t="shared" si="56"/>
        <v>#N/A</v>
      </c>
      <c r="CZ98" t="e">
        <v>#N/A</v>
      </c>
      <c r="DA98" t="e" cm="1">
        <f t="array" ref="DA98">IF(ISNUMBER(CZ98),AF98/COUNT(IF(ISNUMBER(_xlfn.ANCHORARRAY($CZ$11)),_xlfn.ANCHORARRAY($CZ$11))),NA())</f>
        <v>#N/A</v>
      </c>
      <c r="DB98" t="e">
        <f t="shared" si="57"/>
        <v>#N/A</v>
      </c>
      <c r="DD98" t="e">
        <f t="shared" si="58"/>
        <v>#N/A</v>
      </c>
      <c r="DE98" t="e">
        <f t="shared" si="59"/>
        <v>#N/A</v>
      </c>
      <c r="DG98" t="e">
        <v>#N/A</v>
      </c>
      <c r="DH98" t="e">
        <v>#N/A</v>
      </c>
    </row>
    <row r="99" spans="32:112">
      <c r="AF99">
        <v>89</v>
      </c>
      <c r="AG99" s="401">
        <f>'Lab test'!N92</f>
        <v>72.009</v>
      </c>
      <c r="AH99" s="401">
        <f>'Lab test'!M92</f>
        <v>6.7055999999999991E-2</v>
      </c>
      <c r="AI99">
        <f>IF('Lab test'!O92&gt;0,'Lab test'!O92,NA())</f>
        <v>304.79999999999995</v>
      </c>
      <c r="AJ99">
        <f>'Lab test'!Q92</f>
        <v>1073.8636363636365</v>
      </c>
      <c r="AK99" s="401">
        <f>IF('Lab test'!V92&gt;0,'Lab test'!V92,NA())</f>
        <v>215805.90327000001</v>
      </c>
      <c r="AL99" s="7">
        <f>IF(MAX('Lab test'!W92,'Lab test'!X92)&gt;0,MAX('Lab test'!W92,'Lab test'!X92),NA())</f>
        <v>393.00116496000004</v>
      </c>
      <c r="AM99" s="401">
        <f>IF('Lab test'!P92&gt;0,'Lab test'!P92,NA())</f>
        <v>0.12916760725701965</v>
      </c>
      <c r="AN99" s="401">
        <f>IF('Lab test'!AU92&gt;0,'Lab test'!AU92,NA())</f>
        <v>6.7548364638132477E-2</v>
      </c>
      <c r="AO99" s="401">
        <f>IF('Lab test'!AT92&gt;0,'Lab test'!AT92,NA())</f>
        <v>0.21826083698616702</v>
      </c>
      <c r="AP99">
        <f t="shared" si="60"/>
        <v>1</v>
      </c>
      <c r="AQ99" s="401">
        <f>'Lab test'!AZ92</f>
        <v>1934</v>
      </c>
      <c r="AR99" t="str">
        <f>'Lab test'!AC92</f>
        <v>LTWb</v>
      </c>
      <c r="AS99" t="str">
        <f>'Lab test'!T92</f>
        <v>Steel</v>
      </c>
      <c r="AX99" t="e">
        <f t="shared" si="45"/>
        <v>#N/A</v>
      </c>
      <c r="AY99" t="e">
        <f t="shared" si="42"/>
        <v>#N/A</v>
      </c>
      <c r="AZ99" t="e">
        <f t="shared" si="42"/>
        <v>#N/A</v>
      </c>
      <c r="BA99" t="e">
        <f t="shared" si="42"/>
        <v>#N/A</v>
      </c>
      <c r="BB99" t="e">
        <f t="shared" si="42"/>
        <v>#N/A</v>
      </c>
      <c r="BC99">
        <f t="shared" si="42"/>
        <v>215805.90327000001</v>
      </c>
      <c r="BD99" t="e">
        <f t="shared" si="42"/>
        <v>#N/A</v>
      </c>
      <c r="BG99" t="e">
        <f t="shared" si="46"/>
        <v>#N/A</v>
      </c>
      <c r="BH99" t="e">
        <f t="shared" si="43"/>
        <v>#N/A</v>
      </c>
      <c r="BI99" t="e">
        <f t="shared" si="43"/>
        <v>#N/A</v>
      </c>
      <c r="BJ99" t="e">
        <f t="shared" si="43"/>
        <v>#N/A</v>
      </c>
      <c r="BK99" t="e">
        <f t="shared" si="43"/>
        <v>#N/A</v>
      </c>
      <c r="BL99" t="e">
        <f t="shared" si="43"/>
        <v>#N/A</v>
      </c>
      <c r="BM99" t="e">
        <f t="shared" si="43"/>
        <v>#N/A</v>
      </c>
      <c r="BP99" t="e">
        <f t="shared" si="47"/>
        <v>#N/A</v>
      </c>
      <c r="BQ99" t="e">
        <f t="shared" si="44"/>
        <v>#N/A</v>
      </c>
      <c r="BR99" t="e">
        <f t="shared" si="44"/>
        <v>#N/A</v>
      </c>
      <c r="BS99" t="e">
        <f t="shared" si="44"/>
        <v>#N/A</v>
      </c>
      <c r="BT99" t="e">
        <f t="shared" si="44"/>
        <v>#N/A</v>
      </c>
      <c r="BU99" t="e">
        <f t="shared" si="44"/>
        <v>#N/A</v>
      </c>
      <c r="BV99" t="e">
        <f t="shared" si="44"/>
        <v>#N/A</v>
      </c>
      <c r="BY99">
        <f t="shared" si="48"/>
        <v>215805.90327000001</v>
      </c>
      <c r="BZ99" t="e">
        <v>#N/A</v>
      </c>
      <c r="CA99" t="e" cm="1">
        <f t="array" ref="CA99">IF(ISNUMBER(BZ99),AF99/COUNT(IF(ISNUMBER(_xlfn.ANCHORARRAY($BZ$11)),_xlfn.ANCHORARRAY($BZ$11))),NA())</f>
        <v>#N/A</v>
      </c>
      <c r="CB99" t="e">
        <f t="shared" si="49"/>
        <v>#N/A</v>
      </c>
      <c r="CD99" t="e">
        <f t="shared" si="50"/>
        <v>#N/A</v>
      </c>
      <c r="CE99" t="e">
        <f t="shared" si="51"/>
        <v>#N/A</v>
      </c>
      <c r="CG99" t="e">
        <v>#N/A</v>
      </c>
      <c r="CH99" t="e">
        <v>#N/A</v>
      </c>
      <c r="CL99" t="e">
        <f t="shared" si="52"/>
        <v>#N/A</v>
      </c>
      <c r="CM99" t="e">
        <v>#N/A</v>
      </c>
      <c r="CN99" t="e" cm="1">
        <f t="array" ref="CN99">IF(ISNUMBER(CM99),AF99/COUNT(IF(ISNUMBER(_xlfn.ANCHORARRAY($CM$11)),_xlfn.ANCHORARRAY($CM$11))),NA())</f>
        <v>#N/A</v>
      </c>
      <c r="CO99" t="e">
        <f t="shared" si="53"/>
        <v>#N/A</v>
      </c>
      <c r="CQ99" t="e">
        <f t="shared" si="54"/>
        <v>#N/A</v>
      </c>
      <c r="CR99" t="e">
        <f t="shared" si="55"/>
        <v>#N/A</v>
      </c>
      <c r="CT99" t="e">
        <v>#N/A</v>
      </c>
      <c r="CU99" t="e">
        <v>#N/A</v>
      </c>
      <c r="CY99" t="e">
        <f t="shared" si="56"/>
        <v>#N/A</v>
      </c>
      <c r="CZ99" t="e">
        <v>#N/A</v>
      </c>
      <c r="DA99" t="e" cm="1">
        <f t="array" ref="DA99">IF(ISNUMBER(CZ99),AF99/COUNT(IF(ISNUMBER(_xlfn.ANCHORARRAY($CZ$11)),_xlfn.ANCHORARRAY($CZ$11))),NA())</f>
        <v>#N/A</v>
      </c>
      <c r="DB99" t="e">
        <f t="shared" si="57"/>
        <v>#N/A</v>
      </c>
      <c r="DD99" t="e">
        <f t="shared" si="58"/>
        <v>#N/A</v>
      </c>
      <c r="DE99" t="e">
        <f t="shared" si="59"/>
        <v>#N/A</v>
      </c>
      <c r="DG99" t="e">
        <v>#N/A</v>
      </c>
      <c r="DH99" t="e">
        <v>#N/A</v>
      </c>
    </row>
    <row r="100" spans="32:112">
      <c r="AF100">
        <v>90</v>
      </c>
      <c r="AG100" s="401">
        <f>'Lab test'!N93</f>
        <v>47.625</v>
      </c>
      <c r="AH100" s="401">
        <f>'Lab test'!M93</f>
        <v>6.9596000000000005E-2</v>
      </c>
      <c r="AI100">
        <f>IF('Lab test'!O93&gt;0,'Lab test'!O93,NA())</f>
        <v>304.79999999999995</v>
      </c>
      <c r="AJ100">
        <f>'Lab test'!Q93</f>
        <v>684.30656934306569</v>
      </c>
      <c r="AK100" s="401">
        <f>IF('Lab test'!V93&gt;0,'Lab test'!V93,NA())</f>
        <v>215805.90327000001</v>
      </c>
      <c r="AL100" s="7">
        <f>IF(MAX('Lab test'!W93,'Lab test'!X93)&gt;0,MAX('Lab test'!W93,'Lab test'!X93),NA())</f>
        <v>393.00116496000004</v>
      </c>
      <c r="AM100" s="401">
        <f>IF('Lab test'!P93&gt;0,'Lab test'!P93,NA())</f>
        <v>0.24465529492192342</v>
      </c>
      <c r="AN100" s="401">
        <f>IF('Lab test'!AU93&gt;0,'Lab test'!AU93,NA())</f>
        <v>0.15059868805898122</v>
      </c>
      <c r="AO100" s="401">
        <f>IF('Lab test'!AT93&gt;0,'Lab test'!AT93,NA())</f>
        <v>0.31008712796085569</v>
      </c>
      <c r="AP100">
        <f t="shared" si="60"/>
        <v>1</v>
      </c>
      <c r="AQ100" s="401">
        <f>'Lab test'!AZ93</f>
        <v>1934</v>
      </c>
      <c r="AR100" t="str">
        <f>'Lab test'!AC93</f>
        <v>LTWb</v>
      </c>
      <c r="AS100" t="str">
        <f>'Lab test'!T93</f>
        <v>Steel</v>
      </c>
      <c r="AX100" t="e">
        <f t="shared" si="45"/>
        <v>#N/A</v>
      </c>
      <c r="AY100" t="e">
        <f t="shared" si="42"/>
        <v>#N/A</v>
      </c>
      <c r="AZ100" t="e">
        <f t="shared" si="42"/>
        <v>#N/A</v>
      </c>
      <c r="BA100">
        <f t="shared" si="42"/>
        <v>215805.90327000001</v>
      </c>
      <c r="BB100" t="e">
        <f t="shared" si="42"/>
        <v>#N/A</v>
      </c>
      <c r="BC100" t="e">
        <f t="shared" si="42"/>
        <v>#N/A</v>
      </c>
      <c r="BD100" t="e">
        <f t="shared" si="42"/>
        <v>#N/A</v>
      </c>
      <c r="BG100" t="e">
        <f t="shared" si="46"/>
        <v>#N/A</v>
      </c>
      <c r="BH100" t="e">
        <f t="shared" si="43"/>
        <v>#N/A</v>
      </c>
      <c r="BI100" t="e">
        <f t="shared" si="43"/>
        <v>#N/A</v>
      </c>
      <c r="BJ100" t="e">
        <f t="shared" si="43"/>
        <v>#N/A</v>
      </c>
      <c r="BK100" t="e">
        <f t="shared" si="43"/>
        <v>#N/A</v>
      </c>
      <c r="BL100" t="e">
        <f t="shared" si="43"/>
        <v>#N/A</v>
      </c>
      <c r="BM100" t="e">
        <f t="shared" si="43"/>
        <v>#N/A</v>
      </c>
      <c r="BP100" t="e">
        <f t="shared" si="47"/>
        <v>#N/A</v>
      </c>
      <c r="BQ100" t="e">
        <f t="shared" si="44"/>
        <v>#N/A</v>
      </c>
      <c r="BR100" t="e">
        <f t="shared" si="44"/>
        <v>#N/A</v>
      </c>
      <c r="BS100" t="e">
        <f t="shared" si="44"/>
        <v>#N/A</v>
      </c>
      <c r="BT100" t="e">
        <f t="shared" si="44"/>
        <v>#N/A</v>
      </c>
      <c r="BU100" t="e">
        <f t="shared" si="44"/>
        <v>#N/A</v>
      </c>
      <c r="BV100" t="e">
        <f t="shared" si="44"/>
        <v>#N/A</v>
      </c>
      <c r="BY100">
        <f t="shared" si="48"/>
        <v>215805.90327000001</v>
      </c>
      <c r="BZ100" t="e">
        <v>#N/A</v>
      </c>
      <c r="CA100" t="e" cm="1">
        <f t="array" ref="CA100">IF(ISNUMBER(BZ100),AF100/COUNT(IF(ISNUMBER(_xlfn.ANCHORARRAY($BZ$11)),_xlfn.ANCHORARRAY($BZ$11))),NA())</f>
        <v>#N/A</v>
      </c>
      <c r="CB100" t="e">
        <f t="shared" si="49"/>
        <v>#N/A</v>
      </c>
      <c r="CD100" t="e">
        <f t="shared" si="50"/>
        <v>#N/A</v>
      </c>
      <c r="CE100" t="e">
        <f t="shared" si="51"/>
        <v>#N/A</v>
      </c>
      <c r="CG100" t="e">
        <v>#N/A</v>
      </c>
      <c r="CH100" t="e">
        <v>#N/A</v>
      </c>
      <c r="CL100" t="e">
        <f t="shared" si="52"/>
        <v>#N/A</v>
      </c>
      <c r="CM100" t="e">
        <v>#N/A</v>
      </c>
      <c r="CN100" t="e" cm="1">
        <f t="array" ref="CN100">IF(ISNUMBER(CM100),AF100/COUNT(IF(ISNUMBER(_xlfn.ANCHORARRAY($CM$11)),_xlfn.ANCHORARRAY($CM$11))),NA())</f>
        <v>#N/A</v>
      </c>
      <c r="CO100" t="e">
        <f t="shared" si="53"/>
        <v>#N/A</v>
      </c>
      <c r="CQ100" t="e">
        <f t="shared" si="54"/>
        <v>#N/A</v>
      </c>
      <c r="CR100" t="e">
        <f t="shared" si="55"/>
        <v>#N/A</v>
      </c>
      <c r="CT100" t="e">
        <v>#N/A</v>
      </c>
      <c r="CU100" t="e">
        <v>#N/A</v>
      </c>
      <c r="CY100" t="e">
        <f t="shared" si="56"/>
        <v>#N/A</v>
      </c>
      <c r="CZ100" t="e">
        <v>#N/A</v>
      </c>
      <c r="DA100" t="e" cm="1">
        <f t="array" ref="DA100">IF(ISNUMBER(CZ100),AF100/COUNT(IF(ISNUMBER(_xlfn.ANCHORARRAY($CZ$11)),_xlfn.ANCHORARRAY($CZ$11))),NA())</f>
        <v>#N/A</v>
      </c>
      <c r="DB100" t="e">
        <f t="shared" si="57"/>
        <v>#N/A</v>
      </c>
      <c r="DD100" t="e">
        <f t="shared" si="58"/>
        <v>#N/A</v>
      </c>
      <c r="DE100" t="e">
        <f t="shared" si="59"/>
        <v>#N/A</v>
      </c>
      <c r="DG100" t="e">
        <v>#N/A</v>
      </c>
      <c r="DH100" t="e">
        <v>#N/A</v>
      </c>
    </row>
    <row r="101" spans="32:112">
      <c r="AF101">
        <v>91</v>
      </c>
      <c r="AG101" s="401">
        <f>'Lab test'!N94</f>
        <v>23.939499999999999</v>
      </c>
      <c r="AH101" s="401">
        <f>'Lab test'!M94</f>
        <v>6.9596000000000005E-2</v>
      </c>
      <c r="AI101">
        <f>IF('Lab test'!O94&gt;0,'Lab test'!O94,NA())</f>
        <v>304.79999999999995</v>
      </c>
      <c r="AJ101">
        <f>'Lab test'!Q94</f>
        <v>343.978102189781</v>
      </c>
      <c r="AK101" s="401">
        <f>IF('Lab test'!V94&gt;0,'Lab test'!V94,NA())</f>
        <v>215805.90327000001</v>
      </c>
      <c r="AL101" s="7">
        <f>IF(MAX('Lab test'!W94,'Lab test'!X94)&gt;0,MAX('Lab test'!W94,'Lab test'!X94),NA())</f>
        <v>393.00116496000004</v>
      </c>
      <c r="AM101" s="401">
        <f>IF('Lab test'!P94&gt;0,'Lab test'!P94,NA())</f>
        <v>0.68649043283858446</v>
      </c>
      <c r="AN101" s="401">
        <f>IF('Lab test'!AU94&gt;0,'Lab test'!AU94,NA())</f>
        <v>0.25200969786464456</v>
      </c>
      <c r="AO101" s="401">
        <f>IF('Lab test'!AT94&gt;0,'Lab test'!AT94,NA())</f>
        <v>0.26083141088404099</v>
      </c>
      <c r="AP101">
        <f t="shared" si="60"/>
        <v>1</v>
      </c>
      <c r="AQ101" s="401">
        <f>'Lab test'!AZ94</f>
        <v>1934</v>
      </c>
      <c r="AR101" t="str">
        <f>'Lab test'!AC94</f>
        <v>LTWb</v>
      </c>
      <c r="AS101" t="str">
        <f>'Lab test'!T94</f>
        <v>Steel</v>
      </c>
      <c r="AX101" t="e">
        <f t="shared" si="45"/>
        <v>#N/A</v>
      </c>
      <c r="AY101">
        <f t="shared" si="42"/>
        <v>215805.90327000001</v>
      </c>
      <c r="AZ101" t="e">
        <f t="shared" si="42"/>
        <v>#N/A</v>
      </c>
      <c r="BA101" t="e">
        <f t="shared" si="42"/>
        <v>#N/A</v>
      </c>
      <c r="BB101" t="e">
        <f t="shared" si="42"/>
        <v>#N/A</v>
      </c>
      <c r="BC101" t="e">
        <f t="shared" si="42"/>
        <v>#N/A</v>
      </c>
      <c r="BD101" t="e">
        <f t="shared" si="42"/>
        <v>#N/A</v>
      </c>
      <c r="BG101" t="e">
        <f t="shared" si="46"/>
        <v>#N/A</v>
      </c>
      <c r="BH101" t="e">
        <f t="shared" si="43"/>
        <v>#N/A</v>
      </c>
      <c r="BI101" t="e">
        <f t="shared" si="43"/>
        <v>#N/A</v>
      </c>
      <c r="BJ101" t="e">
        <f t="shared" si="43"/>
        <v>#N/A</v>
      </c>
      <c r="BK101" t="e">
        <f t="shared" si="43"/>
        <v>#N/A</v>
      </c>
      <c r="BL101" t="e">
        <f t="shared" si="43"/>
        <v>#N/A</v>
      </c>
      <c r="BM101" t="e">
        <f t="shared" si="43"/>
        <v>#N/A</v>
      </c>
      <c r="BP101" t="e">
        <f t="shared" si="47"/>
        <v>#N/A</v>
      </c>
      <c r="BQ101" t="e">
        <f t="shared" si="44"/>
        <v>#N/A</v>
      </c>
      <c r="BR101" t="e">
        <f t="shared" si="44"/>
        <v>#N/A</v>
      </c>
      <c r="BS101" t="e">
        <f t="shared" si="44"/>
        <v>#N/A</v>
      </c>
      <c r="BT101" t="e">
        <f t="shared" si="44"/>
        <v>#N/A</v>
      </c>
      <c r="BU101" t="e">
        <f t="shared" si="44"/>
        <v>#N/A</v>
      </c>
      <c r="BV101" t="e">
        <f t="shared" si="44"/>
        <v>#N/A</v>
      </c>
      <c r="BY101">
        <f t="shared" si="48"/>
        <v>215805.90327000001</v>
      </c>
      <c r="BZ101" t="e">
        <v>#N/A</v>
      </c>
      <c r="CA101" t="e" cm="1">
        <f t="array" ref="CA101">IF(ISNUMBER(BZ101),AF101/COUNT(IF(ISNUMBER(_xlfn.ANCHORARRAY($BZ$11)),_xlfn.ANCHORARRAY($BZ$11))),NA())</f>
        <v>#N/A</v>
      </c>
      <c r="CB101" t="e">
        <f t="shared" si="49"/>
        <v>#N/A</v>
      </c>
      <c r="CD101" t="e">
        <f t="shared" si="50"/>
        <v>#N/A</v>
      </c>
      <c r="CE101" t="e">
        <f t="shared" si="51"/>
        <v>#N/A</v>
      </c>
      <c r="CG101" t="e">
        <v>#N/A</v>
      </c>
      <c r="CH101" t="e">
        <v>#N/A</v>
      </c>
      <c r="CL101" t="e">
        <f t="shared" si="52"/>
        <v>#N/A</v>
      </c>
      <c r="CM101" t="e">
        <v>#N/A</v>
      </c>
      <c r="CN101" t="e" cm="1">
        <f t="array" ref="CN101">IF(ISNUMBER(CM101),AF101/COUNT(IF(ISNUMBER(_xlfn.ANCHORARRAY($CM$11)),_xlfn.ANCHORARRAY($CM$11))),NA())</f>
        <v>#N/A</v>
      </c>
      <c r="CO101" t="e">
        <f t="shared" si="53"/>
        <v>#N/A</v>
      </c>
      <c r="CQ101" t="e">
        <f t="shared" si="54"/>
        <v>#N/A</v>
      </c>
      <c r="CR101" t="e">
        <f t="shared" si="55"/>
        <v>#N/A</v>
      </c>
      <c r="CT101" t="e">
        <v>#N/A</v>
      </c>
      <c r="CU101" t="e">
        <v>#N/A</v>
      </c>
      <c r="CY101" t="e">
        <f t="shared" si="56"/>
        <v>#N/A</v>
      </c>
      <c r="CZ101" t="e">
        <v>#N/A</v>
      </c>
      <c r="DA101" t="e" cm="1">
        <f t="array" ref="DA101">IF(ISNUMBER(CZ101),AF101/COUNT(IF(ISNUMBER(_xlfn.ANCHORARRAY($CZ$11)),_xlfn.ANCHORARRAY($CZ$11))),NA())</f>
        <v>#N/A</v>
      </c>
      <c r="DB101" t="e">
        <f t="shared" si="57"/>
        <v>#N/A</v>
      </c>
      <c r="DD101" t="e">
        <f t="shared" si="58"/>
        <v>#N/A</v>
      </c>
      <c r="DE101" t="e">
        <f t="shared" si="59"/>
        <v>#N/A</v>
      </c>
      <c r="DG101" t="e">
        <v>#N/A</v>
      </c>
      <c r="DH101" t="e">
        <v>#N/A</v>
      </c>
    </row>
    <row r="102" spans="32:112">
      <c r="AF102">
        <v>92</v>
      </c>
      <c r="AG102" s="401">
        <f>'Lab test'!N95</f>
        <v>72.009</v>
      </c>
      <c r="AH102" s="401">
        <f>'Lab test'!M95</f>
        <v>5.0546000000000001E-2</v>
      </c>
      <c r="AI102">
        <f>IF('Lab test'!O95&gt;0,'Lab test'!O95,NA())</f>
        <v>304.79999999999995</v>
      </c>
      <c r="AJ102">
        <f>'Lab test'!Q95</f>
        <v>1424.6231155778894</v>
      </c>
      <c r="AK102" s="401">
        <f>IF('Lab test'!V95&gt;0,'Lab test'!V95,NA())</f>
        <v>215805.90327000001</v>
      </c>
      <c r="AL102" s="7">
        <f>IF(MAX('Lab test'!W95,'Lab test'!X95)&gt;0,MAX('Lab test'!W95,'Lab test'!X95),NA())</f>
        <v>393.00116496000004</v>
      </c>
      <c r="AM102" s="401">
        <f>IF('Lab test'!P95&gt;0,'Lab test'!P95,NA())</f>
        <v>0.11214455434258878</v>
      </c>
      <c r="AN102" s="401">
        <f>IF('Lab test'!AU95&gt;0,'Lab test'!AU95,NA())</f>
        <v>4.0102563353280905E-2</v>
      </c>
      <c r="AO102" s="401">
        <f>IF('Lab test'!AT95&gt;0,'Lab test'!AT95,NA())</f>
        <v>0.17190320000870835</v>
      </c>
      <c r="AP102">
        <f t="shared" si="60"/>
        <v>1</v>
      </c>
      <c r="AQ102" s="401">
        <f>'Lab test'!AZ95</f>
        <v>1934</v>
      </c>
      <c r="AR102" t="str">
        <f>'Lab test'!AC95</f>
        <v>LTWb</v>
      </c>
      <c r="AS102" t="str">
        <f>'Lab test'!T95</f>
        <v>Steel</v>
      </c>
      <c r="AX102" t="e">
        <f t="shared" si="45"/>
        <v>#N/A</v>
      </c>
      <c r="AY102" t="e">
        <f t="shared" si="42"/>
        <v>#N/A</v>
      </c>
      <c r="AZ102" t="e">
        <f t="shared" si="42"/>
        <v>#N/A</v>
      </c>
      <c r="BA102" t="e">
        <f t="shared" si="42"/>
        <v>#N/A</v>
      </c>
      <c r="BB102" t="e">
        <f t="shared" si="42"/>
        <v>#N/A</v>
      </c>
      <c r="BC102" t="e">
        <f t="shared" si="42"/>
        <v>#N/A</v>
      </c>
      <c r="BD102">
        <f t="shared" si="42"/>
        <v>215805.90327000001</v>
      </c>
      <c r="BG102" t="e">
        <f t="shared" si="46"/>
        <v>#N/A</v>
      </c>
      <c r="BH102" t="e">
        <f t="shared" si="43"/>
        <v>#N/A</v>
      </c>
      <c r="BI102" t="e">
        <f t="shared" si="43"/>
        <v>#N/A</v>
      </c>
      <c r="BJ102" t="e">
        <f t="shared" si="43"/>
        <v>#N/A</v>
      </c>
      <c r="BK102" t="e">
        <f t="shared" si="43"/>
        <v>#N/A</v>
      </c>
      <c r="BL102" t="e">
        <f t="shared" si="43"/>
        <v>#N/A</v>
      </c>
      <c r="BM102" t="e">
        <f t="shared" si="43"/>
        <v>#N/A</v>
      </c>
      <c r="BP102" t="e">
        <f t="shared" si="47"/>
        <v>#N/A</v>
      </c>
      <c r="BQ102" t="e">
        <f t="shared" si="44"/>
        <v>#N/A</v>
      </c>
      <c r="BR102" t="e">
        <f t="shared" si="44"/>
        <v>#N/A</v>
      </c>
      <c r="BS102" t="e">
        <f t="shared" si="44"/>
        <v>#N/A</v>
      </c>
      <c r="BT102" t="e">
        <f t="shared" si="44"/>
        <v>#N/A</v>
      </c>
      <c r="BU102" t="e">
        <f t="shared" si="44"/>
        <v>#N/A</v>
      </c>
      <c r="BV102" t="e">
        <f t="shared" si="44"/>
        <v>#N/A</v>
      </c>
      <c r="BY102">
        <f t="shared" si="48"/>
        <v>215805.90327000001</v>
      </c>
      <c r="BZ102" t="e">
        <v>#N/A</v>
      </c>
      <c r="CA102" t="e" cm="1">
        <f t="array" ref="CA102">IF(ISNUMBER(BZ102),AF102/COUNT(IF(ISNUMBER(_xlfn.ANCHORARRAY($BZ$11)),_xlfn.ANCHORARRAY($BZ$11))),NA())</f>
        <v>#N/A</v>
      </c>
      <c r="CB102" t="e">
        <f t="shared" si="49"/>
        <v>#N/A</v>
      </c>
      <c r="CD102" t="e">
        <f t="shared" si="50"/>
        <v>#N/A</v>
      </c>
      <c r="CE102" t="e">
        <f t="shared" si="51"/>
        <v>#N/A</v>
      </c>
      <c r="CG102" t="e">
        <v>#N/A</v>
      </c>
      <c r="CH102" t="e">
        <v>#N/A</v>
      </c>
      <c r="CL102" t="e">
        <f t="shared" si="52"/>
        <v>#N/A</v>
      </c>
      <c r="CM102" t="e">
        <v>#N/A</v>
      </c>
      <c r="CN102" t="e" cm="1">
        <f t="array" ref="CN102">IF(ISNUMBER(CM102),AF102/COUNT(IF(ISNUMBER(_xlfn.ANCHORARRAY($CM$11)),_xlfn.ANCHORARRAY($CM$11))),NA())</f>
        <v>#N/A</v>
      </c>
      <c r="CO102" t="e">
        <f t="shared" si="53"/>
        <v>#N/A</v>
      </c>
      <c r="CQ102" t="e">
        <f t="shared" si="54"/>
        <v>#N/A</v>
      </c>
      <c r="CR102" t="e">
        <f t="shared" si="55"/>
        <v>#N/A</v>
      </c>
      <c r="CT102" t="e">
        <v>#N/A</v>
      </c>
      <c r="CU102" t="e">
        <v>#N/A</v>
      </c>
      <c r="CY102" t="e">
        <f t="shared" si="56"/>
        <v>#N/A</v>
      </c>
      <c r="CZ102" t="e">
        <v>#N/A</v>
      </c>
      <c r="DA102" t="e" cm="1">
        <f t="array" ref="DA102">IF(ISNUMBER(CZ102),AF102/COUNT(IF(ISNUMBER(_xlfn.ANCHORARRAY($CZ$11)),_xlfn.ANCHORARRAY($CZ$11))),NA())</f>
        <v>#N/A</v>
      </c>
      <c r="DB102" t="e">
        <f t="shared" si="57"/>
        <v>#N/A</v>
      </c>
      <c r="DD102" t="e">
        <f t="shared" si="58"/>
        <v>#N/A</v>
      </c>
      <c r="DE102" t="e">
        <f t="shared" si="59"/>
        <v>#N/A</v>
      </c>
      <c r="DG102" t="e">
        <v>#N/A</v>
      </c>
      <c r="DH102" t="e">
        <v>#N/A</v>
      </c>
    </row>
    <row r="103" spans="32:112">
      <c r="AF103">
        <v>93</v>
      </c>
      <c r="AG103" s="401">
        <f>'Lab test'!N96</f>
        <v>47.625</v>
      </c>
      <c r="AH103" s="401">
        <f>'Lab test'!M96</f>
        <v>5.1053999999999988E-2</v>
      </c>
      <c r="AI103">
        <f>IF('Lab test'!O96&gt;0,'Lab test'!O96,NA())</f>
        <v>304.79999999999995</v>
      </c>
      <c r="AJ103">
        <f>'Lab test'!Q96</f>
        <v>932.8358208955226</v>
      </c>
      <c r="AK103" s="401">
        <f>IF('Lab test'!V96&gt;0,'Lab test'!V96,NA())</f>
        <v>215805.90327000001</v>
      </c>
      <c r="AL103" s="7">
        <f>IF(MAX('Lab test'!W96,'Lab test'!X96)&gt;0,MAX('Lab test'!W96,'Lab test'!X96),NA())</f>
        <v>393.00116496000004</v>
      </c>
      <c r="AM103" s="401">
        <f>IF('Lab test'!P96&gt;0,'Lab test'!P96,NA())</f>
        <v>0.20954503095993468</v>
      </c>
      <c r="AN103" s="401">
        <f>IF('Lab test'!AU96&gt;0,'Lab test'!AU96,NA())</f>
        <v>7.263099613412656E-2</v>
      </c>
      <c r="AO103" s="401">
        <f>IF('Lab test'!AT96&gt;0,'Lab test'!AT96,NA())</f>
        <v>0.20386330282968676</v>
      </c>
      <c r="AP103">
        <f t="shared" si="60"/>
        <v>1</v>
      </c>
      <c r="AQ103" s="401">
        <f>'Lab test'!AZ96</f>
        <v>1934</v>
      </c>
      <c r="AR103" t="str">
        <f>'Lab test'!AC96</f>
        <v>LTWb</v>
      </c>
      <c r="AS103" t="str">
        <f>'Lab test'!T96</f>
        <v>Steel</v>
      </c>
      <c r="AX103" t="e">
        <f t="shared" si="45"/>
        <v>#N/A</v>
      </c>
      <c r="AY103" t="e">
        <f t="shared" si="42"/>
        <v>#N/A</v>
      </c>
      <c r="AZ103" t="e">
        <f t="shared" si="42"/>
        <v>#N/A</v>
      </c>
      <c r="BA103" t="e">
        <f t="shared" si="42"/>
        <v>#N/A</v>
      </c>
      <c r="BB103">
        <f t="shared" si="42"/>
        <v>215805.90327000001</v>
      </c>
      <c r="BC103" t="e">
        <f t="shared" si="42"/>
        <v>#N/A</v>
      </c>
      <c r="BD103" t="e">
        <f t="shared" si="42"/>
        <v>#N/A</v>
      </c>
      <c r="BG103" t="e">
        <f t="shared" si="46"/>
        <v>#N/A</v>
      </c>
      <c r="BH103" t="e">
        <f t="shared" si="43"/>
        <v>#N/A</v>
      </c>
      <c r="BI103" t="e">
        <f t="shared" si="43"/>
        <v>#N/A</v>
      </c>
      <c r="BJ103" t="e">
        <f t="shared" si="43"/>
        <v>#N/A</v>
      </c>
      <c r="BK103" t="e">
        <f t="shared" si="43"/>
        <v>#N/A</v>
      </c>
      <c r="BL103" t="e">
        <f t="shared" si="43"/>
        <v>#N/A</v>
      </c>
      <c r="BM103" t="e">
        <f t="shared" si="43"/>
        <v>#N/A</v>
      </c>
      <c r="BP103" t="e">
        <f t="shared" si="47"/>
        <v>#N/A</v>
      </c>
      <c r="BQ103" t="e">
        <f t="shared" si="44"/>
        <v>#N/A</v>
      </c>
      <c r="BR103" t="e">
        <f t="shared" si="44"/>
        <v>#N/A</v>
      </c>
      <c r="BS103" t="e">
        <f t="shared" si="44"/>
        <v>#N/A</v>
      </c>
      <c r="BT103" t="e">
        <f t="shared" si="44"/>
        <v>#N/A</v>
      </c>
      <c r="BU103" t="e">
        <f t="shared" si="44"/>
        <v>#N/A</v>
      </c>
      <c r="BV103" t="e">
        <f t="shared" si="44"/>
        <v>#N/A</v>
      </c>
      <c r="BY103">
        <f t="shared" si="48"/>
        <v>215805.90327000001</v>
      </c>
      <c r="BZ103" t="e">
        <v>#N/A</v>
      </c>
      <c r="CA103" t="e" cm="1">
        <f t="array" ref="CA103">IF(ISNUMBER(BZ103),AF103/COUNT(IF(ISNUMBER(_xlfn.ANCHORARRAY($BZ$11)),_xlfn.ANCHORARRAY($BZ$11))),NA())</f>
        <v>#N/A</v>
      </c>
      <c r="CB103" t="e">
        <f t="shared" si="49"/>
        <v>#N/A</v>
      </c>
      <c r="CD103" t="e">
        <f t="shared" si="50"/>
        <v>#N/A</v>
      </c>
      <c r="CE103" t="e">
        <f t="shared" si="51"/>
        <v>#N/A</v>
      </c>
      <c r="CG103" t="e">
        <v>#N/A</v>
      </c>
      <c r="CH103" t="e">
        <v>#N/A</v>
      </c>
      <c r="CL103" t="e">
        <f t="shared" si="52"/>
        <v>#N/A</v>
      </c>
      <c r="CM103" t="e">
        <v>#N/A</v>
      </c>
      <c r="CN103" t="e" cm="1">
        <f t="array" ref="CN103">IF(ISNUMBER(CM103),AF103/COUNT(IF(ISNUMBER(_xlfn.ANCHORARRAY($CM$11)),_xlfn.ANCHORARRAY($CM$11))),NA())</f>
        <v>#N/A</v>
      </c>
      <c r="CO103" t="e">
        <f t="shared" si="53"/>
        <v>#N/A</v>
      </c>
      <c r="CQ103" t="e">
        <f t="shared" si="54"/>
        <v>#N/A</v>
      </c>
      <c r="CR103" t="e">
        <f t="shared" si="55"/>
        <v>#N/A</v>
      </c>
      <c r="CT103" t="e">
        <v>#N/A</v>
      </c>
      <c r="CU103" t="e">
        <v>#N/A</v>
      </c>
      <c r="CY103" t="e">
        <f t="shared" si="56"/>
        <v>#N/A</v>
      </c>
      <c r="CZ103" t="e">
        <v>#N/A</v>
      </c>
      <c r="DA103" t="e" cm="1">
        <f t="array" ref="DA103">IF(ISNUMBER(CZ103),AF103/COUNT(IF(ISNUMBER(_xlfn.ANCHORARRAY($CZ$11)),_xlfn.ANCHORARRAY($CZ$11))),NA())</f>
        <v>#N/A</v>
      </c>
      <c r="DB103" t="e">
        <f t="shared" si="57"/>
        <v>#N/A</v>
      </c>
      <c r="DD103" t="e">
        <f t="shared" si="58"/>
        <v>#N/A</v>
      </c>
      <c r="DE103" t="e">
        <f t="shared" si="59"/>
        <v>#N/A</v>
      </c>
      <c r="DG103" t="e">
        <v>#N/A</v>
      </c>
      <c r="DH103" t="e">
        <v>#N/A</v>
      </c>
    </row>
    <row r="104" spans="32:112">
      <c r="AF104">
        <v>94</v>
      </c>
      <c r="AG104" s="401">
        <f>'Lab test'!N97</f>
        <v>23.939499999999999</v>
      </c>
      <c r="AH104" s="401">
        <f>'Lab test'!M97</f>
        <v>7.1119999999999989E-2</v>
      </c>
      <c r="AI104">
        <f>IF('Lab test'!O97&gt;0,'Lab test'!O97,NA())</f>
        <v>609.59999999999991</v>
      </c>
      <c r="AJ104">
        <f>'Lab test'!Q97</f>
        <v>336.60714285714289</v>
      </c>
      <c r="AK104" s="401">
        <f>IF('Lab test'!V97&gt;0,'Lab test'!V97,NA())</f>
        <v>215805.90327000001</v>
      </c>
      <c r="AL104" s="7">
        <f>IF(MAX('Lab test'!W97,'Lab test'!X97)&gt;0,MAX('Lab test'!W97,'Lab test'!X97),NA())</f>
        <v>393.00116496000004</v>
      </c>
      <c r="AM104" s="401">
        <f>IF('Lab test'!P97&gt;0,'Lab test'!P97,NA())</f>
        <v>1.3879320963327308</v>
      </c>
      <c r="AN104" s="401">
        <f>IF('Lab test'!AU97&gt;0,'Lab test'!AU97,NA())</f>
        <v>0.25295994902458802</v>
      </c>
      <c r="AO104" s="401">
        <f>IF('Lab test'!AT97&gt;0,'Lab test'!AT97,NA())</f>
        <v>0.2562046061708273</v>
      </c>
      <c r="AP104">
        <f t="shared" si="60"/>
        <v>1</v>
      </c>
      <c r="AQ104" s="401">
        <f>'Lab test'!AZ97</f>
        <v>1934</v>
      </c>
      <c r="AR104" t="str">
        <f>'Lab test'!AC97</f>
        <v>LTWb</v>
      </c>
      <c r="AS104" t="str">
        <f>'Lab test'!T97</f>
        <v>Steel</v>
      </c>
      <c r="AX104" t="e">
        <f t="shared" si="45"/>
        <v>#N/A</v>
      </c>
      <c r="AY104">
        <f t="shared" si="42"/>
        <v>215805.90327000001</v>
      </c>
      <c r="AZ104" t="e">
        <f t="shared" si="42"/>
        <v>#N/A</v>
      </c>
      <c r="BA104" t="e">
        <f t="shared" si="42"/>
        <v>#N/A</v>
      </c>
      <c r="BB104" t="e">
        <f t="shared" si="42"/>
        <v>#N/A</v>
      </c>
      <c r="BC104" t="e">
        <f t="shared" si="42"/>
        <v>#N/A</v>
      </c>
      <c r="BD104" t="e">
        <f t="shared" si="42"/>
        <v>#N/A</v>
      </c>
      <c r="BG104" t="e">
        <f t="shared" si="46"/>
        <v>#N/A</v>
      </c>
      <c r="BH104" t="e">
        <f t="shared" si="43"/>
        <v>#N/A</v>
      </c>
      <c r="BI104" t="e">
        <f t="shared" si="43"/>
        <v>#N/A</v>
      </c>
      <c r="BJ104" t="e">
        <f t="shared" si="43"/>
        <v>#N/A</v>
      </c>
      <c r="BK104" t="e">
        <f t="shared" si="43"/>
        <v>#N/A</v>
      </c>
      <c r="BL104" t="e">
        <f t="shared" si="43"/>
        <v>#N/A</v>
      </c>
      <c r="BM104" t="e">
        <f t="shared" si="43"/>
        <v>#N/A</v>
      </c>
      <c r="BP104" t="e">
        <f t="shared" si="47"/>
        <v>#N/A</v>
      </c>
      <c r="BQ104" t="e">
        <f t="shared" si="44"/>
        <v>#N/A</v>
      </c>
      <c r="BR104" t="e">
        <f t="shared" si="44"/>
        <v>#N/A</v>
      </c>
      <c r="BS104" t="e">
        <f t="shared" si="44"/>
        <v>#N/A</v>
      </c>
      <c r="BT104" t="e">
        <f t="shared" si="44"/>
        <v>#N/A</v>
      </c>
      <c r="BU104" t="e">
        <f t="shared" si="44"/>
        <v>#N/A</v>
      </c>
      <c r="BV104" t="e">
        <f t="shared" si="44"/>
        <v>#N/A</v>
      </c>
      <c r="BY104">
        <f t="shared" si="48"/>
        <v>215805.90327000001</v>
      </c>
      <c r="BZ104" t="e">
        <v>#N/A</v>
      </c>
      <c r="CA104" t="e" cm="1">
        <f t="array" ref="CA104">IF(ISNUMBER(BZ104),AF104/COUNT(IF(ISNUMBER(_xlfn.ANCHORARRAY($BZ$11)),_xlfn.ANCHORARRAY($BZ$11))),NA())</f>
        <v>#N/A</v>
      </c>
      <c r="CB104" t="e">
        <f t="shared" si="49"/>
        <v>#N/A</v>
      </c>
      <c r="CD104" t="e">
        <f t="shared" si="50"/>
        <v>#N/A</v>
      </c>
      <c r="CE104" t="e">
        <f t="shared" si="51"/>
        <v>#N/A</v>
      </c>
      <c r="CG104" t="e">
        <v>#N/A</v>
      </c>
      <c r="CH104" t="e">
        <v>#N/A</v>
      </c>
      <c r="CL104" t="e">
        <f t="shared" si="52"/>
        <v>#N/A</v>
      </c>
      <c r="CM104" t="e">
        <v>#N/A</v>
      </c>
      <c r="CN104" t="e" cm="1">
        <f t="array" ref="CN104">IF(ISNUMBER(CM104),AF104/COUNT(IF(ISNUMBER(_xlfn.ANCHORARRAY($CM$11)),_xlfn.ANCHORARRAY($CM$11))),NA())</f>
        <v>#N/A</v>
      </c>
      <c r="CO104" t="e">
        <f t="shared" si="53"/>
        <v>#N/A</v>
      </c>
      <c r="CQ104" t="e">
        <f t="shared" si="54"/>
        <v>#N/A</v>
      </c>
      <c r="CR104" t="e">
        <f t="shared" si="55"/>
        <v>#N/A</v>
      </c>
      <c r="CT104" t="e">
        <v>#N/A</v>
      </c>
      <c r="CU104" t="e">
        <v>#N/A</v>
      </c>
      <c r="CY104" t="e">
        <f t="shared" si="56"/>
        <v>#N/A</v>
      </c>
      <c r="CZ104" t="e">
        <v>#N/A</v>
      </c>
      <c r="DA104" t="e" cm="1">
        <f t="array" ref="DA104">IF(ISNUMBER(CZ104),AF104/COUNT(IF(ISNUMBER(_xlfn.ANCHORARRAY($CZ$11)),_xlfn.ANCHORARRAY($CZ$11))),NA())</f>
        <v>#N/A</v>
      </c>
      <c r="DB104" t="e">
        <f t="shared" si="57"/>
        <v>#N/A</v>
      </c>
      <c r="DD104" t="e">
        <f t="shared" si="58"/>
        <v>#N/A</v>
      </c>
      <c r="DE104" t="e">
        <f t="shared" si="59"/>
        <v>#N/A</v>
      </c>
      <c r="DG104" t="e">
        <v>#N/A</v>
      </c>
      <c r="DH104" t="e">
        <v>#N/A</v>
      </c>
    </row>
    <row r="105" spans="32:112">
      <c r="AF105">
        <v>95</v>
      </c>
      <c r="AG105" s="401">
        <f>'Lab test'!N98</f>
        <v>23.939499999999999</v>
      </c>
      <c r="AH105" s="401">
        <f>'Lab test'!M98</f>
        <v>5.0546000000000001E-2</v>
      </c>
      <c r="AI105">
        <f>IF('Lab test'!O98&gt;0,'Lab test'!O98,NA())</f>
        <v>762</v>
      </c>
      <c r="AJ105">
        <f>'Lab test'!Q98</f>
        <v>473.6180904522613</v>
      </c>
      <c r="AK105" s="401">
        <f>IF('Lab test'!V98&gt;0,'Lab test'!V98,NA())</f>
        <v>215805.90327000001</v>
      </c>
      <c r="AL105" s="7">
        <f>IF(MAX('Lab test'!W98,'Lab test'!X98)&gt;0,MAX('Lab test'!W98,'Lab test'!X98),NA())</f>
        <v>393.00116496000004</v>
      </c>
      <c r="AM105" s="401">
        <f>IF('Lab test'!P98&gt;0,'Lab test'!P98,NA())</f>
        <v>1.4626006247856018</v>
      </c>
      <c r="AN105" s="401">
        <f>IF('Lab test'!AU98&gt;0,'Lab test'!AU98,NA())</f>
        <v>0.13551900719384577</v>
      </c>
      <c r="AO105" s="401">
        <f>IF('Lab test'!AT98&gt;0,'Lab test'!AT98,NA())</f>
        <v>0.19312581729373399</v>
      </c>
      <c r="AP105">
        <f t="shared" si="60"/>
        <v>1</v>
      </c>
      <c r="AQ105" s="401">
        <f>'Lab test'!AZ98</f>
        <v>1934</v>
      </c>
      <c r="AR105" t="str">
        <f>'Lab test'!AC98</f>
        <v>LTWb</v>
      </c>
      <c r="AS105" t="str">
        <f>'Lab test'!T98</f>
        <v>Steel</v>
      </c>
      <c r="AX105" t="e">
        <f t="shared" si="45"/>
        <v>#N/A</v>
      </c>
      <c r="AY105" t="e">
        <f t="shared" si="42"/>
        <v>#N/A</v>
      </c>
      <c r="AZ105">
        <f t="shared" si="42"/>
        <v>215805.90327000001</v>
      </c>
      <c r="BA105" t="e">
        <f t="shared" si="42"/>
        <v>#N/A</v>
      </c>
      <c r="BB105" t="e">
        <f t="shared" si="42"/>
        <v>#N/A</v>
      </c>
      <c r="BC105" t="e">
        <f t="shared" si="42"/>
        <v>#N/A</v>
      </c>
      <c r="BD105" t="e">
        <f t="shared" si="42"/>
        <v>#N/A</v>
      </c>
      <c r="BG105" t="e">
        <f t="shared" si="46"/>
        <v>#N/A</v>
      </c>
      <c r="BH105" t="e">
        <f t="shared" si="43"/>
        <v>#N/A</v>
      </c>
      <c r="BI105" t="e">
        <f t="shared" si="43"/>
        <v>#N/A</v>
      </c>
      <c r="BJ105" t="e">
        <f t="shared" si="43"/>
        <v>#N/A</v>
      </c>
      <c r="BK105" t="e">
        <f t="shared" si="43"/>
        <v>#N/A</v>
      </c>
      <c r="BL105" t="e">
        <f t="shared" si="43"/>
        <v>#N/A</v>
      </c>
      <c r="BM105" t="e">
        <f t="shared" si="43"/>
        <v>#N/A</v>
      </c>
      <c r="BP105" t="e">
        <f t="shared" si="47"/>
        <v>#N/A</v>
      </c>
      <c r="BQ105" t="e">
        <f t="shared" si="44"/>
        <v>#N/A</v>
      </c>
      <c r="BR105" t="e">
        <f t="shared" si="44"/>
        <v>#N/A</v>
      </c>
      <c r="BS105" t="e">
        <f t="shared" si="44"/>
        <v>#N/A</v>
      </c>
      <c r="BT105" t="e">
        <f t="shared" si="44"/>
        <v>#N/A</v>
      </c>
      <c r="BU105" t="e">
        <f t="shared" si="44"/>
        <v>#N/A</v>
      </c>
      <c r="BV105" t="e">
        <f t="shared" si="44"/>
        <v>#N/A</v>
      </c>
      <c r="BY105">
        <f t="shared" si="48"/>
        <v>215805.90327000001</v>
      </c>
      <c r="BZ105" t="e">
        <v>#N/A</v>
      </c>
      <c r="CA105" t="e" cm="1">
        <f t="array" ref="CA105">IF(ISNUMBER(BZ105),AF105/COUNT(IF(ISNUMBER(_xlfn.ANCHORARRAY($BZ$11)),_xlfn.ANCHORARRAY($BZ$11))),NA())</f>
        <v>#N/A</v>
      </c>
      <c r="CB105" t="e">
        <f t="shared" si="49"/>
        <v>#N/A</v>
      </c>
      <c r="CD105" t="e">
        <f t="shared" si="50"/>
        <v>#N/A</v>
      </c>
      <c r="CE105" t="e">
        <f t="shared" si="51"/>
        <v>#N/A</v>
      </c>
      <c r="CG105" t="e">
        <v>#N/A</v>
      </c>
      <c r="CH105" t="e">
        <v>#N/A</v>
      </c>
      <c r="CL105" t="e">
        <f t="shared" si="52"/>
        <v>#N/A</v>
      </c>
      <c r="CM105" t="e">
        <v>#N/A</v>
      </c>
      <c r="CN105" t="e" cm="1">
        <f t="array" ref="CN105">IF(ISNUMBER(CM105),AF105/COUNT(IF(ISNUMBER(_xlfn.ANCHORARRAY($CM$11)),_xlfn.ANCHORARRAY($CM$11))),NA())</f>
        <v>#N/A</v>
      </c>
      <c r="CO105" t="e">
        <f t="shared" si="53"/>
        <v>#N/A</v>
      </c>
      <c r="CQ105" t="e">
        <f t="shared" si="54"/>
        <v>#N/A</v>
      </c>
      <c r="CR105" t="e">
        <f t="shared" si="55"/>
        <v>#N/A</v>
      </c>
      <c r="CT105" t="e">
        <v>#N/A</v>
      </c>
      <c r="CU105" t="e">
        <v>#N/A</v>
      </c>
      <c r="CY105" t="e">
        <f t="shared" si="56"/>
        <v>#N/A</v>
      </c>
      <c r="CZ105" t="e">
        <v>#N/A</v>
      </c>
      <c r="DA105" t="e" cm="1">
        <f t="array" ref="DA105">IF(ISNUMBER(CZ105),AF105/COUNT(IF(ISNUMBER(_xlfn.ANCHORARRAY($CZ$11)),_xlfn.ANCHORARRAY($CZ$11))),NA())</f>
        <v>#N/A</v>
      </c>
      <c r="DB105" t="e">
        <f t="shared" si="57"/>
        <v>#N/A</v>
      </c>
      <c r="DD105" t="e">
        <f t="shared" si="58"/>
        <v>#N/A</v>
      </c>
      <c r="DE105" t="e">
        <f t="shared" si="59"/>
        <v>#N/A</v>
      </c>
      <c r="DG105" t="e">
        <v>#N/A</v>
      </c>
      <c r="DH105" t="e">
        <v>#N/A</v>
      </c>
    </row>
    <row r="106" spans="32:112">
      <c r="AF106">
        <v>96</v>
      </c>
      <c r="AG106" s="401">
        <f>'Lab test'!N99</f>
        <v>72.009</v>
      </c>
      <c r="AH106" s="401">
        <f>'Lab test'!M99</f>
        <v>0.14808199999999999</v>
      </c>
      <c r="AI106">
        <f>IF('Lab test'!O99&gt;0,'Lab test'!O99,NA())</f>
        <v>152.39999999999998</v>
      </c>
      <c r="AJ106">
        <f>'Lab test'!Q99</f>
        <v>486.27787307032594</v>
      </c>
      <c r="AK106" s="401">
        <f>IF('Lab test'!V99&gt;0,'Lab test'!V99,NA())</f>
        <v>112384.54388</v>
      </c>
      <c r="AL106" s="7">
        <f>IF(MAX('Lab test'!W99,'Lab test'!X99)&gt;0,MAX('Lab test'!W99,'Lab test'!X99),NA())</f>
        <v>199.94796112</v>
      </c>
      <c r="AM106" s="401">
        <f>IF('Lab test'!P99&gt;0,'Lab test'!P99,NA())</f>
        <v>9.5974516502575158E-2</v>
      </c>
      <c r="AN106" s="401">
        <f>IF('Lab test'!AU99&gt;0,'Lab test'!AU99,NA())</f>
        <v>0.22254779560069551</v>
      </c>
      <c r="AO106" s="401">
        <f>IF('Lab test'!AT99&gt;0,'Lab test'!AT99,NA())</f>
        <v>0.31812626123732268</v>
      </c>
      <c r="AP106">
        <f t="shared" si="60"/>
        <v>1</v>
      </c>
      <c r="AQ106" s="401">
        <f>'Lab test'!AZ99</f>
        <v>1934</v>
      </c>
      <c r="AR106" t="str">
        <f>'Lab test'!AC99</f>
        <v>LTWb</v>
      </c>
      <c r="AS106" t="str">
        <f>'Lab test'!T99</f>
        <v>Brass</v>
      </c>
      <c r="AX106" t="e">
        <f t="shared" si="45"/>
        <v>#N/A</v>
      </c>
      <c r="AY106" t="e">
        <f t="shared" si="42"/>
        <v>#N/A</v>
      </c>
      <c r="AZ106" t="e">
        <f t="shared" si="42"/>
        <v>#N/A</v>
      </c>
      <c r="BA106" t="e">
        <f t="shared" si="42"/>
        <v>#N/A</v>
      </c>
      <c r="BB106" t="e">
        <f t="shared" si="42"/>
        <v>#N/A</v>
      </c>
      <c r="BC106" t="e">
        <f t="shared" si="42"/>
        <v>#N/A</v>
      </c>
      <c r="BD106" t="e">
        <f t="shared" si="42"/>
        <v>#N/A</v>
      </c>
      <c r="BG106" t="e">
        <f t="shared" si="46"/>
        <v>#N/A</v>
      </c>
      <c r="BH106" t="e">
        <f t="shared" si="43"/>
        <v>#N/A</v>
      </c>
      <c r="BI106" t="e">
        <f t="shared" si="43"/>
        <v>#N/A</v>
      </c>
      <c r="BJ106" t="e">
        <f t="shared" si="43"/>
        <v>#N/A</v>
      </c>
      <c r="BK106" t="e">
        <f t="shared" si="43"/>
        <v>#N/A</v>
      </c>
      <c r="BL106" t="e">
        <f t="shared" si="43"/>
        <v>#N/A</v>
      </c>
      <c r="BM106" t="e">
        <f t="shared" si="43"/>
        <v>#N/A</v>
      </c>
      <c r="BP106" t="e">
        <f t="shared" si="47"/>
        <v>#N/A</v>
      </c>
      <c r="BQ106" t="e">
        <f t="shared" si="44"/>
        <v>#N/A</v>
      </c>
      <c r="BR106">
        <f t="shared" si="44"/>
        <v>112384.54388</v>
      </c>
      <c r="BS106" t="e">
        <f t="shared" si="44"/>
        <v>#N/A</v>
      </c>
      <c r="BT106" t="e">
        <f t="shared" si="44"/>
        <v>#N/A</v>
      </c>
      <c r="BU106" t="e">
        <f t="shared" si="44"/>
        <v>#N/A</v>
      </c>
      <c r="BV106" t="e">
        <f t="shared" si="44"/>
        <v>#N/A</v>
      </c>
      <c r="BY106" t="e">
        <f t="shared" si="48"/>
        <v>#N/A</v>
      </c>
      <c r="BZ106" t="e">
        <v>#N/A</v>
      </c>
      <c r="CA106" t="e" cm="1">
        <f t="array" ref="CA106">IF(ISNUMBER(BZ106),AF106/COUNT(IF(ISNUMBER(_xlfn.ANCHORARRAY($BZ$11)),_xlfn.ANCHORARRAY($BZ$11))),NA())</f>
        <v>#N/A</v>
      </c>
      <c r="CB106" t="e">
        <f t="shared" si="49"/>
        <v>#N/A</v>
      </c>
      <c r="CD106" t="e">
        <f t="shared" si="50"/>
        <v>#N/A</v>
      </c>
      <c r="CE106" t="e">
        <f t="shared" si="51"/>
        <v>#N/A</v>
      </c>
      <c r="CG106" t="e">
        <v>#N/A</v>
      </c>
      <c r="CH106" t="e">
        <v>#N/A</v>
      </c>
      <c r="CL106" t="e">
        <f t="shared" si="52"/>
        <v>#N/A</v>
      </c>
      <c r="CM106" t="e">
        <v>#N/A</v>
      </c>
      <c r="CN106" t="e" cm="1">
        <f t="array" ref="CN106">IF(ISNUMBER(CM106),AF106/COUNT(IF(ISNUMBER(_xlfn.ANCHORARRAY($CM$11)),_xlfn.ANCHORARRAY($CM$11))),NA())</f>
        <v>#N/A</v>
      </c>
      <c r="CO106" t="e">
        <f t="shared" si="53"/>
        <v>#N/A</v>
      </c>
      <c r="CQ106" t="e">
        <f t="shared" si="54"/>
        <v>#N/A</v>
      </c>
      <c r="CR106" t="e">
        <f t="shared" si="55"/>
        <v>#N/A</v>
      </c>
      <c r="CT106" t="e">
        <v>#N/A</v>
      </c>
      <c r="CU106" t="e">
        <v>#N/A</v>
      </c>
      <c r="CY106">
        <f t="shared" si="56"/>
        <v>112384.54388</v>
      </c>
      <c r="CZ106" t="e">
        <v>#N/A</v>
      </c>
      <c r="DA106" t="e" cm="1">
        <f t="array" ref="DA106">IF(ISNUMBER(CZ106),AF106/COUNT(IF(ISNUMBER(_xlfn.ANCHORARRAY($CZ$11)),_xlfn.ANCHORARRAY($CZ$11))),NA())</f>
        <v>#N/A</v>
      </c>
      <c r="DB106" t="e">
        <f t="shared" si="57"/>
        <v>#N/A</v>
      </c>
      <c r="DD106" t="e">
        <f t="shared" si="58"/>
        <v>#N/A</v>
      </c>
      <c r="DE106" t="e">
        <f t="shared" si="59"/>
        <v>#N/A</v>
      </c>
      <c r="DG106" t="e">
        <v>#N/A</v>
      </c>
      <c r="DH106" t="e">
        <v>#N/A</v>
      </c>
    </row>
    <row r="107" spans="32:112">
      <c r="AF107">
        <v>97</v>
      </c>
      <c r="AG107" s="401">
        <f>'Lab test'!N100</f>
        <v>47.625</v>
      </c>
      <c r="AH107" s="401">
        <f>'Lab test'!M100</f>
        <v>0.15138399999999999</v>
      </c>
      <c r="AI107">
        <f>IF('Lab test'!O100&gt;0,'Lab test'!O100,NA())</f>
        <v>152.39999999999998</v>
      </c>
      <c r="AJ107">
        <f>'Lab test'!Q100</f>
        <v>314.59731543624162</v>
      </c>
      <c r="AK107" s="401">
        <f>IF('Lab test'!V100&gt;0,'Lab test'!V100,NA())</f>
        <v>112384.54388</v>
      </c>
      <c r="AL107" s="7">
        <f>IF(MAX('Lab test'!W100,'Lab test'!X100)&gt;0,MAX('Lab test'!W100,'Lab test'!X100),NA())</f>
        <v>199.94796112</v>
      </c>
      <c r="AM107" s="401">
        <f>IF('Lab test'!P100&gt;0,'Lab test'!P100,NA())</f>
        <v>0.18041492916792295</v>
      </c>
      <c r="AN107" s="401">
        <f>IF('Lab test'!AU100&gt;0,'Lab test'!AU100,NA())</f>
        <v>0.24711013921243075</v>
      </c>
      <c r="AO107" s="401">
        <f>IF('Lab test'!AT100&gt;0,'Lab test'!AT100,NA())</f>
        <v>0.22852688182856856</v>
      </c>
      <c r="AP107">
        <f t="shared" si="60"/>
        <v>1</v>
      </c>
      <c r="AQ107" s="401">
        <f>'Lab test'!AZ100</f>
        <v>1934</v>
      </c>
      <c r="AR107" t="str">
        <f>'Lab test'!AC100</f>
        <v>LTWb</v>
      </c>
      <c r="AS107" t="str">
        <f>'Lab test'!T100</f>
        <v>Brass</v>
      </c>
      <c r="AX107" t="e">
        <f t="shared" si="45"/>
        <v>#N/A</v>
      </c>
      <c r="AY107" t="e">
        <f t="shared" si="42"/>
        <v>#N/A</v>
      </c>
      <c r="AZ107" t="e">
        <f t="shared" si="42"/>
        <v>#N/A</v>
      </c>
      <c r="BA107" t="e">
        <f t="shared" si="42"/>
        <v>#N/A</v>
      </c>
      <c r="BB107" t="e">
        <f t="shared" si="42"/>
        <v>#N/A</v>
      </c>
      <c r="BC107" t="e">
        <f t="shared" si="42"/>
        <v>#N/A</v>
      </c>
      <c r="BD107" t="e">
        <f t="shared" si="42"/>
        <v>#N/A</v>
      </c>
      <c r="BG107" t="e">
        <f t="shared" si="46"/>
        <v>#N/A</v>
      </c>
      <c r="BH107" t="e">
        <f t="shared" si="43"/>
        <v>#N/A</v>
      </c>
      <c r="BI107" t="e">
        <f t="shared" si="43"/>
        <v>#N/A</v>
      </c>
      <c r="BJ107" t="e">
        <f t="shared" si="43"/>
        <v>#N/A</v>
      </c>
      <c r="BK107" t="e">
        <f t="shared" si="43"/>
        <v>#N/A</v>
      </c>
      <c r="BL107" t="e">
        <f t="shared" si="43"/>
        <v>#N/A</v>
      </c>
      <c r="BM107" t="e">
        <f t="shared" si="43"/>
        <v>#N/A</v>
      </c>
      <c r="BP107" t="e">
        <f t="shared" si="47"/>
        <v>#N/A</v>
      </c>
      <c r="BQ107">
        <f t="shared" si="44"/>
        <v>112384.54388</v>
      </c>
      <c r="BR107" t="e">
        <f t="shared" si="44"/>
        <v>#N/A</v>
      </c>
      <c r="BS107" t="e">
        <f t="shared" si="44"/>
        <v>#N/A</v>
      </c>
      <c r="BT107" t="e">
        <f t="shared" si="44"/>
        <v>#N/A</v>
      </c>
      <c r="BU107" t="e">
        <f t="shared" si="44"/>
        <v>#N/A</v>
      </c>
      <c r="BV107" t="e">
        <f t="shared" si="44"/>
        <v>#N/A</v>
      </c>
      <c r="BY107" t="e">
        <f t="shared" si="48"/>
        <v>#N/A</v>
      </c>
      <c r="BZ107" t="e">
        <v>#N/A</v>
      </c>
      <c r="CA107" t="e" cm="1">
        <f t="array" ref="CA107">IF(ISNUMBER(BZ107),AF107/COUNT(IF(ISNUMBER(_xlfn.ANCHORARRAY($BZ$11)),_xlfn.ANCHORARRAY($BZ$11))),NA())</f>
        <v>#N/A</v>
      </c>
      <c r="CB107" t="e">
        <f t="shared" si="49"/>
        <v>#N/A</v>
      </c>
      <c r="CD107" t="e">
        <f t="shared" si="50"/>
        <v>#N/A</v>
      </c>
      <c r="CE107" t="e">
        <f t="shared" si="51"/>
        <v>#N/A</v>
      </c>
      <c r="CG107" t="e">
        <v>#N/A</v>
      </c>
      <c r="CH107" t="e">
        <v>#N/A</v>
      </c>
      <c r="CL107" t="e">
        <f t="shared" si="52"/>
        <v>#N/A</v>
      </c>
      <c r="CM107" t="e">
        <v>#N/A</v>
      </c>
      <c r="CN107" t="e" cm="1">
        <f t="array" ref="CN107">IF(ISNUMBER(CM107),AF107/COUNT(IF(ISNUMBER(_xlfn.ANCHORARRAY($CM$11)),_xlfn.ANCHORARRAY($CM$11))),NA())</f>
        <v>#N/A</v>
      </c>
      <c r="CO107" t="e">
        <f t="shared" si="53"/>
        <v>#N/A</v>
      </c>
      <c r="CQ107" t="e">
        <f t="shared" si="54"/>
        <v>#N/A</v>
      </c>
      <c r="CR107" t="e">
        <f t="shared" si="55"/>
        <v>#N/A</v>
      </c>
      <c r="CT107" t="e">
        <v>#N/A</v>
      </c>
      <c r="CU107" t="e">
        <v>#N/A</v>
      </c>
      <c r="CY107">
        <f t="shared" si="56"/>
        <v>112384.54388</v>
      </c>
      <c r="CZ107" t="e">
        <v>#N/A</v>
      </c>
      <c r="DA107" t="e" cm="1">
        <f t="array" ref="DA107">IF(ISNUMBER(CZ107),AF107/COUNT(IF(ISNUMBER(_xlfn.ANCHORARRAY($CZ$11)),_xlfn.ANCHORARRAY($CZ$11))),NA())</f>
        <v>#N/A</v>
      </c>
      <c r="DB107" t="e">
        <f t="shared" si="57"/>
        <v>#N/A</v>
      </c>
      <c r="DD107" t="e">
        <f t="shared" si="58"/>
        <v>#N/A</v>
      </c>
      <c r="DE107" t="e">
        <f t="shared" si="59"/>
        <v>#N/A</v>
      </c>
      <c r="DG107" t="e">
        <v>#N/A</v>
      </c>
      <c r="DH107" t="e">
        <v>#N/A</v>
      </c>
    </row>
    <row r="108" spans="32:112">
      <c r="AF108">
        <v>98</v>
      </c>
      <c r="AG108" s="401">
        <f>'Lab test'!N101</f>
        <v>47.625</v>
      </c>
      <c r="AH108" s="401">
        <f>'Lab test'!M101</f>
        <v>0.14986000000000002</v>
      </c>
      <c r="AI108">
        <f>IF('Lab test'!O101&gt;0,'Lab test'!O101,NA())</f>
        <v>152.39999999999998</v>
      </c>
      <c r="AJ108">
        <f>'Lab test'!Q101</f>
        <v>317.79661016949149</v>
      </c>
      <c r="AK108" s="401">
        <f>IF('Lab test'!V101&gt;0,'Lab test'!V101,NA())</f>
        <v>112384.54388</v>
      </c>
      <c r="AL108" s="7">
        <f>IF(MAX('Lab test'!W101,'Lab test'!X101)&gt;0,MAX('Lab test'!W101,'Lab test'!X101),NA())</f>
        <v>199.94796112</v>
      </c>
      <c r="AM108" s="401">
        <f>IF('Lab test'!P101&gt;0,'Lab test'!P101,NA())</f>
        <v>0.1795045031932811</v>
      </c>
      <c r="AN108" s="401">
        <f>IF('Lab test'!AU101&gt;0,'Lab test'!AU101,NA())</f>
        <v>0.2362238705192902</v>
      </c>
      <c r="AO108" s="401">
        <f>IF('Lab test'!AT101&gt;0,'Lab test'!AT101,NA())</f>
        <v>0.22068090572493562</v>
      </c>
      <c r="AP108">
        <f t="shared" si="60"/>
        <v>1</v>
      </c>
      <c r="AQ108" s="401">
        <f>'Lab test'!AZ101</f>
        <v>1934</v>
      </c>
      <c r="AR108" t="str">
        <f>'Lab test'!AC101</f>
        <v>LTWb</v>
      </c>
      <c r="AS108" t="str">
        <f>'Lab test'!T101</f>
        <v>Brass</v>
      </c>
      <c r="AX108" t="e">
        <f t="shared" si="45"/>
        <v>#N/A</v>
      </c>
      <c r="AY108" t="e">
        <f t="shared" si="42"/>
        <v>#N/A</v>
      </c>
      <c r="AZ108" t="e">
        <f t="shared" si="42"/>
        <v>#N/A</v>
      </c>
      <c r="BA108" t="e">
        <f t="shared" si="42"/>
        <v>#N/A</v>
      </c>
      <c r="BB108" t="e">
        <f t="shared" si="42"/>
        <v>#N/A</v>
      </c>
      <c r="BC108" t="e">
        <f t="shared" si="42"/>
        <v>#N/A</v>
      </c>
      <c r="BD108" t="e">
        <f t="shared" si="42"/>
        <v>#N/A</v>
      </c>
      <c r="BG108" t="e">
        <f t="shared" si="46"/>
        <v>#N/A</v>
      </c>
      <c r="BH108" t="e">
        <f t="shared" si="43"/>
        <v>#N/A</v>
      </c>
      <c r="BI108" t="e">
        <f t="shared" si="43"/>
        <v>#N/A</v>
      </c>
      <c r="BJ108" t="e">
        <f t="shared" si="43"/>
        <v>#N/A</v>
      </c>
      <c r="BK108" t="e">
        <f t="shared" si="43"/>
        <v>#N/A</v>
      </c>
      <c r="BL108" t="e">
        <f t="shared" si="43"/>
        <v>#N/A</v>
      </c>
      <c r="BM108" t="e">
        <f t="shared" si="43"/>
        <v>#N/A</v>
      </c>
      <c r="BP108" t="e">
        <f t="shared" si="47"/>
        <v>#N/A</v>
      </c>
      <c r="BQ108">
        <f t="shared" si="44"/>
        <v>112384.54388</v>
      </c>
      <c r="BR108" t="e">
        <f t="shared" si="44"/>
        <v>#N/A</v>
      </c>
      <c r="BS108" t="e">
        <f t="shared" si="44"/>
        <v>#N/A</v>
      </c>
      <c r="BT108" t="e">
        <f t="shared" si="44"/>
        <v>#N/A</v>
      </c>
      <c r="BU108" t="e">
        <f t="shared" si="44"/>
        <v>#N/A</v>
      </c>
      <c r="BV108" t="e">
        <f t="shared" si="44"/>
        <v>#N/A</v>
      </c>
      <c r="BY108" t="e">
        <f t="shared" si="48"/>
        <v>#N/A</v>
      </c>
      <c r="BZ108" t="e">
        <v>#N/A</v>
      </c>
      <c r="CA108" t="e" cm="1">
        <f t="array" ref="CA108">IF(ISNUMBER(BZ108),AF108/COUNT(IF(ISNUMBER(_xlfn.ANCHORARRAY($BZ$11)),_xlfn.ANCHORARRAY($BZ$11))),NA())</f>
        <v>#N/A</v>
      </c>
      <c r="CB108" t="e">
        <f t="shared" si="49"/>
        <v>#N/A</v>
      </c>
      <c r="CD108" t="e">
        <f t="shared" si="50"/>
        <v>#N/A</v>
      </c>
      <c r="CE108" t="e">
        <f t="shared" si="51"/>
        <v>#N/A</v>
      </c>
      <c r="CG108" t="e">
        <v>#N/A</v>
      </c>
      <c r="CH108" t="e">
        <v>#N/A</v>
      </c>
      <c r="CL108" t="e">
        <f t="shared" si="52"/>
        <v>#N/A</v>
      </c>
      <c r="CM108" t="e">
        <v>#N/A</v>
      </c>
      <c r="CN108" t="e" cm="1">
        <f t="array" ref="CN108">IF(ISNUMBER(CM108),AF108/COUNT(IF(ISNUMBER(_xlfn.ANCHORARRAY($CM$11)),_xlfn.ANCHORARRAY($CM$11))),NA())</f>
        <v>#N/A</v>
      </c>
      <c r="CO108" t="e">
        <f t="shared" si="53"/>
        <v>#N/A</v>
      </c>
      <c r="CQ108" t="e">
        <f t="shared" si="54"/>
        <v>#N/A</v>
      </c>
      <c r="CR108" t="e">
        <f t="shared" si="55"/>
        <v>#N/A</v>
      </c>
      <c r="CT108" t="e">
        <v>#N/A</v>
      </c>
      <c r="CU108" t="e">
        <v>#N/A</v>
      </c>
      <c r="CY108">
        <f t="shared" si="56"/>
        <v>112384.54388</v>
      </c>
      <c r="CZ108" t="e">
        <v>#N/A</v>
      </c>
      <c r="DA108" t="e" cm="1">
        <f t="array" ref="DA108">IF(ISNUMBER(CZ108),AF108/COUNT(IF(ISNUMBER(_xlfn.ANCHORARRAY($CZ$11)),_xlfn.ANCHORARRAY($CZ$11))),NA())</f>
        <v>#N/A</v>
      </c>
      <c r="DB108" t="e">
        <f t="shared" si="57"/>
        <v>#N/A</v>
      </c>
      <c r="DD108" t="e">
        <f t="shared" si="58"/>
        <v>#N/A</v>
      </c>
      <c r="DE108" t="e">
        <f t="shared" si="59"/>
        <v>#N/A</v>
      </c>
      <c r="DG108" t="e">
        <v>#N/A</v>
      </c>
      <c r="DH108" t="e">
        <v>#N/A</v>
      </c>
    </row>
    <row r="109" spans="32:112">
      <c r="AF109">
        <v>99</v>
      </c>
      <c r="AG109" s="401">
        <f>'Lab test'!N102</f>
        <v>23.939499999999999</v>
      </c>
      <c r="AH109" s="401">
        <f>'Lab test'!M102</f>
        <v>0.14808199999999999</v>
      </c>
      <c r="AI109">
        <f>IF('Lab test'!O102&gt;0,'Lab test'!O102,NA())</f>
        <v>152.39999999999998</v>
      </c>
      <c r="AJ109">
        <f>'Lab test'!Q102</f>
        <v>161.66380789022298</v>
      </c>
      <c r="AK109" s="401">
        <f>IF('Lab test'!V102&gt;0,'Lab test'!V102,NA())</f>
        <v>112384.54388</v>
      </c>
      <c r="AL109" s="7">
        <f>IF(MAX('Lab test'!W102,'Lab test'!X102)&gt;0,MAX('Lab test'!W102,'Lab test'!X102),NA())</f>
        <v>199.94796112</v>
      </c>
      <c r="AM109" s="401">
        <f>IF('Lab test'!P102&gt;0,'Lab test'!P102,NA())</f>
        <v>0.50068374206148569</v>
      </c>
      <c r="AN109" s="401">
        <f>IF('Lab test'!AU102&gt;0,'Lab test'!AU102,NA())</f>
        <v>0.68140383445120845</v>
      </c>
      <c r="AO109" s="401">
        <f>IF('Lab test'!AT102&gt;0,'Lab test'!AT102,NA())</f>
        <v>0.3238240450206778</v>
      </c>
      <c r="AP109">
        <f t="shared" si="60"/>
        <v>1</v>
      </c>
      <c r="AQ109" s="401">
        <f>'Lab test'!AZ102</f>
        <v>1934</v>
      </c>
      <c r="AR109" t="str">
        <f>'Lab test'!AC102</f>
        <v>LTWb</v>
      </c>
      <c r="AS109" t="str">
        <f>'Lab test'!T102</f>
        <v>Brass</v>
      </c>
      <c r="AX109" t="e">
        <f t="shared" si="45"/>
        <v>#N/A</v>
      </c>
      <c r="AY109" t="e">
        <f t="shared" si="42"/>
        <v>#N/A</v>
      </c>
      <c r="AZ109" t="e">
        <f t="shared" si="42"/>
        <v>#N/A</v>
      </c>
      <c r="BA109" t="e">
        <f t="shared" si="42"/>
        <v>#N/A</v>
      </c>
      <c r="BB109" t="e">
        <f t="shared" ref="AZ109:BD160" si="61">IF(ISNUMBER($AJ109),IF(ISNUMBER($AP109),IF($AJ109&gt;BB$9,IF($AJ109&lt;=BB$10,IF($AR109=$AW$2,IF($AS109=$AW$6,$AK109,NA()),NA()),NA()),NA()),NA()),NA())</f>
        <v>#N/A</v>
      </c>
      <c r="BC109" t="e">
        <f t="shared" si="61"/>
        <v>#N/A</v>
      </c>
      <c r="BD109" t="e">
        <f t="shared" si="61"/>
        <v>#N/A</v>
      </c>
      <c r="BG109" t="e">
        <f t="shared" si="46"/>
        <v>#N/A</v>
      </c>
      <c r="BH109" t="e">
        <f t="shared" si="43"/>
        <v>#N/A</v>
      </c>
      <c r="BI109" t="e">
        <f t="shared" si="43"/>
        <v>#N/A</v>
      </c>
      <c r="BJ109" t="e">
        <f t="shared" si="43"/>
        <v>#N/A</v>
      </c>
      <c r="BK109" t="e">
        <f t="shared" ref="BI109:BM160" si="62">IF(ISNUMBER($AJ109),IF(ISNUMBER($AP109),IF($AJ109&gt;BK$9,IF($AJ109&lt;=BK$10,IF($AR109=$AW$2,IF($AS109=$BF$6,$AK109,NA()),NA()),NA()),NA()),NA()),NA())</f>
        <v>#N/A</v>
      </c>
      <c r="BL109" t="e">
        <f t="shared" si="62"/>
        <v>#N/A</v>
      </c>
      <c r="BM109" t="e">
        <f t="shared" si="62"/>
        <v>#N/A</v>
      </c>
      <c r="BP109">
        <f t="shared" si="47"/>
        <v>112384.54388</v>
      </c>
      <c r="BQ109" t="e">
        <f t="shared" si="44"/>
        <v>#N/A</v>
      </c>
      <c r="BR109" t="e">
        <f t="shared" si="44"/>
        <v>#N/A</v>
      </c>
      <c r="BS109" t="e">
        <f t="shared" si="44"/>
        <v>#N/A</v>
      </c>
      <c r="BT109" t="e">
        <f t="shared" ref="BR109:BV160" si="63">IF(ISNUMBER($AJ109),IF(ISNUMBER($AP109),IF($AJ109&gt;BT$9,IF($AJ109&lt;=BT$10,IF($AR109=$AW$2,IF($AS109=$BO$6,$AK109,NA()),NA()),NA()),NA()),NA()),NA())</f>
        <v>#N/A</v>
      </c>
      <c r="BU109" t="e">
        <f t="shared" si="63"/>
        <v>#N/A</v>
      </c>
      <c r="BV109" t="e">
        <f t="shared" si="63"/>
        <v>#N/A</v>
      </c>
      <c r="BY109" t="e">
        <f t="shared" si="48"/>
        <v>#N/A</v>
      </c>
      <c r="BZ109" t="e">
        <v>#N/A</v>
      </c>
      <c r="CA109" t="e" cm="1">
        <f t="array" ref="CA109">IF(ISNUMBER(BZ109),AF109/COUNT(IF(ISNUMBER(_xlfn.ANCHORARRAY($BZ$11)),_xlfn.ANCHORARRAY($BZ$11))),NA())</f>
        <v>#N/A</v>
      </c>
      <c r="CB109" t="e">
        <f t="shared" si="49"/>
        <v>#N/A</v>
      </c>
      <c r="CD109" t="e">
        <f t="shared" si="50"/>
        <v>#N/A</v>
      </c>
      <c r="CE109" t="e">
        <f t="shared" si="51"/>
        <v>#N/A</v>
      </c>
      <c r="CG109" t="e">
        <v>#N/A</v>
      </c>
      <c r="CH109" t="e">
        <v>#N/A</v>
      </c>
      <c r="CL109" t="e">
        <f t="shared" si="52"/>
        <v>#N/A</v>
      </c>
      <c r="CM109" t="e">
        <v>#N/A</v>
      </c>
      <c r="CN109" t="e" cm="1">
        <f t="array" ref="CN109">IF(ISNUMBER(CM109),AF109/COUNT(IF(ISNUMBER(_xlfn.ANCHORARRAY($CM$11)),_xlfn.ANCHORARRAY($CM$11))),NA())</f>
        <v>#N/A</v>
      </c>
      <c r="CO109" t="e">
        <f t="shared" si="53"/>
        <v>#N/A</v>
      </c>
      <c r="CQ109" t="e">
        <f t="shared" si="54"/>
        <v>#N/A</v>
      </c>
      <c r="CR109" t="e">
        <f t="shared" si="55"/>
        <v>#N/A</v>
      </c>
      <c r="CT109" t="e">
        <v>#N/A</v>
      </c>
      <c r="CU109" t="e">
        <v>#N/A</v>
      </c>
      <c r="CY109">
        <f t="shared" si="56"/>
        <v>112384.54388</v>
      </c>
      <c r="CZ109" t="e">
        <v>#N/A</v>
      </c>
      <c r="DA109" t="e" cm="1">
        <f t="array" ref="DA109">IF(ISNUMBER(CZ109),AF109/COUNT(IF(ISNUMBER(_xlfn.ANCHORARRAY($CZ$11)),_xlfn.ANCHORARRAY($CZ$11))),NA())</f>
        <v>#N/A</v>
      </c>
      <c r="DB109" t="e">
        <f t="shared" si="57"/>
        <v>#N/A</v>
      </c>
      <c r="DD109" t="e">
        <f t="shared" si="58"/>
        <v>#N/A</v>
      </c>
      <c r="DE109" t="e">
        <f t="shared" si="59"/>
        <v>#N/A</v>
      </c>
      <c r="DG109" t="e">
        <v>#N/A</v>
      </c>
      <c r="DH109" t="e">
        <v>#N/A</v>
      </c>
    </row>
    <row r="110" spans="32:112">
      <c r="AF110">
        <v>100</v>
      </c>
      <c r="AG110" s="401">
        <f>'Lab test'!N103</f>
        <v>72.009</v>
      </c>
      <c r="AH110" s="401">
        <f>'Lab test'!M103</f>
        <v>7.5691999999999995E-2</v>
      </c>
      <c r="AI110">
        <f>IF('Lab test'!O103&gt;0,'Lab test'!O103,NA())</f>
        <v>152.39999999999998</v>
      </c>
      <c r="AJ110">
        <f>'Lab test'!Q103</f>
        <v>951.34228187919473</v>
      </c>
      <c r="AK110" s="401">
        <f>IF('Lab test'!V103&gt;0,'Lab test'!V103,NA())</f>
        <v>108247.68949999999</v>
      </c>
      <c r="AL110" s="7">
        <f>IF(MAX('Lab test'!W103,'Lab test'!X103)&gt;0,MAX('Lab test'!W103,'Lab test'!X103),NA())</f>
        <v>199.94796112</v>
      </c>
      <c r="AM110" s="401">
        <f>IF('Lab test'!P103&gt;0,'Lab test'!P103,NA())</f>
        <v>6.8616693678336629E-2</v>
      </c>
      <c r="AN110" s="401">
        <f>IF('Lab test'!AU103&gt;0,'Lab test'!AU103,NA())</f>
        <v>7.7329952997042248E-2</v>
      </c>
      <c r="AO110" s="401">
        <f>IF('Lab test'!AT103&gt;0,'Lab test'!AT103,NA())</f>
        <v>0.2245247458937866</v>
      </c>
      <c r="AP110">
        <f t="shared" si="60"/>
        <v>1</v>
      </c>
      <c r="AQ110" s="401">
        <f>'Lab test'!AZ103</f>
        <v>1934</v>
      </c>
      <c r="AR110" t="str">
        <f>'Lab test'!AC103</f>
        <v>LTWb</v>
      </c>
      <c r="AS110" t="str">
        <f>'Lab test'!T103</f>
        <v>Brass</v>
      </c>
      <c r="AX110" t="e">
        <f t="shared" si="45"/>
        <v>#N/A</v>
      </c>
      <c r="AY110" t="e">
        <f t="shared" ref="AY110:AY173" si="64">IF(ISNUMBER($AJ110),IF(ISNUMBER($AP110),IF($AJ110&gt;AY$9,IF($AJ110&lt;=AY$10,IF($AR110=$AW$2,IF($AS110=$AW$6,$AK110,NA()),NA()),NA()),NA()),NA()),NA())</f>
        <v>#N/A</v>
      </c>
      <c r="AZ110" t="e">
        <f t="shared" si="61"/>
        <v>#N/A</v>
      </c>
      <c r="BA110" t="e">
        <f t="shared" si="61"/>
        <v>#N/A</v>
      </c>
      <c r="BB110" t="e">
        <f t="shared" si="61"/>
        <v>#N/A</v>
      </c>
      <c r="BC110" t="e">
        <f t="shared" si="61"/>
        <v>#N/A</v>
      </c>
      <c r="BD110" t="e">
        <f t="shared" si="61"/>
        <v>#N/A</v>
      </c>
      <c r="BG110" t="e">
        <f t="shared" si="46"/>
        <v>#N/A</v>
      </c>
      <c r="BH110" t="e">
        <f t="shared" ref="BH110:BH173" si="65">IF(ISNUMBER($AJ110),IF(ISNUMBER($AP110),IF($AJ110&gt;BH$9,IF($AJ110&lt;=BH$10,IF($AR110=$AW$2,IF($AS110=$BF$6,$AK110,NA()),NA()),NA()),NA()),NA()),NA())</f>
        <v>#N/A</v>
      </c>
      <c r="BI110" t="e">
        <f t="shared" si="62"/>
        <v>#N/A</v>
      </c>
      <c r="BJ110" t="e">
        <f t="shared" si="62"/>
        <v>#N/A</v>
      </c>
      <c r="BK110" t="e">
        <f t="shared" si="62"/>
        <v>#N/A</v>
      </c>
      <c r="BL110" t="e">
        <f t="shared" si="62"/>
        <v>#N/A</v>
      </c>
      <c r="BM110" t="e">
        <f t="shared" si="62"/>
        <v>#N/A</v>
      </c>
      <c r="BP110" t="e">
        <f t="shared" si="47"/>
        <v>#N/A</v>
      </c>
      <c r="BQ110" t="e">
        <f t="shared" ref="BQ110:BQ173" si="66">IF(ISNUMBER($AJ110),IF(ISNUMBER($AP110),IF($AJ110&gt;BQ$9,IF($AJ110&lt;=BQ$10,IF($AR110=$AW$2,IF($AS110=$BO$6,$AK110,NA()),NA()),NA()),NA()),NA()),NA())</f>
        <v>#N/A</v>
      </c>
      <c r="BR110" t="e">
        <f t="shared" si="63"/>
        <v>#N/A</v>
      </c>
      <c r="BS110" t="e">
        <f t="shared" si="63"/>
        <v>#N/A</v>
      </c>
      <c r="BT110">
        <f t="shared" si="63"/>
        <v>108247.68949999999</v>
      </c>
      <c r="BU110" t="e">
        <f t="shared" si="63"/>
        <v>#N/A</v>
      </c>
      <c r="BV110" t="e">
        <f t="shared" si="63"/>
        <v>#N/A</v>
      </c>
      <c r="BY110" t="e">
        <f t="shared" si="48"/>
        <v>#N/A</v>
      </c>
      <c r="BZ110" t="e">
        <v>#N/A</v>
      </c>
      <c r="CA110" t="e" cm="1">
        <f t="array" ref="CA110">IF(ISNUMBER(BZ110),AF110/COUNT(IF(ISNUMBER(_xlfn.ANCHORARRAY($BZ$11)),_xlfn.ANCHORARRAY($BZ$11))),NA())</f>
        <v>#N/A</v>
      </c>
      <c r="CB110" t="e">
        <f t="shared" si="49"/>
        <v>#N/A</v>
      </c>
      <c r="CD110" t="e">
        <f t="shared" si="50"/>
        <v>#N/A</v>
      </c>
      <c r="CE110" t="e">
        <f t="shared" si="51"/>
        <v>#N/A</v>
      </c>
      <c r="CG110" t="e">
        <v>#N/A</v>
      </c>
      <c r="CH110" t="e">
        <v>#N/A</v>
      </c>
      <c r="CL110" t="e">
        <f t="shared" si="52"/>
        <v>#N/A</v>
      </c>
      <c r="CM110" t="e">
        <v>#N/A</v>
      </c>
      <c r="CN110" t="e" cm="1">
        <f t="array" ref="CN110">IF(ISNUMBER(CM110),AF110/COUNT(IF(ISNUMBER(_xlfn.ANCHORARRAY($CM$11)),_xlfn.ANCHORARRAY($CM$11))),NA())</f>
        <v>#N/A</v>
      </c>
      <c r="CO110" t="e">
        <f t="shared" si="53"/>
        <v>#N/A</v>
      </c>
      <c r="CQ110" t="e">
        <f t="shared" si="54"/>
        <v>#N/A</v>
      </c>
      <c r="CR110" t="e">
        <f t="shared" si="55"/>
        <v>#N/A</v>
      </c>
      <c r="CT110" t="e">
        <v>#N/A</v>
      </c>
      <c r="CU110" t="e">
        <v>#N/A</v>
      </c>
      <c r="CY110">
        <f t="shared" si="56"/>
        <v>108247.68949999999</v>
      </c>
      <c r="CZ110" t="e">
        <v>#N/A</v>
      </c>
      <c r="DA110" t="e" cm="1">
        <f t="array" ref="DA110">IF(ISNUMBER(CZ110),AF110/COUNT(IF(ISNUMBER(_xlfn.ANCHORARRAY($CZ$11)),_xlfn.ANCHORARRAY($CZ$11))),NA())</f>
        <v>#N/A</v>
      </c>
      <c r="DB110" t="e">
        <f t="shared" si="57"/>
        <v>#N/A</v>
      </c>
      <c r="DD110" t="e">
        <f t="shared" si="58"/>
        <v>#N/A</v>
      </c>
      <c r="DE110" t="e">
        <f t="shared" si="59"/>
        <v>#N/A</v>
      </c>
      <c r="DG110" t="e">
        <v>#N/A</v>
      </c>
      <c r="DH110" t="e">
        <v>#N/A</v>
      </c>
    </row>
    <row r="111" spans="32:112">
      <c r="AF111">
        <v>101</v>
      </c>
      <c r="AG111" s="401">
        <f>'Lab test'!N104</f>
        <v>23.939499999999999</v>
      </c>
      <c r="AH111" s="401">
        <f>'Lab test'!M104</f>
        <v>7.493000000000001E-2</v>
      </c>
      <c r="AI111">
        <f>IF('Lab test'!O104&gt;0,'Lab test'!O104,NA())</f>
        <v>152.39999999999998</v>
      </c>
      <c r="AJ111">
        <f>'Lab test'!Q104</f>
        <v>319.49152542372877</v>
      </c>
      <c r="AK111" s="401">
        <f>IF('Lab test'!V104&gt;0,'Lab test'!V104,NA())</f>
        <v>108247.68949999999</v>
      </c>
      <c r="AL111" s="7">
        <f>IF(MAX('Lab test'!W104,'Lab test'!X104)&gt;0,MAX('Lab test'!W104,'Lab test'!X104),NA())</f>
        <v>199.94796112</v>
      </c>
      <c r="AM111" s="401">
        <f>IF('Lab test'!P104&gt;0,'Lab test'!P104,NA())</f>
        <v>0.35615596305533065</v>
      </c>
      <c r="AN111" s="401">
        <f>IF('Lab test'!AU104&gt;0,'Lab test'!AU104,NA())</f>
        <v>0.27841065362787754</v>
      </c>
      <c r="AO111" s="401">
        <f>IF('Lab test'!AT104&gt;0,'Lab test'!AT104,NA())</f>
        <v>0.27147188655279747</v>
      </c>
      <c r="AP111">
        <f t="shared" si="60"/>
        <v>1</v>
      </c>
      <c r="AQ111" s="401">
        <f>'Lab test'!AZ104</f>
        <v>1934</v>
      </c>
      <c r="AR111" t="str">
        <f>'Lab test'!AC104</f>
        <v>LTWb</v>
      </c>
      <c r="AS111" t="str">
        <f>'Lab test'!T104</f>
        <v>Brass</v>
      </c>
      <c r="AX111" t="e">
        <f t="shared" si="45"/>
        <v>#N/A</v>
      </c>
      <c r="AY111" t="e">
        <f t="shared" si="64"/>
        <v>#N/A</v>
      </c>
      <c r="AZ111" t="e">
        <f t="shared" si="61"/>
        <v>#N/A</v>
      </c>
      <c r="BA111" t="e">
        <f t="shared" si="61"/>
        <v>#N/A</v>
      </c>
      <c r="BB111" t="e">
        <f t="shared" si="61"/>
        <v>#N/A</v>
      </c>
      <c r="BC111" t="e">
        <f t="shared" si="61"/>
        <v>#N/A</v>
      </c>
      <c r="BD111" t="e">
        <f t="shared" si="61"/>
        <v>#N/A</v>
      </c>
      <c r="BG111" t="e">
        <f t="shared" si="46"/>
        <v>#N/A</v>
      </c>
      <c r="BH111" t="e">
        <f t="shared" si="65"/>
        <v>#N/A</v>
      </c>
      <c r="BI111" t="e">
        <f t="shared" si="62"/>
        <v>#N/A</v>
      </c>
      <c r="BJ111" t="e">
        <f t="shared" si="62"/>
        <v>#N/A</v>
      </c>
      <c r="BK111" t="e">
        <f t="shared" si="62"/>
        <v>#N/A</v>
      </c>
      <c r="BL111" t="e">
        <f t="shared" si="62"/>
        <v>#N/A</v>
      </c>
      <c r="BM111" t="e">
        <f t="shared" si="62"/>
        <v>#N/A</v>
      </c>
      <c r="BP111" t="e">
        <f t="shared" si="47"/>
        <v>#N/A</v>
      </c>
      <c r="BQ111">
        <f t="shared" si="66"/>
        <v>108247.68949999999</v>
      </c>
      <c r="BR111" t="e">
        <f t="shared" si="63"/>
        <v>#N/A</v>
      </c>
      <c r="BS111" t="e">
        <f t="shared" si="63"/>
        <v>#N/A</v>
      </c>
      <c r="BT111" t="e">
        <f t="shared" si="63"/>
        <v>#N/A</v>
      </c>
      <c r="BU111" t="e">
        <f t="shared" si="63"/>
        <v>#N/A</v>
      </c>
      <c r="BV111" t="e">
        <f t="shared" si="63"/>
        <v>#N/A</v>
      </c>
      <c r="BY111" t="e">
        <f t="shared" si="48"/>
        <v>#N/A</v>
      </c>
      <c r="BZ111" t="e">
        <v>#N/A</v>
      </c>
      <c r="CA111" t="e" cm="1">
        <f t="array" ref="CA111">IF(ISNUMBER(BZ111),AF111/COUNT(IF(ISNUMBER(_xlfn.ANCHORARRAY($BZ$11)),_xlfn.ANCHORARRAY($BZ$11))),NA())</f>
        <v>#N/A</v>
      </c>
      <c r="CB111" t="e">
        <f t="shared" si="49"/>
        <v>#N/A</v>
      </c>
      <c r="CD111" t="e">
        <f t="shared" si="50"/>
        <v>#N/A</v>
      </c>
      <c r="CE111" t="e">
        <f t="shared" si="51"/>
        <v>#N/A</v>
      </c>
      <c r="CG111" t="e">
        <v>#N/A</v>
      </c>
      <c r="CH111" t="e">
        <v>#N/A</v>
      </c>
      <c r="CL111" t="e">
        <f t="shared" si="52"/>
        <v>#N/A</v>
      </c>
      <c r="CM111" t="e">
        <v>#N/A</v>
      </c>
      <c r="CN111" t="e" cm="1">
        <f t="array" ref="CN111">IF(ISNUMBER(CM111),AF111/COUNT(IF(ISNUMBER(_xlfn.ANCHORARRAY($CM$11)),_xlfn.ANCHORARRAY($CM$11))),NA())</f>
        <v>#N/A</v>
      </c>
      <c r="CO111" t="e">
        <f t="shared" si="53"/>
        <v>#N/A</v>
      </c>
      <c r="CQ111" t="e">
        <f t="shared" si="54"/>
        <v>#N/A</v>
      </c>
      <c r="CR111" t="e">
        <f t="shared" si="55"/>
        <v>#N/A</v>
      </c>
      <c r="CT111" t="e">
        <v>#N/A</v>
      </c>
      <c r="CU111" t="e">
        <v>#N/A</v>
      </c>
      <c r="CY111">
        <f t="shared" si="56"/>
        <v>108247.68949999999</v>
      </c>
      <c r="CZ111" t="e">
        <v>#N/A</v>
      </c>
      <c r="DA111" t="e" cm="1">
        <f t="array" ref="DA111">IF(ISNUMBER(CZ111),AF111/COUNT(IF(ISNUMBER(_xlfn.ANCHORARRAY($CZ$11)),_xlfn.ANCHORARRAY($CZ$11))),NA())</f>
        <v>#N/A</v>
      </c>
      <c r="DB111" t="e">
        <f t="shared" si="57"/>
        <v>#N/A</v>
      </c>
      <c r="DD111" t="e">
        <f t="shared" si="58"/>
        <v>#N/A</v>
      </c>
      <c r="DE111" t="e">
        <f t="shared" si="59"/>
        <v>#N/A</v>
      </c>
      <c r="DG111" t="e">
        <v>#N/A</v>
      </c>
      <c r="DH111" t="e">
        <v>#N/A</v>
      </c>
    </row>
    <row r="112" spans="32:112">
      <c r="AF112">
        <v>102</v>
      </c>
      <c r="AG112" s="401">
        <f>'Lab test'!N105</f>
        <v>23.939499999999999</v>
      </c>
      <c r="AH112" s="401">
        <f>'Lab test'!M105</f>
        <v>7.5184000000000001E-2</v>
      </c>
      <c r="AI112">
        <f>IF('Lab test'!O105&gt;0,'Lab test'!O105,NA())</f>
        <v>152.39999999999998</v>
      </c>
      <c r="AJ112">
        <f>'Lab test'!Q105</f>
        <v>318.41216216216213</v>
      </c>
      <c r="AK112" s="401">
        <f>IF('Lab test'!V105&gt;0,'Lab test'!V105,NA())</f>
        <v>108247.68949999999</v>
      </c>
      <c r="AL112" s="7">
        <f>IF(MAX('Lab test'!W105,'Lab test'!X105)&gt;0,MAX('Lab test'!W105,'Lab test'!X105),NA())</f>
        <v>199.94796112</v>
      </c>
      <c r="AM112" s="401">
        <f>IF('Lab test'!P105&gt;0,'Lab test'!P105,NA())</f>
        <v>0.35675910652390364</v>
      </c>
      <c r="AN112" s="401">
        <f>IF('Lab test'!AU105&gt;0,'Lab test'!AU105,NA())</f>
        <v>0.3109239161777691</v>
      </c>
      <c r="AO112" s="401">
        <f>IF('Lab test'!AT105&gt;0,'Lab test'!AT105,NA())</f>
        <v>0.30215058897453856</v>
      </c>
      <c r="AP112">
        <f t="shared" si="60"/>
        <v>1</v>
      </c>
      <c r="AQ112" s="401">
        <f>'Lab test'!AZ105</f>
        <v>1934</v>
      </c>
      <c r="AR112" t="str">
        <f>'Lab test'!AC105</f>
        <v>LTWb</v>
      </c>
      <c r="AS112" t="str">
        <f>'Lab test'!T105</f>
        <v>Brass</v>
      </c>
      <c r="AX112" t="e">
        <f t="shared" si="45"/>
        <v>#N/A</v>
      </c>
      <c r="AY112" t="e">
        <f t="shared" si="64"/>
        <v>#N/A</v>
      </c>
      <c r="AZ112" t="e">
        <f t="shared" si="61"/>
        <v>#N/A</v>
      </c>
      <c r="BA112" t="e">
        <f t="shared" si="61"/>
        <v>#N/A</v>
      </c>
      <c r="BB112" t="e">
        <f t="shared" si="61"/>
        <v>#N/A</v>
      </c>
      <c r="BC112" t="e">
        <f t="shared" si="61"/>
        <v>#N/A</v>
      </c>
      <c r="BD112" t="e">
        <f t="shared" si="61"/>
        <v>#N/A</v>
      </c>
      <c r="BG112" t="e">
        <f t="shared" si="46"/>
        <v>#N/A</v>
      </c>
      <c r="BH112" t="e">
        <f t="shared" si="65"/>
        <v>#N/A</v>
      </c>
      <c r="BI112" t="e">
        <f t="shared" si="62"/>
        <v>#N/A</v>
      </c>
      <c r="BJ112" t="e">
        <f t="shared" si="62"/>
        <v>#N/A</v>
      </c>
      <c r="BK112" t="e">
        <f t="shared" si="62"/>
        <v>#N/A</v>
      </c>
      <c r="BL112" t="e">
        <f t="shared" si="62"/>
        <v>#N/A</v>
      </c>
      <c r="BM112" t="e">
        <f t="shared" si="62"/>
        <v>#N/A</v>
      </c>
      <c r="BP112" t="e">
        <f t="shared" si="47"/>
        <v>#N/A</v>
      </c>
      <c r="BQ112">
        <f t="shared" si="66"/>
        <v>108247.68949999999</v>
      </c>
      <c r="BR112" t="e">
        <f t="shared" si="63"/>
        <v>#N/A</v>
      </c>
      <c r="BS112" t="e">
        <f t="shared" si="63"/>
        <v>#N/A</v>
      </c>
      <c r="BT112" t="e">
        <f t="shared" si="63"/>
        <v>#N/A</v>
      </c>
      <c r="BU112" t="e">
        <f t="shared" si="63"/>
        <v>#N/A</v>
      </c>
      <c r="BV112" t="e">
        <f t="shared" si="63"/>
        <v>#N/A</v>
      </c>
      <c r="BY112" t="e">
        <f t="shared" si="48"/>
        <v>#N/A</v>
      </c>
      <c r="BZ112" t="e">
        <v>#N/A</v>
      </c>
      <c r="CA112" t="e" cm="1">
        <f t="array" ref="CA112">IF(ISNUMBER(BZ112),AF112/COUNT(IF(ISNUMBER(_xlfn.ANCHORARRAY($BZ$11)),_xlfn.ANCHORARRAY($BZ$11))),NA())</f>
        <v>#N/A</v>
      </c>
      <c r="CB112" t="e">
        <f t="shared" si="49"/>
        <v>#N/A</v>
      </c>
      <c r="CD112" t="e">
        <f t="shared" si="50"/>
        <v>#N/A</v>
      </c>
      <c r="CE112" t="e">
        <f t="shared" si="51"/>
        <v>#N/A</v>
      </c>
      <c r="CG112" t="e">
        <v>#N/A</v>
      </c>
      <c r="CH112" t="e">
        <v>#N/A</v>
      </c>
      <c r="CL112" t="e">
        <f t="shared" si="52"/>
        <v>#N/A</v>
      </c>
      <c r="CM112" t="e">
        <v>#N/A</v>
      </c>
      <c r="CN112" t="e" cm="1">
        <f t="array" ref="CN112">IF(ISNUMBER(CM112),AF112/COUNT(IF(ISNUMBER(_xlfn.ANCHORARRAY($CM$11)),_xlfn.ANCHORARRAY($CM$11))),NA())</f>
        <v>#N/A</v>
      </c>
      <c r="CO112" t="e">
        <f t="shared" si="53"/>
        <v>#N/A</v>
      </c>
      <c r="CQ112" t="e">
        <f t="shared" si="54"/>
        <v>#N/A</v>
      </c>
      <c r="CR112" t="e">
        <f t="shared" si="55"/>
        <v>#N/A</v>
      </c>
      <c r="CT112" t="e">
        <v>#N/A</v>
      </c>
      <c r="CU112" t="e">
        <v>#N/A</v>
      </c>
      <c r="CY112">
        <f t="shared" si="56"/>
        <v>108247.68949999999</v>
      </c>
      <c r="CZ112" t="e">
        <v>#N/A</v>
      </c>
      <c r="DA112" t="e" cm="1">
        <f t="array" ref="DA112">IF(ISNUMBER(CZ112),AF112/COUNT(IF(ISNUMBER(_xlfn.ANCHORARRAY($CZ$11)),_xlfn.ANCHORARRAY($CZ$11))),NA())</f>
        <v>#N/A</v>
      </c>
      <c r="DB112" t="e">
        <f t="shared" si="57"/>
        <v>#N/A</v>
      </c>
      <c r="DD112" t="e">
        <f t="shared" si="58"/>
        <v>#N/A</v>
      </c>
      <c r="DE112" t="e">
        <f t="shared" si="59"/>
        <v>#N/A</v>
      </c>
      <c r="DG112" t="e">
        <v>#N/A</v>
      </c>
      <c r="DH112" t="e">
        <v>#N/A</v>
      </c>
    </row>
    <row r="113" spans="32:112">
      <c r="AF113">
        <v>103</v>
      </c>
      <c r="AG113" s="401">
        <f>'Lab test'!N106</f>
        <v>72.009</v>
      </c>
      <c r="AH113" s="401">
        <f>'Lab test'!M106</f>
        <v>5.3593999999999996E-2</v>
      </c>
      <c r="AI113">
        <f>IF('Lab test'!O106&gt;0,'Lab test'!O106,NA())</f>
        <v>152.39999999999998</v>
      </c>
      <c r="AJ113">
        <f>'Lab test'!Q106</f>
        <v>1343.6018957345973</v>
      </c>
      <c r="AK113" s="401">
        <f>IF('Lab test'!V106&gt;0,'Lab test'!V106,NA())</f>
        <v>108247.68949999999</v>
      </c>
      <c r="AL113" s="7">
        <f>IF(MAX('Lab test'!W106,'Lab test'!X106)&gt;0,MAX('Lab test'!W106,'Lab test'!X106),NA())</f>
        <v>199.94796112</v>
      </c>
      <c r="AM113" s="401">
        <f>IF('Lab test'!P106&gt;0,'Lab test'!P106,NA())</f>
        <v>5.7738152491526175E-2</v>
      </c>
      <c r="AN113" s="401">
        <f>IF('Lab test'!AU106&gt;0,'Lab test'!AU106,NA())</f>
        <v>4.0381948452635229E-2</v>
      </c>
      <c r="AO113" s="401">
        <f>IF('Lab test'!AT106&gt;0,'Lab test'!AT106,NA())</f>
        <v>0.16559131164643109</v>
      </c>
      <c r="AP113">
        <f t="shared" si="60"/>
        <v>1</v>
      </c>
      <c r="AQ113" s="401">
        <f>'Lab test'!AZ106</f>
        <v>1934</v>
      </c>
      <c r="AR113" t="str">
        <f>'Lab test'!AC106</f>
        <v>LTWb</v>
      </c>
      <c r="AS113" t="str">
        <f>'Lab test'!T106</f>
        <v>Brass</v>
      </c>
      <c r="AX113" t="e">
        <f t="shared" si="45"/>
        <v>#N/A</v>
      </c>
      <c r="AY113" t="e">
        <f t="shared" si="64"/>
        <v>#N/A</v>
      </c>
      <c r="AZ113" t="e">
        <f t="shared" si="61"/>
        <v>#N/A</v>
      </c>
      <c r="BA113" t="e">
        <f t="shared" si="61"/>
        <v>#N/A</v>
      </c>
      <c r="BB113" t="e">
        <f t="shared" si="61"/>
        <v>#N/A</v>
      </c>
      <c r="BC113" t="e">
        <f t="shared" si="61"/>
        <v>#N/A</v>
      </c>
      <c r="BD113" t="e">
        <f t="shared" si="61"/>
        <v>#N/A</v>
      </c>
      <c r="BG113" t="e">
        <f t="shared" si="46"/>
        <v>#N/A</v>
      </c>
      <c r="BH113" t="e">
        <f t="shared" si="65"/>
        <v>#N/A</v>
      </c>
      <c r="BI113" t="e">
        <f t="shared" si="62"/>
        <v>#N/A</v>
      </c>
      <c r="BJ113" t="e">
        <f t="shared" si="62"/>
        <v>#N/A</v>
      </c>
      <c r="BK113" t="e">
        <f t="shared" si="62"/>
        <v>#N/A</v>
      </c>
      <c r="BL113" t="e">
        <f t="shared" si="62"/>
        <v>#N/A</v>
      </c>
      <c r="BM113" t="e">
        <f t="shared" si="62"/>
        <v>#N/A</v>
      </c>
      <c r="BP113" t="e">
        <f t="shared" si="47"/>
        <v>#N/A</v>
      </c>
      <c r="BQ113" t="e">
        <f t="shared" si="66"/>
        <v>#N/A</v>
      </c>
      <c r="BR113" t="e">
        <f t="shared" si="63"/>
        <v>#N/A</v>
      </c>
      <c r="BS113" t="e">
        <f t="shared" si="63"/>
        <v>#N/A</v>
      </c>
      <c r="BT113" t="e">
        <f t="shared" si="63"/>
        <v>#N/A</v>
      </c>
      <c r="BU113" t="e">
        <f t="shared" si="63"/>
        <v>#N/A</v>
      </c>
      <c r="BV113">
        <f t="shared" si="63"/>
        <v>108247.68949999999</v>
      </c>
      <c r="BY113" t="e">
        <f t="shared" si="48"/>
        <v>#N/A</v>
      </c>
      <c r="BZ113" t="e">
        <v>#N/A</v>
      </c>
      <c r="CA113" t="e" cm="1">
        <f t="array" ref="CA113">IF(ISNUMBER(BZ113),AF113/COUNT(IF(ISNUMBER(_xlfn.ANCHORARRAY($BZ$11)),_xlfn.ANCHORARRAY($BZ$11))),NA())</f>
        <v>#N/A</v>
      </c>
      <c r="CB113" t="e">
        <f t="shared" si="49"/>
        <v>#N/A</v>
      </c>
      <c r="CD113" t="e">
        <f t="shared" si="50"/>
        <v>#N/A</v>
      </c>
      <c r="CE113" t="e">
        <f t="shared" si="51"/>
        <v>#N/A</v>
      </c>
      <c r="CG113" t="e">
        <v>#N/A</v>
      </c>
      <c r="CH113" t="e">
        <v>#N/A</v>
      </c>
      <c r="CL113" t="e">
        <f t="shared" si="52"/>
        <v>#N/A</v>
      </c>
      <c r="CM113" t="e">
        <v>#N/A</v>
      </c>
      <c r="CN113" t="e" cm="1">
        <f t="array" ref="CN113">IF(ISNUMBER(CM113),AF113/COUNT(IF(ISNUMBER(_xlfn.ANCHORARRAY($CM$11)),_xlfn.ANCHORARRAY($CM$11))),NA())</f>
        <v>#N/A</v>
      </c>
      <c r="CO113" t="e">
        <f t="shared" si="53"/>
        <v>#N/A</v>
      </c>
      <c r="CQ113" t="e">
        <f t="shared" si="54"/>
        <v>#N/A</v>
      </c>
      <c r="CR113" t="e">
        <f t="shared" si="55"/>
        <v>#N/A</v>
      </c>
      <c r="CT113" t="e">
        <v>#N/A</v>
      </c>
      <c r="CU113" t="e">
        <v>#N/A</v>
      </c>
      <c r="CY113">
        <f t="shared" si="56"/>
        <v>108247.68949999999</v>
      </c>
      <c r="CZ113" t="e">
        <v>#N/A</v>
      </c>
      <c r="DA113" t="e" cm="1">
        <f t="array" ref="DA113">IF(ISNUMBER(CZ113),AF113/COUNT(IF(ISNUMBER(_xlfn.ANCHORARRAY($CZ$11)),_xlfn.ANCHORARRAY($CZ$11))),NA())</f>
        <v>#N/A</v>
      </c>
      <c r="DB113" t="e">
        <f t="shared" si="57"/>
        <v>#N/A</v>
      </c>
      <c r="DD113" t="e">
        <f t="shared" si="58"/>
        <v>#N/A</v>
      </c>
      <c r="DE113" t="e">
        <f t="shared" si="59"/>
        <v>#N/A</v>
      </c>
      <c r="DG113" t="e">
        <v>#N/A</v>
      </c>
      <c r="DH113" t="e">
        <v>#N/A</v>
      </c>
    </row>
    <row r="114" spans="32:112">
      <c r="AF114">
        <v>104</v>
      </c>
      <c r="AG114" s="401">
        <f>'Lab test'!N107</f>
        <v>72.009</v>
      </c>
      <c r="AH114" s="401">
        <f>'Lab test'!M107</f>
        <v>5.1053999999999988E-2</v>
      </c>
      <c r="AI114">
        <f>IF('Lab test'!O107&gt;0,'Lab test'!O107,NA())</f>
        <v>152.39999999999998</v>
      </c>
      <c r="AJ114">
        <f>'Lab test'!Q107</f>
        <v>1410.4477611940301</v>
      </c>
      <c r="AK114" s="401">
        <f>IF('Lab test'!V107&gt;0,'Lab test'!V107,NA())</f>
        <v>108247.68949999999</v>
      </c>
      <c r="AL114" s="7">
        <f>IF(MAX('Lab test'!W107,'Lab test'!X107)&gt;0,MAX('Lab test'!W107,'Lab test'!X107),NA())</f>
        <v>199.94796112</v>
      </c>
      <c r="AM114" s="401">
        <f>IF('Lab test'!P107&gt;0,'Lab test'!P107,NA())</f>
        <v>5.6353342978340749E-2</v>
      </c>
      <c r="AN114" s="401">
        <f>IF('Lab test'!AU107&gt;0,'Lab test'!AU107,NA())</f>
        <v>4.0464136950164348E-2</v>
      </c>
      <c r="AO114" s="401">
        <f>IF('Lab test'!AT107&gt;0,'Lab test'!AT107,NA())</f>
        <v>0.17418347712143262</v>
      </c>
      <c r="AP114">
        <f t="shared" si="60"/>
        <v>1</v>
      </c>
      <c r="AQ114" s="401">
        <f>'Lab test'!AZ107</f>
        <v>1934</v>
      </c>
      <c r="AR114" t="str">
        <f>'Lab test'!AC107</f>
        <v>LTWb</v>
      </c>
      <c r="AS114" t="str">
        <f>'Lab test'!T107</f>
        <v>Brass</v>
      </c>
      <c r="AX114" t="e">
        <f t="shared" si="45"/>
        <v>#N/A</v>
      </c>
      <c r="AY114" t="e">
        <f t="shared" si="64"/>
        <v>#N/A</v>
      </c>
      <c r="AZ114" t="e">
        <f t="shared" si="61"/>
        <v>#N/A</v>
      </c>
      <c r="BA114" t="e">
        <f t="shared" si="61"/>
        <v>#N/A</v>
      </c>
      <c r="BB114" t="e">
        <f t="shared" si="61"/>
        <v>#N/A</v>
      </c>
      <c r="BC114" t="e">
        <f t="shared" si="61"/>
        <v>#N/A</v>
      </c>
      <c r="BD114" t="e">
        <f t="shared" si="61"/>
        <v>#N/A</v>
      </c>
      <c r="BG114" t="e">
        <f t="shared" si="46"/>
        <v>#N/A</v>
      </c>
      <c r="BH114" t="e">
        <f t="shared" si="65"/>
        <v>#N/A</v>
      </c>
      <c r="BI114" t="e">
        <f t="shared" si="62"/>
        <v>#N/A</v>
      </c>
      <c r="BJ114" t="e">
        <f t="shared" si="62"/>
        <v>#N/A</v>
      </c>
      <c r="BK114" t="e">
        <f t="shared" si="62"/>
        <v>#N/A</v>
      </c>
      <c r="BL114" t="e">
        <f t="shared" si="62"/>
        <v>#N/A</v>
      </c>
      <c r="BM114" t="e">
        <f t="shared" si="62"/>
        <v>#N/A</v>
      </c>
      <c r="BP114" t="e">
        <f t="shared" si="47"/>
        <v>#N/A</v>
      </c>
      <c r="BQ114" t="e">
        <f t="shared" si="66"/>
        <v>#N/A</v>
      </c>
      <c r="BR114" t="e">
        <f t="shared" si="63"/>
        <v>#N/A</v>
      </c>
      <c r="BS114" t="e">
        <f t="shared" si="63"/>
        <v>#N/A</v>
      </c>
      <c r="BT114" t="e">
        <f t="shared" si="63"/>
        <v>#N/A</v>
      </c>
      <c r="BU114" t="e">
        <f t="shared" si="63"/>
        <v>#N/A</v>
      </c>
      <c r="BV114">
        <f t="shared" si="63"/>
        <v>108247.68949999999</v>
      </c>
      <c r="BY114" t="e">
        <f t="shared" si="48"/>
        <v>#N/A</v>
      </c>
      <c r="BZ114" t="e">
        <v>#N/A</v>
      </c>
      <c r="CA114" t="e" cm="1">
        <f t="array" ref="CA114">IF(ISNUMBER(BZ114),AF114/COUNT(IF(ISNUMBER(_xlfn.ANCHORARRAY($BZ$11)),_xlfn.ANCHORARRAY($BZ$11))),NA())</f>
        <v>#N/A</v>
      </c>
      <c r="CB114" t="e">
        <f t="shared" si="49"/>
        <v>#N/A</v>
      </c>
      <c r="CD114" t="e">
        <f t="shared" si="50"/>
        <v>#N/A</v>
      </c>
      <c r="CE114" t="e">
        <f t="shared" si="51"/>
        <v>#N/A</v>
      </c>
      <c r="CG114" t="e">
        <v>#N/A</v>
      </c>
      <c r="CH114" t="e">
        <v>#N/A</v>
      </c>
      <c r="CL114" t="e">
        <f t="shared" si="52"/>
        <v>#N/A</v>
      </c>
      <c r="CM114" t="e">
        <v>#N/A</v>
      </c>
      <c r="CN114" t="e" cm="1">
        <f t="array" ref="CN114">IF(ISNUMBER(CM114),AF114/COUNT(IF(ISNUMBER(_xlfn.ANCHORARRAY($CM$11)),_xlfn.ANCHORARRAY($CM$11))),NA())</f>
        <v>#N/A</v>
      </c>
      <c r="CO114" t="e">
        <f t="shared" si="53"/>
        <v>#N/A</v>
      </c>
      <c r="CQ114" t="e">
        <f t="shared" si="54"/>
        <v>#N/A</v>
      </c>
      <c r="CR114" t="e">
        <f t="shared" si="55"/>
        <v>#N/A</v>
      </c>
      <c r="CT114" t="e">
        <v>#N/A</v>
      </c>
      <c r="CU114" t="e">
        <v>#N/A</v>
      </c>
      <c r="CY114">
        <f t="shared" si="56"/>
        <v>108247.68949999999</v>
      </c>
      <c r="CZ114" t="e">
        <v>#N/A</v>
      </c>
      <c r="DA114" t="e" cm="1">
        <f t="array" ref="DA114">IF(ISNUMBER(CZ114),AF114/COUNT(IF(ISNUMBER(_xlfn.ANCHORARRAY($CZ$11)),_xlfn.ANCHORARRAY($CZ$11))),NA())</f>
        <v>#N/A</v>
      </c>
      <c r="DB114" t="e">
        <f t="shared" si="57"/>
        <v>#N/A</v>
      </c>
      <c r="DD114" t="e">
        <f t="shared" si="58"/>
        <v>#N/A</v>
      </c>
      <c r="DE114" t="e">
        <f t="shared" si="59"/>
        <v>#N/A</v>
      </c>
      <c r="DG114" t="e">
        <v>#N/A</v>
      </c>
      <c r="DH114" t="e">
        <v>#N/A</v>
      </c>
    </row>
    <row r="115" spans="32:112">
      <c r="AF115">
        <v>105</v>
      </c>
      <c r="AG115" s="401">
        <f>'Lab test'!N108</f>
        <v>47.625</v>
      </c>
      <c r="AH115" s="401">
        <f>'Lab test'!M108</f>
        <v>5.4101999999999997E-2</v>
      </c>
      <c r="AI115">
        <f>IF('Lab test'!O108&gt;0,'Lab test'!O108,NA())</f>
        <v>152.39999999999998</v>
      </c>
      <c r="AJ115">
        <f>'Lab test'!Q108</f>
        <v>880.28169014084506</v>
      </c>
      <c r="AK115" s="401">
        <f>IF('Lab test'!V108&gt;0,'Lab test'!V108,NA())</f>
        <v>108247.68949999999</v>
      </c>
      <c r="AL115" s="7">
        <f>IF(MAX('Lab test'!W108,'Lab test'!X108)&gt;0,MAX('Lab test'!W108,'Lab test'!X108),NA())</f>
        <v>199.94796112</v>
      </c>
      <c r="AM115" s="401">
        <f>IF('Lab test'!P108&gt;0,'Lab test'!P108,NA())</f>
        <v>0.10785471709665738</v>
      </c>
      <c r="AN115" s="401">
        <f>IF('Lab test'!AU108&gt;0,'Lab test'!AU108,NA())</f>
        <v>6.5982759430172205E-2</v>
      </c>
      <c r="AO115" s="401">
        <f>IF('Lab test'!AT108&gt;0,'Lab test'!AT108,NA())</f>
        <v>0.17726859836157469</v>
      </c>
      <c r="AP115">
        <f t="shared" si="60"/>
        <v>1</v>
      </c>
      <c r="AQ115" s="401">
        <f>'Lab test'!AZ108</f>
        <v>1934</v>
      </c>
      <c r="AR115" t="str">
        <f>'Lab test'!AC108</f>
        <v>LTWb</v>
      </c>
      <c r="AS115" t="str">
        <f>'Lab test'!T108</f>
        <v>Brass</v>
      </c>
      <c r="AX115" t="e">
        <f t="shared" si="45"/>
        <v>#N/A</v>
      </c>
      <c r="AY115" t="e">
        <f t="shared" si="64"/>
        <v>#N/A</v>
      </c>
      <c r="AZ115" t="e">
        <f t="shared" si="61"/>
        <v>#N/A</v>
      </c>
      <c r="BA115" t="e">
        <f t="shared" si="61"/>
        <v>#N/A</v>
      </c>
      <c r="BB115" t="e">
        <f t="shared" si="61"/>
        <v>#N/A</v>
      </c>
      <c r="BC115" t="e">
        <f t="shared" si="61"/>
        <v>#N/A</v>
      </c>
      <c r="BD115" t="e">
        <f t="shared" si="61"/>
        <v>#N/A</v>
      </c>
      <c r="BG115" t="e">
        <f t="shared" si="46"/>
        <v>#N/A</v>
      </c>
      <c r="BH115" t="e">
        <f t="shared" si="65"/>
        <v>#N/A</v>
      </c>
      <c r="BI115" t="e">
        <f t="shared" si="62"/>
        <v>#N/A</v>
      </c>
      <c r="BJ115" t="e">
        <f t="shared" si="62"/>
        <v>#N/A</v>
      </c>
      <c r="BK115" t="e">
        <f t="shared" si="62"/>
        <v>#N/A</v>
      </c>
      <c r="BL115" t="e">
        <f t="shared" si="62"/>
        <v>#N/A</v>
      </c>
      <c r="BM115" t="e">
        <f t="shared" si="62"/>
        <v>#N/A</v>
      </c>
      <c r="BP115" t="e">
        <f t="shared" si="47"/>
        <v>#N/A</v>
      </c>
      <c r="BQ115" t="e">
        <f t="shared" si="66"/>
        <v>#N/A</v>
      </c>
      <c r="BR115" t="e">
        <f t="shared" si="63"/>
        <v>#N/A</v>
      </c>
      <c r="BS115" t="e">
        <f t="shared" si="63"/>
        <v>#N/A</v>
      </c>
      <c r="BT115">
        <f t="shared" si="63"/>
        <v>108247.68949999999</v>
      </c>
      <c r="BU115" t="e">
        <f t="shared" si="63"/>
        <v>#N/A</v>
      </c>
      <c r="BV115" t="e">
        <f t="shared" si="63"/>
        <v>#N/A</v>
      </c>
      <c r="BY115" t="e">
        <f t="shared" si="48"/>
        <v>#N/A</v>
      </c>
      <c r="BZ115" t="e">
        <v>#N/A</v>
      </c>
      <c r="CA115" t="e" cm="1">
        <f t="array" ref="CA115">IF(ISNUMBER(BZ115),AF115/COUNT(IF(ISNUMBER(_xlfn.ANCHORARRAY($BZ$11)),_xlfn.ANCHORARRAY($BZ$11))),NA())</f>
        <v>#N/A</v>
      </c>
      <c r="CB115" t="e">
        <f t="shared" si="49"/>
        <v>#N/A</v>
      </c>
      <c r="CD115" t="e">
        <f t="shared" si="50"/>
        <v>#N/A</v>
      </c>
      <c r="CE115" t="e">
        <f t="shared" si="51"/>
        <v>#N/A</v>
      </c>
      <c r="CG115" t="e">
        <v>#N/A</v>
      </c>
      <c r="CH115" t="e">
        <v>#N/A</v>
      </c>
      <c r="CL115" t="e">
        <f t="shared" si="52"/>
        <v>#N/A</v>
      </c>
      <c r="CM115" t="e">
        <v>#N/A</v>
      </c>
      <c r="CN115" t="e" cm="1">
        <f t="array" ref="CN115">IF(ISNUMBER(CM115),AF115/COUNT(IF(ISNUMBER(_xlfn.ANCHORARRAY($CM$11)),_xlfn.ANCHORARRAY($CM$11))),NA())</f>
        <v>#N/A</v>
      </c>
      <c r="CO115" t="e">
        <f t="shared" si="53"/>
        <v>#N/A</v>
      </c>
      <c r="CQ115" t="e">
        <f t="shared" si="54"/>
        <v>#N/A</v>
      </c>
      <c r="CR115" t="e">
        <f t="shared" si="55"/>
        <v>#N/A</v>
      </c>
      <c r="CT115" t="e">
        <v>#N/A</v>
      </c>
      <c r="CU115" t="e">
        <v>#N/A</v>
      </c>
      <c r="CY115">
        <f t="shared" si="56"/>
        <v>108247.68949999999</v>
      </c>
      <c r="CZ115" t="e">
        <v>#N/A</v>
      </c>
      <c r="DA115" t="e" cm="1">
        <f t="array" ref="DA115">IF(ISNUMBER(CZ115),AF115/COUNT(IF(ISNUMBER(_xlfn.ANCHORARRAY($CZ$11)),_xlfn.ANCHORARRAY($CZ$11))),NA())</f>
        <v>#N/A</v>
      </c>
      <c r="DB115" t="e">
        <f t="shared" si="57"/>
        <v>#N/A</v>
      </c>
      <c r="DD115" t="e">
        <f t="shared" si="58"/>
        <v>#N/A</v>
      </c>
      <c r="DE115" t="e">
        <f t="shared" si="59"/>
        <v>#N/A</v>
      </c>
      <c r="DG115" t="e">
        <v>#N/A</v>
      </c>
      <c r="DH115" t="e">
        <v>#N/A</v>
      </c>
    </row>
    <row r="116" spans="32:112">
      <c r="AF116">
        <v>106</v>
      </c>
      <c r="AG116" s="401">
        <f>'Lab test'!N109</f>
        <v>47.625</v>
      </c>
      <c r="AH116" s="401">
        <f>'Lab test'!M109</f>
        <v>5.2577999999999993E-2</v>
      </c>
      <c r="AI116">
        <f>IF('Lab test'!O109&gt;0,'Lab test'!O109,NA())</f>
        <v>152.39999999999998</v>
      </c>
      <c r="AJ116">
        <f>'Lab test'!Q109</f>
        <v>905.79710144927549</v>
      </c>
      <c r="AK116" s="401">
        <f>IF('Lab test'!V109&gt;0,'Lab test'!V109,NA())</f>
        <v>108247.68949999999</v>
      </c>
      <c r="AL116" s="7">
        <f>IF(MAX('Lab test'!W109,'Lab test'!X109)&gt;0,MAX('Lab test'!W109,'Lab test'!X109),NA())</f>
        <v>199.94796112</v>
      </c>
      <c r="AM116" s="401">
        <f>IF('Lab test'!P109&gt;0,'Lab test'!P109,NA())</f>
        <v>0.10632478544535134</v>
      </c>
      <c r="AN116" s="401">
        <f>IF('Lab test'!AU109&gt;0,'Lab test'!AU109,NA())</f>
        <v>5.7993904801096403E-2</v>
      </c>
      <c r="AO116" s="401">
        <f>IF('Lab test'!AT109&gt;0,'Lab test'!AT109,NA())</f>
        <v>0.16032193507127626</v>
      </c>
      <c r="AP116">
        <f t="shared" si="60"/>
        <v>1</v>
      </c>
      <c r="AQ116" s="401">
        <f>'Lab test'!AZ109</f>
        <v>1934</v>
      </c>
      <c r="AR116" t="str">
        <f>'Lab test'!AC109</f>
        <v>LTWb</v>
      </c>
      <c r="AS116" t="str">
        <f>'Lab test'!T109</f>
        <v>Brass</v>
      </c>
      <c r="AX116" t="e">
        <f t="shared" si="45"/>
        <v>#N/A</v>
      </c>
      <c r="AY116" t="e">
        <f t="shared" si="64"/>
        <v>#N/A</v>
      </c>
      <c r="AZ116" t="e">
        <f t="shared" si="61"/>
        <v>#N/A</v>
      </c>
      <c r="BA116" t="e">
        <f t="shared" si="61"/>
        <v>#N/A</v>
      </c>
      <c r="BB116" t="e">
        <f t="shared" si="61"/>
        <v>#N/A</v>
      </c>
      <c r="BC116" t="e">
        <f t="shared" si="61"/>
        <v>#N/A</v>
      </c>
      <c r="BD116" t="e">
        <f t="shared" si="61"/>
        <v>#N/A</v>
      </c>
      <c r="BG116" t="e">
        <f t="shared" si="46"/>
        <v>#N/A</v>
      </c>
      <c r="BH116" t="e">
        <f t="shared" si="65"/>
        <v>#N/A</v>
      </c>
      <c r="BI116" t="e">
        <f t="shared" si="62"/>
        <v>#N/A</v>
      </c>
      <c r="BJ116" t="e">
        <f t="shared" si="62"/>
        <v>#N/A</v>
      </c>
      <c r="BK116" t="e">
        <f t="shared" si="62"/>
        <v>#N/A</v>
      </c>
      <c r="BL116" t="e">
        <f t="shared" si="62"/>
        <v>#N/A</v>
      </c>
      <c r="BM116" t="e">
        <f t="shared" si="62"/>
        <v>#N/A</v>
      </c>
      <c r="BP116" t="e">
        <f t="shared" si="47"/>
        <v>#N/A</v>
      </c>
      <c r="BQ116" t="e">
        <f t="shared" si="66"/>
        <v>#N/A</v>
      </c>
      <c r="BR116" t="e">
        <f t="shared" si="63"/>
        <v>#N/A</v>
      </c>
      <c r="BS116" t="e">
        <f t="shared" si="63"/>
        <v>#N/A</v>
      </c>
      <c r="BT116">
        <f t="shared" si="63"/>
        <v>108247.68949999999</v>
      </c>
      <c r="BU116" t="e">
        <f t="shared" si="63"/>
        <v>#N/A</v>
      </c>
      <c r="BV116" t="e">
        <f t="shared" si="63"/>
        <v>#N/A</v>
      </c>
      <c r="BY116" t="e">
        <f t="shared" si="48"/>
        <v>#N/A</v>
      </c>
      <c r="BZ116" t="e">
        <v>#N/A</v>
      </c>
      <c r="CA116" t="e" cm="1">
        <f t="array" ref="CA116">IF(ISNUMBER(BZ116),AF116/COUNT(IF(ISNUMBER(_xlfn.ANCHORARRAY($BZ$11)),_xlfn.ANCHORARRAY($BZ$11))),NA())</f>
        <v>#N/A</v>
      </c>
      <c r="CB116" t="e">
        <f t="shared" si="49"/>
        <v>#N/A</v>
      </c>
      <c r="CD116" t="e">
        <f t="shared" si="50"/>
        <v>#N/A</v>
      </c>
      <c r="CE116" t="e">
        <f t="shared" si="51"/>
        <v>#N/A</v>
      </c>
      <c r="CG116" t="e">
        <v>#N/A</v>
      </c>
      <c r="CH116" t="e">
        <v>#N/A</v>
      </c>
      <c r="CL116" t="e">
        <f t="shared" si="52"/>
        <v>#N/A</v>
      </c>
      <c r="CM116" t="e">
        <v>#N/A</v>
      </c>
      <c r="CN116" t="e" cm="1">
        <f t="array" ref="CN116">IF(ISNUMBER(CM116),AF116/COUNT(IF(ISNUMBER(_xlfn.ANCHORARRAY($CM$11)),_xlfn.ANCHORARRAY($CM$11))),NA())</f>
        <v>#N/A</v>
      </c>
      <c r="CO116" t="e">
        <f t="shared" si="53"/>
        <v>#N/A</v>
      </c>
      <c r="CQ116" t="e">
        <f t="shared" si="54"/>
        <v>#N/A</v>
      </c>
      <c r="CR116" t="e">
        <f t="shared" si="55"/>
        <v>#N/A</v>
      </c>
      <c r="CT116" t="e">
        <v>#N/A</v>
      </c>
      <c r="CU116" t="e">
        <v>#N/A</v>
      </c>
      <c r="CY116">
        <f t="shared" si="56"/>
        <v>108247.68949999999</v>
      </c>
      <c r="CZ116" t="e">
        <v>#N/A</v>
      </c>
      <c r="DA116" t="e" cm="1">
        <f t="array" ref="DA116">IF(ISNUMBER(CZ116),AF116/COUNT(IF(ISNUMBER(_xlfn.ANCHORARRAY($CZ$11)),_xlfn.ANCHORARRAY($CZ$11))),NA())</f>
        <v>#N/A</v>
      </c>
      <c r="DB116" t="e">
        <f t="shared" si="57"/>
        <v>#N/A</v>
      </c>
      <c r="DD116" t="e">
        <f t="shared" si="58"/>
        <v>#N/A</v>
      </c>
      <c r="DE116" t="e">
        <f t="shared" si="59"/>
        <v>#N/A</v>
      </c>
      <c r="DG116" t="e">
        <v>#N/A</v>
      </c>
      <c r="DH116" t="e">
        <v>#N/A</v>
      </c>
    </row>
    <row r="117" spans="32:112">
      <c r="AF117">
        <v>107</v>
      </c>
      <c r="AG117" s="401">
        <f>'Lab test'!N110</f>
        <v>72.263000000000005</v>
      </c>
      <c r="AH117" s="401">
        <f>'Lab test'!M110</f>
        <v>0.15087599999999998</v>
      </c>
      <c r="AI117">
        <f>IF('Lab test'!O110&gt;0,'Lab test'!O110,NA())</f>
        <v>304.79999999999995</v>
      </c>
      <c r="AJ117">
        <f>'Lab test'!Q110</f>
        <v>478.95622895622904</v>
      </c>
      <c r="AK117" s="401">
        <f>IF('Lab test'!V110&gt;0,'Lab test'!V110,NA())</f>
        <v>112384.54388</v>
      </c>
      <c r="AL117" s="7">
        <f>IF(MAX('Lab test'!W110,'Lab test'!X110)&gt;0,MAX('Lab test'!W110,'Lab test'!X110),NA())</f>
        <v>199.94796112</v>
      </c>
      <c r="AM117" s="401">
        <f>IF('Lab test'!P110&gt;0,'Lab test'!P110,NA())</f>
        <v>0.1927307726345221</v>
      </c>
      <c r="AN117" s="401">
        <f>IF('Lab test'!AU110&gt;0,'Lab test'!AU110,NA())</f>
        <v>0.20206531913178805</v>
      </c>
      <c r="AO117" s="401">
        <f>IF('Lab test'!AT110&gt;0,'Lab test'!AT110,NA())</f>
        <v>0.28449806900749747</v>
      </c>
      <c r="AP117">
        <f t="shared" si="60"/>
        <v>1</v>
      </c>
      <c r="AQ117" s="401">
        <f>'Lab test'!AZ110</f>
        <v>1934</v>
      </c>
      <c r="AR117" t="str">
        <f>'Lab test'!AC110</f>
        <v>LTWb</v>
      </c>
      <c r="AS117" t="str">
        <f>'Lab test'!T110</f>
        <v>Brass</v>
      </c>
      <c r="AX117" t="e">
        <f t="shared" si="45"/>
        <v>#N/A</v>
      </c>
      <c r="AY117" t="e">
        <f t="shared" si="64"/>
        <v>#N/A</v>
      </c>
      <c r="AZ117" t="e">
        <f t="shared" si="61"/>
        <v>#N/A</v>
      </c>
      <c r="BA117" t="e">
        <f t="shared" si="61"/>
        <v>#N/A</v>
      </c>
      <c r="BB117" t="e">
        <f t="shared" si="61"/>
        <v>#N/A</v>
      </c>
      <c r="BC117" t="e">
        <f t="shared" si="61"/>
        <v>#N/A</v>
      </c>
      <c r="BD117" t="e">
        <f t="shared" si="61"/>
        <v>#N/A</v>
      </c>
      <c r="BG117" t="e">
        <f t="shared" si="46"/>
        <v>#N/A</v>
      </c>
      <c r="BH117" t="e">
        <f t="shared" si="65"/>
        <v>#N/A</v>
      </c>
      <c r="BI117" t="e">
        <f t="shared" si="62"/>
        <v>#N/A</v>
      </c>
      <c r="BJ117" t="e">
        <f t="shared" si="62"/>
        <v>#N/A</v>
      </c>
      <c r="BK117" t="e">
        <f t="shared" si="62"/>
        <v>#N/A</v>
      </c>
      <c r="BL117" t="e">
        <f t="shared" si="62"/>
        <v>#N/A</v>
      </c>
      <c r="BM117" t="e">
        <f t="shared" si="62"/>
        <v>#N/A</v>
      </c>
      <c r="BP117" t="e">
        <f t="shared" si="47"/>
        <v>#N/A</v>
      </c>
      <c r="BQ117" t="e">
        <f t="shared" si="66"/>
        <v>#N/A</v>
      </c>
      <c r="BR117">
        <f t="shared" si="63"/>
        <v>112384.54388</v>
      </c>
      <c r="BS117" t="e">
        <f t="shared" si="63"/>
        <v>#N/A</v>
      </c>
      <c r="BT117" t="e">
        <f t="shared" si="63"/>
        <v>#N/A</v>
      </c>
      <c r="BU117" t="e">
        <f t="shared" si="63"/>
        <v>#N/A</v>
      </c>
      <c r="BV117" t="e">
        <f t="shared" si="63"/>
        <v>#N/A</v>
      </c>
      <c r="BY117" t="e">
        <f t="shared" si="48"/>
        <v>#N/A</v>
      </c>
      <c r="BZ117" t="e">
        <v>#N/A</v>
      </c>
      <c r="CA117" t="e" cm="1">
        <f t="array" ref="CA117">IF(ISNUMBER(BZ117),AF117/COUNT(IF(ISNUMBER(_xlfn.ANCHORARRAY($BZ$11)),_xlfn.ANCHORARRAY($BZ$11))),NA())</f>
        <v>#N/A</v>
      </c>
      <c r="CB117" t="e">
        <f t="shared" si="49"/>
        <v>#N/A</v>
      </c>
      <c r="CD117" t="e">
        <f t="shared" si="50"/>
        <v>#N/A</v>
      </c>
      <c r="CE117" t="e">
        <f t="shared" si="51"/>
        <v>#N/A</v>
      </c>
      <c r="CG117" t="e">
        <v>#N/A</v>
      </c>
      <c r="CH117" t="e">
        <v>#N/A</v>
      </c>
      <c r="CL117" t="e">
        <f t="shared" si="52"/>
        <v>#N/A</v>
      </c>
      <c r="CM117" t="e">
        <v>#N/A</v>
      </c>
      <c r="CN117" t="e" cm="1">
        <f t="array" ref="CN117">IF(ISNUMBER(CM117),AF117/COUNT(IF(ISNUMBER(_xlfn.ANCHORARRAY($CM$11)),_xlfn.ANCHORARRAY($CM$11))),NA())</f>
        <v>#N/A</v>
      </c>
      <c r="CO117" t="e">
        <f t="shared" si="53"/>
        <v>#N/A</v>
      </c>
      <c r="CQ117" t="e">
        <f t="shared" si="54"/>
        <v>#N/A</v>
      </c>
      <c r="CR117" t="e">
        <f t="shared" si="55"/>
        <v>#N/A</v>
      </c>
      <c r="CT117" t="e">
        <v>#N/A</v>
      </c>
      <c r="CU117" t="e">
        <v>#N/A</v>
      </c>
      <c r="CY117">
        <f t="shared" si="56"/>
        <v>112384.54388</v>
      </c>
      <c r="CZ117" t="e">
        <v>#N/A</v>
      </c>
      <c r="DA117" t="e" cm="1">
        <f t="array" ref="DA117">IF(ISNUMBER(CZ117),AF117/COUNT(IF(ISNUMBER(_xlfn.ANCHORARRAY($CZ$11)),_xlfn.ANCHORARRAY($CZ$11))),NA())</f>
        <v>#N/A</v>
      </c>
      <c r="DB117" t="e">
        <f t="shared" si="57"/>
        <v>#N/A</v>
      </c>
      <c r="DD117" t="e">
        <f t="shared" si="58"/>
        <v>#N/A</v>
      </c>
      <c r="DE117" t="e">
        <f t="shared" si="59"/>
        <v>#N/A</v>
      </c>
      <c r="DG117" t="e">
        <v>#N/A</v>
      </c>
      <c r="DH117" t="e">
        <v>#N/A</v>
      </c>
    </row>
    <row r="118" spans="32:112">
      <c r="AF118">
        <v>108</v>
      </c>
      <c r="AG118" s="401">
        <f>'Lab test'!N111</f>
        <v>72.263000000000005</v>
      </c>
      <c r="AH118" s="401">
        <f>'Lab test'!M111</f>
        <v>0.14858999999999997</v>
      </c>
      <c r="AI118">
        <f>IF('Lab test'!O111&gt;0,'Lab test'!O111,NA())</f>
        <v>304.79999999999995</v>
      </c>
      <c r="AJ118">
        <f>'Lab test'!Q111</f>
        <v>486.32478632478643</v>
      </c>
      <c r="AK118" s="401">
        <f>IF('Lab test'!V111&gt;0,'Lab test'!V111,NA())</f>
        <v>112384.54388</v>
      </c>
      <c r="AL118" s="7">
        <f>IF(MAX('Lab test'!W111,'Lab test'!X111)&gt;0,MAX('Lab test'!W111,'Lab test'!X111),NA())</f>
        <v>199.94796112</v>
      </c>
      <c r="AM118" s="401">
        <f>IF('Lab test'!P111&gt;0,'Lab test'!P111,NA())</f>
        <v>0.19126511811189179</v>
      </c>
      <c r="AN118" s="401">
        <f>IF('Lab test'!AU111&gt;0,'Lab test'!AU111,NA())</f>
        <v>0.28203180703949543</v>
      </c>
      <c r="AO118" s="401">
        <f>IF('Lab test'!AT111&gt;0,'Lab test'!AT111,NA())</f>
        <v>0.40319599621383334</v>
      </c>
      <c r="AP118">
        <f t="shared" si="60"/>
        <v>1</v>
      </c>
      <c r="AQ118" s="401">
        <f>'Lab test'!AZ111</f>
        <v>1934</v>
      </c>
      <c r="AR118" t="str">
        <f>'Lab test'!AC111</f>
        <v>LTWb</v>
      </c>
      <c r="AS118" t="str">
        <f>'Lab test'!T111</f>
        <v>Brass</v>
      </c>
      <c r="AX118" t="e">
        <f t="shared" si="45"/>
        <v>#N/A</v>
      </c>
      <c r="AY118" t="e">
        <f t="shared" si="64"/>
        <v>#N/A</v>
      </c>
      <c r="AZ118" t="e">
        <f t="shared" si="61"/>
        <v>#N/A</v>
      </c>
      <c r="BA118" t="e">
        <f t="shared" si="61"/>
        <v>#N/A</v>
      </c>
      <c r="BB118" t="e">
        <f t="shared" si="61"/>
        <v>#N/A</v>
      </c>
      <c r="BC118" t="e">
        <f t="shared" si="61"/>
        <v>#N/A</v>
      </c>
      <c r="BD118" t="e">
        <f t="shared" si="61"/>
        <v>#N/A</v>
      </c>
      <c r="BG118" t="e">
        <f t="shared" si="46"/>
        <v>#N/A</v>
      </c>
      <c r="BH118" t="e">
        <f t="shared" si="65"/>
        <v>#N/A</v>
      </c>
      <c r="BI118" t="e">
        <f t="shared" si="62"/>
        <v>#N/A</v>
      </c>
      <c r="BJ118" t="e">
        <f t="shared" si="62"/>
        <v>#N/A</v>
      </c>
      <c r="BK118" t="e">
        <f t="shared" si="62"/>
        <v>#N/A</v>
      </c>
      <c r="BL118" t="e">
        <f t="shared" si="62"/>
        <v>#N/A</v>
      </c>
      <c r="BM118" t="e">
        <f t="shared" si="62"/>
        <v>#N/A</v>
      </c>
      <c r="BP118" t="e">
        <f t="shared" si="47"/>
        <v>#N/A</v>
      </c>
      <c r="BQ118" t="e">
        <f t="shared" si="66"/>
        <v>#N/A</v>
      </c>
      <c r="BR118">
        <f t="shared" si="63"/>
        <v>112384.54388</v>
      </c>
      <c r="BS118" t="e">
        <f t="shared" si="63"/>
        <v>#N/A</v>
      </c>
      <c r="BT118" t="e">
        <f t="shared" si="63"/>
        <v>#N/A</v>
      </c>
      <c r="BU118" t="e">
        <f t="shared" si="63"/>
        <v>#N/A</v>
      </c>
      <c r="BV118" t="e">
        <f t="shared" si="63"/>
        <v>#N/A</v>
      </c>
      <c r="BY118" t="e">
        <f t="shared" si="48"/>
        <v>#N/A</v>
      </c>
      <c r="BZ118" t="e">
        <v>#N/A</v>
      </c>
      <c r="CA118" t="e" cm="1">
        <f t="array" ref="CA118">IF(ISNUMBER(BZ118),AF118/COUNT(IF(ISNUMBER(_xlfn.ANCHORARRAY($BZ$11)),_xlfn.ANCHORARRAY($BZ$11))),NA())</f>
        <v>#N/A</v>
      </c>
      <c r="CB118" t="e">
        <f t="shared" si="49"/>
        <v>#N/A</v>
      </c>
      <c r="CD118" t="e">
        <f t="shared" si="50"/>
        <v>#N/A</v>
      </c>
      <c r="CE118" t="e">
        <f t="shared" si="51"/>
        <v>#N/A</v>
      </c>
      <c r="CG118" t="e">
        <v>#N/A</v>
      </c>
      <c r="CH118" t="e">
        <v>#N/A</v>
      </c>
      <c r="CL118" t="e">
        <f t="shared" si="52"/>
        <v>#N/A</v>
      </c>
      <c r="CM118" t="e">
        <v>#N/A</v>
      </c>
      <c r="CN118" t="e" cm="1">
        <f t="array" ref="CN118">IF(ISNUMBER(CM118),AF118/COUNT(IF(ISNUMBER(_xlfn.ANCHORARRAY($CM$11)),_xlfn.ANCHORARRAY($CM$11))),NA())</f>
        <v>#N/A</v>
      </c>
      <c r="CO118" t="e">
        <f t="shared" si="53"/>
        <v>#N/A</v>
      </c>
      <c r="CQ118" t="e">
        <f t="shared" si="54"/>
        <v>#N/A</v>
      </c>
      <c r="CR118" t="e">
        <f t="shared" si="55"/>
        <v>#N/A</v>
      </c>
      <c r="CT118" t="e">
        <v>#N/A</v>
      </c>
      <c r="CU118" t="e">
        <v>#N/A</v>
      </c>
      <c r="CY118">
        <f t="shared" si="56"/>
        <v>112384.54388</v>
      </c>
      <c r="CZ118" t="e">
        <v>#N/A</v>
      </c>
      <c r="DA118" t="e" cm="1">
        <f t="array" ref="DA118">IF(ISNUMBER(CZ118),AF118/COUNT(IF(ISNUMBER(_xlfn.ANCHORARRAY($CZ$11)),_xlfn.ANCHORARRAY($CZ$11))),NA())</f>
        <v>#N/A</v>
      </c>
      <c r="DB118" t="e">
        <f t="shared" si="57"/>
        <v>#N/A</v>
      </c>
      <c r="DD118" t="e">
        <f t="shared" si="58"/>
        <v>#N/A</v>
      </c>
      <c r="DE118" t="e">
        <f t="shared" si="59"/>
        <v>#N/A</v>
      </c>
      <c r="DG118" t="e">
        <v>#N/A</v>
      </c>
      <c r="DH118" t="e">
        <v>#N/A</v>
      </c>
    </row>
    <row r="119" spans="32:112">
      <c r="AF119">
        <v>109</v>
      </c>
      <c r="AG119" s="401">
        <f>'Lab test'!N112</f>
        <v>72.263000000000005</v>
      </c>
      <c r="AH119" s="401">
        <f>'Lab test'!M112</f>
        <v>0.14858999999999997</v>
      </c>
      <c r="AI119">
        <f>IF('Lab test'!O112&gt;0,'Lab test'!O112,NA())</f>
        <v>304.79999999999995</v>
      </c>
      <c r="AJ119">
        <f>'Lab test'!Q112</f>
        <v>486.32478632478643</v>
      </c>
      <c r="AK119" s="401">
        <f>IF('Lab test'!V112&gt;0,'Lab test'!V112,NA())</f>
        <v>112384.54388</v>
      </c>
      <c r="AL119" s="7">
        <f>IF(MAX('Lab test'!W112,'Lab test'!X112)&gt;0,MAX('Lab test'!W112,'Lab test'!X112),NA())</f>
        <v>199.94796112</v>
      </c>
      <c r="AM119" s="401">
        <f>IF('Lab test'!P112&gt;0,'Lab test'!P112,NA())</f>
        <v>0.19126511811189179</v>
      </c>
      <c r="AN119" s="401">
        <f>IF('Lab test'!AU112&gt;0,'Lab test'!AU112,NA())</f>
        <v>0.26883733653472369</v>
      </c>
      <c r="AO119" s="401">
        <f>IF('Lab test'!AT112&gt;0,'Lab test'!AT112,NA())</f>
        <v>0.38433302563073002</v>
      </c>
      <c r="AP119">
        <f t="shared" si="60"/>
        <v>1</v>
      </c>
      <c r="AQ119" s="401">
        <f>'Lab test'!AZ112</f>
        <v>1934</v>
      </c>
      <c r="AR119" t="str">
        <f>'Lab test'!AC112</f>
        <v>LTWb</v>
      </c>
      <c r="AS119" t="str">
        <f>'Lab test'!T112</f>
        <v>Brass</v>
      </c>
      <c r="AX119" t="e">
        <f t="shared" si="45"/>
        <v>#N/A</v>
      </c>
      <c r="AY119" t="e">
        <f t="shared" si="64"/>
        <v>#N/A</v>
      </c>
      <c r="AZ119" t="e">
        <f t="shared" si="61"/>
        <v>#N/A</v>
      </c>
      <c r="BA119" t="e">
        <f t="shared" si="61"/>
        <v>#N/A</v>
      </c>
      <c r="BB119" t="e">
        <f t="shared" si="61"/>
        <v>#N/A</v>
      </c>
      <c r="BC119" t="e">
        <f t="shared" si="61"/>
        <v>#N/A</v>
      </c>
      <c r="BD119" t="e">
        <f t="shared" si="61"/>
        <v>#N/A</v>
      </c>
      <c r="BG119" t="e">
        <f t="shared" si="46"/>
        <v>#N/A</v>
      </c>
      <c r="BH119" t="e">
        <f t="shared" si="65"/>
        <v>#N/A</v>
      </c>
      <c r="BI119" t="e">
        <f t="shared" si="62"/>
        <v>#N/A</v>
      </c>
      <c r="BJ119" t="e">
        <f t="shared" si="62"/>
        <v>#N/A</v>
      </c>
      <c r="BK119" t="e">
        <f t="shared" si="62"/>
        <v>#N/A</v>
      </c>
      <c r="BL119" t="e">
        <f t="shared" si="62"/>
        <v>#N/A</v>
      </c>
      <c r="BM119" t="e">
        <f t="shared" si="62"/>
        <v>#N/A</v>
      </c>
      <c r="BP119" t="e">
        <f t="shared" si="47"/>
        <v>#N/A</v>
      </c>
      <c r="BQ119" t="e">
        <f t="shared" si="66"/>
        <v>#N/A</v>
      </c>
      <c r="BR119">
        <f t="shared" si="63"/>
        <v>112384.54388</v>
      </c>
      <c r="BS119" t="e">
        <f t="shared" si="63"/>
        <v>#N/A</v>
      </c>
      <c r="BT119" t="e">
        <f t="shared" si="63"/>
        <v>#N/A</v>
      </c>
      <c r="BU119" t="e">
        <f t="shared" si="63"/>
        <v>#N/A</v>
      </c>
      <c r="BV119" t="e">
        <f t="shared" si="63"/>
        <v>#N/A</v>
      </c>
      <c r="BY119" t="e">
        <f t="shared" si="48"/>
        <v>#N/A</v>
      </c>
      <c r="BZ119" t="e">
        <v>#N/A</v>
      </c>
      <c r="CA119" t="e" cm="1">
        <f t="array" ref="CA119">IF(ISNUMBER(BZ119),AF119/COUNT(IF(ISNUMBER(_xlfn.ANCHORARRAY($BZ$11)),_xlfn.ANCHORARRAY($BZ$11))),NA())</f>
        <v>#N/A</v>
      </c>
      <c r="CB119" t="e">
        <f t="shared" si="49"/>
        <v>#N/A</v>
      </c>
      <c r="CD119" t="e">
        <f t="shared" si="50"/>
        <v>#N/A</v>
      </c>
      <c r="CE119" t="e">
        <f t="shared" si="51"/>
        <v>#N/A</v>
      </c>
      <c r="CG119" t="e">
        <v>#N/A</v>
      </c>
      <c r="CH119" t="e">
        <v>#N/A</v>
      </c>
      <c r="CL119" t="e">
        <f t="shared" si="52"/>
        <v>#N/A</v>
      </c>
      <c r="CM119" t="e">
        <v>#N/A</v>
      </c>
      <c r="CN119" t="e" cm="1">
        <f t="array" ref="CN119">IF(ISNUMBER(CM119),AF119/COUNT(IF(ISNUMBER(_xlfn.ANCHORARRAY($CM$11)),_xlfn.ANCHORARRAY($CM$11))),NA())</f>
        <v>#N/A</v>
      </c>
      <c r="CO119" t="e">
        <f t="shared" si="53"/>
        <v>#N/A</v>
      </c>
      <c r="CQ119" t="e">
        <f t="shared" si="54"/>
        <v>#N/A</v>
      </c>
      <c r="CR119" t="e">
        <f t="shared" si="55"/>
        <v>#N/A</v>
      </c>
      <c r="CT119" t="e">
        <v>#N/A</v>
      </c>
      <c r="CU119" t="e">
        <v>#N/A</v>
      </c>
      <c r="CY119">
        <f t="shared" si="56"/>
        <v>112384.54388</v>
      </c>
      <c r="CZ119" t="e">
        <v>#N/A</v>
      </c>
      <c r="DA119" t="e" cm="1">
        <f t="array" ref="DA119">IF(ISNUMBER(CZ119),AF119/COUNT(IF(ISNUMBER(_xlfn.ANCHORARRAY($CZ$11)),_xlfn.ANCHORARRAY($CZ$11))),NA())</f>
        <v>#N/A</v>
      </c>
      <c r="DB119" t="e">
        <f t="shared" si="57"/>
        <v>#N/A</v>
      </c>
      <c r="DD119" t="e">
        <f t="shared" si="58"/>
        <v>#N/A</v>
      </c>
      <c r="DE119" t="e">
        <f t="shared" si="59"/>
        <v>#N/A</v>
      </c>
      <c r="DG119" t="e">
        <v>#N/A</v>
      </c>
      <c r="DH119" t="e">
        <v>#N/A</v>
      </c>
    </row>
    <row r="120" spans="32:112">
      <c r="AF120">
        <v>110</v>
      </c>
      <c r="AG120" s="401">
        <f>'Lab test'!N113</f>
        <v>47.625</v>
      </c>
      <c r="AH120" s="401">
        <f>'Lab test'!M113</f>
        <v>0.151892</v>
      </c>
      <c r="AI120">
        <f>IF('Lab test'!O113&gt;0,'Lab test'!O113,NA())</f>
        <v>304.79999999999995</v>
      </c>
      <c r="AJ120">
        <f>'Lab test'!Q113</f>
        <v>313.54515050167225</v>
      </c>
      <c r="AK120" s="401">
        <f>IF('Lab test'!V113&gt;0,'Lab test'!V113,NA())</f>
        <v>112384.54388</v>
      </c>
      <c r="AL120" s="7">
        <f>IF(MAX('Lab test'!W113,'Lab test'!X113)&gt;0,MAX('Lab test'!W113,'Lab test'!X113),NA())</f>
        <v>199.94796112</v>
      </c>
      <c r="AM120" s="401">
        <f>IF('Lab test'!P113&gt;0,'Lab test'!P113,NA())</f>
        <v>0.36143477050960843</v>
      </c>
      <c r="AN120" s="401">
        <f>IF('Lab test'!AU113&gt;0,'Lab test'!AU113,NA())</f>
        <v>0.26782738586847804</v>
      </c>
      <c r="AO120" s="401">
        <f>IF('Lab test'!AT113&gt;0,'Lab test'!AT113,NA())</f>
        <v>0.24685776158599904</v>
      </c>
      <c r="AP120">
        <f t="shared" si="60"/>
        <v>1</v>
      </c>
      <c r="AQ120" s="401">
        <f>'Lab test'!AZ113</f>
        <v>1934</v>
      </c>
      <c r="AR120" t="str">
        <f>'Lab test'!AC113</f>
        <v>LTWb</v>
      </c>
      <c r="AS120" t="str">
        <f>'Lab test'!T113</f>
        <v>Brass</v>
      </c>
      <c r="AX120" t="e">
        <f t="shared" si="45"/>
        <v>#N/A</v>
      </c>
      <c r="AY120" t="e">
        <f t="shared" si="64"/>
        <v>#N/A</v>
      </c>
      <c r="AZ120" t="e">
        <f t="shared" si="61"/>
        <v>#N/A</v>
      </c>
      <c r="BA120" t="e">
        <f t="shared" si="61"/>
        <v>#N/A</v>
      </c>
      <c r="BB120" t="e">
        <f t="shared" si="61"/>
        <v>#N/A</v>
      </c>
      <c r="BC120" t="e">
        <f t="shared" si="61"/>
        <v>#N/A</v>
      </c>
      <c r="BD120" t="e">
        <f t="shared" si="61"/>
        <v>#N/A</v>
      </c>
      <c r="BG120" t="e">
        <f t="shared" si="46"/>
        <v>#N/A</v>
      </c>
      <c r="BH120" t="e">
        <f t="shared" si="65"/>
        <v>#N/A</v>
      </c>
      <c r="BI120" t="e">
        <f t="shared" si="62"/>
        <v>#N/A</v>
      </c>
      <c r="BJ120" t="e">
        <f t="shared" si="62"/>
        <v>#N/A</v>
      </c>
      <c r="BK120" t="e">
        <f t="shared" si="62"/>
        <v>#N/A</v>
      </c>
      <c r="BL120" t="e">
        <f t="shared" si="62"/>
        <v>#N/A</v>
      </c>
      <c r="BM120" t="e">
        <f t="shared" si="62"/>
        <v>#N/A</v>
      </c>
      <c r="BP120" t="e">
        <f t="shared" si="47"/>
        <v>#N/A</v>
      </c>
      <c r="BQ120">
        <f t="shared" si="66"/>
        <v>112384.54388</v>
      </c>
      <c r="BR120" t="e">
        <f t="shared" si="63"/>
        <v>#N/A</v>
      </c>
      <c r="BS120" t="e">
        <f t="shared" si="63"/>
        <v>#N/A</v>
      </c>
      <c r="BT120" t="e">
        <f t="shared" si="63"/>
        <v>#N/A</v>
      </c>
      <c r="BU120" t="e">
        <f t="shared" si="63"/>
        <v>#N/A</v>
      </c>
      <c r="BV120" t="e">
        <f t="shared" si="63"/>
        <v>#N/A</v>
      </c>
      <c r="BY120" t="e">
        <f t="shared" si="48"/>
        <v>#N/A</v>
      </c>
      <c r="BZ120" t="e">
        <v>#N/A</v>
      </c>
      <c r="CA120" t="e" cm="1">
        <f t="array" ref="CA120">IF(ISNUMBER(BZ120),AF120/COUNT(IF(ISNUMBER(_xlfn.ANCHORARRAY($BZ$11)),_xlfn.ANCHORARRAY($BZ$11))),NA())</f>
        <v>#N/A</v>
      </c>
      <c r="CB120" t="e">
        <f t="shared" si="49"/>
        <v>#N/A</v>
      </c>
      <c r="CD120" t="e">
        <f t="shared" si="50"/>
        <v>#N/A</v>
      </c>
      <c r="CE120" t="e">
        <f t="shared" si="51"/>
        <v>#N/A</v>
      </c>
      <c r="CG120" t="e">
        <v>#N/A</v>
      </c>
      <c r="CH120" t="e">
        <v>#N/A</v>
      </c>
      <c r="CL120" t="e">
        <f t="shared" si="52"/>
        <v>#N/A</v>
      </c>
      <c r="CM120" t="e">
        <v>#N/A</v>
      </c>
      <c r="CN120" t="e" cm="1">
        <f t="array" ref="CN120">IF(ISNUMBER(CM120),AF120/COUNT(IF(ISNUMBER(_xlfn.ANCHORARRAY($CM$11)),_xlfn.ANCHORARRAY($CM$11))),NA())</f>
        <v>#N/A</v>
      </c>
      <c r="CO120" t="e">
        <f t="shared" si="53"/>
        <v>#N/A</v>
      </c>
      <c r="CQ120" t="e">
        <f t="shared" si="54"/>
        <v>#N/A</v>
      </c>
      <c r="CR120" t="e">
        <f t="shared" si="55"/>
        <v>#N/A</v>
      </c>
      <c r="CT120" t="e">
        <v>#N/A</v>
      </c>
      <c r="CU120" t="e">
        <v>#N/A</v>
      </c>
      <c r="CY120">
        <f t="shared" si="56"/>
        <v>112384.54388</v>
      </c>
      <c r="CZ120" t="e">
        <v>#N/A</v>
      </c>
      <c r="DA120" t="e" cm="1">
        <f t="array" ref="DA120">IF(ISNUMBER(CZ120),AF120/COUNT(IF(ISNUMBER(_xlfn.ANCHORARRAY($CZ$11)),_xlfn.ANCHORARRAY($CZ$11))),NA())</f>
        <v>#N/A</v>
      </c>
      <c r="DB120" t="e">
        <f t="shared" si="57"/>
        <v>#N/A</v>
      </c>
      <c r="DD120" t="e">
        <f t="shared" si="58"/>
        <v>#N/A</v>
      </c>
      <c r="DE120" t="e">
        <f t="shared" si="59"/>
        <v>#N/A</v>
      </c>
      <c r="DG120" t="e">
        <v>#N/A</v>
      </c>
      <c r="DH120" t="e">
        <v>#N/A</v>
      </c>
    </row>
    <row r="121" spans="32:112">
      <c r="AF121">
        <v>111</v>
      </c>
      <c r="AG121" s="401">
        <f>'Lab test'!N114</f>
        <v>23.939499999999999</v>
      </c>
      <c r="AH121" s="401">
        <f>'Lab test'!M114</f>
        <v>0.14909800000000001</v>
      </c>
      <c r="AI121">
        <f>IF('Lab test'!O114&gt;0,'Lab test'!O114,NA())</f>
        <v>304.79999999999995</v>
      </c>
      <c r="AJ121">
        <f>'Lab test'!Q114</f>
        <v>160.56218057921635</v>
      </c>
      <c r="AK121" s="401">
        <f>IF('Lab test'!V114&gt;0,'Lab test'!V114,NA())</f>
        <v>112384.54388</v>
      </c>
      <c r="AL121" s="7">
        <f>IF(MAX('Lab test'!W114,'Lab test'!X114)&gt;0,MAX('Lab test'!W114,'Lab test'!X114),NA())</f>
        <v>199.94796112</v>
      </c>
      <c r="AM121" s="401">
        <f>IF('Lab test'!P114&gt;0,'Lab test'!P114,NA())</f>
        <v>1.0047968348599594</v>
      </c>
      <c r="AN121" s="401">
        <f>IF('Lab test'!AU114&gt;0,'Lab test'!AU114,NA())</f>
        <v>0.79683095538849746</v>
      </c>
      <c r="AO121" s="401">
        <f>IF('Lab test'!AT114&gt;0,'Lab test'!AT114,NA())</f>
        <v>0.37609812741173981</v>
      </c>
      <c r="AP121">
        <f t="shared" si="60"/>
        <v>1</v>
      </c>
      <c r="AQ121" s="401">
        <f>'Lab test'!AZ114</f>
        <v>1934</v>
      </c>
      <c r="AR121" t="str">
        <f>'Lab test'!AC114</f>
        <v>LTWb</v>
      </c>
      <c r="AS121" t="str">
        <f>'Lab test'!T114</f>
        <v>Brass</v>
      </c>
      <c r="AX121" t="e">
        <f t="shared" si="45"/>
        <v>#N/A</v>
      </c>
      <c r="AY121" t="e">
        <f t="shared" si="64"/>
        <v>#N/A</v>
      </c>
      <c r="AZ121" t="e">
        <f t="shared" si="61"/>
        <v>#N/A</v>
      </c>
      <c r="BA121" t="e">
        <f t="shared" si="61"/>
        <v>#N/A</v>
      </c>
      <c r="BB121" t="e">
        <f t="shared" si="61"/>
        <v>#N/A</v>
      </c>
      <c r="BC121" t="e">
        <f t="shared" si="61"/>
        <v>#N/A</v>
      </c>
      <c r="BD121" t="e">
        <f t="shared" si="61"/>
        <v>#N/A</v>
      </c>
      <c r="BG121" t="e">
        <f t="shared" si="46"/>
        <v>#N/A</v>
      </c>
      <c r="BH121" t="e">
        <f t="shared" si="65"/>
        <v>#N/A</v>
      </c>
      <c r="BI121" t="e">
        <f t="shared" si="62"/>
        <v>#N/A</v>
      </c>
      <c r="BJ121" t="e">
        <f t="shared" si="62"/>
        <v>#N/A</v>
      </c>
      <c r="BK121" t="e">
        <f t="shared" si="62"/>
        <v>#N/A</v>
      </c>
      <c r="BL121" t="e">
        <f t="shared" si="62"/>
        <v>#N/A</v>
      </c>
      <c r="BM121" t="e">
        <f t="shared" si="62"/>
        <v>#N/A</v>
      </c>
      <c r="BP121">
        <f t="shared" si="47"/>
        <v>112384.54388</v>
      </c>
      <c r="BQ121" t="e">
        <f t="shared" si="66"/>
        <v>#N/A</v>
      </c>
      <c r="BR121" t="e">
        <f t="shared" si="63"/>
        <v>#N/A</v>
      </c>
      <c r="BS121" t="e">
        <f t="shared" si="63"/>
        <v>#N/A</v>
      </c>
      <c r="BT121" t="e">
        <f t="shared" si="63"/>
        <v>#N/A</v>
      </c>
      <c r="BU121" t="e">
        <f t="shared" si="63"/>
        <v>#N/A</v>
      </c>
      <c r="BV121" t="e">
        <f t="shared" si="63"/>
        <v>#N/A</v>
      </c>
      <c r="BY121" t="e">
        <f t="shared" si="48"/>
        <v>#N/A</v>
      </c>
      <c r="BZ121" t="e">
        <v>#N/A</v>
      </c>
      <c r="CA121" t="e" cm="1">
        <f t="array" ref="CA121">IF(ISNUMBER(BZ121),AF121/COUNT(IF(ISNUMBER(_xlfn.ANCHORARRAY($BZ$11)),_xlfn.ANCHORARRAY($BZ$11))),NA())</f>
        <v>#N/A</v>
      </c>
      <c r="CB121" t="e">
        <f t="shared" si="49"/>
        <v>#N/A</v>
      </c>
      <c r="CD121" t="e">
        <f t="shared" si="50"/>
        <v>#N/A</v>
      </c>
      <c r="CE121" t="e">
        <f t="shared" si="51"/>
        <v>#N/A</v>
      </c>
      <c r="CG121" t="e">
        <v>#N/A</v>
      </c>
      <c r="CH121" t="e">
        <v>#N/A</v>
      </c>
      <c r="CL121" t="e">
        <f t="shared" si="52"/>
        <v>#N/A</v>
      </c>
      <c r="CM121" t="e">
        <v>#N/A</v>
      </c>
      <c r="CN121" t="e" cm="1">
        <f t="array" ref="CN121">IF(ISNUMBER(CM121),AF121/COUNT(IF(ISNUMBER(_xlfn.ANCHORARRAY($CM$11)),_xlfn.ANCHORARRAY($CM$11))),NA())</f>
        <v>#N/A</v>
      </c>
      <c r="CO121" t="e">
        <f t="shared" si="53"/>
        <v>#N/A</v>
      </c>
      <c r="CQ121" t="e">
        <f t="shared" si="54"/>
        <v>#N/A</v>
      </c>
      <c r="CR121" t="e">
        <f t="shared" si="55"/>
        <v>#N/A</v>
      </c>
      <c r="CT121" t="e">
        <v>#N/A</v>
      </c>
      <c r="CU121" t="e">
        <v>#N/A</v>
      </c>
      <c r="CY121">
        <f t="shared" si="56"/>
        <v>112384.54388</v>
      </c>
      <c r="CZ121" t="e">
        <v>#N/A</v>
      </c>
      <c r="DA121" t="e" cm="1">
        <f t="array" ref="DA121">IF(ISNUMBER(CZ121),AF121/COUNT(IF(ISNUMBER(_xlfn.ANCHORARRAY($CZ$11)),_xlfn.ANCHORARRAY($CZ$11))),NA())</f>
        <v>#N/A</v>
      </c>
      <c r="DB121" t="e">
        <f t="shared" si="57"/>
        <v>#N/A</v>
      </c>
      <c r="DD121" t="e">
        <f t="shared" si="58"/>
        <v>#N/A</v>
      </c>
      <c r="DE121" t="e">
        <f t="shared" si="59"/>
        <v>#N/A</v>
      </c>
      <c r="DG121" t="e">
        <v>#N/A</v>
      </c>
      <c r="DH121" t="e">
        <v>#N/A</v>
      </c>
    </row>
    <row r="122" spans="32:112">
      <c r="AF122">
        <v>112</v>
      </c>
      <c r="AG122" s="401">
        <f>'Lab test'!N115</f>
        <v>72.009</v>
      </c>
      <c r="AH122" s="401">
        <f>'Lab test'!M115</f>
        <v>4.9021999999999996E-2</v>
      </c>
      <c r="AI122">
        <f>IF('Lab test'!O115&gt;0,'Lab test'!O115,NA())</f>
        <v>304.79999999999995</v>
      </c>
      <c r="AJ122">
        <f>'Lab test'!Q115</f>
        <v>1468.9119170984457</v>
      </c>
      <c r="AK122" s="401">
        <f>IF('Lab test'!V115&gt;0,'Lab test'!V115,NA())</f>
        <v>108247.68949999999</v>
      </c>
      <c r="AL122" s="7">
        <f>IF(MAX('Lab test'!W115,'Lab test'!X115)&gt;0,MAX('Lab test'!W115,'Lab test'!X115),NA())</f>
        <v>199.94796112</v>
      </c>
      <c r="AM122" s="401">
        <f>IF('Lab test'!P115&gt;0,'Lab test'!P115,NA())</f>
        <v>0.11044099373320267</v>
      </c>
      <c r="AN122" s="401">
        <f>IF('Lab test'!AU115&gt;0,'Lab test'!AU115,NA())</f>
        <v>5.01683415185235E-2</v>
      </c>
      <c r="AO122" s="401">
        <f>IF('Lab test'!AT115&gt;0,'Lab test'!AT115,NA())</f>
        <v>0.22490813621020811</v>
      </c>
      <c r="AP122">
        <f t="shared" si="60"/>
        <v>1</v>
      </c>
      <c r="AQ122" s="401">
        <f>'Lab test'!AZ115</f>
        <v>1934</v>
      </c>
      <c r="AR122" t="str">
        <f>'Lab test'!AC115</f>
        <v>LTWb</v>
      </c>
      <c r="AS122" t="str">
        <f>'Lab test'!T115</f>
        <v>Brass</v>
      </c>
      <c r="AX122" t="e">
        <f t="shared" si="45"/>
        <v>#N/A</v>
      </c>
      <c r="AY122" t="e">
        <f t="shared" si="64"/>
        <v>#N/A</v>
      </c>
      <c r="AZ122" t="e">
        <f t="shared" si="61"/>
        <v>#N/A</v>
      </c>
      <c r="BA122" t="e">
        <f t="shared" si="61"/>
        <v>#N/A</v>
      </c>
      <c r="BB122" t="e">
        <f t="shared" si="61"/>
        <v>#N/A</v>
      </c>
      <c r="BC122" t="e">
        <f t="shared" si="61"/>
        <v>#N/A</v>
      </c>
      <c r="BD122" t="e">
        <f t="shared" si="61"/>
        <v>#N/A</v>
      </c>
      <c r="BG122" t="e">
        <f t="shared" si="46"/>
        <v>#N/A</v>
      </c>
      <c r="BH122" t="e">
        <f t="shared" si="65"/>
        <v>#N/A</v>
      </c>
      <c r="BI122" t="e">
        <f t="shared" si="62"/>
        <v>#N/A</v>
      </c>
      <c r="BJ122" t="e">
        <f t="shared" si="62"/>
        <v>#N/A</v>
      </c>
      <c r="BK122" t="e">
        <f t="shared" si="62"/>
        <v>#N/A</v>
      </c>
      <c r="BL122" t="e">
        <f t="shared" si="62"/>
        <v>#N/A</v>
      </c>
      <c r="BM122" t="e">
        <f t="shared" si="62"/>
        <v>#N/A</v>
      </c>
      <c r="BP122" t="e">
        <f t="shared" si="47"/>
        <v>#N/A</v>
      </c>
      <c r="BQ122" t="e">
        <f t="shared" si="66"/>
        <v>#N/A</v>
      </c>
      <c r="BR122" t="e">
        <f t="shared" si="63"/>
        <v>#N/A</v>
      </c>
      <c r="BS122" t="e">
        <f t="shared" si="63"/>
        <v>#N/A</v>
      </c>
      <c r="BT122" t="e">
        <f t="shared" si="63"/>
        <v>#N/A</v>
      </c>
      <c r="BU122" t="e">
        <f t="shared" si="63"/>
        <v>#N/A</v>
      </c>
      <c r="BV122">
        <f t="shared" si="63"/>
        <v>108247.68949999999</v>
      </c>
      <c r="BY122" t="e">
        <f t="shared" si="48"/>
        <v>#N/A</v>
      </c>
      <c r="BZ122" t="e">
        <v>#N/A</v>
      </c>
      <c r="CA122" t="e" cm="1">
        <f t="array" ref="CA122">IF(ISNUMBER(BZ122),AF122/COUNT(IF(ISNUMBER(_xlfn.ANCHORARRAY($BZ$11)),_xlfn.ANCHORARRAY($BZ$11))),NA())</f>
        <v>#N/A</v>
      </c>
      <c r="CB122" t="e">
        <f t="shared" si="49"/>
        <v>#N/A</v>
      </c>
      <c r="CD122" t="e">
        <f t="shared" si="50"/>
        <v>#N/A</v>
      </c>
      <c r="CE122" t="e">
        <f t="shared" si="51"/>
        <v>#N/A</v>
      </c>
      <c r="CG122" t="e">
        <v>#N/A</v>
      </c>
      <c r="CH122" t="e">
        <v>#N/A</v>
      </c>
      <c r="CL122" t="e">
        <f t="shared" si="52"/>
        <v>#N/A</v>
      </c>
      <c r="CM122" t="e">
        <v>#N/A</v>
      </c>
      <c r="CN122" t="e" cm="1">
        <f t="array" ref="CN122">IF(ISNUMBER(CM122),AF122/COUNT(IF(ISNUMBER(_xlfn.ANCHORARRAY($CM$11)),_xlfn.ANCHORARRAY($CM$11))),NA())</f>
        <v>#N/A</v>
      </c>
      <c r="CO122" t="e">
        <f t="shared" si="53"/>
        <v>#N/A</v>
      </c>
      <c r="CQ122" t="e">
        <f t="shared" si="54"/>
        <v>#N/A</v>
      </c>
      <c r="CR122" t="e">
        <f t="shared" si="55"/>
        <v>#N/A</v>
      </c>
      <c r="CT122" t="e">
        <v>#N/A</v>
      </c>
      <c r="CU122" t="e">
        <v>#N/A</v>
      </c>
      <c r="CY122">
        <f t="shared" si="56"/>
        <v>108247.68949999999</v>
      </c>
      <c r="CZ122" t="e">
        <v>#N/A</v>
      </c>
      <c r="DA122" t="e" cm="1">
        <f t="array" ref="DA122">IF(ISNUMBER(CZ122),AF122/COUNT(IF(ISNUMBER(_xlfn.ANCHORARRAY($CZ$11)),_xlfn.ANCHORARRAY($CZ$11))),NA())</f>
        <v>#N/A</v>
      </c>
      <c r="DB122" t="e">
        <f t="shared" si="57"/>
        <v>#N/A</v>
      </c>
      <c r="DD122" t="e">
        <f t="shared" si="58"/>
        <v>#N/A</v>
      </c>
      <c r="DE122" t="e">
        <f t="shared" si="59"/>
        <v>#N/A</v>
      </c>
      <c r="DG122" t="e">
        <v>#N/A</v>
      </c>
      <c r="DH122" t="e">
        <v>#N/A</v>
      </c>
    </row>
    <row r="123" spans="32:112">
      <c r="AF123">
        <v>113</v>
      </c>
      <c r="AG123" s="401">
        <f>'Lab test'!N116</f>
        <v>47.625</v>
      </c>
      <c r="AH123" s="401">
        <f>'Lab test'!M116</f>
        <v>5.2577999999999993E-2</v>
      </c>
      <c r="AI123">
        <f>IF('Lab test'!O116&gt;0,'Lab test'!O116,NA())</f>
        <v>304.79999999999995</v>
      </c>
      <c r="AJ123">
        <f>'Lab test'!Q116</f>
        <v>905.79710144927549</v>
      </c>
      <c r="AK123" s="401">
        <f>IF('Lab test'!V116&gt;0,'Lab test'!V116,NA())</f>
        <v>108247.68949999999</v>
      </c>
      <c r="AL123" s="7">
        <f>IF(MAX('Lab test'!W116,'Lab test'!X116)&gt;0,MAX('Lab test'!W116,'Lab test'!X116),NA())</f>
        <v>199.94796112</v>
      </c>
      <c r="AM123" s="401">
        <f>IF('Lab test'!P116&gt;0,'Lab test'!P116,NA())</f>
        <v>0.21264957089070269</v>
      </c>
      <c r="AN123" s="401">
        <f>IF('Lab test'!AU116&gt;0,'Lab test'!AU116,NA())</f>
        <v>7.2138759630632113E-2</v>
      </c>
      <c r="AO123" s="401">
        <f>IF('Lab test'!AT116&gt;0,'Lab test'!AT116,NA())</f>
        <v>0.19942484606427047</v>
      </c>
      <c r="AP123">
        <f t="shared" si="60"/>
        <v>1</v>
      </c>
      <c r="AQ123" s="401">
        <f>'Lab test'!AZ116</f>
        <v>1934</v>
      </c>
      <c r="AR123" t="str">
        <f>'Lab test'!AC116</f>
        <v>LTWb</v>
      </c>
      <c r="AS123" t="str">
        <f>'Lab test'!T116</f>
        <v>Brass</v>
      </c>
      <c r="AX123" t="e">
        <f t="shared" si="45"/>
        <v>#N/A</v>
      </c>
      <c r="AY123" t="e">
        <f t="shared" si="64"/>
        <v>#N/A</v>
      </c>
      <c r="AZ123" t="e">
        <f t="shared" si="61"/>
        <v>#N/A</v>
      </c>
      <c r="BA123" t="e">
        <f t="shared" si="61"/>
        <v>#N/A</v>
      </c>
      <c r="BB123" t="e">
        <f t="shared" si="61"/>
        <v>#N/A</v>
      </c>
      <c r="BC123" t="e">
        <f t="shared" si="61"/>
        <v>#N/A</v>
      </c>
      <c r="BD123" t="e">
        <f t="shared" si="61"/>
        <v>#N/A</v>
      </c>
      <c r="BG123" t="e">
        <f t="shared" si="46"/>
        <v>#N/A</v>
      </c>
      <c r="BH123" t="e">
        <f t="shared" si="65"/>
        <v>#N/A</v>
      </c>
      <c r="BI123" t="e">
        <f t="shared" si="62"/>
        <v>#N/A</v>
      </c>
      <c r="BJ123" t="e">
        <f t="shared" si="62"/>
        <v>#N/A</v>
      </c>
      <c r="BK123" t="e">
        <f t="shared" si="62"/>
        <v>#N/A</v>
      </c>
      <c r="BL123" t="e">
        <f t="shared" si="62"/>
        <v>#N/A</v>
      </c>
      <c r="BM123" t="e">
        <f t="shared" si="62"/>
        <v>#N/A</v>
      </c>
      <c r="BP123" t="e">
        <f t="shared" si="47"/>
        <v>#N/A</v>
      </c>
      <c r="BQ123" t="e">
        <f t="shared" si="66"/>
        <v>#N/A</v>
      </c>
      <c r="BR123" t="e">
        <f t="shared" si="63"/>
        <v>#N/A</v>
      </c>
      <c r="BS123" t="e">
        <f t="shared" si="63"/>
        <v>#N/A</v>
      </c>
      <c r="BT123">
        <f t="shared" si="63"/>
        <v>108247.68949999999</v>
      </c>
      <c r="BU123" t="e">
        <f t="shared" si="63"/>
        <v>#N/A</v>
      </c>
      <c r="BV123" t="e">
        <f t="shared" si="63"/>
        <v>#N/A</v>
      </c>
      <c r="BY123" t="e">
        <f t="shared" si="48"/>
        <v>#N/A</v>
      </c>
      <c r="BZ123" t="e">
        <v>#N/A</v>
      </c>
      <c r="CA123" t="e" cm="1">
        <f t="array" ref="CA123">IF(ISNUMBER(BZ123),AF123/COUNT(IF(ISNUMBER(_xlfn.ANCHORARRAY($BZ$11)),_xlfn.ANCHORARRAY($BZ$11))),NA())</f>
        <v>#N/A</v>
      </c>
      <c r="CB123" t="e">
        <f t="shared" si="49"/>
        <v>#N/A</v>
      </c>
      <c r="CD123" t="e">
        <f t="shared" si="50"/>
        <v>#N/A</v>
      </c>
      <c r="CE123" t="e">
        <f t="shared" si="51"/>
        <v>#N/A</v>
      </c>
      <c r="CG123" t="e">
        <v>#N/A</v>
      </c>
      <c r="CH123" t="e">
        <v>#N/A</v>
      </c>
      <c r="CL123" t="e">
        <f t="shared" si="52"/>
        <v>#N/A</v>
      </c>
      <c r="CM123" t="e">
        <v>#N/A</v>
      </c>
      <c r="CN123" t="e" cm="1">
        <f t="array" ref="CN123">IF(ISNUMBER(CM123),AF123/COUNT(IF(ISNUMBER(_xlfn.ANCHORARRAY($CM$11)),_xlfn.ANCHORARRAY($CM$11))),NA())</f>
        <v>#N/A</v>
      </c>
      <c r="CO123" t="e">
        <f t="shared" si="53"/>
        <v>#N/A</v>
      </c>
      <c r="CQ123" t="e">
        <f t="shared" si="54"/>
        <v>#N/A</v>
      </c>
      <c r="CR123" t="e">
        <f t="shared" si="55"/>
        <v>#N/A</v>
      </c>
      <c r="CT123" t="e">
        <v>#N/A</v>
      </c>
      <c r="CU123" t="e">
        <v>#N/A</v>
      </c>
      <c r="CY123">
        <f t="shared" si="56"/>
        <v>108247.68949999999</v>
      </c>
      <c r="CZ123" t="e">
        <v>#N/A</v>
      </c>
      <c r="DA123" t="e" cm="1">
        <f t="array" ref="DA123">IF(ISNUMBER(CZ123),AF123/COUNT(IF(ISNUMBER(_xlfn.ANCHORARRAY($CZ$11)),_xlfn.ANCHORARRAY($CZ$11))),NA())</f>
        <v>#N/A</v>
      </c>
      <c r="DB123" t="e">
        <f t="shared" si="57"/>
        <v>#N/A</v>
      </c>
      <c r="DD123" t="e">
        <f t="shared" si="58"/>
        <v>#N/A</v>
      </c>
      <c r="DE123" t="e">
        <f t="shared" si="59"/>
        <v>#N/A</v>
      </c>
      <c r="DG123" t="e">
        <v>#N/A</v>
      </c>
      <c r="DH123" t="e">
        <v>#N/A</v>
      </c>
    </row>
    <row r="124" spans="32:112">
      <c r="AF124">
        <v>114</v>
      </c>
      <c r="AG124" s="401">
        <f>'Lab test'!N117</f>
        <v>72.009</v>
      </c>
      <c r="AH124" s="401">
        <f>'Lab test'!M117</f>
        <v>0.150368</v>
      </c>
      <c r="AI124">
        <f>IF('Lab test'!O117&gt;0,'Lab test'!O117,NA())</f>
        <v>762</v>
      </c>
      <c r="AJ124">
        <f>'Lab test'!Q117</f>
        <v>478.88513513513516</v>
      </c>
      <c r="AK124" s="401">
        <f>IF('Lab test'!V117&gt;0,'Lab test'!V117,NA())</f>
        <v>112384.54388</v>
      </c>
      <c r="AL124" s="7">
        <f>IF(MAX('Lab test'!W117,'Lab test'!X117)&gt;0,MAX('Lab test'!W117,'Lab test'!X117),NA())</f>
        <v>199.94796112</v>
      </c>
      <c r="AM124" s="401">
        <f>IF('Lab test'!P117&gt;0,'Lab test'!P117,NA())</f>
        <v>0.48356238758233866</v>
      </c>
      <c r="AN124" s="401">
        <f>IF('Lab test'!AU117&gt;0,'Lab test'!AU117,NA())</f>
        <v>0.20019202117574061</v>
      </c>
      <c r="AO124" s="401">
        <f>IF('Lab test'!AT117&gt;0,'Lab test'!AT117,NA())</f>
        <v>0.281818719324606</v>
      </c>
      <c r="AP124">
        <f t="shared" si="60"/>
        <v>1</v>
      </c>
      <c r="AQ124" s="401">
        <f>'Lab test'!AZ117</f>
        <v>1934</v>
      </c>
      <c r="AR124" t="str">
        <f>'Lab test'!AC117</f>
        <v>LTWb</v>
      </c>
      <c r="AS124" t="str">
        <f>'Lab test'!T117</f>
        <v>Brass</v>
      </c>
      <c r="AX124" t="e">
        <f t="shared" si="45"/>
        <v>#N/A</v>
      </c>
      <c r="AY124" t="e">
        <f t="shared" si="64"/>
        <v>#N/A</v>
      </c>
      <c r="AZ124" t="e">
        <f t="shared" si="61"/>
        <v>#N/A</v>
      </c>
      <c r="BA124" t="e">
        <f t="shared" si="61"/>
        <v>#N/A</v>
      </c>
      <c r="BB124" t="e">
        <f t="shared" si="61"/>
        <v>#N/A</v>
      </c>
      <c r="BC124" t="e">
        <f t="shared" si="61"/>
        <v>#N/A</v>
      </c>
      <c r="BD124" t="e">
        <f t="shared" si="61"/>
        <v>#N/A</v>
      </c>
      <c r="BG124" t="e">
        <f t="shared" si="46"/>
        <v>#N/A</v>
      </c>
      <c r="BH124" t="e">
        <f t="shared" si="65"/>
        <v>#N/A</v>
      </c>
      <c r="BI124" t="e">
        <f t="shared" si="62"/>
        <v>#N/A</v>
      </c>
      <c r="BJ124" t="e">
        <f t="shared" si="62"/>
        <v>#N/A</v>
      </c>
      <c r="BK124" t="e">
        <f t="shared" si="62"/>
        <v>#N/A</v>
      </c>
      <c r="BL124" t="e">
        <f t="shared" si="62"/>
        <v>#N/A</v>
      </c>
      <c r="BM124" t="e">
        <f t="shared" si="62"/>
        <v>#N/A</v>
      </c>
      <c r="BP124" t="e">
        <f t="shared" si="47"/>
        <v>#N/A</v>
      </c>
      <c r="BQ124" t="e">
        <f t="shared" si="66"/>
        <v>#N/A</v>
      </c>
      <c r="BR124">
        <f t="shared" si="63"/>
        <v>112384.54388</v>
      </c>
      <c r="BS124" t="e">
        <f t="shared" si="63"/>
        <v>#N/A</v>
      </c>
      <c r="BT124" t="e">
        <f t="shared" si="63"/>
        <v>#N/A</v>
      </c>
      <c r="BU124" t="e">
        <f t="shared" si="63"/>
        <v>#N/A</v>
      </c>
      <c r="BV124" t="e">
        <f t="shared" si="63"/>
        <v>#N/A</v>
      </c>
      <c r="BY124" t="e">
        <f t="shared" si="48"/>
        <v>#N/A</v>
      </c>
      <c r="BZ124" t="e">
        <v>#N/A</v>
      </c>
      <c r="CA124" t="e" cm="1">
        <f t="array" ref="CA124">IF(ISNUMBER(BZ124),AF124/COUNT(IF(ISNUMBER(_xlfn.ANCHORARRAY($BZ$11)),_xlfn.ANCHORARRAY($BZ$11))),NA())</f>
        <v>#N/A</v>
      </c>
      <c r="CB124" t="e">
        <f t="shared" si="49"/>
        <v>#N/A</v>
      </c>
      <c r="CD124" t="e">
        <f t="shared" si="50"/>
        <v>#N/A</v>
      </c>
      <c r="CE124" t="e">
        <f t="shared" si="51"/>
        <v>#N/A</v>
      </c>
      <c r="CG124" t="e">
        <v>#N/A</v>
      </c>
      <c r="CH124" t="e">
        <v>#N/A</v>
      </c>
      <c r="CL124" t="e">
        <f t="shared" si="52"/>
        <v>#N/A</v>
      </c>
      <c r="CM124" t="e">
        <v>#N/A</v>
      </c>
      <c r="CN124" t="e" cm="1">
        <f t="array" ref="CN124">IF(ISNUMBER(CM124),AF124/COUNT(IF(ISNUMBER(_xlfn.ANCHORARRAY($CM$11)),_xlfn.ANCHORARRAY($CM$11))),NA())</f>
        <v>#N/A</v>
      </c>
      <c r="CO124" t="e">
        <f t="shared" si="53"/>
        <v>#N/A</v>
      </c>
      <c r="CQ124" t="e">
        <f t="shared" si="54"/>
        <v>#N/A</v>
      </c>
      <c r="CR124" t="e">
        <f t="shared" si="55"/>
        <v>#N/A</v>
      </c>
      <c r="CT124" t="e">
        <v>#N/A</v>
      </c>
      <c r="CU124" t="e">
        <v>#N/A</v>
      </c>
      <c r="CY124">
        <f t="shared" si="56"/>
        <v>112384.54388</v>
      </c>
      <c r="CZ124" t="e">
        <v>#N/A</v>
      </c>
      <c r="DA124" t="e" cm="1">
        <f t="array" ref="DA124">IF(ISNUMBER(CZ124),AF124/COUNT(IF(ISNUMBER(_xlfn.ANCHORARRAY($CZ$11)),_xlfn.ANCHORARRAY($CZ$11))),NA())</f>
        <v>#N/A</v>
      </c>
      <c r="DB124" t="e">
        <f t="shared" si="57"/>
        <v>#N/A</v>
      </c>
      <c r="DD124" t="e">
        <f t="shared" si="58"/>
        <v>#N/A</v>
      </c>
      <c r="DE124" t="e">
        <f t="shared" si="59"/>
        <v>#N/A</v>
      </c>
      <c r="DG124" t="e">
        <v>#N/A</v>
      </c>
      <c r="DH124" t="e">
        <v>#N/A</v>
      </c>
    </row>
    <row r="125" spans="32:112">
      <c r="AF125">
        <v>115</v>
      </c>
      <c r="AG125" s="401">
        <f>'Lab test'!N118</f>
        <v>47.625</v>
      </c>
      <c r="AH125" s="401">
        <f>'Lab test'!M118</f>
        <v>0.150114</v>
      </c>
      <c r="AI125">
        <f>IF('Lab test'!O118&gt;0,'Lab test'!O118,NA())</f>
        <v>762</v>
      </c>
      <c r="AJ125">
        <f>'Lab test'!Q118</f>
        <v>317.25888324873097</v>
      </c>
      <c r="AK125" s="401">
        <f>IF('Lab test'!V118&gt;0,'Lab test'!V118,NA())</f>
        <v>112384.54388</v>
      </c>
      <c r="AL125" s="7">
        <f>IF(MAX('Lab test'!W118,'Lab test'!X118)&gt;0,MAX('Lab test'!W118,'Lab test'!X118),NA())</f>
        <v>199.94796112</v>
      </c>
      <c r="AM125" s="401">
        <f>IF('Lab test'!P118&gt;0,'Lab test'!P118,NA())</f>
        <v>0.89828280624756474</v>
      </c>
      <c r="AN125" s="401">
        <f>IF('Lab test'!AU118&gt;0,'Lab test'!AU118,NA())</f>
        <v>0.3032025024069207</v>
      </c>
      <c r="AO125" s="401">
        <f>IF('Lab test'!AT118&gt;0,'Lab test'!AT118,NA())</f>
        <v>0.28277322742828476</v>
      </c>
      <c r="AP125">
        <f t="shared" si="60"/>
        <v>1</v>
      </c>
      <c r="AQ125" s="401">
        <f>'Lab test'!AZ118</f>
        <v>1934</v>
      </c>
      <c r="AR125" t="str">
        <f>'Lab test'!AC118</f>
        <v>LTWb</v>
      </c>
      <c r="AS125" t="str">
        <f>'Lab test'!T118</f>
        <v>Brass</v>
      </c>
      <c r="AX125" t="e">
        <f t="shared" si="45"/>
        <v>#N/A</v>
      </c>
      <c r="AY125" t="e">
        <f t="shared" si="64"/>
        <v>#N/A</v>
      </c>
      <c r="AZ125" t="e">
        <f t="shared" si="61"/>
        <v>#N/A</v>
      </c>
      <c r="BA125" t="e">
        <f t="shared" si="61"/>
        <v>#N/A</v>
      </c>
      <c r="BB125" t="e">
        <f t="shared" si="61"/>
        <v>#N/A</v>
      </c>
      <c r="BC125" t="e">
        <f t="shared" si="61"/>
        <v>#N/A</v>
      </c>
      <c r="BD125" t="e">
        <f t="shared" si="61"/>
        <v>#N/A</v>
      </c>
      <c r="BG125" t="e">
        <f t="shared" si="46"/>
        <v>#N/A</v>
      </c>
      <c r="BH125" t="e">
        <f t="shared" si="65"/>
        <v>#N/A</v>
      </c>
      <c r="BI125" t="e">
        <f t="shared" si="62"/>
        <v>#N/A</v>
      </c>
      <c r="BJ125" t="e">
        <f t="shared" si="62"/>
        <v>#N/A</v>
      </c>
      <c r="BK125" t="e">
        <f t="shared" si="62"/>
        <v>#N/A</v>
      </c>
      <c r="BL125" t="e">
        <f t="shared" si="62"/>
        <v>#N/A</v>
      </c>
      <c r="BM125" t="e">
        <f t="shared" si="62"/>
        <v>#N/A</v>
      </c>
      <c r="BP125" t="e">
        <f t="shared" si="47"/>
        <v>#N/A</v>
      </c>
      <c r="BQ125">
        <f t="shared" si="66"/>
        <v>112384.54388</v>
      </c>
      <c r="BR125" t="e">
        <f t="shared" si="63"/>
        <v>#N/A</v>
      </c>
      <c r="BS125" t="e">
        <f t="shared" si="63"/>
        <v>#N/A</v>
      </c>
      <c r="BT125" t="e">
        <f t="shared" si="63"/>
        <v>#N/A</v>
      </c>
      <c r="BU125" t="e">
        <f t="shared" si="63"/>
        <v>#N/A</v>
      </c>
      <c r="BV125" t="e">
        <f t="shared" si="63"/>
        <v>#N/A</v>
      </c>
      <c r="BY125" t="e">
        <f t="shared" si="48"/>
        <v>#N/A</v>
      </c>
      <c r="BZ125" t="e">
        <v>#N/A</v>
      </c>
      <c r="CA125" t="e" cm="1">
        <f t="array" ref="CA125">IF(ISNUMBER(BZ125),AF125/COUNT(IF(ISNUMBER(_xlfn.ANCHORARRAY($BZ$11)),_xlfn.ANCHORARRAY($BZ$11))),NA())</f>
        <v>#N/A</v>
      </c>
      <c r="CB125" t="e">
        <f t="shared" si="49"/>
        <v>#N/A</v>
      </c>
      <c r="CD125" t="e">
        <f t="shared" si="50"/>
        <v>#N/A</v>
      </c>
      <c r="CE125" t="e">
        <f t="shared" si="51"/>
        <v>#N/A</v>
      </c>
      <c r="CG125" t="e">
        <v>#N/A</v>
      </c>
      <c r="CH125" t="e">
        <v>#N/A</v>
      </c>
      <c r="CL125" t="e">
        <f t="shared" si="52"/>
        <v>#N/A</v>
      </c>
      <c r="CM125" t="e">
        <v>#N/A</v>
      </c>
      <c r="CN125" t="e" cm="1">
        <f t="array" ref="CN125">IF(ISNUMBER(CM125),AF125/COUNT(IF(ISNUMBER(_xlfn.ANCHORARRAY($CM$11)),_xlfn.ANCHORARRAY($CM$11))),NA())</f>
        <v>#N/A</v>
      </c>
      <c r="CO125" t="e">
        <f t="shared" si="53"/>
        <v>#N/A</v>
      </c>
      <c r="CQ125" t="e">
        <f t="shared" si="54"/>
        <v>#N/A</v>
      </c>
      <c r="CR125" t="e">
        <f t="shared" si="55"/>
        <v>#N/A</v>
      </c>
      <c r="CT125" t="e">
        <v>#N/A</v>
      </c>
      <c r="CU125" t="e">
        <v>#N/A</v>
      </c>
      <c r="CY125">
        <f t="shared" si="56"/>
        <v>112384.54388</v>
      </c>
      <c r="CZ125" t="e">
        <v>#N/A</v>
      </c>
      <c r="DA125" t="e" cm="1">
        <f t="array" ref="DA125">IF(ISNUMBER(CZ125),AF125/COUNT(IF(ISNUMBER(_xlfn.ANCHORARRAY($CZ$11)),_xlfn.ANCHORARRAY($CZ$11))),NA())</f>
        <v>#N/A</v>
      </c>
      <c r="DB125" t="e">
        <f t="shared" si="57"/>
        <v>#N/A</v>
      </c>
      <c r="DD125" t="e">
        <f t="shared" si="58"/>
        <v>#N/A</v>
      </c>
      <c r="DE125" t="e">
        <f t="shared" si="59"/>
        <v>#N/A</v>
      </c>
      <c r="DG125" t="e">
        <v>#N/A</v>
      </c>
      <c r="DH125" t="e">
        <v>#N/A</v>
      </c>
    </row>
    <row r="126" spans="32:112">
      <c r="AF126">
        <v>116</v>
      </c>
      <c r="AG126" s="401">
        <f>'Lab test'!N119</f>
        <v>23.939499999999999</v>
      </c>
      <c r="AH126" s="401">
        <f>'Lab test'!M119</f>
        <v>0.151638</v>
      </c>
      <c r="AI126">
        <f>IF('Lab test'!O119&gt;0,'Lab test'!O119,NA())</f>
        <v>762</v>
      </c>
      <c r="AJ126">
        <f>'Lab test'!Q119</f>
        <v>157.87269681742043</v>
      </c>
      <c r="AK126" s="401">
        <f>IF('Lab test'!V119&gt;0,'Lab test'!V119,NA())</f>
        <v>112384.54388</v>
      </c>
      <c r="AL126" s="7">
        <f>IF(MAX('Lab test'!W119,'Lab test'!X119)&gt;0,MAX('Lab test'!W119,'Lab test'!X119),NA())</f>
        <v>199.94796112</v>
      </c>
      <c r="AM126" s="401">
        <f>IF('Lab test'!P119&gt;0,'Lab test'!P119,NA())</f>
        <v>2.5332985933106458</v>
      </c>
      <c r="AN126" s="401">
        <f>IF('Lab test'!AU119&gt;0,'Lab test'!AU119,NA())</f>
        <v>0.82739001284851976</v>
      </c>
      <c r="AO126" s="401">
        <f>IF('Lab test'!AT119&gt;0,'Lab test'!AT119,NA())</f>
        <v>0.3839803660553287</v>
      </c>
      <c r="AP126">
        <f t="shared" si="60"/>
        <v>1</v>
      </c>
      <c r="AQ126" s="401">
        <f>'Lab test'!AZ119</f>
        <v>1934</v>
      </c>
      <c r="AR126" t="str">
        <f>'Lab test'!AC119</f>
        <v>LTWb</v>
      </c>
      <c r="AS126" t="str">
        <f>'Lab test'!T119</f>
        <v>Brass</v>
      </c>
      <c r="AX126" t="e">
        <f t="shared" si="45"/>
        <v>#N/A</v>
      </c>
      <c r="AY126" t="e">
        <f t="shared" si="64"/>
        <v>#N/A</v>
      </c>
      <c r="AZ126" t="e">
        <f t="shared" si="61"/>
        <v>#N/A</v>
      </c>
      <c r="BA126" t="e">
        <f t="shared" si="61"/>
        <v>#N/A</v>
      </c>
      <c r="BB126" t="e">
        <f t="shared" si="61"/>
        <v>#N/A</v>
      </c>
      <c r="BC126" t="e">
        <f t="shared" si="61"/>
        <v>#N/A</v>
      </c>
      <c r="BD126" t="e">
        <f t="shared" si="61"/>
        <v>#N/A</v>
      </c>
      <c r="BG126" t="e">
        <f t="shared" si="46"/>
        <v>#N/A</v>
      </c>
      <c r="BH126" t="e">
        <f t="shared" si="65"/>
        <v>#N/A</v>
      </c>
      <c r="BI126" t="e">
        <f t="shared" si="62"/>
        <v>#N/A</v>
      </c>
      <c r="BJ126" t="e">
        <f t="shared" si="62"/>
        <v>#N/A</v>
      </c>
      <c r="BK126" t="e">
        <f t="shared" si="62"/>
        <v>#N/A</v>
      </c>
      <c r="BL126" t="e">
        <f t="shared" si="62"/>
        <v>#N/A</v>
      </c>
      <c r="BM126" t="e">
        <f t="shared" si="62"/>
        <v>#N/A</v>
      </c>
      <c r="BP126">
        <f t="shared" si="47"/>
        <v>112384.54388</v>
      </c>
      <c r="BQ126" t="e">
        <f t="shared" si="66"/>
        <v>#N/A</v>
      </c>
      <c r="BR126" t="e">
        <f t="shared" si="63"/>
        <v>#N/A</v>
      </c>
      <c r="BS126" t="e">
        <f t="shared" si="63"/>
        <v>#N/A</v>
      </c>
      <c r="BT126" t="e">
        <f t="shared" si="63"/>
        <v>#N/A</v>
      </c>
      <c r="BU126" t="e">
        <f t="shared" si="63"/>
        <v>#N/A</v>
      </c>
      <c r="BV126" t="e">
        <f t="shared" si="63"/>
        <v>#N/A</v>
      </c>
      <c r="BY126" t="e">
        <f t="shared" si="48"/>
        <v>#N/A</v>
      </c>
      <c r="BZ126" t="e">
        <v>#N/A</v>
      </c>
      <c r="CA126" t="e" cm="1">
        <f t="array" ref="CA126">IF(ISNUMBER(BZ126),AF126/COUNT(IF(ISNUMBER(_xlfn.ANCHORARRAY($BZ$11)),_xlfn.ANCHORARRAY($BZ$11))),NA())</f>
        <v>#N/A</v>
      </c>
      <c r="CB126" t="e">
        <f t="shared" si="49"/>
        <v>#N/A</v>
      </c>
      <c r="CD126" t="e">
        <f t="shared" si="50"/>
        <v>#N/A</v>
      </c>
      <c r="CE126" t="e">
        <f t="shared" si="51"/>
        <v>#N/A</v>
      </c>
      <c r="CG126" t="e">
        <v>#N/A</v>
      </c>
      <c r="CH126" t="e">
        <v>#N/A</v>
      </c>
      <c r="CL126" t="e">
        <f t="shared" si="52"/>
        <v>#N/A</v>
      </c>
      <c r="CM126" t="e">
        <v>#N/A</v>
      </c>
      <c r="CN126" t="e" cm="1">
        <f t="array" ref="CN126">IF(ISNUMBER(CM126),AF126/COUNT(IF(ISNUMBER(_xlfn.ANCHORARRAY($CM$11)),_xlfn.ANCHORARRAY($CM$11))),NA())</f>
        <v>#N/A</v>
      </c>
      <c r="CO126" t="e">
        <f t="shared" si="53"/>
        <v>#N/A</v>
      </c>
      <c r="CQ126" t="e">
        <f t="shared" si="54"/>
        <v>#N/A</v>
      </c>
      <c r="CR126" t="e">
        <f t="shared" si="55"/>
        <v>#N/A</v>
      </c>
      <c r="CT126" t="e">
        <v>#N/A</v>
      </c>
      <c r="CU126" t="e">
        <v>#N/A</v>
      </c>
      <c r="CY126">
        <f t="shared" si="56"/>
        <v>112384.54388</v>
      </c>
      <c r="CZ126" t="e">
        <v>#N/A</v>
      </c>
      <c r="DA126" t="e" cm="1">
        <f t="array" ref="DA126">IF(ISNUMBER(CZ126),AF126/COUNT(IF(ISNUMBER(_xlfn.ANCHORARRAY($CZ$11)),_xlfn.ANCHORARRAY($CZ$11))),NA())</f>
        <v>#N/A</v>
      </c>
      <c r="DB126" t="e">
        <f t="shared" si="57"/>
        <v>#N/A</v>
      </c>
      <c r="DD126" t="e">
        <f t="shared" si="58"/>
        <v>#N/A</v>
      </c>
      <c r="DE126" t="e">
        <f t="shared" si="59"/>
        <v>#N/A</v>
      </c>
      <c r="DG126" t="e">
        <v>#N/A</v>
      </c>
      <c r="DH126" t="e">
        <v>#N/A</v>
      </c>
    </row>
    <row r="127" spans="32:112">
      <c r="AF127">
        <v>117</v>
      </c>
      <c r="AG127" s="401">
        <f>'Lab test'!N120</f>
        <v>47.625</v>
      </c>
      <c r="AH127" s="401">
        <f>'Lab test'!M120</f>
        <v>7.4929999999999997E-2</v>
      </c>
      <c r="AI127">
        <f>IF('Lab test'!O120&gt;0,'Lab test'!O120,NA())</f>
        <v>152.39999999999998</v>
      </c>
      <c r="AJ127">
        <f>'Lab test'!Q120</f>
        <v>635.59322033898309</v>
      </c>
      <c r="AK127" s="401">
        <f>IF('Lab test'!V120&gt;0,'Lab test'!V120,NA())</f>
        <v>108247.689296</v>
      </c>
      <c r="AL127" s="7">
        <f>IF(MAX('Lab test'!W120,'Lab test'!X120)&gt;0,MAX('Lab test'!W120,'Lab test'!X120),NA())</f>
        <v>199.94796112</v>
      </c>
      <c r="AM127" s="401">
        <f>IF('Lab test'!P120&gt;0,'Lab test'!P120,NA())</f>
        <v>0.12692885146149133</v>
      </c>
      <c r="AN127" s="401">
        <f>IF('Lab test'!AU120&gt;0,'Lab test'!AU120,NA())</f>
        <v>0.12406715888618183</v>
      </c>
      <c r="AO127" s="401">
        <f>IF('Lab test'!AT120&gt;0,'Lab test'!AT120,NA())</f>
        <v>0.24066656654645777</v>
      </c>
      <c r="AP127">
        <f t="shared" si="60"/>
        <v>1</v>
      </c>
      <c r="AQ127" s="401">
        <f>'Lab test'!AZ120</f>
        <v>1934</v>
      </c>
      <c r="AR127" t="str">
        <f>'Lab test'!AC120</f>
        <v>Miscellaneous</v>
      </c>
      <c r="AS127" t="str">
        <f>'Lab test'!T120</f>
        <v>Brass</v>
      </c>
      <c r="AX127" t="e">
        <f t="shared" si="45"/>
        <v>#N/A</v>
      </c>
      <c r="AY127" t="e">
        <f t="shared" si="64"/>
        <v>#N/A</v>
      </c>
      <c r="AZ127" t="e">
        <f t="shared" si="61"/>
        <v>#N/A</v>
      </c>
      <c r="BA127" t="e">
        <f t="shared" si="61"/>
        <v>#N/A</v>
      </c>
      <c r="BB127" t="e">
        <f t="shared" si="61"/>
        <v>#N/A</v>
      </c>
      <c r="BC127" t="e">
        <f t="shared" si="61"/>
        <v>#N/A</v>
      </c>
      <c r="BD127" t="e">
        <f t="shared" si="61"/>
        <v>#N/A</v>
      </c>
      <c r="BG127" t="e">
        <f t="shared" si="46"/>
        <v>#N/A</v>
      </c>
      <c r="BH127" t="e">
        <f t="shared" si="65"/>
        <v>#N/A</v>
      </c>
      <c r="BI127" t="e">
        <f t="shared" si="62"/>
        <v>#N/A</v>
      </c>
      <c r="BJ127" t="e">
        <f t="shared" si="62"/>
        <v>#N/A</v>
      </c>
      <c r="BK127" t="e">
        <f t="shared" si="62"/>
        <v>#N/A</v>
      </c>
      <c r="BL127" t="e">
        <f t="shared" si="62"/>
        <v>#N/A</v>
      </c>
      <c r="BM127" t="e">
        <f t="shared" si="62"/>
        <v>#N/A</v>
      </c>
      <c r="BP127" t="e">
        <f t="shared" si="47"/>
        <v>#N/A</v>
      </c>
      <c r="BQ127" t="e">
        <f t="shared" si="66"/>
        <v>#N/A</v>
      </c>
      <c r="BR127" t="e">
        <f t="shared" si="63"/>
        <v>#N/A</v>
      </c>
      <c r="BS127" t="e">
        <f t="shared" si="63"/>
        <v>#N/A</v>
      </c>
      <c r="BT127" t="e">
        <f t="shared" si="63"/>
        <v>#N/A</v>
      </c>
      <c r="BU127" t="e">
        <f t="shared" si="63"/>
        <v>#N/A</v>
      </c>
      <c r="BV127" t="e">
        <f t="shared" si="63"/>
        <v>#N/A</v>
      </c>
      <c r="BY127" t="e">
        <f t="shared" si="48"/>
        <v>#N/A</v>
      </c>
      <c r="BZ127" t="e">
        <v>#N/A</v>
      </c>
      <c r="CA127" t="e" cm="1">
        <f t="array" ref="CA127">IF(ISNUMBER(BZ127),AF127/COUNT(IF(ISNUMBER(_xlfn.ANCHORARRAY($BZ$11)),_xlfn.ANCHORARRAY($BZ$11))),NA())</f>
        <v>#N/A</v>
      </c>
      <c r="CB127" t="e">
        <f t="shared" si="49"/>
        <v>#N/A</v>
      </c>
      <c r="CD127" t="e">
        <f t="shared" si="50"/>
        <v>#N/A</v>
      </c>
      <c r="CE127" t="e">
        <f t="shared" si="51"/>
        <v>#N/A</v>
      </c>
      <c r="CG127" t="e">
        <v>#N/A</v>
      </c>
      <c r="CH127" t="e">
        <v>#N/A</v>
      </c>
      <c r="CL127" t="e">
        <f t="shared" si="52"/>
        <v>#N/A</v>
      </c>
      <c r="CM127" t="e">
        <v>#N/A</v>
      </c>
      <c r="CN127" t="e" cm="1">
        <f t="array" ref="CN127">IF(ISNUMBER(CM127),AF127/COUNT(IF(ISNUMBER(_xlfn.ANCHORARRAY($CM$11)),_xlfn.ANCHORARRAY($CM$11))),NA())</f>
        <v>#N/A</v>
      </c>
      <c r="CO127" t="e">
        <f t="shared" si="53"/>
        <v>#N/A</v>
      </c>
      <c r="CQ127" t="e">
        <f t="shared" si="54"/>
        <v>#N/A</v>
      </c>
      <c r="CR127" t="e">
        <f t="shared" si="55"/>
        <v>#N/A</v>
      </c>
      <c r="CT127" t="e">
        <v>#N/A</v>
      </c>
      <c r="CU127" t="e">
        <v>#N/A</v>
      </c>
      <c r="CY127" t="e">
        <f t="shared" si="56"/>
        <v>#N/A</v>
      </c>
      <c r="CZ127" t="e">
        <v>#N/A</v>
      </c>
      <c r="DA127" t="e" cm="1">
        <f t="array" ref="DA127">IF(ISNUMBER(CZ127),AF127/COUNT(IF(ISNUMBER(_xlfn.ANCHORARRAY($CZ$11)),_xlfn.ANCHORARRAY($CZ$11))),NA())</f>
        <v>#N/A</v>
      </c>
      <c r="DB127" t="e">
        <f t="shared" si="57"/>
        <v>#N/A</v>
      </c>
      <c r="DD127" t="e">
        <f t="shared" si="58"/>
        <v>#N/A</v>
      </c>
      <c r="DE127" t="e">
        <f t="shared" si="59"/>
        <v>#N/A</v>
      </c>
      <c r="DG127" t="e">
        <v>#N/A</v>
      </c>
      <c r="DH127" t="e">
        <v>#N/A</v>
      </c>
    </row>
    <row r="128" spans="32:112">
      <c r="AF128">
        <v>118</v>
      </c>
      <c r="AG128" s="401">
        <f>'Lab test'!N121</f>
        <v>47.625</v>
      </c>
      <c r="AH128" s="401">
        <f>'Lab test'!M121</f>
        <v>7.4929999999999997E-2</v>
      </c>
      <c r="AI128">
        <f>IF('Lab test'!O121&gt;0,'Lab test'!O121,NA())</f>
        <v>152.39999999999998</v>
      </c>
      <c r="AJ128">
        <f>'Lab test'!Q121</f>
        <v>635.59322033898309</v>
      </c>
      <c r="AK128" s="401">
        <f>IF('Lab test'!V121&gt;0,'Lab test'!V121,NA())</f>
        <v>108247.689296</v>
      </c>
      <c r="AL128" s="7">
        <f>IF(MAX('Lab test'!W121,'Lab test'!X121)&gt;0,MAX('Lab test'!W121,'Lab test'!X121),NA())</f>
        <v>199.94796112</v>
      </c>
      <c r="AM128" s="401">
        <f>IF('Lab test'!P121&gt;0,'Lab test'!P121,NA())</f>
        <v>0.12692885146149133</v>
      </c>
      <c r="AN128" s="401">
        <f>IF('Lab test'!AU121&gt;0,'Lab test'!AU121,NA())</f>
        <v>0.12108954707291349</v>
      </c>
      <c r="AO128" s="401">
        <f>IF('Lab test'!AT121&gt;0,'Lab test'!AT121,NA())</f>
        <v>0.23489056894934279</v>
      </c>
      <c r="AP128">
        <f t="shared" si="60"/>
        <v>1</v>
      </c>
      <c r="AQ128" s="401">
        <f>'Lab test'!AZ121</f>
        <v>1934</v>
      </c>
      <c r="AR128" t="str">
        <f>'Lab test'!AC121</f>
        <v>Miscellaneous</v>
      </c>
      <c r="AS128" t="str">
        <f>'Lab test'!T121</f>
        <v>Brass</v>
      </c>
      <c r="AX128" t="e">
        <f t="shared" si="45"/>
        <v>#N/A</v>
      </c>
      <c r="AY128" t="e">
        <f t="shared" si="64"/>
        <v>#N/A</v>
      </c>
      <c r="AZ128" t="e">
        <f t="shared" si="61"/>
        <v>#N/A</v>
      </c>
      <c r="BA128" t="e">
        <f t="shared" si="61"/>
        <v>#N/A</v>
      </c>
      <c r="BB128" t="e">
        <f t="shared" si="61"/>
        <v>#N/A</v>
      </c>
      <c r="BC128" t="e">
        <f t="shared" si="61"/>
        <v>#N/A</v>
      </c>
      <c r="BD128" t="e">
        <f t="shared" si="61"/>
        <v>#N/A</v>
      </c>
      <c r="BG128" t="e">
        <f t="shared" si="46"/>
        <v>#N/A</v>
      </c>
      <c r="BH128" t="e">
        <f t="shared" si="65"/>
        <v>#N/A</v>
      </c>
      <c r="BI128" t="e">
        <f t="shared" si="62"/>
        <v>#N/A</v>
      </c>
      <c r="BJ128" t="e">
        <f t="shared" si="62"/>
        <v>#N/A</v>
      </c>
      <c r="BK128" t="e">
        <f t="shared" si="62"/>
        <v>#N/A</v>
      </c>
      <c r="BL128" t="e">
        <f t="shared" si="62"/>
        <v>#N/A</v>
      </c>
      <c r="BM128" t="e">
        <f t="shared" si="62"/>
        <v>#N/A</v>
      </c>
      <c r="BP128" t="e">
        <f t="shared" si="47"/>
        <v>#N/A</v>
      </c>
      <c r="BQ128" t="e">
        <f t="shared" si="66"/>
        <v>#N/A</v>
      </c>
      <c r="BR128" t="e">
        <f t="shared" si="63"/>
        <v>#N/A</v>
      </c>
      <c r="BS128" t="e">
        <f t="shared" si="63"/>
        <v>#N/A</v>
      </c>
      <c r="BT128" t="e">
        <f t="shared" si="63"/>
        <v>#N/A</v>
      </c>
      <c r="BU128" t="e">
        <f t="shared" si="63"/>
        <v>#N/A</v>
      </c>
      <c r="BV128" t="e">
        <f t="shared" si="63"/>
        <v>#N/A</v>
      </c>
      <c r="BY128" t="e">
        <f t="shared" si="48"/>
        <v>#N/A</v>
      </c>
      <c r="BZ128" t="e">
        <v>#N/A</v>
      </c>
      <c r="CA128" t="e" cm="1">
        <f t="array" ref="CA128">IF(ISNUMBER(BZ128),AF128/COUNT(IF(ISNUMBER(_xlfn.ANCHORARRAY($BZ$11)),_xlfn.ANCHORARRAY($BZ$11))),NA())</f>
        <v>#N/A</v>
      </c>
      <c r="CB128" t="e">
        <f t="shared" si="49"/>
        <v>#N/A</v>
      </c>
      <c r="CD128" t="e">
        <f t="shared" si="50"/>
        <v>#N/A</v>
      </c>
      <c r="CE128" t="e">
        <f t="shared" si="51"/>
        <v>#N/A</v>
      </c>
      <c r="CG128" t="e">
        <v>#N/A</v>
      </c>
      <c r="CH128" t="e">
        <v>#N/A</v>
      </c>
      <c r="CL128" t="e">
        <f t="shared" si="52"/>
        <v>#N/A</v>
      </c>
      <c r="CM128" t="e">
        <v>#N/A</v>
      </c>
      <c r="CN128" t="e" cm="1">
        <f t="array" ref="CN128">IF(ISNUMBER(CM128),AF128/COUNT(IF(ISNUMBER(_xlfn.ANCHORARRAY($CM$11)),_xlfn.ANCHORARRAY($CM$11))),NA())</f>
        <v>#N/A</v>
      </c>
      <c r="CO128" t="e">
        <f t="shared" si="53"/>
        <v>#N/A</v>
      </c>
      <c r="CQ128" t="e">
        <f t="shared" si="54"/>
        <v>#N/A</v>
      </c>
      <c r="CR128" t="e">
        <f t="shared" si="55"/>
        <v>#N/A</v>
      </c>
      <c r="CT128" t="e">
        <v>#N/A</v>
      </c>
      <c r="CU128" t="e">
        <v>#N/A</v>
      </c>
      <c r="CY128" t="e">
        <f t="shared" si="56"/>
        <v>#N/A</v>
      </c>
      <c r="CZ128" t="e">
        <v>#N/A</v>
      </c>
      <c r="DA128" t="e" cm="1">
        <f t="array" ref="DA128">IF(ISNUMBER(CZ128),AF128/COUNT(IF(ISNUMBER(_xlfn.ANCHORARRAY($CZ$11)),_xlfn.ANCHORARRAY($CZ$11))),NA())</f>
        <v>#N/A</v>
      </c>
      <c r="DB128" t="e">
        <f t="shared" si="57"/>
        <v>#N/A</v>
      </c>
      <c r="DD128" t="e">
        <f t="shared" si="58"/>
        <v>#N/A</v>
      </c>
      <c r="DE128" t="e">
        <f t="shared" si="59"/>
        <v>#N/A</v>
      </c>
      <c r="DG128" t="e">
        <v>#N/A</v>
      </c>
      <c r="DH128" t="e">
        <v>#N/A</v>
      </c>
    </row>
    <row r="129" spans="32:112">
      <c r="AF129">
        <v>119</v>
      </c>
      <c r="AG129" s="401">
        <f>'Lab test'!N122</f>
        <v>47.625</v>
      </c>
      <c r="AH129" s="401">
        <f>'Lab test'!M122</f>
        <v>7.4929999999999997E-2</v>
      </c>
      <c r="AI129">
        <f>IF('Lab test'!O122&gt;0,'Lab test'!O122,NA())</f>
        <v>152.39999999999998</v>
      </c>
      <c r="AJ129">
        <f>'Lab test'!Q122</f>
        <v>635.59322033898309</v>
      </c>
      <c r="AK129" s="401">
        <f>IF('Lab test'!V122&gt;0,'Lab test'!V122,NA())</f>
        <v>108247.689296</v>
      </c>
      <c r="AL129" s="7">
        <f>IF(MAX('Lab test'!W122,'Lab test'!X122)&gt;0,MAX('Lab test'!W122,'Lab test'!X122),NA())</f>
        <v>199.94796112</v>
      </c>
      <c r="AM129" s="401">
        <f>IF('Lab test'!P122&gt;0,'Lab test'!P122,NA())</f>
        <v>0.12692885146149133</v>
      </c>
      <c r="AN129" s="401">
        <f>IF('Lab test'!AU122&gt;0,'Lab test'!AU122,NA())</f>
        <v>0.15582835156104441</v>
      </c>
      <c r="AO129" s="401">
        <f>IF('Lab test'!AT122&gt;0,'Lab test'!AT122,NA())</f>
        <v>0.30227720758235099</v>
      </c>
      <c r="AP129">
        <f t="shared" si="60"/>
        <v>1</v>
      </c>
      <c r="AQ129" s="401">
        <f>'Lab test'!AZ122</f>
        <v>1934</v>
      </c>
      <c r="AR129" t="str">
        <f>'Lab test'!AC122</f>
        <v>Miscellaneous</v>
      </c>
      <c r="AS129" t="str">
        <f>'Lab test'!T122</f>
        <v>Brass</v>
      </c>
      <c r="AX129" t="e">
        <f t="shared" si="45"/>
        <v>#N/A</v>
      </c>
      <c r="AY129" t="e">
        <f t="shared" si="64"/>
        <v>#N/A</v>
      </c>
      <c r="AZ129" t="e">
        <f t="shared" si="61"/>
        <v>#N/A</v>
      </c>
      <c r="BA129" t="e">
        <f t="shared" si="61"/>
        <v>#N/A</v>
      </c>
      <c r="BB129" t="e">
        <f t="shared" si="61"/>
        <v>#N/A</v>
      </c>
      <c r="BC129" t="e">
        <f t="shared" si="61"/>
        <v>#N/A</v>
      </c>
      <c r="BD129" t="e">
        <f t="shared" si="61"/>
        <v>#N/A</v>
      </c>
      <c r="BG129" t="e">
        <f t="shared" si="46"/>
        <v>#N/A</v>
      </c>
      <c r="BH129" t="e">
        <f t="shared" si="65"/>
        <v>#N/A</v>
      </c>
      <c r="BI129" t="e">
        <f t="shared" si="62"/>
        <v>#N/A</v>
      </c>
      <c r="BJ129" t="e">
        <f t="shared" si="62"/>
        <v>#N/A</v>
      </c>
      <c r="BK129" t="e">
        <f t="shared" si="62"/>
        <v>#N/A</v>
      </c>
      <c r="BL129" t="e">
        <f t="shared" si="62"/>
        <v>#N/A</v>
      </c>
      <c r="BM129" t="e">
        <f t="shared" si="62"/>
        <v>#N/A</v>
      </c>
      <c r="BP129" t="e">
        <f t="shared" si="47"/>
        <v>#N/A</v>
      </c>
      <c r="BQ129" t="e">
        <f t="shared" si="66"/>
        <v>#N/A</v>
      </c>
      <c r="BR129" t="e">
        <f t="shared" si="63"/>
        <v>#N/A</v>
      </c>
      <c r="BS129" t="e">
        <f t="shared" si="63"/>
        <v>#N/A</v>
      </c>
      <c r="BT129" t="e">
        <f t="shared" si="63"/>
        <v>#N/A</v>
      </c>
      <c r="BU129" t="e">
        <f t="shared" si="63"/>
        <v>#N/A</v>
      </c>
      <c r="BV129" t="e">
        <f t="shared" si="63"/>
        <v>#N/A</v>
      </c>
      <c r="BY129" t="e">
        <f t="shared" si="48"/>
        <v>#N/A</v>
      </c>
      <c r="BZ129" t="e">
        <v>#N/A</v>
      </c>
      <c r="CA129" t="e" cm="1">
        <f t="array" ref="CA129">IF(ISNUMBER(BZ129),AF129/COUNT(IF(ISNUMBER(_xlfn.ANCHORARRAY($BZ$11)),_xlfn.ANCHORARRAY($BZ$11))),NA())</f>
        <v>#N/A</v>
      </c>
      <c r="CB129" t="e">
        <f t="shared" si="49"/>
        <v>#N/A</v>
      </c>
      <c r="CD129" t="e">
        <f t="shared" si="50"/>
        <v>#N/A</v>
      </c>
      <c r="CE129" t="e">
        <f t="shared" si="51"/>
        <v>#N/A</v>
      </c>
      <c r="CG129" t="e">
        <v>#N/A</v>
      </c>
      <c r="CH129" t="e">
        <v>#N/A</v>
      </c>
      <c r="CL129" t="e">
        <f t="shared" si="52"/>
        <v>#N/A</v>
      </c>
      <c r="CM129" t="e">
        <v>#N/A</v>
      </c>
      <c r="CN129" t="e" cm="1">
        <f t="array" ref="CN129">IF(ISNUMBER(CM129),AF129/COUNT(IF(ISNUMBER(_xlfn.ANCHORARRAY($CM$11)),_xlfn.ANCHORARRAY($CM$11))),NA())</f>
        <v>#N/A</v>
      </c>
      <c r="CO129" t="e">
        <f t="shared" si="53"/>
        <v>#N/A</v>
      </c>
      <c r="CQ129" t="e">
        <f t="shared" si="54"/>
        <v>#N/A</v>
      </c>
      <c r="CR129" t="e">
        <f t="shared" si="55"/>
        <v>#N/A</v>
      </c>
      <c r="CT129" t="e">
        <v>#N/A</v>
      </c>
      <c r="CU129" t="e">
        <v>#N/A</v>
      </c>
      <c r="CY129" t="e">
        <f t="shared" si="56"/>
        <v>#N/A</v>
      </c>
      <c r="CZ129" t="e">
        <v>#N/A</v>
      </c>
      <c r="DA129" t="e" cm="1">
        <f t="array" ref="DA129">IF(ISNUMBER(CZ129),AF129/COUNT(IF(ISNUMBER(_xlfn.ANCHORARRAY($CZ$11)),_xlfn.ANCHORARRAY($CZ$11))),NA())</f>
        <v>#N/A</v>
      </c>
      <c r="DB129" t="e">
        <f t="shared" si="57"/>
        <v>#N/A</v>
      </c>
      <c r="DD129" t="e">
        <f t="shared" si="58"/>
        <v>#N/A</v>
      </c>
      <c r="DE129" t="e">
        <f t="shared" si="59"/>
        <v>#N/A</v>
      </c>
      <c r="DG129" t="e">
        <v>#N/A</v>
      </c>
      <c r="DH129" t="e">
        <v>#N/A</v>
      </c>
    </row>
    <row r="130" spans="32:112">
      <c r="AF130">
        <v>120</v>
      </c>
      <c r="AG130" s="401">
        <f>'Lab test'!N123</f>
        <v>47.625</v>
      </c>
      <c r="AH130" s="401">
        <f>'Lab test'!M123</f>
        <v>7.4929999999999997E-2</v>
      </c>
      <c r="AI130">
        <f>IF('Lab test'!O123&gt;0,'Lab test'!O123,NA())</f>
        <v>152.39999999999998</v>
      </c>
      <c r="AJ130">
        <f>'Lab test'!Q123</f>
        <v>635.59322033898309</v>
      </c>
      <c r="AK130" s="401">
        <f>IF('Lab test'!V123&gt;0,'Lab test'!V123,NA())</f>
        <v>108247.689296</v>
      </c>
      <c r="AL130" s="7">
        <f>IF(MAX('Lab test'!W123,'Lab test'!X123)&gt;0,MAX('Lab test'!W123,'Lab test'!X123),NA())</f>
        <v>199.94796112</v>
      </c>
      <c r="AM130" s="401">
        <f>IF('Lab test'!P123&gt;0,'Lab test'!P123,NA())</f>
        <v>0.12692885146149133</v>
      </c>
      <c r="AN130" s="401">
        <f>IF('Lab test'!AU123&gt;0,'Lab test'!AU123,NA())</f>
        <v>0.14094029249470261</v>
      </c>
      <c r="AO130" s="401">
        <f>IF('Lab test'!AT123&gt;0,'Lab test'!AT123,NA())</f>
        <v>0.27339721959677615</v>
      </c>
      <c r="AP130">
        <f t="shared" si="60"/>
        <v>1</v>
      </c>
      <c r="AQ130" s="401">
        <f>'Lab test'!AZ123</f>
        <v>1934</v>
      </c>
      <c r="AR130" t="str">
        <f>'Lab test'!AC123</f>
        <v>Miscellaneous</v>
      </c>
      <c r="AS130" t="str">
        <f>'Lab test'!T123</f>
        <v>Brass</v>
      </c>
      <c r="AX130" t="e">
        <f t="shared" si="45"/>
        <v>#N/A</v>
      </c>
      <c r="AY130" t="e">
        <f t="shared" si="64"/>
        <v>#N/A</v>
      </c>
      <c r="AZ130" t="e">
        <f t="shared" si="61"/>
        <v>#N/A</v>
      </c>
      <c r="BA130" t="e">
        <f t="shared" si="61"/>
        <v>#N/A</v>
      </c>
      <c r="BB130" t="e">
        <f t="shared" si="61"/>
        <v>#N/A</v>
      </c>
      <c r="BC130" t="e">
        <f t="shared" si="61"/>
        <v>#N/A</v>
      </c>
      <c r="BD130" t="e">
        <f t="shared" si="61"/>
        <v>#N/A</v>
      </c>
      <c r="BG130" t="e">
        <f t="shared" si="46"/>
        <v>#N/A</v>
      </c>
      <c r="BH130" t="e">
        <f t="shared" si="65"/>
        <v>#N/A</v>
      </c>
      <c r="BI130" t="e">
        <f t="shared" si="62"/>
        <v>#N/A</v>
      </c>
      <c r="BJ130" t="e">
        <f t="shared" si="62"/>
        <v>#N/A</v>
      </c>
      <c r="BK130" t="e">
        <f t="shared" si="62"/>
        <v>#N/A</v>
      </c>
      <c r="BL130" t="e">
        <f t="shared" si="62"/>
        <v>#N/A</v>
      </c>
      <c r="BM130" t="e">
        <f t="shared" si="62"/>
        <v>#N/A</v>
      </c>
      <c r="BP130" t="e">
        <f t="shared" si="47"/>
        <v>#N/A</v>
      </c>
      <c r="BQ130" t="e">
        <f t="shared" si="66"/>
        <v>#N/A</v>
      </c>
      <c r="BR130" t="e">
        <f t="shared" si="63"/>
        <v>#N/A</v>
      </c>
      <c r="BS130" t="e">
        <f t="shared" si="63"/>
        <v>#N/A</v>
      </c>
      <c r="BT130" t="e">
        <f t="shared" si="63"/>
        <v>#N/A</v>
      </c>
      <c r="BU130" t="e">
        <f t="shared" si="63"/>
        <v>#N/A</v>
      </c>
      <c r="BV130" t="e">
        <f t="shared" si="63"/>
        <v>#N/A</v>
      </c>
      <c r="BY130" t="e">
        <f t="shared" si="48"/>
        <v>#N/A</v>
      </c>
      <c r="BZ130" t="e">
        <v>#N/A</v>
      </c>
      <c r="CA130" t="e" cm="1">
        <f t="array" ref="CA130">IF(ISNUMBER(BZ130),AF130/COUNT(IF(ISNUMBER(_xlfn.ANCHORARRAY($BZ$11)),_xlfn.ANCHORARRAY($BZ$11))),NA())</f>
        <v>#N/A</v>
      </c>
      <c r="CB130" t="e">
        <f t="shared" si="49"/>
        <v>#N/A</v>
      </c>
      <c r="CD130" t="e">
        <f t="shared" si="50"/>
        <v>#N/A</v>
      </c>
      <c r="CE130" t="e">
        <f t="shared" si="51"/>
        <v>#N/A</v>
      </c>
      <c r="CG130" t="e">
        <v>#N/A</v>
      </c>
      <c r="CH130" t="e">
        <v>#N/A</v>
      </c>
      <c r="CL130" t="e">
        <f t="shared" si="52"/>
        <v>#N/A</v>
      </c>
      <c r="CM130" t="e">
        <v>#N/A</v>
      </c>
      <c r="CN130" t="e" cm="1">
        <f t="array" ref="CN130">IF(ISNUMBER(CM130),AF130/COUNT(IF(ISNUMBER(_xlfn.ANCHORARRAY($CM$11)),_xlfn.ANCHORARRAY($CM$11))),NA())</f>
        <v>#N/A</v>
      </c>
      <c r="CO130" t="e">
        <f t="shared" si="53"/>
        <v>#N/A</v>
      </c>
      <c r="CQ130" t="e">
        <f t="shared" si="54"/>
        <v>#N/A</v>
      </c>
      <c r="CR130" t="e">
        <f t="shared" si="55"/>
        <v>#N/A</v>
      </c>
      <c r="CT130" t="e">
        <v>#N/A</v>
      </c>
      <c r="CU130" t="e">
        <v>#N/A</v>
      </c>
      <c r="CY130" t="e">
        <f t="shared" si="56"/>
        <v>#N/A</v>
      </c>
      <c r="CZ130" t="e">
        <v>#N/A</v>
      </c>
      <c r="DA130" t="e" cm="1">
        <f t="array" ref="DA130">IF(ISNUMBER(CZ130),AF130/COUNT(IF(ISNUMBER(_xlfn.ANCHORARRAY($CZ$11)),_xlfn.ANCHORARRAY($CZ$11))),NA())</f>
        <v>#N/A</v>
      </c>
      <c r="DB130" t="e">
        <f t="shared" si="57"/>
        <v>#N/A</v>
      </c>
      <c r="DD130" t="e">
        <f t="shared" si="58"/>
        <v>#N/A</v>
      </c>
      <c r="DE130" t="e">
        <f t="shared" si="59"/>
        <v>#N/A</v>
      </c>
      <c r="DG130" t="e">
        <v>#N/A</v>
      </c>
      <c r="DH130" t="e">
        <v>#N/A</v>
      </c>
    </row>
    <row r="131" spans="32:112">
      <c r="AF131">
        <v>121</v>
      </c>
      <c r="AG131" s="401">
        <f>'Lab test'!N124</f>
        <v>47.625</v>
      </c>
      <c r="AH131" s="401">
        <f>'Lab test'!M124</f>
        <v>7.4929999999999997E-2</v>
      </c>
      <c r="AI131">
        <f>IF('Lab test'!O124&gt;0,'Lab test'!O124,NA())</f>
        <v>152.39999999999998</v>
      </c>
      <c r="AJ131">
        <f>'Lab test'!Q124</f>
        <v>635.59322033898309</v>
      </c>
      <c r="AK131" s="401">
        <f>IF('Lab test'!V124&gt;0,'Lab test'!V124,NA())</f>
        <v>108247.689296</v>
      </c>
      <c r="AL131" s="7">
        <f>IF(MAX('Lab test'!W124,'Lab test'!X124)&gt;0,MAX('Lab test'!W124,'Lab test'!X124),NA())</f>
        <v>199.94796112</v>
      </c>
      <c r="AM131" s="401">
        <f>IF('Lab test'!P124&gt;0,'Lab test'!P124,NA())</f>
        <v>0.12692885146149133</v>
      </c>
      <c r="AN131" s="401">
        <f>IF('Lab test'!AU124&gt;0,'Lab test'!AU124,NA())</f>
        <v>0.17865670879610185</v>
      </c>
      <c r="AO131" s="401">
        <f>IF('Lab test'!AT124&gt;0,'Lab test'!AT124,NA())</f>
        <v>0.34655985582689924</v>
      </c>
      <c r="AP131">
        <f t="shared" si="60"/>
        <v>1</v>
      </c>
      <c r="AQ131" s="401">
        <f>'Lab test'!AZ124</f>
        <v>1934</v>
      </c>
      <c r="AR131" t="str">
        <f>'Lab test'!AC124</f>
        <v>Miscellaneous</v>
      </c>
      <c r="AS131" t="str">
        <f>'Lab test'!T124</f>
        <v>Brass</v>
      </c>
      <c r="AX131" t="e">
        <f t="shared" si="45"/>
        <v>#N/A</v>
      </c>
      <c r="AY131" t="e">
        <f t="shared" si="64"/>
        <v>#N/A</v>
      </c>
      <c r="AZ131" t="e">
        <f t="shared" si="61"/>
        <v>#N/A</v>
      </c>
      <c r="BA131" t="e">
        <f t="shared" si="61"/>
        <v>#N/A</v>
      </c>
      <c r="BB131" t="e">
        <f t="shared" si="61"/>
        <v>#N/A</v>
      </c>
      <c r="BC131" t="e">
        <f t="shared" si="61"/>
        <v>#N/A</v>
      </c>
      <c r="BD131" t="e">
        <f t="shared" si="61"/>
        <v>#N/A</v>
      </c>
      <c r="BG131" t="e">
        <f t="shared" si="46"/>
        <v>#N/A</v>
      </c>
      <c r="BH131" t="e">
        <f t="shared" si="65"/>
        <v>#N/A</v>
      </c>
      <c r="BI131" t="e">
        <f t="shared" si="62"/>
        <v>#N/A</v>
      </c>
      <c r="BJ131" t="e">
        <f t="shared" si="62"/>
        <v>#N/A</v>
      </c>
      <c r="BK131" t="e">
        <f t="shared" si="62"/>
        <v>#N/A</v>
      </c>
      <c r="BL131" t="e">
        <f t="shared" si="62"/>
        <v>#N/A</v>
      </c>
      <c r="BM131" t="e">
        <f t="shared" si="62"/>
        <v>#N/A</v>
      </c>
      <c r="BP131" t="e">
        <f t="shared" si="47"/>
        <v>#N/A</v>
      </c>
      <c r="BQ131" t="e">
        <f t="shared" si="66"/>
        <v>#N/A</v>
      </c>
      <c r="BR131" t="e">
        <f t="shared" si="63"/>
        <v>#N/A</v>
      </c>
      <c r="BS131" t="e">
        <f t="shared" si="63"/>
        <v>#N/A</v>
      </c>
      <c r="BT131" t="e">
        <f t="shared" si="63"/>
        <v>#N/A</v>
      </c>
      <c r="BU131" t="e">
        <f t="shared" si="63"/>
        <v>#N/A</v>
      </c>
      <c r="BV131" t="e">
        <f t="shared" si="63"/>
        <v>#N/A</v>
      </c>
      <c r="BY131" t="e">
        <f t="shared" si="48"/>
        <v>#N/A</v>
      </c>
      <c r="BZ131" t="e">
        <v>#N/A</v>
      </c>
      <c r="CA131" t="e" cm="1">
        <f t="array" ref="CA131">IF(ISNUMBER(BZ131),AF131/COUNT(IF(ISNUMBER(_xlfn.ANCHORARRAY($BZ$11)),_xlfn.ANCHORARRAY($BZ$11))),NA())</f>
        <v>#N/A</v>
      </c>
      <c r="CB131" t="e">
        <f t="shared" si="49"/>
        <v>#N/A</v>
      </c>
      <c r="CD131" t="e">
        <f t="shared" si="50"/>
        <v>#N/A</v>
      </c>
      <c r="CE131" t="e">
        <f t="shared" si="51"/>
        <v>#N/A</v>
      </c>
      <c r="CG131" t="e">
        <v>#N/A</v>
      </c>
      <c r="CH131" t="e">
        <v>#N/A</v>
      </c>
      <c r="CL131" t="e">
        <f t="shared" si="52"/>
        <v>#N/A</v>
      </c>
      <c r="CM131" t="e">
        <v>#N/A</v>
      </c>
      <c r="CN131" t="e" cm="1">
        <f t="array" ref="CN131">IF(ISNUMBER(CM131),AF131/COUNT(IF(ISNUMBER(_xlfn.ANCHORARRAY($CM$11)),_xlfn.ANCHORARRAY($CM$11))),NA())</f>
        <v>#N/A</v>
      </c>
      <c r="CO131" t="e">
        <f t="shared" si="53"/>
        <v>#N/A</v>
      </c>
      <c r="CQ131" t="e">
        <f t="shared" si="54"/>
        <v>#N/A</v>
      </c>
      <c r="CR131" t="e">
        <f t="shared" si="55"/>
        <v>#N/A</v>
      </c>
      <c r="CT131" t="e">
        <v>#N/A</v>
      </c>
      <c r="CU131" t="e">
        <v>#N/A</v>
      </c>
      <c r="CY131" t="e">
        <f t="shared" si="56"/>
        <v>#N/A</v>
      </c>
      <c r="CZ131" t="e">
        <v>#N/A</v>
      </c>
      <c r="DA131" t="e" cm="1">
        <f t="array" ref="DA131">IF(ISNUMBER(CZ131),AF131/COUNT(IF(ISNUMBER(_xlfn.ANCHORARRAY($CZ$11)),_xlfn.ANCHORARRAY($CZ$11))),NA())</f>
        <v>#N/A</v>
      </c>
      <c r="DB131" t="e">
        <f t="shared" si="57"/>
        <v>#N/A</v>
      </c>
      <c r="DD131" t="e">
        <f t="shared" si="58"/>
        <v>#N/A</v>
      </c>
      <c r="DE131" t="e">
        <f t="shared" si="59"/>
        <v>#N/A</v>
      </c>
      <c r="DG131" t="e">
        <v>#N/A</v>
      </c>
      <c r="DH131" t="e">
        <v>#N/A</v>
      </c>
    </row>
    <row r="132" spans="32:112">
      <c r="AF132">
        <v>122</v>
      </c>
      <c r="AG132" s="401">
        <f>'Lab test'!N125</f>
        <v>47.625</v>
      </c>
      <c r="AH132" s="401">
        <f>'Lab test'!M125</f>
        <v>7.4929999999999997E-2</v>
      </c>
      <c r="AI132">
        <f>IF('Lab test'!O125&gt;0,'Lab test'!O125,NA())</f>
        <v>152.39999999999998</v>
      </c>
      <c r="AJ132">
        <f>'Lab test'!Q125</f>
        <v>635.59322033898309</v>
      </c>
      <c r="AK132" s="401">
        <f>IF('Lab test'!V125&gt;0,'Lab test'!V125,NA())</f>
        <v>108247.689296</v>
      </c>
      <c r="AL132" s="7">
        <f>IF(MAX('Lab test'!W125,'Lab test'!X125)&gt;0,MAX('Lab test'!W125,'Lab test'!X125),NA())</f>
        <v>199.94796112</v>
      </c>
      <c r="AM132" s="401">
        <f>IF('Lab test'!P125&gt;0,'Lab test'!P125,NA())</f>
        <v>0.12692885146149133</v>
      </c>
      <c r="AN132" s="401">
        <f>IF('Lab test'!AU125&gt;0,'Lab test'!AU125,NA())</f>
        <v>0.15086566520559713</v>
      </c>
      <c r="AO132" s="401">
        <f>IF('Lab test'!AT125&gt;0,'Lab test'!AT125,NA())</f>
        <v>0.29265054492049269</v>
      </c>
      <c r="AP132">
        <f t="shared" si="60"/>
        <v>1</v>
      </c>
      <c r="AQ132" s="401">
        <f>'Lab test'!AZ125</f>
        <v>1934</v>
      </c>
      <c r="AR132" t="str">
        <f>'Lab test'!AC125</f>
        <v>Miscellaneous</v>
      </c>
      <c r="AS132" t="str">
        <f>'Lab test'!T125</f>
        <v>Brass</v>
      </c>
      <c r="AX132" t="e">
        <f t="shared" si="45"/>
        <v>#N/A</v>
      </c>
      <c r="AY132" t="e">
        <f t="shared" si="64"/>
        <v>#N/A</v>
      </c>
      <c r="AZ132" t="e">
        <f t="shared" si="61"/>
        <v>#N/A</v>
      </c>
      <c r="BA132" t="e">
        <f t="shared" si="61"/>
        <v>#N/A</v>
      </c>
      <c r="BB132" t="e">
        <f t="shared" si="61"/>
        <v>#N/A</v>
      </c>
      <c r="BC132" t="e">
        <f t="shared" si="61"/>
        <v>#N/A</v>
      </c>
      <c r="BD132" t="e">
        <f t="shared" si="61"/>
        <v>#N/A</v>
      </c>
      <c r="BG132" t="e">
        <f t="shared" si="46"/>
        <v>#N/A</v>
      </c>
      <c r="BH132" t="e">
        <f t="shared" si="65"/>
        <v>#N/A</v>
      </c>
      <c r="BI132" t="e">
        <f t="shared" si="62"/>
        <v>#N/A</v>
      </c>
      <c r="BJ132" t="e">
        <f t="shared" si="62"/>
        <v>#N/A</v>
      </c>
      <c r="BK132" t="e">
        <f t="shared" si="62"/>
        <v>#N/A</v>
      </c>
      <c r="BL132" t="e">
        <f t="shared" si="62"/>
        <v>#N/A</v>
      </c>
      <c r="BM132" t="e">
        <f t="shared" si="62"/>
        <v>#N/A</v>
      </c>
      <c r="BP132" t="e">
        <f t="shared" si="47"/>
        <v>#N/A</v>
      </c>
      <c r="BQ132" t="e">
        <f t="shared" si="66"/>
        <v>#N/A</v>
      </c>
      <c r="BR132" t="e">
        <f t="shared" si="63"/>
        <v>#N/A</v>
      </c>
      <c r="BS132" t="e">
        <f t="shared" si="63"/>
        <v>#N/A</v>
      </c>
      <c r="BT132" t="e">
        <f t="shared" si="63"/>
        <v>#N/A</v>
      </c>
      <c r="BU132" t="e">
        <f t="shared" si="63"/>
        <v>#N/A</v>
      </c>
      <c r="BV132" t="e">
        <f t="shared" si="63"/>
        <v>#N/A</v>
      </c>
      <c r="BY132" t="e">
        <f t="shared" si="48"/>
        <v>#N/A</v>
      </c>
      <c r="BZ132" t="e">
        <v>#N/A</v>
      </c>
      <c r="CA132" t="e" cm="1">
        <f t="array" ref="CA132">IF(ISNUMBER(BZ132),AF132/COUNT(IF(ISNUMBER(_xlfn.ANCHORARRAY($BZ$11)),_xlfn.ANCHORARRAY($BZ$11))),NA())</f>
        <v>#N/A</v>
      </c>
      <c r="CB132" t="e">
        <f t="shared" si="49"/>
        <v>#N/A</v>
      </c>
      <c r="CD132" t="e">
        <f t="shared" si="50"/>
        <v>#N/A</v>
      </c>
      <c r="CE132" t="e">
        <f t="shared" si="51"/>
        <v>#N/A</v>
      </c>
      <c r="CG132" t="e">
        <v>#N/A</v>
      </c>
      <c r="CH132" t="e">
        <v>#N/A</v>
      </c>
      <c r="CL132" t="e">
        <f t="shared" si="52"/>
        <v>#N/A</v>
      </c>
      <c r="CM132" t="e">
        <v>#N/A</v>
      </c>
      <c r="CN132" t="e" cm="1">
        <f t="array" ref="CN132">IF(ISNUMBER(CM132),AF132/COUNT(IF(ISNUMBER(_xlfn.ANCHORARRAY($CM$11)),_xlfn.ANCHORARRAY($CM$11))),NA())</f>
        <v>#N/A</v>
      </c>
      <c r="CO132" t="e">
        <f t="shared" si="53"/>
        <v>#N/A</v>
      </c>
      <c r="CQ132" t="e">
        <f t="shared" si="54"/>
        <v>#N/A</v>
      </c>
      <c r="CR132" t="e">
        <f t="shared" si="55"/>
        <v>#N/A</v>
      </c>
      <c r="CT132" t="e">
        <v>#N/A</v>
      </c>
      <c r="CU132" t="e">
        <v>#N/A</v>
      </c>
      <c r="CY132" t="e">
        <f t="shared" si="56"/>
        <v>#N/A</v>
      </c>
      <c r="CZ132" t="e">
        <v>#N/A</v>
      </c>
      <c r="DA132" t="e" cm="1">
        <f t="array" ref="DA132">IF(ISNUMBER(CZ132),AF132/COUNT(IF(ISNUMBER(_xlfn.ANCHORARRAY($CZ$11)),_xlfn.ANCHORARRAY($CZ$11))),NA())</f>
        <v>#N/A</v>
      </c>
      <c r="DB132" t="e">
        <f t="shared" si="57"/>
        <v>#N/A</v>
      </c>
      <c r="DD132" t="e">
        <f t="shared" si="58"/>
        <v>#N/A</v>
      </c>
      <c r="DE132" t="e">
        <f t="shared" si="59"/>
        <v>#N/A</v>
      </c>
      <c r="DG132" t="e">
        <v>#N/A</v>
      </c>
      <c r="DH132" t="e">
        <v>#N/A</v>
      </c>
    </row>
    <row r="133" spans="32:112">
      <c r="AF133">
        <v>123</v>
      </c>
      <c r="AG133" s="401">
        <f>'Lab test'!N126</f>
        <v>47.625</v>
      </c>
      <c r="AH133" s="401">
        <f>'Lab test'!M126</f>
        <v>7.4929999999999997E-2</v>
      </c>
      <c r="AI133">
        <f>IF('Lab test'!O126&gt;0,'Lab test'!O126,NA())</f>
        <v>152.39999999999998</v>
      </c>
      <c r="AJ133">
        <f>'Lab test'!Q126</f>
        <v>635.59322033898309</v>
      </c>
      <c r="AK133" s="401">
        <f>IF('Lab test'!V126&gt;0,'Lab test'!V126,NA())</f>
        <v>108247.689296</v>
      </c>
      <c r="AL133" s="7">
        <f>IF(MAX('Lab test'!W126,'Lab test'!X126)&gt;0,MAX('Lab test'!W126,'Lab test'!X126),NA())</f>
        <v>199.94796112</v>
      </c>
      <c r="AM133" s="401">
        <f>IF('Lab test'!P126&gt;0,'Lab test'!P126,NA())</f>
        <v>0.12692885146149133</v>
      </c>
      <c r="AN133" s="401">
        <f>IF('Lab test'!AU126&gt;0,'Lab test'!AU126,NA())</f>
        <v>0.11811193525964513</v>
      </c>
      <c r="AO133" s="401">
        <f>IF('Lab test'!AT126&gt;0,'Lab test'!AT126,NA())</f>
        <v>0.22911457135222785</v>
      </c>
      <c r="AP133">
        <f t="shared" si="60"/>
        <v>1</v>
      </c>
      <c r="AQ133" s="401">
        <f>'Lab test'!AZ126</f>
        <v>1934</v>
      </c>
      <c r="AR133" t="str">
        <f>'Lab test'!AC126</f>
        <v>Miscellaneous</v>
      </c>
      <c r="AS133" t="str">
        <f>'Lab test'!T126</f>
        <v>Brass</v>
      </c>
      <c r="AX133" t="e">
        <f t="shared" si="45"/>
        <v>#N/A</v>
      </c>
      <c r="AY133" t="e">
        <f t="shared" si="64"/>
        <v>#N/A</v>
      </c>
      <c r="AZ133" t="e">
        <f t="shared" si="61"/>
        <v>#N/A</v>
      </c>
      <c r="BA133" t="e">
        <f t="shared" si="61"/>
        <v>#N/A</v>
      </c>
      <c r="BB133" t="e">
        <f t="shared" si="61"/>
        <v>#N/A</v>
      </c>
      <c r="BC133" t="e">
        <f t="shared" si="61"/>
        <v>#N/A</v>
      </c>
      <c r="BD133" t="e">
        <f t="shared" si="61"/>
        <v>#N/A</v>
      </c>
      <c r="BG133" t="e">
        <f t="shared" si="46"/>
        <v>#N/A</v>
      </c>
      <c r="BH133" t="e">
        <f t="shared" si="65"/>
        <v>#N/A</v>
      </c>
      <c r="BI133" t="e">
        <f t="shared" si="62"/>
        <v>#N/A</v>
      </c>
      <c r="BJ133" t="e">
        <f t="shared" si="62"/>
        <v>#N/A</v>
      </c>
      <c r="BK133" t="e">
        <f t="shared" si="62"/>
        <v>#N/A</v>
      </c>
      <c r="BL133" t="e">
        <f t="shared" si="62"/>
        <v>#N/A</v>
      </c>
      <c r="BM133" t="e">
        <f t="shared" si="62"/>
        <v>#N/A</v>
      </c>
      <c r="BP133" t="e">
        <f t="shared" si="47"/>
        <v>#N/A</v>
      </c>
      <c r="BQ133" t="e">
        <f t="shared" si="66"/>
        <v>#N/A</v>
      </c>
      <c r="BR133" t="e">
        <f t="shared" si="63"/>
        <v>#N/A</v>
      </c>
      <c r="BS133" t="e">
        <f t="shared" si="63"/>
        <v>#N/A</v>
      </c>
      <c r="BT133" t="e">
        <f t="shared" si="63"/>
        <v>#N/A</v>
      </c>
      <c r="BU133" t="e">
        <f t="shared" si="63"/>
        <v>#N/A</v>
      </c>
      <c r="BV133" t="e">
        <f t="shared" si="63"/>
        <v>#N/A</v>
      </c>
      <c r="BY133" t="e">
        <f t="shared" si="48"/>
        <v>#N/A</v>
      </c>
      <c r="BZ133" t="e">
        <v>#N/A</v>
      </c>
      <c r="CA133" t="e" cm="1">
        <f t="array" ref="CA133">IF(ISNUMBER(BZ133),AF133/COUNT(IF(ISNUMBER(_xlfn.ANCHORARRAY($BZ$11)),_xlfn.ANCHORARRAY($BZ$11))),NA())</f>
        <v>#N/A</v>
      </c>
      <c r="CB133" t="e">
        <f t="shared" si="49"/>
        <v>#N/A</v>
      </c>
      <c r="CD133" t="e">
        <f t="shared" si="50"/>
        <v>#N/A</v>
      </c>
      <c r="CE133" t="e">
        <f t="shared" si="51"/>
        <v>#N/A</v>
      </c>
      <c r="CG133" t="e">
        <v>#N/A</v>
      </c>
      <c r="CH133" t="e">
        <v>#N/A</v>
      </c>
      <c r="CL133" t="e">
        <f t="shared" si="52"/>
        <v>#N/A</v>
      </c>
      <c r="CM133" t="e">
        <v>#N/A</v>
      </c>
      <c r="CN133" t="e" cm="1">
        <f t="array" ref="CN133">IF(ISNUMBER(CM133),AF133/COUNT(IF(ISNUMBER(_xlfn.ANCHORARRAY($CM$11)),_xlfn.ANCHORARRAY($CM$11))),NA())</f>
        <v>#N/A</v>
      </c>
      <c r="CO133" t="e">
        <f t="shared" si="53"/>
        <v>#N/A</v>
      </c>
      <c r="CQ133" t="e">
        <f t="shared" si="54"/>
        <v>#N/A</v>
      </c>
      <c r="CR133" t="e">
        <f t="shared" si="55"/>
        <v>#N/A</v>
      </c>
      <c r="CT133" t="e">
        <v>#N/A</v>
      </c>
      <c r="CU133" t="e">
        <v>#N/A</v>
      </c>
      <c r="CY133" t="e">
        <f t="shared" si="56"/>
        <v>#N/A</v>
      </c>
      <c r="CZ133" t="e">
        <v>#N/A</v>
      </c>
      <c r="DA133" t="e" cm="1">
        <f t="array" ref="DA133">IF(ISNUMBER(CZ133),AF133/COUNT(IF(ISNUMBER(_xlfn.ANCHORARRAY($CZ$11)),_xlfn.ANCHORARRAY($CZ$11))),NA())</f>
        <v>#N/A</v>
      </c>
      <c r="DB133" t="e">
        <f t="shared" si="57"/>
        <v>#N/A</v>
      </c>
      <c r="DD133" t="e">
        <f t="shared" si="58"/>
        <v>#N/A</v>
      </c>
      <c r="DE133" t="e">
        <f t="shared" si="59"/>
        <v>#N/A</v>
      </c>
      <c r="DG133" t="e">
        <v>#N/A</v>
      </c>
      <c r="DH133" t="e">
        <v>#N/A</v>
      </c>
    </row>
    <row r="134" spans="32:112">
      <c r="AF134">
        <v>124</v>
      </c>
      <c r="AG134" s="401">
        <f>'Lab test'!N127</f>
        <v>47.625</v>
      </c>
      <c r="AH134" s="401">
        <f>'Lab test'!M127</f>
        <v>7.4929999999999997E-2</v>
      </c>
      <c r="AI134">
        <f>IF('Lab test'!O127&gt;0,'Lab test'!O127,NA())</f>
        <v>152.39999999999998</v>
      </c>
      <c r="AJ134">
        <f>'Lab test'!Q127</f>
        <v>635.59322033898309</v>
      </c>
      <c r="AK134" s="401">
        <f>IF('Lab test'!V127&gt;0,'Lab test'!V127,NA())</f>
        <v>108247.689296</v>
      </c>
      <c r="AL134" s="7">
        <f>IF(MAX('Lab test'!W127,'Lab test'!X127)&gt;0,MAX('Lab test'!W127,'Lab test'!X127),NA())</f>
        <v>199.94796112</v>
      </c>
      <c r="AM134" s="401">
        <f>IF('Lab test'!P127&gt;0,'Lab test'!P127,NA())</f>
        <v>0.12692885146149133</v>
      </c>
      <c r="AN134" s="401">
        <f>IF('Lab test'!AU127&gt;0,'Lab test'!AU127,NA())</f>
        <v>0.12208208434400294</v>
      </c>
      <c r="AO134" s="401">
        <f>IF('Lab test'!AT127&gt;0,'Lab test'!AT127,NA())</f>
        <v>0.23681590148171447</v>
      </c>
      <c r="AP134">
        <f t="shared" si="60"/>
        <v>1</v>
      </c>
      <c r="AQ134" s="401">
        <f>'Lab test'!AZ127</f>
        <v>1934</v>
      </c>
      <c r="AR134" t="str">
        <f>'Lab test'!AC127</f>
        <v>Miscellaneous</v>
      </c>
      <c r="AS134" t="str">
        <f>'Lab test'!T127</f>
        <v>Brass</v>
      </c>
      <c r="AX134" t="e">
        <f t="shared" si="45"/>
        <v>#N/A</v>
      </c>
      <c r="AY134" t="e">
        <f t="shared" si="64"/>
        <v>#N/A</v>
      </c>
      <c r="AZ134" t="e">
        <f t="shared" si="61"/>
        <v>#N/A</v>
      </c>
      <c r="BA134" t="e">
        <f t="shared" si="61"/>
        <v>#N/A</v>
      </c>
      <c r="BB134" t="e">
        <f t="shared" si="61"/>
        <v>#N/A</v>
      </c>
      <c r="BC134" t="e">
        <f t="shared" si="61"/>
        <v>#N/A</v>
      </c>
      <c r="BD134" t="e">
        <f t="shared" si="61"/>
        <v>#N/A</v>
      </c>
      <c r="BG134" t="e">
        <f t="shared" si="46"/>
        <v>#N/A</v>
      </c>
      <c r="BH134" t="e">
        <f t="shared" si="65"/>
        <v>#N/A</v>
      </c>
      <c r="BI134" t="e">
        <f t="shared" si="62"/>
        <v>#N/A</v>
      </c>
      <c r="BJ134" t="e">
        <f t="shared" si="62"/>
        <v>#N/A</v>
      </c>
      <c r="BK134" t="e">
        <f t="shared" si="62"/>
        <v>#N/A</v>
      </c>
      <c r="BL134" t="e">
        <f t="shared" si="62"/>
        <v>#N/A</v>
      </c>
      <c r="BM134" t="e">
        <f t="shared" si="62"/>
        <v>#N/A</v>
      </c>
      <c r="BP134" t="e">
        <f t="shared" si="47"/>
        <v>#N/A</v>
      </c>
      <c r="BQ134" t="e">
        <f t="shared" si="66"/>
        <v>#N/A</v>
      </c>
      <c r="BR134" t="e">
        <f t="shared" si="63"/>
        <v>#N/A</v>
      </c>
      <c r="BS134" t="e">
        <f t="shared" si="63"/>
        <v>#N/A</v>
      </c>
      <c r="BT134" t="e">
        <f t="shared" si="63"/>
        <v>#N/A</v>
      </c>
      <c r="BU134" t="e">
        <f t="shared" si="63"/>
        <v>#N/A</v>
      </c>
      <c r="BV134" t="e">
        <f t="shared" si="63"/>
        <v>#N/A</v>
      </c>
      <c r="BY134" t="e">
        <f t="shared" si="48"/>
        <v>#N/A</v>
      </c>
      <c r="BZ134" t="e">
        <v>#N/A</v>
      </c>
      <c r="CA134" t="e" cm="1">
        <f t="array" ref="CA134">IF(ISNUMBER(BZ134),AF134/COUNT(IF(ISNUMBER(_xlfn.ANCHORARRAY($BZ$11)),_xlfn.ANCHORARRAY($BZ$11))),NA())</f>
        <v>#N/A</v>
      </c>
      <c r="CB134" t="e">
        <f t="shared" si="49"/>
        <v>#N/A</v>
      </c>
      <c r="CD134" t="e">
        <f t="shared" si="50"/>
        <v>#N/A</v>
      </c>
      <c r="CE134" t="e">
        <f t="shared" si="51"/>
        <v>#N/A</v>
      </c>
      <c r="CG134" t="e">
        <v>#N/A</v>
      </c>
      <c r="CH134" t="e">
        <v>#N/A</v>
      </c>
      <c r="CL134" t="e">
        <f t="shared" si="52"/>
        <v>#N/A</v>
      </c>
      <c r="CM134" t="e">
        <v>#N/A</v>
      </c>
      <c r="CN134" t="e" cm="1">
        <f t="array" ref="CN134">IF(ISNUMBER(CM134),AF134/COUNT(IF(ISNUMBER(_xlfn.ANCHORARRAY($CM$11)),_xlfn.ANCHORARRAY($CM$11))),NA())</f>
        <v>#N/A</v>
      </c>
      <c r="CO134" t="e">
        <f t="shared" si="53"/>
        <v>#N/A</v>
      </c>
      <c r="CQ134" t="e">
        <f t="shared" si="54"/>
        <v>#N/A</v>
      </c>
      <c r="CR134" t="e">
        <f t="shared" si="55"/>
        <v>#N/A</v>
      </c>
      <c r="CT134" t="e">
        <v>#N/A</v>
      </c>
      <c r="CU134" t="e">
        <v>#N/A</v>
      </c>
      <c r="CY134" t="e">
        <f t="shared" si="56"/>
        <v>#N/A</v>
      </c>
      <c r="CZ134" t="e">
        <v>#N/A</v>
      </c>
      <c r="DA134" t="e" cm="1">
        <f t="array" ref="DA134">IF(ISNUMBER(CZ134),AF134/COUNT(IF(ISNUMBER(_xlfn.ANCHORARRAY($CZ$11)),_xlfn.ANCHORARRAY($CZ$11))),NA())</f>
        <v>#N/A</v>
      </c>
      <c r="DB134" t="e">
        <f t="shared" si="57"/>
        <v>#N/A</v>
      </c>
      <c r="DD134" t="e">
        <f t="shared" si="58"/>
        <v>#N/A</v>
      </c>
      <c r="DE134" t="e">
        <f t="shared" si="59"/>
        <v>#N/A</v>
      </c>
      <c r="DG134" t="e">
        <v>#N/A</v>
      </c>
      <c r="DH134" t="e">
        <v>#N/A</v>
      </c>
    </row>
    <row r="135" spans="32:112">
      <c r="AF135">
        <v>125</v>
      </c>
      <c r="AG135" s="401">
        <f>'Lab test'!N128</f>
        <v>161.92500000000001</v>
      </c>
      <c r="AH135" s="401">
        <f>'Lab test'!M128</f>
        <v>0.21589999999999998</v>
      </c>
      <c r="AI135">
        <f>IF('Lab test'!O128&gt;0,'Lab test'!O128,NA())</f>
        <v>227.54166663915001</v>
      </c>
      <c r="AJ135">
        <f>'Lab test'!Q128</f>
        <v>750.00000000000011</v>
      </c>
      <c r="AK135" s="401">
        <f>IF('Lab test'!V128&gt;0,'Lab test'!V128,NA())</f>
        <v>199947.96150188247</v>
      </c>
      <c r="AL135" s="7" t="e">
        <f>IF(MAX('Lab test'!W128,'Lab test'!X128)&gt;0,MAX('Lab test'!W128,'Lab test'!X128),NA())</f>
        <v>#N/A</v>
      </c>
      <c r="AM135" s="401">
        <f>IF('Lab test'!P128&gt;0,'Lab test'!P128,NA())</f>
        <v>5.1311699280771207E-2</v>
      </c>
      <c r="AN135" s="401" t="e">
        <f>IF('Lab test'!AU128&gt;0,'Lab test'!AU128,NA())</f>
        <v>#N/A</v>
      </c>
      <c r="AO135" s="401">
        <f>IF('Lab test'!AT128&gt;0,'Lab test'!AT128,NA())</f>
        <v>0.38955393689032747</v>
      </c>
      <c r="AP135" t="e">
        <f t="shared" si="60"/>
        <v>#N/A</v>
      </c>
      <c r="AQ135" s="401">
        <f>'Lab test'!AZ128</f>
        <v>1939</v>
      </c>
      <c r="AR135" t="str">
        <f>'Lab test'!AC128</f>
        <v>LTWb</v>
      </c>
      <c r="AS135" t="str">
        <f>'Lab test'!T128</f>
        <v>Steel</v>
      </c>
      <c r="AX135" t="e">
        <f t="shared" si="45"/>
        <v>#N/A</v>
      </c>
      <c r="AY135" t="e">
        <f t="shared" si="64"/>
        <v>#N/A</v>
      </c>
      <c r="AZ135" t="e">
        <f t="shared" si="61"/>
        <v>#N/A</v>
      </c>
      <c r="BA135" t="e">
        <f t="shared" si="61"/>
        <v>#N/A</v>
      </c>
      <c r="BB135" t="e">
        <f t="shared" si="61"/>
        <v>#N/A</v>
      </c>
      <c r="BC135" t="e">
        <f t="shared" si="61"/>
        <v>#N/A</v>
      </c>
      <c r="BD135" t="e">
        <f t="shared" si="61"/>
        <v>#N/A</v>
      </c>
      <c r="BG135" t="e">
        <f t="shared" si="46"/>
        <v>#N/A</v>
      </c>
      <c r="BH135" t="e">
        <f t="shared" si="65"/>
        <v>#N/A</v>
      </c>
      <c r="BI135" t="e">
        <f t="shared" si="62"/>
        <v>#N/A</v>
      </c>
      <c r="BJ135" t="e">
        <f t="shared" si="62"/>
        <v>#N/A</v>
      </c>
      <c r="BK135" t="e">
        <f t="shared" si="62"/>
        <v>#N/A</v>
      </c>
      <c r="BL135" t="e">
        <f t="shared" si="62"/>
        <v>#N/A</v>
      </c>
      <c r="BM135" t="e">
        <f t="shared" si="62"/>
        <v>#N/A</v>
      </c>
      <c r="BP135" t="e">
        <f t="shared" si="47"/>
        <v>#N/A</v>
      </c>
      <c r="BQ135" t="e">
        <f t="shared" si="66"/>
        <v>#N/A</v>
      </c>
      <c r="BR135" t="e">
        <f t="shared" si="63"/>
        <v>#N/A</v>
      </c>
      <c r="BS135" t="e">
        <f t="shared" si="63"/>
        <v>#N/A</v>
      </c>
      <c r="BT135" t="e">
        <f t="shared" si="63"/>
        <v>#N/A</v>
      </c>
      <c r="BU135" t="e">
        <f t="shared" si="63"/>
        <v>#N/A</v>
      </c>
      <c r="BV135" t="e">
        <f t="shared" si="63"/>
        <v>#N/A</v>
      </c>
      <c r="BY135" t="e">
        <f t="shared" si="48"/>
        <v>#N/A</v>
      </c>
      <c r="BZ135" t="e">
        <v>#N/A</v>
      </c>
      <c r="CA135" t="e" cm="1">
        <f t="array" ref="CA135">IF(ISNUMBER(BZ135),AF135/COUNT(IF(ISNUMBER(_xlfn.ANCHORARRAY($BZ$11)),_xlfn.ANCHORARRAY($BZ$11))),NA())</f>
        <v>#N/A</v>
      </c>
      <c r="CB135" t="e">
        <f t="shared" si="49"/>
        <v>#N/A</v>
      </c>
      <c r="CD135" t="e">
        <f t="shared" si="50"/>
        <v>#N/A</v>
      </c>
      <c r="CE135" t="e">
        <f t="shared" si="51"/>
        <v>#N/A</v>
      </c>
      <c r="CG135" t="e">
        <v>#N/A</v>
      </c>
      <c r="CH135" t="e">
        <v>#N/A</v>
      </c>
      <c r="CL135" t="e">
        <f t="shared" si="52"/>
        <v>#N/A</v>
      </c>
      <c r="CM135" t="e">
        <v>#N/A</v>
      </c>
      <c r="CN135" t="e" cm="1">
        <f t="array" ref="CN135">IF(ISNUMBER(CM135),AF135/COUNT(IF(ISNUMBER(_xlfn.ANCHORARRAY($CM$11)),_xlfn.ANCHORARRAY($CM$11))),NA())</f>
        <v>#N/A</v>
      </c>
      <c r="CO135" t="e">
        <f t="shared" si="53"/>
        <v>#N/A</v>
      </c>
      <c r="CQ135" t="e">
        <f t="shared" si="54"/>
        <v>#N/A</v>
      </c>
      <c r="CR135" t="e">
        <f t="shared" si="55"/>
        <v>#N/A</v>
      </c>
      <c r="CT135" t="e">
        <v>#N/A</v>
      </c>
      <c r="CU135" t="e">
        <v>#N/A</v>
      </c>
      <c r="CY135" t="e">
        <f t="shared" si="56"/>
        <v>#N/A</v>
      </c>
      <c r="CZ135" t="e">
        <v>#N/A</v>
      </c>
      <c r="DA135" t="e" cm="1">
        <f t="array" ref="DA135">IF(ISNUMBER(CZ135),AF135/COUNT(IF(ISNUMBER(_xlfn.ANCHORARRAY($CZ$11)),_xlfn.ANCHORARRAY($CZ$11))),NA())</f>
        <v>#N/A</v>
      </c>
      <c r="DB135" t="e">
        <f t="shared" si="57"/>
        <v>#N/A</v>
      </c>
      <c r="DD135" t="e">
        <f t="shared" si="58"/>
        <v>#N/A</v>
      </c>
      <c r="DE135" t="e">
        <f t="shared" si="59"/>
        <v>#N/A</v>
      </c>
      <c r="DG135" t="e">
        <v>#N/A</v>
      </c>
      <c r="DH135" t="e">
        <v>#N/A</v>
      </c>
    </row>
    <row r="136" spans="32:112">
      <c r="AF136">
        <v>126</v>
      </c>
      <c r="AG136" s="401">
        <f>'Lab test'!N129</f>
        <v>161.92500000000001</v>
      </c>
      <c r="AH136" s="401">
        <f>'Lab test'!M129</f>
        <v>0.21589999999999998</v>
      </c>
      <c r="AI136">
        <f>IF('Lab test'!O129&gt;0,'Lab test'!O129,NA())</f>
        <v>227.54166663915001</v>
      </c>
      <c r="AJ136">
        <f>'Lab test'!Q129</f>
        <v>750.00000000000011</v>
      </c>
      <c r="AK136" s="401">
        <f>IF('Lab test'!V129&gt;0,'Lab test'!V129,NA())</f>
        <v>199947.96150188247</v>
      </c>
      <c r="AL136" s="7" t="e">
        <f>IF(MAX('Lab test'!W129,'Lab test'!X129)&gt;0,MAX('Lab test'!W129,'Lab test'!X129),NA())</f>
        <v>#N/A</v>
      </c>
      <c r="AM136" s="401">
        <f>IF('Lab test'!P129&gt;0,'Lab test'!P129,NA())</f>
        <v>5.1311699280771207E-2</v>
      </c>
      <c r="AN136" s="401" t="e">
        <f>IF('Lab test'!AU129&gt;0,'Lab test'!AU129,NA())</f>
        <v>#N/A</v>
      </c>
      <c r="AO136" s="401">
        <f>IF('Lab test'!AT129&gt;0,'Lab test'!AT129,NA())</f>
        <v>0.41931936541541204</v>
      </c>
      <c r="AP136" t="e">
        <f t="shared" si="60"/>
        <v>#N/A</v>
      </c>
      <c r="AQ136" s="401">
        <f>'Lab test'!AZ129</f>
        <v>1939</v>
      </c>
      <c r="AR136" t="str">
        <f>'Lab test'!AC129</f>
        <v>LTWb</v>
      </c>
      <c r="AS136" t="str">
        <f>'Lab test'!T129</f>
        <v>Steel</v>
      </c>
      <c r="AX136" t="e">
        <f t="shared" si="45"/>
        <v>#N/A</v>
      </c>
      <c r="AY136" t="e">
        <f t="shared" si="64"/>
        <v>#N/A</v>
      </c>
      <c r="AZ136" t="e">
        <f t="shared" si="61"/>
        <v>#N/A</v>
      </c>
      <c r="BA136" t="e">
        <f t="shared" si="61"/>
        <v>#N/A</v>
      </c>
      <c r="BB136" t="e">
        <f t="shared" si="61"/>
        <v>#N/A</v>
      </c>
      <c r="BC136" t="e">
        <f t="shared" si="61"/>
        <v>#N/A</v>
      </c>
      <c r="BD136" t="e">
        <f t="shared" si="61"/>
        <v>#N/A</v>
      </c>
      <c r="BG136" t="e">
        <f t="shared" si="46"/>
        <v>#N/A</v>
      </c>
      <c r="BH136" t="e">
        <f t="shared" si="65"/>
        <v>#N/A</v>
      </c>
      <c r="BI136" t="e">
        <f t="shared" si="62"/>
        <v>#N/A</v>
      </c>
      <c r="BJ136" t="e">
        <f t="shared" si="62"/>
        <v>#N/A</v>
      </c>
      <c r="BK136" t="e">
        <f t="shared" si="62"/>
        <v>#N/A</v>
      </c>
      <c r="BL136" t="e">
        <f t="shared" si="62"/>
        <v>#N/A</v>
      </c>
      <c r="BM136" t="e">
        <f t="shared" si="62"/>
        <v>#N/A</v>
      </c>
      <c r="BP136" t="e">
        <f t="shared" si="47"/>
        <v>#N/A</v>
      </c>
      <c r="BQ136" t="e">
        <f t="shared" si="66"/>
        <v>#N/A</v>
      </c>
      <c r="BR136" t="e">
        <f t="shared" si="63"/>
        <v>#N/A</v>
      </c>
      <c r="BS136" t="e">
        <f t="shared" si="63"/>
        <v>#N/A</v>
      </c>
      <c r="BT136" t="e">
        <f t="shared" si="63"/>
        <v>#N/A</v>
      </c>
      <c r="BU136" t="e">
        <f t="shared" si="63"/>
        <v>#N/A</v>
      </c>
      <c r="BV136" t="e">
        <f t="shared" si="63"/>
        <v>#N/A</v>
      </c>
      <c r="BY136" t="e">
        <f t="shared" si="48"/>
        <v>#N/A</v>
      </c>
      <c r="BZ136" t="e">
        <v>#N/A</v>
      </c>
      <c r="CA136" t="e" cm="1">
        <f t="array" ref="CA136">IF(ISNUMBER(BZ136),AF136/COUNT(IF(ISNUMBER(_xlfn.ANCHORARRAY($BZ$11)),_xlfn.ANCHORARRAY($BZ$11))),NA())</f>
        <v>#N/A</v>
      </c>
      <c r="CB136" t="e">
        <f t="shared" si="49"/>
        <v>#N/A</v>
      </c>
      <c r="CD136" t="e">
        <f t="shared" si="50"/>
        <v>#N/A</v>
      </c>
      <c r="CE136" t="e">
        <f t="shared" si="51"/>
        <v>#N/A</v>
      </c>
      <c r="CG136" t="e">
        <v>#N/A</v>
      </c>
      <c r="CH136" t="e">
        <v>#N/A</v>
      </c>
      <c r="CL136" t="e">
        <f t="shared" si="52"/>
        <v>#N/A</v>
      </c>
      <c r="CM136" t="e">
        <v>#N/A</v>
      </c>
      <c r="CN136" t="e" cm="1">
        <f t="array" ref="CN136">IF(ISNUMBER(CM136),AF136/COUNT(IF(ISNUMBER(_xlfn.ANCHORARRAY($CM$11)),_xlfn.ANCHORARRAY($CM$11))),NA())</f>
        <v>#N/A</v>
      </c>
      <c r="CO136" t="e">
        <f t="shared" si="53"/>
        <v>#N/A</v>
      </c>
      <c r="CQ136" t="e">
        <f t="shared" si="54"/>
        <v>#N/A</v>
      </c>
      <c r="CR136" t="e">
        <f t="shared" si="55"/>
        <v>#N/A</v>
      </c>
      <c r="CT136" t="e">
        <v>#N/A</v>
      </c>
      <c r="CU136" t="e">
        <v>#N/A</v>
      </c>
      <c r="CY136" t="e">
        <f t="shared" si="56"/>
        <v>#N/A</v>
      </c>
      <c r="CZ136" t="e">
        <v>#N/A</v>
      </c>
      <c r="DA136" t="e" cm="1">
        <f t="array" ref="DA136">IF(ISNUMBER(CZ136),AF136/COUNT(IF(ISNUMBER(_xlfn.ANCHORARRAY($CZ$11)),_xlfn.ANCHORARRAY($CZ$11))),NA())</f>
        <v>#N/A</v>
      </c>
      <c r="DB136" t="e">
        <f t="shared" si="57"/>
        <v>#N/A</v>
      </c>
      <c r="DD136" t="e">
        <f t="shared" si="58"/>
        <v>#N/A</v>
      </c>
      <c r="DE136" t="e">
        <f t="shared" si="59"/>
        <v>#N/A</v>
      </c>
      <c r="DG136" t="e">
        <v>#N/A</v>
      </c>
      <c r="DH136" t="e">
        <v>#N/A</v>
      </c>
    </row>
    <row r="137" spans="32:112">
      <c r="AF137">
        <v>127</v>
      </c>
      <c r="AG137" s="401">
        <f>'Lab test'!N130</f>
        <v>161.92500000000001</v>
      </c>
      <c r="AH137" s="401">
        <f>'Lab test'!M130</f>
        <v>0.21589999999999998</v>
      </c>
      <c r="AI137">
        <f>IF('Lab test'!O130&gt;0,'Lab test'!O130,NA())</f>
        <v>227.54166663915001</v>
      </c>
      <c r="AJ137">
        <f>'Lab test'!Q130</f>
        <v>750.00000000000011</v>
      </c>
      <c r="AK137" s="401">
        <f>IF('Lab test'!V130&gt;0,'Lab test'!V130,NA())</f>
        <v>199947.96150188247</v>
      </c>
      <c r="AL137" s="7" t="e">
        <f>IF(MAX('Lab test'!W130,'Lab test'!X130)&gt;0,MAX('Lab test'!W130,'Lab test'!X130),NA())</f>
        <v>#N/A</v>
      </c>
      <c r="AM137" s="401">
        <f>IF('Lab test'!P130&gt;0,'Lab test'!P130,NA())</f>
        <v>5.1311699280771207E-2</v>
      </c>
      <c r="AN137" s="401" t="e">
        <f>IF('Lab test'!AU130&gt;0,'Lab test'!AU130,NA())</f>
        <v>#N/A</v>
      </c>
      <c r="AO137" s="401">
        <f>IF('Lab test'!AT130&gt;0,'Lab test'!AT130,NA())</f>
        <v>0.3022897964821582</v>
      </c>
      <c r="AP137" t="e">
        <f t="shared" si="60"/>
        <v>#N/A</v>
      </c>
      <c r="AQ137" s="401">
        <f>'Lab test'!AZ130</f>
        <v>1939</v>
      </c>
      <c r="AR137" t="str">
        <f>'Lab test'!AC130</f>
        <v>LTWb</v>
      </c>
      <c r="AS137" t="str">
        <f>'Lab test'!T130</f>
        <v>Steel</v>
      </c>
      <c r="AX137" t="e">
        <f t="shared" si="45"/>
        <v>#N/A</v>
      </c>
      <c r="AY137" t="e">
        <f t="shared" si="64"/>
        <v>#N/A</v>
      </c>
      <c r="AZ137" t="e">
        <f t="shared" si="61"/>
        <v>#N/A</v>
      </c>
      <c r="BA137" t="e">
        <f t="shared" si="61"/>
        <v>#N/A</v>
      </c>
      <c r="BB137" t="e">
        <f t="shared" si="61"/>
        <v>#N/A</v>
      </c>
      <c r="BC137" t="e">
        <f t="shared" si="61"/>
        <v>#N/A</v>
      </c>
      <c r="BD137" t="e">
        <f t="shared" si="61"/>
        <v>#N/A</v>
      </c>
      <c r="BG137" t="e">
        <f t="shared" si="46"/>
        <v>#N/A</v>
      </c>
      <c r="BH137" t="e">
        <f t="shared" si="65"/>
        <v>#N/A</v>
      </c>
      <c r="BI137" t="e">
        <f t="shared" si="62"/>
        <v>#N/A</v>
      </c>
      <c r="BJ137" t="e">
        <f t="shared" si="62"/>
        <v>#N/A</v>
      </c>
      <c r="BK137" t="e">
        <f t="shared" si="62"/>
        <v>#N/A</v>
      </c>
      <c r="BL137" t="e">
        <f t="shared" si="62"/>
        <v>#N/A</v>
      </c>
      <c r="BM137" t="e">
        <f t="shared" si="62"/>
        <v>#N/A</v>
      </c>
      <c r="BP137" t="e">
        <f t="shared" si="47"/>
        <v>#N/A</v>
      </c>
      <c r="BQ137" t="e">
        <f t="shared" si="66"/>
        <v>#N/A</v>
      </c>
      <c r="BR137" t="e">
        <f t="shared" si="63"/>
        <v>#N/A</v>
      </c>
      <c r="BS137" t="e">
        <f t="shared" si="63"/>
        <v>#N/A</v>
      </c>
      <c r="BT137" t="e">
        <f t="shared" si="63"/>
        <v>#N/A</v>
      </c>
      <c r="BU137" t="e">
        <f t="shared" si="63"/>
        <v>#N/A</v>
      </c>
      <c r="BV137" t="e">
        <f t="shared" si="63"/>
        <v>#N/A</v>
      </c>
      <c r="BY137" t="e">
        <f t="shared" si="48"/>
        <v>#N/A</v>
      </c>
      <c r="BZ137" t="e">
        <v>#N/A</v>
      </c>
      <c r="CA137" t="e" cm="1">
        <f t="array" ref="CA137">IF(ISNUMBER(BZ137),AF137/COUNT(IF(ISNUMBER(_xlfn.ANCHORARRAY($BZ$11)),_xlfn.ANCHORARRAY($BZ$11))),NA())</f>
        <v>#N/A</v>
      </c>
      <c r="CB137" t="e">
        <f t="shared" si="49"/>
        <v>#N/A</v>
      </c>
      <c r="CD137" t="e">
        <f t="shared" si="50"/>
        <v>#N/A</v>
      </c>
      <c r="CE137" t="e">
        <f t="shared" si="51"/>
        <v>#N/A</v>
      </c>
      <c r="CG137" t="e">
        <v>#N/A</v>
      </c>
      <c r="CH137" t="e">
        <v>#N/A</v>
      </c>
      <c r="CL137" t="e">
        <f t="shared" si="52"/>
        <v>#N/A</v>
      </c>
      <c r="CM137" t="e">
        <v>#N/A</v>
      </c>
      <c r="CN137" t="e" cm="1">
        <f t="array" ref="CN137">IF(ISNUMBER(CM137),AF137/COUNT(IF(ISNUMBER(_xlfn.ANCHORARRAY($CM$11)),_xlfn.ANCHORARRAY($CM$11))),NA())</f>
        <v>#N/A</v>
      </c>
      <c r="CO137" t="e">
        <f t="shared" si="53"/>
        <v>#N/A</v>
      </c>
      <c r="CQ137" t="e">
        <f t="shared" si="54"/>
        <v>#N/A</v>
      </c>
      <c r="CR137" t="e">
        <f t="shared" si="55"/>
        <v>#N/A</v>
      </c>
      <c r="CT137" t="e">
        <v>#N/A</v>
      </c>
      <c r="CU137" t="e">
        <v>#N/A</v>
      </c>
      <c r="CY137" t="e">
        <f t="shared" si="56"/>
        <v>#N/A</v>
      </c>
      <c r="CZ137" t="e">
        <v>#N/A</v>
      </c>
      <c r="DA137" t="e" cm="1">
        <f t="array" ref="DA137">IF(ISNUMBER(CZ137),AF137/COUNT(IF(ISNUMBER(_xlfn.ANCHORARRAY($CZ$11)),_xlfn.ANCHORARRAY($CZ$11))),NA())</f>
        <v>#N/A</v>
      </c>
      <c r="DB137" t="e">
        <f t="shared" si="57"/>
        <v>#N/A</v>
      </c>
      <c r="DD137" t="e">
        <f t="shared" si="58"/>
        <v>#N/A</v>
      </c>
      <c r="DE137" t="e">
        <f t="shared" si="59"/>
        <v>#N/A</v>
      </c>
      <c r="DG137" t="e">
        <v>#N/A</v>
      </c>
      <c r="DH137" t="e">
        <v>#N/A</v>
      </c>
    </row>
    <row r="138" spans="32:112">
      <c r="AF138">
        <v>128</v>
      </c>
      <c r="AG138" s="401">
        <f>'Lab test'!N131</f>
        <v>161.92500000000001</v>
      </c>
      <c r="AH138" s="401">
        <f>'Lab test'!M131</f>
        <v>0.21589999999999998</v>
      </c>
      <c r="AI138">
        <f>IF('Lab test'!O131&gt;0,'Lab test'!O131,NA())</f>
        <v>177.80000005080004</v>
      </c>
      <c r="AJ138">
        <f>'Lab test'!Q131</f>
        <v>750.00000000000011</v>
      </c>
      <c r="AK138" s="401">
        <f>IF('Lab test'!V131&gt;0,'Lab test'!V131,NA())</f>
        <v>199947.96150188247</v>
      </c>
      <c r="AL138" s="7" t="e">
        <f>IF(MAX('Lab test'!W131,'Lab test'!X131)&gt;0,MAX('Lab test'!W131,'Lab test'!X131),NA())</f>
        <v>#N/A</v>
      </c>
      <c r="AM138" s="401">
        <f>IF('Lab test'!P131&gt;0,'Lab test'!P131,NA())</f>
        <v>4.0094723175232501E-2</v>
      </c>
      <c r="AN138" s="401" t="e">
        <f>IF('Lab test'!AU131&gt;0,'Lab test'!AU131,NA())</f>
        <v>#N/A</v>
      </c>
      <c r="AO138" s="401">
        <f>IF('Lab test'!AT131&gt;0,'Lab test'!AT131,NA())</f>
        <v>0.3022897964821582</v>
      </c>
      <c r="AP138" t="e">
        <f t="shared" si="60"/>
        <v>#N/A</v>
      </c>
      <c r="AQ138" s="401">
        <f>'Lab test'!AZ131</f>
        <v>1939</v>
      </c>
      <c r="AR138" t="str">
        <f>'Lab test'!AC131</f>
        <v>LTWb</v>
      </c>
      <c r="AS138" t="str">
        <f>'Lab test'!T131</f>
        <v>Steel</v>
      </c>
      <c r="AX138" t="e">
        <f t="shared" si="45"/>
        <v>#N/A</v>
      </c>
      <c r="AY138" t="e">
        <f t="shared" si="64"/>
        <v>#N/A</v>
      </c>
      <c r="AZ138" t="e">
        <f t="shared" si="61"/>
        <v>#N/A</v>
      </c>
      <c r="BA138" t="e">
        <f t="shared" si="61"/>
        <v>#N/A</v>
      </c>
      <c r="BB138" t="e">
        <f t="shared" si="61"/>
        <v>#N/A</v>
      </c>
      <c r="BC138" t="e">
        <f t="shared" si="61"/>
        <v>#N/A</v>
      </c>
      <c r="BD138" t="e">
        <f t="shared" si="61"/>
        <v>#N/A</v>
      </c>
      <c r="BG138" t="e">
        <f t="shared" si="46"/>
        <v>#N/A</v>
      </c>
      <c r="BH138" t="e">
        <f t="shared" si="65"/>
        <v>#N/A</v>
      </c>
      <c r="BI138" t="e">
        <f t="shared" si="62"/>
        <v>#N/A</v>
      </c>
      <c r="BJ138" t="e">
        <f t="shared" si="62"/>
        <v>#N/A</v>
      </c>
      <c r="BK138" t="e">
        <f t="shared" si="62"/>
        <v>#N/A</v>
      </c>
      <c r="BL138" t="e">
        <f t="shared" si="62"/>
        <v>#N/A</v>
      </c>
      <c r="BM138" t="e">
        <f t="shared" si="62"/>
        <v>#N/A</v>
      </c>
      <c r="BP138" t="e">
        <f t="shared" si="47"/>
        <v>#N/A</v>
      </c>
      <c r="BQ138" t="e">
        <f t="shared" si="66"/>
        <v>#N/A</v>
      </c>
      <c r="BR138" t="e">
        <f t="shared" si="63"/>
        <v>#N/A</v>
      </c>
      <c r="BS138" t="e">
        <f t="shared" si="63"/>
        <v>#N/A</v>
      </c>
      <c r="BT138" t="e">
        <f t="shared" si="63"/>
        <v>#N/A</v>
      </c>
      <c r="BU138" t="e">
        <f t="shared" si="63"/>
        <v>#N/A</v>
      </c>
      <c r="BV138" t="e">
        <f t="shared" si="63"/>
        <v>#N/A</v>
      </c>
      <c r="BY138" t="e">
        <f t="shared" si="48"/>
        <v>#N/A</v>
      </c>
      <c r="BZ138" t="e">
        <v>#N/A</v>
      </c>
      <c r="CA138" t="e" cm="1">
        <f t="array" ref="CA138">IF(ISNUMBER(BZ138),AF138/COUNT(IF(ISNUMBER(_xlfn.ANCHORARRAY($BZ$11)),_xlfn.ANCHORARRAY($BZ$11))),NA())</f>
        <v>#N/A</v>
      </c>
      <c r="CB138" t="e">
        <f t="shared" si="49"/>
        <v>#N/A</v>
      </c>
      <c r="CD138" t="e">
        <f t="shared" si="50"/>
        <v>#N/A</v>
      </c>
      <c r="CE138" t="e">
        <f t="shared" si="51"/>
        <v>#N/A</v>
      </c>
      <c r="CG138" t="e">
        <v>#N/A</v>
      </c>
      <c r="CH138" t="e">
        <v>#N/A</v>
      </c>
      <c r="CL138" t="e">
        <f t="shared" si="52"/>
        <v>#N/A</v>
      </c>
      <c r="CM138" t="e">
        <v>#N/A</v>
      </c>
      <c r="CN138" t="e" cm="1">
        <f t="array" ref="CN138">IF(ISNUMBER(CM138),AF138/COUNT(IF(ISNUMBER(_xlfn.ANCHORARRAY($CM$11)),_xlfn.ANCHORARRAY($CM$11))),NA())</f>
        <v>#N/A</v>
      </c>
      <c r="CO138" t="e">
        <f t="shared" si="53"/>
        <v>#N/A</v>
      </c>
      <c r="CQ138" t="e">
        <f t="shared" si="54"/>
        <v>#N/A</v>
      </c>
      <c r="CR138" t="e">
        <f t="shared" si="55"/>
        <v>#N/A</v>
      </c>
      <c r="CT138" t="e">
        <v>#N/A</v>
      </c>
      <c r="CU138" t="e">
        <v>#N/A</v>
      </c>
      <c r="CY138" t="e">
        <f t="shared" si="56"/>
        <v>#N/A</v>
      </c>
      <c r="CZ138" t="e">
        <v>#N/A</v>
      </c>
      <c r="DA138" t="e" cm="1">
        <f t="array" ref="DA138">IF(ISNUMBER(CZ138),AF138/COUNT(IF(ISNUMBER(_xlfn.ANCHORARRAY($CZ$11)),_xlfn.ANCHORARRAY($CZ$11))),NA())</f>
        <v>#N/A</v>
      </c>
      <c r="DB138" t="e">
        <f t="shared" si="57"/>
        <v>#N/A</v>
      </c>
      <c r="DD138" t="e">
        <f t="shared" si="58"/>
        <v>#N/A</v>
      </c>
      <c r="DE138" t="e">
        <f t="shared" si="59"/>
        <v>#N/A</v>
      </c>
      <c r="DG138" t="e">
        <v>#N/A</v>
      </c>
      <c r="DH138" t="e">
        <v>#N/A</v>
      </c>
    </row>
    <row r="139" spans="32:112">
      <c r="AF139">
        <v>129</v>
      </c>
      <c r="AG139" s="401">
        <f>'Lab test'!N132</f>
        <v>161.92500000000001</v>
      </c>
      <c r="AH139" s="401">
        <f>'Lab test'!M132</f>
        <v>0.21589999999999998</v>
      </c>
      <c r="AI139">
        <f>IF('Lab test'!O132&gt;0,'Lab test'!O132,NA())</f>
        <v>129.116666680425</v>
      </c>
      <c r="AJ139">
        <f>'Lab test'!Q132</f>
        <v>750.00000000000011</v>
      </c>
      <c r="AK139" s="401">
        <f>IF('Lab test'!V132&gt;0,'Lab test'!V132,NA())</f>
        <v>199947.96150188247</v>
      </c>
      <c r="AL139" s="7" t="e">
        <f>IF(MAX('Lab test'!W132,'Lab test'!X132)&gt;0,MAX('Lab test'!W132,'Lab test'!X132),NA())</f>
        <v>#N/A</v>
      </c>
      <c r="AM139" s="401">
        <f>IF('Lab test'!P132&gt;0,'Lab test'!P132,NA())</f>
        <v>2.9116406110131006E-2</v>
      </c>
      <c r="AN139" s="401" t="e">
        <f>IF('Lab test'!AU132&gt;0,'Lab test'!AU132,NA())</f>
        <v>#N/A</v>
      </c>
      <c r="AO139" s="401">
        <f>IF('Lab test'!AT132&gt;0,'Lab test'!AT132,NA())</f>
        <v>0.34456571405760156</v>
      </c>
      <c r="AP139" t="e">
        <f t="shared" si="60"/>
        <v>#N/A</v>
      </c>
      <c r="AQ139" s="401">
        <f>'Lab test'!AZ132</f>
        <v>1939</v>
      </c>
      <c r="AR139" t="str">
        <f>'Lab test'!AC132</f>
        <v>LTWb</v>
      </c>
      <c r="AS139" t="str">
        <f>'Lab test'!T132</f>
        <v>Steel</v>
      </c>
      <c r="AX139" t="e">
        <f t="shared" si="45"/>
        <v>#N/A</v>
      </c>
      <c r="AY139" t="e">
        <f t="shared" si="64"/>
        <v>#N/A</v>
      </c>
      <c r="AZ139" t="e">
        <f t="shared" si="61"/>
        <v>#N/A</v>
      </c>
      <c r="BA139" t="e">
        <f t="shared" si="61"/>
        <v>#N/A</v>
      </c>
      <c r="BB139" t="e">
        <f t="shared" si="61"/>
        <v>#N/A</v>
      </c>
      <c r="BC139" t="e">
        <f t="shared" si="61"/>
        <v>#N/A</v>
      </c>
      <c r="BD139" t="e">
        <f t="shared" si="61"/>
        <v>#N/A</v>
      </c>
      <c r="BG139" t="e">
        <f t="shared" si="46"/>
        <v>#N/A</v>
      </c>
      <c r="BH139" t="e">
        <f t="shared" si="65"/>
        <v>#N/A</v>
      </c>
      <c r="BI139" t="e">
        <f t="shared" si="62"/>
        <v>#N/A</v>
      </c>
      <c r="BJ139" t="e">
        <f t="shared" si="62"/>
        <v>#N/A</v>
      </c>
      <c r="BK139" t="e">
        <f t="shared" si="62"/>
        <v>#N/A</v>
      </c>
      <c r="BL139" t="e">
        <f t="shared" si="62"/>
        <v>#N/A</v>
      </c>
      <c r="BM139" t="e">
        <f t="shared" si="62"/>
        <v>#N/A</v>
      </c>
      <c r="BP139" t="e">
        <f t="shared" si="47"/>
        <v>#N/A</v>
      </c>
      <c r="BQ139" t="e">
        <f t="shared" si="66"/>
        <v>#N/A</v>
      </c>
      <c r="BR139" t="e">
        <f t="shared" si="63"/>
        <v>#N/A</v>
      </c>
      <c r="BS139" t="e">
        <f t="shared" si="63"/>
        <v>#N/A</v>
      </c>
      <c r="BT139" t="e">
        <f t="shared" si="63"/>
        <v>#N/A</v>
      </c>
      <c r="BU139" t="e">
        <f t="shared" si="63"/>
        <v>#N/A</v>
      </c>
      <c r="BV139" t="e">
        <f t="shared" si="63"/>
        <v>#N/A</v>
      </c>
      <c r="BY139" t="e">
        <f t="shared" si="48"/>
        <v>#N/A</v>
      </c>
      <c r="BZ139" t="e">
        <v>#N/A</v>
      </c>
      <c r="CA139" t="e" cm="1">
        <f t="array" ref="CA139">IF(ISNUMBER(BZ139),AF139/COUNT(IF(ISNUMBER(_xlfn.ANCHORARRAY($BZ$11)),_xlfn.ANCHORARRAY($BZ$11))),NA())</f>
        <v>#N/A</v>
      </c>
      <c r="CB139" t="e">
        <f t="shared" si="49"/>
        <v>#N/A</v>
      </c>
      <c r="CD139" t="e">
        <f t="shared" si="50"/>
        <v>#N/A</v>
      </c>
      <c r="CE139" t="e">
        <f t="shared" si="51"/>
        <v>#N/A</v>
      </c>
      <c r="CG139" t="e">
        <v>#N/A</v>
      </c>
      <c r="CH139" t="e">
        <v>#N/A</v>
      </c>
      <c r="CL139" t="e">
        <f t="shared" si="52"/>
        <v>#N/A</v>
      </c>
      <c r="CM139" t="e">
        <v>#N/A</v>
      </c>
      <c r="CN139" t="e" cm="1">
        <f t="array" ref="CN139">IF(ISNUMBER(CM139),AF139/COUNT(IF(ISNUMBER(_xlfn.ANCHORARRAY($CM$11)),_xlfn.ANCHORARRAY($CM$11))),NA())</f>
        <v>#N/A</v>
      </c>
      <c r="CO139" t="e">
        <f t="shared" si="53"/>
        <v>#N/A</v>
      </c>
      <c r="CQ139" t="e">
        <f t="shared" si="54"/>
        <v>#N/A</v>
      </c>
      <c r="CR139" t="e">
        <f t="shared" si="55"/>
        <v>#N/A</v>
      </c>
      <c r="CT139" t="e">
        <v>#N/A</v>
      </c>
      <c r="CU139" t="e">
        <v>#N/A</v>
      </c>
      <c r="CY139" t="e">
        <f t="shared" si="56"/>
        <v>#N/A</v>
      </c>
      <c r="CZ139" t="e">
        <v>#N/A</v>
      </c>
      <c r="DA139" t="e" cm="1">
        <f t="array" ref="DA139">IF(ISNUMBER(CZ139),AF139/COUNT(IF(ISNUMBER(_xlfn.ANCHORARRAY($CZ$11)),_xlfn.ANCHORARRAY($CZ$11))),NA())</f>
        <v>#N/A</v>
      </c>
      <c r="DB139" t="e">
        <f t="shared" si="57"/>
        <v>#N/A</v>
      </c>
      <c r="DD139" t="e">
        <f t="shared" si="58"/>
        <v>#N/A</v>
      </c>
      <c r="DE139" t="e">
        <f t="shared" si="59"/>
        <v>#N/A</v>
      </c>
      <c r="DG139" t="e">
        <v>#N/A</v>
      </c>
      <c r="DH139" t="e">
        <v>#N/A</v>
      </c>
    </row>
    <row r="140" spans="32:112">
      <c r="AF140">
        <v>130</v>
      </c>
      <c r="AG140" s="401">
        <f>'Lab test'!N133</f>
        <v>161.92500000000001</v>
      </c>
      <c r="AH140" s="401">
        <f>'Lab test'!M133</f>
        <v>0.21589999999999998</v>
      </c>
      <c r="AI140">
        <f>IF('Lab test'!O133&gt;0,'Lab test'!O133,NA())</f>
        <v>126.47083339260001</v>
      </c>
      <c r="AJ140">
        <f>'Lab test'!Q133</f>
        <v>750.00000000000011</v>
      </c>
      <c r="AK140" s="401">
        <f>IF('Lab test'!V133&gt;0,'Lab test'!V133,NA())</f>
        <v>199947.96150188247</v>
      </c>
      <c r="AL140" s="7" t="e">
        <f>IF(MAX('Lab test'!W133,'Lab test'!X133)&gt;0,MAX('Lab test'!W133,'Lab test'!X133),NA())</f>
        <v>#N/A</v>
      </c>
      <c r="AM140" s="401">
        <f>IF('Lab test'!P133&gt;0,'Lab test'!P133,NA())</f>
        <v>2.8519758454265715E-2</v>
      </c>
      <c r="AN140" s="401" t="e">
        <f>IF('Lab test'!AU133&gt;0,'Lab test'!AU133,NA())</f>
        <v>#N/A</v>
      </c>
      <c r="AO140" s="401">
        <f>IF('Lab test'!AT133&gt;0,'Lab test'!AT133,NA())</f>
        <v>0.32806042722189011</v>
      </c>
      <c r="AP140" t="e">
        <f t="shared" si="60"/>
        <v>#N/A</v>
      </c>
      <c r="AQ140" s="401">
        <f>'Lab test'!AZ133</f>
        <v>1939</v>
      </c>
      <c r="AR140" t="str">
        <f>'Lab test'!AC133</f>
        <v>LTWb</v>
      </c>
      <c r="AS140" t="str">
        <f>'Lab test'!T133</f>
        <v>Steel</v>
      </c>
      <c r="AX140" t="e">
        <f t="shared" ref="AX140:AX203" si="67">IF(ISNUMBER($AJ140),IF(ISNUMBER($AP140),IF($AJ140&gt;=AX$9,IF($AJ140&lt;=AX$10,IF($AR140=$AW$2,IF($AS140=$AW$6,$AK140,NA()),NA()),NA()),NA()),NA()),NA())</f>
        <v>#N/A</v>
      </c>
      <c r="AY140" t="e">
        <f t="shared" si="64"/>
        <v>#N/A</v>
      </c>
      <c r="AZ140" t="e">
        <f t="shared" si="61"/>
        <v>#N/A</v>
      </c>
      <c r="BA140" t="e">
        <f t="shared" si="61"/>
        <v>#N/A</v>
      </c>
      <c r="BB140" t="e">
        <f t="shared" si="61"/>
        <v>#N/A</v>
      </c>
      <c r="BC140" t="e">
        <f t="shared" si="61"/>
        <v>#N/A</v>
      </c>
      <c r="BD140" t="e">
        <f t="shared" si="61"/>
        <v>#N/A</v>
      </c>
      <c r="BG140" t="e">
        <f t="shared" ref="BG140:BG203" si="68">IF(ISNUMBER($AJ140),IF(ISNUMBER($AP140),IF($AJ140&gt;=BG$9,IF($AJ140&lt;=BG$10,IF($AR140=$AW$2,IF($AS140=$BF$6,$AK140,NA()),NA()),NA()),NA()),NA()),NA())</f>
        <v>#N/A</v>
      </c>
      <c r="BH140" t="e">
        <f t="shared" si="65"/>
        <v>#N/A</v>
      </c>
      <c r="BI140" t="e">
        <f t="shared" si="62"/>
        <v>#N/A</v>
      </c>
      <c r="BJ140" t="e">
        <f t="shared" si="62"/>
        <v>#N/A</v>
      </c>
      <c r="BK140" t="e">
        <f t="shared" si="62"/>
        <v>#N/A</v>
      </c>
      <c r="BL140" t="e">
        <f t="shared" si="62"/>
        <v>#N/A</v>
      </c>
      <c r="BM140" t="e">
        <f t="shared" si="62"/>
        <v>#N/A</v>
      </c>
      <c r="BP140" t="e">
        <f t="shared" ref="BP140:BP203" si="69">IF(ISNUMBER($AJ140),IF(ISNUMBER($AP140),IF($AJ140&gt;=BP$9,IF($AJ140&lt;=BP$10,IF($AR140=$AW$2,IF($AS140=$BO$6,$AK140,NA()),NA()),NA()),NA()),NA()),NA())</f>
        <v>#N/A</v>
      </c>
      <c r="BQ140" t="e">
        <f t="shared" si="66"/>
        <v>#N/A</v>
      </c>
      <c r="BR140" t="e">
        <f t="shared" si="63"/>
        <v>#N/A</v>
      </c>
      <c r="BS140" t="e">
        <f t="shared" si="63"/>
        <v>#N/A</v>
      </c>
      <c r="BT140" t="e">
        <f t="shared" si="63"/>
        <v>#N/A</v>
      </c>
      <c r="BU140" t="e">
        <f t="shared" si="63"/>
        <v>#N/A</v>
      </c>
      <c r="BV140" t="e">
        <f t="shared" si="63"/>
        <v>#N/A</v>
      </c>
      <c r="BY140" t="e">
        <f t="shared" ref="BY140:BY203" si="70">IF(ISNUMBER(AP140),IF($AR140=$AW$2,IF($AS140=$AW$6,$AK140,NA()),NA()),NA())</f>
        <v>#N/A</v>
      </c>
      <c r="BZ140" t="e">
        <v>#N/A</v>
      </c>
      <c r="CA140" t="e" cm="1">
        <f t="array" ref="CA140">IF(ISNUMBER(BZ140),AF140/COUNT(IF(ISNUMBER(_xlfn.ANCHORARRAY($BZ$11)),_xlfn.ANCHORARRAY($BZ$11))),NA())</f>
        <v>#N/A</v>
      </c>
      <c r="CB140" t="e">
        <f t="shared" ref="CB140:CB203" si="71">IF(BZ140=BZ141,NA(),CA140)</f>
        <v>#N/A</v>
      </c>
      <c r="CD140" t="e">
        <f t="shared" ref="CD140:CD203" si="72">CB140</f>
        <v>#N/A</v>
      </c>
      <c r="CE140" t="e">
        <f t="shared" ref="CE140:CE203" si="73">BZ140</f>
        <v>#N/A</v>
      </c>
      <c r="CG140" t="e">
        <v>#N/A</v>
      </c>
      <c r="CH140" t="e">
        <v>#N/A</v>
      </c>
      <c r="CL140" t="e">
        <f t="shared" ref="CL140:CL203" si="74">IF(ISNUMBER(AP140),IF($AR140=$AW$2,IF($AS140=$BF$6,$AK140,NA()),NA()),NA())</f>
        <v>#N/A</v>
      </c>
      <c r="CM140" t="e">
        <v>#N/A</v>
      </c>
      <c r="CN140" t="e" cm="1">
        <f t="array" ref="CN140">IF(ISNUMBER(CM140),AF140/COUNT(IF(ISNUMBER(_xlfn.ANCHORARRAY($CM$11)),_xlfn.ANCHORARRAY($CM$11))),NA())</f>
        <v>#N/A</v>
      </c>
      <c r="CO140" t="e">
        <f t="shared" ref="CO140:CO203" si="75">IF(CM140=CM141,NA(),CN140)</f>
        <v>#N/A</v>
      </c>
      <c r="CQ140" t="e">
        <f t="shared" ref="CQ140:CQ203" si="76">CO140</f>
        <v>#N/A</v>
      </c>
      <c r="CR140" t="e">
        <f t="shared" ref="CR140:CR203" si="77">CM140</f>
        <v>#N/A</v>
      </c>
      <c r="CT140" t="e">
        <v>#N/A</v>
      </c>
      <c r="CU140" t="e">
        <v>#N/A</v>
      </c>
      <c r="CY140" t="e">
        <f t="shared" ref="CY140:CY203" si="78">IF(ISNUMBER(AP140),IF($AR140=$AW$2,IF($AS140=$BO$6,$AK140,NA()),NA()),NA())</f>
        <v>#N/A</v>
      </c>
      <c r="CZ140" t="e">
        <v>#N/A</v>
      </c>
      <c r="DA140" t="e" cm="1">
        <f t="array" ref="DA140">IF(ISNUMBER(CZ140),AF140/COUNT(IF(ISNUMBER(_xlfn.ANCHORARRAY($CZ$11)),_xlfn.ANCHORARRAY($CZ$11))),NA())</f>
        <v>#N/A</v>
      </c>
      <c r="DB140" t="e">
        <f t="shared" ref="DB140:DB203" si="79">IF(CZ140=CZ141,NA(),DA140)</f>
        <v>#N/A</v>
      </c>
      <c r="DD140" t="e">
        <f t="shared" ref="DD140:DD203" si="80">DB140</f>
        <v>#N/A</v>
      </c>
      <c r="DE140" t="e">
        <f t="shared" ref="DE140:DE203" si="81">CZ140</f>
        <v>#N/A</v>
      </c>
      <c r="DG140" t="e">
        <v>#N/A</v>
      </c>
      <c r="DH140" t="e">
        <v>#N/A</v>
      </c>
    </row>
    <row r="141" spans="32:112">
      <c r="AF141">
        <v>131</v>
      </c>
      <c r="AG141" s="401">
        <f>'Lab test'!N134</f>
        <v>161.92500000000001</v>
      </c>
      <c r="AH141" s="401">
        <f>'Lab test'!M134</f>
        <v>0.21589999999999998</v>
      </c>
      <c r="AI141">
        <f>IF('Lab test'!O134&gt;0,'Lab test'!O134,NA())</f>
        <v>74.083333354500013</v>
      </c>
      <c r="AJ141">
        <f>'Lab test'!Q134</f>
        <v>750.00000000000011</v>
      </c>
      <c r="AK141" s="401">
        <f>IF('Lab test'!V134&gt;0,'Lab test'!V134,NA())</f>
        <v>199947.96150188247</v>
      </c>
      <c r="AL141" s="7" t="e">
        <f>IF(MAX('Lab test'!W134,'Lab test'!X134)&gt;0,MAX('Lab test'!W134,'Lab test'!X134),NA())</f>
        <v>#N/A</v>
      </c>
      <c r="AM141" s="401">
        <f>IF('Lab test'!P134&gt;0,'Lab test'!P134,NA())</f>
        <v>1.6706134656346877E-2</v>
      </c>
      <c r="AN141" s="401" t="e">
        <f>IF('Lab test'!AU134&gt;0,'Lab test'!AU134,NA())</f>
        <v>#N/A</v>
      </c>
      <c r="AO141" s="401">
        <f>IF('Lab test'!AT134&gt;0,'Lab test'!AT134,NA())</f>
        <v>0.31234577184605744</v>
      </c>
      <c r="AP141" t="e">
        <f t="shared" si="60"/>
        <v>#N/A</v>
      </c>
      <c r="AQ141" s="401">
        <f>'Lab test'!AZ134</f>
        <v>1939</v>
      </c>
      <c r="AR141" t="str">
        <f>'Lab test'!AC134</f>
        <v>LTWb</v>
      </c>
      <c r="AS141" t="str">
        <f>'Lab test'!T134</f>
        <v>Steel</v>
      </c>
      <c r="AX141" t="e">
        <f t="shared" si="67"/>
        <v>#N/A</v>
      </c>
      <c r="AY141" t="e">
        <f t="shared" si="64"/>
        <v>#N/A</v>
      </c>
      <c r="AZ141" t="e">
        <f t="shared" si="61"/>
        <v>#N/A</v>
      </c>
      <c r="BA141" t="e">
        <f t="shared" si="61"/>
        <v>#N/A</v>
      </c>
      <c r="BB141" t="e">
        <f t="shared" si="61"/>
        <v>#N/A</v>
      </c>
      <c r="BC141" t="e">
        <f t="shared" si="61"/>
        <v>#N/A</v>
      </c>
      <c r="BD141" t="e">
        <f t="shared" si="61"/>
        <v>#N/A</v>
      </c>
      <c r="BG141" t="e">
        <f t="shared" si="68"/>
        <v>#N/A</v>
      </c>
      <c r="BH141" t="e">
        <f t="shared" si="65"/>
        <v>#N/A</v>
      </c>
      <c r="BI141" t="e">
        <f t="shared" si="62"/>
        <v>#N/A</v>
      </c>
      <c r="BJ141" t="e">
        <f t="shared" si="62"/>
        <v>#N/A</v>
      </c>
      <c r="BK141" t="e">
        <f t="shared" si="62"/>
        <v>#N/A</v>
      </c>
      <c r="BL141" t="e">
        <f t="shared" si="62"/>
        <v>#N/A</v>
      </c>
      <c r="BM141" t="e">
        <f t="shared" si="62"/>
        <v>#N/A</v>
      </c>
      <c r="BP141" t="e">
        <f t="shared" si="69"/>
        <v>#N/A</v>
      </c>
      <c r="BQ141" t="e">
        <f t="shared" si="66"/>
        <v>#N/A</v>
      </c>
      <c r="BR141" t="e">
        <f t="shared" si="63"/>
        <v>#N/A</v>
      </c>
      <c r="BS141" t="e">
        <f t="shared" si="63"/>
        <v>#N/A</v>
      </c>
      <c r="BT141" t="e">
        <f t="shared" si="63"/>
        <v>#N/A</v>
      </c>
      <c r="BU141" t="e">
        <f t="shared" si="63"/>
        <v>#N/A</v>
      </c>
      <c r="BV141" t="e">
        <f t="shared" si="63"/>
        <v>#N/A</v>
      </c>
      <c r="BY141" t="e">
        <f t="shared" si="70"/>
        <v>#N/A</v>
      </c>
      <c r="BZ141" t="e">
        <v>#N/A</v>
      </c>
      <c r="CA141" t="e" cm="1">
        <f t="array" ref="CA141">IF(ISNUMBER(BZ141),AF141/COUNT(IF(ISNUMBER(_xlfn.ANCHORARRAY($BZ$11)),_xlfn.ANCHORARRAY($BZ$11))),NA())</f>
        <v>#N/A</v>
      </c>
      <c r="CB141" t="e">
        <f t="shared" si="71"/>
        <v>#N/A</v>
      </c>
      <c r="CD141" t="e">
        <f t="shared" si="72"/>
        <v>#N/A</v>
      </c>
      <c r="CE141" t="e">
        <f t="shared" si="73"/>
        <v>#N/A</v>
      </c>
      <c r="CG141" t="e">
        <v>#N/A</v>
      </c>
      <c r="CH141" t="e">
        <v>#N/A</v>
      </c>
      <c r="CL141" t="e">
        <f t="shared" si="74"/>
        <v>#N/A</v>
      </c>
      <c r="CM141" t="e">
        <v>#N/A</v>
      </c>
      <c r="CN141" t="e" cm="1">
        <f t="array" ref="CN141">IF(ISNUMBER(CM141),AF141/COUNT(IF(ISNUMBER(_xlfn.ANCHORARRAY($CM$11)),_xlfn.ANCHORARRAY($CM$11))),NA())</f>
        <v>#N/A</v>
      </c>
      <c r="CO141" t="e">
        <f t="shared" si="75"/>
        <v>#N/A</v>
      </c>
      <c r="CQ141" t="e">
        <f t="shared" si="76"/>
        <v>#N/A</v>
      </c>
      <c r="CR141" t="e">
        <f t="shared" si="77"/>
        <v>#N/A</v>
      </c>
      <c r="CT141" t="e">
        <v>#N/A</v>
      </c>
      <c r="CU141" t="e">
        <v>#N/A</v>
      </c>
      <c r="CY141" t="e">
        <f t="shared" si="78"/>
        <v>#N/A</v>
      </c>
      <c r="CZ141" t="e">
        <v>#N/A</v>
      </c>
      <c r="DA141" t="e" cm="1">
        <f t="array" ref="DA141">IF(ISNUMBER(CZ141),AF141/COUNT(IF(ISNUMBER(_xlfn.ANCHORARRAY($CZ$11)),_xlfn.ANCHORARRAY($CZ$11))),NA())</f>
        <v>#N/A</v>
      </c>
      <c r="DB141" t="e">
        <f t="shared" si="79"/>
        <v>#N/A</v>
      </c>
      <c r="DD141" t="e">
        <f t="shared" si="80"/>
        <v>#N/A</v>
      </c>
      <c r="DE141" t="e">
        <f t="shared" si="81"/>
        <v>#N/A</v>
      </c>
      <c r="DG141" t="e">
        <v>#N/A</v>
      </c>
      <c r="DH141" t="e">
        <v>#N/A</v>
      </c>
    </row>
    <row r="142" spans="32:112">
      <c r="AF142">
        <v>132</v>
      </c>
      <c r="AG142" s="401">
        <f>'Lab test'!N135</f>
        <v>161.92500000000001</v>
      </c>
      <c r="AH142" s="401">
        <f>'Lab test'!M135</f>
        <v>0.21589999999999998</v>
      </c>
      <c r="AI142">
        <f>IF('Lab test'!O135&gt;0,'Lab test'!O135,NA())</f>
        <v>50.799999968250006</v>
      </c>
      <c r="AJ142">
        <f>'Lab test'!Q135</f>
        <v>750.00000000000011</v>
      </c>
      <c r="AK142" s="401">
        <f>IF('Lab test'!V135&gt;0,'Lab test'!V135,NA())</f>
        <v>199947.96150188247</v>
      </c>
      <c r="AL142" s="7" t="e">
        <f>IF(MAX('Lab test'!W135,'Lab test'!X135)&gt;0,MAX('Lab test'!W135,'Lab test'!X135),NA())</f>
        <v>#N/A</v>
      </c>
      <c r="AM142" s="401">
        <f>IF('Lab test'!P135&gt;0,'Lab test'!P135,NA())</f>
        <v>1.1455635182490761E-2</v>
      </c>
      <c r="AN142" s="401" t="e">
        <f>IF('Lab test'!AU135&gt;0,'Lab test'!AU135,NA())</f>
        <v>#N/A</v>
      </c>
      <c r="AO142" s="401">
        <f>IF('Lab test'!AT135&gt;0,'Lab test'!AT135,NA())</f>
        <v>0.53159753422996803</v>
      </c>
      <c r="AP142" t="e">
        <f t="shared" si="60"/>
        <v>#N/A</v>
      </c>
      <c r="AQ142" s="401">
        <f>'Lab test'!AZ135</f>
        <v>1939</v>
      </c>
      <c r="AR142" t="str">
        <f>'Lab test'!AC135</f>
        <v>LTWb</v>
      </c>
      <c r="AS142" t="str">
        <f>'Lab test'!T135</f>
        <v>Steel</v>
      </c>
      <c r="AX142" t="e">
        <f t="shared" si="67"/>
        <v>#N/A</v>
      </c>
      <c r="AY142" t="e">
        <f t="shared" si="64"/>
        <v>#N/A</v>
      </c>
      <c r="AZ142" t="e">
        <f t="shared" si="61"/>
        <v>#N/A</v>
      </c>
      <c r="BA142" t="e">
        <f t="shared" si="61"/>
        <v>#N/A</v>
      </c>
      <c r="BB142" t="e">
        <f t="shared" si="61"/>
        <v>#N/A</v>
      </c>
      <c r="BC142" t="e">
        <f t="shared" si="61"/>
        <v>#N/A</v>
      </c>
      <c r="BD142" t="e">
        <f t="shared" si="61"/>
        <v>#N/A</v>
      </c>
      <c r="BG142" t="e">
        <f t="shared" si="68"/>
        <v>#N/A</v>
      </c>
      <c r="BH142" t="e">
        <f t="shared" si="65"/>
        <v>#N/A</v>
      </c>
      <c r="BI142" t="e">
        <f t="shared" si="62"/>
        <v>#N/A</v>
      </c>
      <c r="BJ142" t="e">
        <f t="shared" si="62"/>
        <v>#N/A</v>
      </c>
      <c r="BK142" t="e">
        <f t="shared" si="62"/>
        <v>#N/A</v>
      </c>
      <c r="BL142" t="e">
        <f t="shared" si="62"/>
        <v>#N/A</v>
      </c>
      <c r="BM142" t="e">
        <f t="shared" si="62"/>
        <v>#N/A</v>
      </c>
      <c r="BP142" t="e">
        <f t="shared" si="69"/>
        <v>#N/A</v>
      </c>
      <c r="BQ142" t="e">
        <f t="shared" si="66"/>
        <v>#N/A</v>
      </c>
      <c r="BR142" t="e">
        <f t="shared" si="63"/>
        <v>#N/A</v>
      </c>
      <c r="BS142" t="e">
        <f t="shared" si="63"/>
        <v>#N/A</v>
      </c>
      <c r="BT142" t="e">
        <f t="shared" si="63"/>
        <v>#N/A</v>
      </c>
      <c r="BU142" t="e">
        <f t="shared" si="63"/>
        <v>#N/A</v>
      </c>
      <c r="BV142" t="e">
        <f t="shared" si="63"/>
        <v>#N/A</v>
      </c>
      <c r="BY142" t="e">
        <f t="shared" si="70"/>
        <v>#N/A</v>
      </c>
      <c r="BZ142" t="e">
        <v>#N/A</v>
      </c>
      <c r="CA142" t="e" cm="1">
        <f t="array" ref="CA142">IF(ISNUMBER(BZ142),AF142/COUNT(IF(ISNUMBER(_xlfn.ANCHORARRAY($BZ$11)),_xlfn.ANCHORARRAY($BZ$11))),NA())</f>
        <v>#N/A</v>
      </c>
      <c r="CB142" t="e">
        <f t="shared" si="71"/>
        <v>#N/A</v>
      </c>
      <c r="CD142" t="e">
        <f t="shared" si="72"/>
        <v>#N/A</v>
      </c>
      <c r="CE142" t="e">
        <f t="shared" si="73"/>
        <v>#N/A</v>
      </c>
      <c r="CG142" t="e">
        <v>#N/A</v>
      </c>
      <c r="CH142" t="e">
        <v>#N/A</v>
      </c>
      <c r="CL142" t="e">
        <f t="shared" si="74"/>
        <v>#N/A</v>
      </c>
      <c r="CM142" t="e">
        <v>#N/A</v>
      </c>
      <c r="CN142" t="e" cm="1">
        <f t="array" ref="CN142">IF(ISNUMBER(CM142),AF142/COUNT(IF(ISNUMBER(_xlfn.ANCHORARRAY($CM$11)),_xlfn.ANCHORARRAY($CM$11))),NA())</f>
        <v>#N/A</v>
      </c>
      <c r="CO142" t="e">
        <f t="shared" si="75"/>
        <v>#N/A</v>
      </c>
      <c r="CQ142" t="e">
        <f t="shared" si="76"/>
        <v>#N/A</v>
      </c>
      <c r="CR142" t="e">
        <f t="shared" si="77"/>
        <v>#N/A</v>
      </c>
      <c r="CT142" t="e">
        <v>#N/A</v>
      </c>
      <c r="CU142" t="e">
        <v>#N/A</v>
      </c>
      <c r="CY142" t="e">
        <f t="shared" si="78"/>
        <v>#N/A</v>
      </c>
      <c r="CZ142" t="e">
        <v>#N/A</v>
      </c>
      <c r="DA142" t="e" cm="1">
        <f t="array" ref="DA142">IF(ISNUMBER(CZ142),AF142/COUNT(IF(ISNUMBER(_xlfn.ANCHORARRAY($CZ$11)),_xlfn.ANCHORARRAY($CZ$11))),NA())</f>
        <v>#N/A</v>
      </c>
      <c r="DB142" t="e">
        <f t="shared" si="79"/>
        <v>#N/A</v>
      </c>
      <c r="DD142" t="e">
        <f t="shared" si="80"/>
        <v>#N/A</v>
      </c>
      <c r="DE142" t="e">
        <f t="shared" si="81"/>
        <v>#N/A</v>
      </c>
      <c r="DG142" t="e">
        <v>#N/A</v>
      </c>
      <c r="DH142" t="e">
        <v>#N/A</v>
      </c>
    </row>
    <row r="143" spans="32:112">
      <c r="AF143">
        <v>133</v>
      </c>
      <c r="AG143" s="401">
        <f>'Lab test'!N136</f>
        <v>161.92500000000001</v>
      </c>
      <c r="AH143" s="401">
        <f>'Lab test'!M136</f>
        <v>0.21589999999999998</v>
      </c>
      <c r="AI143">
        <f>IF('Lab test'!O136&gt;0,'Lab test'!O136,NA())</f>
        <v>25.929166674075002</v>
      </c>
      <c r="AJ143">
        <f>'Lab test'!Q136</f>
        <v>750.00000000000011</v>
      </c>
      <c r="AK143" s="401">
        <f>IF('Lab test'!V136&gt;0,'Lab test'!V136,NA())</f>
        <v>199947.96150188247</v>
      </c>
      <c r="AL143" s="7" t="e">
        <f>IF(MAX('Lab test'!W136,'Lab test'!X136)&gt;0,MAX('Lab test'!W136,'Lab test'!X136),NA())</f>
        <v>#N/A</v>
      </c>
      <c r="AM143" s="401">
        <f>IF('Lab test'!P136&gt;0,'Lab test'!P136,NA())</f>
        <v>5.8471471297214059E-3</v>
      </c>
      <c r="AN143" s="401" t="e">
        <f>IF('Lab test'!AU136&gt;0,'Lab test'!AU136,NA())</f>
        <v>#N/A</v>
      </c>
      <c r="AO143" s="401">
        <f>IF('Lab test'!AT136&gt;0,'Lab test'!AT136,NA())</f>
        <v>0.56292975945594959</v>
      </c>
      <c r="AP143" t="e">
        <f t="shared" si="60"/>
        <v>#N/A</v>
      </c>
      <c r="AQ143" s="401">
        <f>'Lab test'!AZ136</f>
        <v>1939</v>
      </c>
      <c r="AR143" t="str">
        <f>'Lab test'!AC136</f>
        <v>LTWb</v>
      </c>
      <c r="AS143" t="str">
        <f>'Lab test'!T136</f>
        <v>Steel</v>
      </c>
      <c r="AX143" t="e">
        <f t="shared" si="67"/>
        <v>#N/A</v>
      </c>
      <c r="AY143" t="e">
        <f t="shared" si="64"/>
        <v>#N/A</v>
      </c>
      <c r="AZ143" t="e">
        <f t="shared" si="61"/>
        <v>#N/A</v>
      </c>
      <c r="BA143" t="e">
        <f t="shared" si="61"/>
        <v>#N/A</v>
      </c>
      <c r="BB143" t="e">
        <f t="shared" si="61"/>
        <v>#N/A</v>
      </c>
      <c r="BC143" t="e">
        <f t="shared" si="61"/>
        <v>#N/A</v>
      </c>
      <c r="BD143" t="e">
        <f t="shared" si="61"/>
        <v>#N/A</v>
      </c>
      <c r="BG143" t="e">
        <f t="shared" si="68"/>
        <v>#N/A</v>
      </c>
      <c r="BH143" t="e">
        <f t="shared" si="65"/>
        <v>#N/A</v>
      </c>
      <c r="BI143" t="e">
        <f t="shared" si="62"/>
        <v>#N/A</v>
      </c>
      <c r="BJ143" t="e">
        <f t="shared" si="62"/>
        <v>#N/A</v>
      </c>
      <c r="BK143" t="e">
        <f t="shared" si="62"/>
        <v>#N/A</v>
      </c>
      <c r="BL143" t="e">
        <f t="shared" si="62"/>
        <v>#N/A</v>
      </c>
      <c r="BM143" t="e">
        <f t="shared" si="62"/>
        <v>#N/A</v>
      </c>
      <c r="BP143" t="e">
        <f t="shared" si="69"/>
        <v>#N/A</v>
      </c>
      <c r="BQ143" t="e">
        <f t="shared" si="66"/>
        <v>#N/A</v>
      </c>
      <c r="BR143" t="e">
        <f t="shared" si="63"/>
        <v>#N/A</v>
      </c>
      <c r="BS143" t="e">
        <f t="shared" si="63"/>
        <v>#N/A</v>
      </c>
      <c r="BT143" t="e">
        <f t="shared" si="63"/>
        <v>#N/A</v>
      </c>
      <c r="BU143" t="e">
        <f t="shared" si="63"/>
        <v>#N/A</v>
      </c>
      <c r="BV143" t="e">
        <f t="shared" si="63"/>
        <v>#N/A</v>
      </c>
      <c r="BY143" t="e">
        <f t="shared" si="70"/>
        <v>#N/A</v>
      </c>
      <c r="BZ143" t="e">
        <v>#N/A</v>
      </c>
      <c r="CA143" t="e" cm="1">
        <f t="array" ref="CA143">IF(ISNUMBER(BZ143),AF143/COUNT(IF(ISNUMBER(_xlfn.ANCHORARRAY($BZ$11)),_xlfn.ANCHORARRAY($BZ$11))),NA())</f>
        <v>#N/A</v>
      </c>
      <c r="CB143" t="e">
        <f t="shared" si="71"/>
        <v>#N/A</v>
      </c>
      <c r="CD143" t="e">
        <f t="shared" si="72"/>
        <v>#N/A</v>
      </c>
      <c r="CE143" t="e">
        <f t="shared" si="73"/>
        <v>#N/A</v>
      </c>
      <c r="CG143" t="e">
        <v>#N/A</v>
      </c>
      <c r="CH143" t="e">
        <v>#N/A</v>
      </c>
      <c r="CL143" t="e">
        <f t="shared" si="74"/>
        <v>#N/A</v>
      </c>
      <c r="CM143" t="e">
        <v>#N/A</v>
      </c>
      <c r="CN143" t="e" cm="1">
        <f t="array" ref="CN143">IF(ISNUMBER(CM143),AF143/COUNT(IF(ISNUMBER(_xlfn.ANCHORARRAY($CM$11)),_xlfn.ANCHORARRAY($CM$11))),NA())</f>
        <v>#N/A</v>
      </c>
      <c r="CO143" t="e">
        <f t="shared" si="75"/>
        <v>#N/A</v>
      </c>
      <c r="CQ143" t="e">
        <f t="shared" si="76"/>
        <v>#N/A</v>
      </c>
      <c r="CR143" t="e">
        <f t="shared" si="77"/>
        <v>#N/A</v>
      </c>
      <c r="CT143" t="e">
        <v>#N/A</v>
      </c>
      <c r="CU143" t="e">
        <v>#N/A</v>
      </c>
      <c r="CY143" t="e">
        <f t="shared" si="78"/>
        <v>#N/A</v>
      </c>
      <c r="CZ143" t="e">
        <v>#N/A</v>
      </c>
      <c r="DA143" t="e" cm="1">
        <f t="array" ref="DA143">IF(ISNUMBER(CZ143),AF143/COUNT(IF(ISNUMBER(_xlfn.ANCHORARRAY($CZ$11)),_xlfn.ANCHORARRAY($CZ$11))),NA())</f>
        <v>#N/A</v>
      </c>
      <c r="DB143" t="e">
        <f t="shared" si="79"/>
        <v>#N/A</v>
      </c>
      <c r="DD143" t="e">
        <f t="shared" si="80"/>
        <v>#N/A</v>
      </c>
      <c r="DE143" t="e">
        <f t="shared" si="81"/>
        <v>#N/A</v>
      </c>
      <c r="DG143" t="e">
        <v>#N/A</v>
      </c>
      <c r="DH143" t="e">
        <v>#N/A</v>
      </c>
    </row>
    <row r="144" spans="32:112">
      <c r="AF144">
        <v>134</v>
      </c>
      <c r="AG144" s="401">
        <f>'Lab test'!N137</f>
        <v>161.92500000000001</v>
      </c>
      <c r="AH144" s="401">
        <f>'Lab test'!M137</f>
        <v>0.21589999999999998</v>
      </c>
      <c r="AI144">
        <f>IF('Lab test'!O137&gt;0,'Lab test'!O137,NA())</f>
        <v>39.687499965074998</v>
      </c>
      <c r="AJ144">
        <f>'Lab test'!Q137</f>
        <v>750.00000000000011</v>
      </c>
      <c r="AK144" s="401">
        <f>IF('Lab test'!V137&gt;0,'Lab test'!V137,NA())</f>
        <v>199947.96150188247</v>
      </c>
      <c r="AL144" s="7" t="e">
        <f>IF(MAX('Lab test'!W137,'Lab test'!X137)&gt;0,MAX('Lab test'!W137,'Lab test'!X137),NA())</f>
        <v>#N/A</v>
      </c>
      <c r="AM144" s="401">
        <f>IF('Lab test'!P137&gt;0,'Lab test'!P137,NA())</f>
        <v>8.9497149840387282E-3</v>
      </c>
      <c r="AN144" s="401" t="e">
        <f>IF('Lab test'!AU137&gt;0,'Lab test'!AU137,NA())</f>
        <v>#N/A</v>
      </c>
      <c r="AO144" s="401">
        <f>IF('Lab test'!AT137&gt;0,'Lab test'!AT137,NA())</f>
        <v>0.62609995658685913</v>
      </c>
      <c r="AP144" t="e">
        <f t="shared" si="60"/>
        <v>#N/A</v>
      </c>
      <c r="AQ144" s="401">
        <f>'Lab test'!AZ137</f>
        <v>1939</v>
      </c>
      <c r="AR144" t="str">
        <f>'Lab test'!AC137</f>
        <v>LTWb</v>
      </c>
      <c r="AS144" t="str">
        <f>'Lab test'!T137</f>
        <v>Steel</v>
      </c>
      <c r="AX144" t="e">
        <f t="shared" si="67"/>
        <v>#N/A</v>
      </c>
      <c r="AY144" t="e">
        <f t="shared" si="64"/>
        <v>#N/A</v>
      </c>
      <c r="AZ144" t="e">
        <f t="shared" si="61"/>
        <v>#N/A</v>
      </c>
      <c r="BA144" t="e">
        <f t="shared" si="61"/>
        <v>#N/A</v>
      </c>
      <c r="BB144" t="e">
        <f t="shared" si="61"/>
        <v>#N/A</v>
      </c>
      <c r="BC144" t="e">
        <f t="shared" si="61"/>
        <v>#N/A</v>
      </c>
      <c r="BD144" t="e">
        <f t="shared" si="61"/>
        <v>#N/A</v>
      </c>
      <c r="BG144" t="e">
        <f t="shared" si="68"/>
        <v>#N/A</v>
      </c>
      <c r="BH144" t="e">
        <f t="shared" si="65"/>
        <v>#N/A</v>
      </c>
      <c r="BI144" t="e">
        <f t="shared" si="62"/>
        <v>#N/A</v>
      </c>
      <c r="BJ144" t="e">
        <f t="shared" si="62"/>
        <v>#N/A</v>
      </c>
      <c r="BK144" t="e">
        <f t="shared" si="62"/>
        <v>#N/A</v>
      </c>
      <c r="BL144" t="e">
        <f t="shared" si="62"/>
        <v>#N/A</v>
      </c>
      <c r="BM144" t="e">
        <f t="shared" si="62"/>
        <v>#N/A</v>
      </c>
      <c r="BP144" t="e">
        <f t="shared" si="69"/>
        <v>#N/A</v>
      </c>
      <c r="BQ144" t="e">
        <f t="shared" si="66"/>
        <v>#N/A</v>
      </c>
      <c r="BR144" t="e">
        <f t="shared" si="63"/>
        <v>#N/A</v>
      </c>
      <c r="BS144" t="e">
        <f t="shared" si="63"/>
        <v>#N/A</v>
      </c>
      <c r="BT144" t="e">
        <f t="shared" si="63"/>
        <v>#N/A</v>
      </c>
      <c r="BU144" t="e">
        <f t="shared" si="63"/>
        <v>#N/A</v>
      </c>
      <c r="BV144" t="e">
        <f t="shared" si="63"/>
        <v>#N/A</v>
      </c>
      <c r="BY144" t="e">
        <f t="shared" si="70"/>
        <v>#N/A</v>
      </c>
      <c r="BZ144" t="e">
        <v>#N/A</v>
      </c>
      <c r="CA144" t="e" cm="1">
        <f t="array" ref="CA144">IF(ISNUMBER(BZ144),AF144/COUNT(IF(ISNUMBER(_xlfn.ANCHORARRAY($BZ$11)),_xlfn.ANCHORARRAY($BZ$11))),NA())</f>
        <v>#N/A</v>
      </c>
      <c r="CB144" t="e">
        <f t="shared" si="71"/>
        <v>#N/A</v>
      </c>
      <c r="CD144" t="e">
        <f t="shared" si="72"/>
        <v>#N/A</v>
      </c>
      <c r="CE144" t="e">
        <f t="shared" si="73"/>
        <v>#N/A</v>
      </c>
      <c r="CG144" t="e">
        <v>#N/A</v>
      </c>
      <c r="CH144" t="e">
        <v>#N/A</v>
      </c>
      <c r="CL144" t="e">
        <f t="shared" si="74"/>
        <v>#N/A</v>
      </c>
      <c r="CM144" t="e">
        <v>#N/A</v>
      </c>
      <c r="CN144" t="e" cm="1">
        <f t="array" ref="CN144">IF(ISNUMBER(CM144),AF144/COUNT(IF(ISNUMBER(_xlfn.ANCHORARRAY($CM$11)),_xlfn.ANCHORARRAY($CM$11))),NA())</f>
        <v>#N/A</v>
      </c>
      <c r="CO144" t="e">
        <f t="shared" si="75"/>
        <v>#N/A</v>
      </c>
      <c r="CQ144" t="e">
        <f t="shared" si="76"/>
        <v>#N/A</v>
      </c>
      <c r="CR144" t="e">
        <f t="shared" si="77"/>
        <v>#N/A</v>
      </c>
      <c r="CT144" t="e">
        <v>#N/A</v>
      </c>
      <c r="CU144" t="e">
        <v>#N/A</v>
      </c>
      <c r="CY144" t="e">
        <f t="shared" si="78"/>
        <v>#N/A</v>
      </c>
      <c r="CZ144" t="e">
        <v>#N/A</v>
      </c>
      <c r="DA144" t="e" cm="1">
        <f t="array" ref="DA144">IF(ISNUMBER(CZ144),AF144/COUNT(IF(ISNUMBER(_xlfn.ANCHORARRAY($CZ$11)),_xlfn.ANCHORARRAY($CZ$11))),NA())</f>
        <v>#N/A</v>
      </c>
      <c r="DB144" t="e">
        <f t="shared" si="79"/>
        <v>#N/A</v>
      </c>
      <c r="DD144" t="e">
        <f t="shared" si="80"/>
        <v>#N/A</v>
      </c>
      <c r="DE144" t="e">
        <f t="shared" si="81"/>
        <v>#N/A</v>
      </c>
      <c r="DG144" t="e">
        <v>#N/A</v>
      </c>
      <c r="DH144" t="e">
        <v>#N/A</v>
      </c>
    </row>
    <row r="145" spans="32:112">
      <c r="AF145">
        <v>135</v>
      </c>
      <c r="AG145" s="401">
        <f>'Lab test'!N138</f>
        <v>161.92500000000001</v>
      </c>
      <c r="AH145" s="401">
        <f>'Lab test'!M138</f>
        <v>0.21589999999999998</v>
      </c>
      <c r="AI145">
        <f>IF('Lab test'!O138&gt;0,'Lab test'!O138,NA())</f>
        <v>12.700000073025</v>
      </c>
      <c r="AJ145">
        <f>'Lab test'!Q138</f>
        <v>750.00000000000011</v>
      </c>
      <c r="AK145" s="401">
        <f>IF('Lab test'!V138&gt;0,'Lab test'!V138,NA())</f>
        <v>199947.96150188247</v>
      </c>
      <c r="AL145" s="7" t="e">
        <f>IF(MAX('Lab test'!W138,'Lab test'!X138)&gt;0,MAX('Lab test'!W138,'Lab test'!X138),NA())</f>
        <v>#N/A</v>
      </c>
      <c r="AM145" s="401">
        <f>IF('Lab test'!P138&gt;0,'Lab test'!P138,NA())</f>
        <v>2.8639088138801088E-3</v>
      </c>
      <c r="AN145" s="401" t="e">
        <f>IF('Lab test'!AU138&gt;0,'Lab test'!AU138,NA())</f>
        <v>#N/A</v>
      </c>
      <c r="AO145" s="401">
        <f>IF('Lab test'!AT138&gt;0,'Lab test'!AT138,NA())</f>
        <v>0.95027323887179593</v>
      </c>
      <c r="AP145" t="e">
        <f t="shared" si="60"/>
        <v>#N/A</v>
      </c>
      <c r="AQ145" s="401">
        <f>'Lab test'!AZ138</f>
        <v>1939</v>
      </c>
      <c r="AR145" t="str">
        <f>'Lab test'!AC138</f>
        <v>LTWb</v>
      </c>
      <c r="AS145" t="str">
        <f>'Lab test'!T138</f>
        <v>Steel</v>
      </c>
      <c r="AX145" t="e">
        <f t="shared" si="67"/>
        <v>#N/A</v>
      </c>
      <c r="AY145" t="e">
        <f t="shared" si="64"/>
        <v>#N/A</v>
      </c>
      <c r="AZ145" t="e">
        <f t="shared" si="61"/>
        <v>#N/A</v>
      </c>
      <c r="BA145" t="e">
        <f t="shared" si="61"/>
        <v>#N/A</v>
      </c>
      <c r="BB145" t="e">
        <f t="shared" si="61"/>
        <v>#N/A</v>
      </c>
      <c r="BC145" t="e">
        <f t="shared" si="61"/>
        <v>#N/A</v>
      </c>
      <c r="BD145" t="e">
        <f t="shared" si="61"/>
        <v>#N/A</v>
      </c>
      <c r="BG145" t="e">
        <f t="shared" si="68"/>
        <v>#N/A</v>
      </c>
      <c r="BH145" t="e">
        <f t="shared" si="65"/>
        <v>#N/A</v>
      </c>
      <c r="BI145" t="e">
        <f t="shared" si="62"/>
        <v>#N/A</v>
      </c>
      <c r="BJ145" t="e">
        <f t="shared" si="62"/>
        <v>#N/A</v>
      </c>
      <c r="BK145" t="e">
        <f t="shared" si="62"/>
        <v>#N/A</v>
      </c>
      <c r="BL145" t="e">
        <f t="shared" si="62"/>
        <v>#N/A</v>
      </c>
      <c r="BM145" t="e">
        <f t="shared" si="62"/>
        <v>#N/A</v>
      </c>
      <c r="BP145" t="e">
        <f t="shared" si="69"/>
        <v>#N/A</v>
      </c>
      <c r="BQ145" t="e">
        <f t="shared" si="66"/>
        <v>#N/A</v>
      </c>
      <c r="BR145" t="e">
        <f t="shared" si="63"/>
        <v>#N/A</v>
      </c>
      <c r="BS145" t="e">
        <f t="shared" si="63"/>
        <v>#N/A</v>
      </c>
      <c r="BT145" t="e">
        <f t="shared" si="63"/>
        <v>#N/A</v>
      </c>
      <c r="BU145" t="e">
        <f t="shared" si="63"/>
        <v>#N/A</v>
      </c>
      <c r="BV145" t="e">
        <f t="shared" si="63"/>
        <v>#N/A</v>
      </c>
      <c r="BY145" t="e">
        <f t="shared" si="70"/>
        <v>#N/A</v>
      </c>
      <c r="BZ145" t="e">
        <v>#N/A</v>
      </c>
      <c r="CA145" t="e" cm="1">
        <f t="array" ref="CA145">IF(ISNUMBER(BZ145),AF145/COUNT(IF(ISNUMBER(_xlfn.ANCHORARRAY($BZ$11)),_xlfn.ANCHORARRAY($BZ$11))),NA())</f>
        <v>#N/A</v>
      </c>
      <c r="CB145" t="e">
        <f t="shared" si="71"/>
        <v>#N/A</v>
      </c>
      <c r="CD145" t="e">
        <f t="shared" si="72"/>
        <v>#N/A</v>
      </c>
      <c r="CE145" t="e">
        <f t="shared" si="73"/>
        <v>#N/A</v>
      </c>
      <c r="CG145" t="e">
        <v>#N/A</v>
      </c>
      <c r="CH145" t="e">
        <v>#N/A</v>
      </c>
      <c r="CL145" t="e">
        <f t="shared" si="74"/>
        <v>#N/A</v>
      </c>
      <c r="CM145" t="e">
        <v>#N/A</v>
      </c>
      <c r="CN145" t="e" cm="1">
        <f t="array" ref="CN145">IF(ISNUMBER(CM145),AF145/COUNT(IF(ISNUMBER(_xlfn.ANCHORARRAY($CM$11)),_xlfn.ANCHORARRAY($CM$11))),NA())</f>
        <v>#N/A</v>
      </c>
      <c r="CO145" t="e">
        <f t="shared" si="75"/>
        <v>#N/A</v>
      </c>
      <c r="CQ145" t="e">
        <f t="shared" si="76"/>
        <v>#N/A</v>
      </c>
      <c r="CR145" t="e">
        <f t="shared" si="77"/>
        <v>#N/A</v>
      </c>
      <c r="CT145" t="e">
        <v>#N/A</v>
      </c>
      <c r="CU145" t="e">
        <v>#N/A</v>
      </c>
      <c r="CY145" t="e">
        <f t="shared" si="78"/>
        <v>#N/A</v>
      </c>
      <c r="CZ145" t="e">
        <v>#N/A</v>
      </c>
      <c r="DA145" t="e" cm="1">
        <f t="array" ref="DA145">IF(ISNUMBER(CZ145),AF145/COUNT(IF(ISNUMBER(_xlfn.ANCHORARRAY($CZ$11)),_xlfn.ANCHORARRAY($CZ$11))),NA())</f>
        <v>#N/A</v>
      </c>
      <c r="DB145" t="e">
        <f t="shared" si="79"/>
        <v>#N/A</v>
      </c>
      <c r="DD145" t="e">
        <f t="shared" si="80"/>
        <v>#N/A</v>
      </c>
      <c r="DE145" t="e">
        <f t="shared" si="81"/>
        <v>#N/A</v>
      </c>
      <c r="DG145" t="e">
        <v>#N/A</v>
      </c>
      <c r="DH145" t="e">
        <v>#N/A</v>
      </c>
    </row>
    <row r="146" spans="32:112">
      <c r="AF146">
        <v>136</v>
      </c>
      <c r="AG146" s="401">
        <f>'Lab test'!N139</f>
        <v>161.92500000000001</v>
      </c>
      <c r="AH146" s="401">
        <f>'Lab test'!M139</f>
        <v>0.21589999999999998</v>
      </c>
      <c r="AI146">
        <f>IF('Lab test'!O139&gt;0,'Lab test'!O139,NA())</f>
        <v>12.700000073025</v>
      </c>
      <c r="AJ146">
        <f>'Lab test'!Q139</f>
        <v>750.00000000000011</v>
      </c>
      <c r="AK146" s="401">
        <f>IF('Lab test'!V139&gt;0,'Lab test'!V139,NA())</f>
        <v>199947.96150188247</v>
      </c>
      <c r="AL146" s="7" t="e">
        <f>IF(MAX('Lab test'!W139,'Lab test'!X139)&gt;0,MAX('Lab test'!W139,'Lab test'!X139),NA())</f>
        <v>#N/A</v>
      </c>
      <c r="AM146" s="401">
        <f>IF('Lab test'!P139&gt;0,'Lab test'!P139,NA())</f>
        <v>2.8639088138801088E-3</v>
      </c>
      <c r="AN146" s="401" t="e">
        <f>IF('Lab test'!AU139&gt;0,'Lab test'!AU139,NA())</f>
        <v>#N/A</v>
      </c>
      <c r="AO146" s="401">
        <f>IF('Lab test'!AT139&gt;0,'Lab test'!AT139,NA())</f>
        <v>1.0743456653442474</v>
      </c>
      <c r="AP146" t="e">
        <f t="shared" si="60"/>
        <v>#N/A</v>
      </c>
      <c r="AQ146" s="401">
        <f>'Lab test'!AZ139</f>
        <v>1939</v>
      </c>
      <c r="AR146" t="str">
        <f>'Lab test'!AC139</f>
        <v>LTWb</v>
      </c>
      <c r="AS146" t="str">
        <f>'Lab test'!T139</f>
        <v>Steel</v>
      </c>
      <c r="AX146" t="e">
        <f t="shared" si="67"/>
        <v>#N/A</v>
      </c>
      <c r="AY146" t="e">
        <f t="shared" si="64"/>
        <v>#N/A</v>
      </c>
      <c r="AZ146" t="e">
        <f t="shared" si="61"/>
        <v>#N/A</v>
      </c>
      <c r="BA146" t="e">
        <f t="shared" si="61"/>
        <v>#N/A</v>
      </c>
      <c r="BB146" t="e">
        <f t="shared" si="61"/>
        <v>#N/A</v>
      </c>
      <c r="BC146" t="e">
        <f t="shared" si="61"/>
        <v>#N/A</v>
      </c>
      <c r="BD146" t="e">
        <f t="shared" si="61"/>
        <v>#N/A</v>
      </c>
      <c r="BG146" t="e">
        <f t="shared" si="68"/>
        <v>#N/A</v>
      </c>
      <c r="BH146" t="e">
        <f t="shared" si="65"/>
        <v>#N/A</v>
      </c>
      <c r="BI146" t="e">
        <f t="shared" si="62"/>
        <v>#N/A</v>
      </c>
      <c r="BJ146" t="e">
        <f t="shared" si="62"/>
        <v>#N/A</v>
      </c>
      <c r="BK146" t="e">
        <f t="shared" si="62"/>
        <v>#N/A</v>
      </c>
      <c r="BL146" t="e">
        <f t="shared" si="62"/>
        <v>#N/A</v>
      </c>
      <c r="BM146" t="e">
        <f t="shared" si="62"/>
        <v>#N/A</v>
      </c>
      <c r="BP146" t="e">
        <f t="shared" si="69"/>
        <v>#N/A</v>
      </c>
      <c r="BQ146" t="e">
        <f t="shared" si="66"/>
        <v>#N/A</v>
      </c>
      <c r="BR146" t="e">
        <f t="shared" si="63"/>
        <v>#N/A</v>
      </c>
      <c r="BS146" t="e">
        <f t="shared" si="63"/>
        <v>#N/A</v>
      </c>
      <c r="BT146" t="e">
        <f t="shared" si="63"/>
        <v>#N/A</v>
      </c>
      <c r="BU146" t="e">
        <f t="shared" si="63"/>
        <v>#N/A</v>
      </c>
      <c r="BV146" t="e">
        <f t="shared" si="63"/>
        <v>#N/A</v>
      </c>
      <c r="BY146" t="e">
        <f t="shared" si="70"/>
        <v>#N/A</v>
      </c>
      <c r="BZ146" t="e">
        <v>#N/A</v>
      </c>
      <c r="CA146" t="e" cm="1">
        <f t="array" ref="CA146">IF(ISNUMBER(BZ146),AF146/COUNT(IF(ISNUMBER(_xlfn.ANCHORARRAY($BZ$11)),_xlfn.ANCHORARRAY($BZ$11))),NA())</f>
        <v>#N/A</v>
      </c>
      <c r="CB146" t="e">
        <f t="shared" si="71"/>
        <v>#N/A</v>
      </c>
      <c r="CD146" t="e">
        <f t="shared" si="72"/>
        <v>#N/A</v>
      </c>
      <c r="CE146" t="e">
        <f t="shared" si="73"/>
        <v>#N/A</v>
      </c>
      <c r="CG146" t="e">
        <v>#N/A</v>
      </c>
      <c r="CH146" t="e">
        <v>#N/A</v>
      </c>
      <c r="CL146" t="e">
        <f t="shared" si="74"/>
        <v>#N/A</v>
      </c>
      <c r="CM146" t="e">
        <v>#N/A</v>
      </c>
      <c r="CN146" t="e" cm="1">
        <f t="array" ref="CN146">IF(ISNUMBER(CM146),AF146/COUNT(IF(ISNUMBER(_xlfn.ANCHORARRAY($CM$11)),_xlfn.ANCHORARRAY($CM$11))),NA())</f>
        <v>#N/A</v>
      </c>
      <c r="CO146" t="e">
        <f t="shared" si="75"/>
        <v>#N/A</v>
      </c>
      <c r="CQ146" t="e">
        <f t="shared" si="76"/>
        <v>#N/A</v>
      </c>
      <c r="CR146" t="e">
        <f t="shared" si="77"/>
        <v>#N/A</v>
      </c>
      <c r="CT146" t="e">
        <v>#N/A</v>
      </c>
      <c r="CU146" t="e">
        <v>#N/A</v>
      </c>
      <c r="CY146" t="e">
        <f t="shared" si="78"/>
        <v>#N/A</v>
      </c>
      <c r="CZ146" t="e">
        <v>#N/A</v>
      </c>
      <c r="DA146" t="e" cm="1">
        <f t="array" ref="DA146">IF(ISNUMBER(CZ146),AF146/COUNT(IF(ISNUMBER(_xlfn.ANCHORARRAY($CZ$11)),_xlfn.ANCHORARRAY($CZ$11))),NA())</f>
        <v>#N/A</v>
      </c>
      <c r="DB146" t="e">
        <f t="shared" si="79"/>
        <v>#N/A</v>
      </c>
      <c r="DD146" t="e">
        <f t="shared" si="80"/>
        <v>#N/A</v>
      </c>
      <c r="DE146" t="e">
        <f t="shared" si="81"/>
        <v>#N/A</v>
      </c>
      <c r="DG146" t="e">
        <v>#N/A</v>
      </c>
      <c r="DH146" t="e">
        <v>#N/A</v>
      </c>
    </row>
    <row r="147" spans="32:112">
      <c r="AF147">
        <v>137</v>
      </c>
      <c r="AG147" s="401">
        <f>'Lab test'!N140</f>
        <v>161.92500000000001</v>
      </c>
      <c r="AH147" s="401">
        <f>'Lab test'!M140</f>
        <v>0.21589999999999998</v>
      </c>
      <c r="AI147">
        <f>IF('Lab test'!O140&gt;0,'Lab test'!O140,NA())</f>
        <v>5.8208332656000001</v>
      </c>
      <c r="AJ147">
        <f>'Lab test'!Q140</f>
        <v>750.00000000000011</v>
      </c>
      <c r="AK147" s="401">
        <f>IF('Lab test'!V140&gt;0,'Lab test'!V140,NA())</f>
        <v>199947.96150188247</v>
      </c>
      <c r="AL147" s="7" t="e">
        <f>IF(MAX('Lab test'!W140,'Lab test'!X140)&gt;0,MAX('Lab test'!W140,'Lab test'!X140),NA())</f>
        <v>#N/A</v>
      </c>
      <c r="AM147" s="401">
        <f>IF('Lab test'!P140&gt;0,'Lab test'!P140,NA())</f>
        <v>1.3126248502066098E-3</v>
      </c>
      <c r="AN147" s="401" t="e">
        <f>IF('Lab test'!AU140&gt;0,'Lab test'!AU140,NA())</f>
        <v>#N/A</v>
      </c>
      <c r="AO147" s="401">
        <f>IF('Lab test'!AT140&gt;0,'Lab test'!AT140,NA())</f>
        <v>1.6041419259635914</v>
      </c>
      <c r="AP147" t="e">
        <f t="shared" si="60"/>
        <v>#N/A</v>
      </c>
      <c r="AQ147" s="401">
        <f>'Lab test'!AZ140</f>
        <v>1939</v>
      </c>
      <c r="AR147" t="str">
        <f>'Lab test'!AC140</f>
        <v>LTWb</v>
      </c>
      <c r="AS147" t="str">
        <f>'Lab test'!T140</f>
        <v>Steel</v>
      </c>
      <c r="AX147" t="e">
        <f t="shared" si="67"/>
        <v>#N/A</v>
      </c>
      <c r="AY147" t="e">
        <f t="shared" si="64"/>
        <v>#N/A</v>
      </c>
      <c r="AZ147" t="e">
        <f t="shared" si="61"/>
        <v>#N/A</v>
      </c>
      <c r="BA147" t="e">
        <f t="shared" si="61"/>
        <v>#N/A</v>
      </c>
      <c r="BB147" t="e">
        <f t="shared" si="61"/>
        <v>#N/A</v>
      </c>
      <c r="BC147" t="e">
        <f t="shared" si="61"/>
        <v>#N/A</v>
      </c>
      <c r="BD147" t="e">
        <f t="shared" si="61"/>
        <v>#N/A</v>
      </c>
      <c r="BG147" t="e">
        <f t="shared" si="68"/>
        <v>#N/A</v>
      </c>
      <c r="BH147" t="e">
        <f t="shared" si="65"/>
        <v>#N/A</v>
      </c>
      <c r="BI147" t="e">
        <f t="shared" si="62"/>
        <v>#N/A</v>
      </c>
      <c r="BJ147" t="e">
        <f t="shared" si="62"/>
        <v>#N/A</v>
      </c>
      <c r="BK147" t="e">
        <f t="shared" si="62"/>
        <v>#N/A</v>
      </c>
      <c r="BL147" t="e">
        <f t="shared" si="62"/>
        <v>#N/A</v>
      </c>
      <c r="BM147" t="e">
        <f t="shared" si="62"/>
        <v>#N/A</v>
      </c>
      <c r="BP147" t="e">
        <f t="shared" si="69"/>
        <v>#N/A</v>
      </c>
      <c r="BQ147" t="e">
        <f t="shared" si="66"/>
        <v>#N/A</v>
      </c>
      <c r="BR147" t="e">
        <f t="shared" si="63"/>
        <v>#N/A</v>
      </c>
      <c r="BS147" t="e">
        <f t="shared" si="63"/>
        <v>#N/A</v>
      </c>
      <c r="BT147" t="e">
        <f t="shared" si="63"/>
        <v>#N/A</v>
      </c>
      <c r="BU147" t="e">
        <f t="shared" si="63"/>
        <v>#N/A</v>
      </c>
      <c r="BV147" t="e">
        <f t="shared" si="63"/>
        <v>#N/A</v>
      </c>
      <c r="BY147" t="e">
        <f t="shared" si="70"/>
        <v>#N/A</v>
      </c>
      <c r="BZ147" t="e">
        <v>#N/A</v>
      </c>
      <c r="CA147" t="e" cm="1">
        <f t="array" ref="CA147">IF(ISNUMBER(BZ147),AF147/COUNT(IF(ISNUMBER(_xlfn.ANCHORARRAY($BZ$11)),_xlfn.ANCHORARRAY($BZ$11))),NA())</f>
        <v>#N/A</v>
      </c>
      <c r="CB147" t="e">
        <f t="shared" si="71"/>
        <v>#N/A</v>
      </c>
      <c r="CD147" t="e">
        <f t="shared" si="72"/>
        <v>#N/A</v>
      </c>
      <c r="CE147" t="e">
        <f t="shared" si="73"/>
        <v>#N/A</v>
      </c>
      <c r="CG147" t="e">
        <v>#N/A</v>
      </c>
      <c r="CH147" t="e">
        <v>#N/A</v>
      </c>
      <c r="CL147" t="e">
        <f t="shared" si="74"/>
        <v>#N/A</v>
      </c>
      <c r="CM147" t="e">
        <v>#N/A</v>
      </c>
      <c r="CN147" t="e" cm="1">
        <f t="array" ref="CN147">IF(ISNUMBER(CM147),AF147/COUNT(IF(ISNUMBER(_xlfn.ANCHORARRAY($CM$11)),_xlfn.ANCHORARRAY($CM$11))),NA())</f>
        <v>#N/A</v>
      </c>
      <c r="CO147" t="e">
        <f t="shared" si="75"/>
        <v>#N/A</v>
      </c>
      <c r="CQ147" t="e">
        <f t="shared" si="76"/>
        <v>#N/A</v>
      </c>
      <c r="CR147" t="e">
        <f t="shared" si="77"/>
        <v>#N/A</v>
      </c>
      <c r="CT147" t="e">
        <v>#N/A</v>
      </c>
      <c r="CU147" t="e">
        <v>#N/A</v>
      </c>
      <c r="CY147" t="e">
        <f t="shared" si="78"/>
        <v>#N/A</v>
      </c>
      <c r="CZ147" t="e">
        <v>#N/A</v>
      </c>
      <c r="DA147" t="e" cm="1">
        <f t="array" ref="DA147">IF(ISNUMBER(CZ147),AF147/COUNT(IF(ISNUMBER(_xlfn.ANCHORARRAY($CZ$11)),_xlfn.ANCHORARRAY($CZ$11))),NA())</f>
        <v>#N/A</v>
      </c>
      <c r="DB147" t="e">
        <f t="shared" si="79"/>
        <v>#N/A</v>
      </c>
      <c r="DD147" t="e">
        <f t="shared" si="80"/>
        <v>#N/A</v>
      </c>
      <c r="DE147" t="e">
        <f t="shared" si="81"/>
        <v>#N/A</v>
      </c>
      <c r="DG147" t="e">
        <v>#N/A</v>
      </c>
      <c r="DH147" t="e">
        <v>#N/A</v>
      </c>
    </row>
    <row r="148" spans="32:112">
      <c r="AF148">
        <v>138</v>
      </c>
      <c r="AG148" s="401">
        <f>'Lab test'!N141</f>
        <v>161.92500000000001</v>
      </c>
      <c r="AH148" s="401">
        <f>'Lab test'!M141</f>
        <v>0.15239999999999998</v>
      </c>
      <c r="AI148">
        <f>IF('Lab test'!O141&gt;0,'Lab test'!O141,NA())</f>
        <v>127.04172857142849</v>
      </c>
      <c r="AJ148">
        <f>'Lab test'!Q141</f>
        <v>1062.5000000000002</v>
      </c>
      <c r="AK148" s="401">
        <f>IF('Lab test'!V141&gt;0,'Lab test'!V141,NA())</f>
        <v>210979.57317095189</v>
      </c>
      <c r="AL148" s="7" t="e">
        <f>IF(MAX('Lab test'!W141,'Lab test'!X141)&gt;0,MAX('Lab test'!W141,'Lab test'!X141),NA())</f>
        <v>#N/A</v>
      </c>
      <c r="AM148" s="401">
        <f>IF('Lab test'!P141&gt;0,'Lab test'!P141,NA())</f>
        <v>2.4069552678570028E-2</v>
      </c>
      <c r="AN148" s="401" t="e">
        <f>IF('Lab test'!AU141&gt;0,'Lab test'!AU141,NA())</f>
        <v>#N/A</v>
      </c>
      <c r="AO148" s="401">
        <f>IF('Lab test'!AT141&gt;0,'Lab test'!AT141,NA())</f>
        <v>0.39762280324794341</v>
      </c>
      <c r="AP148" t="e">
        <f t="shared" si="60"/>
        <v>#N/A</v>
      </c>
      <c r="AQ148" s="401">
        <f>'Lab test'!AZ141</f>
        <v>1939</v>
      </c>
      <c r="AR148" t="str">
        <f>'Lab test'!AC141</f>
        <v>LTWb</v>
      </c>
      <c r="AS148" t="str">
        <f>'Lab test'!T141</f>
        <v>Steel</v>
      </c>
      <c r="AX148" t="e">
        <f t="shared" si="67"/>
        <v>#N/A</v>
      </c>
      <c r="AY148" t="e">
        <f t="shared" si="64"/>
        <v>#N/A</v>
      </c>
      <c r="AZ148" t="e">
        <f t="shared" si="61"/>
        <v>#N/A</v>
      </c>
      <c r="BA148" t="e">
        <f t="shared" si="61"/>
        <v>#N/A</v>
      </c>
      <c r="BB148" t="e">
        <f t="shared" si="61"/>
        <v>#N/A</v>
      </c>
      <c r="BC148" t="e">
        <f t="shared" si="61"/>
        <v>#N/A</v>
      </c>
      <c r="BD148" t="e">
        <f t="shared" si="61"/>
        <v>#N/A</v>
      </c>
      <c r="BG148" t="e">
        <f t="shared" si="68"/>
        <v>#N/A</v>
      </c>
      <c r="BH148" t="e">
        <f t="shared" si="65"/>
        <v>#N/A</v>
      </c>
      <c r="BI148" t="e">
        <f t="shared" si="62"/>
        <v>#N/A</v>
      </c>
      <c r="BJ148" t="e">
        <f t="shared" si="62"/>
        <v>#N/A</v>
      </c>
      <c r="BK148" t="e">
        <f t="shared" si="62"/>
        <v>#N/A</v>
      </c>
      <c r="BL148" t="e">
        <f t="shared" si="62"/>
        <v>#N/A</v>
      </c>
      <c r="BM148" t="e">
        <f t="shared" si="62"/>
        <v>#N/A</v>
      </c>
      <c r="BP148" t="e">
        <f t="shared" si="69"/>
        <v>#N/A</v>
      </c>
      <c r="BQ148" t="e">
        <f t="shared" si="66"/>
        <v>#N/A</v>
      </c>
      <c r="BR148" t="e">
        <f t="shared" si="63"/>
        <v>#N/A</v>
      </c>
      <c r="BS148" t="e">
        <f t="shared" si="63"/>
        <v>#N/A</v>
      </c>
      <c r="BT148" t="e">
        <f t="shared" si="63"/>
        <v>#N/A</v>
      </c>
      <c r="BU148" t="e">
        <f t="shared" si="63"/>
        <v>#N/A</v>
      </c>
      <c r="BV148" t="e">
        <f t="shared" si="63"/>
        <v>#N/A</v>
      </c>
      <c r="BY148" t="e">
        <f t="shared" si="70"/>
        <v>#N/A</v>
      </c>
      <c r="BZ148" t="e">
        <v>#N/A</v>
      </c>
      <c r="CA148" t="e" cm="1">
        <f t="array" ref="CA148">IF(ISNUMBER(BZ148),AF148/COUNT(IF(ISNUMBER(_xlfn.ANCHORARRAY($BZ$11)),_xlfn.ANCHORARRAY($BZ$11))),NA())</f>
        <v>#N/A</v>
      </c>
      <c r="CB148" t="e">
        <f t="shared" si="71"/>
        <v>#N/A</v>
      </c>
      <c r="CD148" t="e">
        <f t="shared" si="72"/>
        <v>#N/A</v>
      </c>
      <c r="CE148" t="e">
        <f t="shared" si="73"/>
        <v>#N/A</v>
      </c>
      <c r="CG148" t="e">
        <v>#N/A</v>
      </c>
      <c r="CH148" t="e">
        <v>#N/A</v>
      </c>
      <c r="CL148" t="e">
        <f t="shared" si="74"/>
        <v>#N/A</v>
      </c>
      <c r="CM148" t="e">
        <v>#N/A</v>
      </c>
      <c r="CN148" t="e" cm="1">
        <f t="array" ref="CN148">IF(ISNUMBER(CM148),AF148/COUNT(IF(ISNUMBER(_xlfn.ANCHORARRAY($CM$11)),_xlfn.ANCHORARRAY($CM$11))),NA())</f>
        <v>#N/A</v>
      </c>
      <c r="CO148" t="e">
        <f t="shared" si="75"/>
        <v>#N/A</v>
      </c>
      <c r="CQ148" t="e">
        <f t="shared" si="76"/>
        <v>#N/A</v>
      </c>
      <c r="CR148" t="e">
        <f t="shared" si="77"/>
        <v>#N/A</v>
      </c>
      <c r="CT148" t="e">
        <v>#N/A</v>
      </c>
      <c r="CU148" t="e">
        <v>#N/A</v>
      </c>
      <c r="CY148" t="e">
        <f t="shared" si="78"/>
        <v>#N/A</v>
      </c>
      <c r="CZ148" t="e">
        <v>#N/A</v>
      </c>
      <c r="DA148" t="e" cm="1">
        <f t="array" ref="DA148">IF(ISNUMBER(CZ148),AF148/COUNT(IF(ISNUMBER(_xlfn.ANCHORARRAY($CZ$11)),_xlfn.ANCHORARRAY($CZ$11))),NA())</f>
        <v>#N/A</v>
      </c>
      <c r="DB148" t="e">
        <f t="shared" si="79"/>
        <v>#N/A</v>
      </c>
      <c r="DD148" t="e">
        <f t="shared" si="80"/>
        <v>#N/A</v>
      </c>
      <c r="DE148" t="e">
        <f t="shared" si="81"/>
        <v>#N/A</v>
      </c>
      <c r="DG148" t="e">
        <v>#N/A</v>
      </c>
      <c r="DH148" t="e">
        <v>#N/A</v>
      </c>
    </row>
    <row r="149" spans="32:112">
      <c r="AF149">
        <v>139</v>
      </c>
      <c r="AG149" s="401">
        <f>'Lab test'!N142</f>
        <v>161.92500000000001</v>
      </c>
      <c r="AH149" s="401">
        <f>'Lab test'!M142</f>
        <v>0.15239999999999998</v>
      </c>
      <c r="AI149">
        <f>IF('Lab test'!O142&gt;0,'Lab test'!O142,NA())</f>
        <v>126.48655714285714</v>
      </c>
      <c r="AJ149">
        <f>'Lab test'!Q142</f>
        <v>1062.5000000000002</v>
      </c>
      <c r="AK149" s="401">
        <f>IF('Lab test'!V142&gt;0,'Lab test'!V142,NA())</f>
        <v>210979.57317095189</v>
      </c>
      <c r="AL149" s="7" t="e">
        <f>IF(MAX('Lab test'!W142,'Lab test'!X142)&gt;0,MAX('Lab test'!W142,'Lab test'!X142),NA())</f>
        <v>#N/A</v>
      </c>
      <c r="AM149" s="401">
        <f>IF('Lab test'!P142&gt;0,'Lab test'!P142,NA())</f>
        <v>2.3964368908670972E-2</v>
      </c>
      <c r="AN149" s="401" t="e">
        <f>IF('Lab test'!AU142&gt;0,'Lab test'!AU142,NA())</f>
        <v>#N/A</v>
      </c>
      <c r="AO149" s="401">
        <f>IF('Lab test'!AT142&gt;0,'Lab test'!AT142,NA())</f>
        <v>0.35110762238948906</v>
      </c>
      <c r="AP149" t="e">
        <f t="shared" si="60"/>
        <v>#N/A</v>
      </c>
      <c r="AQ149" s="401">
        <f>'Lab test'!AZ142</f>
        <v>1939</v>
      </c>
      <c r="AR149" t="str">
        <f>'Lab test'!AC142</f>
        <v>LTWb</v>
      </c>
      <c r="AS149" t="str">
        <f>'Lab test'!T142</f>
        <v>Steel</v>
      </c>
      <c r="AX149" t="e">
        <f t="shared" si="67"/>
        <v>#N/A</v>
      </c>
      <c r="AY149" t="e">
        <f t="shared" si="64"/>
        <v>#N/A</v>
      </c>
      <c r="AZ149" t="e">
        <f t="shared" si="61"/>
        <v>#N/A</v>
      </c>
      <c r="BA149" t="e">
        <f t="shared" si="61"/>
        <v>#N/A</v>
      </c>
      <c r="BB149" t="e">
        <f t="shared" si="61"/>
        <v>#N/A</v>
      </c>
      <c r="BC149" t="e">
        <f t="shared" si="61"/>
        <v>#N/A</v>
      </c>
      <c r="BD149" t="e">
        <f t="shared" si="61"/>
        <v>#N/A</v>
      </c>
      <c r="BG149" t="e">
        <f t="shared" si="68"/>
        <v>#N/A</v>
      </c>
      <c r="BH149" t="e">
        <f t="shared" si="65"/>
        <v>#N/A</v>
      </c>
      <c r="BI149" t="e">
        <f t="shared" si="62"/>
        <v>#N/A</v>
      </c>
      <c r="BJ149" t="e">
        <f t="shared" si="62"/>
        <v>#N/A</v>
      </c>
      <c r="BK149" t="e">
        <f t="shared" si="62"/>
        <v>#N/A</v>
      </c>
      <c r="BL149" t="e">
        <f t="shared" si="62"/>
        <v>#N/A</v>
      </c>
      <c r="BM149" t="e">
        <f t="shared" si="62"/>
        <v>#N/A</v>
      </c>
      <c r="BP149" t="e">
        <f t="shared" si="69"/>
        <v>#N/A</v>
      </c>
      <c r="BQ149" t="e">
        <f t="shared" si="66"/>
        <v>#N/A</v>
      </c>
      <c r="BR149" t="e">
        <f t="shared" si="63"/>
        <v>#N/A</v>
      </c>
      <c r="BS149" t="e">
        <f t="shared" si="63"/>
        <v>#N/A</v>
      </c>
      <c r="BT149" t="e">
        <f t="shared" si="63"/>
        <v>#N/A</v>
      </c>
      <c r="BU149" t="e">
        <f t="shared" si="63"/>
        <v>#N/A</v>
      </c>
      <c r="BV149" t="e">
        <f t="shared" si="63"/>
        <v>#N/A</v>
      </c>
      <c r="BY149" t="e">
        <f t="shared" si="70"/>
        <v>#N/A</v>
      </c>
      <c r="BZ149" t="e">
        <v>#N/A</v>
      </c>
      <c r="CA149" t="e" cm="1">
        <f t="array" ref="CA149">IF(ISNUMBER(BZ149),AF149/COUNT(IF(ISNUMBER(_xlfn.ANCHORARRAY($BZ$11)),_xlfn.ANCHORARRAY($BZ$11))),NA())</f>
        <v>#N/A</v>
      </c>
      <c r="CB149" t="e">
        <f t="shared" si="71"/>
        <v>#N/A</v>
      </c>
      <c r="CD149" t="e">
        <f t="shared" si="72"/>
        <v>#N/A</v>
      </c>
      <c r="CE149" t="e">
        <f t="shared" si="73"/>
        <v>#N/A</v>
      </c>
      <c r="CG149" t="e">
        <v>#N/A</v>
      </c>
      <c r="CH149" t="e">
        <v>#N/A</v>
      </c>
      <c r="CL149" t="e">
        <f t="shared" si="74"/>
        <v>#N/A</v>
      </c>
      <c r="CM149" t="e">
        <v>#N/A</v>
      </c>
      <c r="CN149" t="e" cm="1">
        <f t="array" ref="CN149">IF(ISNUMBER(CM149),AF149/COUNT(IF(ISNUMBER(_xlfn.ANCHORARRAY($CM$11)),_xlfn.ANCHORARRAY($CM$11))),NA())</f>
        <v>#N/A</v>
      </c>
      <c r="CO149" t="e">
        <f t="shared" si="75"/>
        <v>#N/A</v>
      </c>
      <c r="CQ149" t="e">
        <f t="shared" si="76"/>
        <v>#N/A</v>
      </c>
      <c r="CR149" t="e">
        <f t="shared" si="77"/>
        <v>#N/A</v>
      </c>
      <c r="CT149" t="e">
        <v>#N/A</v>
      </c>
      <c r="CU149" t="e">
        <v>#N/A</v>
      </c>
      <c r="CY149" t="e">
        <f t="shared" si="78"/>
        <v>#N/A</v>
      </c>
      <c r="CZ149" t="e">
        <v>#N/A</v>
      </c>
      <c r="DA149" t="e" cm="1">
        <f t="array" ref="DA149">IF(ISNUMBER(CZ149),AF149/COUNT(IF(ISNUMBER(_xlfn.ANCHORARRAY($CZ$11)),_xlfn.ANCHORARRAY($CZ$11))),NA())</f>
        <v>#N/A</v>
      </c>
      <c r="DB149" t="e">
        <f t="shared" si="79"/>
        <v>#N/A</v>
      </c>
      <c r="DD149" t="e">
        <f t="shared" si="80"/>
        <v>#N/A</v>
      </c>
      <c r="DE149" t="e">
        <f t="shared" si="81"/>
        <v>#N/A</v>
      </c>
      <c r="DG149" t="e">
        <v>#N/A</v>
      </c>
      <c r="DH149" t="e">
        <v>#N/A</v>
      </c>
    </row>
    <row r="150" spans="32:112">
      <c r="AF150">
        <v>140</v>
      </c>
      <c r="AG150" s="401">
        <f>'Lab test'!N143</f>
        <v>161.92500000000001</v>
      </c>
      <c r="AH150" s="401">
        <f>'Lab test'!M143</f>
        <v>0.15239999999999998</v>
      </c>
      <c r="AI150">
        <f>IF('Lab test'!O143&gt;0,'Lab test'!O143,NA())</f>
        <v>77.631471428571359</v>
      </c>
      <c r="AJ150">
        <f>'Lab test'!Q143</f>
        <v>1062.5000000000002</v>
      </c>
      <c r="AK150" s="401">
        <f>IF('Lab test'!V143&gt;0,'Lab test'!V143,NA())</f>
        <v>210979.57317095189</v>
      </c>
      <c r="AL150" s="7" t="e">
        <f>IF(MAX('Lab test'!W143,'Lab test'!X143)&gt;0,MAX('Lab test'!W143,'Lab test'!X143),NA())</f>
        <v>#N/A</v>
      </c>
      <c r="AM150" s="401">
        <f>IF('Lab test'!P143&gt;0,'Lab test'!P143,NA())</f>
        <v>1.4708197157552986E-2</v>
      </c>
      <c r="AN150" s="401" t="e">
        <f>IF('Lab test'!AU143&gt;0,'Lab test'!AU143,NA())</f>
        <v>#N/A</v>
      </c>
      <c r="AO150" s="401">
        <f>IF('Lab test'!AT143&gt;0,'Lab test'!AT143,NA())</f>
        <v>0.3118761317731959</v>
      </c>
      <c r="AP150" t="e">
        <f t="shared" si="60"/>
        <v>#N/A</v>
      </c>
      <c r="AQ150" s="401">
        <f>'Lab test'!AZ143</f>
        <v>1939</v>
      </c>
      <c r="AR150" t="str">
        <f>'Lab test'!AC143</f>
        <v>LTWb</v>
      </c>
      <c r="AS150" t="str">
        <f>'Lab test'!T143</f>
        <v>Steel</v>
      </c>
      <c r="AX150" t="e">
        <f t="shared" si="67"/>
        <v>#N/A</v>
      </c>
      <c r="AY150" t="e">
        <f t="shared" si="64"/>
        <v>#N/A</v>
      </c>
      <c r="AZ150" t="e">
        <f t="shared" si="61"/>
        <v>#N/A</v>
      </c>
      <c r="BA150" t="e">
        <f t="shared" si="61"/>
        <v>#N/A</v>
      </c>
      <c r="BB150" t="e">
        <f t="shared" si="61"/>
        <v>#N/A</v>
      </c>
      <c r="BC150" t="e">
        <f t="shared" si="61"/>
        <v>#N/A</v>
      </c>
      <c r="BD150" t="e">
        <f t="shared" si="61"/>
        <v>#N/A</v>
      </c>
      <c r="BG150" t="e">
        <f t="shared" si="68"/>
        <v>#N/A</v>
      </c>
      <c r="BH150" t="e">
        <f t="shared" si="65"/>
        <v>#N/A</v>
      </c>
      <c r="BI150" t="e">
        <f t="shared" si="62"/>
        <v>#N/A</v>
      </c>
      <c r="BJ150" t="e">
        <f t="shared" si="62"/>
        <v>#N/A</v>
      </c>
      <c r="BK150" t="e">
        <f t="shared" si="62"/>
        <v>#N/A</v>
      </c>
      <c r="BL150" t="e">
        <f t="shared" si="62"/>
        <v>#N/A</v>
      </c>
      <c r="BM150" t="e">
        <f t="shared" si="62"/>
        <v>#N/A</v>
      </c>
      <c r="BP150" t="e">
        <f t="shared" si="69"/>
        <v>#N/A</v>
      </c>
      <c r="BQ150" t="e">
        <f t="shared" si="66"/>
        <v>#N/A</v>
      </c>
      <c r="BR150" t="e">
        <f t="shared" si="63"/>
        <v>#N/A</v>
      </c>
      <c r="BS150" t="e">
        <f t="shared" si="63"/>
        <v>#N/A</v>
      </c>
      <c r="BT150" t="e">
        <f t="shared" si="63"/>
        <v>#N/A</v>
      </c>
      <c r="BU150" t="e">
        <f t="shared" si="63"/>
        <v>#N/A</v>
      </c>
      <c r="BV150" t="e">
        <f t="shared" si="63"/>
        <v>#N/A</v>
      </c>
      <c r="BY150" t="e">
        <f t="shared" si="70"/>
        <v>#N/A</v>
      </c>
      <c r="BZ150" t="e">
        <v>#N/A</v>
      </c>
      <c r="CA150" t="e" cm="1">
        <f t="array" ref="CA150">IF(ISNUMBER(BZ150),AF150/COUNT(IF(ISNUMBER(_xlfn.ANCHORARRAY($BZ$11)),_xlfn.ANCHORARRAY($BZ$11))),NA())</f>
        <v>#N/A</v>
      </c>
      <c r="CB150" t="e">
        <f t="shared" si="71"/>
        <v>#N/A</v>
      </c>
      <c r="CD150" t="e">
        <f t="shared" si="72"/>
        <v>#N/A</v>
      </c>
      <c r="CE150" t="e">
        <f t="shared" si="73"/>
        <v>#N/A</v>
      </c>
      <c r="CG150" t="e">
        <v>#N/A</v>
      </c>
      <c r="CH150" t="e">
        <v>#N/A</v>
      </c>
      <c r="CL150" t="e">
        <f t="shared" si="74"/>
        <v>#N/A</v>
      </c>
      <c r="CM150" t="e">
        <v>#N/A</v>
      </c>
      <c r="CN150" t="e" cm="1">
        <f t="array" ref="CN150">IF(ISNUMBER(CM150),AF150/COUNT(IF(ISNUMBER(_xlfn.ANCHORARRAY($CM$11)),_xlfn.ANCHORARRAY($CM$11))),NA())</f>
        <v>#N/A</v>
      </c>
      <c r="CO150" t="e">
        <f t="shared" si="75"/>
        <v>#N/A</v>
      </c>
      <c r="CQ150" t="e">
        <f t="shared" si="76"/>
        <v>#N/A</v>
      </c>
      <c r="CR150" t="e">
        <f t="shared" si="77"/>
        <v>#N/A</v>
      </c>
      <c r="CT150" t="e">
        <v>#N/A</v>
      </c>
      <c r="CU150" t="e">
        <v>#N/A</v>
      </c>
      <c r="CY150" t="e">
        <f t="shared" si="78"/>
        <v>#N/A</v>
      </c>
      <c r="CZ150" t="e">
        <v>#N/A</v>
      </c>
      <c r="DA150" t="e" cm="1">
        <f t="array" ref="DA150">IF(ISNUMBER(CZ150),AF150/COUNT(IF(ISNUMBER(_xlfn.ANCHORARRAY($CZ$11)),_xlfn.ANCHORARRAY($CZ$11))),NA())</f>
        <v>#N/A</v>
      </c>
      <c r="DB150" t="e">
        <f t="shared" si="79"/>
        <v>#N/A</v>
      </c>
      <c r="DD150" t="e">
        <f t="shared" si="80"/>
        <v>#N/A</v>
      </c>
      <c r="DE150" t="e">
        <f t="shared" si="81"/>
        <v>#N/A</v>
      </c>
      <c r="DG150" t="e">
        <v>#N/A</v>
      </c>
      <c r="DH150" t="e">
        <v>#N/A</v>
      </c>
    </row>
    <row r="151" spans="32:112">
      <c r="AF151">
        <v>141</v>
      </c>
      <c r="AG151" s="401">
        <f>'Lab test'!N144</f>
        <v>161.92500000000001</v>
      </c>
      <c r="AH151" s="401">
        <f>'Lab test'!M144</f>
        <v>0.15239999999999998</v>
      </c>
      <c r="AI151">
        <f>IF('Lab test'!O144&gt;0,'Lab test'!O144,NA())</f>
        <v>77.076300000000003</v>
      </c>
      <c r="AJ151">
        <f>'Lab test'!Q144</f>
        <v>1062.5000000000002</v>
      </c>
      <c r="AK151" s="401">
        <f>IF('Lab test'!V144&gt;0,'Lab test'!V144,NA())</f>
        <v>210979.57317095189</v>
      </c>
      <c r="AL151" s="7" t="e">
        <f>IF(MAX('Lab test'!W144,'Lab test'!X144)&gt;0,MAX('Lab test'!W144,'Lab test'!X144),NA())</f>
        <v>#N/A</v>
      </c>
      <c r="AM151" s="401">
        <f>IF('Lab test'!P144&gt;0,'Lab test'!P144,NA())</f>
        <v>1.460301338765393E-2</v>
      </c>
      <c r="AN151" s="401" t="e">
        <f>IF('Lab test'!AU144&gt;0,'Lab test'!AU144,NA())</f>
        <v>#N/A</v>
      </c>
      <c r="AO151" s="401">
        <f>IF('Lab test'!AT144&gt;0,'Lab test'!AT144,NA())</f>
        <v>0.2992070328369692</v>
      </c>
      <c r="AP151" t="e">
        <f t="shared" ref="AP151:AP214" si="82">IF(AND(OR(ISNUMBER(AN151),ISNUMBER(AO151)),ISNUMBER(AK151),ISNUMBER(AL151)),1,NA())</f>
        <v>#N/A</v>
      </c>
      <c r="AQ151" s="401">
        <f>'Lab test'!AZ144</f>
        <v>1939</v>
      </c>
      <c r="AR151" t="str">
        <f>'Lab test'!AC144</f>
        <v>LTWb</v>
      </c>
      <c r="AS151" t="str">
        <f>'Lab test'!T144</f>
        <v>Steel</v>
      </c>
      <c r="AX151" t="e">
        <f t="shared" si="67"/>
        <v>#N/A</v>
      </c>
      <c r="AY151" t="e">
        <f t="shared" si="64"/>
        <v>#N/A</v>
      </c>
      <c r="AZ151" t="e">
        <f t="shared" si="61"/>
        <v>#N/A</v>
      </c>
      <c r="BA151" t="e">
        <f t="shared" si="61"/>
        <v>#N/A</v>
      </c>
      <c r="BB151" t="e">
        <f t="shared" si="61"/>
        <v>#N/A</v>
      </c>
      <c r="BC151" t="e">
        <f t="shared" si="61"/>
        <v>#N/A</v>
      </c>
      <c r="BD151" t="e">
        <f t="shared" si="61"/>
        <v>#N/A</v>
      </c>
      <c r="BG151" t="e">
        <f t="shared" si="68"/>
        <v>#N/A</v>
      </c>
      <c r="BH151" t="e">
        <f t="shared" si="65"/>
        <v>#N/A</v>
      </c>
      <c r="BI151" t="e">
        <f t="shared" si="62"/>
        <v>#N/A</v>
      </c>
      <c r="BJ151" t="e">
        <f t="shared" si="62"/>
        <v>#N/A</v>
      </c>
      <c r="BK151" t="e">
        <f t="shared" si="62"/>
        <v>#N/A</v>
      </c>
      <c r="BL151" t="e">
        <f t="shared" si="62"/>
        <v>#N/A</v>
      </c>
      <c r="BM151" t="e">
        <f t="shared" si="62"/>
        <v>#N/A</v>
      </c>
      <c r="BP151" t="e">
        <f t="shared" si="69"/>
        <v>#N/A</v>
      </c>
      <c r="BQ151" t="e">
        <f t="shared" si="66"/>
        <v>#N/A</v>
      </c>
      <c r="BR151" t="e">
        <f t="shared" si="63"/>
        <v>#N/A</v>
      </c>
      <c r="BS151" t="e">
        <f t="shared" si="63"/>
        <v>#N/A</v>
      </c>
      <c r="BT151" t="e">
        <f t="shared" si="63"/>
        <v>#N/A</v>
      </c>
      <c r="BU151" t="e">
        <f t="shared" si="63"/>
        <v>#N/A</v>
      </c>
      <c r="BV151" t="e">
        <f t="shared" si="63"/>
        <v>#N/A</v>
      </c>
      <c r="BY151" t="e">
        <f t="shared" si="70"/>
        <v>#N/A</v>
      </c>
      <c r="BZ151" t="e">
        <v>#N/A</v>
      </c>
      <c r="CA151" t="e" cm="1">
        <f t="array" ref="CA151">IF(ISNUMBER(BZ151),AF151/COUNT(IF(ISNUMBER(_xlfn.ANCHORARRAY($BZ$11)),_xlfn.ANCHORARRAY($BZ$11))),NA())</f>
        <v>#N/A</v>
      </c>
      <c r="CB151" t="e">
        <f t="shared" si="71"/>
        <v>#N/A</v>
      </c>
      <c r="CD151" t="e">
        <f t="shared" si="72"/>
        <v>#N/A</v>
      </c>
      <c r="CE151" t="e">
        <f t="shared" si="73"/>
        <v>#N/A</v>
      </c>
      <c r="CG151" t="e">
        <v>#N/A</v>
      </c>
      <c r="CH151" t="e">
        <v>#N/A</v>
      </c>
      <c r="CL151" t="e">
        <f t="shared" si="74"/>
        <v>#N/A</v>
      </c>
      <c r="CM151" t="e">
        <v>#N/A</v>
      </c>
      <c r="CN151" t="e" cm="1">
        <f t="array" ref="CN151">IF(ISNUMBER(CM151),AF151/COUNT(IF(ISNUMBER(_xlfn.ANCHORARRAY($CM$11)),_xlfn.ANCHORARRAY($CM$11))),NA())</f>
        <v>#N/A</v>
      </c>
      <c r="CO151" t="e">
        <f t="shared" si="75"/>
        <v>#N/A</v>
      </c>
      <c r="CQ151" t="e">
        <f t="shared" si="76"/>
        <v>#N/A</v>
      </c>
      <c r="CR151" t="e">
        <f t="shared" si="77"/>
        <v>#N/A</v>
      </c>
      <c r="CT151" t="e">
        <v>#N/A</v>
      </c>
      <c r="CU151" t="e">
        <v>#N/A</v>
      </c>
      <c r="CY151" t="e">
        <f t="shared" si="78"/>
        <v>#N/A</v>
      </c>
      <c r="CZ151" t="e">
        <v>#N/A</v>
      </c>
      <c r="DA151" t="e" cm="1">
        <f t="array" ref="DA151">IF(ISNUMBER(CZ151),AF151/COUNT(IF(ISNUMBER(_xlfn.ANCHORARRAY($CZ$11)),_xlfn.ANCHORARRAY($CZ$11))),NA())</f>
        <v>#N/A</v>
      </c>
      <c r="DB151" t="e">
        <f t="shared" si="79"/>
        <v>#N/A</v>
      </c>
      <c r="DD151" t="e">
        <f t="shared" si="80"/>
        <v>#N/A</v>
      </c>
      <c r="DE151" t="e">
        <f t="shared" si="81"/>
        <v>#N/A</v>
      </c>
      <c r="DG151" t="e">
        <v>#N/A</v>
      </c>
      <c r="DH151" t="e">
        <v>#N/A</v>
      </c>
    </row>
    <row r="152" spans="32:112">
      <c r="AF152">
        <v>142</v>
      </c>
      <c r="AG152" s="401">
        <f>'Lab test'!N145</f>
        <v>161.92500000000001</v>
      </c>
      <c r="AH152" s="401">
        <f>'Lab test'!M145</f>
        <v>0.15239999999999998</v>
      </c>
      <c r="AI152">
        <f>IF('Lab test'!O145&gt;0,'Lab test'!O145,NA())</f>
        <v>52.093585714285602</v>
      </c>
      <c r="AJ152">
        <f>'Lab test'!Q145</f>
        <v>1062.5000000000002</v>
      </c>
      <c r="AK152" s="401">
        <f>IF('Lab test'!V145&gt;0,'Lab test'!V145,NA())</f>
        <v>210979.57317095189</v>
      </c>
      <c r="AL152" s="7" t="e">
        <f>IF(MAX('Lab test'!W145,'Lab test'!X145)&gt;0,MAX('Lab test'!W145,'Lab test'!X145),NA())</f>
        <v>#N/A</v>
      </c>
      <c r="AM152" s="401">
        <f>IF('Lab test'!P145&gt;0,'Lab test'!P145,NA())</f>
        <v>9.8697437421958519E-3</v>
      </c>
      <c r="AN152" s="401" t="e">
        <f>IF('Lab test'!AU145&gt;0,'Lab test'!AU145,NA())</f>
        <v>#N/A</v>
      </c>
      <c r="AO152" s="401">
        <f>IF('Lab test'!AT145&gt;0,'Lab test'!AT145,NA())</f>
        <v>0.41939904410146706</v>
      </c>
      <c r="AP152" t="e">
        <f t="shared" si="82"/>
        <v>#N/A</v>
      </c>
      <c r="AQ152" s="401">
        <f>'Lab test'!AZ145</f>
        <v>1939</v>
      </c>
      <c r="AR152" t="str">
        <f>'Lab test'!AC145</f>
        <v>LTWb</v>
      </c>
      <c r="AS152" t="str">
        <f>'Lab test'!T145</f>
        <v>Steel</v>
      </c>
      <c r="AX152" t="e">
        <f t="shared" si="67"/>
        <v>#N/A</v>
      </c>
      <c r="AY152" t="e">
        <f t="shared" si="64"/>
        <v>#N/A</v>
      </c>
      <c r="AZ152" t="e">
        <f t="shared" si="61"/>
        <v>#N/A</v>
      </c>
      <c r="BA152" t="e">
        <f t="shared" si="61"/>
        <v>#N/A</v>
      </c>
      <c r="BB152" t="e">
        <f t="shared" si="61"/>
        <v>#N/A</v>
      </c>
      <c r="BC152" t="e">
        <f t="shared" si="61"/>
        <v>#N/A</v>
      </c>
      <c r="BD152" t="e">
        <f t="shared" si="61"/>
        <v>#N/A</v>
      </c>
      <c r="BG152" t="e">
        <f t="shared" si="68"/>
        <v>#N/A</v>
      </c>
      <c r="BH152" t="e">
        <f t="shared" si="65"/>
        <v>#N/A</v>
      </c>
      <c r="BI152" t="e">
        <f t="shared" si="62"/>
        <v>#N/A</v>
      </c>
      <c r="BJ152" t="e">
        <f t="shared" si="62"/>
        <v>#N/A</v>
      </c>
      <c r="BK152" t="e">
        <f t="shared" si="62"/>
        <v>#N/A</v>
      </c>
      <c r="BL152" t="e">
        <f t="shared" si="62"/>
        <v>#N/A</v>
      </c>
      <c r="BM152" t="e">
        <f t="shared" si="62"/>
        <v>#N/A</v>
      </c>
      <c r="BP152" t="e">
        <f t="shared" si="69"/>
        <v>#N/A</v>
      </c>
      <c r="BQ152" t="e">
        <f t="shared" si="66"/>
        <v>#N/A</v>
      </c>
      <c r="BR152" t="e">
        <f t="shared" si="63"/>
        <v>#N/A</v>
      </c>
      <c r="BS152" t="e">
        <f t="shared" si="63"/>
        <v>#N/A</v>
      </c>
      <c r="BT152" t="e">
        <f t="shared" si="63"/>
        <v>#N/A</v>
      </c>
      <c r="BU152" t="e">
        <f t="shared" si="63"/>
        <v>#N/A</v>
      </c>
      <c r="BV152" t="e">
        <f t="shared" si="63"/>
        <v>#N/A</v>
      </c>
      <c r="BY152" t="e">
        <f t="shared" si="70"/>
        <v>#N/A</v>
      </c>
      <c r="BZ152" t="e">
        <v>#N/A</v>
      </c>
      <c r="CA152" t="e" cm="1">
        <f t="array" ref="CA152">IF(ISNUMBER(BZ152),AF152/COUNT(IF(ISNUMBER(_xlfn.ANCHORARRAY($BZ$11)),_xlfn.ANCHORARRAY($BZ$11))),NA())</f>
        <v>#N/A</v>
      </c>
      <c r="CB152" t="e">
        <f t="shared" si="71"/>
        <v>#N/A</v>
      </c>
      <c r="CD152" t="e">
        <f t="shared" si="72"/>
        <v>#N/A</v>
      </c>
      <c r="CE152" t="e">
        <f t="shared" si="73"/>
        <v>#N/A</v>
      </c>
      <c r="CG152" t="e">
        <v>#N/A</v>
      </c>
      <c r="CH152" t="e">
        <v>#N/A</v>
      </c>
      <c r="CL152" t="e">
        <f t="shared" si="74"/>
        <v>#N/A</v>
      </c>
      <c r="CM152" t="e">
        <v>#N/A</v>
      </c>
      <c r="CN152" t="e" cm="1">
        <f t="array" ref="CN152">IF(ISNUMBER(CM152),AF152/COUNT(IF(ISNUMBER(_xlfn.ANCHORARRAY($CM$11)),_xlfn.ANCHORARRAY($CM$11))),NA())</f>
        <v>#N/A</v>
      </c>
      <c r="CO152" t="e">
        <f t="shared" si="75"/>
        <v>#N/A</v>
      </c>
      <c r="CQ152" t="e">
        <f t="shared" si="76"/>
        <v>#N/A</v>
      </c>
      <c r="CR152" t="e">
        <f t="shared" si="77"/>
        <v>#N/A</v>
      </c>
      <c r="CT152" t="e">
        <v>#N/A</v>
      </c>
      <c r="CU152" t="e">
        <v>#N/A</v>
      </c>
      <c r="CY152" t="e">
        <f t="shared" si="78"/>
        <v>#N/A</v>
      </c>
      <c r="CZ152" t="e">
        <v>#N/A</v>
      </c>
      <c r="DA152" t="e" cm="1">
        <f t="array" ref="DA152">IF(ISNUMBER(CZ152),AF152/COUNT(IF(ISNUMBER(_xlfn.ANCHORARRAY($CZ$11)),_xlfn.ANCHORARRAY($CZ$11))),NA())</f>
        <v>#N/A</v>
      </c>
      <c r="DB152" t="e">
        <f t="shared" si="79"/>
        <v>#N/A</v>
      </c>
      <c r="DD152" t="e">
        <f t="shared" si="80"/>
        <v>#N/A</v>
      </c>
      <c r="DE152" t="e">
        <f t="shared" si="81"/>
        <v>#N/A</v>
      </c>
      <c r="DG152" t="e">
        <v>#N/A</v>
      </c>
      <c r="DH152" t="e">
        <v>#N/A</v>
      </c>
    </row>
    <row r="153" spans="32:112">
      <c r="AF153">
        <v>143</v>
      </c>
      <c r="AG153" s="401">
        <f>'Lab test'!N146</f>
        <v>161.92500000000001</v>
      </c>
      <c r="AH153" s="401">
        <f>'Lab test'!M146</f>
        <v>0.15239999999999998</v>
      </c>
      <c r="AI153">
        <f>IF('Lab test'!O146&gt;0,'Lab test'!O146,NA())</f>
        <v>52.371171428571365</v>
      </c>
      <c r="AJ153">
        <f>'Lab test'!Q146</f>
        <v>1062.5000000000002</v>
      </c>
      <c r="AK153" s="401">
        <f>IF('Lab test'!V146&gt;0,'Lab test'!V146,NA())</f>
        <v>210979.57317095189</v>
      </c>
      <c r="AL153" s="7" t="e">
        <f>IF(MAX('Lab test'!W146,'Lab test'!X146)&gt;0,MAX('Lab test'!W146,'Lab test'!X146),NA())</f>
        <v>#N/A</v>
      </c>
      <c r="AM153" s="401">
        <f>IF('Lab test'!P146&gt;0,'Lab test'!P146,NA())</f>
        <v>9.9223356271453955E-3</v>
      </c>
      <c r="AN153" s="401" t="e">
        <f>IF('Lab test'!AU146&gt;0,'Lab test'!AU146,NA())</f>
        <v>#N/A</v>
      </c>
      <c r="AO153" s="401">
        <f>IF('Lab test'!AT146&gt;0,'Lab test'!AT146,NA())</f>
        <v>0.44499639812222946</v>
      </c>
      <c r="AP153" t="e">
        <f t="shared" si="82"/>
        <v>#N/A</v>
      </c>
      <c r="AQ153" s="401">
        <f>'Lab test'!AZ146</f>
        <v>1939</v>
      </c>
      <c r="AR153" t="str">
        <f>'Lab test'!AC146</f>
        <v>LTWb</v>
      </c>
      <c r="AS153" t="str">
        <f>'Lab test'!T146</f>
        <v>Steel</v>
      </c>
      <c r="AX153" t="e">
        <f t="shared" si="67"/>
        <v>#N/A</v>
      </c>
      <c r="AY153" t="e">
        <f t="shared" si="64"/>
        <v>#N/A</v>
      </c>
      <c r="AZ153" t="e">
        <f t="shared" si="61"/>
        <v>#N/A</v>
      </c>
      <c r="BA153" t="e">
        <f t="shared" si="61"/>
        <v>#N/A</v>
      </c>
      <c r="BB153" t="e">
        <f t="shared" si="61"/>
        <v>#N/A</v>
      </c>
      <c r="BC153" t="e">
        <f t="shared" si="61"/>
        <v>#N/A</v>
      </c>
      <c r="BD153" t="e">
        <f t="shared" si="61"/>
        <v>#N/A</v>
      </c>
      <c r="BG153" t="e">
        <f t="shared" si="68"/>
        <v>#N/A</v>
      </c>
      <c r="BH153" t="e">
        <f t="shared" si="65"/>
        <v>#N/A</v>
      </c>
      <c r="BI153" t="e">
        <f t="shared" si="62"/>
        <v>#N/A</v>
      </c>
      <c r="BJ153" t="e">
        <f t="shared" si="62"/>
        <v>#N/A</v>
      </c>
      <c r="BK153" t="e">
        <f t="shared" si="62"/>
        <v>#N/A</v>
      </c>
      <c r="BL153" t="e">
        <f t="shared" si="62"/>
        <v>#N/A</v>
      </c>
      <c r="BM153" t="e">
        <f t="shared" si="62"/>
        <v>#N/A</v>
      </c>
      <c r="BP153" t="e">
        <f t="shared" si="69"/>
        <v>#N/A</v>
      </c>
      <c r="BQ153" t="e">
        <f t="shared" si="66"/>
        <v>#N/A</v>
      </c>
      <c r="BR153" t="e">
        <f t="shared" si="63"/>
        <v>#N/A</v>
      </c>
      <c r="BS153" t="e">
        <f t="shared" si="63"/>
        <v>#N/A</v>
      </c>
      <c r="BT153" t="e">
        <f t="shared" si="63"/>
        <v>#N/A</v>
      </c>
      <c r="BU153" t="e">
        <f t="shared" si="63"/>
        <v>#N/A</v>
      </c>
      <c r="BV153" t="e">
        <f t="shared" si="63"/>
        <v>#N/A</v>
      </c>
      <c r="BY153" t="e">
        <f t="shared" si="70"/>
        <v>#N/A</v>
      </c>
      <c r="BZ153" t="e">
        <v>#N/A</v>
      </c>
      <c r="CA153" t="e" cm="1">
        <f t="array" ref="CA153">IF(ISNUMBER(BZ153),AF153/COUNT(IF(ISNUMBER(_xlfn.ANCHORARRAY($BZ$11)),_xlfn.ANCHORARRAY($BZ$11))),NA())</f>
        <v>#N/A</v>
      </c>
      <c r="CB153" t="e">
        <f t="shared" si="71"/>
        <v>#N/A</v>
      </c>
      <c r="CD153" t="e">
        <f t="shared" si="72"/>
        <v>#N/A</v>
      </c>
      <c r="CE153" t="e">
        <f t="shared" si="73"/>
        <v>#N/A</v>
      </c>
      <c r="CG153" t="e">
        <v>#N/A</v>
      </c>
      <c r="CH153" t="e">
        <v>#N/A</v>
      </c>
      <c r="CL153" t="e">
        <f t="shared" si="74"/>
        <v>#N/A</v>
      </c>
      <c r="CM153" t="e">
        <v>#N/A</v>
      </c>
      <c r="CN153" t="e" cm="1">
        <f t="array" ref="CN153">IF(ISNUMBER(CM153),AF153/COUNT(IF(ISNUMBER(_xlfn.ANCHORARRAY($CM$11)),_xlfn.ANCHORARRAY($CM$11))),NA())</f>
        <v>#N/A</v>
      </c>
      <c r="CO153" t="e">
        <f t="shared" si="75"/>
        <v>#N/A</v>
      </c>
      <c r="CQ153" t="e">
        <f t="shared" si="76"/>
        <v>#N/A</v>
      </c>
      <c r="CR153" t="e">
        <f t="shared" si="77"/>
        <v>#N/A</v>
      </c>
      <c r="CT153" t="e">
        <v>#N/A</v>
      </c>
      <c r="CU153" t="e">
        <v>#N/A</v>
      </c>
      <c r="CY153" t="e">
        <f t="shared" si="78"/>
        <v>#N/A</v>
      </c>
      <c r="CZ153" t="e">
        <v>#N/A</v>
      </c>
      <c r="DA153" t="e" cm="1">
        <f t="array" ref="DA153">IF(ISNUMBER(CZ153),AF153/COUNT(IF(ISNUMBER(_xlfn.ANCHORARRAY($CZ$11)),_xlfn.ANCHORARRAY($CZ$11))),NA())</f>
        <v>#N/A</v>
      </c>
      <c r="DB153" t="e">
        <f t="shared" si="79"/>
        <v>#N/A</v>
      </c>
      <c r="DD153" t="e">
        <f t="shared" si="80"/>
        <v>#N/A</v>
      </c>
      <c r="DE153" t="e">
        <f t="shared" si="81"/>
        <v>#N/A</v>
      </c>
      <c r="DG153" t="e">
        <v>#N/A</v>
      </c>
      <c r="DH153" t="e">
        <v>#N/A</v>
      </c>
    </row>
    <row r="154" spans="32:112">
      <c r="AF154">
        <v>144</v>
      </c>
      <c r="AG154" s="401">
        <f>'Lab test'!N147</f>
        <v>161.92500000000001</v>
      </c>
      <c r="AH154" s="401">
        <f>'Lab test'!M147</f>
        <v>0.15239999999999998</v>
      </c>
      <c r="AI154">
        <f>IF('Lab test'!O147&gt;0,'Lab test'!O147,NA())</f>
        <v>39.04705714285712</v>
      </c>
      <c r="AJ154">
        <f>'Lab test'!Q147</f>
        <v>1062.5000000000002</v>
      </c>
      <c r="AK154" s="401">
        <f>IF('Lab test'!V147&gt;0,'Lab test'!V147,NA())</f>
        <v>210979.57317095189</v>
      </c>
      <c r="AL154" s="7" t="e">
        <f>IF(MAX('Lab test'!W147,'Lab test'!X147)&gt;0,MAX('Lab test'!W147,'Lab test'!X147),NA())</f>
        <v>#N/A</v>
      </c>
      <c r="AM154" s="401">
        <f>IF('Lab test'!P147&gt;0,'Lab test'!P147,NA())</f>
        <v>7.3979251495677727E-3</v>
      </c>
      <c r="AN154" s="401" t="e">
        <f>IF('Lab test'!AU147&gt;0,'Lab test'!AU147,NA())</f>
        <v>#N/A</v>
      </c>
      <c r="AO154" s="401">
        <f>IF('Lab test'!AT147&gt;0,'Lab test'!AT147,NA())</f>
        <v>0.46109873569917537</v>
      </c>
      <c r="AP154" t="e">
        <f t="shared" si="82"/>
        <v>#N/A</v>
      </c>
      <c r="AQ154" s="401">
        <f>'Lab test'!AZ147</f>
        <v>1939</v>
      </c>
      <c r="AR154" t="str">
        <f>'Lab test'!AC147</f>
        <v>LTWb</v>
      </c>
      <c r="AS154" t="str">
        <f>'Lab test'!T147</f>
        <v>Steel</v>
      </c>
      <c r="AX154" t="e">
        <f t="shared" si="67"/>
        <v>#N/A</v>
      </c>
      <c r="AY154" t="e">
        <f t="shared" si="64"/>
        <v>#N/A</v>
      </c>
      <c r="AZ154" t="e">
        <f t="shared" si="61"/>
        <v>#N/A</v>
      </c>
      <c r="BA154" t="e">
        <f t="shared" si="61"/>
        <v>#N/A</v>
      </c>
      <c r="BB154" t="e">
        <f t="shared" si="61"/>
        <v>#N/A</v>
      </c>
      <c r="BC154" t="e">
        <f t="shared" si="61"/>
        <v>#N/A</v>
      </c>
      <c r="BD154" t="e">
        <f t="shared" si="61"/>
        <v>#N/A</v>
      </c>
      <c r="BG154" t="e">
        <f t="shared" si="68"/>
        <v>#N/A</v>
      </c>
      <c r="BH154" t="e">
        <f t="shared" si="65"/>
        <v>#N/A</v>
      </c>
      <c r="BI154" t="e">
        <f t="shared" si="62"/>
        <v>#N/A</v>
      </c>
      <c r="BJ154" t="e">
        <f t="shared" si="62"/>
        <v>#N/A</v>
      </c>
      <c r="BK154" t="e">
        <f t="shared" si="62"/>
        <v>#N/A</v>
      </c>
      <c r="BL154" t="e">
        <f t="shared" si="62"/>
        <v>#N/A</v>
      </c>
      <c r="BM154" t="e">
        <f t="shared" si="62"/>
        <v>#N/A</v>
      </c>
      <c r="BP154" t="e">
        <f t="shared" si="69"/>
        <v>#N/A</v>
      </c>
      <c r="BQ154" t="e">
        <f t="shared" si="66"/>
        <v>#N/A</v>
      </c>
      <c r="BR154" t="e">
        <f t="shared" si="63"/>
        <v>#N/A</v>
      </c>
      <c r="BS154" t="e">
        <f t="shared" si="63"/>
        <v>#N/A</v>
      </c>
      <c r="BT154" t="e">
        <f t="shared" si="63"/>
        <v>#N/A</v>
      </c>
      <c r="BU154" t="e">
        <f t="shared" si="63"/>
        <v>#N/A</v>
      </c>
      <c r="BV154" t="e">
        <f t="shared" si="63"/>
        <v>#N/A</v>
      </c>
      <c r="BY154" t="e">
        <f t="shared" si="70"/>
        <v>#N/A</v>
      </c>
      <c r="BZ154" t="e">
        <v>#N/A</v>
      </c>
      <c r="CA154" t="e" cm="1">
        <f t="array" ref="CA154">IF(ISNUMBER(BZ154),AF154/COUNT(IF(ISNUMBER(_xlfn.ANCHORARRAY($BZ$11)),_xlfn.ANCHORARRAY($BZ$11))),NA())</f>
        <v>#N/A</v>
      </c>
      <c r="CB154" t="e">
        <f t="shared" si="71"/>
        <v>#N/A</v>
      </c>
      <c r="CD154" t="e">
        <f t="shared" si="72"/>
        <v>#N/A</v>
      </c>
      <c r="CE154" t="e">
        <f t="shared" si="73"/>
        <v>#N/A</v>
      </c>
      <c r="CG154" t="e">
        <v>#N/A</v>
      </c>
      <c r="CH154" t="e">
        <v>#N/A</v>
      </c>
      <c r="CL154" t="e">
        <f t="shared" si="74"/>
        <v>#N/A</v>
      </c>
      <c r="CM154" t="e">
        <v>#N/A</v>
      </c>
      <c r="CN154" t="e" cm="1">
        <f t="array" ref="CN154">IF(ISNUMBER(CM154),AF154/COUNT(IF(ISNUMBER(_xlfn.ANCHORARRAY($CM$11)),_xlfn.ANCHORARRAY($CM$11))),NA())</f>
        <v>#N/A</v>
      </c>
      <c r="CO154" t="e">
        <f t="shared" si="75"/>
        <v>#N/A</v>
      </c>
      <c r="CQ154" t="e">
        <f t="shared" si="76"/>
        <v>#N/A</v>
      </c>
      <c r="CR154" t="e">
        <f t="shared" si="77"/>
        <v>#N/A</v>
      </c>
      <c r="CT154" t="e">
        <v>#N/A</v>
      </c>
      <c r="CU154" t="e">
        <v>#N/A</v>
      </c>
      <c r="CY154" t="e">
        <f t="shared" si="78"/>
        <v>#N/A</v>
      </c>
      <c r="CZ154" t="e">
        <v>#N/A</v>
      </c>
      <c r="DA154" t="e" cm="1">
        <f t="array" ref="DA154">IF(ISNUMBER(CZ154),AF154/COUNT(IF(ISNUMBER(_xlfn.ANCHORARRAY($CZ$11)),_xlfn.ANCHORARRAY($CZ$11))),NA())</f>
        <v>#N/A</v>
      </c>
      <c r="DB154" t="e">
        <f t="shared" si="79"/>
        <v>#N/A</v>
      </c>
      <c r="DD154" t="e">
        <f t="shared" si="80"/>
        <v>#N/A</v>
      </c>
      <c r="DE154" t="e">
        <f t="shared" si="81"/>
        <v>#N/A</v>
      </c>
      <c r="DG154" t="e">
        <v>#N/A</v>
      </c>
      <c r="DH154" t="e">
        <v>#N/A</v>
      </c>
    </row>
    <row r="155" spans="32:112">
      <c r="AF155">
        <v>145</v>
      </c>
      <c r="AG155" s="401">
        <f>'Lab test'!N148</f>
        <v>161.92500000000001</v>
      </c>
      <c r="AH155" s="401">
        <f>'Lab test'!M148</f>
        <v>0.15239999999999998</v>
      </c>
      <c r="AI155">
        <f>IF('Lab test'!O148&gt;0,'Lab test'!O148,NA())</f>
        <v>22.669500000000003</v>
      </c>
      <c r="AJ155">
        <f>'Lab test'!Q148</f>
        <v>1062.5000000000002</v>
      </c>
      <c r="AK155" s="401">
        <f>IF('Lab test'!V148&gt;0,'Lab test'!V148,NA())</f>
        <v>210979.57317095189</v>
      </c>
      <c r="AL155" s="7" t="e">
        <f>IF(MAX('Lab test'!W148,'Lab test'!X148)&gt;0,MAX('Lab test'!W148,'Lab test'!X148),NA())</f>
        <v>#N/A</v>
      </c>
      <c r="AM155" s="401">
        <f>IF('Lab test'!P148&gt;0,'Lab test'!P148,NA())</f>
        <v>4.2950039375452744E-3</v>
      </c>
      <c r="AN155" s="401" t="e">
        <f>IF('Lab test'!AU148&gt;0,'Lab test'!AU148,NA())</f>
        <v>#N/A</v>
      </c>
      <c r="AO155" s="401">
        <f>IF('Lab test'!AT148&gt;0,'Lab test'!AT148,NA())</f>
        <v>0.60196979325447642</v>
      </c>
      <c r="AP155" t="e">
        <f t="shared" si="82"/>
        <v>#N/A</v>
      </c>
      <c r="AQ155" s="401">
        <f>'Lab test'!AZ148</f>
        <v>1939</v>
      </c>
      <c r="AR155" t="str">
        <f>'Lab test'!AC148</f>
        <v>LTWb</v>
      </c>
      <c r="AS155" t="str">
        <f>'Lab test'!T148</f>
        <v>Steel</v>
      </c>
      <c r="AX155" t="e">
        <f t="shared" si="67"/>
        <v>#N/A</v>
      </c>
      <c r="AY155" t="e">
        <f t="shared" si="64"/>
        <v>#N/A</v>
      </c>
      <c r="AZ155" t="e">
        <f t="shared" si="61"/>
        <v>#N/A</v>
      </c>
      <c r="BA155" t="e">
        <f t="shared" si="61"/>
        <v>#N/A</v>
      </c>
      <c r="BB155" t="e">
        <f t="shared" si="61"/>
        <v>#N/A</v>
      </c>
      <c r="BC155" t="e">
        <f t="shared" si="61"/>
        <v>#N/A</v>
      </c>
      <c r="BD155" t="e">
        <f t="shared" si="61"/>
        <v>#N/A</v>
      </c>
      <c r="BG155" t="e">
        <f t="shared" si="68"/>
        <v>#N/A</v>
      </c>
      <c r="BH155" t="e">
        <f t="shared" si="65"/>
        <v>#N/A</v>
      </c>
      <c r="BI155" t="e">
        <f t="shared" si="62"/>
        <v>#N/A</v>
      </c>
      <c r="BJ155" t="e">
        <f t="shared" si="62"/>
        <v>#N/A</v>
      </c>
      <c r="BK155" t="e">
        <f t="shared" si="62"/>
        <v>#N/A</v>
      </c>
      <c r="BL155" t="e">
        <f t="shared" si="62"/>
        <v>#N/A</v>
      </c>
      <c r="BM155" t="e">
        <f t="shared" si="62"/>
        <v>#N/A</v>
      </c>
      <c r="BP155" t="e">
        <f t="shared" si="69"/>
        <v>#N/A</v>
      </c>
      <c r="BQ155" t="e">
        <f t="shared" si="66"/>
        <v>#N/A</v>
      </c>
      <c r="BR155" t="e">
        <f t="shared" si="63"/>
        <v>#N/A</v>
      </c>
      <c r="BS155" t="e">
        <f t="shared" si="63"/>
        <v>#N/A</v>
      </c>
      <c r="BT155" t="e">
        <f t="shared" si="63"/>
        <v>#N/A</v>
      </c>
      <c r="BU155" t="e">
        <f t="shared" si="63"/>
        <v>#N/A</v>
      </c>
      <c r="BV155" t="e">
        <f t="shared" si="63"/>
        <v>#N/A</v>
      </c>
      <c r="BY155" t="e">
        <f t="shared" si="70"/>
        <v>#N/A</v>
      </c>
      <c r="BZ155" t="e">
        <v>#N/A</v>
      </c>
      <c r="CA155" t="e" cm="1">
        <f t="array" ref="CA155">IF(ISNUMBER(BZ155),AF155/COUNT(IF(ISNUMBER(_xlfn.ANCHORARRAY($BZ$11)),_xlfn.ANCHORARRAY($BZ$11))),NA())</f>
        <v>#N/A</v>
      </c>
      <c r="CB155" t="e">
        <f t="shared" si="71"/>
        <v>#N/A</v>
      </c>
      <c r="CD155" t="e">
        <f t="shared" si="72"/>
        <v>#N/A</v>
      </c>
      <c r="CE155" t="e">
        <f t="shared" si="73"/>
        <v>#N/A</v>
      </c>
      <c r="CG155" t="e">
        <v>#N/A</v>
      </c>
      <c r="CH155" t="e">
        <v>#N/A</v>
      </c>
      <c r="CL155" t="e">
        <f t="shared" si="74"/>
        <v>#N/A</v>
      </c>
      <c r="CM155" t="e">
        <v>#N/A</v>
      </c>
      <c r="CN155" t="e" cm="1">
        <f t="array" ref="CN155">IF(ISNUMBER(CM155),AF155/COUNT(IF(ISNUMBER(_xlfn.ANCHORARRAY($CM$11)),_xlfn.ANCHORARRAY($CM$11))),NA())</f>
        <v>#N/A</v>
      </c>
      <c r="CO155" t="e">
        <f t="shared" si="75"/>
        <v>#N/A</v>
      </c>
      <c r="CQ155" t="e">
        <f t="shared" si="76"/>
        <v>#N/A</v>
      </c>
      <c r="CR155" t="e">
        <f t="shared" si="77"/>
        <v>#N/A</v>
      </c>
      <c r="CT155" t="e">
        <v>#N/A</v>
      </c>
      <c r="CU155" t="e">
        <v>#N/A</v>
      </c>
      <c r="CY155" t="e">
        <f t="shared" si="78"/>
        <v>#N/A</v>
      </c>
      <c r="CZ155" t="e">
        <v>#N/A</v>
      </c>
      <c r="DA155" t="e" cm="1">
        <f t="array" ref="DA155">IF(ISNUMBER(CZ155),AF155/COUNT(IF(ISNUMBER(_xlfn.ANCHORARRAY($CZ$11)),_xlfn.ANCHORARRAY($CZ$11))),NA())</f>
        <v>#N/A</v>
      </c>
      <c r="DB155" t="e">
        <f t="shared" si="79"/>
        <v>#N/A</v>
      </c>
      <c r="DD155" t="e">
        <f t="shared" si="80"/>
        <v>#N/A</v>
      </c>
      <c r="DE155" t="e">
        <f t="shared" si="81"/>
        <v>#N/A</v>
      </c>
      <c r="DG155" t="e">
        <v>#N/A</v>
      </c>
      <c r="DH155" t="e">
        <v>#N/A</v>
      </c>
    </row>
    <row r="156" spans="32:112">
      <c r="AF156">
        <v>146</v>
      </c>
      <c r="AG156" s="401">
        <f>'Lab test'!N149</f>
        <v>161.92500000000001</v>
      </c>
      <c r="AH156" s="401">
        <f>'Lab test'!M149</f>
        <v>0.15239999999999998</v>
      </c>
      <c r="AI156">
        <f>IF('Lab test'!O149&gt;0,'Lab test'!O149,NA())</f>
        <v>14.61951428571429</v>
      </c>
      <c r="AJ156">
        <f>'Lab test'!Q149</f>
        <v>1062.5000000000002</v>
      </c>
      <c r="AK156" s="401">
        <f>IF('Lab test'!V149&gt;0,'Lab test'!V149,NA())</f>
        <v>210979.57317095189</v>
      </c>
      <c r="AL156" s="7" t="e">
        <f>IF(MAX('Lab test'!W149,'Lab test'!X149)&gt;0,MAX('Lab test'!W149,'Lab test'!X149),NA())</f>
        <v>#N/A</v>
      </c>
      <c r="AM156" s="401">
        <f>IF('Lab test'!P149&gt;0,'Lab test'!P149,NA())</f>
        <v>2.7698392740087893E-3</v>
      </c>
      <c r="AN156" s="401" t="e">
        <f>IF('Lab test'!AU149&gt;0,'Lab test'!AU149,NA())</f>
        <v>#N/A</v>
      </c>
      <c r="AO156" s="401">
        <f>IF('Lab test'!AT149&gt;0,'Lab test'!AT149,NA())</f>
        <v>0.82402182416060177</v>
      </c>
      <c r="AP156" t="e">
        <f t="shared" si="82"/>
        <v>#N/A</v>
      </c>
      <c r="AQ156" s="401">
        <f>'Lab test'!AZ149</f>
        <v>1939</v>
      </c>
      <c r="AR156" t="str">
        <f>'Lab test'!AC149</f>
        <v>LTWb</v>
      </c>
      <c r="AS156" t="str">
        <f>'Lab test'!T149</f>
        <v>Steel</v>
      </c>
      <c r="AX156" t="e">
        <f t="shared" si="67"/>
        <v>#N/A</v>
      </c>
      <c r="AY156" t="e">
        <f t="shared" si="64"/>
        <v>#N/A</v>
      </c>
      <c r="AZ156" t="e">
        <f t="shared" si="61"/>
        <v>#N/A</v>
      </c>
      <c r="BA156" t="e">
        <f t="shared" si="61"/>
        <v>#N/A</v>
      </c>
      <c r="BB156" t="e">
        <f t="shared" si="61"/>
        <v>#N/A</v>
      </c>
      <c r="BC156" t="e">
        <f t="shared" si="61"/>
        <v>#N/A</v>
      </c>
      <c r="BD156" t="e">
        <f t="shared" si="61"/>
        <v>#N/A</v>
      </c>
      <c r="BG156" t="e">
        <f t="shared" si="68"/>
        <v>#N/A</v>
      </c>
      <c r="BH156" t="e">
        <f t="shared" si="65"/>
        <v>#N/A</v>
      </c>
      <c r="BI156" t="e">
        <f t="shared" si="62"/>
        <v>#N/A</v>
      </c>
      <c r="BJ156" t="e">
        <f t="shared" si="62"/>
        <v>#N/A</v>
      </c>
      <c r="BK156" t="e">
        <f t="shared" si="62"/>
        <v>#N/A</v>
      </c>
      <c r="BL156" t="e">
        <f t="shared" si="62"/>
        <v>#N/A</v>
      </c>
      <c r="BM156" t="e">
        <f t="shared" si="62"/>
        <v>#N/A</v>
      </c>
      <c r="BP156" t="e">
        <f t="shared" si="69"/>
        <v>#N/A</v>
      </c>
      <c r="BQ156" t="e">
        <f t="shared" si="66"/>
        <v>#N/A</v>
      </c>
      <c r="BR156" t="e">
        <f t="shared" si="63"/>
        <v>#N/A</v>
      </c>
      <c r="BS156" t="e">
        <f t="shared" si="63"/>
        <v>#N/A</v>
      </c>
      <c r="BT156" t="e">
        <f t="shared" si="63"/>
        <v>#N/A</v>
      </c>
      <c r="BU156" t="e">
        <f t="shared" si="63"/>
        <v>#N/A</v>
      </c>
      <c r="BV156" t="e">
        <f t="shared" si="63"/>
        <v>#N/A</v>
      </c>
      <c r="BY156" t="e">
        <f t="shared" si="70"/>
        <v>#N/A</v>
      </c>
      <c r="BZ156" t="e">
        <v>#N/A</v>
      </c>
      <c r="CA156" t="e" cm="1">
        <f t="array" ref="CA156">IF(ISNUMBER(BZ156),AF156/COUNT(IF(ISNUMBER(_xlfn.ANCHORARRAY($BZ$11)),_xlfn.ANCHORARRAY($BZ$11))),NA())</f>
        <v>#N/A</v>
      </c>
      <c r="CB156" t="e">
        <f t="shared" si="71"/>
        <v>#N/A</v>
      </c>
      <c r="CD156" t="e">
        <f t="shared" si="72"/>
        <v>#N/A</v>
      </c>
      <c r="CE156" t="e">
        <f t="shared" si="73"/>
        <v>#N/A</v>
      </c>
      <c r="CG156" t="e">
        <v>#N/A</v>
      </c>
      <c r="CH156" t="e">
        <v>#N/A</v>
      </c>
      <c r="CL156" t="e">
        <f t="shared" si="74"/>
        <v>#N/A</v>
      </c>
      <c r="CM156" t="e">
        <v>#N/A</v>
      </c>
      <c r="CN156" t="e" cm="1">
        <f t="array" ref="CN156">IF(ISNUMBER(CM156),AF156/COUNT(IF(ISNUMBER(_xlfn.ANCHORARRAY($CM$11)),_xlfn.ANCHORARRAY($CM$11))),NA())</f>
        <v>#N/A</v>
      </c>
      <c r="CO156" t="e">
        <f t="shared" si="75"/>
        <v>#N/A</v>
      </c>
      <c r="CQ156" t="e">
        <f t="shared" si="76"/>
        <v>#N/A</v>
      </c>
      <c r="CR156" t="e">
        <f t="shared" si="77"/>
        <v>#N/A</v>
      </c>
      <c r="CT156" t="e">
        <v>#N/A</v>
      </c>
      <c r="CU156" t="e">
        <v>#N/A</v>
      </c>
      <c r="CY156" t="e">
        <f t="shared" si="78"/>
        <v>#N/A</v>
      </c>
      <c r="CZ156" t="e">
        <v>#N/A</v>
      </c>
      <c r="DA156" t="e" cm="1">
        <f t="array" ref="DA156">IF(ISNUMBER(CZ156),AF156/COUNT(IF(ISNUMBER(_xlfn.ANCHORARRAY($CZ$11)),_xlfn.ANCHORARRAY($CZ$11))),NA())</f>
        <v>#N/A</v>
      </c>
      <c r="DB156" t="e">
        <f t="shared" si="79"/>
        <v>#N/A</v>
      </c>
      <c r="DD156" t="e">
        <f t="shared" si="80"/>
        <v>#N/A</v>
      </c>
      <c r="DE156" t="e">
        <f t="shared" si="81"/>
        <v>#N/A</v>
      </c>
      <c r="DG156" t="e">
        <v>#N/A</v>
      </c>
      <c r="DH156" t="e">
        <v>#N/A</v>
      </c>
    </row>
    <row r="157" spans="32:112">
      <c r="AF157">
        <v>147</v>
      </c>
      <c r="AG157" s="401">
        <f>'Lab test'!N150</f>
        <v>161.92500000000001</v>
      </c>
      <c r="AH157" s="401">
        <f>'Lab test'!M150</f>
        <v>0.15239999999999998</v>
      </c>
      <c r="AI157">
        <f>IF('Lab test'!O150&gt;0,'Lab test'!O150,NA())</f>
        <v>6.5695285714285605</v>
      </c>
      <c r="AJ157">
        <f>'Lab test'!Q150</f>
        <v>1062.5000000000002</v>
      </c>
      <c r="AK157" s="401">
        <f>IF('Lab test'!V150&gt;0,'Lab test'!V150,NA())</f>
        <v>210979.57317095189</v>
      </c>
      <c r="AL157" s="7" t="e">
        <f>IF(MAX('Lab test'!W150,'Lab test'!X150)&gt;0,MAX('Lab test'!W150,'Lab test'!X150),NA())</f>
        <v>#N/A</v>
      </c>
      <c r="AM157" s="401">
        <f>IF('Lab test'!P150&gt;0,'Lab test'!P150,NA())</f>
        <v>1.2446746104723017E-3</v>
      </c>
      <c r="AN157" s="401" t="e">
        <f>IF('Lab test'!AU150&gt;0,'Lab test'!AU150,NA())</f>
        <v>#N/A</v>
      </c>
      <c r="AO157" s="401">
        <f>IF('Lab test'!AT150&gt;0,'Lab test'!AT150,NA())</f>
        <v>1.2475045270927856</v>
      </c>
      <c r="AP157" t="e">
        <f t="shared" si="82"/>
        <v>#N/A</v>
      </c>
      <c r="AQ157" s="401">
        <f>'Lab test'!AZ150</f>
        <v>1939</v>
      </c>
      <c r="AR157" t="str">
        <f>'Lab test'!AC150</f>
        <v>LTWb</v>
      </c>
      <c r="AS157" t="str">
        <f>'Lab test'!T150</f>
        <v>Steel</v>
      </c>
      <c r="AX157" t="e">
        <f t="shared" si="67"/>
        <v>#N/A</v>
      </c>
      <c r="AY157" t="e">
        <f t="shared" si="64"/>
        <v>#N/A</v>
      </c>
      <c r="AZ157" t="e">
        <f t="shared" si="61"/>
        <v>#N/A</v>
      </c>
      <c r="BA157" t="e">
        <f t="shared" si="61"/>
        <v>#N/A</v>
      </c>
      <c r="BB157" t="e">
        <f t="shared" si="61"/>
        <v>#N/A</v>
      </c>
      <c r="BC157" t="e">
        <f t="shared" si="61"/>
        <v>#N/A</v>
      </c>
      <c r="BD157" t="e">
        <f t="shared" si="61"/>
        <v>#N/A</v>
      </c>
      <c r="BG157" t="e">
        <f t="shared" si="68"/>
        <v>#N/A</v>
      </c>
      <c r="BH157" t="e">
        <f t="shared" si="65"/>
        <v>#N/A</v>
      </c>
      <c r="BI157" t="e">
        <f t="shared" si="62"/>
        <v>#N/A</v>
      </c>
      <c r="BJ157" t="e">
        <f t="shared" si="62"/>
        <v>#N/A</v>
      </c>
      <c r="BK157" t="e">
        <f t="shared" si="62"/>
        <v>#N/A</v>
      </c>
      <c r="BL157" t="e">
        <f t="shared" si="62"/>
        <v>#N/A</v>
      </c>
      <c r="BM157" t="e">
        <f t="shared" si="62"/>
        <v>#N/A</v>
      </c>
      <c r="BP157" t="e">
        <f t="shared" si="69"/>
        <v>#N/A</v>
      </c>
      <c r="BQ157" t="e">
        <f t="shared" si="66"/>
        <v>#N/A</v>
      </c>
      <c r="BR157" t="e">
        <f t="shared" si="63"/>
        <v>#N/A</v>
      </c>
      <c r="BS157" t="e">
        <f t="shared" si="63"/>
        <v>#N/A</v>
      </c>
      <c r="BT157" t="e">
        <f t="shared" si="63"/>
        <v>#N/A</v>
      </c>
      <c r="BU157" t="e">
        <f t="shared" si="63"/>
        <v>#N/A</v>
      </c>
      <c r="BV157" t="e">
        <f t="shared" si="63"/>
        <v>#N/A</v>
      </c>
      <c r="BY157" t="e">
        <f t="shared" si="70"/>
        <v>#N/A</v>
      </c>
      <c r="BZ157" t="e">
        <v>#N/A</v>
      </c>
      <c r="CA157" t="e" cm="1">
        <f t="array" ref="CA157">IF(ISNUMBER(BZ157),AF157/COUNT(IF(ISNUMBER(_xlfn.ANCHORARRAY($BZ$11)),_xlfn.ANCHORARRAY($BZ$11))),NA())</f>
        <v>#N/A</v>
      </c>
      <c r="CB157" t="e">
        <f t="shared" si="71"/>
        <v>#N/A</v>
      </c>
      <c r="CD157" t="e">
        <f t="shared" si="72"/>
        <v>#N/A</v>
      </c>
      <c r="CE157" t="e">
        <f t="shared" si="73"/>
        <v>#N/A</v>
      </c>
      <c r="CG157" t="e">
        <v>#N/A</v>
      </c>
      <c r="CH157" t="e">
        <v>#N/A</v>
      </c>
      <c r="CL157" t="e">
        <f t="shared" si="74"/>
        <v>#N/A</v>
      </c>
      <c r="CM157" t="e">
        <v>#N/A</v>
      </c>
      <c r="CN157" t="e" cm="1">
        <f t="array" ref="CN157">IF(ISNUMBER(CM157),AF157/COUNT(IF(ISNUMBER(_xlfn.ANCHORARRAY($CM$11)),_xlfn.ANCHORARRAY($CM$11))),NA())</f>
        <v>#N/A</v>
      </c>
      <c r="CO157" t="e">
        <f t="shared" si="75"/>
        <v>#N/A</v>
      </c>
      <c r="CQ157" t="e">
        <f t="shared" si="76"/>
        <v>#N/A</v>
      </c>
      <c r="CR157" t="e">
        <f t="shared" si="77"/>
        <v>#N/A</v>
      </c>
      <c r="CT157" t="e">
        <v>#N/A</v>
      </c>
      <c r="CU157" t="e">
        <v>#N/A</v>
      </c>
      <c r="CY157" t="e">
        <f t="shared" si="78"/>
        <v>#N/A</v>
      </c>
      <c r="CZ157" t="e">
        <v>#N/A</v>
      </c>
      <c r="DA157" t="e" cm="1">
        <f t="array" ref="DA157">IF(ISNUMBER(CZ157),AF157/COUNT(IF(ISNUMBER(_xlfn.ANCHORARRAY($CZ$11)),_xlfn.ANCHORARRAY($CZ$11))),NA())</f>
        <v>#N/A</v>
      </c>
      <c r="DB157" t="e">
        <f t="shared" si="79"/>
        <v>#N/A</v>
      </c>
      <c r="DD157" t="e">
        <f t="shared" si="80"/>
        <v>#N/A</v>
      </c>
      <c r="DE157" t="e">
        <f t="shared" si="81"/>
        <v>#N/A</v>
      </c>
      <c r="DG157" t="e">
        <v>#N/A</v>
      </c>
      <c r="DH157" t="e">
        <v>#N/A</v>
      </c>
    </row>
    <row r="158" spans="32:112">
      <c r="AF158">
        <v>148</v>
      </c>
      <c r="AG158" s="401">
        <f>'Lab test'!N151</f>
        <v>161.92500000000001</v>
      </c>
      <c r="AH158" s="401">
        <f>'Lab test'!M151</f>
        <v>0.127</v>
      </c>
      <c r="AI158">
        <f>IF('Lab test'!O151&gt;0,'Lab test'!O151,NA())</f>
        <v>227.54166666666595</v>
      </c>
      <c r="AJ158">
        <f>'Lab test'!Q151</f>
        <v>1275</v>
      </c>
      <c r="AK158" s="401">
        <f>IF('Lab test'!V151&gt;0,'Lab test'!V151,NA())</f>
        <v>217184.8547348034</v>
      </c>
      <c r="AL158" s="7" t="e">
        <f>IF(MAX('Lab test'!W151,'Lab test'!X151)&gt;0,MAX('Lab test'!W151,'Lab test'!X151),NA())</f>
        <v>#N/A</v>
      </c>
      <c r="AM158" s="401">
        <f>IF('Lab test'!P151&gt;0,'Lab test'!P151,NA())</f>
        <v>3.9354276871375313E-2</v>
      </c>
      <c r="AN158" s="401" t="e">
        <f>IF('Lab test'!AU151&gt;0,'Lab test'!AU151,NA())</f>
        <v>#N/A</v>
      </c>
      <c r="AO158" s="401">
        <f>IF('Lab test'!AT151&gt;0,'Lab test'!AT151,NA())</f>
        <v>0.29222202097363392</v>
      </c>
      <c r="AP158" t="e">
        <f t="shared" si="82"/>
        <v>#N/A</v>
      </c>
      <c r="AQ158" s="401">
        <f>'Lab test'!AZ151</f>
        <v>1939</v>
      </c>
      <c r="AR158" t="str">
        <f>'Lab test'!AC151</f>
        <v>LTWb</v>
      </c>
      <c r="AS158" t="str">
        <f>'Lab test'!T151</f>
        <v>Steel</v>
      </c>
      <c r="AX158" t="e">
        <f t="shared" si="67"/>
        <v>#N/A</v>
      </c>
      <c r="AY158" t="e">
        <f t="shared" si="64"/>
        <v>#N/A</v>
      </c>
      <c r="AZ158" t="e">
        <f t="shared" si="61"/>
        <v>#N/A</v>
      </c>
      <c r="BA158" t="e">
        <f t="shared" si="61"/>
        <v>#N/A</v>
      </c>
      <c r="BB158" t="e">
        <f t="shared" si="61"/>
        <v>#N/A</v>
      </c>
      <c r="BC158" t="e">
        <f t="shared" si="61"/>
        <v>#N/A</v>
      </c>
      <c r="BD158" t="e">
        <f t="shared" si="61"/>
        <v>#N/A</v>
      </c>
      <c r="BG158" t="e">
        <f t="shared" si="68"/>
        <v>#N/A</v>
      </c>
      <c r="BH158" t="e">
        <f t="shared" si="65"/>
        <v>#N/A</v>
      </c>
      <c r="BI158" t="e">
        <f t="shared" si="62"/>
        <v>#N/A</v>
      </c>
      <c r="BJ158" t="e">
        <f t="shared" si="62"/>
        <v>#N/A</v>
      </c>
      <c r="BK158" t="e">
        <f t="shared" si="62"/>
        <v>#N/A</v>
      </c>
      <c r="BL158" t="e">
        <f t="shared" si="62"/>
        <v>#N/A</v>
      </c>
      <c r="BM158" t="e">
        <f t="shared" si="62"/>
        <v>#N/A</v>
      </c>
      <c r="BP158" t="e">
        <f t="shared" si="69"/>
        <v>#N/A</v>
      </c>
      <c r="BQ158" t="e">
        <f t="shared" si="66"/>
        <v>#N/A</v>
      </c>
      <c r="BR158" t="e">
        <f t="shared" si="63"/>
        <v>#N/A</v>
      </c>
      <c r="BS158" t="e">
        <f t="shared" si="63"/>
        <v>#N/A</v>
      </c>
      <c r="BT158" t="e">
        <f t="shared" si="63"/>
        <v>#N/A</v>
      </c>
      <c r="BU158" t="e">
        <f t="shared" si="63"/>
        <v>#N/A</v>
      </c>
      <c r="BV158" t="e">
        <f t="shared" si="63"/>
        <v>#N/A</v>
      </c>
      <c r="BY158" t="e">
        <f t="shared" si="70"/>
        <v>#N/A</v>
      </c>
      <c r="BZ158" t="e">
        <v>#N/A</v>
      </c>
      <c r="CA158" t="e" cm="1">
        <f t="array" ref="CA158">IF(ISNUMBER(BZ158),AF158/COUNT(IF(ISNUMBER(_xlfn.ANCHORARRAY($BZ$11)),_xlfn.ANCHORARRAY($BZ$11))),NA())</f>
        <v>#N/A</v>
      </c>
      <c r="CB158" t="e">
        <f t="shared" si="71"/>
        <v>#N/A</v>
      </c>
      <c r="CD158" t="e">
        <f t="shared" si="72"/>
        <v>#N/A</v>
      </c>
      <c r="CE158" t="e">
        <f t="shared" si="73"/>
        <v>#N/A</v>
      </c>
      <c r="CG158" t="e">
        <v>#N/A</v>
      </c>
      <c r="CH158" t="e">
        <v>#N/A</v>
      </c>
      <c r="CL158" t="e">
        <f t="shared" si="74"/>
        <v>#N/A</v>
      </c>
      <c r="CM158" t="e">
        <v>#N/A</v>
      </c>
      <c r="CN158" t="e" cm="1">
        <f t="array" ref="CN158">IF(ISNUMBER(CM158),AF158/COUNT(IF(ISNUMBER(_xlfn.ANCHORARRAY($CM$11)),_xlfn.ANCHORARRAY($CM$11))),NA())</f>
        <v>#N/A</v>
      </c>
      <c r="CO158" t="e">
        <f t="shared" si="75"/>
        <v>#N/A</v>
      </c>
      <c r="CQ158" t="e">
        <f t="shared" si="76"/>
        <v>#N/A</v>
      </c>
      <c r="CR158" t="e">
        <f t="shared" si="77"/>
        <v>#N/A</v>
      </c>
      <c r="CT158" t="e">
        <v>#N/A</v>
      </c>
      <c r="CU158" t="e">
        <v>#N/A</v>
      </c>
      <c r="CY158" t="e">
        <f t="shared" si="78"/>
        <v>#N/A</v>
      </c>
      <c r="CZ158" t="e">
        <v>#N/A</v>
      </c>
      <c r="DA158" t="e" cm="1">
        <f t="array" ref="DA158">IF(ISNUMBER(CZ158),AF158/COUNT(IF(ISNUMBER(_xlfn.ANCHORARRAY($CZ$11)),_xlfn.ANCHORARRAY($CZ$11))),NA())</f>
        <v>#N/A</v>
      </c>
      <c r="DB158" t="e">
        <f t="shared" si="79"/>
        <v>#N/A</v>
      </c>
      <c r="DD158" t="e">
        <f t="shared" si="80"/>
        <v>#N/A</v>
      </c>
      <c r="DE158" t="e">
        <f t="shared" si="81"/>
        <v>#N/A</v>
      </c>
      <c r="DG158" t="e">
        <v>#N/A</v>
      </c>
      <c r="DH158" t="e">
        <v>#N/A</v>
      </c>
    </row>
    <row r="159" spans="32:112">
      <c r="AF159">
        <v>149</v>
      </c>
      <c r="AG159" s="401">
        <f>'Lab test'!N152</f>
        <v>161.92500000000001</v>
      </c>
      <c r="AH159" s="401">
        <f>'Lab test'!M152</f>
        <v>0.127</v>
      </c>
      <c r="AI159">
        <f>IF('Lab test'!O152&gt;0,'Lab test'!O152,NA())</f>
        <v>227.01249999999914</v>
      </c>
      <c r="AJ159">
        <f>'Lab test'!Q152</f>
        <v>1275</v>
      </c>
      <c r="AK159" s="401">
        <f>IF('Lab test'!V152&gt;0,'Lab test'!V152,NA())</f>
        <v>217184.8547348034</v>
      </c>
      <c r="AL159" s="7" t="e">
        <f>IF(MAX('Lab test'!W152,'Lab test'!X152)&gt;0,MAX('Lab test'!W152,'Lab test'!X152),NA())</f>
        <v>#N/A</v>
      </c>
      <c r="AM159" s="401">
        <f>IF('Lab test'!P152&gt;0,'Lab test'!P152,NA())</f>
        <v>3.9262755297255807E-2</v>
      </c>
      <c r="AN159" s="401" t="e">
        <f>IF('Lab test'!AU152&gt;0,'Lab test'!AU152,NA())</f>
        <v>#N/A</v>
      </c>
      <c r="AO159" s="401">
        <f>IF('Lab test'!AT152&gt;0,'Lab test'!AT152,NA())</f>
        <v>0.234304685559169</v>
      </c>
      <c r="AP159" t="e">
        <f t="shared" si="82"/>
        <v>#N/A</v>
      </c>
      <c r="AQ159" s="401">
        <f>'Lab test'!AZ152</f>
        <v>1939</v>
      </c>
      <c r="AR159" t="str">
        <f>'Lab test'!AC152</f>
        <v>LTWb</v>
      </c>
      <c r="AS159" t="str">
        <f>'Lab test'!T152</f>
        <v>Steel</v>
      </c>
      <c r="AX159" t="e">
        <f t="shared" si="67"/>
        <v>#N/A</v>
      </c>
      <c r="AY159" t="e">
        <f t="shared" si="64"/>
        <v>#N/A</v>
      </c>
      <c r="AZ159" t="e">
        <f t="shared" si="61"/>
        <v>#N/A</v>
      </c>
      <c r="BA159" t="e">
        <f t="shared" si="61"/>
        <v>#N/A</v>
      </c>
      <c r="BB159" t="e">
        <f t="shared" si="61"/>
        <v>#N/A</v>
      </c>
      <c r="BC159" t="e">
        <f t="shared" si="61"/>
        <v>#N/A</v>
      </c>
      <c r="BD159" t="e">
        <f t="shared" si="61"/>
        <v>#N/A</v>
      </c>
      <c r="BG159" t="e">
        <f t="shared" si="68"/>
        <v>#N/A</v>
      </c>
      <c r="BH159" t="e">
        <f t="shared" si="65"/>
        <v>#N/A</v>
      </c>
      <c r="BI159" t="e">
        <f t="shared" si="62"/>
        <v>#N/A</v>
      </c>
      <c r="BJ159" t="e">
        <f t="shared" si="62"/>
        <v>#N/A</v>
      </c>
      <c r="BK159" t="e">
        <f t="shared" si="62"/>
        <v>#N/A</v>
      </c>
      <c r="BL159" t="e">
        <f t="shared" si="62"/>
        <v>#N/A</v>
      </c>
      <c r="BM159" t="e">
        <f t="shared" si="62"/>
        <v>#N/A</v>
      </c>
      <c r="BP159" t="e">
        <f t="shared" si="69"/>
        <v>#N/A</v>
      </c>
      <c r="BQ159" t="e">
        <f t="shared" si="66"/>
        <v>#N/A</v>
      </c>
      <c r="BR159" t="e">
        <f t="shared" si="63"/>
        <v>#N/A</v>
      </c>
      <c r="BS159" t="e">
        <f t="shared" si="63"/>
        <v>#N/A</v>
      </c>
      <c r="BT159" t="e">
        <f t="shared" si="63"/>
        <v>#N/A</v>
      </c>
      <c r="BU159" t="e">
        <f t="shared" si="63"/>
        <v>#N/A</v>
      </c>
      <c r="BV159" t="e">
        <f t="shared" si="63"/>
        <v>#N/A</v>
      </c>
      <c r="BY159" t="e">
        <f t="shared" si="70"/>
        <v>#N/A</v>
      </c>
      <c r="BZ159" t="e">
        <v>#N/A</v>
      </c>
      <c r="CA159" t="e" cm="1">
        <f t="array" ref="CA159">IF(ISNUMBER(BZ159),AF159/COUNT(IF(ISNUMBER(_xlfn.ANCHORARRAY($BZ$11)),_xlfn.ANCHORARRAY($BZ$11))),NA())</f>
        <v>#N/A</v>
      </c>
      <c r="CB159" t="e">
        <f t="shared" si="71"/>
        <v>#N/A</v>
      </c>
      <c r="CD159" t="e">
        <f t="shared" si="72"/>
        <v>#N/A</v>
      </c>
      <c r="CE159" t="e">
        <f t="shared" si="73"/>
        <v>#N/A</v>
      </c>
      <c r="CG159" t="e">
        <v>#N/A</v>
      </c>
      <c r="CH159" t="e">
        <v>#N/A</v>
      </c>
      <c r="CL159" t="e">
        <f t="shared" si="74"/>
        <v>#N/A</v>
      </c>
      <c r="CM159" t="e">
        <v>#N/A</v>
      </c>
      <c r="CN159" t="e" cm="1">
        <f t="array" ref="CN159">IF(ISNUMBER(CM159),AF159/COUNT(IF(ISNUMBER(_xlfn.ANCHORARRAY($CM$11)),_xlfn.ANCHORARRAY($CM$11))),NA())</f>
        <v>#N/A</v>
      </c>
      <c r="CO159" t="e">
        <f t="shared" si="75"/>
        <v>#N/A</v>
      </c>
      <c r="CQ159" t="e">
        <f t="shared" si="76"/>
        <v>#N/A</v>
      </c>
      <c r="CR159" t="e">
        <f t="shared" si="77"/>
        <v>#N/A</v>
      </c>
      <c r="CT159" t="e">
        <v>#N/A</v>
      </c>
      <c r="CU159" t="e">
        <v>#N/A</v>
      </c>
      <c r="CY159" t="e">
        <f t="shared" si="78"/>
        <v>#N/A</v>
      </c>
      <c r="CZ159" t="e">
        <v>#N/A</v>
      </c>
      <c r="DA159" t="e" cm="1">
        <f t="array" ref="DA159">IF(ISNUMBER(CZ159),AF159/COUNT(IF(ISNUMBER(_xlfn.ANCHORARRAY($CZ$11)),_xlfn.ANCHORARRAY($CZ$11))),NA())</f>
        <v>#N/A</v>
      </c>
      <c r="DB159" t="e">
        <f t="shared" si="79"/>
        <v>#N/A</v>
      </c>
      <c r="DD159" t="e">
        <f t="shared" si="80"/>
        <v>#N/A</v>
      </c>
      <c r="DE159" t="e">
        <f t="shared" si="81"/>
        <v>#N/A</v>
      </c>
      <c r="DG159" t="e">
        <v>#N/A</v>
      </c>
      <c r="DH159" t="e">
        <v>#N/A</v>
      </c>
    </row>
    <row r="160" spans="32:112">
      <c r="AF160">
        <v>150</v>
      </c>
      <c r="AG160" s="401">
        <f>'Lab test'!N153</f>
        <v>161.92500000000001</v>
      </c>
      <c r="AH160" s="401">
        <f>'Lab test'!M153</f>
        <v>0.127</v>
      </c>
      <c r="AI160">
        <f>IF('Lab test'!O153&gt;0,'Lab test'!O153,NA())</f>
        <v>227.01249999999914</v>
      </c>
      <c r="AJ160">
        <f>'Lab test'!Q153</f>
        <v>1275</v>
      </c>
      <c r="AK160" s="401">
        <f>IF('Lab test'!V153&gt;0,'Lab test'!V153,NA())</f>
        <v>217184.8547348034</v>
      </c>
      <c r="AL160" s="7" t="e">
        <f>IF(MAX('Lab test'!W153,'Lab test'!X153)&gt;0,MAX('Lab test'!W153,'Lab test'!X153),NA())</f>
        <v>#N/A</v>
      </c>
      <c r="AM160" s="401">
        <f>IF('Lab test'!P153&gt;0,'Lab test'!P153,NA())</f>
        <v>3.9262755297255807E-2</v>
      </c>
      <c r="AN160" s="401" t="e">
        <f>IF('Lab test'!AU153&gt;0,'Lab test'!AU153,NA())</f>
        <v>#N/A</v>
      </c>
      <c r="AO160" s="401">
        <f>IF('Lab test'!AT153&gt;0,'Lab test'!AT153,NA())</f>
        <v>0.22126347205761535</v>
      </c>
      <c r="AP160" t="e">
        <f t="shared" si="82"/>
        <v>#N/A</v>
      </c>
      <c r="AQ160" s="401">
        <f>'Lab test'!AZ153</f>
        <v>1939</v>
      </c>
      <c r="AR160" t="str">
        <f>'Lab test'!AC153</f>
        <v>LTWb</v>
      </c>
      <c r="AS160" t="str">
        <f>'Lab test'!T153</f>
        <v>Steel</v>
      </c>
      <c r="AX160" t="e">
        <f t="shared" si="67"/>
        <v>#N/A</v>
      </c>
      <c r="AY160" t="e">
        <f t="shared" si="64"/>
        <v>#N/A</v>
      </c>
      <c r="AZ160" t="e">
        <f t="shared" si="61"/>
        <v>#N/A</v>
      </c>
      <c r="BA160" t="e">
        <f t="shared" si="61"/>
        <v>#N/A</v>
      </c>
      <c r="BB160" t="e">
        <f t="shared" ref="AZ160:BD211" si="83">IF(ISNUMBER($AJ160),IF(ISNUMBER($AP160),IF($AJ160&gt;BB$9,IF($AJ160&lt;=BB$10,IF($AR160=$AW$2,IF($AS160=$AW$6,$AK160,NA()),NA()),NA()),NA()),NA()),NA())</f>
        <v>#N/A</v>
      </c>
      <c r="BC160" t="e">
        <f t="shared" si="83"/>
        <v>#N/A</v>
      </c>
      <c r="BD160" t="e">
        <f t="shared" si="83"/>
        <v>#N/A</v>
      </c>
      <c r="BG160" t="e">
        <f t="shared" si="68"/>
        <v>#N/A</v>
      </c>
      <c r="BH160" t="e">
        <f t="shared" si="65"/>
        <v>#N/A</v>
      </c>
      <c r="BI160" t="e">
        <f t="shared" si="62"/>
        <v>#N/A</v>
      </c>
      <c r="BJ160" t="e">
        <f t="shared" si="62"/>
        <v>#N/A</v>
      </c>
      <c r="BK160" t="e">
        <f t="shared" ref="BI160:BM211" si="84">IF(ISNUMBER($AJ160),IF(ISNUMBER($AP160),IF($AJ160&gt;BK$9,IF($AJ160&lt;=BK$10,IF($AR160=$AW$2,IF($AS160=$BF$6,$AK160,NA()),NA()),NA()),NA()),NA()),NA())</f>
        <v>#N/A</v>
      </c>
      <c r="BL160" t="e">
        <f t="shared" si="84"/>
        <v>#N/A</v>
      </c>
      <c r="BM160" t="e">
        <f t="shared" si="84"/>
        <v>#N/A</v>
      </c>
      <c r="BP160" t="e">
        <f t="shared" si="69"/>
        <v>#N/A</v>
      </c>
      <c r="BQ160" t="e">
        <f t="shared" si="66"/>
        <v>#N/A</v>
      </c>
      <c r="BR160" t="e">
        <f t="shared" si="63"/>
        <v>#N/A</v>
      </c>
      <c r="BS160" t="e">
        <f t="shared" si="63"/>
        <v>#N/A</v>
      </c>
      <c r="BT160" t="e">
        <f t="shared" ref="BR160:BV211" si="85">IF(ISNUMBER($AJ160),IF(ISNUMBER($AP160),IF($AJ160&gt;BT$9,IF($AJ160&lt;=BT$10,IF($AR160=$AW$2,IF($AS160=$BO$6,$AK160,NA()),NA()),NA()),NA()),NA()),NA())</f>
        <v>#N/A</v>
      </c>
      <c r="BU160" t="e">
        <f t="shared" si="85"/>
        <v>#N/A</v>
      </c>
      <c r="BV160" t="e">
        <f t="shared" si="85"/>
        <v>#N/A</v>
      </c>
      <c r="BY160" t="e">
        <f t="shared" si="70"/>
        <v>#N/A</v>
      </c>
      <c r="BZ160" t="e">
        <v>#N/A</v>
      </c>
      <c r="CA160" t="e" cm="1">
        <f t="array" ref="CA160">IF(ISNUMBER(BZ160),AF160/COUNT(IF(ISNUMBER(_xlfn.ANCHORARRAY($BZ$11)),_xlfn.ANCHORARRAY($BZ$11))),NA())</f>
        <v>#N/A</v>
      </c>
      <c r="CB160" t="e">
        <f t="shared" si="71"/>
        <v>#N/A</v>
      </c>
      <c r="CD160" t="e">
        <f t="shared" si="72"/>
        <v>#N/A</v>
      </c>
      <c r="CE160" t="e">
        <f t="shared" si="73"/>
        <v>#N/A</v>
      </c>
      <c r="CG160" t="e">
        <v>#N/A</v>
      </c>
      <c r="CH160" t="e">
        <v>#N/A</v>
      </c>
      <c r="CL160" t="e">
        <f t="shared" si="74"/>
        <v>#N/A</v>
      </c>
      <c r="CM160" t="e">
        <v>#N/A</v>
      </c>
      <c r="CN160" t="e" cm="1">
        <f t="array" ref="CN160">IF(ISNUMBER(CM160),AF160/COUNT(IF(ISNUMBER(_xlfn.ANCHORARRAY($CM$11)),_xlfn.ANCHORARRAY($CM$11))),NA())</f>
        <v>#N/A</v>
      </c>
      <c r="CO160" t="e">
        <f t="shared" si="75"/>
        <v>#N/A</v>
      </c>
      <c r="CQ160" t="e">
        <f t="shared" si="76"/>
        <v>#N/A</v>
      </c>
      <c r="CR160" t="e">
        <f t="shared" si="77"/>
        <v>#N/A</v>
      </c>
      <c r="CT160" t="e">
        <v>#N/A</v>
      </c>
      <c r="CU160" t="e">
        <v>#N/A</v>
      </c>
      <c r="CY160" t="e">
        <f t="shared" si="78"/>
        <v>#N/A</v>
      </c>
      <c r="CZ160" t="e">
        <v>#N/A</v>
      </c>
      <c r="DA160" t="e" cm="1">
        <f t="array" ref="DA160">IF(ISNUMBER(CZ160),AF160/COUNT(IF(ISNUMBER(_xlfn.ANCHORARRAY($CZ$11)),_xlfn.ANCHORARRAY($CZ$11))),NA())</f>
        <v>#N/A</v>
      </c>
      <c r="DB160" t="e">
        <f t="shared" si="79"/>
        <v>#N/A</v>
      </c>
      <c r="DD160" t="e">
        <f t="shared" si="80"/>
        <v>#N/A</v>
      </c>
      <c r="DE160" t="e">
        <f t="shared" si="81"/>
        <v>#N/A</v>
      </c>
      <c r="DG160" t="e">
        <v>#N/A</v>
      </c>
      <c r="DH160" t="e">
        <v>#N/A</v>
      </c>
    </row>
    <row r="161" spans="32:112">
      <c r="AF161">
        <v>151</v>
      </c>
      <c r="AG161" s="401">
        <f>'Lab test'!N154</f>
        <v>161.92500000000001</v>
      </c>
      <c r="AH161" s="401">
        <f>'Lab test'!M154</f>
        <v>0.127</v>
      </c>
      <c r="AI161">
        <f>IF('Lab test'!O154&gt;0,'Lab test'!O154,NA())</f>
        <v>226.48333333333233</v>
      </c>
      <c r="AJ161">
        <f>'Lab test'!Q154</f>
        <v>1275</v>
      </c>
      <c r="AK161" s="401">
        <f>IF('Lab test'!V154&gt;0,'Lab test'!V154,NA())</f>
        <v>217184.8547348034</v>
      </c>
      <c r="AL161" s="7" t="e">
        <f>IF(MAX('Lab test'!W154,'Lab test'!X154)&gt;0,MAX('Lab test'!W154,'Lab test'!X154),NA())</f>
        <v>#N/A</v>
      </c>
      <c r="AM161" s="401">
        <f>IF('Lab test'!P154&gt;0,'Lab test'!P154,NA())</f>
        <v>3.9171233723136308E-2</v>
      </c>
      <c r="AN161" s="401" t="e">
        <f>IF('Lab test'!AU154&gt;0,'Lab test'!AU154,NA())</f>
        <v>#N/A</v>
      </c>
      <c r="AO161" s="401">
        <f>IF('Lab test'!AT154&gt;0,'Lab test'!AT154,NA())</f>
        <v>0.21239512485531817</v>
      </c>
      <c r="AP161" t="e">
        <f t="shared" si="82"/>
        <v>#N/A</v>
      </c>
      <c r="AQ161" s="401">
        <f>'Lab test'!AZ154</f>
        <v>1939</v>
      </c>
      <c r="AR161" t="str">
        <f>'Lab test'!AC154</f>
        <v>LTWb</v>
      </c>
      <c r="AS161" t="str">
        <f>'Lab test'!T154</f>
        <v>Steel</v>
      </c>
      <c r="AX161" t="e">
        <f t="shared" si="67"/>
        <v>#N/A</v>
      </c>
      <c r="AY161" t="e">
        <f t="shared" si="64"/>
        <v>#N/A</v>
      </c>
      <c r="AZ161" t="e">
        <f t="shared" si="83"/>
        <v>#N/A</v>
      </c>
      <c r="BA161" t="e">
        <f t="shared" si="83"/>
        <v>#N/A</v>
      </c>
      <c r="BB161" t="e">
        <f t="shared" si="83"/>
        <v>#N/A</v>
      </c>
      <c r="BC161" t="e">
        <f t="shared" si="83"/>
        <v>#N/A</v>
      </c>
      <c r="BD161" t="e">
        <f t="shared" si="83"/>
        <v>#N/A</v>
      </c>
      <c r="BG161" t="e">
        <f t="shared" si="68"/>
        <v>#N/A</v>
      </c>
      <c r="BH161" t="e">
        <f t="shared" si="65"/>
        <v>#N/A</v>
      </c>
      <c r="BI161" t="e">
        <f t="shared" si="84"/>
        <v>#N/A</v>
      </c>
      <c r="BJ161" t="e">
        <f t="shared" si="84"/>
        <v>#N/A</v>
      </c>
      <c r="BK161" t="e">
        <f t="shared" si="84"/>
        <v>#N/A</v>
      </c>
      <c r="BL161" t="e">
        <f t="shared" si="84"/>
        <v>#N/A</v>
      </c>
      <c r="BM161" t="e">
        <f t="shared" si="84"/>
        <v>#N/A</v>
      </c>
      <c r="BP161" t="e">
        <f t="shared" si="69"/>
        <v>#N/A</v>
      </c>
      <c r="BQ161" t="e">
        <f t="shared" si="66"/>
        <v>#N/A</v>
      </c>
      <c r="BR161" t="e">
        <f t="shared" si="85"/>
        <v>#N/A</v>
      </c>
      <c r="BS161" t="e">
        <f t="shared" si="85"/>
        <v>#N/A</v>
      </c>
      <c r="BT161" t="e">
        <f t="shared" si="85"/>
        <v>#N/A</v>
      </c>
      <c r="BU161" t="e">
        <f t="shared" si="85"/>
        <v>#N/A</v>
      </c>
      <c r="BV161" t="e">
        <f t="shared" si="85"/>
        <v>#N/A</v>
      </c>
      <c r="BY161" t="e">
        <f t="shared" si="70"/>
        <v>#N/A</v>
      </c>
      <c r="BZ161" t="e">
        <v>#N/A</v>
      </c>
      <c r="CA161" t="e" cm="1">
        <f t="array" ref="CA161">IF(ISNUMBER(BZ161),AF161/COUNT(IF(ISNUMBER(_xlfn.ANCHORARRAY($BZ$11)),_xlfn.ANCHORARRAY($BZ$11))),NA())</f>
        <v>#N/A</v>
      </c>
      <c r="CB161" t="e">
        <f t="shared" si="71"/>
        <v>#N/A</v>
      </c>
      <c r="CD161" t="e">
        <f t="shared" si="72"/>
        <v>#N/A</v>
      </c>
      <c r="CE161" t="e">
        <f t="shared" si="73"/>
        <v>#N/A</v>
      </c>
      <c r="CG161" t="e">
        <v>#N/A</v>
      </c>
      <c r="CH161" t="e">
        <v>#N/A</v>
      </c>
      <c r="CL161" t="e">
        <f t="shared" si="74"/>
        <v>#N/A</v>
      </c>
      <c r="CM161" t="e">
        <v>#N/A</v>
      </c>
      <c r="CN161" t="e" cm="1">
        <f t="array" ref="CN161">IF(ISNUMBER(CM161),AF161/COUNT(IF(ISNUMBER(_xlfn.ANCHORARRAY($CM$11)),_xlfn.ANCHORARRAY($CM$11))),NA())</f>
        <v>#N/A</v>
      </c>
      <c r="CO161" t="e">
        <f t="shared" si="75"/>
        <v>#N/A</v>
      </c>
      <c r="CQ161" t="e">
        <f t="shared" si="76"/>
        <v>#N/A</v>
      </c>
      <c r="CR161" t="e">
        <f t="shared" si="77"/>
        <v>#N/A</v>
      </c>
      <c r="CT161" t="e">
        <v>#N/A</v>
      </c>
      <c r="CU161" t="e">
        <v>#N/A</v>
      </c>
      <c r="CY161" t="e">
        <f t="shared" si="78"/>
        <v>#N/A</v>
      </c>
      <c r="CZ161" t="e">
        <v>#N/A</v>
      </c>
      <c r="DA161" t="e" cm="1">
        <f t="array" ref="DA161">IF(ISNUMBER(CZ161),AF161/COUNT(IF(ISNUMBER(_xlfn.ANCHORARRAY($CZ$11)),_xlfn.ANCHORARRAY($CZ$11))),NA())</f>
        <v>#N/A</v>
      </c>
      <c r="DB161" t="e">
        <f t="shared" si="79"/>
        <v>#N/A</v>
      </c>
      <c r="DD161" t="e">
        <f t="shared" si="80"/>
        <v>#N/A</v>
      </c>
      <c r="DE161" t="e">
        <f t="shared" si="81"/>
        <v>#N/A</v>
      </c>
      <c r="DG161" t="e">
        <v>#N/A</v>
      </c>
      <c r="DH161" t="e">
        <v>#N/A</v>
      </c>
    </row>
    <row r="162" spans="32:112">
      <c r="AF162">
        <v>152</v>
      </c>
      <c r="AG162" s="401">
        <f>'Lab test'!N155</f>
        <v>161.92500000000001</v>
      </c>
      <c r="AH162" s="401">
        <f>'Lab test'!M155</f>
        <v>0.127</v>
      </c>
      <c r="AI162">
        <f>IF('Lab test'!O155&gt;0,'Lab test'!O155,NA())</f>
        <v>177.79999999999927</v>
      </c>
      <c r="AJ162">
        <f>'Lab test'!Q155</f>
        <v>1275</v>
      </c>
      <c r="AK162" s="401">
        <f>IF('Lab test'!V155&gt;0,'Lab test'!V155,NA())</f>
        <v>217184.8547348034</v>
      </c>
      <c r="AL162" s="7" t="e">
        <f>IF(MAX('Lab test'!W155,'Lab test'!X155)&gt;0,MAX('Lab test'!W155,'Lab test'!X155),NA())</f>
        <v>#N/A</v>
      </c>
      <c r="AM162" s="401">
        <f>IF('Lab test'!P155&gt;0,'Lab test'!P155,NA())</f>
        <v>3.07512489041444E-2</v>
      </c>
      <c r="AN162" s="401" t="e">
        <f>IF('Lab test'!AU155&gt;0,'Lab test'!AU155,NA())</f>
        <v>#N/A</v>
      </c>
      <c r="AO162" s="401">
        <f>IF('Lab test'!AT155&gt;0,'Lab test'!AT155,NA())</f>
        <v>0.2089481221860954</v>
      </c>
      <c r="AP162" t="e">
        <f t="shared" si="82"/>
        <v>#N/A</v>
      </c>
      <c r="AQ162" s="401">
        <f>'Lab test'!AZ155</f>
        <v>1939</v>
      </c>
      <c r="AR162" t="str">
        <f>'Lab test'!AC155</f>
        <v>LTWb</v>
      </c>
      <c r="AS162" t="str">
        <f>'Lab test'!T155</f>
        <v>Steel</v>
      </c>
      <c r="AX162" t="e">
        <f t="shared" si="67"/>
        <v>#N/A</v>
      </c>
      <c r="AY162" t="e">
        <f t="shared" si="64"/>
        <v>#N/A</v>
      </c>
      <c r="AZ162" t="e">
        <f t="shared" si="83"/>
        <v>#N/A</v>
      </c>
      <c r="BA162" t="e">
        <f t="shared" si="83"/>
        <v>#N/A</v>
      </c>
      <c r="BB162" t="e">
        <f t="shared" si="83"/>
        <v>#N/A</v>
      </c>
      <c r="BC162" t="e">
        <f t="shared" si="83"/>
        <v>#N/A</v>
      </c>
      <c r="BD162" t="e">
        <f t="shared" si="83"/>
        <v>#N/A</v>
      </c>
      <c r="BG162" t="e">
        <f t="shared" si="68"/>
        <v>#N/A</v>
      </c>
      <c r="BH162" t="e">
        <f t="shared" si="65"/>
        <v>#N/A</v>
      </c>
      <c r="BI162" t="e">
        <f t="shared" si="84"/>
        <v>#N/A</v>
      </c>
      <c r="BJ162" t="e">
        <f t="shared" si="84"/>
        <v>#N/A</v>
      </c>
      <c r="BK162" t="e">
        <f t="shared" si="84"/>
        <v>#N/A</v>
      </c>
      <c r="BL162" t="e">
        <f t="shared" si="84"/>
        <v>#N/A</v>
      </c>
      <c r="BM162" t="e">
        <f t="shared" si="84"/>
        <v>#N/A</v>
      </c>
      <c r="BP162" t="e">
        <f t="shared" si="69"/>
        <v>#N/A</v>
      </c>
      <c r="BQ162" t="e">
        <f t="shared" si="66"/>
        <v>#N/A</v>
      </c>
      <c r="BR162" t="e">
        <f t="shared" si="85"/>
        <v>#N/A</v>
      </c>
      <c r="BS162" t="e">
        <f t="shared" si="85"/>
        <v>#N/A</v>
      </c>
      <c r="BT162" t="e">
        <f t="shared" si="85"/>
        <v>#N/A</v>
      </c>
      <c r="BU162" t="e">
        <f t="shared" si="85"/>
        <v>#N/A</v>
      </c>
      <c r="BV162" t="e">
        <f t="shared" si="85"/>
        <v>#N/A</v>
      </c>
      <c r="BY162" t="e">
        <f t="shared" si="70"/>
        <v>#N/A</v>
      </c>
      <c r="BZ162" t="e">
        <v>#N/A</v>
      </c>
      <c r="CA162" t="e" cm="1">
        <f t="array" ref="CA162">IF(ISNUMBER(BZ162),AF162/COUNT(IF(ISNUMBER(_xlfn.ANCHORARRAY($BZ$11)),_xlfn.ANCHORARRAY($BZ$11))),NA())</f>
        <v>#N/A</v>
      </c>
      <c r="CB162" t="e">
        <f t="shared" si="71"/>
        <v>#N/A</v>
      </c>
      <c r="CD162" t="e">
        <f t="shared" si="72"/>
        <v>#N/A</v>
      </c>
      <c r="CE162" t="e">
        <f t="shared" si="73"/>
        <v>#N/A</v>
      </c>
      <c r="CG162" t="e">
        <v>#N/A</v>
      </c>
      <c r="CH162" t="e">
        <v>#N/A</v>
      </c>
      <c r="CL162" t="e">
        <f t="shared" si="74"/>
        <v>#N/A</v>
      </c>
      <c r="CM162" t="e">
        <v>#N/A</v>
      </c>
      <c r="CN162" t="e" cm="1">
        <f t="array" ref="CN162">IF(ISNUMBER(CM162),AF162/COUNT(IF(ISNUMBER(_xlfn.ANCHORARRAY($CM$11)),_xlfn.ANCHORARRAY($CM$11))),NA())</f>
        <v>#N/A</v>
      </c>
      <c r="CO162" t="e">
        <f t="shared" si="75"/>
        <v>#N/A</v>
      </c>
      <c r="CQ162" t="e">
        <f t="shared" si="76"/>
        <v>#N/A</v>
      </c>
      <c r="CR162" t="e">
        <f t="shared" si="77"/>
        <v>#N/A</v>
      </c>
      <c r="CT162" t="e">
        <v>#N/A</v>
      </c>
      <c r="CU162" t="e">
        <v>#N/A</v>
      </c>
      <c r="CY162" t="e">
        <f t="shared" si="78"/>
        <v>#N/A</v>
      </c>
      <c r="CZ162" t="e">
        <v>#N/A</v>
      </c>
      <c r="DA162" t="e" cm="1">
        <f t="array" ref="DA162">IF(ISNUMBER(CZ162),AF162/COUNT(IF(ISNUMBER(_xlfn.ANCHORARRAY($CZ$11)),_xlfn.ANCHORARRAY($CZ$11))),NA())</f>
        <v>#N/A</v>
      </c>
      <c r="DB162" t="e">
        <f t="shared" si="79"/>
        <v>#N/A</v>
      </c>
      <c r="DD162" t="e">
        <f t="shared" si="80"/>
        <v>#N/A</v>
      </c>
      <c r="DE162" t="e">
        <f t="shared" si="81"/>
        <v>#N/A</v>
      </c>
      <c r="DG162" t="e">
        <v>#N/A</v>
      </c>
      <c r="DH162" t="e">
        <v>#N/A</v>
      </c>
    </row>
    <row r="163" spans="32:112">
      <c r="AF163">
        <v>153</v>
      </c>
      <c r="AG163" s="401">
        <f>'Lab test'!N156</f>
        <v>161.92500000000001</v>
      </c>
      <c r="AH163" s="401">
        <f>'Lab test'!M156</f>
        <v>0.127</v>
      </c>
      <c r="AI163">
        <f>IF('Lab test'!O156&gt;0,'Lab test'!O156,NA())</f>
        <v>177.79999999999927</v>
      </c>
      <c r="AJ163">
        <f>'Lab test'!Q156</f>
        <v>1275</v>
      </c>
      <c r="AK163" s="401">
        <f>IF('Lab test'!V156&gt;0,'Lab test'!V156,NA())</f>
        <v>217184.8547348034</v>
      </c>
      <c r="AL163" s="7" t="e">
        <f>IF(MAX('Lab test'!W156,'Lab test'!X156)&gt;0,MAX('Lab test'!W156,'Lab test'!X156),NA())</f>
        <v>#N/A</v>
      </c>
      <c r="AM163" s="401">
        <f>IF('Lab test'!P156&gt;0,'Lab test'!P156,NA())</f>
        <v>3.07512489041444E-2</v>
      </c>
      <c r="AN163" s="401" t="e">
        <f>IF('Lab test'!AU156&gt;0,'Lab test'!AU156,NA())</f>
        <v>#N/A</v>
      </c>
      <c r="AO163" s="401">
        <f>IF('Lab test'!AT156&gt;0,'Lab test'!AT156,NA())</f>
        <v>0.20555706160786749</v>
      </c>
      <c r="AP163" t="e">
        <f t="shared" si="82"/>
        <v>#N/A</v>
      </c>
      <c r="AQ163" s="401">
        <f>'Lab test'!AZ156</f>
        <v>1939</v>
      </c>
      <c r="AR163" t="str">
        <f>'Lab test'!AC156</f>
        <v>LTWb</v>
      </c>
      <c r="AS163" t="str">
        <f>'Lab test'!T156</f>
        <v>Steel</v>
      </c>
      <c r="AX163" t="e">
        <f t="shared" si="67"/>
        <v>#N/A</v>
      </c>
      <c r="AY163" t="e">
        <f t="shared" si="64"/>
        <v>#N/A</v>
      </c>
      <c r="AZ163" t="e">
        <f t="shared" si="83"/>
        <v>#N/A</v>
      </c>
      <c r="BA163" t="e">
        <f t="shared" si="83"/>
        <v>#N/A</v>
      </c>
      <c r="BB163" t="e">
        <f t="shared" si="83"/>
        <v>#N/A</v>
      </c>
      <c r="BC163" t="e">
        <f t="shared" si="83"/>
        <v>#N/A</v>
      </c>
      <c r="BD163" t="e">
        <f t="shared" si="83"/>
        <v>#N/A</v>
      </c>
      <c r="BG163" t="e">
        <f t="shared" si="68"/>
        <v>#N/A</v>
      </c>
      <c r="BH163" t="e">
        <f t="shared" si="65"/>
        <v>#N/A</v>
      </c>
      <c r="BI163" t="e">
        <f t="shared" si="84"/>
        <v>#N/A</v>
      </c>
      <c r="BJ163" t="e">
        <f t="shared" si="84"/>
        <v>#N/A</v>
      </c>
      <c r="BK163" t="e">
        <f t="shared" si="84"/>
        <v>#N/A</v>
      </c>
      <c r="BL163" t="e">
        <f t="shared" si="84"/>
        <v>#N/A</v>
      </c>
      <c r="BM163" t="e">
        <f t="shared" si="84"/>
        <v>#N/A</v>
      </c>
      <c r="BP163" t="e">
        <f t="shared" si="69"/>
        <v>#N/A</v>
      </c>
      <c r="BQ163" t="e">
        <f t="shared" si="66"/>
        <v>#N/A</v>
      </c>
      <c r="BR163" t="e">
        <f t="shared" si="85"/>
        <v>#N/A</v>
      </c>
      <c r="BS163" t="e">
        <f t="shared" si="85"/>
        <v>#N/A</v>
      </c>
      <c r="BT163" t="e">
        <f t="shared" si="85"/>
        <v>#N/A</v>
      </c>
      <c r="BU163" t="e">
        <f t="shared" si="85"/>
        <v>#N/A</v>
      </c>
      <c r="BV163" t="e">
        <f t="shared" si="85"/>
        <v>#N/A</v>
      </c>
      <c r="BY163" t="e">
        <f t="shared" si="70"/>
        <v>#N/A</v>
      </c>
      <c r="BZ163" t="e">
        <v>#N/A</v>
      </c>
      <c r="CA163" t="e" cm="1">
        <f t="array" ref="CA163">IF(ISNUMBER(BZ163),AF163/COUNT(IF(ISNUMBER(_xlfn.ANCHORARRAY($BZ$11)),_xlfn.ANCHORARRAY($BZ$11))),NA())</f>
        <v>#N/A</v>
      </c>
      <c r="CB163" t="e">
        <f t="shared" si="71"/>
        <v>#N/A</v>
      </c>
      <c r="CD163" t="e">
        <f t="shared" si="72"/>
        <v>#N/A</v>
      </c>
      <c r="CE163" t="e">
        <f t="shared" si="73"/>
        <v>#N/A</v>
      </c>
      <c r="CG163" t="e">
        <v>#N/A</v>
      </c>
      <c r="CH163" t="e">
        <v>#N/A</v>
      </c>
      <c r="CL163" t="e">
        <f t="shared" si="74"/>
        <v>#N/A</v>
      </c>
      <c r="CM163" t="e">
        <v>#N/A</v>
      </c>
      <c r="CN163" t="e" cm="1">
        <f t="array" ref="CN163">IF(ISNUMBER(CM163),AF163/COUNT(IF(ISNUMBER(_xlfn.ANCHORARRAY($CM$11)),_xlfn.ANCHORARRAY($CM$11))),NA())</f>
        <v>#N/A</v>
      </c>
      <c r="CO163" t="e">
        <f t="shared" si="75"/>
        <v>#N/A</v>
      </c>
      <c r="CQ163" t="e">
        <f t="shared" si="76"/>
        <v>#N/A</v>
      </c>
      <c r="CR163" t="e">
        <f t="shared" si="77"/>
        <v>#N/A</v>
      </c>
      <c r="CT163" t="e">
        <v>#N/A</v>
      </c>
      <c r="CU163" t="e">
        <v>#N/A</v>
      </c>
      <c r="CY163" t="e">
        <f t="shared" si="78"/>
        <v>#N/A</v>
      </c>
      <c r="CZ163" t="e">
        <v>#N/A</v>
      </c>
      <c r="DA163" t="e" cm="1">
        <f t="array" ref="DA163">IF(ISNUMBER(CZ163),AF163/COUNT(IF(ISNUMBER(_xlfn.ANCHORARRAY($CZ$11)),_xlfn.ANCHORARRAY($CZ$11))),NA())</f>
        <v>#N/A</v>
      </c>
      <c r="DB163" t="e">
        <f t="shared" si="79"/>
        <v>#N/A</v>
      </c>
      <c r="DD163" t="e">
        <f t="shared" si="80"/>
        <v>#N/A</v>
      </c>
      <c r="DE163" t="e">
        <f t="shared" si="81"/>
        <v>#N/A</v>
      </c>
      <c r="DG163" t="e">
        <v>#N/A</v>
      </c>
      <c r="DH163" t="e">
        <v>#N/A</v>
      </c>
    </row>
    <row r="164" spans="32:112">
      <c r="AF164">
        <v>154</v>
      </c>
      <c r="AG164" s="401">
        <f>'Lab test'!N157</f>
        <v>161.92500000000001</v>
      </c>
      <c r="AH164" s="401">
        <f>'Lab test'!M157</f>
        <v>0.127</v>
      </c>
      <c r="AI164">
        <f>IF('Lab test'!O157&gt;0,'Lab test'!O157,NA())</f>
        <v>129.11666666666656</v>
      </c>
      <c r="AJ164">
        <f>'Lab test'!Q157</f>
        <v>1275</v>
      </c>
      <c r="AK164" s="401">
        <f>IF('Lab test'!V157&gt;0,'Lab test'!V157,NA())</f>
        <v>217184.8547348034</v>
      </c>
      <c r="AL164" s="7" t="e">
        <f>IF(MAX('Lab test'!W157,'Lab test'!X157)&gt;0,MAX('Lab test'!W157,'Lab test'!X157),NA())</f>
        <v>#N/A</v>
      </c>
      <c r="AM164" s="401">
        <f>IF('Lab test'!P157&gt;0,'Lab test'!P157,NA())</f>
        <v>2.2331264085152555E-2</v>
      </c>
      <c r="AN164" s="401" t="e">
        <f>IF('Lab test'!AU157&gt;0,'Lab test'!AU157,NA())</f>
        <v>#N/A</v>
      </c>
      <c r="AO164" s="401">
        <f>IF('Lab test'!AT157&gt;0,'Lab test'!AT157,NA())</f>
        <v>0.24012649456431293</v>
      </c>
      <c r="AP164" t="e">
        <f t="shared" si="82"/>
        <v>#N/A</v>
      </c>
      <c r="AQ164" s="401">
        <f>'Lab test'!AZ157</f>
        <v>1939</v>
      </c>
      <c r="AR164" t="str">
        <f>'Lab test'!AC157</f>
        <v>LTWb</v>
      </c>
      <c r="AS164" t="str">
        <f>'Lab test'!T157</f>
        <v>Steel</v>
      </c>
      <c r="AX164" t="e">
        <f t="shared" si="67"/>
        <v>#N/A</v>
      </c>
      <c r="AY164" t="e">
        <f t="shared" si="64"/>
        <v>#N/A</v>
      </c>
      <c r="AZ164" t="e">
        <f t="shared" si="83"/>
        <v>#N/A</v>
      </c>
      <c r="BA164" t="e">
        <f t="shared" si="83"/>
        <v>#N/A</v>
      </c>
      <c r="BB164" t="e">
        <f t="shared" si="83"/>
        <v>#N/A</v>
      </c>
      <c r="BC164" t="e">
        <f t="shared" si="83"/>
        <v>#N/A</v>
      </c>
      <c r="BD164" t="e">
        <f t="shared" si="83"/>
        <v>#N/A</v>
      </c>
      <c r="BG164" t="e">
        <f t="shared" si="68"/>
        <v>#N/A</v>
      </c>
      <c r="BH164" t="e">
        <f t="shared" si="65"/>
        <v>#N/A</v>
      </c>
      <c r="BI164" t="e">
        <f t="shared" si="84"/>
        <v>#N/A</v>
      </c>
      <c r="BJ164" t="e">
        <f t="shared" si="84"/>
        <v>#N/A</v>
      </c>
      <c r="BK164" t="e">
        <f t="shared" si="84"/>
        <v>#N/A</v>
      </c>
      <c r="BL164" t="e">
        <f t="shared" si="84"/>
        <v>#N/A</v>
      </c>
      <c r="BM164" t="e">
        <f t="shared" si="84"/>
        <v>#N/A</v>
      </c>
      <c r="BP164" t="e">
        <f t="shared" si="69"/>
        <v>#N/A</v>
      </c>
      <c r="BQ164" t="e">
        <f t="shared" si="66"/>
        <v>#N/A</v>
      </c>
      <c r="BR164" t="e">
        <f t="shared" si="85"/>
        <v>#N/A</v>
      </c>
      <c r="BS164" t="e">
        <f t="shared" si="85"/>
        <v>#N/A</v>
      </c>
      <c r="BT164" t="e">
        <f t="shared" si="85"/>
        <v>#N/A</v>
      </c>
      <c r="BU164" t="e">
        <f t="shared" si="85"/>
        <v>#N/A</v>
      </c>
      <c r="BV164" t="e">
        <f t="shared" si="85"/>
        <v>#N/A</v>
      </c>
      <c r="BY164" t="e">
        <f t="shared" si="70"/>
        <v>#N/A</v>
      </c>
      <c r="BZ164" t="e">
        <v>#N/A</v>
      </c>
      <c r="CA164" t="e" cm="1">
        <f t="array" ref="CA164">IF(ISNUMBER(BZ164),AF164/COUNT(IF(ISNUMBER(_xlfn.ANCHORARRAY($BZ$11)),_xlfn.ANCHORARRAY($BZ$11))),NA())</f>
        <v>#N/A</v>
      </c>
      <c r="CB164" t="e">
        <f t="shared" si="71"/>
        <v>#N/A</v>
      </c>
      <c r="CD164" t="e">
        <f t="shared" si="72"/>
        <v>#N/A</v>
      </c>
      <c r="CE164" t="e">
        <f t="shared" si="73"/>
        <v>#N/A</v>
      </c>
      <c r="CG164" t="e">
        <v>#N/A</v>
      </c>
      <c r="CH164" t="e">
        <v>#N/A</v>
      </c>
      <c r="CL164" t="e">
        <f t="shared" si="74"/>
        <v>#N/A</v>
      </c>
      <c r="CM164" t="e">
        <v>#N/A</v>
      </c>
      <c r="CN164" t="e" cm="1">
        <f t="array" ref="CN164">IF(ISNUMBER(CM164),AF164/COUNT(IF(ISNUMBER(_xlfn.ANCHORARRAY($CM$11)),_xlfn.ANCHORARRAY($CM$11))),NA())</f>
        <v>#N/A</v>
      </c>
      <c r="CO164" t="e">
        <f t="shared" si="75"/>
        <v>#N/A</v>
      </c>
      <c r="CQ164" t="e">
        <f t="shared" si="76"/>
        <v>#N/A</v>
      </c>
      <c r="CR164" t="e">
        <f t="shared" si="77"/>
        <v>#N/A</v>
      </c>
      <c r="CT164" t="e">
        <v>#N/A</v>
      </c>
      <c r="CU164" t="e">
        <v>#N/A</v>
      </c>
      <c r="CY164" t="e">
        <f t="shared" si="78"/>
        <v>#N/A</v>
      </c>
      <c r="CZ164" t="e">
        <v>#N/A</v>
      </c>
      <c r="DA164" t="e" cm="1">
        <f t="array" ref="DA164">IF(ISNUMBER(CZ164),AF164/COUNT(IF(ISNUMBER(_xlfn.ANCHORARRAY($CZ$11)),_xlfn.ANCHORARRAY($CZ$11))),NA())</f>
        <v>#N/A</v>
      </c>
      <c r="DB164" t="e">
        <f t="shared" si="79"/>
        <v>#N/A</v>
      </c>
      <c r="DD164" t="e">
        <f t="shared" si="80"/>
        <v>#N/A</v>
      </c>
      <c r="DE164" t="e">
        <f t="shared" si="81"/>
        <v>#N/A</v>
      </c>
      <c r="DG164" t="e">
        <v>#N/A</v>
      </c>
      <c r="DH164" t="e">
        <v>#N/A</v>
      </c>
    </row>
    <row r="165" spans="32:112">
      <c r="AF165">
        <v>155</v>
      </c>
      <c r="AG165" s="401">
        <f>'Lab test'!N158</f>
        <v>161.92500000000001</v>
      </c>
      <c r="AH165" s="401">
        <f>'Lab test'!M158</f>
        <v>0.127</v>
      </c>
      <c r="AI165">
        <f>IF('Lab test'!O158&gt;0,'Lab test'!O158,NA())</f>
        <v>97.895833333333215</v>
      </c>
      <c r="AJ165">
        <f>'Lab test'!Q158</f>
        <v>1275</v>
      </c>
      <c r="AK165" s="401">
        <f>IF('Lab test'!V158&gt;0,'Lab test'!V158,NA())</f>
        <v>217184.8547348034</v>
      </c>
      <c r="AL165" s="7" t="e">
        <f>IF(MAX('Lab test'!W158,'Lab test'!X158)&gt;0,MAX('Lab test'!W158,'Lab test'!X158),NA())</f>
        <v>#N/A</v>
      </c>
      <c r="AM165" s="401">
        <f>IF('Lab test'!P158&gt;0,'Lab test'!P158,NA())</f>
        <v>1.6931491212103363E-2</v>
      </c>
      <c r="AN165" s="401" t="e">
        <f>IF('Lab test'!AU158&gt;0,'Lab test'!AU158,NA())</f>
        <v>#N/A</v>
      </c>
      <c r="AO165" s="401">
        <f>IF('Lab test'!AT158&gt;0,'Lab test'!AT158,NA())</f>
        <v>0.26273835390627037</v>
      </c>
      <c r="AP165" t="e">
        <f t="shared" si="82"/>
        <v>#N/A</v>
      </c>
      <c r="AQ165" s="401">
        <f>'Lab test'!AZ158</f>
        <v>1939</v>
      </c>
      <c r="AR165" t="str">
        <f>'Lab test'!AC158</f>
        <v>LTWb</v>
      </c>
      <c r="AS165" t="str">
        <f>'Lab test'!T158</f>
        <v>Steel</v>
      </c>
      <c r="AX165" t="e">
        <f t="shared" si="67"/>
        <v>#N/A</v>
      </c>
      <c r="AY165" t="e">
        <f t="shared" si="64"/>
        <v>#N/A</v>
      </c>
      <c r="AZ165" t="e">
        <f t="shared" si="83"/>
        <v>#N/A</v>
      </c>
      <c r="BA165" t="e">
        <f t="shared" si="83"/>
        <v>#N/A</v>
      </c>
      <c r="BB165" t="e">
        <f t="shared" si="83"/>
        <v>#N/A</v>
      </c>
      <c r="BC165" t="e">
        <f t="shared" si="83"/>
        <v>#N/A</v>
      </c>
      <c r="BD165" t="e">
        <f t="shared" si="83"/>
        <v>#N/A</v>
      </c>
      <c r="BG165" t="e">
        <f t="shared" si="68"/>
        <v>#N/A</v>
      </c>
      <c r="BH165" t="e">
        <f t="shared" si="65"/>
        <v>#N/A</v>
      </c>
      <c r="BI165" t="e">
        <f t="shared" si="84"/>
        <v>#N/A</v>
      </c>
      <c r="BJ165" t="e">
        <f t="shared" si="84"/>
        <v>#N/A</v>
      </c>
      <c r="BK165" t="e">
        <f t="shared" si="84"/>
        <v>#N/A</v>
      </c>
      <c r="BL165" t="e">
        <f t="shared" si="84"/>
        <v>#N/A</v>
      </c>
      <c r="BM165" t="e">
        <f t="shared" si="84"/>
        <v>#N/A</v>
      </c>
      <c r="BP165" t="e">
        <f t="shared" si="69"/>
        <v>#N/A</v>
      </c>
      <c r="BQ165" t="e">
        <f t="shared" si="66"/>
        <v>#N/A</v>
      </c>
      <c r="BR165" t="e">
        <f t="shared" si="85"/>
        <v>#N/A</v>
      </c>
      <c r="BS165" t="e">
        <f t="shared" si="85"/>
        <v>#N/A</v>
      </c>
      <c r="BT165" t="e">
        <f t="shared" si="85"/>
        <v>#N/A</v>
      </c>
      <c r="BU165" t="e">
        <f t="shared" si="85"/>
        <v>#N/A</v>
      </c>
      <c r="BV165" t="e">
        <f t="shared" si="85"/>
        <v>#N/A</v>
      </c>
      <c r="BY165" t="e">
        <f t="shared" si="70"/>
        <v>#N/A</v>
      </c>
      <c r="BZ165" t="e">
        <v>#N/A</v>
      </c>
      <c r="CA165" t="e" cm="1">
        <f t="array" ref="CA165">IF(ISNUMBER(BZ165),AF165/COUNT(IF(ISNUMBER(_xlfn.ANCHORARRAY($BZ$11)),_xlfn.ANCHORARRAY($BZ$11))),NA())</f>
        <v>#N/A</v>
      </c>
      <c r="CB165" t="e">
        <f t="shared" si="71"/>
        <v>#N/A</v>
      </c>
      <c r="CD165" t="e">
        <f t="shared" si="72"/>
        <v>#N/A</v>
      </c>
      <c r="CE165" t="e">
        <f t="shared" si="73"/>
        <v>#N/A</v>
      </c>
      <c r="CG165" t="e">
        <v>#N/A</v>
      </c>
      <c r="CH165" t="e">
        <v>#N/A</v>
      </c>
      <c r="CL165" t="e">
        <f t="shared" si="74"/>
        <v>#N/A</v>
      </c>
      <c r="CM165" t="e">
        <v>#N/A</v>
      </c>
      <c r="CN165" t="e" cm="1">
        <f t="array" ref="CN165">IF(ISNUMBER(CM165),AF165/COUNT(IF(ISNUMBER(_xlfn.ANCHORARRAY($CM$11)),_xlfn.ANCHORARRAY($CM$11))),NA())</f>
        <v>#N/A</v>
      </c>
      <c r="CO165" t="e">
        <f t="shared" si="75"/>
        <v>#N/A</v>
      </c>
      <c r="CQ165" t="e">
        <f t="shared" si="76"/>
        <v>#N/A</v>
      </c>
      <c r="CR165" t="e">
        <f t="shared" si="77"/>
        <v>#N/A</v>
      </c>
      <c r="CT165" t="e">
        <v>#N/A</v>
      </c>
      <c r="CU165" t="e">
        <v>#N/A</v>
      </c>
      <c r="CY165" t="e">
        <f t="shared" si="78"/>
        <v>#N/A</v>
      </c>
      <c r="CZ165" t="e">
        <v>#N/A</v>
      </c>
      <c r="DA165" t="e" cm="1">
        <f t="array" ref="DA165">IF(ISNUMBER(CZ165),AF165/COUNT(IF(ISNUMBER(_xlfn.ANCHORARRAY($CZ$11)),_xlfn.ANCHORARRAY($CZ$11))),NA())</f>
        <v>#N/A</v>
      </c>
      <c r="DB165" t="e">
        <f t="shared" si="79"/>
        <v>#N/A</v>
      </c>
      <c r="DD165" t="e">
        <f t="shared" si="80"/>
        <v>#N/A</v>
      </c>
      <c r="DE165" t="e">
        <f t="shared" si="81"/>
        <v>#N/A</v>
      </c>
      <c r="DG165" t="e">
        <v>#N/A</v>
      </c>
      <c r="DH165" t="e">
        <v>#N/A</v>
      </c>
    </row>
    <row r="166" spans="32:112">
      <c r="AF166">
        <v>156</v>
      </c>
      <c r="AG166" s="401">
        <f>'Lab test'!N159</f>
        <v>161.92500000000001</v>
      </c>
      <c r="AH166" s="401">
        <f>'Lab test'!M159</f>
        <v>0.127</v>
      </c>
      <c r="AI166">
        <f>IF('Lab test'!O159&gt;0,'Lab test'!O159,NA())</f>
        <v>72.495833333333238</v>
      </c>
      <c r="AJ166">
        <f>'Lab test'!Q159</f>
        <v>1275</v>
      </c>
      <c r="AK166" s="401">
        <f>IF('Lab test'!V159&gt;0,'Lab test'!V159,NA())</f>
        <v>217184.8547348034</v>
      </c>
      <c r="AL166" s="7" t="e">
        <f>IF(MAX('Lab test'!W159,'Lab test'!X159)&gt;0,MAX('Lab test'!W159,'Lab test'!X159),NA())</f>
        <v>#N/A</v>
      </c>
      <c r="AM166" s="401">
        <f>IF('Lab test'!P159&gt;0,'Lab test'!P159,NA())</f>
        <v>1.2538455654368437E-2</v>
      </c>
      <c r="AN166" s="401" t="e">
        <f>IF('Lab test'!AU159&gt;0,'Lab test'!AU159,NA())</f>
        <v>#N/A</v>
      </c>
      <c r="AO166" s="401">
        <f>IF('Lab test'!AT159&gt;0,'Lab test'!AT159,NA())</f>
        <v>0.28747949175132603</v>
      </c>
      <c r="AP166" t="e">
        <f t="shared" si="82"/>
        <v>#N/A</v>
      </c>
      <c r="AQ166" s="401">
        <f>'Lab test'!AZ159</f>
        <v>1939</v>
      </c>
      <c r="AR166" t="str">
        <f>'Lab test'!AC159</f>
        <v>LTWb</v>
      </c>
      <c r="AS166" t="str">
        <f>'Lab test'!T159</f>
        <v>Steel</v>
      </c>
      <c r="AX166" t="e">
        <f t="shared" si="67"/>
        <v>#N/A</v>
      </c>
      <c r="AY166" t="e">
        <f t="shared" si="64"/>
        <v>#N/A</v>
      </c>
      <c r="AZ166" t="e">
        <f t="shared" si="83"/>
        <v>#N/A</v>
      </c>
      <c r="BA166" t="e">
        <f t="shared" si="83"/>
        <v>#N/A</v>
      </c>
      <c r="BB166" t="e">
        <f t="shared" si="83"/>
        <v>#N/A</v>
      </c>
      <c r="BC166" t="e">
        <f t="shared" si="83"/>
        <v>#N/A</v>
      </c>
      <c r="BD166" t="e">
        <f t="shared" si="83"/>
        <v>#N/A</v>
      </c>
      <c r="BG166" t="e">
        <f t="shared" si="68"/>
        <v>#N/A</v>
      </c>
      <c r="BH166" t="e">
        <f t="shared" si="65"/>
        <v>#N/A</v>
      </c>
      <c r="BI166" t="e">
        <f t="shared" si="84"/>
        <v>#N/A</v>
      </c>
      <c r="BJ166" t="e">
        <f t="shared" si="84"/>
        <v>#N/A</v>
      </c>
      <c r="BK166" t="e">
        <f t="shared" si="84"/>
        <v>#N/A</v>
      </c>
      <c r="BL166" t="e">
        <f t="shared" si="84"/>
        <v>#N/A</v>
      </c>
      <c r="BM166" t="e">
        <f t="shared" si="84"/>
        <v>#N/A</v>
      </c>
      <c r="BP166" t="e">
        <f t="shared" si="69"/>
        <v>#N/A</v>
      </c>
      <c r="BQ166" t="e">
        <f t="shared" si="66"/>
        <v>#N/A</v>
      </c>
      <c r="BR166" t="e">
        <f t="shared" si="85"/>
        <v>#N/A</v>
      </c>
      <c r="BS166" t="e">
        <f t="shared" si="85"/>
        <v>#N/A</v>
      </c>
      <c r="BT166" t="e">
        <f t="shared" si="85"/>
        <v>#N/A</v>
      </c>
      <c r="BU166" t="e">
        <f t="shared" si="85"/>
        <v>#N/A</v>
      </c>
      <c r="BV166" t="e">
        <f t="shared" si="85"/>
        <v>#N/A</v>
      </c>
      <c r="BY166" t="e">
        <f t="shared" si="70"/>
        <v>#N/A</v>
      </c>
      <c r="BZ166" t="e">
        <v>#N/A</v>
      </c>
      <c r="CA166" t="e" cm="1">
        <f t="array" ref="CA166">IF(ISNUMBER(BZ166),AF166/COUNT(IF(ISNUMBER(_xlfn.ANCHORARRAY($BZ$11)),_xlfn.ANCHORARRAY($BZ$11))),NA())</f>
        <v>#N/A</v>
      </c>
      <c r="CB166" t="e">
        <f t="shared" si="71"/>
        <v>#N/A</v>
      </c>
      <c r="CD166" t="e">
        <f t="shared" si="72"/>
        <v>#N/A</v>
      </c>
      <c r="CE166" t="e">
        <f t="shared" si="73"/>
        <v>#N/A</v>
      </c>
      <c r="CG166" t="e">
        <v>#N/A</v>
      </c>
      <c r="CH166" t="e">
        <v>#N/A</v>
      </c>
      <c r="CL166" t="e">
        <f t="shared" si="74"/>
        <v>#N/A</v>
      </c>
      <c r="CM166" t="e">
        <v>#N/A</v>
      </c>
      <c r="CN166" t="e" cm="1">
        <f t="array" ref="CN166">IF(ISNUMBER(CM166),AF166/COUNT(IF(ISNUMBER(_xlfn.ANCHORARRAY($CM$11)),_xlfn.ANCHORARRAY($CM$11))),NA())</f>
        <v>#N/A</v>
      </c>
      <c r="CO166" t="e">
        <f t="shared" si="75"/>
        <v>#N/A</v>
      </c>
      <c r="CQ166" t="e">
        <f t="shared" si="76"/>
        <v>#N/A</v>
      </c>
      <c r="CR166" t="e">
        <f t="shared" si="77"/>
        <v>#N/A</v>
      </c>
      <c r="CT166" t="e">
        <v>#N/A</v>
      </c>
      <c r="CU166" t="e">
        <v>#N/A</v>
      </c>
      <c r="CY166" t="e">
        <f t="shared" si="78"/>
        <v>#N/A</v>
      </c>
      <c r="CZ166" t="e">
        <v>#N/A</v>
      </c>
      <c r="DA166" t="e" cm="1">
        <f t="array" ref="DA166">IF(ISNUMBER(CZ166),AF166/COUNT(IF(ISNUMBER(_xlfn.ANCHORARRAY($CZ$11)),_xlfn.ANCHORARRAY($CZ$11))),NA())</f>
        <v>#N/A</v>
      </c>
      <c r="DB166" t="e">
        <f t="shared" si="79"/>
        <v>#N/A</v>
      </c>
      <c r="DD166" t="e">
        <f t="shared" si="80"/>
        <v>#N/A</v>
      </c>
      <c r="DE166" t="e">
        <f t="shared" si="81"/>
        <v>#N/A</v>
      </c>
      <c r="DG166" t="e">
        <v>#N/A</v>
      </c>
      <c r="DH166" t="e">
        <v>#N/A</v>
      </c>
    </row>
    <row r="167" spans="32:112">
      <c r="AF167">
        <v>157</v>
      </c>
      <c r="AG167" s="401">
        <f>'Lab test'!N160</f>
        <v>161.92500000000001</v>
      </c>
      <c r="AH167" s="401">
        <f>'Lab test'!M160</f>
        <v>0.127</v>
      </c>
      <c r="AI167">
        <f>IF('Lab test'!O160&gt;0,'Lab test'!O160,NA())</f>
        <v>50.799999999999933</v>
      </c>
      <c r="AJ167">
        <f>'Lab test'!Q160</f>
        <v>1275</v>
      </c>
      <c r="AK167" s="401">
        <f>IF('Lab test'!V160&gt;0,'Lab test'!V160,NA())</f>
        <v>217184.8547348034</v>
      </c>
      <c r="AL167" s="7" t="e">
        <f>IF(MAX('Lab test'!W160,'Lab test'!X160)&gt;0,MAX('Lab test'!W160,'Lab test'!X160),NA())</f>
        <v>#N/A</v>
      </c>
      <c r="AM167" s="401">
        <f>IF('Lab test'!P160&gt;0,'Lab test'!P160,NA())</f>
        <v>8.7860711154698536E-3</v>
      </c>
      <c r="AN167" s="401" t="e">
        <f>IF('Lab test'!AU160&gt;0,'Lab test'!AU160,NA())</f>
        <v>#N/A</v>
      </c>
      <c r="AO167" s="401">
        <f>IF('Lab test'!AT160&gt;0,'Lab test'!AT160,NA())</f>
        <v>0.34699777623386224</v>
      </c>
      <c r="AP167" t="e">
        <f t="shared" si="82"/>
        <v>#N/A</v>
      </c>
      <c r="AQ167" s="401">
        <f>'Lab test'!AZ160</f>
        <v>1939</v>
      </c>
      <c r="AR167" t="str">
        <f>'Lab test'!AC160</f>
        <v>LTWb</v>
      </c>
      <c r="AS167" t="str">
        <f>'Lab test'!T160</f>
        <v>Steel</v>
      </c>
      <c r="AX167" t="e">
        <f t="shared" si="67"/>
        <v>#N/A</v>
      </c>
      <c r="AY167" t="e">
        <f t="shared" si="64"/>
        <v>#N/A</v>
      </c>
      <c r="AZ167" t="e">
        <f t="shared" si="83"/>
        <v>#N/A</v>
      </c>
      <c r="BA167" t="e">
        <f t="shared" si="83"/>
        <v>#N/A</v>
      </c>
      <c r="BB167" t="e">
        <f t="shared" si="83"/>
        <v>#N/A</v>
      </c>
      <c r="BC167" t="e">
        <f t="shared" si="83"/>
        <v>#N/A</v>
      </c>
      <c r="BD167" t="e">
        <f t="shared" si="83"/>
        <v>#N/A</v>
      </c>
      <c r="BG167" t="e">
        <f t="shared" si="68"/>
        <v>#N/A</v>
      </c>
      <c r="BH167" t="e">
        <f t="shared" si="65"/>
        <v>#N/A</v>
      </c>
      <c r="BI167" t="e">
        <f t="shared" si="84"/>
        <v>#N/A</v>
      </c>
      <c r="BJ167" t="e">
        <f t="shared" si="84"/>
        <v>#N/A</v>
      </c>
      <c r="BK167" t="e">
        <f t="shared" si="84"/>
        <v>#N/A</v>
      </c>
      <c r="BL167" t="e">
        <f t="shared" si="84"/>
        <v>#N/A</v>
      </c>
      <c r="BM167" t="e">
        <f t="shared" si="84"/>
        <v>#N/A</v>
      </c>
      <c r="BP167" t="e">
        <f t="shared" si="69"/>
        <v>#N/A</v>
      </c>
      <c r="BQ167" t="e">
        <f t="shared" si="66"/>
        <v>#N/A</v>
      </c>
      <c r="BR167" t="e">
        <f t="shared" si="85"/>
        <v>#N/A</v>
      </c>
      <c r="BS167" t="e">
        <f t="shared" si="85"/>
        <v>#N/A</v>
      </c>
      <c r="BT167" t="e">
        <f t="shared" si="85"/>
        <v>#N/A</v>
      </c>
      <c r="BU167" t="e">
        <f t="shared" si="85"/>
        <v>#N/A</v>
      </c>
      <c r="BV167" t="e">
        <f t="shared" si="85"/>
        <v>#N/A</v>
      </c>
      <c r="BY167" t="e">
        <f t="shared" si="70"/>
        <v>#N/A</v>
      </c>
      <c r="BZ167" t="e">
        <v>#N/A</v>
      </c>
      <c r="CA167" t="e" cm="1">
        <f t="array" ref="CA167">IF(ISNUMBER(BZ167),AF167/COUNT(IF(ISNUMBER(_xlfn.ANCHORARRAY($BZ$11)),_xlfn.ANCHORARRAY($BZ$11))),NA())</f>
        <v>#N/A</v>
      </c>
      <c r="CB167" t="e">
        <f t="shared" si="71"/>
        <v>#N/A</v>
      </c>
      <c r="CD167" t="e">
        <f t="shared" si="72"/>
        <v>#N/A</v>
      </c>
      <c r="CE167" t="e">
        <f t="shared" si="73"/>
        <v>#N/A</v>
      </c>
      <c r="CG167" t="e">
        <v>#N/A</v>
      </c>
      <c r="CH167" t="e">
        <v>#N/A</v>
      </c>
      <c r="CL167" t="e">
        <f t="shared" si="74"/>
        <v>#N/A</v>
      </c>
      <c r="CM167" t="e">
        <v>#N/A</v>
      </c>
      <c r="CN167" t="e" cm="1">
        <f t="array" ref="CN167">IF(ISNUMBER(CM167),AF167/COUNT(IF(ISNUMBER(_xlfn.ANCHORARRAY($CM$11)),_xlfn.ANCHORARRAY($CM$11))),NA())</f>
        <v>#N/A</v>
      </c>
      <c r="CO167" t="e">
        <f t="shared" si="75"/>
        <v>#N/A</v>
      </c>
      <c r="CQ167" t="e">
        <f t="shared" si="76"/>
        <v>#N/A</v>
      </c>
      <c r="CR167" t="e">
        <f t="shared" si="77"/>
        <v>#N/A</v>
      </c>
      <c r="CT167" t="e">
        <v>#N/A</v>
      </c>
      <c r="CU167" t="e">
        <v>#N/A</v>
      </c>
      <c r="CY167" t="e">
        <f t="shared" si="78"/>
        <v>#N/A</v>
      </c>
      <c r="CZ167" t="e">
        <v>#N/A</v>
      </c>
      <c r="DA167" t="e" cm="1">
        <f t="array" ref="DA167">IF(ISNUMBER(CZ167),AF167/COUNT(IF(ISNUMBER(_xlfn.ANCHORARRAY($CZ$11)),_xlfn.ANCHORARRAY($CZ$11))),NA())</f>
        <v>#N/A</v>
      </c>
      <c r="DB167" t="e">
        <f t="shared" si="79"/>
        <v>#N/A</v>
      </c>
      <c r="DD167" t="e">
        <f t="shared" si="80"/>
        <v>#N/A</v>
      </c>
      <c r="DE167" t="e">
        <f t="shared" si="81"/>
        <v>#N/A</v>
      </c>
      <c r="DG167" t="e">
        <v>#N/A</v>
      </c>
      <c r="DH167" t="e">
        <v>#N/A</v>
      </c>
    </row>
    <row r="168" spans="32:112">
      <c r="AF168">
        <v>158</v>
      </c>
      <c r="AG168" s="401">
        <f>'Lab test'!N161</f>
        <v>161.92500000000001</v>
      </c>
      <c r="AH168" s="401">
        <f>'Lab test'!M161</f>
        <v>0.127</v>
      </c>
      <c r="AI168">
        <f>IF('Lab test'!O161&gt;0,'Lab test'!O161,NA())</f>
        <v>35.983333333333299</v>
      </c>
      <c r="AJ168">
        <f>'Lab test'!Q161</f>
        <v>1275</v>
      </c>
      <c r="AK168" s="401">
        <f>IF('Lab test'!V161&gt;0,'Lab test'!V161,NA())</f>
        <v>217184.8547348034</v>
      </c>
      <c r="AL168" s="7" t="e">
        <f>IF(MAX('Lab test'!W161,'Lab test'!X161)&gt;0,MAX('Lab test'!W161,'Lab test'!X161),NA())</f>
        <v>#N/A</v>
      </c>
      <c r="AM168" s="401">
        <f>IF('Lab test'!P161&gt;0,'Lab test'!P161,NA())</f>
        <v>6.2234670401244818E-3</v>
      </c>
      <c r="AN168" s="401" t="e">
        <f>IF('Lab test'!AU161&gt;0,'Lab test'!AU161,NA())</f>
        <v>#N/A</v>
      </c>
      <c r="AO168" s="401">
        <f>IF('Lab test'!AT161&gt;0,'Lab test'!AT161,NA())</f>
        <v>0.45084144898790657</v>
      </c>
      <c r="AP168" t="e">
        <f t="shared" si="82"/>
        <v>#N/A</v>
      </c>
      <c r="AQ168" s="401">
        <f>'Lab test'!AZ161</f>
        <v>1939</v>
      </c>
      <c r="AR168" t="str">
        <f>'Lab test'!AC161</f>
        <v>LTWb</v>
      </c>
      <c r="AS168" t="str">
        <f>'Lab test'!T161</f>
        <v>Steel</v>
      </c>
      <c r="AX168" t="e">
        <f t="shared" si="67"/>
        <v>#N/A</v>
      </c>
      <c r="AY168" t="e">
        <f t="shared" si="64"/>
        <v>#N/A</v>
      </c>
      <c r="AZ168" t="e">
        <f t="shared" si="83"/>
        <v>#N/A</v>
      </c>
      <c r="BA168" t="e">
        <f t="shared" si="83"/>
        <v>#N/A</v>
      </c>
      <c r="BB168" t="e">
        <f t="shared" si="83"/>
        <v>#N/A</v>
      </c>
      <c r="BC168" t="e">
        <f t="shared" si="83"/>
        <v>#N/A</v>
      </c>
      <c r="BD168" t="e">
        <f t="shared" si="83"/>
        <v>#N/A</v>
      </c>
      <c r="BG168" t="e">
        <f t="shared" si="68"/>
        <v>#N/A</v>
      </c>
      <c r="BH168" t="e">
        <f t="shared" si="65"/>
        <v>#N/A</v>
      </c>
      <c r="BI168" t="e">
        <f t="shared" si="84"/>
        <v>#N/A</v>
      </c>
      <c r="BJ168" t="e">
        <f t="shared" si="84"/>
        <v>#N/A</v>
      </c>
      <c r="BK168" t="e">
        <f t="shared" si="84"/>
        <v>#N/A</v>
      </c>
      <c r="BL168" t="e">
        <f t="shared" si="84"/>
        <v>#N/A</v>
      </c>
      <c r="BM168" t="e">
        <f t="shared" si="84"/>
        <v>#N/A</v>
      </c>
      <c r="BP168" t="e">
        <f t="shared" si="69"/>
        <v>#N/A</v>
      </c>
      <c r="BQ168" t="e">
        <f t="shared" si="66"/>
        <v>#N/A</v>
      </c>
      <c r="BR168" t="e">
        <f t="shared" si="85"/>
        <v>#N/A</v>
      </c>
      <c r="BS168" t="e">
        <f t="shared" si="85"/>
        <v>#N/A</v>
      </c>
      <c r="BT168" t="e">
        <f t="shared" si="85"/>
        <v>#N/A</v>
      </c>
      <c r="BU168" t="e">
        <f t="shared" si="85"/>
        <v>#N/A</v>
      </c>
      <c r="BV168" t="e">
        <f t="shared" si="85"/>
        <v>#N/A</v>
      </c>
      <c r="BY168" t="e">
        <f t="shared" si="70"/>
        <v>#N/A</v>
      </c>
      <c r="BZ168" t="e">
        <v>#N/A</v>
      </c>
      <c r="CA168" t="e" cm="1">
        <f t="array" ref="CA168">IF(ISNUMBER(BZ168),AF168/COUNT(IF(ISNUMBER(_xlfn.ANCHORARRAY($BZ$11)),_xlfn.ANCHORARRAY($BZ$11))),NA())</f>
        <v>#N/A</v>
      </c>
      <c r="CB168" t="e">
        <f t="shared" si="71"/>
        <v>#N/A</v>
      </c>
      <c r="CD168" t="e">
        <f t="shared" si="72"/>
        <v>#N/A</v>
      </c>
      <c r="CE168" t="e">
        <f t="shared" si="73"/>
        <v>#N/A</v>
      </c>
      <c r="CG168" t="e">
        <v>#N/A</v>
      </c>
      <c r="CH168" t="e">
        <v>#N/A</v>
      </c>
      <c r="CL168" t="e">
        <f t="shared" si="74"/>
        <v>#N/A</v>
      </c>
      <c r="CM168" t="e">
        <v>#N/A</v>
      </c>
      <c r="CN168" t="e" cm="1">
        <f t="array" ref="CN168">IF(ISNUMBER(CM168),AF168/COUNT(IF(ISNUMBER(_xlfn.ANCHORARRAY($CM$11)),_xlfn.ANCHORARRAY($CM$11))),NA())</f>
        <v>#N/A</v>
      </c>
      <c r="CO168" t="e">
        <f t="shared" si="75"/>
        <v>#N/A</v>
      </c>
      <c r="CQ168" t="e">
        <f t="shared" si="76"/>
        <v>#N/A</v>
      </c>
      <c r="CR168" t="e">
        <f t="shared" si="77"/>
        <v>#N/A</v>
      </c>
      <c r="CT168" t="e">
        <v>#N/A</v>
      </c>
      <c r="CU168" t="e">
        <v>#N/A</v>
      </c>
      <c r="CY168" t="e">
        <f t="shared" si="78"/>
        <v>#N/A</v>
      </c>
      <c r="CZ168" t="e">
        <v>#N/A</v>
      </c>
      <c r="DA168" t="e" cm="1">
        <f t="array" ref="DA168">IF(ISNUMBER(CZ168),AF168/COUNT(IF(ISNUMBER(_xlfn.ANCHORARRAY($CZ$11)),_xlfn.ANCHORARRAY($CZ$11))),NA())</f>
        <v>#N/A</v>
      </c>
      <c r="DB168" t="e">
        <f t="shared" si="79"/>
        <v>#N/A</v>
      </c>
      <c r="DD168" t="e">
        <f t="shared" si="80"/>
        <v>#N/A</v>
      </c>
      <c r="DE168" t="e">
        <f t="shared" si="81"/>
        <v>#N/A</v>
      </c>
      <c r="DG168" t="e">
        <v>#N/A</v>
      </c>
      <c r="DH168" t="e">
        <v>#N/A</v>
      </c>
    </row>
    <row r="169" spans="32:112">
      <c r="AF169">
        <v>159</v>
      </c>
      <c r="AG169" s="401">
        <f>'Lab test'!N162</f>
        <v>161.92500000000001</v>
      </c>
      <c r="AH169" s="401">
        <f>'Lab test'!M162</f>
        <v>0.127</v>
      </c>
      <c r="AI169">
        <f>IF('Lab test'!O162&gt;0,'Lab test'!O162,NA())</f>
        <v>25.929166666666607</v>
      </c>
      <c r="AJ169">
        <f>'Lab test'!Q162</f>
        <v>1275</v>
      </c>
      <c r="AK169" s="401">
        <f>IF('Lab test'!V162&gt;0,'Lab test'!V162,NA())</f>
        <v>217184.8547348034</v>
      </c>
      <c r="AL169" s="7" t="e">
        <f>IF(MAX('Lab test'!W162,'Lab test'!X162)&gt;0,MAX('Lab test'!W162,'Lab test'!X162),NA())</f>
        <v>#N/A</v>
      </c>
      <c r="AM169" s="401">
        <f>IF('Lab test'!P162&gt;0,'Lab test'!P162,NA())</f>
        <v>4.4845571318543999E-3</v>
      </c>
      <c r="AN169" s="401" t="e">
        <f>IF('Lab test'!AU162&gt;0,'Lab test'!AU162,NA())</f>
        <v>#N/A</v>
      </c>
      <c r="AO169" s="401">
        <f>IF('Lab test'!AT162&gt;0,'Lab test'!AT162,NA())</f>
        <v>0.58098904895370651</v>
      </c>
      <c r="AP169" t="e">
        <f t="shared" si="82"/>
        <v>#N/A</v>
      </c>
      <c r="AQ169" s="401">
        <f>'Lab test'!AZ162</f>
        <v>1939</v>
      </c>
      <c r="AR169" t="str">
        <f>'Lab test'!AC162</f>
        <v>LTWb</v>
      </c>
      <c r="AS169" t="str">
        <f>'Lab test'!T162</f>
        <v>Steel</v>
      </c>
      <c r="AX169" t="e">
        <f t="shared" si="67"/>
        <v>#N/A</v>
      </c>
      <c r="AY169" t="e">
        <f t="shared" si="64"/>
        <v>#N/A</v>
      </c>
      <c r="AZ169" t="e">
        <f t="shared" si="83"/>
        <v>#N/A</v>
      </c>
      <c r="BA169" t="e">
        <f t="shared" si="83"/>
        <v>#N/A</v>
      </c>
      <c r="BB169" t="e">
        <f t="shared" si="83"/>
        <v>#N/A</v>
      </c>
      <c r="BC169" t="e">
        <f t="shared" si="83"/>
        <v>#N/A</v>
      </c>
      <c r="BD169" t="e">
        <f t="shared" si="83"/>
        <v>#N/A</v>
      </c>
      <c r="BG169" t="e">
        <f t="shared" si="68"/>
        <v>#N/A</v>
      </c>
      <c r="BH169" t="e">
        <f t="shared" si="65"/>
        <v>#N/A</v>
      </c>
      <c r="BI169" t="e">
        <f t="shared" si="84"/>
        <v>#N/A</v>
      </c>
      <c r="BJ169" t="e">
        <f t="shared" si="84"/>
        <v>#N/A</v>
      </c>
      <c r="BK169" t="e">
        <f t="shared" si="84"/>
        <v>#N/A</v>
      </c>
      <c r="BL169" t="e">
        <f t="shared" si="84"/>
        <v>#N/A</v>
      </c>
      <c r="BM169" t="e">
        <f t="shared" si="84"/>
        <v>#N/A</v>
      </c>
      <c r="BP169" t="e">
        <f t="shared" si="69"/>
        <v>#N/A</v>
      </c>
      <c r="BQ169" t="e">
        <f t="shared" si="66"/>
        <v>#N/A</v>
      </c>
      <c r="BR169" t="e">
        <f t="shared" si="85"/>
        <v>#N/A</v>
      </c>
      <c r="BS169" t="e">
        <f t="shared" si="85"/>
        <v>#N/A</v>
      </c>
      <c r="BT169" t="e">
        <f t="shared" si="85"/>
        <v>#N/A</v>
      </c>
      <c r="BU169" t="e">
        <f t="shared" si="85"/>
        <v>#N/A</v>
      </c>
      <c r="BV169" t="e">
        <f t="shared" si="85"/>
        <v>#N/A</v>
      </c>
      <c r="BY169" t="e">
        <f t="shared" si="70"/>
        <v>#N/A</v>
      </c>
      <c r="BZ169" t="e">
        <v>#N/A</v>
      </c>
      <c r="CA169" t="e" cm="1">
        <f t="array" ref="CA169">IF(ISNUMBER(BZ169),AF169/COUNT(IF(ISNUMBER(_xlfn.ANCHORARRAY($BZ$11)),_xlfn.ANCHORARRAY($BZ$11))),NA())</f>
        <v>#N/A</v>
      </c>
      <c r="CB169" t="e">
        <f t="shared" si="71"/>
        <v>#N/A</v>
      </c>
      <c r="CD169" t="e">
        <f t="shared" si="72"/>
        <v>#N/A</v>
      </c>
      <c r="CE169" t="e">
        <f t="shared" si="73"/>
        <v>#N/A</v>
      </c>
      <c r="CG169" t="e">
        <v>#N/A</v>
      </c>
      <c r="CH169" t="e">
        <v>#N/A</v>
      </c>
      <c r="CL169" t="e">
        <f t="shared" si="74"/>
        <v>#N/A</v>
      </c>
      <c r="CM169" t="e">
        <v>#N/A</v>
      </c>
      <c r="CN169" t="e" cm="1">
        <f t="array" ref="CN169">IF(ISNUMBER(CM169),AF169/COUNT(IF(ISNUMBER(_xlfn.ANCHORARRAY($CM$11)),_xlfn.ANCHORARRAY($CM$11))),NA())</f>
        <v>#N/A</v>
      </c>
      <c r="CO169" t="e">
        <f t="shared" si="75"/>
        <v>#N/A</v>
      </c>
      <c r="CQ169" t="e">
        <f t="shared" si="76"/>
        <v>#N/A</v>
      </c>
      <c r="CR169" t="e">
        <f t="shared" si="77"/>
        <v>#N/A</v>
      </c>
      <c r="CT169" t="e">
        <v>#N/A</v>
      </c>
      <c r="CU169" t="e">
        <v>#N/A</v>
      </c>
      <c r="CY169" t="e">
        <f t="shared" si="78"/>
        <v>#N/A</v>
      </c>
      <c r="CZ169" t="e">
        <v>#N/A</v>
      </c>
      <c r="DA169" t="e" cm="1">
        <f t="array" ref="DA169">IF(ISNUMBER(CZ169),AF169/COUNT(IF(ISNUMBER(_xlfn.ANCHORARRAY($CZ$11)),_xlfn.ANCHORARRAY($CZ$11))),NA())</f>
        <v>#N/A</v>
      </c>
      <c r="DB169" t="e">
        <f t="shared" si="79"/>
        <v>#N/A</v>
      </c>
      <c r="DD169" t="e">
        <f t="shared" si="80"/>
        <v>#N/A</v>
      </c>
      <c r="DE169" t="e">
        <f t="shared" si="81"/>
        <v>#N/A</v>
      </c>
      <c r="DG169" t="e">
        <v>#N/A</v>
      </c>
      <c r="DH169" t="e">
        <v>#N/A</v>
      </c>
    </row>
    <row r="170" spans="32:112">
      <c r="AF170">
        <v>160</v>
      </c>
      <c r="AG170" s="401">
        <f>'Lab test'!N163</f>
        <v>161.92500000000001</v>
      </c>
      <c r="AH170" s="401">
        <f>'Lab test'!M163</f>
        <v>0.127</v>
      </c>
      <c r="AI170">
        <f>IF('Lab test'!O163&gt;0,'Lab test'!O163,NA())</f>
        <v>13.758333333333317</v>
      </c>
      <c r="AJ170">
        <f>'Lab test'!Q163</f>
        <v>1275</v>
      </c>
      <c r="AK170" s="401">
        <f>IF('Lab test'!V163&gt;0,'Lab test'!V163,NA())</f>
        <v>217184.8547348034</v>
      </c>
      <c r="AL170" s="7" t="e">
        <f>IF(MAX('Lab test'!W163,'Lab test'!X163)&gt;0,MAX('Lab test'!W163,'Lab test'!X163),NA())</f>
        <v>#N/A</v>
      </c>
      <c r="AM170" s="401">
        <f>IF('Lab test'!P163&gt;0,'Lab test'!P163,NA())</f>
        <v>2.3795609271064187E-3</v>
      </c>
      <c r="AN170" s="401" t="e">
        <f>IF('Lab test'!AU163&gt;0,'Lab test'!AU163,NA())</f>
        <v>#N/A</v>
      </c>
      <c r="AO170" s="401">
        <f>IF('Lab test'!AT163&gt;0,'Lab test'!AT163,NA())</f>
        <v>0.6731666479539854</v>
      </c>
      <c r="AP170" t="e">
        <f t="shared" si="82"/>
        <v>#N/A</v>
      </c>
      <c r="AQ170" s="401">
        <f>'Lab test'!AZ163</f>
        <v>1939</v>
      </c>
      <c r="AR170" t="str">
        <f>'Lab test'!AC163</f>
        <v>LTWb</v>
      </c>
      <c r="AS170" t="str">
        <f>'Lab test'!T163</f>
        <v>Steel</v>
      </c>
      <c r="AX170" t="e">
        <f t="shared" si="67"/>
        <v>#N/A</v>
      </c>
      <c r="AY170" t="e">
        <f t="shared" si="64"/>
        <v>#N/A</v>
      </c>
      <c r="AZ170" t="e">
        <f t="shared" si="83"/>
        <v>#N/A</v>
      </c>
      <c r="BA170" t="e">
        <f t="shared" si="83"/>
        <v>#N/A</v>
      </c>
      <c r="BB170" t="e">
        <f t="shared" si="83"/>
        <v>#N/A</v>
      </c>
      <c r="BC170" t="e">
        <f t="shared" si="83"/>
        <v>#N/A</v>
      </c>
      <c r="BD170" t="e">
        <f t="shared" si="83"/>
        <v>#N/A</v>
      </c>
      <c r="BG170" t="e">
        <f t="shared" si="68"/>
        <v>#N/A</v>
      </c>
      <c r="BH170" t="e">
        <f t="shared" si="65"/>
        <v>#N/A</v>
      </c>
      <c r="BI170" t="e">
        <f t="shared" si="84"/>
        <v>#N/A</v>
      </c>
      <c r="BJ170" t="e">
        <f t="shared" si="84"/>
        <v>#N/A</v>
      </c>
      <c r="BK170" t="e">
        <f t="shared" si="84"/>
        <v>#N/A</v>
      </c>
      <c r="BL170" t="e">
        <f t="shared" si="84"/>
        <v>#N/A</v>
      </c>
      <c r="BM170" t="e">
        <f t="shared" si="84"/>
        <v>#N/A</v>
      </c>
      <c r="BP170" t="e">
        <f t="shared" si="69"/>
        <v>#N/A</v>
      </c>
      <c r="BQ170" t="e">
        <f t="shared" si="66"/>
        <v>#N/A</v>
      </c>
      <c r="BR170" t="e">
        <f t="shared" si="85"/>
        <v>#N/A</v>
      </c>
      <c r="BS170" t="e">
        <f t="shared" si="85"/>
        <v>#N/A</v>
      </c>
      <c r="BT170" t="e">
        <f t="shared" si="85"/>
        <v>#N/A</v>
      </c>
      <c r="BU170" t="e">
        <f t="shared" si="85"/>
        <v>#N/A</v>
      </c>
      <c r="BV170" t="e">
        <f t="shared" si="85"/>
        <v>#N/A</v>
      </c>
      <c r="BY170" t="e">
        <f t="shared" si="70"/>
        <v>#N/A</v>
      </c>
      <c r="BZ170" t="e">
        <v>#N/A</v>
      </c>
      <c r="CA170" t="e" cm="1">
        <f t="array" ref="CA170">IF(ISNUMBER(BZ170),AF170/COUNT(IF(ISNUMBER(_xlfn.ANCHORARRAY($BZ$11)),_xlfn.ANCHORARRAY($BZ$11))),NA())</f>
        <v>#N/A</v>
      </c>
      <c r="CB170" t="e">
        <f t="shared" si="71"/>
        <v>#N/A</v>
      </c>
      <c r="CD170" t="e">
        <f t="shared" si="72"/>
        <v>#N/A</v>
      </c>
      <c r="CE170" t="e">
        <f t="shared" si="73"/>
        <v>#N/A</v>
      </c>
      <c r="CG170" t="e">
        <v>#N/A</v>
      </c>
      <c r="CH170" t="e">
        <v>#N/A</v>
      </c>
      <c r="CL170" t="e">
        <f t="shared" si="74"/>
        <v>#N/A</v>
      </c>
      <c r="CM170" t="e">
        <v>#N/A</v>
      </c>
      <c r="CN170" t="e" cm="1">
        <f t="array" ref="CN170">IF(ISNUMBER(CM170),AF170/COUNT(IF(ISNUMBER(_xlfn.ANCHORARRAY($CM$11)),_xlfn.ANCHORARRAY($CM$11))),NA())</f>
        <v>#N/A</v>
      </c>
      <c r="CO170" t="e">
        <f t="shared" si="75"/>
        <v>#N/A</v>
      </c>
      <c r="CQ170" t="e">
        <f t="shared" si="76"/>
        <v>#N/A</v>
      </c>
      <c r="CR170" t="e">
        <f t="shared" si="77"/>
        <v>#N/A</v>
      </c>
      <c r="CT170" t="e">
        <v>#N/A</v>
      </c>
      <c r="CU170" t="e">
        <v>#N/A</v>
      </c>
      <c r="CY170" t="e">
        <f t="shared" si="78"/>
        <v>#N/A</v>
      </c>
      <c r="CZ170" t="e">
        <v>#N/A</v>
      </c>
      <c r="DA170" t="e" cm="1">
        <f t="array" ref="DA170">IF(ISNUMBER(CZ170),AF170/COUNT(IF(ISNUMBER(_xlfn.ANCHORARRAY($CZ$11)),_xlfn.ANCHORARRAY($CZ$11))),NA())</f>
        <v>#N/A</v>
      </c>
      <c r="DB170" t="e">
        <f t="shared" si="79"/>
        <v>#N/A</v>
      </c>
      <c r="DD170" t="e">
        <f t="shared" si="80"/>
        <v>#N/A</v>
      </c>
      <c r="DE170" t="e">
        <f t="shared" si="81"/>
        <v>#N/A</v>
      </c>
      <c r="DG170" t="e">
        <v>#N/A</v>
      </c>
      <c r="DH170" t="e">
        <v>#N/A</v>
      </c>
    </row>
    <row r="171" spans="32:112">
      <c r="AF171">
        <v>161</v>
      </c>
      <c r="AG171" s="401">
        <f>'Lab test'!N164</f>
        <v>161.92500000000001</v>
      </c>
      <c r="AH171" s="401">
        <f>'Lab test'!M164</f>
        <v>0.127</v>
      </c>
      <c r="AI171">
        <f>IF('Lab test'!O164&gt;0,'Lab test'!O164,NA())</f>
        <v>6.3499999999999837</v>
      </c>
      <c r="AJ171">
        <f>'Lab test'!Q164</f>
        <v>1275</v>
      </c>
      <c r="AK171" s="401">
        <f>IF('Lab test'!V164&gt;0,'Lab test'!V164,NA())</f>
        <v>217184.8547348034</v>
      </c>
      <c r="AL171" s="7" t="e">
        <f>IF(MAX('Lab test'!W164,'Lab test'!X164)&gt;0,MAX('Lab test'!W164,'Lab test'!X164),NA())</f>
        <v>#N/A</v>
      </c>
      <c r="AM171" s="401">
        <f>IF('Lab test'!P164&gt;0,'Lab test'!P164,NA())</f>
        <v>1.0982588894337302E-3</v>
      </c>
      <c r="AN171" s="401" t="e">
        <f>IF('Lab test'!AU164&gt;0,'Lab test'!AU164,NA())</f>
        <v>#N/A</v>
      </c>
      <c r="AO171" s="401">
        <f>IF('Lab test'!AT164&gt;0,'Lab test'!AT164,NA())</f>
        <v>0.95698059107511413</v>
      </c>
      <c r="AP171" t="e">
        <f t="shared" si="82"/>
        <v>#N/A</v>
      </c>
      <c r="AQ171" s="401">
        <f>'Lab test'!AZ164</f>
        <v>1939</v>
      </c>
      <c r="AR171" t="str">
        <f>'Lab test'!AC164</f>
        <v>LTWb</v>
      </c>
      <c r="AS171" t="str">
        <f>'Lab test'!T164</f>
        <v>Steel</v>
      </c>
      <c r="AX171" t="e">
        <f t="shared" si="67"/>
        <v>#N/A</v>
      </c>
      <c r="AY171" t="e">
        <f t="shared" si="64"/>
        <v>#N/A</v>
      </c>
      <c r="AZ171" t="e">
        <f t="shared" si="83"/>
        <v>#N/A</v>
      </c>
      <c r="BA171" t="e">
        <f t="shared" si="83"/>
        <v>#N/A</v>
      </c>
      <c r="BB171" t="e">
        <f t="shared" si="83"/>
        <v>#N/A</v>
      </c>
      <c r="BC171" t="e">
        <f t="shared" si="83"/>
        <v>#N/A</v>
      </c>
      <c r="BD171" t="e">
        <f t="shared" si="83"/>
        <v>#N/A</v>
      </c>
      <c r="BG171" t="e">
        <f t="shared" si="68"/>
        <v>#N/A</v>
      </c>
      <c r="BH171" t="e">
        <f t="shared" si="65"/>
        <v>#N/A</v>
      </c>
      <c r="BI171" t="e">
        <f t="shared" si="84"/>
        <v>#N/A</v>
      </c>
      <c r="BJ171" t="e">
        <f t="shared" si="84"/>
        <v>#N/A</v>
      </c>
      <c r="BK171" t="e">
        <f t="shared" si="84"/>
        <v>#N/A</v>
      </c>
      <c r="BL171" t="e">
        <f t="shared" si="84"/>
        <v>#N/A</v>
      </c>
      <c r="BM171" t="e">
        <f t="shared" si="84"/>
        <v>#N/A</v>
      </c>
      <c r="BP171" t="e">
        <f t="shared" si="69"/>
        <v>#N/A</v>
      </c>
      <c r="BQ171" t="e">
        <f t="shared" si="66"/>
        <v>#N/A</v>
      </c>
      <c r="BR171" t="e">
        <f t="shared" si="85"/>
        <v>#N/A</v>
      </c>
      <c r="BS171" t="e">
        <f t="shared" si="85"/>
        <v>#N/A</v>
      </c>
      <c r="BT171" t="e">
        <f t="shared" si="85"/>
        <v>#N/A</v>
      </c>
      <c r="BU171" t="e">
        <f t="shared" si="85"/>
        <v>#N/A</v>
      </c>
      <c r="BV171" t="e">
        <f t="shared" si="85"/>
        <v>#N/A</v>
      </c>
      <c r="BY171" t="e">
        <f t="shared" si="70"/>
        <v>#N/A</v>
      </c>
      <c r="BZ171" t="e">
        <v>#N/A</v>
      </c>
      <c r="CA171" t="e" cm="1">
        <f t="array" ref="CA171">IF(ISNUMBER(BZ171),AF171/COUNT(IF(ISNUMBER(_xlfn.ANCHORARRAY($BZ$11)),_xlfn.ANCHORARRAY($BZ$11))),NA())</f>
        <v>#N/A</v>
      </c>
      <c r="CB171" t="e">
        <f t="shared" si="71"/>
        <v>#N/A</v>
      </c>
      <c r="CD171" t="e">
        <f t="shared" si="72"/>
        <v>#N/A</v>
      </c>
      <c r="CE171" t="e">
        <f t="shared" si="73"/>
        <v>#N/A</v>
      </c>
      <c r="CG171" t="e">
        <v>#N/A</v>
      </c>
      <c r="CH171" t="e">
        <v>#N/A</v>
      </c>
      <c r="CL171" t="e">
        <f t="shared" si="74"/>
        <v>#N/A</v>
      </c>
      <c r="CM171" t="e">
        <v>#N/A</v>
      </c>
      <c r="CN171" t="e" cm="1">
        <f t="array" ref="CN171">IF(ISNUMBER(CM171),AF171/COUNT(IF(ISNUMBER(_xlfn.ANCHORARRAY($CM$11)),_xlfn.ANCHORARRAY($CM$11))),NA())</f>
        <v>#N/A</v>
      </c>
      <c r="CO171" t="e">
        <f t="shared" si="75"/>
        <v>#N/A</v>
      </c>
      <c r="CQ171" t="e">
        <f t="shared" si="76"/>
        <v>#N/A</v>
      </c>
      <c r="CR171" t="e">
        <f t="shared" si="77"/>
        <v>#N/A</v>
      </c>
      <c r="CT171" t="e">
        <v>#N/A</v>
      </c>
      <c r="CU171" t="e">
        <v>#N/A</v>
      </c>
      <c r="CY171" t="e">
        <f t="shared" si="78"/>
        <v>#N/A</v>
      </c>
      <c r="CZ171" t="e">
        <v>#N/A</v>
      </c>
      <c r="DA171" t="e" cm="1">
        <f t="array" ref="DA171">IF(ISNUMBER(CZ171),AF171/COUNT(IF(ISNUMBER(_xlfn.ANCHORARRAY($CZ$11)),_xlfn.ANCHORARRAY($CZ$11))),NA())</f>
        <v>#N/A</v>
      </c>
      <c r="DB171" t="e">
        <f t="shared" si="79"/>
        <v>#N/A</v>
      </c>
      <c r="DD171" t="e">
        <f t="shared" si="80"/>
        <v>#N/A</v>
      </c>
      <c r="DE171" t="e">
        <f t="shared" si="81"/>
        <v>#N/A</v>
      </c>
      <c r="DG171" t="e">
        <v>#N/A</v>
      </c>
      <c r="DH171" t="e">
        <v>#N/A</v>
      </c>
    </row>
    <row r="172" spans="32:112">
      <c r="AF172">
        <v>162</v>
      </c>
      <c r="AG172" s="401">
        <f>'Lab test'!N165</f>
        <v>161.92500000000001</v>
      </c>
      <c r="AH172" s="401">
        <f>'Lab test'!M165</f>
        <v>0.127</v>
      </c>
      <c r="AI172">
        <f>IF('Lab test'!O165&gt;0,'Lab test'!O165,NA())</f>
        <v>12.699999999999983</v>
      </c>
      <c r="AJ172">
        <f>'Lab test'!Q165</f>
        <v>1275</v>
      </c>
      <c r="AK172" s="401">
        <f>IF('Lab test'!V165&gt;0,'Lab test'!V165,NA())</f>
        <v>217184.8547348034</v>
      </c>
      <c r="AL172" s="7" t="e">
        <f>IF(MAX('Lab test'!W165,'Lab test'!X165)&gt;0,MAX('Lab test'!W165,'Lab test'!X165),NA())</f>
        <v>#N/A</v>
      </c>
      <c r="AM172" s="401">
        <f>IF('Lab test'!P165&gt;0,'Lab test'!P165,NA())</f>
        <v>2.1965177788674634E-3</v>
      </c>
      <c r="AN172" s="401" t="e">
        <f>IF('Lab test'!AU165&gt;0,'Lab test'!AU165,NA())</f>
        <v>#N/A</v>
      </c>
      <c r="AO172" s="401">
        <f>IF('Lab test'!AT165&gt;0,'Lab test'!AT165,NA())</f>
        <v>0.86749444058465663</v>
      </c>
      <c r="AP172" t="e">
        <f t="shared" si="82"/>
        <v>#N/A</v>
      </c>
      <c r="AQ172" s="401">
        <f>'Lab test'!AZ165</f>
        <v>1939</v>
      </c>
      <c r="AR172" t="str">
        <f>'Lab test'!AC165</f>
        <v>LTWb</v>
      </c>
      <c r="AS172" t="str">
        <f>'Lab test'!T165</f>
        <v>Steel</v>
      </c>
      <c r="AX172" t="e">
        <f t="shared" si="67"/>
        <v>#N/A</v>
      </c>
      <c r="AY172" t="e">
        <f t="shared" si="64"/>
        <v>#N/A</v>
      </c>
      <c r="AZ172" t="e">
        <f t="shared" si="83"/>
        <v>#N/A</v>
      </c>
      <c r="BA172" t="e">
        <f t="shared" si="83"/>
        <v>#N/A</v>
      </c>
      <c r="BB172" t="e">
        <f t="shared" si="83"/>
        <v>#N/A</v>
      </c>
      <c r="BC172" t="e">
        <f t="shared" si="83"/>
        <v>#N/A</v>
      </c>
      <c r="BD172" t="e">
        <f t="shared" si="83"/>
        <v>#N/A</v>
      </c>
      <c r="BG172" t="e">
        <f t="shared" si="68"/>
        <v>#N/A</v>
      </c>
      <c r="BH172" t="e">
        <f t="shared" si="65"/>
        <v>#N/A</v>
      </c>
      <c r="BI172" t="e">
        <f t="shared" si="84"/>
        <v>#N/A</v>
      </c>
      <c r="BJ172" t="e">
        <f t="shared" si="84"/>
        <v>#N/A</v>
      </c>
      <c r="BK172" t="e">
        <f t="shared" si="84"/>
        <v>#N/A</v>
      </c>
      <c r="BL172" t="e">
        <f t="shared" si="84"/>
        <v>#N/A</v>
      </c>
      <c r="BM172" t="e">
        <f t="shared" si="84"/>
        <v>#N/A</v>
      </c>
      <c r="BP172" t="e">
        <f t="shared" si="69"/>
        <v>#N/A</v>
      </c>
      <c r="BQ172" t="e">
        <f t="shared" si="66"/>
        <v>#N/A</v>
      </c>
      <c r="BR172" t="e">
        <f t="shared" si="85"/>
        <v>#N/A</v>
      </c>
      <c r="BS172" t="e">
        <f t="shared" si="85"/>
        <v>#N/A</v>
      </c>
      <c r="BT172" t="e">
        <f t="shared" si="85"/>
        <v>#N/A</v>
      </c>
      <c r="BU172" t="e">
        <f t="shared" si="85"/>
        <v>#N/A</v>
      </c>
      <c r="BV172" t="e">
        <f t="shared" si="85"/>
        <v>#N/A</v>
      </c>
      <c r="BY172" t="e">
        <f t="shared" si="70"/>
        <v>#N/A</v>
      </c>
      <c r="BZ172" t="e">
        <v>#N/A</v>
      </c>
      <c r="CA172" t="e" cm="1">
        <f t="array" ref="CA172">IF(ISNUMBER(BZ172),AF172/COUNT(IF(ISNUMBER(_xlfn.ANCHORARRAY($BZ$11)),_xlfn.ANCHORARRAY($BZ$11))),NA())</f>
        <v>#N/A</v>
      </c>
      <c r="CB172" t="e">
        <f t="shared" si="71"/>
        <v>#N/A</v>
      </c>
      <c r="CD172" t="e">
        <f t="shared" si="72"/>
        <v>#N/A</v>
      </c>
      <c r="CE172" t="e">
        <f t="shared" si="73"/>
        <v>#N/A</v>
      </c>
      <c r="CG172" t="e">
        <v>#N/A</v>
      </c>
      <c r="CH172" t="e">
        <v>#N/A</v>
      </c>
      <c r="CL172" t="e">
        <f t="shared" si="74"/>
        <v>#N/A</v>
      </c>
      <c r="CM172" t="e">
        <v>#N/A</v>
      </c>
      <c r="CN172" t="e" cm="1">
        <f t="array" ref="CN172">IF(ISNUMBER(CM172),AF172/COUNT(IF(ISNUMBER(_xlfn.ANCHORARRAY($CM$11)),_xlfn.ANCHORARRAY($CM$11))),NA())</f>
        <v>#N/A</v>
      </c>
      <c r="CO172" t="e">
        <f t="shared" si="75"/>
        <v>#N/A</v>
      </c>
      <c r="CQ172" t="e">
        <f t="shared" si="76"/>
        <v>#N/A</v>
      </c>
      <c r="CR172" t="e">
        <f t="shared" si="77"/>
        <v>#N/A</v>
      </c>
      <c r="CT172" t="e">
        <v>#N/A</v>
      </c>
      <c r="CU172" t="e">
        <v>#N/A</v>
      </c>
      <c r="CY172" t="e">
        <f t="shared" si="78"/>
        <v>#N/A</v>
      </c>
      <c r="CZ172" t="e">
        <v>#N/A</v>
      </c>
      <c r="DA172" t="e" cm="1">
        <f t="array" ref="DA172">IF(ISNUMBER(CZ172),AF172/COUNT(IF(ISNUMBER(_xlfn.ANCHORARRAY($CZ$11)),_xlfn.ANCHORARRAY($CZ$11))),NA())</f>
        <v>#N/A</v>
      </c>
      <c r="DB172" t="e">
        <f t="shared" si="79"/>
        <v>#N/A</v>
      </c>
      <c r="DD172" t="e">
        <f t="shared" si="80"/>
        <v>#N/A</v>
      </c>
      <c r="DE172" t="e">
        <f t="shared" si="81"/>
        <v>#N/A</v>
      </c>
      <c r="DG172" t="e">
        <v>#N/A</v>
      </c>
      <c r="DH172" t="e">
        <v>#N/A</v>
      </c>
    </row>
    <row r="173" spans="32:112">
      <c r="AF173">
        <v>163</v>
      </c>
      <c r="AG173" s="401">
        <f>'Lab test'!N166</f>
        <v>161.92500000000001</v>
      </c>
      <c r="AH173" s="401">
        <f>'Lab test'!M166</f>
        <v>0.10160000000000001</v>
      </c>
      <c r="AI173">
        <f>IF('Lab test'!O166&gt;0,'Lab test'!O166,NA())</f>
        <v>125.65379999999985</v>
      </c>
      <c r="AJ173">
        <f>'Lab test'!Q166</f>
        <v>1593.75</v>
      </c>
      <c r="AK173" s="401">
        <f>IF('Lab test'!V166&gt;0,'Lab test'!V166,NA())</f>
        <v>223390.13629865492</v>
      </c>
      <c r="AL173" s="7" t="e">
        <f>IF(MAX('Lab test'!W166,'Lab test'!X166)&gt;0,MAX('Lab test'!W166,'Lab test'!X166),NA())</f>
        <v>#N/A</v>
      </c>
      <c r="AM173" s="401">
        <f>IF('Lab test'!P166&gt;0,'Lab test'!P166,NA())</f>
        <v>1.9438001995283016E-2</v>
      </c>
      <c r="AN173" s="401" t="e">
        <f>IF('Lab test'!AU166&gt;0,'Lab test'!AU166,NA())</f>
        <v>#N/A</v>
      </c>
      <c r="AO173" s="401">
        <f>IF('Lab test'!AT166&gt;0,'Lab test'!AT166,NA())</f>
        <v>0.30177159481585053</v>
      </c>
      <c r="AP173" t="e">
        <f t="shared" si="82"/>
        <v>#N/A</v>
      </c>
      <c r="AQ173" s="401">
        <f>'Lab test'!AZ166</f>
        <v>1939</v>
      </c>
      <c r="AR173" t="str">
        <f>'Lab test'!AC166</f>
        <v>LTWb</v>
      </c>
      <c r="AS173" t="str">
        <f>'Lab test'!T166</f>
        <v>Steel</v>
      </c>
      <c r="AX173" t="e">
        <f t="shared" si="67"/>
        <v>#N/A</v>
      </c>
      <c r="AY173" t="e">
        <f t="shared" si="64"/>
        <v>#N/A</v>
      </c>
      <c r="AZ173" t="e">
        <f t="shared" si="83"/>
        <v>#N/A</v>
      </c>
      <c r="BA173" t="e">
        <f t="shared" si="83"/>
        <v>#N/A</v>
      </c>
      <c r="BB173" t="e">
        <f t="shared" si="83"/>
        <v>#N/A</v>
      </c>
      <c r="BC173" t="e">
        <f t="shared" si="83"/>
        <v>#N/A</v>
      </c>
      <c r="BD173" t="e">
        <f t="shared" si="83"/>
        <v>#N/A</v>
      </c>
      <c r="BG173" t="e">
        <f t="shared" si="68"/>
        <v>#N/A</v>
      </c>
      <c r="BH173" t="e">
        <f t="shared" si="65"/>
        <v>#N/A</v>
      </c>
      <c r="BI173" t="e">
        <f t="shared" si="84"/>
        <v>#N/A</v>
      </c>
      <c r="BJ173" t="e">
        <f t="shared" si="84"/>
        <v>#N/A</v>
      </c>
      <c r="BK173" t="e">
        <f t="shared" si="84"/>
        <v>#N/A</v>
      </c>
      <c r="BL173" t="e">
        <f t="shared" si="84"/>
        <v>#N/A</v>
      </c>
      <c r="BM173" t="e">
        <f t="shared" si="84"/>
        <v>#N/A</v>
      </c>
      <c r="BP173" t="e">
        <f t="shared" si="69"/>
        <v>#N/A</v>
      </c>
      <c r="BQ173" t="e">
        <f t="shared" si="66"/>
        <v>#N/A</v>
      </c>
      <c r="BR173" t="e">
        <f t="shared" si="85"/>
        <v>#N/A</v>
      </c>
      <c r="BS173" t="e">
        <f t="shared" si="85"/>
        <v>#N/A</v>
      </c>
      <c r="BT173" t="e">
        <f t="shared" si="85"/>
        <v>#N/A</v>
      </c>
      <c r="BU173" t="e">
        <f t="shared" si="85"/>
        <v>#N/A</v>
      </c>
      <c r="BV173" t="e">
        <f t="shared" si="85"/>
        <v>#N/A</v>
      </c>
      <c r="BY173" t="e">
        <f t="shared" si="70"/>
        <v>#N/A</v>
      </c>
      <c r="BZ173" t="e">
        <v>#N/A</v>
      </c>
      <c r="CA173" t="e" cm="1">
        <f t="array" ref="CA173">IF(ISNUMBER(BZ173),AF173/COUNT(IF(ISNUMBER(_xlfn.ANCHORARRAY($BZ$11)),_xlfn.ANCHORARRAY($BZ$11))),NA())</f>
        <v>#N/A</v>
      </c>
      <c r="CB173" t="e">
        <f t="shared" si="71"/>
        <v>#N/A</v>
      </c>
      <c r="CD173" t="e">
        <f t="shared" si="72"/>
        <v>#N/A</v>
      </c>
      <c r="CE173" t="e">
        <f t="shared" si="73"/>
        <v>#N/A</v>
      </c>
      <c r="CG173" t="e">
        <v>#N/A</v>
      </c>
      <c r="CH173" t="e">
        <v>#N/A</v>
      </c>
      <c r="CL173" t="e">
        <f t="shared" si="74"/>
        <v>#N/A</v>
      </c>
      <c r="CM173" t="e">
        <v>#N/A</v>
      </c>
      <c r="CN173" t="e" cm="1">
        <f t="array" ref="CN173">IF(ISNUMBER(CM173),AF173/COUNT(IF(ISNUMBER(_xlfn.ANCHORARRAY($CM$11)),_xlfn.ANCHORARRAY($CM$11))),NA())</f>
        <v>#N/A</v>
      </c>
      <c r="CO173" t="e">
        <f t="shared" si="75"/>
        <v>#N/A</v>
      </c>
      <c r="CQ173" t="e">
        <f t="shared" si="76"/>
        <v>#N/A</v>
      </c>
      <c r="CR173" t="e">
        <f t="shared" si="77"/>
        <v>#N/A</v>
      </c>
      <c r="CT173" t="e">
        <v>#N/A</v>
      </c>
      <c r="CU173" t="e">
        <v>#N/A</v>
      </c>
      <c r="CY173" t="e">
        <f t="shared" si="78"/>
        <v>#N/A</v>
      </c>
      <c r="CZ173" t="e">
        <v>#N/A</v>
      </c>
      <c r="DA173" t="e" cm="1">
        <f t="array" ref="DA173">IF(ISNUMBER(CZ173),AF173/COUNT(IF(ISNUMBER(_xlfn.ANCHORARRAY($CZ$11)),_xlfn.ANCHORARRAY($CZ$11))),NA())</f>
        <v>#N/A</v>
      </c>
      <c r="DB173" t="e">
        <f t="shared" si="79"/>
        <v>#N/A</v>
      </c>
      <c r="DD173" t="e">
        <f t="shared" si="80"/>
        <v>#N/A</v>
      </c>
      <c r="DE173" t="e">
        <f t="shared" si="81"/>
        <v>#N/A</v>
      </c>
      <c r="DG173" t="e">
        <v>#N/A</v>
      </c>
      <c r="DH173" t="e">
        <v>#N/A</v>
      </c>
    </row>
    <row r="174" spans="32:112">
      <c r="AF174">
        <v>164</v>
      </c>
      <c r="AG174" s="401">
        <f>'Lab test'!N167</f>
        <v>161.92500000000001</v>
      </c>
      <c r="AH174" s="401">
        <f>'Lab test'!M167</f>
        <v>0.10160000000000001</v>
      </c>
      <c r="AI174">
        <f>IF('Lab test'!O167&gt;0,'Lab test'!O167,NA())</f>
        <v>125.93138571428561</v>
      </c>
      <c r="AJ174">
        <f>'Lab test'!Q167</f>
        <v>1593.75</v>
      </c>
      <c r="AK174" s="401">
        <f>IF('Lab test'!V167&gt;0,'Lab test'!V167,NA())</f>
        <v>223390.13629865492</v>
      </c>
      <c r="AL174" s="7" t="e">
        <f>IF(MAX('Lab test'!W167,'Lab test'!X167)&gt;0,MAX('Lab test'!W167,'Lab test'!X167),NA())</f>
        <v>#N/A</v>
      </c>
      <c r="AM174" s="401">
        <f>IF('Lab test'!P167&gt;0,'Lab test'!P167,NA())</f>
        <v>1.9480943089528864E-2</v>
      </c>
      <c r="AN174" s="401" t="e">
        <f>IF('Lab test'!AU167&gt;0,'Lab test'!AU167,NA())</f>
        <v>#N/A</v>
      </c>
      <c r="AO174" s="401">
        <f>IF('Lab test'!AT167&gt;0,'Lab test'!AT167,NA())</f>
        <v>0.20777116908169746</v>
      </c>
      <c r="AP174" t="e">
        <f t="shared" si="82"/>
        <v>#N/A</v>
      </c>
      <c r="AQ174" s="401">
        <f>'Lab test'!AZ167</f>
        <v>1939</v>
      </c>
      <c r="AR174" t="str">
        <f>'Lab test'!AC167</f>
        <v>LTWb</v>
      </c>
      <c r="AS174" t="str">
        <f>'Lab test'!T167</f>
        <v>Steel</v>
      </c>
      <c r="AX174" t="e">
        <f t="shared" si="67"/>
        <v>#N/A</v>
      </c>
      <c r="AY174" t="e">
        <f t="shared" ref="AY174:AY237" si="86">IF(ISNUMBER($AJ174),IF(ISNUMBER($AP174),IF($AJ174&gt;AY$9,IF($AJ174&lt;=AY$10,IF($AR174=$AW$2,IF($AS174=$AW$6,$AK174,NA()),NA()),NA()),NA()),NA()),NA())</f>
        <v>#N/A</v>
      </c>
      <c r="AZ174" t="e">
        <f t="shared" si="83"/>
        <v>#N/A</v>
      </c>
      <c r="BA174" t="e">
        <f t="shared" si="83"/>
        <v>#N/A</v>
      </c>
      <c r="BB174" t="e">
        <f t="shared" si="83"/>
        <v>#N/A</v>
      </c>
      <c r="BC174" t="e">
        <f t="shared" si="83"/>
        <v>#N/A</v>
      </c>
      <c r="BD174" t="e">
        <f t="shared" si="83"/>
        <v>#N/A</v>
      </c>
      <c r="BG174" t="e">
        <f t="shared" si="68"/>
        <v>#N/A</v>
      </c>
      <c r="BH174" t="e">
        <f t="shared" ref="BH174:BH237" si="87">IF(ISNUMBER($AJ174),IF(ISNUMBER($AP174),IF($AJ174&gt;BH$9,IF($AJ174&lt;=BH$10,IF($AR174=$AW$2,IF($AS174=$BF$6,$AK174,NA()),NA()),NA()),NA()),NA()),NA())</f>
        <v>#N/A</v>
      </c>
      <c r="BI174" t="e">
        <f t="shared" si="84"/>
        <v>#N/A</v>
      </c>
      <c r="BJ174" t="e">
        <f t="shared" si="84"/>
        <v>#N/A</v>
      </c>
      <c r="BK174" t="e">
        <f t="shared" si="84"/>
        <v>#N/A</v>
      </c>
      <c r="BL174" t="e">
        <f t="shared" si="84"/>
        <v>#N/A</v>
      </c>
      <c r="BM174" t="e">
        <f t="shared" si="84"/>
        <v>#N/A</v>
      </c>
      <c r="BP174" t="e">
        <f t="shared" si="69"/>
        <v>#N/A</v>
      </c>
      <c r="BQ174" t="e">
        <f t="shared" ref="BQ174:BQ237" si="88">IF(ISNUMBER($AJ174),IF(ISNUMBER($AP174),IF($AJ174&gt;BQ$9,IF($AJ174&lt;=BQ$10,IF($AR174=$AW$2,IF($AS174=$BO$6,$AK174,NA()),NA()),NA()),NA()),NA()),NA())</f>
        <v>#N/A</v>
      </c>
      <c r="BR174" t="e">
        <f t="shared" si="85"/>
        <v>#N/A</v>
      </c>
      <c r="BS174" t="e">
        <f t="shared" si="85"/>
        <v>#N/A</v>
      </c>
      <c r="BT174" t="e">
        <f t="shared" si="85"/>
        <v>#N/A</v>
      </c>
      <c r="BU174" t="e">
        <f t="shared" si="85"/>
        <v>#N/A</v>
      </c>
      <c r="BV174" t="e">
        <f t="shared" si="85"/>
        <v>#N/A</v>
      </c>
      <c r="BY174" t="e">
        <f t="shared" si="70"/>
        <v>#N/A</v>
      </c>
      <c r="BZ174" t="e">
        <v>#N/A</v>
      </c>
      <c r="CA174" t="e" cm="1">
        <f t="array" ref="CA174">IF(ISNUMBER(BZ174),AF174/COUNT(IF(ISNUMBER(_xlfn.ANCHORARRAY($BZ$11)),_xlfn.ANCHORARRAY($BZ$11))),NA())</f>
        <v>#N/A</v>
      </c>
      <c r="CB174" t="e">
        <f t="shared" si="71"/>
        <v>#N/A</v>
      </c>
      <c r="CD174" t="e">
        <f t="shared" si="72"/>
        <v>#N/A</v>
      </c>
      <c r="CE174" t="e">
        <f t="shared" si="73"/>
        <v>#N/A</v>
      </c>
      <c r="CG174" t="e">
        <v>#N/A</v>
      </c>
      <c r="CH174" t="e">
        <v>#N/A</v>
      </c>
      <c r="CL174" t="e">
        <f t="shared" si="74"/>
        <v>#N/A</v>
      </c>
      <c r="CM174" t="e">
        <v>#N/A</v>
      </c>
      <c r="CN174" t="e" cm="1">
        <f t="array" ref="CN174">IF(ISNUMBER(CM174),AF174/COUNT(IF(ISNUMBER(_xlfn.ANCHORARRAY($CM$11)),_xlfn.ANCHORARRAY($CM$11))),NA())</f>
        <v>#N/A</v>
      </c>
      <c r="CO174" t="e">
        <f t="shared" si="75"/>
        <v>#N/A</v>
      </c>
      <c r="CQ174" t="e">
        <f t="shared" si="76"/>
        <v>#N/A</v>
      </c>
      <c r="CR174" t="e">
        <f t="shared" si="77"/>
        <v>#N/A</v>
      </c>
      <c r="CT174" t="e">
        <v>#N/A</v>
      </c>
      <c r="CU174" t="e">
        <v>#N/A</v>
      </c>
      <c r="CY174" t="e">
        <f t="shared" si="78"/>
        <v>#N/A</v>
      </c>
      <c r="CZ174" t="e">
        <v>#N/A</v>
      </c>
      <c r="DA174" t="e" cm="1">
        <f t="array" ref="DA174">IF(ISNUMBER(CZ174),AF174/COUNT(IF(ISNUMBER(_xlfn.ANCHORARRAY($CZ$11)),_xlfn.ANCHORARRAY($CZ$11))),NA())</f>
        <v>#N/A</v>
      </c>
      <c r="DB174" t="e">
        <f t="shared" si="79"/>
        <v>#N/A</v>
      </c>
      <c r="DD174" t="e">
        <f t="shared" si="80"/>
        <v>#N/A</v>
      </c>
      <c r="DE174" t="e">
        <f t="shared" si="81"/>
        <v>#N/A</v>
      </c>
      <c r="DG174" t="e">
        <v>#N/A</v>
      </c>
      <c r="DH174" t="e">
        <v>#N/A</v>
      </c>
    </row>
    <row r="175" spans="32:112">
      <c r="AF175">
        <v>165</v>
      </c>
      <c r="AG175" s="401">
        <f>'Lab test'!N168</f>
        <v>161.92500000000001</v>
      </c>
      <c r="AH175" s="401">
        <f>'Lab test'!M168</f>
        <v>0.10160000000000001</v>
      </c>
      <c r="AI175">
        <f>IF('Lab test'!O168&gt;0,'Lab test'!O168,NA())</f>
        <v>125.65379999999985</v>
      </c>
      <c r="AJ175">
        <f>'Lab test'!Q168</f>
        <v>1593.75</v>
      </c>
      <c r="AK175" s="401">
        <f>IF('Lab test'!V168&gt;0,'Lab test'!V168,NA())</f>
        <v>223390.13629865492</v>
      </c>
      <c r="AL175" s="7" t="e">
        <f>IF(MAX('Lab test'!W168,'Lab test'!X168)&gt;0,MAX('Lab test'!W168,'Lab test'!X168),NA())</f>
        <v>#N/A</v>
      </c>
      <c r="AM175" s="401">
        <f>IF('Lab test'!P168&gt;0,'Lab test'!P168,NA())</f>
        <v>1.9438001995283016E-2</v>
      </c>
      <c r="AN175" s="401" t="e">
        <f>IF('Lab test'!AU168&gt;0,'Lab test'!AU168,NA())</f>
        <v>#N/A</v>
      </c>
      <c r="AO175" s="401">
        <f>IF('Lab test'!AT168&gt;0,'Lab test'!AT168,NA())</f>
        <v>0.19010419228441863</v>
      </c>
      <c r="AP175" t="e">
        <f t="shared" si="82"/>
        <v>#N/A</v>
      </c>
      <c r="AQ175" s="401">
        <f>'Lab test'!AZ168</f>
        <v>1939</v>
      </c>
      <c r="AR175" t="str">
        <f>'Lab test'!AC168</f>
        <v>LTWb</v>
      </c>
      <c r="AS175" t="str">
        <f>'Lab test'!T168</f>
        <v>Steel</v>
      </c>
      <c r="AX175" t="e">
        <f t="shared" si="67"/>
        <v>#N/A</v>
      </c>
      <c r="AY175" t="e">
        <f t="shared" si="86"/>
        <v>#N/A</v>
      </c>
      <c r="AZ175" t="e">
        <f t="shared" si="83"/>
        <v>#N/A</v>
      </c>
      <c r="BA175" t="e">
        <f t="shared" si="83"/>
        <v>#N/A</v>
      </c>
      <c r="BB175" t="e">
        <f t="shared" si="83"/>
        <v>#N/A</v>
      </c>
      <c r="BC175" t="e">
        <f t="shared" si="83"/>
        <v>#N/A</v>
      </c>
      <c r="BD175" t="e">
        <f t="shared" si="83"/>
        <v>#N/A</v>
      </c>
      <c r="BG175" t="e">
        <f t="shared" si="68"/>
        <v>#N/A</v>
      </c>
      <c r="BH175" t="e">
        <f t="shared" si="87"/>
        <v>#N/A</v>
      </c>
      <c r="BI175" t="e">
        <f t="shared" si="84"/>
        <v>#N/A</v>
      </c>
      <c r="BJ175" t="e">
        <f t="shared" si="84"/>
        <v>#N/A</v>
      </c>
      <c r="BK175" t="e">
        <f t="shared" si="84"/>
        <v>#N/A</v>
      </c>
      <c r="BL175" t="e">
        <f t="shared" si="84"/>
        <v>#N/A</v>
      </c>
      <c r="BM175" t="e">
        <f t="shared" si="84"/>
        <v>#N/A</v>
      </c>
      <c r="BP175" t="e">
        <f t="shared" si="69"/>
        <v>#N/A</v>
      </c>
      <c r="BQ175" t="e">
        <f t="shared" si="88"/>
        <v>#N/A</v>
      </c>
      <c r="BR175" t="e">
        <f t="shared" si="85"/>
        <v>#N/A</v>
      </c>
      <c r="BS175" t="e">
        <f t="shared" si="85"/>
        <v>#N/A</v>
      </c>
      <c r="BT175" t="e">
        <f t="shared" si="85"/>
        <v>#N/A</v>
      </c>
      <c r="BU175" t="e">
        <f t="shared" si="85"/>
        <v>#N/A</v>
      </c>
      <c r="BV175" t="e">
        <f t="shared" si="85"/>
        <v>#N/A</v>
      </c>
      <c r="BY175" t="e">
        <f t="shared" si="70"/>
        <v>#N/A</v>
      </c>
      <c r="BZ175" t="e">
        <v>#N/A</v>
      </c>
      <c r="CA175" t="e" cm="1">
        <f t="array" ref="CA175">IF(ISNUMBER(BZ175),AF175/COUNT(IF(ISNUMBER(_xlfn.ANCHORARRAY($BZ$11)),_xlfn.ANCHORARRAY($BZ$11))),NA())</f>
        <v>#N/A</v>
      </c>
      <c r="CB175" t="e">
        <f t="shared" si="71"/>
        <v>#N/A</v>
      </c>
      <c r="CD175" t="e">
        <f t="shared" si="72"/>
        <v>#N/A</v>
      </c>
      <c r="CE175" t="e">
        <f t="shared" si="73"/>
        <v>#N/A</v>
      </c>
      <c r="CG175" t="e">
        <v>#N/A</v>
      </c>
      <c r="CH175" t="e">
        <v>#N/A</v>
      </c>
      <c r="CL175" t="e">
        <f t="shared" si="74"/>
        <v>#N/A</v>
      </c>
      <c r="CM175" t="e">
        <v>#N/A</v>
      </c>
      <c r="CN175" t="e" cm="1">
        <f t="array" ref="CN175">IF(ISNUMBER(CM175),AF175/COUNT(IF(ISNUMBER(_xlfn.ANCHORARRAY($CM$11)),_xlfn.ANCHORARRAY($CM$11))),NA())</f>
        <v>#N/A</v>
      </c>
      <c r="CO175" t="e">
        <f t="shared" si="75"/>
        <v>#N/A</v>
      </c>
      <c r="CQ175" t="e">
        <f t="shared" si="76"/>
        <v>#N/A</v>
      </c>
      <c r="CR175" t="e">
        <f t="shared" si="77"/>
        <v>#N/A</v>
      </c>
      <c r="CT175" t="e">
        <v>#N/A</v>
      </c>
      <c r="CU175" t="e">
        <v>#N/A</v>
      </c>
      <c r="CY175" t="e">
        <f t="shared" si="78"/>
        <v>#N/A</v>
      </c>
      <c r="CZ175" t="e">
        <v>#N/A</v>
      </c>
      <c r="DA175" t="e" cm="1">
        <f t="array" ref="DA175">IF(ISNUMBER(CZ175),AF175/COUNT(IF(ISNUMBER(_xlfn.ANCHORARRAY($CZ$11)),_xlfn.ANCHORARRAY($CZ$11))),NA())</f>
        <v>#N/A</v>
      </c>
      <c r="DB175" t="e">
        <f t="shared" si="79"/>
        <v>#N/A</v>
      </c>
      <c r="DD175" t="e">
        <f t="shared" si="80"/>
        <v>#N/A</v>
      </c>
      <c r="DE175" t="e">
        <f t="shared" si="81"/>
        <v>#N/A</v>
      </c>
      <c r="DG175" t="e">
        <v>#N/A</v>
      </c>
      <c r="DH175" t="e">
        <v>#N/A</v>
      </c>
    </row>
    <row r="176" spans="32:112">
      <c r="AF176">
        <v>166</v>
      </c>
      <c r="AG176" s="401">
        <f>'Lab test'!N169</f>
        <v>161.92500000000001</v>
      </c>
      <c r="AH176" s="401">
        <f>'Lab test'!M169</f>
        <v>0.10160000000000001</v>
      </c>
      <c r="AI176">
        <f>IF('Lab test'!O169&gt;0,'Lab test'!O169,NA())</f>
        <v>123.98828571428561</v>
      </c>
      <c r="AJ176">
        <f>'Lab test'!Q169</f>
        <v>1593.75</v>
      </c>
      <c r="AK176" s="401">
        <f>IF('Lab test'!V169&gt;0,'Lab test'!V169,NA())</f>
        <v>223390.13629865492</v>
      </c>
      <c r="AL176" s="7" t="e">
        <f>IF(MAX('Lab test'!W169,'Lab test'!X169)&gt;0,MAX('Lab test'!W169,'Lab test'!X169),NA())</f>
        <v>#N/A</v>
      </c>
      <c r="AM176" s="401">
        <f>IF('Lab test'!P169&gt;0,'Lab test'!P169,NA())</f>
        <v>1.9180355429807991E-2</v>
      </c>
      <c r="AN176" s="401" t="e">
        <f>IF('Lab test'!AU169&gt;0,'Lab test'!AU169,NA())</f>
        <v>#N/A</v>
      </c>
      <c r="AO176" s="401">
        <f>IF('Lab test'!AT169&gt;0,'Lab test'!AT169,NA())</f>
        <v>0.18675531753105906</v>
      </c>
      <c r="AP176" t="e">
        <f t="shared" si="82"/>
        <v>#N/A</v>
      </c>
      <c r="AQ176" s="401">
        <f>'Lab test'!AZ169</f>
        <v>1939</v>
      </c>
      <c r="AR176" t="str">
        <f>'Lab test'!AC169</f>
        <v>LTWb</v>
      </c>
      <c r="AS176" t="str">
        <f>'Lab test'!T169</f>
        <v>Steel</v>
      </c>
      <c r="AX176" t="e">
        <f t="shared" si="67"/>
        <v>#N/A</v>
      </c>
      <c r="AY176" t="e">
        <f t="shared" si="86"/>
        <v>#N/A</v>
      </c>
      <c r="AZ176" t="e">
        <f t="shared" si="83"/>
        <v>#N/A</v>
      </c>
      <c r="BA176" t="e">
        <f t="shared" si="83"/>
        <v>#N/A</v>
      </c>
      <c r="BB176" t="e">
        <f t="shared" si="83"/>
        <v>#N/A</v>
      </c>
      <c r="BC176" t="e">
        <f t="shared" si="83"/>
        <v>#N/A</v>
      </c>
      <c r="BD176" t="e">
        <f t="shared" si="83"/>
        <v>#N/A</v>
      </c>
      <c r="BG176" t="e">
        <f t="shared" si="68"/>
        <v>#N/A</v>
      </c>
      <c r="BH176" t="e">
        <f t="shared" si="87"/>
        <v>#N/A</v>
      </c>
      <c r="BI176" t="e">
        <f t="shared" si="84"/>
        <v>#N/A</v>
      </c>
      <c r="BJ176" t="e">
        <f t="shared" si="84"/>
        <v>#N/A</v>
      </c>
      <c r="BK176" t="e">
        <f t="shared" si="84"/>
        <v>#N/A</v>
      </c>
      <c r="BL176" t="e">
        <f t="shared" si="84"/>
        <v>#N/A</v>
      </c>
      <c r="BM176" t="e">
        <f t="shared" si="84"/>
        <v>#N/A</v>
      </c>
      <c r="BP176" t="e">
        <f t="shared" si="69"/>
        <v>#N/A</v>
      </c>
      <c r="BQ176" t="e">
        <f t="shared" si="88"/>
        <v>#N/A</v>
      </c>
      <c r="BR176" t="e">
        <f t="shared" si="85"/>
        <v>#N/A</v>
      </c>
      <c r="BS176" t="e">
        <f t="shared" si="85"/>
        <v>#N/A</v>
      </c>
      <c r="BT176" t="e">
        <f t="shared" si="85"/>
        <v>#N/A</v>
      </c>
      <c r="BU176" t="e">
        <f t="shared" si="85"/>
        <v>#N/A</v>
      </c>
      <c r="BV176" t="e">
        <f t="shared" si="85"/>
        <v>#N/A</v>
      </c>
      <c r="BY176" t="e">
        <f t="shared" si="70"/>
        <v>#N/A</v>
      </c>
      <c r="BZ176" t="e">
        <v>#N/A</v>
      </c>
      <c r="CA176" t="e" cm="1">
        <f t="array" ref="CA176">IF(ISNUMBER(BZ176),AF176/COUNT(IF(ISNUMBER(_xlfn.ANCHORARRAY($BZ$11)),_xlfn.ANCHORARRAY($BZ$11))),NA())</f>
        <v>#N/A</v>
      </c>
      <c r="CB176" t="e">
        <f t="shared" si="71"/>
        <v>#N/A</v>
      </c>
      <c r="CD176" t="e">
        <f t="shared" si="72"/>
        <v>#N/A</v>
      </c>
      <c r="CE176" t="e">
        <f t="shared" si="73"/>
        <v>#N/A</v>
      </c>
      <c r="CG176" t="e">
        <v>#N/A</v>
      </c>
      <c r="CH176" t="e">
        <v>#N/A</v>
      </c>
      <c r="CL176" t="e">
        <f t="shared" si="74"/>
        <v>#N/A</v>
      </c>
      <c r="CM176" t="e">
        <v>#N/A</v>
      </c>
      <c r="CN176" t="e" cm="1">
        <f t="array" ref="CN176">IF(ISNUMBER(CM176),AF176/COUNT(IF(ISNUMBER(_xlfn.ANCHORARRAY($CM$11)),_xlfn.ANCHORARRAY($CM$11))),NA())</f>
        <v>#N/A</v>
      </c>
      <c r="CO176" t="e">
        <f t="shared" si="75"/>
        <v>#N/A</v>
      </c>
      <c r="CQ176" t="e">
        <f t="shared" si="76"/>
        <v>#N/A</v>
      </c>
      <c r="CR176" t="e">
        <f t="shared" si="77"/>
        <v>#N/A</v>
      </c>
      <c r="CT176" t="e">
        <v>#N/A</v>
      </c>
      <c r="CU176" t="e">
        <v>#N/A</v>
      </c>
      <c r="CY176" t="e">
        <f t="shared" si="78"/>
        <v>#N/A</v>
      </c>
      <c r="CZ176" t="e">
        <v>#N/A</v>
      </c>
      <c r="DA176" t="e" cm="1">
        <f t="array" ref="DA176">IF(ISNUMBER(CZ176),AF176/COUNT(IF(ISNUMBER(_xlfn.ANCHORARRAY($CZ$11)),_xlfn.ANCHORARRAY($CZ$11))),NA())</f>
        <v>#N/A</v>
      </c>
      <c r="DB176" t="e">
        <f t="shared" si="79"/>
        <v>#N/A</v>
      </c>
      <c r="DD176" t="e">
        <f t="shared" si="80"/>
        <v>#N/A</v>
      </c>
      <c r="DE176" t="e">
        <f t="shared" si="81"/>
        <v>#N/A</v>
      </c>
      <c r="DG176" t="e">
        <v>#N/A</v>
      </c>
      <c r="DH176" t="e">
        <v>#N/A</v>
      </c>
    </row>
    <row r="177" spans="32:112">
      <c r="AF177">
        <v>167</v>
      </c>
      <c r="AG177" s="401">
        <f>'Lab test'!N170</f>
        <v>161.92500000000001</v>
      </c>
      <c r="AH177" s="401">
        <f>'Lab test'!M170</f>
        <v>0.10160000000000001</v>
      </c>
      <c r="AI177">
        <f>IF('Lab test'!O170&gt;0,'Lab test'!O170,NA())</f>
        <v>77.631471428571359</v>
      </c>
      <c r="AJ177">
        <f>'Lab test'!Q170</f>
        <v>1593.75</v>
      </c>
      <c r="AK177" s="401">
        <f>IF('Lab test'!V170&gt;0,'Lab test'!V170,NA())</f>
        <v>223390.13629865492</v>
      </c>
      <c r="AL177" s="7" t="e">
        <f>IF(MAX('Lab test'!W170,'Lab test'!X170)&gt;0,MAX('Lab test'!W170,'Lab test'!X170),NA())</f>
        <v>#N/A</v>
      </c>
      <c r="AM177" s="401">
        <f>IF('Lab test'!P170&gt;0,'Lab test'!P170,NA())</f>
        <v>1.2009192690752913E-2</v>
      </c>
      <c r="AN177" s="401" t="e">
        <f>IF('Lab test'!AU170&gt;0,'Lab test'!AU170,NA())</f>
        <v>#N/A</v>
      </c>
      <c r="AO177" s="401">
        <f>IF('Lab test'!AT170&gt;0,'Lab test'!AT170,NA())</f>
        <v>0.22307975292688204</v>
      </c>
      <c r="AP177" t="e">
        <f t="shared" si="82"/>
        <v>#N/A</v>
      </c>
      <c r="AQ177" s="401">
        <f>'Lab test'!AZ170</f>
        <v>1939</v>
      </c>
      <c r="AR177" t="str">
        <f>'Lab test'!AC170</f>
        <v>LTWb</v>
      </c>
      <c r="AS177" t="str">
        <f>'Lab test'!T170</f>
        <v>Steel</v>
      </c>
      <c r="AX177" t="e">
        <f t="shared" si="67"/>
        <v>#N/A</v>
      </c>
      <c r="AY177" t="e">
        <f t="shared" si="86"/>
        <v>#N/A</v>
      </c>
      <c r="AZ177" t="e">
        <f t="shared" si="83"/>
        <v>#N/A</v>
      </c>
      <c r="BA177" t="e">
        <f t="shared" si="83"/>
        <v>#N/A</v>
      </c>
      <c r="BB177" t="e">
        <f t="shared" si="83"/>
        <v>#N/A</v>
      </c>
      <c r="BC177" t="e">
        <f t="shared" si="83"/>
        <v>#N/A</v>
      </c>
      <c r="BD177" t="e">
        <f t="shared" si="83"/>
        <v>#N/A</v>
      </c>
      <c r="BG177" t="e">
        <f t="shared" si="68"/>
        <v>#N/A</v>
      </c>
      <c r="BH177" t="e">
        <f t="shared" si="87"/>
        <v>#N/A</v>
      </c>
      <c r="BI177" t="e">
        <f t="shared" si="84"/>
        <v>#N/A</v>
      </c>
      <c r="BJ177" t="e">
        <f t="shared" si="84"/>
        <v>#N/A</v>
      </c>
      <c r="BK177" t="e">
        <f t="shared" si="84"/>
        <v>#N/A</v>
      </c>
      <c r="BL177" t="e">
        <f t="shared" si="84"/>
        <v>#N/A</v>
      </c>
      <c r="BM177" t="e">
        <f t="shared" si="84"/>
        <v>#N/A</v>
      </c>
      <c r="BP177" t="e">
        <f t="shared" si="69"/>
        <v>#N/A</v>
      </c>
      <c r="BQ177" t="e">
        <f t="shared" si="88"/>
        <v>#N/A</v>
      </c>
      <c r="BR177" t="e">
        <f t="shared" si="85"/>
        <v>#N/A</v>
      </c>
      <c r="BS177" t="e">
        <f t="shared" si="85"/>
        <v>#N/A</v>
      </c>
      <c r="BT177" t="e">
        <f t="shared" si="85"/>
        <v>#N/A</v>
      </c>
      <c r="BU177" t="e">
        <f t="shared" si="85"/>
        <v>#N/A</v>
      </c>
      <c r="BV177" t="e">
        <f t="shared" si="85"/>
        <v>#N/A</v>
      </c>
      <c r="BY177" t="e">
        <f t="shared" si="70"/>
        <v>#N/A</v>
      </c>
      <c r="BZ177" t="e">
        <v>#N/A</v>
      </c>
      <c r="CA177" t="e" cm="1">
        <f t="array" ref="CA177">IF(ISNUMBER(BZ177),AF177/COUNT(IF(ISNUMBER(_xlfn.ANCHORARRAY($BZ$11)),_xlfn.ANCHORARRAY($BZ$11))),NA())</f>
        <v>#N/A</v>
      </c>
      <c r="CB177" t="e">
        <f t="shared" si="71"/>
        <v>#N/A</v>
      </c>
      <c r="CD177" t="e">
        <f t="shared" si="72"/>
        <v>#N/A</v>
      </c>
      <c r="CE177" t="e">
        <f t="shared" si="73"/>
        <v>#N/A</v>
      </c>
      <c r="CG177" t="e">
        <v>#N/A</v>
      </c>
      <c r="CH177" t="e">
        <v>#N/A</v>
      </c>
      <c r="CL177" t="e">
        <f t="shared" si="74"/>
        <v>#N/A</v>
      </c>
      <c r="CM177" t="e">
        <v>#N/A</v>
      </c>
      <c r="CN177" t="e" cm="1">
        <f t="array" ref="CN177">IF(ISNUMBER(CM177),AF177/COUNT(IF(ISNUMBER(_xlfn.ANCHORARRAY($CM$11)),_xlfn.ANCHORARRAY($CM$11))),NA())</f>
        <v>#N/A</v>
      </c>
      <c r="CO177" t="e">
        <f t="shared" si="75"/>
        <v>#N/A</v>
      </c>
      <c r="CQ177" t="e">
        <f t="shared" si="76"/>
        <v>#N/A</v>
      </c>
      <c r="CR177" t="e">
        <f t="shared" si="77"/>
        <v>#N/A</v>
      </c>
      <c r="CT177" t="e">
        <v>#N/A</v>
      </c>
      <c r="CU177" t="e">
        <v>#N/A</v>
      </c>
      <c r="CY177" t="e">
        <f t="shared" si="78"/>
        <v>#N/A</v>
      </c>
      <c r="CZ177" t="e">
        <v>#N/A</v>
      </c>
      <c r="DA177" t="e" cm="1">
        <f t="array" ref="DA177">IF(ISNUMBER(CZ177),AF177/COUNT(IF(ISNUMBER(_xlfn.ANCHORARRAY($CZ$11)),_xlfn.ANCHORARRAY($CZ$11))),NA())</f>
        <v>#N/A</v>
      </c>
      <c r="DB177" t="e">
        <f t="shared" si="79"/>
        <v>#N/A</v>
      </c>
      <c r="DD177" t="e">
        <f t="shared" si="80"/>
        <v>#N/A</v>
      </c>
      <c r="DE177" t="e">
        <f t="shared" si="81"/>
        <v>#N/A</v>
      </c>
      <c r="DG177" t="e">
        <v>#N/A</v>
      </c>
      <c r="DH177" t="e">
        <v>#N/A</v>
      </c>
    </row>
    <row r="178" spans="32:112">
      <c r="AF178">
        <v>168</v>
      </c>
      <c r="AG178" s="401">
        <f>'Lab test'!N171</f>
        <v>161.92500000000001</v>
      </c>
      <c r="AH178" s="401">
        <f>'Lab test'!M171</f>
        <v>0.10160000000000001</v>
      </c>
      <c r="AI178">
        <f>IF('Lab test'!O171&gt;0,'Lab test'!O171,NA())</f>
        <v>50.98324285714272</v>
      </c>
      <c r="AJ178">
        <f>'Lab test'!Q171</f>
        <v>1593.75</v>
      </c>
      <c r="AK178" s="401">
        <f>IF('Lab test'!V171&gt;0,'Lab test'!V171,NA())</f>
        <v>223390.13629865492</v>
      </c>
      <c r="AL178" s="7" t="e">
        <f>IF(MAX('Lab test'!W171,'Lab test'!X171)&gt;0,MAX('Lab test'!W171,'Lab test'!X171),NA())</f>
        <v>#N/A</v>
      </c>
      <c r="AM178" s="401">
        <f>IF('Lab test'!P171&gt;0,'Lab test'!P171,NA())</f>
        <v>7.8868476431523758E-3</v>
      </c>
      <c r="AN178" s="401" t="e">
        <f>IF('Lab test'!AU171&gt;0,'Lab test'!AU171,NA())</f>
        <v>#N/A</v>
      </c>
      <c r="AO178" s="401">
        <f>IF('Lab test'!AT171&gt;0,'Lab test'!AT171,NA())</f>
        <v>0.28273292921091303</v>
      </c>
      <c r="AP178" t="e">
        <f t="shared" si="82"/>
        <v>#N/A</v>
      </c>
      <c r="AQ178" s="401">
        <f>'Lab test'!AZ171</f>
        <v>1939</v>
      </c>
      <c r="AR178" t="str">
        <f>'Lab test'!AC171</f>
        <v>LTWb</v>
      </c>
      <c r="AS178" t="str">
        <f>'Lab test'!T171</f>
        <v>Steel</v>
      </c>
      <c r="AX178" t="e">
        <f t="shared" si="67"/>
        <v>#N/A</v>
      </c>
      <c r="AY178" t="e">
        <f t="shared" si="86"/>
        <v>#N/A</v>
      </c>
      <c r="AZ178" t="e">
        <f t="shared" si="83"/>
        <v>#N/A</v>
      </c>
      <c r="BA178" t="e">
        <f t="shared" si="83"/>
        <v>#N/A</v>
      </c>
      <c r="BB178" t="e">
        <f t="shared" si="83"/>
        <v>#N/A</v>
      </c>
      <c r="BC178" t="e">
        <f t="shared" si="83"/>
        <v>#N/A</v>
      </c>
      <c r="BD178" t="e">
        <f t="shared" si="83"/>
        <v>#N/A</v>
      </c>
      <c r="BG178" t="e">
        <f t="shared" si="68"/>
        <v>#N/A</v>
      </c>
      <c r="BH178" t="e">
        <f t="shared" si="87"/>
        <v>#N/A</v>
      </c>
      <c r="BI178" t="e">
        <f t="shared" si="84"/>
        <v>#N/A</v>
      </c>
      <c r="BJ178" t="e">
        <f t="shared" si="84"/>
        <v>#N/A</v>
      </c>
      <c r="BK178" t="e">
        <f t="shared" si="84"/>
        <v>#N/A</v>
      </c>
      <c r="BL178" t="e">
        <f t="shared" si="84"/>
        <v>#N/A</v>
      </c>
      <c r="BM178" t="e">
        <f t="shared" si="84"/>
        <v>#N/A</v>
      </c>
      <c r="BP178" t="e">
        <f t="shared" si="69"/>
        <v>#N/A</v>
      </c>
      <c r="BQ178" t="e">
        <f t="shared" si="88"/>
        <v>#N/A</v>
      </c>
      <c r="BR178" t="e">
        <f t="shared" si="85"/>
        <v>#N/A</v>
      </c>
      <c r="BS178" t="e">
        <f t="shared" si="85"/>
        <v>#N/A</v>
      </c>
      <c r="BT178" t="e">
        <f t="shared" si="85"/>
        <v>#N/A</v>
      </c>
      <c r="BU178" t="e">
        <f t="shared" si="85"/>
        <v>#N/A</v>
      </c>
      <c r="BV178" t="e">
        <f t="shared" si="85"/>
        <v>#N/A</v>
      </c>
      <c r="BY178" t="e">
        <f t="shared" si="70"/>
        <v>#N/A</v>
      </c>
      <c r="BZ178" t="e">
        <v>#N/A</v>
      </c>
      <c r="CA178" t="e" cm="1">
        <f t="array" ref="CA178">IF(ISNUMBER(BZ178),AF178/COUNT(IF(ISNUMBER(_xlfn.ANCHORARRAY($BZ$11)),_xlfn.ANCHORARRAY($BZ$11))),NA())</f>
        <v>#N/A</v>
      </c>
      <c r="CB178" t="e">
        <f t="shared" si="71"/>
        <v>#N/A</v>
      </c>
      <c r="CD178" t="e">
        <f t="shared" si="72"/>
        <v>#N/A</v>
      </c>
      <c r="CE178" t="e">
        <f t="shared" si="73"/>
        <v>#N/A</v>
      </c>
      <c r="CG178" t="e">
        <v>#N/A</v>
      </c>
      <c r="CH178" t="e">
        <v>#N/A</v>
      </c>
      <c r="CL178" t="e">
        <f t="shared" si="74"/>
        <v>#N/A</v>
      </c>
      <c r="CM178" t="e">
        <v>#N/A</v>
      </c>
      <c r="CN178" t="e" cm="1">
        <f t="array" ref="CN178">IF(ISNUMBER(CM178),AF178/COUNT(IF(ISNUMBER(_xlfn.ANCHORARRAY($CM$11)),_xlfn.ANCHORARRAY($CM$11))),NA())</f>
        <v>#N/A</v>
      </c>
      <c r="CO178" t="e">
        <f t="shared" si="75"/>
        <v>#N/A</v>
      </c>
      <c r="CQ178" t="e">
        <f t="shared" si="76"/>
        <v>#N/A</v>
      </c>
      <c r="CR178" t="e">
        <f t="shared" si="77"/>
        <v>#N/A</v>
      </c>
      <c r="CT178" t="e">
        <v>#N/A</v>
      </c>
      <c r="CU178" t="e">
        <v>#N/A</v>
      </c>
      <c r="CY178" t="e">
        <f t="shared" si="78"/>
        <v>#N/A</v>
      </c>
      <c r="CZ178" t="e">
        <v>#N/A</v>
      </c>
      <c r="DA178" t="e" cm="1">
        <f t="array" ref="DA178">IF(ISNUMBER(CZ178),AF178/COUNT(IF(ISNUMBER(_xlfn.ANCHORARRAY($CZ$11)),_xlfn.ANCHORARRAY($CZ$11))),NA())</f>
        <v>#N/A</v>
      </c>
      <c r="DB178" t="e">
        <f t="shared" si="79"/>
        <v>#N/A</v>
      </c>
      <c r="DD178" t="e">
        <f t="shared" si="80"/>
        <v>#N/A</v>
      </c>
      <c r="DE178" t="e">
        <f t="shared" si="81"/>
        <v>#N/A</v>
      </c>
      <c r="DG178" t="e">
        <v>#N/A</v>
      </c>
      <c r="DH178" t="e">
        <v>#N/A</v>
      </c>
    </row>
    <row r="179" spans="32:112">
      <c r="AF179">
        <v>169</v>
      </c>
      <c r="AG179" s="401">
        <f>'Lab test'!N172</f>
        <v>161.92500000000001</v>
      </c>
      <c r="AH179" s="401">
        <f>'Lab test'!M172</f>
        <v>0.10160000000000001</v>
      </c>
      <c r="AI179">
        <f>IF('Lab test'!O172&gt;0,'Lab test'!O172,NA())</f>
        <v>50.428071428571364</v>
      </c>
      <c r="AJ179">
        <f>'Lab test'!Q172</f>
        <v>1593.75</v>
      </c>
      <c r="AK179" s="401">
        <f>IF('Lab test'!V172&gt;0,'Lab test'!V172,NA())</f>
        <v>223390.13629865492</v>
      </c>
      <c r="AL179" s="7" t="e">
        <f>IF(MAX('Lab test'!W172,'Lab test'!X172)&gt;0,MAX('Lab test'!W172,'Lab test'!X172),NA())</f>
        <v>#N/A</v>
      </c>
      <c r="AM179" s="401">
        <f>IF('Lab test'!P172&gt;0,'Lab test'!P172,NA())</f>
        <v>7.8009654546607092E-3</v>
      </c>
      <c r="AN179" s="401" t="e">
        <f>IF('Lab test'!AU172&gt;0,'Lab test'!AU172,NA())</f>
        <v>#N/A</v>
      </c>
      <c r="AO179" s="401">
        <f>IF('Lab test'!AT172&gt;0,'Lab test'!AT172,NA())</f>
        <v>0.30177159481585053</v>
      </c>
      <c r="AP179" t="e">
        <f t="shared" si="82"/>
        <v>#N/A</v>
      </c>
      <c r="AQ179" s="401">
        <f>'Lab test'!AZ172</f>
        <v>1939</v>
      </c>
      <c r="AR179" t="str">
        <f>'Lab test'!AC172</f>
        <v>LTWb</v>
      </c>
      <c r="AS179" t="str">
        <f>'Lab test'!T172</f>
        <v>Steel</v>
      </c>
      <c r="AX179" t="e">
        <f t="shared" si="67"/>
        <v>#N/A</v>
      </c>
      <c r="AY179" t="e">
        <f t="shared" si="86"/>
        <v>#N/A</v>
      </c>
      <c r="AZ179" t="e">
        <f t="shared" si="83"/>
        <v>#N/A</v>
      </c>
      <c r="BA179" t="e">
        <f t="shared" si="83"/>
        <v>#N/A</v>
      </c>
      <c r="BB179" t="e">
        <f t="shared" si="83"/>
        <v>#N/A</v>
      </c>
      <c r="BC179" t="e">
        <f t="shared" si="83"/>
        <v>#N/A</v>
      </c>
      <c r="BD179" t="e">
        <f t="shared" si="83"/>
        <v>#N/A</v>
      </c>
      <c r="BG179" t="e">
        <f t="shared" si="68"/>
        <v>#N/A</v>
      </c>
      <c r="BH179" t="e">
        <f t="shared" si="87"/>
        <v>#N/A</v>
      </c>
      <c r="BI179" t="e">
        <f t="shared" si="84"/>
        <v>#N/A</v>
      </c>
      <c r="BJ179" t="e">
        <f t="shared" si="84"/>
        <v>#N/A</v>
      </c>
      <c r="BK179" t="e">
        <f t="shared" si="84"/>
        <v>#N/A</v>
      </c>
      <c r="BL179" t="e">
        <f t="shared" si="84"/>
        <v>#N/A</v>
      </c>
      <c r="BM179" t="e">
        <f t="shared" si="84"/>
        <v>#N/A</v>
      </c>
      <c r="BP179" t="e">
        <f t="shared" si="69"/>
        <v>#N/A</v>
      </c>
      <c r="BQ179" t="e">
        <f t="shared" si="88"/>
        <v>#N/A</v>
      </c>
      <c r="BR179" t="e">
        <f t="shared" si="85"/>
        <v>#N/A</v>
      </c>
      <c r="BS179" t="e">
        <f t="shared" si="85"/>
        <v>#N/A</v>
      </c>
      <c r="BT179" t="e">
        <f t="shared" si="85"/>
        <v>#N/A</v>
      </c>
      <c r="BU179" t="e">
        <f t="shared" si="85"/>
        <v>#N/A</v>
      </c>
      <c r="BV179" t="e">
        <f t="shared" si="85"/>
        <v>#N/A</v>
      </c>
      <c r="BY179" t="e">
        <f t="shared" si="70"/>
        <v>#N/A</v>
      </c>
      <c r="BZ179" t="e">
        <v>#N/A</v>
      </c>
      <c r="CA179" t="e" cm="1">
        <f t="array" ref="CA179">IF(ISNUMBER(BZ179),AF179/COUNT(IF(ISNUMBER(_xlfn.ANCHORARRAY($BZ$11)),_xlfn.ANCHORARRAY($BZ$11))),NA())</f>
        <v>#N/A</v>
      </c>
      <c r="CB179" t="e">
        <f t="shared" si="71"/>
        <v>#N/A</v>
      </c>
      <c r="CD179" t="e">
        <f t="shared" si="72"/>
        <v>#N/A</v>
      </c>
      <c r="CE179" t="e">
        <f t="shared" si="73"/>
        <v>#N/A</v>
      </c>
      <c r="CG179" t="e">
        <v>#N/A</v>
      </c>
      <c r="CH179" t="e">
        <v>#N/A</v>
      </c>
      <c r="CL179" t="e">
        <f t="shared" si="74"/>
        <v>#N/A</v>
      </c>
      <c r="CM179" t="e">
        <v>#N/A</v>
      </c>
      <c r="CN179" t="e" cm="1">
        <f t="array" ref="CN179">IF(ISNUMBER(CM179),AF179/COUNT(IF(ISNUMBER(_xlfn.ANCHORARRAY($CM$11)),_xlfn.ANCHORARRAY($CM$11))),NA())</f>
        <v>#N/A</v>
      </c>
      <c r="CO179" t="e">
        <f t="shared" si="75"/>
        <v>#N/A</v>
      </c>
      <c r="CQ179" t="e">
        <f t="shared" si="76"/>
        <v>#N/A</v>
      </c>
      <c r="CR179" t="e">
        <f t="shared" si="77"/>
        <v>#N/A</v>
      </c>
      <c r="CT179" t="e">
        <v>#N/A</v>
      </c>
      <c r="CU179" t="e">
        <v>#N/A</v>
      </c>
      <c r="CY179" t="e">
        <f t="shared" si="78"/>
        <v>#N/A</v>
      </c>
      <c r="CZ179" t="e">
        <v>#N/A</v>
      </c>
      <c r="DA179" t="e" cm="1">
        <f t="array" ref="DA179">IF(ISNUMBER(CZ179),AF179/COUNT(IF(ISNUMBER(_xlfn.ANCHORARRAY($CZ$11)),_xlfn.ANCHORARRAY($CZ$11))),NA())</f>
        <v>#N/A</v>
      </c>
      <c r="DB179" t="e">
        <f t="shared" si="79"/>
        <v>#N/A</v>
      </c>
      <c r="DD179" t="e">
        <f t="shared" si="80"/>
        <v>#N/A</v>
      </c>
      <c r="DE179" t="e">
        <f t="shared" si="81"/>
        <v>#N/A</v>
      </c>
      <c r="DG179" t="e">
        <v>#N/A</v>
      </c>
      <c r="DH179" t="e">
        <v>#N/A</v>
      </c>
    </row>
    <row r="180" spans="32:112">
      <c r="AF180">
        <v>170</v>
      </c>
      <c r="AG180" s="401">
        <f>'Lab test'!N173</f>
        <v>161.92500000000001</v>
      </c>
      <c r="AH180" s="401">
        <f>'Lab test'!M173</f>
        <v>0.10160000000000001</v>
      </c>
      <c r="AI180">
        <f>IF('Lab test'!O173&gt;0,'Lab test'!O173,NA())</f>
        <v>49.595314285714245</v>
      </c>
      <c r="AJ180">
        <f>'Lab test'!Q173</f>
        <v>1593.75</v>
      </c>
      <c r="AK180" s="401">
        <f>IF('Lab test'!V173&gt;0,'Lab test'!V173,NA())</f>
        <v>223390.13629865492</v>
      </c>
      <c r="AL180" s="7" t="e">
        <f>IF(MAX('Lab test'!W173,'Lab test'!X173)&gt;0,MAX('Lab test'!W173,'Lab test'!X173),NA())</f>
        <v>#N/A</v>
      </c>
      <c r="AM180" s="401">
        <f>IF('Lab test'!P173&gt;0,'Lab test'!P173,NA())</f>
        <v>7.672142171923196E-3</v>
      </c>
      <c r="AN180" s="401" t="e">
        <f>IF('Lab test'!AU173&gt;0,'Lab test'!AU173,NA())</f>
        <v>#N/A</v>
      </c>
      <c r="AO180" s="401">
        <f>IF('Lab test'!AT173&gt;0,'Lab test'!AT173,NA())</f>
        <v>0.33772528047119454</v>
      </c>
      <c r="AP180" t="e">
        <f t="shared" si="82"/>
        <v>#N/A</v>
      </c>
      <c r="AQ180" s="401">
        <f>'Lab test'!AZ173</f>
        <v>1939</v>
      </c>
      <c r="AR180" t="str">
        <f>'Lab test'!AC173</f>
        <v>LTWb</v>
      </c>
      <c r="AS180" t="str">
        <f>'Lab test'!T173</f>
        <v>Steel</v>
      </c>
      <c r="AX180" t="e">
        <f t="shared" si="67"/>
        <v>#N/A</v>
      </c>
      <c r="AY180" t="e">
        <f t="shared" si="86"/>
        <v>#N/A</v>
      </c>
      <c r="AZ180" t="e">
        <f t="shared" si="83"/>
        <v>#N/A</v>
      </c>
      <c r="BA180" t="e">
        <f t="shared" si="83"/>
        <v>#N/A</v>
      </c>
      <c r="BB180" t="e">
        <f t="shared" si="83"/>
        <v>#N/A</v>
      </c>
      <c r="BC180" t="e">
        <f t="shared" si="83"/>
        <v>#N/A</v>
      </c>
      <c r="BD180" t="e">
        <f t="shared" si="83"/>
        <v>#N/A</v>
      </c>
      <c r="BG180" t="e">
        <f t="shared" si="68"/>
        <v>#N/A</v>
      </c>
      <c r="BH180" t="e">
        <f t="shared" si="87"/>
        <v>#N/A</v>
      </c>
      <c r="BI180" t="e">
        <f t="shared" si="84"/>
        <v>#N/A</v>
      </c>
      <c r="BJ180" t="e">
        <f t="shared" si="84"/>
        <v>#N/A</v>
      </c>
      <c r="BK180" t="e">
        <f t="shared" si="84"/>
        <v>#N/A</v>
      </c>
      <c r="BL180" t="e">
        <f t="shared" si="84"/>
        <v>#N/A</v>
      </c>
      <c r="BM180" t="e">
        <f t="shared" si="84"/>
        <v>#N/A</v>
      </c>
      <c r="BP180" t="e">
        <f t="shared" si="69"/>
        <v>#N/A</v>
      </c>
      <c r="BQ180" t="e">
        <f t="shared" si="88"/>
        <v>#N/A</v>
      </c>
      <c r="BR180" t="e">
        <f t="shared" si="85"/>
        <v>#N/A</v>
      </c>
      <c r="BS180" t="e">
        <f t="shared" si="85"/>
        <v>#N/A</v>
      </c>
      <c r="BT180" t="e">
        <f t="shared" si="85"/>
        <v>#N/A</v>
      </c>
      <c r="BU180" t="e">
        <f t="shared" si="85"/>
        <v>#N/A</v>
      </c>
      <c r="BV180" t="e">
        <f t="shared" si="85"/>
        <v>#N/A</v>
      </c>
      <c r="BY180" t="e">
        <f t="shared" si="70"/>
        <v>#N/A</v>
      </c>
      <c r="BZ180" t="e">
        <v>#N/A</v>
      </c>
      <c r="CA180" t="e" cm="1">
        <f t="array" ref="CA180">IF(ISNUMBER(BZ180),AF180/COUNT(IF(ISNUMBER(_xlfn.ANCHORARRAY($BZ$11)),_xlfn.ANCHORARRAY($BZ$11))),NA())</f>
        <v>#N/A</v>
      </c>
      <c r="CB180" t="e">
        <f t="shared" si="71"/>
        <v>#N/A</v>
      </c>
      <c r="CD180" t="e">
        <f t="shared" si="72"/>
        <v>#N/A</v>
      </c>
      <c r="CE180" t="e">
        <f t="shared" si="73"/>
        <v>#N/A</v>
      </c>
      <c r="CG180" t="e">
        <v>#N/A</v>
      </c>
      <c r="CH180" t="e">
        <v>#N/A</v>
      </c>
      <c r="CL180" t="e">
        <f t="shared" si="74"/>
        <v>#N/A</v>
      </c>
      <c r="CM180" t="e">
        <v>#N/A</v>
      </c>
      <c r="CN180" t="e" cm="1">
        <f t="array" ref="CN180">IF(ISNUMBER(CM180),AF180/COUNT(IF(ISNUMBER(_xlfn.ANCHORARRAY($CM$11)),_xlfn.ANCHORARRAY($CM$11))),NA())</f>
        <v>#N/A</v>
      </c>
      <c r="CO180" t="e">
        <f t="shared" si="75"/>
        <v>#N/A</v>
      </c>
      <c r="CQ180" t="e">
        <f t="shared" si="76"/>
        <v>#N/A</v>
      </c>
      <c r="CR180" t="e">
        <f t="shared" si="77"/>
        <v>#N/A</v>
      </c>
      <c r="CT180" t="e">
        <v>#N/A</v>
      </c>
      <c r="CU180" t="e">
        <v>#N/A</v>
      </c>
      <c r="CY180" t="e">
        <f t="shared" si="78"/>
        <v>#N/A</v>
      </c>
      <c r="CZ180" t="e">
        <v>#N/A</v>
      </c>
      <c r="DA180" t="e" cm="1">
        <f t="array" ref="DA180">IF(ISNUMBER(CZ180),AF180/COUNT(IF(ISNUMBER(_xlfn.ANCHORARRAY($CZ$11)),_xlfn.ANCHORARRAY($CZ$11))),NA())</f>
        <v>#N/A</v>
      </c>
      <c r="DB180" t="e">
        <f t="shared" si="79"/>
        <v>#N/A</v>
      </c>
      <c r="DD180" t="e">
        <f t="shared" si="80"/>
        <v>#N/A</v>
      </c>
      <c r="DE180" t="e">
        <f t="shared" si="81"/>
        <v>#N/A</v>
      </c>
      <c r="DG180" t="e">
        <v>#N/A</v>
      </c>
      <c r="DH180" t="e">
        <v>#N/A</v>
      </c>
    </row>
    <row r="181" spans="32:112">
      <c r="AF181">
        <v>171</v>
      </c>
      <c r="AG181" s="401">
        <f>'Lab test'!N174</f>
        <v>161.92500000000001</v>
      </c>
      <c r="AH181" s="401">
        <f>'Lab test'!M174</f>
        <v>0.10160000000000001</v>
      </c>
      <c r="AI181">
        <f>IF('Lab test'!O174&gt;0,'Lab test'!O174,NA())</f>
        <v>39.04705714285712</v>
      </c>
      <c r="AJ181">
        <f>'Lab test'!Q174</f>
        <v>1593.75</v>
      </c>
      <c r="AK181" s="401">
        <f>IF('Lab test'!V174&gt;0,'Lab test'!V174,NA())</f>
        <v>223390.13629865492</v>
      </c>
      <c r="AL181" s="7" t="e">
        <f>IF(MAX('Lab test'!W174,'Lab test'!X174)&gt;0,MAX('Lab test'!W174,'Lab test'!X174),NA())</f>
        <v>#N/A</v>
      </c>
      <c r="AM181" s="401">
        <f>IF('Lab test'!P174&gt;0,'Lab test'!P174,NA())</f>
        <v>6.040380590581324E-3</v>
      </c>
      <c r="AN181" s="401" t="e">
        <f>IF('Lab test'!AU174&gt;0,'Lab test'!AU174,NA())</f>
        <v>#N/A</v>
      </c>
      <c r="AO181" s="401">
        <f>IF('Lab test'!AT174&gt;0,'Lab test'!AT174,NA())</f>
        <v>0.39866208841663964</v>
      </c>
      <c r="AP181" t="e">
        <f t="shared" si="82"/>
        <v>#N/A</v>
      </c>
      <c r="AQ181" s="401">
        <f>'Lab test'!AZ174</f>
        <v>1939</v>
      </c>
      <c r="AR181" t="str">
        <f>'Lab test'!AC174</f>
        <v>LTWb</v>
      </c>
      <c r="AS181" t="str">
        <f>'Lab test'!T174</f>
        <v>Steel</v>
      </c>
      <c r="AX181" t="e">
        <f t="shared" si="67"/>
        <v>#N/A</v>
      </c>
      <c r="AY181" t="e">
        <f t="shared" si="86"/>
        <v>#N/A</v>
      </c>
      <c r="AZ181" t="e">
        <f t="shared" si="83"/>
        <v>#N/A</v>
      </c>
      <c r="BA181" t="e">
        <f t="shared" si="83"/>
        <v>#N/A</v>
      </c>
      <c r="BB181" t="e">
        <f t="shared" si="83"/>
        <v>#N/A</v>
      </c>
      <c r="BC181" t="e">
        <f t="shared" si="83"/>
        <v>#N/A</v>
      </c>
      <c r="BD181" t="e">
        <f t="shared" si="83"/>
        <v>#N/A</v>
      </c>
      <c r="BG181" t="e">
        <f t="shared" si="68"/>
        <v>#N/A</v>
      </c>
      <c r="BH181" t="e">
        <f t="shared" si="87"/>
        <v>#N/A</v>
      </c>
      <c r="BI181" t="e">
        <f t="shared" si="84"/>
        <v>#N/A</v>
      </c>
      <c r="BJ181" t="e">
        <f t="shared" si="84"/>
        <v>#N/A</v>
      </c>
      <c r="BK181" t="e">
        <f t="shared" si="84"/>
        <v>#N/A</v>
      </c>
      <c r="BL181" t="e">
        <f t="shared" si="84"/>
        <v>#N/A</v>
      </c>
      <c r="BM181" t="e">
        <f t="shared" si="84"/>
        <v>#N/A</v>
      </c>
      <c r="BP181" t="e">
        <f t="shared" si="69"/>
        <v>#N/A</v>
      </c>
      <c r="BQ181" t="e">
        <f t="shared" si="88"/>
        <v>#N/A</v>
      </c>
      <c r="BR181" t="e">
        <f t="shared" si="85"/>
        <v>#N/A</v>
      </c>
      <c r="BS181" t="e">
        <f t="shared" si="85"/>
        <v>#N/A</v>
      </c>
      <c r="BT181" t="e">
        <f t="shared" si="85"/>
        <v>#N/A</v>
      </c>
      <c r="BU181" t="e">
        <f t="shared" si="85"/>
        <v>#N/A</v>
      </c>
      <c r="BV181" t="e">
        <f t="shared" si="85"/>
        <v>#N/A</v>
      </c>
      <c r="BY181" t="e">
        <f t="shared" si="70"/>
        <v>#N/A</v>
      </c>
      <c r="BZ181" t="e">
        <v>#N/A</v>
      </c>
      <c r="CA181" t="e" cm="1">
        <f t="array" ref="CA181">IF(ISNUMBER(BZ181),AF181/COUNT(IF(ISNUMBER(_xlfn.ANCHORARRAY($BZ$11)),_xlfn.ANCHORARRAY($BZ$11))),NA())</f>
        <v>#N/A</v>
      </c>
      <c r="CB181" t="e">
        <f t="shared" si="71"/>
        <v>#N/A</v>
      </c>
      <c r="CD181" t="e">
        <f t="shared" si="72"/>
        <v>#N/A</v>
      </c>
      <c r="CE181" t="e">
        <f t="shared" si="73"/>
        <v>#N/A</v>
      </c>
      <c r="CG181" t="e">
        <v>#N/A</v>
      </c>
      <c r="CH181" t="e">
        <v>#N/A</v>
      </c>
      <c r="CL181" t="e">
        <f t="shared" si="74"/>
        <v>#N/A</v>
      </c>
      <c r="CM181" t="e">
        <v>#N/A</v>
      </c>
      <c r="CN181" t="e" cm="1">
        <f t="array" ref="CN181">IF(ISNUMBER(CM181),AF181/COUNT(IF(ISNUMBER(_xlfn.ANCHORARRAY($CM$11)),_xlfn.ANCHORARRAY($CM$11))),NA())</f>
        <v>#N/A</v>
      </c>
      <c r="CO181" t="e">
        <f t="shared" si="75"/>
        <v>#N/A</v>
      </c>
      <c r="CQ181" t="e">
        <f t="shared" si="76"/>
        <v>#N/A</v>
      </c>
      <c r="CR181" t="e">
        <f t="shared" si="77"/>
        <v>#N/A</v>
      </c>
      <c r="CT181" t="e">
        <v>#N/A</v>
      </c>
      <c r="CU181" t="e">
        <v>#N/A</v>
      </c>
      <c r="CY181" t="e">
        <f t="shared" si="78"/>
        <v>#N/A</v>
      </c>
      <c r="CZ181" t="e">
        <v>#N/A</v>
      </c>
      <c r="DA181" t="e" cm="1">
        <f t="array" ref="DA181">IF(ISNUMBER(CZ181),AF181/COUNT(IF(ISNUMBER(_xlfn.ANCHORARRAY($CZ$11)),_xlfn.ANCHORARRAY($CZ$11))),NA())</f>
        <v>#N/A</v>
      </c>
      <c r="DB181" t="e">
        <f t="shared" si="79"/>
        <v>#N/A</v>
      </c>
      <c r="DD181" t="e">
        <f t="shared" si="80"/>
        <v>#N/A</v>
      </c>
      <c r="DE181" t="e">
        <f t="shared" si="81"/>
        <v>#N/A</v>
      </c>
      <c r="DG181" t="e">
        <v>#N/A</v>
      </c>
      <c r="DH181" t="e">
        <v>#N/A</v>
      </c>
    </row>
    <row r="182" spans="32:112">
      <c r="AF182">
        <v>172</v>
      </c>
      <c r="AG182" s="401">
        <f>'Lab test'!N175</f>
        <v>161.92500000000001</v>
      </c>
      <c r="AH182" s="401">
        <f>'Lab test'!M175</f>
        <v>0.10160000000000001</v>
      </c>
      <c r="AI182">
        <f>IF('Lab test'!O175&gt;0,'Lab test'!O175,NA())</f>
        <v>24.335014285714241</v>
      </c>
      <c r="AJ182">
        <f>'Lab test'!Q175</f>
        <v>1593.75</v>
      </c>
      <c r="AK182" s="401">
        <f>IF('Lab test'!V175&gt;0,'Lab test'!V175,NA())</f>
        <v>223390.13629865492</v>
      </c>
      <c r="AL182" s="7" t="e">
        <f>IF(MAX('Lab test'!W175,'Lab test'!X175)&gt;0,MAX('Lab test'!W175,'Lab test'!X175),NA())</f>
        <v>#N/A</v>
      </c>
      <c r="AM182" s="401">
        <f>IF('Lab test'!P175&gt;0,'Lab test'!P175,NA())</f>
        <v>3.7645025955518629E-3</v>
      </c>
      <c r="AN182" s="401" t="e">
        <f>IF('Lab test'!AU175&gt;0,'Lab test'!AU175,NA())</f>
        <v>#N/A</v>
      </c>
      <c r="AO182" s="401">
        <f>IF('Lab test'!AT175&gt;0,'Lab test'!AT175,NA())</f>
        <v>0.57902592908259642</v>
      </c>
      <c r="AP182" t="e">
        <f t="shared" si="82"/>
        <v>#N/A</v>
      </c>
      <c r="AQ182" s="401">
        <f>'Lab test'!AZ175</f>
        <v>1939</v>
      </c>
      <c r="AR182" t="str">
        <f>'Lab test'!AC175</f>
        <v>LTWb</v>
      </c>
      <c r="AS182" t="str">
        <f>'Lab test'!T175</f>
        <v>Steel</v>
      </c>
      <c r="AX182" t="e">
        <f t="shared" si="67"/>
        <v>#N/A</v>
      </c>
      <c r="AY182" t="e">
        <f t="shared" si="86"/>
        <v>#N/A</v>
      </c>
      <c r="AZ182" t="e">
        <f t="shared" si="83"/>
        <v>#N/A</v>
      </c>
      <c r="BA182" t="e">
        <f t="shared" si="83"/>
        <v>#N/A</v>
      </c>
      <c r="BB182" t="e">
        <f t="shared" si="83"/>
        <v>#N/A</v>
      </c>
      <c r="BC182" t="e">
        <f t="shared" si="83"/>
        <v>#N/A</v>
      </c>
      <c r="BD182" t="e">
        <f t="shared" si="83"/>
        <v>#N/A</v>
      </c>
      <c r="BG182" t="e">
        <f t="shared" si="68"/>
        <v>#N/A</v>
      </c>
      <c r="BH182" t="e">
        <f t="shared" si="87"/>
        <v>#N/A</v>
      </c>
      <c r="BI182" t="e">
        <f t="shared" si="84"/>
        <v>#N/A</v>
      </c>
      <c r="BJ182" t="e">
        <f t="shared" si="84"/>
        <v>#N/A</v>
      </c>
      <c r="BK182" t="e">
        <f t="shared" si="84"/>
        <v>#N/A</v>
      </c>
      <c r="BL182" t="e">
        <f t="shared" si="84"/>
        <v>#N/A</v>
      </c>
      <c r="BM182" t="e">
        <f t="shared" si="84"/>
        <v>#N/A</v>
      </c>
      <c r="BP182" t="e">
        <f t="shared" si="69"/>
        <v>#N/A</v>
      </c>
      <c r="BQ182" t="e">
        <f t="shared" si="88"/>
        <v>#N/A</v>
      </c>
      <c r="BR182" t="e">
        <f t="shared" si="85"/>
        <v>#N/A</v>
      </c>
      <c r="BS182" t="e">
        <f t="shared" si="85"/>
        <v>#N/A</v>
      </c>
      <c r="BT182" t="e">
        <f t="shared" si="85"/>
        <v>#N/A</v>
      </c>
      <c r="BU182" t="e">
        <f t="shared" si="85"/>
        <v>#N/A</v>
      </c>
      <c r="BV182" t="e">
        <f t="shared" si="85"/>
        <v>#N/A</v>
      </c>
      <c r="BY182" t="e">
        <f t="shared" si="70"/>
        <v>#N/A</v>
      </c>
      <c r="BZ182" t="e">
        <v>#N/A</v>
      </c>
      <c r="CA182" t="e" cm="1">
        <f t="array" ref="CA182">IF(ISNUMBER(BZ182),AF182/COUNT(IF(ISNUMBER(_xlfn.ANCHORARRAY($BZ$11)),_xlfn.ANCHORARRAY($BZ$11))),NA())</f>
        <v>#N/A</v>
      </c>
      <c r="CB182" t="e">
        <f t="shared" si="71"/>
        <v>#N/A</v>
      </c>
      <c r="CD182" t="e">
        <f t="shared" si="72"/>
        <v>#N/A</v>
      </c>
      <c r="CE182" t="e">
        <f t="shared" si="73"/>
        <v>#N/A</v>
      </c>
      <c r="CG182" t="e">
        <v>#N/A</v>
      </c>
      <c r="CH182" t="e">
        <v>#N/A</v>
      </c>
      <c r="CL182" t="e">
        <f t="shared" si="74"/>
        <v>#N/A</v>
      </c>
      <c r="CM182" t="e">
        <v>#N/A</v>
      </c>
      <c r="CN182" t="e" cm="1">
        <f t="array" ref="CN182">IF(ISNUMBER(CM182),AF182/COUNT(IF(ISNUMBER(_xlfn.ANCHORARRAY($CM$11)),_xlfn.ANCHORARRAY($CM$11))),NA())</f>
        <v>#N/A</v>
      </c>
      <c r="CO182" t="e">
        <f t="shared" si="75"/>
        <v>#N/A</v>
      </c>
      <c r="CQ182" t="e">
        <f t="shared" si="76"/>
        <v>#N/A</v>
      </c>
      <c r="CR182" t="e">
        <f t="shared" si="77"/>
        <v>#N/A</v>
      </c>
      <c r="CT182" t="e">
        <v>#N/A</v>
      </c>
      <c r="CU182" t="e">
        <v>#N/A</v>
      </c>
      <c r="CY182" t="e">
        <f t="shared" si="78"/>
        <v>#N/A</v>
      </c>
      <c r="CZ182" t="e">
        <v>#N/A</v>
      </c>
      <c r="DA182" t="e" cm="1">
        <f t="array" ref="DA182">IF(ISNUMBER(CZ182),AF182/COUNT(IF(ISNUMBER(_xlfn.ANCHORARRAY($CZ$11)),_xlfn.ANCHORARRAY($CZ$11))),NA())</f>
        <v>#N/A</v>
      </c>
      <c r="DB182" t="e">
        <f t="shared" si="79"/>
        <v>#N/A</v>
      </c>
      <c r="DD182" t="e">
        <f t="shared" si="80"/>
        <v>#N/A</v>
      </c>
      <c r="DE182" t="e">
        <f t="shared" si="81"/>
        <v>#N/A</v>
      </c>
      <c r="DG182" t="e">
        <v>#N/A</v>
      </c>
      <c r="DH182" t="e">
        <v>#N/A</v>
      </c>
    </row>
    <row r="183" spans="32:112">
      <c r="AF183">
        <v>173</v>
      </c>
      <c r="AG183" s="401">
        <f>'Lab test'!N176</f>
        <v>161.92500000000001</v>
      </c>
      <c r="AH183" s="401">
        <f>'Lab test'!M176</f>
        <v>0.10160000000000001</v>
      </c>
      <c r="AI183">
        <f>IF('Lab test'!O176&gt;0,'Lab test'!O176,NA())</f>
        <v>14.61951428571429</v>
      </c>
      <c r="AJ183">
        <f>'Lab test'!Q176</f>
        <v>1593.75</v>
      </c>
      <c r="AK183" s="401">
        <f>IF('Lab test'!V176&gt;0,'Lab test'!V176,NA())</f>
        <v>223390.13629865492</v>
      </c>
      <c r="AL183" s="7" t="e">
        <f>IF(MAX('Lab test'!W176,'Lab test'!X176)&gt;0,MAX('Lab test'!W176,'Lab test'!X176),NA())</f>
        <v>#N/A</v>
      </c>
      <c r="AM183" s="401">
        <f>IF('Lab test'!P176&gt;0,'Lab test'!P176,NA())</f>
        <v>2.2615642969475119E-3</v>
      </c>
      <c r="AN183" s="401" t="e">
        <f>IF('Lab test'!AU176&gt;0,'Lab test'!AU176,NA())</f>
        <v>#N/A</v>
      </c>
      <c r="AO183" s="401">
        <f>IF('Lab test'!AT176&gt;0,'Lab test'!AT176,NA())</f>
        <v>0.84099049368239565</v>
      </c>
      <c r="AP183" t="e">
        <f t="shared" si="82"/>
        <v>#N/A</v>
      </c>
      <c r="AQ183" s="401">
        <f>'Lab test'!AZ176</f>
        <v>1939</v>
      </c>
      <c r="AR183" t="str">
        <f>'Lab test'!AC176</f>
        <v>LTWb</v>
      </c>
      <c r="AS183" t="str">
        <f>'Lab test'!T176</f>
        <v>Steel</v>
      </c>
      <c r="AX183" t="e">
        <f t="shared" si="67"/>
        <v>#N/A</v>
      </c>
      <c r="AY183" t="e">
        <f t="shared" si="86"/>
        <v>#N/A</v>
      </c>
      <c r="AZ183" t="e">
        <f t="shared" si="83"/>
        <v>#N/A</v>
      </c>
      <c r="BA183" t="e">
        <f t="shared" si="83"/>
        <v>#N/A</v>
      </c>
      <c r="BB183" t="e">
        <f t="shared" si="83"/>
        <v>#N/A</v>
      </c>
      <c r="BC183" t="e">
        <f t="shared" si="83"/>
        <v>#N/A</v>
      </c>
      <c r="BD183" t="e">
        <f t="shared" si="83"/>
        <v>#N/A</v>
      </c>
      <c r="BG183" t="e">
        <f t="shared" si="68"/>
        <v>#N/A</v>
      </c>
      <c r="BH183" t="e">
        <f t="shared" si="87"/>
        <v>#N/A</v>
      </c>
      <c r="BI183" t="e">
        <f t="shared" si="84"/>
        <v>#N/A</v>
      </c>
      <c r="BJ183" t="e">
        <f t="shared" si="84"/>
        <v>#N/A</v>
      </c>
      <c r="BK183" t="e">
        <f t="shared" si="84"/>
        <v>#N/A</v>
      </c>
      <c r="BL183" t="e">
        <f t="shared" si="84"/>
        <v>#N/A</v>
      </c>
      <c r="BM183" t="e">
        <f t="shared" si="84"/>
        <v>#N/A</v>
      </c>
      <c r="BP183" t="e">
        <f t="shared" si="69"/>
        <v>#N/A</v>
      </c>
      <c r="BQ183" t="e">
        <f t="shared" si="88"/>
        <v>#N/A</v>
      </c>
      <c r="BR183" t="e">
        <f t="shared" si="85"/>
        <v>#N/A</v>
      </c>
      <c r="BS183" t="e">
        <f t="shared" si="85"/>
        <v>#N/A</v>
      </c>
      <c r="BT183" t="e">
        <f t="shared" si="85"/>
        <v>#N/A</v>
      </c>
      <c r="BU183" t="e">
        <f t="shared" si="85"/>
        <v>#N/A</v>
      </c>
      <c r="BV183" t="e">
        <f t="shared" si="85"/>
        <v>#N/A</v>
      </c>
      <c r="BY183" t="e">
        <f t="shared" si="70"/>
        <v>#N/A</v>
      </c>
      <c r="BZ183" t="e">
        <v>#N/A</v>
      </c>
      <c r="CA183" t="e" cm="1">
        <f t="array" ref="CA183">IF(ISNUMBER(BZ183),AF183/COUNT(IF(ISNUMBER(_xlfn.ANCHORARRAY($BZ$11)),_xlfn.ANCHORARRAY($BZ$11))),NA())</f>
        <v>#N/A</v>
      </c>
      <c r="CB183" t="e">
        <f t="shared" si="71"/>
        <v>#N/A</v>
      </c>
      <c r="CD183" t="e">
        <f t="shared" si="72"/>
        <v>#N/A</v>
      </c>
      <c r="CE183" t="e">
        <f t="shared" si="73"/>
        <v>#N/A</v>
      </c>
      <c r="CG183" t="e">
        <v>#N/A</v>
      </c>
      <c r="CH183" t="e">
        <v>#N/A</v>
      </c>
      <c r="CL183" t="e">
        <f t="shared" si="74"/>
        <v>#N/A</v>
      </c>
      <c r="CM183" t="e">
        <v>#N/A</v>
      </c>
      <c r="CN183" t="e" cm="1">
        <f t="array" ref="CN183">IF(ISNUMBER(CM183),AF183/COUNT(IF(ISNUMBER(_xlfn.ANCHORARRAY($CM$11)),_xlfn.ANCHORARRAY($CM$11))),NA())</f>
        <v>#N/A</v>
      </c>
      <c r="CO183" t="e">
        <f t="shared" si="75"/>
        <v>#N/A</v>
      </c>
      <c r="CQ183" t="e">
        <f t="shared" si="76"/>
        <v>#N/A</v>
      </c>
      <c r="CR183" t="e">
        <f t="shared" si="77"/>
        <v>#N/A</v>
      </c>
      <c r="CT183" t="e">
        <v>#N/A</v>
      </c>
      <c r="CU183" t="e">
        <v>#N/A</v>
      </c>
      <c r="CY183" t="e">
        <f t="shared" si="78"/>
        <v>#N/A</v>
      </c>
      <c r="CZ183" t="e">
        <v>#N/A</v>
      </c>
      <c r="DA183" t="e" cm="1">
        <f t="array" ref="DA183">IF(ISNUMBER(CZ183),AF183/COUNT(IF(ISNUMBER(_xlfn.ANCHORARRAY($CZ$11)),_xlfn.ANCHORARRAY($CZ$11))),NA())</f>
        <v>#N/A</v>
      </c>
      <c r="DB183" t="e">
        <f t="shared" si="79"/>
        <v>#N/A</v>
      </c>
      <c r="DD183" t="e">
        <f t="shared" si="80"/>
        <v>#N/A</v>
      </c>
      <c r="DE183" t="e">
        <f t="shared" si="81"/>
        <v>#N/A</v>
      </c>
      <c r="DG183" t="e">
        <v>#N/A</v>
      </c>
      <c r="DH183" t="e">
        <v>#N/A</v>
      </c>
    </row>
    <row r="184" spans="32:112">
      <c r="AF184">
        <v>174</v>
      </c>
      <c r="AG184" s="401">
        <f>'Lab test'!N177</f>
        <v>161.92500000000001</v>
      </c>
      <c r="AH184" s="401">
        <f>'Lab test'!M177</f>
        <v>0.10160000000000001</v>
      </c>
      <c r="AI184">
        <f>IF('Lab test'!O177&gt;0,'Lab test'!O177,NA())</f>
        <v>6.0143571428571372</v>
      </c>
      <c r="AJ184">
        <f>'Lab test'!Q177</f>
        <v>1593.75</v>
      </c>
      <c r="AK184" s="401">
        <f>IF('Lab test'!V177&gt;0,'Lab test'!V177,NA())</f>
        <v>223390.13629865492</v>
      </c>
      <c r="AL184" s="7" t="e">
        <f>IF(MAX('Lab test'!W177,'Lab test'!X177)&gt;0,MAX('Lab test'!W177,'Lab test'!X177),NA())</f>
        <v>#N/A</v>
      </c>
      <c r="AM184" s="401">
        <f>IF('Lab test'!P177&gt;0,'Lab test'!P177,NA())</f>
        <v>9.3039037532650687E-4</v>
      </c>
      <c r="AN184" s="401" t="e">
        <f>IF('Lab test'!AU177&gt;0,'Lab test'!AU177,NA())</f>
        <v>#N/A</v>
      </c>
      <c r="AO184" s="401">
        <f>IF('Lab test'!AT177&gt;0,'Lab test'!AT177,NA())</f>
        <v>1.0045655139823491</v>
      </c>
      <c r="AP184" t="e">
        <f t="shared" si="82"/>
        <v>#N/A</v>
      </c>
      <c r="AQ184" s="401">
        <f>'Lab test'!AZ177</f>
        <v>1939</v>
      </c>
      <c r="AR184" t="str">
        <f>'Lab test'!AC177</f>
        <v>LTWb</v>
      </c>
      <c r="AS184" t="str">
        <f>'Lab test'!T177</f>
        <v>Steel</v>
      </c>
      <c r="AX184" t="e">
        <f t="shared" si="67"/>
        <v>#N/A</v>
      </c>
      <c r="AY184" t="e">
        <f t="shared" si="86"/>
        <v>#N/A</v>
      </c>
      <c r="AZ184" t="e">
        <f t="shared" si="83"/>
        <v>#N/A</v>
      </c>
      <c r="BA184" t="e">
        <f t="shared" si="83"/>
        <v>#N/A</v>
      </c>
      <c r="BB184" t="e">
        <f t="shared" si="83"/>
        <v>#N/A</v>
      </c>
      <c r="BC184" t="e">
        <f t="shared" si="83"/>
        <v>#N/A</v>
      </c>
      <c r="BD184" t="e">
        <f t="shared" si="83"/>
        <v>#N/A</v>
      </c>
      <c r="BG184" t="e">
        <f t="shared" si="68"/>
        <v>#N/A</v>
      </c>
      <c r="BH184" t="e">
        <f t="shared" si="87"/>
        <v>#N/A</v>
      </c>
      <c r="BI184" t="e">
        <f t="shared" si="84"/>
        <v>#N/A</v>
      </c>
      <c r="BJ184" t="e">
        <f t="shared" si="84"/>
        <v>#N/A</v>
      </c>
      <c r="BK184" t="e">
        <f t="shared" si="84"/>
        <v>#N/A</v>
      </c>
      <c r="BL184" t="e">
        <f t="shared" si="84"/>
        <v>#N/A</v>
      </c>
      <c r="BM184" t="e">
        <f t="shared" si="84"/>
        <v>#N/A</v>
      </c>
      <c r="BP184" t="e">
        <f t="shared" si="69"/>
        <v>#N/A</v>
      </c>
      <c r="BQ184" t="e">
        <f t="shared" si="88"/>
        <v>#N/A</v>
      </c>
      <c r="BR184" t="e">
        <f t="shared" si="85"/>
        <v>#N/A</v>
      </c>
      <c r="BS184" t="e">
        <f t="shared" si="85"/>
        <v>#N/A</v>
      </c>
      <c r="BT184" t="e">
        <f t="shared" si="85"/>
        <v>#N/A</v>
      </c>
      <c r="BU184" t="e">
        <f t="shared" si="85"/>
        <v>#N/A</v>
      </c>
      <c r="BV184" t="e">
        <f t="shared" si="85"/>
        <v>#N/A</v>
      </c>
      <c r="BY184" t="e">
        <f t="shared" si="70"/>
        <v>#N/A</v>
      </c>
      <c r="BZ184" t="e">
        <v>#N/A</v>
      </c>
      <c r="CA184" t="e" cm="1">
        <f t="array" ref="CA184">IF(ISNUMBER(BZ184),AF184/COUNT(IF(ISNUMBER(_xlfn.ANCHORARRAY($BZ$11)),_xlfn.ANCHORARRAY($BZ$11))),NA())</f>
        <v>#N/A</v>
      </c>
      <c r="CB184" t="e">
        <f t="shared" si="71"/>
        <v>#N/A</v>
      </c>
      <c r="CD184" t="e">
        <f t="shared" si="72"/>
        <v>#N/A</v>
      </c>
      <c r="CE184" t="e">
        <f t="shared" si="73"/>
        <v>#N/A</v>
      </c>
      <c r="CG184" t="e">
        <v>#N/A</v>
      </c>
      <c r="CH184" t="e">
        <v>#N/A</v>
      </c>
      <c r="CL184" t="e">
        <f t="shared" si="74"/>
        <v>#N/A</v>
      </c>
      <c r="CM184" t="e">
        <v>#N/A</v>
      </c>
      <c r="CN184" t="e" cm="1">
        <f t="array" ref="CN184">IF(ISNUMBER(CM184),AF184/COUNT(IF(ISNUMBER(_xlfn.ANCHORARRAY($CM$11)),_xlfn.ANCHORARRAY($CM$11))),NA())</f>
        <v>#N/A</v>
      </c>
      <c r="CO184" t="e">
        <f t="shared" si="75"/>
        <v>#N/A</v>
      </c>
      <c r="CQ184" t="e">
        <f t="shared" si="76"/>
        <v>#N/A</v>
      </c>
      <c r="CR184" t="e">
        <f t="shared" si="77"/>
        <v>#N/A</v>
      </c>
      <c r="CT184" t="e">
        <v>#N/A</v>
      </c>
      <c r="CU184" t="e">
        <v>#N/A</v>
      </c>
      <c r="CY184" t="e">
        <f t="shared" si="78"/>
        <v>#N/A</v>
      </c>
      <c r="CZ184" t="e">
        <v>#N/A</v>
      </c>
      <c r="DA184" t="e" cm="1">
        <f t="array" ref="DA184">IF(ISNUMBER(CZ184),AF184/COUNT(IF(ISNUMBER(_xlfn.ANCHORARRAY($CZ$11)),_xlfn.ANCHORARRAY($CZ$11))),NA())</f>
        <v>#N/A</v>
      </c>
      <c r="DB184" t="e">
        <f t="shared" si="79"/>
        <v>#N/A</v>
      </c>
      <c r="DD184" t="e">
        <f t="shared" si="80"/>
        <v>#N/A</v>
      </c>
      <c r="DE184" t="e">
        <f t="shared" si="81"/>
        <v>#N/A</v>
      </c>
      <c r="DG184" t="e">
        <v>#N/A</v>
      </c>
      <c r="DH184" t="e">
        <v>#N/A</v>
      </c>
    </row>
    <row r="185" spans="32:112">
      <c r="AF185">
        <v>175</v>
      </c>
      <c r="AG185" s="401">
        <f>'Lab test'!N178</f>
        <v>161.92500000000001</v>
      </c>
      <c r="AH185" s="401">
        <f>'Lab test'!M178</f>
        <v>7.619999999999999E-2</v>
      </c>
      <c r="AI185">
        <f>IF('Lab test'!O178&gt;0,'Lab test'!O178,NA())</f>
        <v>226.48333333333233</v>
      </c>
      <c r="AJ185">
        <f>'Lab test'!Q178</f>
        <v>2125.0000000000005</v>
      </c>
      <c r="AK185" s="401">
        <f>IF('Lab test'!V178&gt;0,'Lab test'!V178,NA())</f>
        <v>220632.23338138757</v>
      </c>
      <c r="AL185" s="7" t="e">
        <f>IF(MAX('Lab test'!W178,'Lab test'!X178)&gt;0,MAX('Lab test'!W178,'Lab test'!X178),NA())</f>
        <v>#N/A</v>
      </c>
      <c r="AM185" s="401">
        <f>IF('Lab test'!P178&gt;0,'Lab test'!P178,NA())</f>
        <v>3.0341907172021051E-2</v>
      </c>
      <c r="AN185" s="401" t="e">
        <f>IF('Lab test'!AU178&gt;0,'Lab test'!AU178,NA())</f>
        <v>#N/A</v>
      </c>
      <c r="AO185" s="401">
        <f>IF('Lab test'!AT178&gt;0,'Lab test'!AT178,NA())</f>
        <v>0.22572326583598407</v>
      </c>
      <c r="AP185" t="e">
        <f t="shared" si="82"/>
        <v>#N/A</v>
      </c>
      <c r="AQ185" s="401">
        <f>'Lab test'!AZ178</f>
        <v>1939</v>
      </c>
      <c r="AR185" t="str">
        <f>'Lab test'!AC178</f>
        <v>LTWb</v>
      </c>
      <c r="AS185" t="str">
        <f>'Lab test'!T178</f>
        <v>Steel</v>
      </c>
      <c r="AX185" t="e">
        <f t="shared" si="67"/>
        <v>#N/A</v>
      </c>
      <c r="AY185" t="e">
        <f t="shared" si="86"/>
        <v>#N/A</v>
      </c>
      <c r="AZ185" t="e">
        <f t="shared" si="83"/>
        <v>#N/A</v>
      </c>
      <c r="BA185" t="e">
        <f t="shared" si="83"/>
        <v>#N/A</v>
      </c>
      <c r="BB185" t="e">
        <f t="shared" si="83"/>
        <v>#N/A</v>
      </c>
      <c r="BC185" t="e">
        <f t="shared" si="83"/>
        <v>#N/A</v>
      </c>
      <c r="BD185" t="e">
        <f t="shared" si="83"/>
        <v>#N/A</v>
      </c>
      <c r="BG185" t="e">
        <f t="shared" si="68"/>
        <v>#N/A</v>
      </c>
      <c r="BH185" t="e">
        <f t="shared" si="87"/>
        <v>#N/A</v>
      </c>
      <c r="BI185" t="e">
        <f t="shared" si="84"/>
        <v>#N/A</v>
      </c>
      <c r="BJ185" t="e">
        <f t="shared" si="84"/>
        <v>#N/A</v>
      </c>
      <c r="BK185" t="e">
        <f t="shared" si="84"/>
        <v>#N/A</v>
      </c>
      <c r="BL185" t="e">
        <f t="shared" si="84"/>
        <v>#N/A</v>
      </c>
      <c r="BM185" t="e">
        <f t="shared" si="84"/>
        <v>#N/A</v>
      </c>
      <c r="BP185" t="e">
        <f t="shared" si="69"/>
        <v>#N/A</v>
      </c>
      <c r="BQ185" t="e">
        <f t="shared" si="88"/>
        <v>#N/A</v>
      </c>
      <c r="BR185" t="e">
        <f t="shared" si="85"/>
        <v>#N/A</v>
      </c>
      <c r="BS185" t="e">
        <f t="shared" si="85"/>
        <v>#N/A</v>
      </c>
      <c r="BT185" t="e">
        <f t="shared" si="85"/>
        <v>#N/A</v>
      </c>
      <c r="BU185" t="e">
        <f t="shared" si="85"/>
        <v>#N/A</v>
      </c>
      <c r="BV185" t="e">
        <f t="shared" si="85"/>
        <v>#N/A</v>
      </c>
      <c r="BY185" t="e">
        <f t="shared" si="70"/>
        <v>#N/A</v>
      </c>
      <c r="BZ185" t="e">
        <v>#N/A</v>
      </c>
      <c r="CA185" t="e" cm="1">
        <f t="array" ref="CA185">IF(ISNUMBER(BZ185),AF185/COUNT(IF(ISNUMBER(_xlfn.ANCHORARRAY($BZ$11)),_xlfn.ANCHORARRAY($BZ$11))),NA())</f>
        <v>#N/A</v>
      </c>
      <c r="CB185" t="e">
        <f t="shared" si="71"/>
        <v>#N/A</v>
      </c>
      <c r="CD185" t="e">
        <f t="shared" si="72"/>
        <v>#N/A</v>
      </c>
      <c r="CE185" t="e">
        <f t="shared" si="73"/>
        <v>#N/A</v>
      </c>
      <c r="CG185" t="e">
        <v>#N/A</v>
      </c>
      <c r="CH185" t="e">
        <v>#N/A</v>
      </c>
      <c r="CL185" t="e">
        <f t="shared" si="74"/>
        <v>#N/A</v>
      </c>
      <c r="CM185" t="e">
        <v>#N/A</v>
      </c>
      <c r="CN185" t="e" cm="1">
        <f t="array" ref="CN185">IF(ISNUMBER(CM185),AF185/COUNT(IF(ISNUMBER(_xlfn.ANCHORARRAY($CM$11)),_xlfn.ANCHORARRAY($CM$11))),NA())</f>
        <v>#N/A</v>
      </c>
      <c r="CO185" t="e">
        <f t="shared" si="75"/>
        <v>#N/A</v>
      </c>
      <c r="CQ185" t="e">
        <f t="shared" si="76"/>
        <v>#N/A</v>
      </c>
      <c r="CR185" t="e">
        <f t="shared" si="77"/>
        <v>#N/A</v>
      </c>
      <c r="CT185" t="e">
        <v>#N/A</v>
      </c>
      <c r="CU185" t="e">
        <v>#N/A</v>
      </c>
      <c r="CY185" t="e">
        <f t="shared" si="78"/>
        <v>#N/A</v>
      </c>
      <c r="CZ185" t="e">
        <v>#N/A</v>
      </c>
      <c r="DA185" t="e" cm="1">
        <f t="array" ref="DA185">IF(ISNUMBER(CZ185),AF185/COUNT(IF(ISNUMBER(_xlfn.ANCHORARRAY($CZ$11)),_xlfn.ANCHORARRAY($CZ$11))),NA())</f>
        <v>#N/A</v>
      </c>
      <c r="DB185" t="e">
        <f t="shared" si="79"/>
        <v>#N/A</v>
      </c>
      <c r="DD185" t="e">
        <f t="shared" si="80"/>
        <v>#N/A</v>
      </c>
      <c r="DE185" t="e">
        <f t="shared" si="81"/>
        <v>#N/A</v>
      </c>
      <c r="DG185" t="e">
        <v>#N/A</v>
      </c>
      <c r="DH185" t="e">
        <v>#N/A</v>
      </c>
    </row>
    <row r="186" spans="32:112">
      <c r="AF186">
        <v>176</v>
      </c>
      <c r="AG186" s="401">
        <f>'Lab test'!N179</f>
        <v>161.92500000000001</v>
      </c>
      <c r="AH186" s="401">
        <f>'Lab test'!M179</f>
        <v>7.619999999999999E-2</v>
      </c>
      <c r="AI186">
        <f>IF('Lab test'!O179&gt;0,'Lab test'!O179,NA())</f>
        <v>227.54166666666595</v>
      </c>
      <c r="AJ186">
        <f>'Lab test'!Q179</f>
        <v>2125.0000000000005</v>
      </c>
      <c r="AK186" s="401">
        <f>IF('Lab test'!V179&gt;0,'Lab test'!V179,NA())</f>
        <v>220632.23338138757</v>
      </c>
      <c r="AL186" s="7" t="e">
        <f>IF(MAX('Lab test'!W179,'Lab test'!X179)&gt;0,MAX('Lab test'!W179,'Lab test'!X179),NA())</f>
        <v>#N/A</v>
      </c>
      <c r="AM186" s="401">
        <f>IF('Lab test'!P179&gt;0,'Lab test'!P179,NA())</f>
        <v>3.0483691784974457E-2</v>
      </c>
      <c r="AN186" s="401" t="e">
        <f>IF('Lab test'!AU179&gt;0,'Lab test'!AU179,NA())</f>
        <v>#N/A</v>
      </c>
      <c r="AO186" s="401">
        <f>IF('Lab test'!AT179&gt;0,'Lab test'!AT179,NA())</f>
        <v>0.19322737104026258</v>
      </c>
      <c r="AP186" t="e">
        <f t="shared" si="82"/>
        <v>#N/A</v>
      </c>
      <c r="AQ186" s="401">
        <f>'Lab test'!AZ179</f>
        <v>1939</v>
      </c>
      <c r="AR186" t="str">
        <f>'Lab test'!AC179</f>
        <v>LTWb</v>
      </c>
      <c r="AS186" t="str">
        <f>'Lab test'!T179</f>
        <v>Steel</v>
      </c>
      <c r="AX186" t="e">
        <f t="shared" si="67"/>
        <v>#N/A</v>
      </c>
      <c r="AY186" t="e">
        <f t="shared" si="86"/>
        <v>#N/A</v>
      </c>
      <c r="AZ186" t="e">
        <f t="shared" si="83"/>
        <v>#N/A</v>
      </c>
      <c r="BA186" t="e">
        <f t="shared" si="83"/>
        <v>#N/A</v>
      </c>
      <c r="BB186" t="e">
        <f t="shared" si="83"/>
        <v>#N/A</v>
      </c>
      <c r="BC186" t="e">
        <f t="shared" si="83"/>
        <v>#N/A</v>
      </c>
      <c r="BD186" t="e">
        <f t="shared" si="83"/>
        <v>#N/A</v>
      </c>
      <c r="BG186" t="e">
        <f t="shared" si="68"/>
        <v>#N/A</v>
      </c>
      <c r="BH186" t="e">
        <f t="shared" si="87"/>
        <v>#N/A</v>
      </c>
      <c r="BI186" t="e">
        <f t="shared" si="84"/>
        <v>#N/A</v>
      </c>
      <c r="BJ186" t="e">
        <f t="shared" si="84"/>
        <v>#N/A</v>
      </c>
      <c r="BK186" t="e">
        <f t="shared" si="84"/>
        <v>#N/A</v>
      </c>
      <c r="BL186" t="e">
        <f t="shared" si="84"/>
        <v>#N/A</v>
      </c>
      <c r="BM186" t="e">
        <f t="shared" si="84"/>
        <v>#N/A</v>
      </c>
      <c r="BP186" t="e">
        <f t="shared" si="69"/>
        <v>#N/A</v>
      </c>
      <c r="BQ186" t="e">
        <f t="shared" si="88"/>
        <v>#N/A</v>
      </c>
      <c r="BR186" t="e">
        <f t="shared" si="85"/>
        <v>#N/A</v>
      </c>
      <c r="BS186" t="e">
        <f t="shared" si="85"/>
        <v>#N/A</v>
      </c>
      <c r="BT186" t="e">
        <f t="shared" si="85"/>
        <v>#N/A</v>
      </c>
      <c r="BU186" t="e">
        <f t="shared" si="85"/>
        <v>#N/A</v>
      </c>
      <c r="BV186" t="e">
        <f t="shared" si="85"/>
        <v>#N/A</v>
      </c>
      <c r="BY186" t="e">
        <f t="shared" si="70"/>
        <v>#N/A</v>
      </c>
      <c r="BZ186" t="e">
        <v>#N/A</v>
      </c>
      <c r="CA186" t="e" cm="1">
        <f t="array" ref="CA186">IF(ISNUMBER(BZ186),AF186/COUNT(IF(ISNUMBER(_xlfn.ANCHORARRAY($BZ$11)),_xlfn.ANCHORARRAY($BZ$11))),NA())</f>
        <v>#N/A</v>
      </c>
      <c r="CB186" t="e">
        <f t="shared" si="71"/>
        <v>#N/A</v>
      </c>
      <c r="CD186" t="e">
        <f t="shared" si="72"/>
        <v>#N/A</v>
      </c>
      <c r="CE186" t="e">
        <f t="shared" si="73"/>
        <v>#N/A</v>
      </c>
      <c r="CG186" t="e">
        <v>#N/A</v>
      </c>
      <c r="CH186" t="e">
        <v>#N/A</v>
      </c>
      <c r="CL186" t="e">
        <f t="shared" si="74"/>
        <v>#N/A</v>
      </c>
      <c r="CM186" t="e">
        <v>#N/A</v>
      </c>
      <c r="CN186" t="e" cm="1">
        <f t="array" ref="CN186">IF(ISNUMBER(CM186),AF186/COUNT(IF(ISNUMBER(_xlfn.ANCHORARRAY($CM$11)),_xlfn.ANCHORARRAY($CM$11))),NA())</f>
        <v>#N/A</v>
      </c>
      <c r="CO186" t="e">
        <f t="shared" si="75"/>
        <v>#N/A</v>
      </c>
      <c r="CQ186" t="e">
        <f t="shared" si="76"/>
        <v>#N/A</v>
      </c>
      <c r="CR186" t="e">
        <f t="shared" si="77"/>
        <v>#N/A</v>
      </c>
      <c r="CT186" t="e">
        <v>#N/A</v>
      </c>
      <c r="CU186" t="e">
        <v>#N/A</v>
      </c>
      <c r="CY186" t="e">
        <f t="shared" si="78"/>
        <v>#N/A</v>
      </c>
      <c r="CZ186" t="e">
        <v>#N/A</v>
      </c>
      <c r="DA186" t="e" cm="1">
        <f t="array" ref="DA186">IF(ISNUMBER(CZ186),AF186/COUNT(IF(ISNUMBER(_xlfn.ANCHORARRAY($CZ$11)),_xlfn.ANCHORARRAY($CZ$11))),NA())</f>
        <v>#N/A</v>
      </c>
      <c r="DB186" t="e">
        <f t="shared" si="79"/>
        <v>#N/A</v>
      </c>
      <c r="DD186" t="e">
        <f t="shared" si="80"/>
        <v>#N/A</v>
      </c>
      <c r="DE186" t="e">
        <f t="shared" si="81"/>
        <v>#N/A</v>
      </c>
      <c r="DG186" t="e">
        <v>#N/A</v>
      </c>
      <c r="DH186" t="e">
        <v>#N/A</v>
      </c>
    </row>
    <row r="187" spans="32:112">
      <c r="AF187">
        <v>177</v>
      </c>
      <c r="AG187" s="401">
        <f>'Lab test'!N180</f>
        <v>161.92500000000001</v>
      </c>
      <c r="AH187" s="401">
        <f>'Lab test'!M180</f>
        <v>7.619999999999999E-2</v>
      </c>
      <c r="AI187">
        <f>IF('Lab test'!O180&gt;0,'Lab test'!O180,NA())</f>
        <v>227.54166666666595</v>
      </c>
      <c r="AJ187">
        <f>'Lab test'!Q180</f>
        <v>2125.0000000000005</v>
      </c>
      <c r="AK187" s="401">
        <f>IF('Lab test'!V180&gt;0,'Lab test'!V180,NA())</f>
        <v>220632.23338138757</v>
      </c>
      <c r="AL187" s="7" t="e">
        <f>IF(MAX('Lab test'!W180,'Lab test'!X180)&gt;0,MAX('Lab test'!W180,'Lab test'!X180),NA())</f>
        <v>#N/A</v>
      </c>
      <c r="AM187" s="401">
        <f>IF('Lab test'!P180&gt;0,'Lab test'!P180,NA())</f>
        <v>3.0483691784974457E-2</v>
      </c>
      <c r="AN187" s="401" t="e">
        <f>IF('Lab test'!AU180&gt;0,'Lab test'!AU180,NA())</f>
        <v>#N/A</v>
      </c>
      <c r="AO187" s="401">
        <f>IF('Lab test'!AT180&gt;0,'Lab test'!AT180,NA())</f>
        <v>0.18548272435530894</v>
      </c>
      <c r="AP187" t="e">
        <f t="shared" si="82"/>
        <v>#N/A</v>
      </c>
      <c r="AQ187" s="401">
        <f>'Lab test'!AZ180</f>
        <v>1939</v>
      </c>
      <c r="AR187" t="str">
        <f>'Lab test'!AC180</f>
        <v>LTWb</v>
      </c>
      <c r="AS187" t="str">
        <f>'Lab test'!T180</f>
        <v>Steel</v>
      </c>
      <c r="AX187" t="e">
        <f t="shared" si="67"/>
        <v>#N/A</v>
      </c>
      <c r="AY187" t="e">
        <f t="shared" si="86"/>
        <v>#N/A</v>
      </c>
      <c r="AZ187" t="e">
        <f t="shared" si="83"/>
        <v>#N/A</v>
      </c>
      <c r="BA187" t="e">
        <f t="shared" si="83"/>
        <v>#N/A</v>
      </c>
      <c r="BB187" t="e">
        <f t="shared" si="83"/>
        <v>#N/A</v>
      </c>
      <c r="BC187" t="e">
        <f t="shared" si="83"/>
        <v>#N/A</v>
      </c>
      <c r="BD187" t="e">
        <f t="shared" si="83"/>
        <v>#N/A</v>
      </c>
      <c r="BG187" t="e">
        <f t="shared" si="68"/>
        <v>#N/A</v>
      </c>
      <c r="BH187" t="e">
        <f t="shared" si="87"/>
        <v>#N/A</v>
      </c>
      <c r="BI187" t="e">
        <f t="shared" si="84"/>
        <v>#N/A</v>
      </c>
      <c r="BJ187" t="e">
        <f t="shared" si="84"/>
        <v>#N/A</v>
      </c>
      <c r="BK187" t="e">
        <f t="shared" si="84"/>
        <v>#N/A</v>
      </c>
      <c r="BL187" t="e">
        <f t="shared" si="84"/>
        <v>#N/A</v>
      </c>
      <c r="BM187" t="e">
        <f t="shared" si="84"/>
        <v>#N/A</v>
      </c>
      <c r="BP187" t="e">
        <f t="shared" si="69"/>
        <v>#N/A</v>
      </c>
      <c r="BQ187" t="e">
        <f t="shared" si="88"/>
        <v>#N/A</v>
      </c>
      <c r="BR187" t="e">
        <f t="shared" si="85"/>
        <v>#N/A</v>
      </c>
      <c r="BS187" t="e">
        <f t="shared" si="85"/>
        <v>#N/A</v>
      </c>
      <c r="BT187" t="e">
        <f t="shared" si="85"/>
        <v>#N/A</v>
      </c>
      <c r="BU187" t="e">
        <f t="shared" si="85"/>
        <v>#N/A</v>
      </c>
      <c r="BV187" t="e">
        <f t="shared" si="85"/>
        <v>#N/A</v>
      </c>
      <c r="BY187" t="e">
        <f t="shared" si="70"/>
        <v>#N/A</v>
      </c>
      <c r="BZ187" t="e">
        <v>#N/A</v>
      </c>
      <c r="CA187" t="e" cm="1">
        <f t="array" ref="CA187">IF(ISNUMBER(BZ187),AF187/COUNT(IF(ISNUMBER(_xlfn.ANCHORARRAY($BZ$11)),_xlfn.ANCHORARRAY($BZ$11))),NA())</f>
        <v>#N/A</v>
      </c>
      <c r="CB187" t="e">
        <f t="shared" si="71"/>
        <v>#N/A</v>
      </c>
      <c r="CD187" t="e">
        <f t="shared" si="72"/>
        <v>#N/A</v>
      </c>
      <c r="CE187" t="e">
        <f t="shared" si="73"/>
        <v>#N/A</v>
      </c>
      <c r="CG187" t="e">
        <v>#N/A</v>
      </c>
      <c r="CH187" t="e">
        <v>#N/A</v>
      </c>
      <c r="CL187" t="e">
        <f t="shared" si="74"/>
        <v>#N/A</v>
      </c>
      <c r="CM187" t="e">
        <v>#N/A</v>
      </c>
      <c r="CN187" t="e" cm="1">
        <f t="array" ref="CN187">IF(ISNUMBER(CM187),AF187/COUNT(IF(ISNUMBER(_xlfn.ANCHORARRAY($CM$11)),_xlfn.ANCHORARRAY($CM$11))),NA())</f>
        <v>#N/A</v>
      </c>
      <c r="CO187" t="e">
        <f t="shared" si="75"/>
        <v>#N/A</v>
      </c>
      <c r="CQ187" t="e">
        <f t="shared" si="76"/>
        <v>#N/A</v>
      </c>
      <c r="CR187" t="e">
        <f t="shared" si="77"/>
        <v>#N/A</v>
      </c>
      <c r="CT187" t="e">
        <v>#N/A</v>
      </c>
      <c r="CU187" t="e">
        <v>#N/A</v>
      </c>
      <c r="CY187" t="e">
        <f t="shared" si="78"/>
        <v>#N/A</v>
      </c>
      <c r="CZ187" t="e">
        <v>#N/A</v>
      </c>
      <c r="DA187" t="e" cm="1">
        <f t="array" ref="DA187">IF(ISNUMBER(CZ187),AF187/COUNT(IF(ISNUMBER(_xlfn.ANCHORARRAY($CZ$11)),_xlfn.ANCHORARRAY($CZ$11))),NA())</f>
        <v>#N/A</v>
      </c>
      <c r="DB187" t="e">
        <f t="shared" si="79"/>
        <v>#N/A</v>
      </c>
      <c r="DD187" t="e">
        <f t="shared" si="80"/>
        <v>#N/A</v>
      </c>
      <c r="DE187" t="e">
        <f t="shared" si="81"/>
        <v>#N/A</v>
      </c>
      <c r="DG187" t="e">
        <v>#N/A</v>
      </c>
      <c r="DH187" t="e">
        <v>#N/A</v>
      </c>
    </row>
    <row r="188" spans="32:112">
      <c r="AF188">
        <v>178</v>
      </c>
      <c r="AG188" s="401">
        <f>'Lab test'!N181</f>
        <v>161.92500000000001</v>
      </c>
      <c r="AH188" s="401">
        <f>'Lab test'!M181</f>
        <v>7.619999999999999E-2</v>
      </c>
      <c r="AI188">
        <f>IF('Lab test'!O181&gt;0,'Lab test'!O181,NA())</f>
        <v>177.79999999999927</v>
      </c>
      <c r="AJ188">
        <f>'Lab test'!Q181</f>
        <v>2125.0000000000005</v>
      </c>
      <c r="AK188" s="401">
        <f>IF('Lab test'!V181&gt;0,'Lab test'!V181,NA())</f>
        <v>220632.23338138757</v>
      </c>
      <c r="AL188" s="7" t="e">
        <f>IF(MAX('Lab test'!W181,'Lab test'!X181)&gt;0,MAX('Lab test'!W181,'Lab test'!X181),NA())</f>
        <v>#N/A</v>
      </c>
      <c r="AM188" s="401">
        <f>IF('Lab test'!P181&gt;0,'Lab test'!P181,NA())</f>
        <v>2.3819814976166066E-2</v>
      </c>
      <c r="AN188" s="401" t="e">
        <f>IF('Lab test'!AU181&gt;0,'Lab test'!AU181,NA())</f>
        <v>#N/A</v>
      </c>
      <c r="AO188" s="401">
        <f>IF('Lab test'!AT181&gt;0,'Lab test'!AT181,NA())</f>
        <v>0.18700641382567429</v>
      </c>
      <c r="AP188" t="e">
        <f t="shared" si="82"/>
        <v>#N/A</v>
      </c>
      <c r="AQ188" s="401">
        <f>'Lab test'!AZ181</f>
        <v>1939</v>
      </c>
      <c r="AR188" t="str">
        <f>'Lab test'!AC181</f>
        <v>LTWb</v>
      </c>
      <c r="AS188" t="str">
        <f>'Lab test'!T181</f>
        <v>Steel</v>
      </c>
      <c r="AX188" t="e">
        <f t="shared" si="67"/>
        <v>#N/A</v>
      </c>
      <c r="AY188" t="e">
        <f t="shared" si="86"/>
        <v>#N/A</v>
      </c>
      <c r="AZ188" t="e">
        <f t="shared" si="83"/>
        <v>#N/A</v>
      </c>
      <c r="BA188" t="e">
        <f t="shared" si="83"/>
        <v>#N/A</v>
      </c>
      <c r="BB188" t="e">
        <f t="shared" si="83"/>
        <v>#N/A</v>
      </c>
      <c r="BC188" t="e">
        <f t="shared" si="83"/>
        <v>#N/A</v>
      </c>
      <c r="BD188" t="e">
        <f t="shared" si="83"/>
        <v>#N/A</v>
      </c>
      <c r="BG188" t="e">
        <f t="shared" si="68"/>
        <v>#N/A</v>
      </c>
      <c r="BH188" t="e">
        <f t="shared" si="87"/>
        <v>#N/A</v>
      </c>
      <c r="BI188" t="e">
        <f t="shared" si="84"/>
        <v>#N/A</v>
      </c>
      <c r="BJ188" t="e">
        <f t="shared" si="84"/>
        <v>#N/A</v>
      </c>
      <c r="BK188" t="e">
        <f t="shared" si="84"/>
        <v>#N/A</v>
      </c>
      <c r="BL188" t="e">
        <f t="shared" si="84"/>
        <v>#N/A</v>
      </c>
      <c r="BM188" t="e">
        <f t="shared" si="84"/>
        <v>#N/A</v>
      </c>
      <c r="BP188" t="e">
        <f t="shared" si="69"/>
        <v>#N/A</v>
      </c>
      <c r="BQ188" t="e">
        <f t="shared" si="88"/>
        <v>#N/A</v>
      </c>
      <c r="BR188" t="e">
        <f t="shared" si="85"/>
        <v>#N/A</v>
      </c>
      <c r="BS188" t="e">
        <f t="shared" si="85"/>
        <v>#N/A</v>
      </c>
      <c r="BT188" t="e">
        <f t="shared" si="85"/>
        <v>#N/A</v>
      </c>
      <c r="BU188" t="e">
        <f t="shared" si="85"/>
        <v>#N/A</v>
      </c>
      <c r="BV188" t="e">
        <f t="shared" si="85"/>
        <v>#N/A</v>
      </c>
      <c r="BY188" t="e">
        <f t="shared" si="70"/>
        <v>#N/A</v>
      </c>
      <c r="BZ188" t="e">
        <v>#N/A</v>
      </c>
      <c r="CA188" t="e" cm="1">
        <f t="array" ref="CA188">IF(ISNUMBER(BZ188),AF188/COUNT(IF(ISNUMBER(_xlfn.ANCHORARRAY($BZ$11)),_xlfn.ANCHORARRAY($BZ$11))),NA())</f>
        <v>#N/A</v>
      </c>
      <c r="CB188" t="e">
        <f t="shared" si="71"/>
        <v>#N/A</v>
      </c>
      <c r="CD188" t="e">
        <f t="shared" si="72"/>
        <v>#N/A</v>
      </c>
      <c r="CE188" t="e">
        <f t="shared" si="73"/>
        <v>#N/A</v>
      </c>
      <c r="CG188" t="e">
        <v>#N/A</v>
      </c>
      <c r="CH188" t="e">
        <v>#N/A</v>
      </c>
      <c r="CL188" t="e">
        <f t="shared" si="74"/>
        <v>#N/A</v>
      </c>
      <c r="CM188" t="e">
        <v>#N/A</v>
      </c>
      <c r="CN188" t="e" cm="1">
        <f t="array" ref="CN188">IF(ISNUMBER(CM188),AF188/COUNT(IF(ISNUMBER(_xlfn.ANCHORARRAY($CM$11)),_xlfn.ANCHORARRAY($CM$11))),NA())</f>
        <v>#N/A</v>
      </c>
      <c r="CO188" t="e">
        <f t="shared" si="75"/>
        <v>#N/A</v>
      </c>
      <c r="CQ188" t="e">
        <f t="shared" si="76"/>
        <v>#N/A</v>
      </c>
      <c r="CR188" t="e">
        <f t="shared" si="77"/>
        <v>#N/A</v>
      </c>
      <c r="CT188" t="e">
        <v>#N/A</v>
      </c>
      <c r="CU188" t="e">
        <v>#N/A</v>
      </c>
      <c r="CY188" t="e">
        <f t="shared" si="78"/>
        <v>#N/A</v>
      </c>
      <c r="CZ188" t="e">
        <v>#N/A</v>
      </c>
      <c r="DA188" t="e" cm="1">
        <f t="array" ref="DA188">IF(ISNUMBER(CZ188),AF188/COUNT(IF(ISNUMBER(_xlfn.ANCHORARRAY($CZ$11)),_xlfn.ANCHORARRAY($CZ$11))),NA())</f>
        <v>#N/A</v>
      </c>
      <c r="DB188" t="e">
        <f t="shared" si="79"/>
        <v>#N/A</v>
      </c>
      <c r="DD188" t="e">
        <f t="shared" si="80"/>
        <v>#N/A</v>
      </c>
      <c r="DE188" t="e">
        <f t="shared" si="81"/>
        <v>#N/A</v>
      </c>
      <c r="DG188" t="e">
        <v>#N/A</v>
      </c>
      <c r="DH188" t="e">
        <v>#N/A</v>
      </c>
    </row>
    <row r="189" spans="32:112">
      <c r="AF189">
        <v>179</v>
      </c>
      <c r="AG189" s="401">
        <f>'Lab test'!N182</f>
        <v>161.92500000000001</v>
      </c>
      <c r="AH189" s="401">
        <f>'Lab test'!M182</f>
        <v>7.619999999999999E-2</v>
      </c>
      <c r="AI189">
        <f>IF('Lab test'!O182&gt;0,'Lab test'!O182,NA())</f>
        <v>177.79999999999927</v>
      </c>
      <c r="AJ189">
        <f>'Lab test'!Q182</f>
        <v>2125.0000000000005</v>
      </c>
      <c r="AK189" s="401">
        <f>IF('Lab test'!V182&gt;0,'Lab test'!V182,NA())</f>
        <v>220632.23338138757</v>
      </c>
      <c r="AL189" s="7" t="e">
        <f>IF(MAX('Lab test'!W182,'Lab test'!X182)&gt;0,MAX('Lab test'!W182,'Lab test'!X182),NA())</f>
        <v>#N/A</v>
      </c>
      <c r="AM189" s="401">
        <f>IF('Lab test'!P182&gt;0,'Lab test'!P182,NA())</f>
        <v>2.3819814976166066E-2</v>
      </c>
      <c r="AN189" s="401" t="e">
        <f>IF('Lab test'!AU182&gt;0,'Lab test'!AU182,NA())</f>
        <v>#N/A</v>
      </c>
      <c r="AO189" s="401">
        <f>IF('Lab test'!AT182&gt;0,'Lab test'!AT182,NA())</f>
        <v>0.18247248837939781</v>
      </c>
      <c r="AP189" t="e">
        <f t="shared" si="82"/>
        <v>#N/A</v>
      </c>
      <c r="AQ189" s="401">
        <f>'Lab test'!AZ182</f>
        <v>1939</v>
      </c>
      <c r="AR189" t="str">
        <f>'Lab test'!AC182</f>
        <v>LTWb</v>
      </c>
      <c r="AS189" t="str">
        <f>'Lab test'!T182</f>
        <v>Steel</v>
      </c>
      <c r="AX189" t="e">
        <f t="shared" si="67"/>
        <v>#N/A</v>
      </c>
      <c r="AY189" t="e">
        <f t="shared" si="86"/>
        <v>#N/A</v>
      </c>
      <c r="AZ189" t="e">
        <f t="shared" si="83"/>
        <v>#N/A</v>
      </c>
      <c r="BA189" t="e">
        <f t="shared" si="83"/>
        <v>#N/A</v>
      </c>
      <c r="BB189" t="e">
        <f t="shared" si="83"/>
        <v>#N/A</v>
      </c>
      <c r="BC189" t="e">
        <f t="shared" si="83"/>
        <v>#N/A</v>
      </c>
      <c r="BD189" t="e">
        <f t="shared" si="83"/>
        <v>#N/A</v>
      </c>
      <c r="BG189" t="e">
        <f t="shared" si="68"/>
        <v>#N/A</v>
      </c>
      <c r="BH189" t="e">
        <f t="shared" si="87"/>
        <v>#N/A</v>
      </c>
      <c r="BI189" t="e">
        <f t="shared" si="84"/>
        <v>#N/A</v>
      </c>
      <c r="BJ189" t="e">
        <f t="shared" si="84"/>
        <v>#N/A</v>
      </c>
      <c r="BK189" t="e">
        <f t="shared" si="84"/>
        <v>#N/A</v>
      </c>
      <c r="BL189" t="e">
        <f t="shared" si="84"/>
        <v>#N/A</v>
      </c>
      <c r="BM189" t="e">
        <f t="shared" si="84"/>
        <v>#N/A</v>
      </c>
      <c r="BP189" t="e">
        <f t="shared" si="69"/>
        <v>#N/A</v>
      </c>
      <c r="BQ189" t="e">
        <f t="shared" si="88"/>
        <v>#N/A</v>
      </c>
      <c r="BR189" t="e">
        <f t="shared" si="85"/>
        <v>#N/A</v>
      </c>
      <c r="BS189" t="e">
        <f t="shared" si="85"/>
        <v>#N/A</v>
      </c>
      <c r="BT189" t="e">
        <f t="shared" si="85"/>
        <v>#N/A</v>
      </c>
      <c r="BU189" t="e">
        <f t="shared" si="85"/>
        <v>#N/A</v>
      </c>
      <c r="BV189" t="e">
        <f t="shared" si="85"/>
        <v>#N/A</v>
      </c>
      <c r="BY189" t="e">
        <f t="shared" si="70"/>
        <v>#N/A</v>
      </c>
      <c r="BZ189" t="e">
        <v>#N/A</v>
      </c>
      <c r="CA189" t="e" cm="1">
        <f t="array" ref="CA189">IF(ISNUMBER(BZ189),AF189/COUNT(IF(ISNUMBER(_xlfn.ANCHORARRAY($BZ$11)),_xlfn.ANCHORARRAY($BZ$11))),NA())</f>
        <v>#N/A</v>
      </c>
      <c r="CB189" t="e">
        <f t="shared" si="71"/>
        <v>#N/A</v>
      </c>
      <c r="CD189" t="e">
        <f t="shared" si="72"/>
        <v>#N/A</v>
      </c>
      <c r="CE189" t="e">
        <f t="shared" si="73"/>
        <v>#N/A</v>
      </c>
      <c r="CG189" t="e">
        <v>#N/A</v>
      </c>
      <c r="CH189" t="e">
        <v>#N/A</v>
      </c>
      <c r="CL189" t="e">
        <f t="shared" si="74"/>
        <v>#N/A</v>
      </c>
      <c r="CM189" t="e">
        <v>#N/A</v>
      </c>
      <c r="CN189" t="e" cm="1">
        <f t="array" ref="CN189">IF(ISNUMBER(CM189),AF189/COUNT(IF(ISNUMBER(_xlfn.ANCHORARRAY($CM$11)),_xlfn.ANCHORARRAY($CM$11))),NA())</f>
        <v>#N/A</v>
      </c>
      <c r="CO189" t="e">
        <f t="shared" si="75"/>
        <v>#N/A</v>
      </c>
      <c r="CQ189" t="e">
        <f t="shared" si="76"/>
        <v>#N/A</v>
      </c>
      <c r="CR189" t="e">
        <f t="shared" si="77"/>
        <v>#N/A</v>
      </c>
      <c r="CT189" t="e">
        <v>#N/A</v>
      </c>
      <c r="CU189" t="e">
        <v>#N/A</v>
      </c>
      <c r="CY189" t="e">
        <f t="shared" si="78"/>
        <v>#N/A</v>
      </c>
      <c r="CZ189" t="e">
        <v>#N/A</v>
      </c>
      <c r="DA189" t="e" cm="1">
        <f t="array" ref="DA189">IF(ISNUMBER(CZ189),AF189/COUNT(IF(ISNUMBER(_xlfn.ANCHORARRAY($CZ$11)),_xlfn.ANCHORARRAY($CZ$11))),NA())</f>
        <v>#N/A</v>
      </c>
      <c r="DB189" t="e">
        <f t="shared" si="79"/>
        <v>#N/A</v>
      </c>
      <c r="DD189" t="e">
        <f t="shared" si="80"/>
        <v>#N/A</v>
      </c>
      <c r="DE189" t="e">
        <f t="shared" si="81"/>
        <v>#N/A</v>
      </c>
      <c r="DG189" t="e">
        <v>#N/A</v>
      </c>
      <c r="DH189" t="e">
        <v>#N/A</v>
      </c>
    </row>
    <row r="190" spans="32:112">
      <c r="AF190">
        <v>180</v>
      </c>
      <c r="AG190" s="401">
        <f>'Lab test'!N183</f>
        <v>161.92500000000001</v>
      </c>
      <c r="AH190" s="401">
        <f>'Lab test'!M183</f>
        <v>7.619999999999999E-2</v>
      </c>
      <c r="AI190">
        <f>IF('Lab test'!O183&gt;0,'Lab test'!O183,NA())</f>
        <v>129.6458333333332</v>
      </c>
      <c r="AJ190">
        <f>'Lab test'!Q183</f>
        <v>2125.0000000000005</v>
      </c>
      <c r="AK190" s="401">
        <f>IF('Lab test'!V183&gt;0,'Lab test'!V183,NA())</f>
        <v>220632.23338138757</v>
      </c>
      <c r="AL190" s="7" t="e">
        <f>IF(MAX('Lab test'!W183,'Lab test'!X183)&gt;0,MAX('Lab test'!W183,'Lab test'!X183),NA())</f>
        <v>#N/A</v>
      </c>
      <c r="AM190" s="401">
        <f>IF('Lab test'!P183&gt;0,'Lab test'!P183,NA())</f>
        <v>1.736861508678781E-2</v>
      </c>
      <c r="AN190" s="401" t="e">
        <f>IF('Lab test'!AU183&gt;0,'Lab test'!AU183,NA())</f>
        <v>#N/A</v>
      </c>
      <c r="AO190" s="401">
        <f>IF('Lab test'!AT183&gt;0,'Lab test'!AT183,NA())</f>
        <v>0.18854261998518254</v>
      </c>
      <c r="AP190" t="e">
        <f t="shared" si="82"/>
        <v>#N/A</v>
      </c>
      <c r="AQ190" s="401">
        <f>'Lab test'!AZ183</f>
        <v>1939</v>
      </c>
      <c r="AR190" t="str">
        <f>'Lab test'!AC183</f>
        <v>LTWb</v>
      </c>
      <c r="AS190" t="str">
        <f>'Lab test'!T183</f>
        <v>Steel</v>
      </c>
      <c r="AX190" t="e">
        <f t="shared" si="67"/>
        <v>#N/A</v>
      </c>
      <c r="AY190" t="e">
        <f t="shared" si="86"/>
        <v>#N/A</v>
      </c>
      <c r="AZ190" t="e">
        <f t="shared" si="83"/>
        <v>#N/A</v>
      </c>
      <c r="BA190" t="e">
        <f t="shared" si="83"/>
        <v>#N/A</v>
      </c>
      <c r="BB190" t="e">
        <f t="shared" si="83"/>
        <v>#N/A</v>
      </c>
      <c r="BC190" t="e">
        <f t="shared" si="83"/>
        <v>#N/A</v>
      </c>
      <c r="BD190" t="e">
        <f t="shared" si="83"/>
        <v>#N/A</v>
      </c>
      <c r="BG190" t="e">
        <f t="shared" si="68"/>
        <v>#N/A</v>
      </c>
      <c r="BH190" t="e">
        <f t="shared" si="87"/>
        <v>#N/A</v>
      </c>
      <c r="BI190" t="e">
        <f t="shared" si="84"/>
        <v>#N/A</v>
      </c>
      <c r="BJ190" t="e">
        <f t="shared" si="84"/>
        <v>#N/A</v>
      </c>
      <c r="BK190" t="e">
        <f t="shared" si="84"/>
        <v>#N/A</v>
      </c>
      <c r="BL190" t="e">
        <f t="shared" si="84"/>
        <v>#N/A</v>
      </c>
      <c r="BM190" t="e">
        <f t="shared" si="84"/>
        <v>#N/A</v>
      </c>
      <c r="BP190" t="e">
        <f t="shared" si="69"/>
        <v>#N/A</v>
      </c>
      <c r="BQ190" t="e">
        <f t="shared" si="88"/>
        <v>#N/A</v>
      </c>
      <c r="BR190" t="e">
        <f t="shared" si="85"/>
        <v>#N/A</v>
      </c>
      <c r="BS190" t="e">
        <f t="shared" si="85"/>
        <v>#N/A</v>
      </c>
      <c r="BT190" t="e">
        <f t="shared" si="85"/>
        <v>#N/A</v>
      </c>
      <c r="BU190" t="e">
        <f t="shared" si="85"/>
        <v>#N/A</v>
      </c>
      <c r="BV190" t="e">
        <f t="shared" si="85"/>
        <v>#N/A</v>
      </c>
      <c r="BY190" t="e">
        <f t="shared" si="70"/>
        <v>#N/A</v>
      </c>
      <c r="BZ190" t="e">
        <v>#N/A</v>
      </c>
      <c r="CA190" t="e" cm="1">
        <f t="array" ref="CA190">IF(ISNUMBER(BZ190),AF190/COUNT(IF(ISNUMBER(_xlfn.ANCHORARRAY($BZ$11)),_xlfn.ANCHORARRAY($BZ$11))),NA())</f>
        <v>#N/A</v>
      </c>
      <c r="CB190" t="e">
        <f t="shared" si="71"/>
        <v>#N/A</v>
      </c>
      <c r="CD190" t="e">
        <f t="shared" si="72"/>
        <v>#N/A</v>
      </c>
      <c r="CE190" t="e">
        <f t="shared" si="73"/>
        <v>#N/A</v>
      </c>
      <c r="CG190" t="e">
        <v>#N/A</v>
      </c>
      <c r="CH190" t="e">
        <v>#N/A</v>
      </c>
      <c r="CL190" t="e">
        <f t="shared" si="74"/>
        <v>#N/A</v>
      </c>
      <c r="CM190" t="e">
        <v>#N/A</v>
      </c>
      <c r="CN190" t="e" cm="1">
        <f t="array" ref="CN190">IF(ISNUMBER(CM190),AF190/COUNT(IF(ISNUMBER(_xlfn.ANCHORARRAY($CM$11)),_xlfn.ANCHORARRAY($CM$11))),NA())</f>
        <v>#N/A</v>
      </c>
      <c r="CO190" t="e">
        <f t="shared" si="75"/>
        <v>#N/A</v>
      </c>
      <c r="CQ190" t="e">
        <f t="shared" si="76"/>
        <v>#N/A</v>
      </c>
      <c r="CR190" t="e">
        <f t="shared" si="77"/>
        <v>#N/A</v>
      </c>
      <c r="CT190" t="e">
        <v>#N/A</v>
      </c>
      <c r="CU190" t="e">
        <v>#N/A</v>
      </c>
      <c r="CY190" t="e">
        <f t="shared" si="78"/>
        <v>#N/A</v>
      </c>
      <c r="CZ190" t="e">
        <v>#N/A</v>
      </c>
      <c r="DA190" t="e" cm="1">
        <f t="array" ref="DA190">IF(ISNUMBER(CZ190),AF190/COUNT(IF(ISNUMBER(_xlfn.ANCHORARRAY($CZ$11)),_xlfn.ANCHORARRAY($CZ$11))),NA())</f>
        <v>#N/A</v>
      </c>
      <c r="DB190" t="e">
        <f t="shared" si="79"/>
        <v>#N/A</v>
      </c>
      <c r="DD190" t="e">
        <f t="shared" si="80"/>
        <v>#N/A</v>
      </c>
      <c r="DE190" t="e">
        <f t="shared" si="81"/>
        <v>#N/A</v>
      </c>
      <c r="DG190" t="e">
        <v>#N/A</v>
      </c>
      <c r="DH190" t="e">
        <v>#N/A</v>
      </c>
    </row>
    <row r="191" spans="32:112">
      <c r="AF191">
        <v>181</v>
      </c>
      <c r="AG191" s="401">
        <f>'Lab test'!N184</f>
        <v>161.92500000000001</v>
      </c>
      <c r="AH191" s="401">
        <f>'Lab test'!M184</f>
        <v>7.619999999999999E-2</v>
      </c>
      <c r="AI191">
        <f>IF('Lab test'!O184&gt;0,'Lab test'!O184,NA())</f>
        <v>76.729166666666544</v>
      </c>
      <c r="AJ191">
        <f>'Lab test'!Q184</f>
        <v>2125.0000000000005</v>
      </c>
      <c r="AK191" s="401">
        <f>IF('Lab test'!V184&gt;0,'Lab test'!V184,NA())</f>
        <v>220632.23338138757</v>
      </c>
      <c r="AL191" s="7" t="e">
        <f>IF(MAX('Lab test'!W184,'Lab test'!X184)&gt;0,MAX('Lab test'!W184,'Lab test'!X184),NA())</f>
        <v>#N/A</v>
      </c>
      <c r="AM191" s="401">
        <f>IF('Lab test'!P184&gt;0,'Lab test'!P184,NA())</f>
        <v>1.0279384439119309E-2</v>
      </c>
      <c r="AN191" s="401" t="e">
        <f>IF('Lab test'!AU184&gt;0,'Lab test'!AU184,NA())</f>
        <v>#N/A</v>
      </c>
      <c r="AO191" s="401">
        <f>IF('Lab test'!AT184&gt;0,'Lab test'!AT184,NA())</f>
        <v>0.26368413783907368</v>
      </c>
      <c r="AP191" t="e">
        <f t="shared" si="82"/>
        <v>#N/A</v>
      </c>
      <c r="AQ191" s="401">
        <f>'Lab test'!AZ184</f>
        <v>1939</v>
      </c>
      <c r="AR191" t="str">
        <f>'Lab test'!AC184</f>
        <v>LTWb</v>
      </c>
      <c r="AS191" t="str">
        <f>'Lab test'!T184</f>
        <v>Steel</v>
      </c>
      <c r="AX191" t="e">
        <f t="shared" si="67"/>
        <v>#N/A</v>
      </c>
      <c r="AY191" t="e">
        <f t="shared" si="86"/>
        <v>#N/A</v>
      </c>
      <c r="AZ191" t="e">
        <f t="shared" si="83"/>
        <v>#N/A</v>
      </c>
      <c r="BA191" t="e">
        <f t="shared" si="83"/>
        <v>#N/A</v>
      </c>
      <c r="BB191" t="e">
        <f t="shared" si="83"/>
        <v>#N/A</v>
      </c>
      <c r="BC191" t="e">
        <f t="shared" si="83"/>
        <v>#N/A</v>
      </c>
      <c r="BD191" t="e">
        <f t="shared" si="83"/>
        <v>#N/A</v>
      </c>
      <c r="BG191" t="e">
        <f t="shared" si="68"/>
        <v>#N/A</v>
      </c>
      <c r="BH191" t="e">
        <f t="shared" si="87"/>
        <v>#N/A</v>
      </c>
      <c r="BI191" t="e">
        <f t="shared" si="84"/>
        <v>#N/A</v>
      </c>
      <c r="BJ191" t="e">
        <f t="shared" si="84"/>
        <v>#N/A</v>
      </c>
      <c r="BK191" t="e">
        <f t="shared" si="84"/>
        <v>#N/A</v>
      </c>
      <c r="BL191" t="e">
        <f t="shared" si="84"/>
        <v>#N/A</v>
      </c>
      <c r="BM191" t="e">
        <f t="shared" si="84"/>
        <v>#N/A</v>
      </c>
      <c r="BP191" t="e">
        <f t="shared" si="69"/>
        <v>#N/A</v>
      </c>
      <c r="BQ191" t="e">
        <f t="shared" si="88"/>
        <v>#N/A</v>
      </c>
      <c r="BR191" t="e">
        <f t="shared" si="85"/>
        <v>#N/A</v>
      </c>
      <c r="BS191" t="e">
        <f t="shared" si="85"/>
        <v>#N/A</v>
      </c>
      <c r="BT191" t="e">
        <f t="shared" si="85"/>
        <v>#N/A</v>
      </c>
      <c r="BU191" t="e">
        <f t="shared" si="85"/>
        <v>#N/A</v>
      </c>
      <c r="BV191" t="e">
        <f t="shared" si="85"/>
        <v>#N/A</v>
      </c>
      <c r="BY191" t="e">
        <f t="shared" si="70"/>
        <v>#N/A</v>
      </c>
      <c r="BZ191" t="e">
        <v>#N/A</v>
      </c>
      <c r="CA191" t="e" cm="1">
        <f t="array" ref="CA191">IF(ISNUMBER(BZ191),AF191/COUNT(IF(ISNUMBER(_xlfn.ANCHORARRAY($BZ$11)),_xlfn.ANCHORARRAY($BZ$11))),NA())</f>
        <v>#N/A</v>
      </c>
      <c r="CB191" t="e">
        <f t="shared" si="71"/>
        <v>#N/A</v>
      </c>
      <c r="CD191" t="e">
        <f t="shared" si="72"/>
        <v>#N/A</v>
      </c>
      <c r="CE191" t="e">
        <f t="shared" si="73"/>
        <v>#N/A</v>
      </c>
      <c r="CG191" t="e">
        <v>#N/A</v>
      </c>
      <c r="CH191" t="e">
        <v>#N/A</v>
      </c>
      <c r="CL191" t="e">
        <f t="shared" si="74"/>
        <v>#N/A</v>
      </c>
      <c r="CM191" t="e">
        <v>#N/A</v>
      </c>
      <c r="CN191" t="e" cm="1">
        <f t="array" ref="CN191">IF(ISNUMBER(CM191),AF191/COUNT(IF(ISNUMBER(_xlfn.ANCHORARRAY($CM$11)),_xlfn.ANCHORARRAY($CM$11))),NA())</f>
        <v>#N/A</v>
      </c>
      <c r="CO191" t="e">
        <f t="shared" si="75"/>
        <v>#N/A</v>
      </c>
      <c r="CQ191" t="e">
        <f t="shared" si="76"/>
        <v>#N/A</v>
      </c>
      <c r="CR191" t="e">
        <f t="shared" si="77"/>
        <v>#N/A</v>
      </c>
      <c r="CT191" t="e">
        <v>#N/A</v>
      </c>
      <c r="CU191" t="e">
        <v>#N/A</v>
      </c>
      <c r="CY191" t="e">
        <f t="shared" si="78"/>
        <v>#N/A</v>
      </c>
      <c r="CZ191" t="e">
        <v>#N/A</v>
      </c>
      <c r="DA191" t="e" cm="1">
        <f t="array" ref="DA191">IF(ISNUMBER(CZ191),AF191/COUNT(IF(ISNUMBER(_xlfn.ANCHORARRAY($CZ$11)),_xlfn.ANCHORARRAY($CZ$11))),NA())</f>
        <v>#N/A</v>
      </c>
      <c r="DB191" t="e">
        <f t="shared" si="79"/>
        <v>#N/A</v>
      </c>
      <c r="DD191" t="e">
        <f t="shared" si="80"/>
        <v>#N/A</v>
      </c>
      <c r="DE191" t="e">
        <f t="shared" si="81"/>
        <v>#N/A</v>
      </c>
      <c r="DG191" t="e">
        <v>#N/A</v>
      </c>
      <c r="DH191" t="e">
        <v>#N/A</v>
      </c>
    </row>
    <row r="192" spans="32:112">
      <c r="AF192">
        <v>182</v>
      </c>
      <c r="AG192" s="401">
        <f>'Lab test'!N185</f>
        <v>161.92500000000001</v>
      </c>
      <c r="AH192" s="401">
        <f>'Lab test'!M185</f>
        <v>7.619999999999999E-2</v>
      </c>
      <c r="AI192">
        <f>IF('Lab test'!O185&gt;0,'Lab test'!O185,NA())</f>
        <v>76.199999999999903</v>
      </c>
      <c r="AJ192">
        <f>'Lab test'!Q185</f>
        <v>2125.0000000000005</v>
      </c>
      <c r="AK192" s="401">
        <f>IF('Lab test'!V185&gt;0,'Lab test'!V185,NA())</f>
        <v>220632.23338138757</v>
      </c>
      <c r="AL192" s="7" t="e">
        <f>IF(MAX('Lab test'!W185,'Lab test'!X185)&gt;0,MAX('Lab test'!W185,'Lab test'!X185),NA())</f>
        <v>#N/A</v>
      </c>
      <c r="AM192" s="401">
        <f>IF('Lab test'!P185&gt;0,'Lab test'!P185,NA())</f>
        <v>1.0208492132642629E-2</v>
      </c>
      <c r="AN192" s="401" t="e">
        <f>IF('Lab test'!AU185&gt;0,'Lab test'!AU185,NA())</f>
        <v>#N/A</v>
      </c>
      <c r="AO192" s="401">
        <f>IF('Lab test'!AT185&gt;0,'Lab test'!AT185,NA())</f>
        <v>0.25519482428669626</v>
      </c>
      <c r="AP192" t="e">
        <f t="shared" si="82"/>
        <v>#N/A</v>
      </c>
      <c r="AQ192" s="401">
        <f>'Lab test'!AZ185</f>
        <v>1939</v>
      </c>
      <c r="AR192" t="str">
        <f>'Lab test'!AC185</f>
        <v>LTWb</v>
      </c>
      <c r="AS192" t="str">
        <f>'Lab test'!T185</f>
        <v>Steel</v>
      </c>
      <c r="AX192" t="e">
        <f t="shared" si="67"/>
        <v>#N/A</v>
      </c>
      <c r="AY192" t="e">
        <f t="shared" si="86"/>
        <v>#N/A</v>
      </c>
      <c r="AZ192" t="e">
        <f t="shared" si="83"/>
        <v>#N/A</v>
      </c>
      <c r="BA192" t="e">
        <f t="shared" si="83"/>
        <v>#N/A</v>
      </c>
      <c r="BB192" t="e">
        <f t="shared" si="83"/>
        <v>#N/A</v>
      </c>
      <c r="BC192" t="e">
        <f t="shared" si="83"/>
        <v>#N/A</v>
      </c>
      <c r="BD192" t="e">
        <f t="shared" si="83"/>
        <v>#N/A</v>
      </c>
      <c r="BG192" t="e">
        <f t="shared" si="68"/>
        <v>#N/A</v>
      </c>
      <c r="BH192" t="e">
        <f t="shared" si="87"/>
        <v>#N/A</v>
      </c>
      <c r="BI192" t="e">
        <f t="shared" si="84"/>
        <v>#N/A</v>
      </c>
      <c r="BJ192" t="e">
        <f t="shared" si="84"/>
        <v>#N/A</v>
      </c>
      <c r="BK192" t="e">
        <f t="shared" si="84"/>
        <v>#N/A</v>
      </c>
      <c r="BL192" t="e">
        <f t="shared" si="84"/>
        <v>#N/A</v>
      </c>
      <c r="BM192" t="e">
        <f t="shared" si="84"/>
        <v>#N/A</v>
      </c>
      <c r="BP192" t="e">
        <f t="shared" si="69"/>
        <v>#N/A</v>
      </c>
      <c r="BQ192" t="e">
        <f t="shared" si="88"/>
        <v>#N/A</v>
      </c>
      <c r="BR192" t="e">
        <f t="shared" si="85"/>
        <v>#N/A</v>
      </c>
      <c r="BS192" t="e">
        <f t="shared" si="85"/>
        <v>#N/A</v>
      </c>
      <c r="BT192" t="e">
        <f t="shared" si="85"/>
        <v>#N/A</v>
      </c>
      <c r="BU192" t="e">
        <f t="shared" si="85"/>
        <v>#N/A</v>
      </c>
      <c r="BV192" t="e">
        <f t="shared" si="85"/>
        <v>#N/A</v>
      </c>
      <c r="BY192" t="e">
        <f t="shared" si="70"/>
        <v>#N/A</v>
      </c>
      <c r="BZ192" t="e">
        <v>#N/A</v>
      </c>
      <c r="CA192" t="e" cm="1">
        <f t="array" ref="CA192">IF(ISNUMBER(BZ192),AF192/COUNT(IF(ISNUMBER(_xlfn.ANCHORARRAY($BZ$11)),_xlfn.ANCHORARRAY($BZ$11))),NA())</f>
        <v>#N/A</v>
      </c>
      <c r="CB192" t="e">
        <f t="shared" si="71"/>
        <v>#N/A</v>
      </c>
      <c r="CD192" t="e">
        <f t="shared" si="72"/>
        <v>#N/A</v>
      </c>
      <c r="CE192" t="e">
        <f t="shared" si="73"/>
        <v>#N/A</v>
      </c>
      <c r="CG192" t="e">
        <v>#N/A</v>
      </c>
      <c r="CH192" t="e">
        <v>#N/A</v>
      </c>
      <c r="CL192" t="e">
        <f t="shared" si="74"/>
        <v>#N/A</v>
      </c>
      <c r="CM192" t="e">
        <v>#N/A</v>
      </c>
      <c r="CN192" t="e" cm="1">
        <f t="array" ref="CN192">IF(ISNUMBER(CM192),AF192/COUNT(IF(ISNUMBER(_xlfn.ANCHORARRAY($CM$11)),_xlfn.ANCHORARRAY($CM$11))),NA())</f>
        <v>#N/A</v>
      </c>
      <c r="CO192" t="e">
        <f t="shared" si="75"/>
        <v>#N/A</v>
      </c>
      <c r="CQ192" t="e">
        <f t="shared" si="76"/>
        <v>#N/A</v>
      </c>
      <c r="CR192" t="e">
        <f t="shared" si="77"/>
        <v>#N/A</v>
      </c>
      <c r="CT192" t="e">
        <v>#N/A</v>
      </c>
      <c r="CU192" t="e">
        <v>#N/A</v>
      </c>
      <c r="CY192" t="e">
        <f t="shared" si="78"/>
        <v>#N/A</v>
      </c>
      <c r="CZ192" t="e">
        <v>#N/A</v>
      </c>
      <c r="DA192" t="e" cm="1">
        <f t="array" ref="DA192">IF(ISNUMBER(CZ192),AF192/COUNT(IF(ISNUMBER(_xlfn.ANCHORARRAY($CZ$11)),_xlfn.ANCHORARRAY($CZ$11))),NA())</f>
        <v>#N/A</v>
      </c>
      <c r="DB192" t="e">
        <f t="shared" si="79"/>
        <v>#N/A</v>
      </c>
      <c r="DD192" t="e">
        <f t="shared" si="80"/>
        <v>#N/A</v>
      </c>
      <c r="DE192" t="e">
        <f t="shared" si="81"/>
        <v>#N/A</v>
      </c>
      <c r="DG192" t="e">
        <v>#N/A</v>
      </c>
      <c r="DH192" t="e">
        <v>#N/A</v>
      </c>
    </row>
    <row r="193" spans="32:112">
      <c r="AF193">
        <v>183</v>
      </c>
      <c r="AG193" s="401">
        <f>'Lab test'!N186</f>
        <v>161.92500000000001</v>
      </c>
      <c r="AH193" s="401">
        <f>'Lab test'!M186</f>
        <v>7.619999999999999E-2</v>
      </c>
      <c r="AI193">
        <f>IF('Lab test'!O186&gt;0,'Lab test'!O186,NA())</f>
        <v>39.158333333333317</v>
      </c>
      <c r="AJ193">
        <f>'Lab test'!Q186</f>
        <v>2125.0000000000005</v>
      </c>
      <c r="AK193" s="401">
        <f>IF('Lab test'!V186&gt;0,'Lab test'!V186,NA())</f>
        <v>220632.23338138757</v>
      </c>
      <c r="AL193" s="7" t="e">
        <f>IF(MAX('Lab test'!W186,'Lab test'!X186)&gt;0,MAX('Lab test'!W186,'Lab test'!X186),NA())</f>
        <v>#N/A</v>
      </c>
      <c r="AM193" s="401">
        <f>IF('Lab test'!P186&gt;0,'Lab test'!P186,NA())</f>
        <v>5.2460306792746891E-3</v>
      </c>
      <c r="AN193" s="401" t="e">
        <f>IF('Lab test'!AU186&gt;0,'Lab test'!AU186,NA())</f>
        <v>#N/A</v>
      </c>
      <c r="AO193" s="401">
        <f>IF('Lab test'!AT186&gt;0,'Lab test'!AT186,NA())</f>
        <v>0.38104004151776222</v>
      </c>
      <c r="AP193" t="e">
        <f t="shared" si="82"/>
        <v>#N/A</v>
      </c>
      <c r="AQ193" s="401">
        <f>'Lab test'!AZ186</f>
        <v>1939</v>
      </c>
      <c r="AR193" t="str">
        <f>'Lab test'!AC186</f>
        <v>LTWb</v>
      </c>
      <c r="AS193" t="str">
        <f>'Lab test'!T186</f>
        <v>Steel</v>
      </c>
      <c r="AX193" t="e">
        <f t="shared" si="67"/>
        <v>#N/A</v>
      </c>
      <c r="AY193" t="e">
        <f t="shared" si="86"/>
        <v>#N/A</v>
      </c>
      <c r="AZ193" t="e">
        <f t="shared" si="83"/>
        <v>#N/A</v>
      </c>
      <c r="BA193" t="e">
        <f t="shared" si="83"/>
        <v>#N/A</v>
      </c>
      <c r="BB193" t="e">
        <f t="shared" si="83"/>
        <v>#N/A</v>
      </c>
      <c r="BC193" t="e">
        <f t="shared" si="83"/>
        <v>#N/A</v>
      </c>
      <c r="BD193" t="e">
        <f t="shared" si="83"/>
        <v>#N/A</v>
      </c>
      <c r="BG193" t="e">
        <f t="shared" si="68"/>
        <v>#N/A</v>
      </c>
      <c r="BH193" t="e">
        <f t="shared" si="87"/>
        <v>#N/A</v>
      </c>
      <c r="BI193" t="e">
        <f t="shared" si="84"/>
        <v>#N/A</v>
      </c>
      <c r="BJ193" t="e">
        <f t="shared" si="84"/>
        <v>#N/A</v>
      </c>
      <c r="BK193" t="e">
        <f t="shared" si="84"/>
        <v>#N/A</v>
      </c>
      <c r="BL193" t="e">
        <f t="shared" si="84"/>
        <v>#N/A</v>
      </c>
      <c r="BM193" t="e">
        <f t="shared" si="84"/>
        <v>#N/A</v>
      </c>
      <c r="BP193" t="e">
        <f t="shared" si="69"/>
        <v>#N/A</v>
      </c>
      <c r="BQ193" t="e">
        <f t="shared" si="88"/>
        <v>#N/A</v>
      </c>
      <c r="BR193" t="e">
        <f t="shared" si="85"/>
        <v>#N/A</v>
      </c>
      <c r="BS193" t="e">
        <f t="shared" si="85"/>
        <v>#N/A</v>
      </c>
      <c r="BT193" t="e">
        <f t="shared" si="85"/>
        <v>#N/A</v>
      </c>
      <c r="BU193" t="e">
        <f t="shared" si="85"/>
        <v>#N/A</v>
      </c>
      <c r="BV193" t="e">
        <f t="shared" si="85"/>
        <v>#N/A</v>
      </c>
      <c r="BY193" t="e">
        <f t="shared" si="70"/>
        <v>#N/A</v>
      </c>
      <c r="BZ193" t="e">
        <v>#N/A</v>
      </c>
      <c r="CA193" t="e" cm="1">
        <f t="array" ref="CA193">IF(ISNUMBER(BZ193),AF193/COUNT(IF(ISNUMBER(_xlfn.ANCHORARRAY($BZ$11)),_xlfn.ANCHORARRAY($BZ$11))),NA())</f>
        <v>#N/A</v>
      </c>
      <c r="CB193" t="e">
        <f t="shared" si="71"/>
        <v>#N/A</v>
      </c>
      <c r="CD193" t="e">
        <f t="shared" si="72"/>
        <v>#N/A</v>
      </c>
      <c r="CE193" t="e">
        <f t="shared" si="73"/>
        <v>#N/A</v>
      </c>
      <c r="CG193" t="e">
        <v>#N/A</v>
      </c>
      <c r="CH193" t="e">
        <v>#N/A</v>
      </c>
      <c r="CL193" t="e">
        <f t="shared" si="74"/>
        <v>#N/A</v>
      </c>
      <c r="CM193" t="e">
        <v>#N/A</v>
      </c>
      <c r="CN193" t="e" cm="1">
        <f t="array" ref="CN193">IF(ISNUMBER(CM193),AF193/COUNT(IF(ISNUMBER(_xlfn.ANCHORARRAY($CM$11)),_xlfn.ANCHORARRAY($CM$11))),NA())</f>
        <v>#N/A</v>
      </c>
      <c r="CO193" t="e">
        <f t="shared" si="75"/>
        <v>#N/A</v>
      </c>
      <c r="CQ193" t="e">
        <f t="shared" si="76"/>
        <v>#N/A</v>
      </c>
      <c r="CR193" t="e">
        <f t="shared" si="77"/>
        <v>#N/A</v>
      </c>
      <c r="CT193" t="e">
        <v>#N/A</v>
      </c>
      <c r="CU193" t="e">
        <v>#N/A</v>
      </c>
      <c r="CY193" t="e">
        <f t="shared" si="78"/>
        <v>#N/A</v>
      </c>
      <c r="CZ193" t="e">
        <v>#N/A</v>
      </c>
      <c r="DA193" t="e" cm="1">
        <f t="array" ref="DA193">IF(ISNUMBER(CZ193),AF193/COUNT(IF(ISNUMBER(_xlfn.ANCHORARRAY($CZ$11)),_xlfn.ANCHORARRAY($CZ$11))),NA())</f>
        <v>#N/A</v>
      </c>
      <c r="DB193" t="e">
        <f t="shared" si="79"/>
        <v>#N/A</v>
      </c>
      <c r="DD193" t="e">
        <f t="shared" si="80"/>
        <v>#N/A</v>
      </c>
      <c r="DE193" t="e">
        <f t="shared" si="81"/>
        <v>#N/A</v>
      </c>
      <c r="DG193" t="e">
        <v>#N/A</v>
      </c>
      <c r="DH193" t="e">
        <v>#N/A</v>
      </c>
    </row>
    <row r="194" spans="32:112">
      <c r="AF194">
        <v>184</v>
      </c>
      <c r="AG194" s="401">
        <f>'Lab test'!N187</f>
        <v>161.92500000000001</v>
      </c>
      <c r="AH194" s="401">
        <f>'Lab test'!M187</f>
        <v>7.619999999999999E-2</v>
      </c>
      <c r="AI194">
        <f>IF('Lab test'!O187&gt;0,'Lab test'!O187,NA())</f>
        <v>38.629166666666507</v>
      </c>
      <c r="AJ194">
        <f>'Lab test'!Q187</f>
        <v>2125.0000000000005</v>
      </c>
      <c r="AK194" s="401">
        <f>IF('Lab test'!V187&gt;0,'Lab test'!V187,NA())</f>
        <v>220632.23338138757</v>
      </c>
      <c r="AL194" s="7" t="e">
        <f>IF(MAX('Lab test'!W187,'Lab test'!X187)&gt;0,MAX('Lab test'!W187,'Lab test'!X187),NA())</f>
        <v>#N/A</v>
      </c>
      <c r="AM194" s="401">
        <f>IF('Lab test'!P187&gt;0,'Lab test'!P187,NA())</f>
        <v>5.1751383727979845E-3</v>
      </c>
      <c r="AN194" s="401" t="e">
        <f>IF('Lab test'!AU187&gt;0,'Lab test'!AU187,NA())</f>
        <v>#N/A</v>
      </c>
      <c r="AO194" s="401">
        <f>IF('Lab test'!AT187&gt;0,'Lab test'!AT187,NA())</f>
        <v>0.33156524979597468</v>
      </c>
      <c r="AP194" t="e">
        <f t="shared" si="82"/>
        <v>#N/A</v>
      </c>
      <c r="AQ194" s="401">
        <f>'Lab test'!AZ187</f>
        <v>1939</v>
      </c>
      <c r="AR194" t="str">
        <f>'Lab test'!AC187</f>
        <v>LTWb</v>
      </c>
      <c r="AS194" t="str">
        <f>'Lab test'!T187</f>
        <v>Steel</v>
      </c>
      <c r="AX194" t="e">
        <f t="shared" si="67"/>
        <v>#N/A</v>
      </c>
      <c r="AY194" t="e">
        <f t="shared" si="86"/>
        <v>#N/A</v>
      </c>
      <c r="AZ194" t="e">
        <f t="shared" si="83"/>
        <v>#N/A</v>
      </c>
      <c r="BA194" t="e">
        <f t="shared" si="83"/>
        <v>#N/A</v>
      </c>
      <c r="BB194" t="e">
        <f t="shared" si="83"/>
        <v>#N/A</v>
      </c>
      <c r="BC194" t="e">
        <f t="shared" si="83"/>
        <v>#N/A</v>
      </c>
      <c r="BD194" t="e">
        <f t="shared" si="83"/>
        <v>#N/A</v>
      </c>
      <c r="BG194" t="e">
        <f t="shared" si="68"/>
        <v>#N/A</v>
      </c>
      <c r="BH194" t="e">
        <f t="shared" si="87"/>
        <v>#N/A</v>
      </c>
      <c r="BI194" t="e">
        <f t="shared" si="84"/>
        <v>#N/A</v>
      </c>
      <c r="BJ194" t="e">
        <f t="shared" si="84"/>
        <v>#N/A</v>
      </c>
      <c r="BK194" t="e">
        <f t="shared" si="84"/>
        <v>#N/A</v>
      </c>
      <c r="BL194" t="e">
        <f t="shared" si="84"/>
        <v>#N/A</v>
      </c>
      <c r="BM194" t="e">
        <f t="shared" si="84"/>
        <v>#N/A</v>
      </c>
      <c r="BP194" t="e">
        <f t="shared" si="69"/>
        <v>#N/A</v>
      </c>
      <c r="BQ194" t="e">
        <f t="shared" si="88"/>
        <v>#N/A</v>
      </c>
      <c r="BR194" t="e">
        <f t="shared" si="85"/>
        <v>#N/A</v>
      </c>
      <c r="BS194" t="e">
        <f t="shared" si="85"/>
        <v>#N/A</v>
      </c>
      <c r="BT194" t="e">
        <f t="shared" si="85"/>
        <v>#N/A</v>
      </c>
      <c r="BU194" t="e">
        <f t="shared" si="85"/>
        <v>#N/A</v>
      </c>
      <c r="BV194" t="e">
        <f t="shared" si="85"/>
        <v>#N/A</v>
      </c>
      <c r="BY194" t="e">
        <f t="shared" si="70"/>
        <v>#N/A</v>
      </c>
      <c r="BZ194" t="e">
        <v>#N/A</v>
      </c>
      <c r="CA194" t="e" cm="1">
        <f t="array" ref="CA194">IF(ISNUMBER(BZ194),AF194/COUNT(IF(ISNUMBER(_xlfn.ANCHORARRAY($BZ$11)),_xlfn.ANCHORARRAY($BZ$11))),NA())</f>
        <v>#N/A</v>
      </c>
      <c r="CB194" t="e">
        <f t="shared" si="71"/>
        <v>#N/A</v>
      </c>
      <c r="CD194" t="e">
        <f t="shared" si="72"/>
        <v>#N/A</v>
      </c>
      <c r="CE194" t="e">
        <f t="shared" si="73"/>
        <v>#N/A</v>
      </c>
      <c r="CG194" t="e">
        <v>#N/A</v>
      </c>
      <c r="CH194" t="e">
        <v>#N/A</v>
      </c>
      <c r="CL194" t="e">
        <f t="shared" si="74"/>
        <v>#N/A</v>
      </c>
      <c r="CM194" t="e">
        <v>#N/A</v>
      </c>
      <c r="CN194" t="e" cm="1">
        <f t="array" ref="CN194">IF(ISNUMBER(CM194),AF194/COUNT(IF(ISNUMBER(_xlfn.ANCHORARRAY($CM$11)),_xlfn.ANCHORARRAY($CM$11))),NA())</f>
        <v>#N/A</v>
      </c>
      <c r="CO194" t="e">
        <f t="shared" si="75"/>
        <v>#N/A</v>
      </c>
      <c r="CQ194" t="e">
        <f t="shared" si="76"/>
        <v>#N/A</v>
      </c>
      <c r="CR194" t="e">
        <f t="shared" si="77"/>
        <v>#N/A</v>
      </c>
      <c r="CT194" t="e">
        <v>#N/A</v>
      </c>
      <c r="CU194" t="e">
        <v>#N/A</v>
      </c>
      <c r="CY194" t="e">
        <f t="shared" si="78"/>
        <v>#N/A</v>
      </c>
      <c r="CZ194" t="e">
        <v>#N/A</v>
      </c>
      <c r="DA194" t="e" cm="1">
        <f t="array" ref="DA194">IF(ISNUMBER(CZ194),AF194/COUNT(IF(ISNUMBER(_xlfn.ANCHORARRAY($CZ$11)),_xlfn.ANCHORARRAY($CZ$11))),NA())</f>
        <v>#N/A</v>
      </c>
      <c r="DB194" t="e">
        <f t="shared" si="79"/>
        <v>#N/A</v>
      </c>
      <c r="DD194" t="e">
        <f t="shared" si="80"/>
        <v>#N/A</v>
      </c>
      <c r="DE194" t="e">
        <f t="shared" si="81"/>
        <v>#N/A</v>
      </c>
      <c r="DG194" t="e">
        <v>#N/A</v>
      </c>
      <c r="DH194" t="e">
        <v>#N/A</v>
      </c>
    </row>
    <row r="195" spans="32:112">
      <c r="AF195">
        <v>185</v>
      </c>
      <c r="AG195" s="401">
        <f>'Lab test'!N188</f>
        <v>161.92500000000001</v>
      </c>
      <c r="AH195" s="401">
        <f>'Lab test'!M188</f>
        <v>7.619999999999999E-2</v>
      </c>
      <c r="AI195">
        <f>IF('Lab test'!O188&gt;0,'Lab test'!O188,NA())</f>
        <v>23.812499999999876</v>
      </c>
      <c r="AJ195">
        <f>'Lab test'!Q188</f>
        <v>2125.0000000000005</v>
      </c>
      <c r="AK195" s="401">
        <f>IF('Lab test'!V188&gt;0,'Lab test'!V188,NA())</f>
        <v>220632.23338138757</v>
      </c>
      <c r="AL195" s="7" t="e">
        <f>IF(MAX('Lab test'!W188,'Lab test'!X188)&gt;0,MAX('Lab test'!W188,'Lab test'!X188),NA())</f>
        <v>#N/A</v>
      </c>
      <c r="AM195" s="401">
        <f>IF('Lab test'!P188&gt;0,'Lab test'!P188,NA())</f>
        <v>3.1901537914508088E-3</v>
      </c>
      <c r="AN195" s="401" t="e">
        <f>IF('Lab test'!AU188&gt;0,'Lab test'!AU188,NA())</f>
        <v>#N/A</v>
      </c>
      <c r="AO195" s="401">
        <f>IF('Lab test'!AT188&gt;0,'Lab test'!AT188,NA())</f>
        <v>0.56894380066558803</v>
      </c>
      <c r="AP195" t="e">
        <f t="shared" si="82"/>
        <v>#N/A</v>
      </c>
      <c r="AQ195" s="401">
        <f>'Lab test'!AZ188</f>
        <v>1939</v>
      </c>
      <c r="AR195" t="str">
        <f>'Lab test'!AC188</f>
        <v>LTWb</v>
      </c>
      <c r="AS195" t="str">
        <f>'Lab test'!T188</f>
        <v>Steel</v>
      </c>
      <c r="AX195" t="e">
        <f t="shared" si="67"/>
        <v>#N/A</v>
      </c>
      <c r="AY195" t="e">
        <f t="shared" si="86"/>
        <v>#N/A</v>
      </c>
      <c r="AZ195" t="e">
        <f t="shared" si="83"/>
        <v>#N/A</v>
      </c>
      <c r="BA195" t="e">
        <f t="shared" si="83"/>
        <v>#N/A</v>
      </c>
      <c r="BB195" t="e">
        <f t="shared" si="83"/>
        <v>#N/A</v>
      </c>
      <c r="BC195" t="e">
        <f t="shared" si="83"/>
        <v>#N/A</v>
      </c>
      <c r="BD195" t="e">
        <f t="shared" si="83"/>
        <v>#N/A</v>
      </c>
      <c r="BG195" t="e">
        <f t="shared" si="68"/>
        <v>#N/A</v>
      </c>
      <c r="BH195" t="e">
        <f t="shared" si="87"/>
        <v>#N/A</v>
      </c>
      <c r="BI195" t="e">
        <f t="shared" si="84"/>
        <v>#N/A</v>
      </c>
      <c r="BJ195" t="e">
        <f t="shared" si="84"/>
        <v>#N/A</v>
      </c>
      <c r="BK195" t="e">
        <f t="shared" si="84"/>
        <v>#N/A</v>
      </c>
      <c r="BL195" t="e">
        <f t="shared" si="84"/>
        <v>#N/A</v>
      </c>
      <c r="BM195" t="e">
        <f t="shared" si="84"/>
        <v>#N/A</v>
      </c>
      <c r="BP195" t="e">
        <f t="shared" si="69"/>
        <v>#N/A</v>
      </c>
      <c r="BQ195" t="e">
        <f t="shared" si="88"/>
        <v>#N/A</v>
      </c>
      <c r="BR195" t="e">
        <f t="shared" si="85"/>
        <v>#N/A</v>
      </c>
      <c r="BS195" t="e">
        <f t="shared" si="85"/>
        <v>#N/A</v>
      </c>
      <c r="BT195" t="e">
        <f t="shared" si="85"/>
        <v>#N/A</v>
      </c>
      <c r="BU195" t="e">
        <f t="shared" si="85"/>
        <v>#N/A</v>
      </c>
      <c r="BV195" t="e">
        <f t="shared" si="85"/>
        <v>#N/A</v>
      </c>
      <c r="BY195" t="e">
        <f t="shared" si="70"/>
        <v>#N/A</v>
      </c>
      <c r="BZ195" t="e">
        <v>#N/A</v>
      </c>
      <c r="CA195" t="e" cm="1">
        <f t="array" ref="CA195">IF(ISNUMBER(BZ195),AF195/COUNT(IF(ISNUMBER(_xlfn.ANCHORARRAY($BZ$11)),_xlfn.ANCHORARRAY($BZ$11))),NA())</f>
        <v>#N/A</v>
      </c>
      <c r="CB195" t="e">
        <f t="shared" si="71"/>
        <v>#N/A</v>
      </c>
      <c r="CD195" t="e">
        <f t="shared" si="72"/>
        <v>#N/A</v>
      </c>
      <c r="CE195" t="e">
        <f t="shared" si="73"/>
        <v>#N/A</v>
      </c>
      <c r="CG195" t="e">
        <v>#N/A</v>
      </c>
      <c r="CH195" t="e">
        <v>#N/A</v>
      </c>
      <c r="CL195" t="e">
        <f t="shared" si="74"/>
        <v>#N/A</v>
      </c>
      <c r="CM195" t="e">
        <v>#N/A</v>
      </c>
      <c r="CN195" t="e" cm="1">
        <f t="array" ref="CN195">IF(ISNUMBER(CM195),AF195/COUNT(IF(ISNUMBER(_xlfn.ANCHORARRAY($CM$11)),_xlfn.ANCHORARRAY($CM$11))),NA())</f>
        <v>#N/A</v>
      </c>
      <c r="CO195" t="e">
        <f t="shared" si="75"/>
        <v>#N/A</v>
      </c>
      <c r="CQ195" t="e">
        <f t="shared" si="76"/>
        <v>#N/A</v>
      </c>
      <c r="CR195" t="e">
        <f t="shared" si="77"/>
        <v>#N/A</v>
      </c>
      <c r="CT195" t="e">
        <v>#N/A</v>
      </c>
      <c r="CU195" t="e">
        <v>#N/A</v>
      </c>
      <c r="CY195" t="e">
        <f t="shared" si="78"/>
        <v>#N/A</v>
      </c>
      <c r="CZ195" t="e">
        <v>#N/A</v>
      </c>
      <c r="DA195" t="e" cm="1">
        <f t="array" ref="DA195">IF(ISNUMBER(CZ195),AF195/COUNT(IF(ISNUMBER(_xlfn.ANCHORARRAY($CZ$11)),_xlfn.ANCHORARRAY($CZ$11))),NA())</f>
        <v>#N/A</v>
      </c>
      <c r="DB195" t="e">
        <f t="shared" si="79"/>
        <v>#N/A</v>
      </c>
      <c r="DD195" t="e">
        <f t="shared" si="80"/>
        <v>#N/A</v>
      </c>
      <c r="DE195" t="e">
        <f t="shared" si="81"/>
        <v>#N/A</v>
      </c>
      <c r="DG195" t="e">
        <v>#N/A</v>
      </c>
      <c r="DH195" t="e">
        <v>#N/A</v>
      </c>
    </row>
    <row r="196" spans="32:112">
      <c r="AF196">
        <v>186</v>
      </c>
      <c r="AG196" s="401">
        <f>'Lab test'!N189</f>
        <v>161.92500000000001</v>
      </c>
      <c r="AH196" s="401">
        <f>'Lab test'!M189</f>
        <v>7.619999999999999E-2</v>
      </c>
      <c r="AI196">
        <f>IF('Lab test'!O189&gt;0,'Lab test'!O189,NA())</f>
        <v>25.929166666666607</v>
      </c>
      <c r="AJ196">
        <f>'Lab test'!Q189</f>
        <v>2125.0000000000005</v>
      </c>
      <c r="AK196" s="401">
        <f>IF('Lab test'!V189&gt;0,'Lab test'!V189,NA())</f>
        <v>220632.23338138757</v>
      </c>
      <c r="AL196" s="7" t="e">
        <f>IF(MAX('Lab test'!W189,'Lab test'!X189)&gt;0,MAX('Lab test'!W189,'Lab test'!X189),NA())</f>
        <v>#N/A</v>
      </c>
      <c r="AM196" s="401">
        <f>IF('Lab test'!P189&gt;0,'Lab test'!P189,NA())</f>
        <v>3.4737230173575578E-3</v>
      </c>
      <c r="AN196" s="401" t="e">
        <f>IF('Lab test'!AU189&gt;0,'Lab test'!AU189,NA())</f>
        <v>#N/A</v>
      </c>
      <c r="AO196" s="401">
        <f>IF('Lab test'!AT189&gt;0,'Lab test'!AT189,NA())</f>
        <v>0.48703670162272333</v>
      </c>
      <c r="AP196" t="e">
        <f t="shared" si="82"/>
        <v>#N/A</v>
      </c>
      <c r="AQ196" s="401">
        <f>'Lab test'!AZ189</f>
        <v>1939</v>
      </c>
      <c r="AR196" t="str">
        <f>'Lab test'!AC189</f>
        <v>LTWb</v>
      </c>
      <c r="AS196" t="str">
        <f>'Lab test'!T189</f>
        <v>Steel</v>
      </c>
      <c r="AX196" t="e">
        <f t="shared" si="67"/>
        <v>#N/A</v>
      </c>
      <c r="AY196" t="e">
        <f t="shared" si="86"/>
        <v>#N/A</v>
      </c>
      <c r="AZ196" t="e">
        <f t="shared" si="83"/>
        <v>#N/A</v>
      </c>
      <c r="BA196" t="e">
        <f t="shared" si="83"/>
        <v>#N/A</v>
      </c>
      <c r="BB196" t="e">
        <f t="shared" si="83"/>
        <v>#N/A</v>
      </c>
      <c r="BC196" t="e">
        <f t="shared" si="83"/>
        <v>#N/A</v>
      </c>
      <c r="BD196" t="e">
        <f t="shared" si="83"/>
        <v>#N/A</v>
      </c>
      <c r="BG196" t="e">
        <f t="shared" si="68"/>
        <v>#N/A</v>
      </c>
      <c r="BH196" t="e">
        <f t="shared" si="87"/>
        <v>#N/A</v>
      </c>
      <c r="BI196" t="e">
        <f t="shared" si="84"/>
        <v>#N/A</v>
      </c>
      <c r="BJ196" t="e">
        <f t="shared" si="84"/>
        <v>#N/A</v>
      </c>
      <c r="BK196" t="e">
        <f t="shared" si="84"/>
        <v>#N/A</v>
      </c>
      <c r="BL196" t="e">
        <f t="shared" si="84"/>
        <v>#N/A</v>
      </c>
      <c r="BM196" t="e">
        <f t="shared" si="84"/>
        <v>#N/A</v>
      </c>
      <c r="BP196" t="e">
        <f t="shared" si="69"/>
        <v>#N/A</v>
      </c>
      <c r="BQ196" t="e">
        <f t="shared" si="88"/>
        <v>#N/A</v>
      </c>
      <c r="BR196" t="e">
        <f t="shared" si="85"/>
        <v>#N/A</v>
      </c>
      <c r="BS196" t="e">
        <f t="shared" si="85"/>
        <v>#N/A</v>
      </c>
      <c r="BT196" t="e">
        <f t="shared" si="85"/>
        <v>#N/A</v>
      </c>
      <c r="BU196" t="e">
        <f t="shared" si="85"/>
        <v>#N/A</v>
      </c>
      <c r="BV196" t="e">
        <f t="shared" si="85"/>
        <v>#N/A</v>
      </c>
      <c r="BY196" t="e">
        <f t="shared" si="70"/>
        <v>#N/A</v>
      </c>
      <c r="BZ196" t="e">
        <v>#N/A</v>
      </c>
      <c r="CA196" t="e" cm="1">
        <f t="array" ref="CA196">IF(ISNUMBER(BZ196),AF196/COUNT(IF(ISNUMBER(_xlfn.ANCHORARRAY($BZ$11)),_xlfn.ANCHORARRAY($BZ$11))),NA())</f>
        <v>#N/A</v>
      </c>
      <c r="CB196" t="e">
        <f t="shared" si="71"/>
        <v>#N/A</v>
      </c>
      <c r="CD196" t="e">
        <f t="shared" si="72"/>
        <v>#N/A</v>
      </c>
      <c r="CE196" t="e">
        <f t="shared" si="73"/>
        <v>#N/A</v>
      </c>
      <c r="CG196" t="e">
        <v>#N/A</v>
      </c>
      <c r="CH196" t="e">
        <v>#N/A</v>
      </c>
      <c r="CL196" t="e">
        <f t="shared" si="74"/>
        <v>#N/A</v>
      </c>
      <c r="CM196" t="e">
        <v>#N/A</v>
      </c>
      <c r="CN196" t="e" cm="1">
        <f t="array" ref="CN196">IF(ISNUMBER(CM196),AF196/COUNT(IF(ISNUMBER(_xlfn.ANCHORARRAY($CM$11)),_xlfn.ANCHORARRAY($CM$11))),NA())</f>
        <v>#N/A</v>
      </c>
      <c r="CO196" t="e">
        <f t="shared" si="75"/>
        <v>#N/A</v>
      </c>
      <c r="CQ196" t="e">
        <f t="shared" si="76"/>
        <v>#N/A</v>
      </c>
      <c r="CR196" t="e">
        <f t="shared" si="77"/>
        <v>#N/A</v>
      </c>
      <c r="CT196" t="e">
        <v>#N/A</v>
      </c>
      <c r="CU196" t="e">
        <v>#N/A</v>
      </c>
      <c r="CY196" t="e">
        <f t="shared" si="78"/>
        <v>#N/A</v>
      </c>
      <c r="CZ196" t="e">
        <v>#N/A</v>
      </c>
      <c r="DA196" t="e" cm="1">
        <f t="array" ref="DA196">IF(ISNUMBER(CZ196),AF196/COUNT(IF(ISNUMBER(_xlfn.ANCHORARRAY($CZ$11)),_xlfn.ANCHORARRAY($CZ$11))),NA())</f>
        <v>#N/A</v>
      </c>
      <c r="DB196" t="e">
        <f t="shared" si="79"/>
        <v>#N/A</v>
      </c>
      <c r="DD196" t="e">
        <f t="shared" si="80"/>
        <v>#N/A</v>
      </c>
      <c r="DE196" t="e">
        <f t="shared" si="81"/>
        <v>#N/A</v>
      </c>
      <c r="DG196" t="e">
        <v>#N/A</v>
      </c>
      <c r="DH196" t="e">
        <v>#N/A</v>
      </c>
    </row>
    <row r="197" spans="32:112">
      <c r="AF197">
        <v>187</v>
      </c>
      <c r="AG197" s="401">
        <f>'Lab test'!N190</f>
        <v>161.92500000000001</v>
      </c>
      <c r="AH197" s="401">
        <f>'Lab test'!M190</f>
        <v>7.619999999999999E-2</v>
      </c>
      <c r="AI197">
        <f>IF('Lab test'!O190&gt;0,'Lab test'!O190,NA())</f>
        <v>23.812499999999876</v>
      </c>
      <c r="AJ197">
        <f>'Lab test'!Q190</f>
        <v>2125.0000000000005</v>
      </c>
      <c r="AK197" s="401">
        <f>IF('Lab test'!V190&gt;0,'Lab test'!V190,NA())</f>
        <v>220632.23338138757</v>
      </c>
      <c r="AL197" s="7" t="e">
        <f>IF(MAX('Lab test'!W190,'Lab test'!X190)&gt;0,MAX('Lab test'!W190,'Lab test'!X190),NA())</f>
        <v>#N/A</v>
      </c>
      <c r="AM197" s="401">
        <f>IF('Lab test'!P190&gt;0,'Lab test'!P190,NA())</f>
        <v>3.1901537914508088E-3</v>
      </c>
      <c r="AN197" s="401" t="e">
        <f>IF('Lab test'!AU190&gt;0,'Lab test'!AU190,NA())</f>
        <v>#N/A</v>
      </c>
      <c r="AO197" s="401">
        <f>IF('Lab test'!AT190&gt;0,'Lab test'!AT190,NA())</f>
        <v>0.46370681088827237</v>
      </c>
      <c r="AP197" t="e">
        <f t="shared" si="82"/>
        <v>#N/A</v>
      </c>
      <c r="AQ197" s="401">
        <f>'Lab test'!AZ190</f>
        <v>1939</v>
      </c>
      <c r="AR197" t="str">
        <f>'Lab test'!AC190</f>
        <v>LTWb</v>
      </c>
      <c r="AS197" t="str">
        <f>'Lab test'!T190</f>
        <v>Steel</v>
      </c>
      <c r="AX197" t="e">
        <f t="shared" si="67"/>
        <v>#N/A</v>
      </c>
      <c r="AY197" t="e">
        <f t="shared" si="86"/>
        <v>#N/A</v>
      </c>
      <c r="AZ197" t="e">
        <f t="shared" si="83"/>
        <v>#N/A</v>
      </c>
      <c r="BA197" t="e">
        <f t="shared" si="83"/>
        <v>#N/A</v>
      </c>
      <c r="BB197" t="e">
        <f t="shared" si="83"/>
        <v>#N/A</v>
      </c>
      <c r="BC197" t="e">
        <f t="shared" si="83"/>
        <v>#N/A</v>
      </c>
      <c r="BD197" t="e">
        <f t="shared" si="83"/>
        <v>#N/A</v>
      </c>
      <c r="BG197" t="e">
        <f t="shared" si="68"/>
        <v>#N/A</v>
      </c>
      <c r="BH197" t="e">
        <f t="shared" si="87"/>
        <v>#N/A</v>
      </c>
      <c r="BI197" t="e">
        <f t="shared" si="84"/>
        <v>#N/A</v>
      </c>
      <c r="BJ197" t="e">
        <f t="shared" si="84"/>
        <v>#N/A</v>
      </c>
      <c r="BK197" t="e">
        <f t="shared" si="84"/>
        <v>#N/A</v>
      </c>
      <c r="BL197" t="e">
        <f t="shared" si="84"/>
        <v>#N/A</v>
      </c>
      <c r="BM197" t="e">
        <f t="shared" si="84"/>
        <v>#N/A</v>
      </c>
      <c r="BP197" t="e">
        <f t="shared" si="69"/>
        <v>#N/A</v>
      </c>
      <c r="BQ197" t="e">
        <f t="shared" si="88"/>
        <v>#N/A</v>
      </c>
      <c r="BR197" t="e">
        <f t="shared" si="85"/>
        <v>#N/A</v>
      </c>
      <c r="BS197" t="e">
        <f t="shared" si="85"/>
        <v>#N/A</v>
      </c>
      <c r="BT197" t="e">
        <f t="shared" si="85"/>
        <v>#N/A</v>
      </c>
      <c r="BU197" t="e">
        <f t="shared" si="85"/>
        <v>#N/A</v>
      </c>
      <c r="BV197" t="e">
        <f t="shared" si="85"/>
        <v>#N/A</v>
      </c>
      <c r="BY197" t="e">
        <f t="shared" si="70"/>
        <v>#N/A</v>
      </c>
      <c r="BZ197" t="e">
        <v>#N/A</v>
      </c>
      <c r="CA197" t="e" cm="1">
        <f t="array" ref="CA197">IF(ISNUMBER(BZ197),AF197/COUNT(IF(ISNUMBER(_xlfn.ANCHORARRAY($BZ$11)),_xlfn.ANCHORARRAY($BZ$11))),NA())</f>
        <v>#N/A</v>
      </c>
      <c r="CB197" t="e">
        <f t="shared" si="71"/>
        <v>#N/A</v>
      </c>
      <c r="CD197" t="e">
        <f t="shared" si="72"/>
        <v>#N/A</v>
      </c>
      <c r="CE197" t="e">
        <f t="shared" si="73"/>
        <v>#N/A</v>
      </c>
      <c r="CG197" t="e">
        <v>#N/A</v>
      </c>
      <c r="CH197" t="e">
        <v>#N/A</v>
      </c>
      <c r="CL197" t="e">
        <f t="shared" si="74"/>
        <v>#N/A</v>
      </c>
      <c r="CM197" t="e">
        <v>#N/A</v>
      </c>
      <c r="CN197" t="e" cm="1">
        <f t="array" ref="CN197">IF(ISNUMBER(CM197),AF197/COUNT(IF(ISNUMBER(_xlfn.ANCHORARRAY($CM$11)),_xlfn.ANCHORARRAY($CM$11))),NA())</f>
        <v>#N/A</v>
      </c>
      <c r="CO197" t="e">
        <f t="shared" si="75"/>
        <v>#N/A</v>
      </c>
      <c r="CQ197" t="e">
        <f t="shared" si="76"/>
        <v>#N/A</v>
      </c>
      <c r="CR197" t="e">
        <f t="shared" si="77"/>
        <v>#N/A</v>
      </c>
      <c r="CT197" t="e">
        <v>#N/A</v>
      </c>
      <c r="CU197" t="e">
        <v>#N/A</v>
      </c>
      <c r="CY197" t="e">
        <f t="shared" si="78"/>
        <v>#N/A</v>
      </c>
      <c r="CZ197" t="e">
        <v>#N/A</v>
      </c>
      <c r="DA197" t="e" cm="1">
        <f t="array" ref="DA197">IF(ISNUMBER(CZ197),AF197/COUNT(IF(ISNUMBER(_xlfn.ANCHORARRAY($CZ$11)),_xlfn.ANCHORARRAY($CZ$11))),NA())</f>
        <v>#N/A</v>
      </c>
      <c r="DB197" t="e">
        <f t="shared" si="79"/>
        <v>#N/A</v>
      </c>
      <c r="DD197" t="e">
        <f t="shared" si="80"/>
        <v>#N/A</v>
      </c>
      <c r="DE197" t="e">
        <f t="shared" si="81"/>
        <v>#N/A</v>
      </c>
      <c r="DG197" t="e">
        <v>#N/A</v>
      </c>
      <c r="DH197" t="e">
        <v>#N/A</v>
      </c>
    </row>
    <row r="198" spans="32:112">
      <c r="AF198">
        <v>188</v>
      </c>
      <c r="AG198" s="401">
        <f>'Lab test'!N191</f>
        <v>161.92500000000001</v>
      </c>
      <c r="AH198" s="401">
        <f>'Lab test'!M191</f>
        <v>7.619999999999999E-2</v>
      </c>
      <c r="AI198">
        <f>IF('Lab test'!O191&gt;0,'Lab test'!O191,NA())</f>
        <v>22.224999999999948</v>
      </c>
      <c r="AJ198">
        <f>'Lab test'!Q191</f>
        <v>2125.0000000000005</v>
      </c>
      <c r="AK198" s="401">
        <f>IF('Lab test'!V191&gt;0,'Lab test'!V191,NA())</f>
        <v>220632.23338138757</v>
      </c>
      <c r="AL198" s="7" t="e">
        <f>IF(MAX('Lab test'!W191,'Lab test'!X191)&gt;0,MAX('Lab test'!W191,'Lab test'!X191),NA())</f>
        <v>#N/A</v>
      </c>
      <c r="AM198" s="401">
        <f>IF('Lab test'!P191&gt;0,'Lab test'!P191,NA())</f>
        <v>2.9774768720207639E-3</v>
      </c>
      <c r="AN198" s="401" t="e">
        <f>IF('Lab test'!AU191&gt;0,'Lab test'!AU191,NA())</f>
        <v>#N/A</v>
      </c>
      <c r="AO198" s="401">
        <f>IF('Lab test'!AT191&gt;0,'Lab test'!AT191,NA())</f>
        <v>0.51574252256048314</v>
      </c>
      <c r="AP198" t="e">
        <f t="shared" si="82"/>
        <v>#N/A</v>
      </c>
      <c r="AQ198" s="401">
        <f>'Lab test'!AZ191</f>
        <v>1939</v>
      </c>
      <c r="AR198" t="str">
        <f>'Lab test'!AC191</f>
        <v>LTWb</v>
      </c>
      <c r="AS198" t="str">
        <f>'Lab test'!T191</f>
        <v>Steel</v>
      </c>
      <c r="AX198" t="e">
        <f t="shared" si="67"/>
        <v>#N/A</v>
      </c>
      <c r="AY198" t="e">
        <f t="shared" si="86"/>
        <v>#N/A</v>
      </c>
      <c r="AZ198" t="e">
        <f t="shared" si="83"/>
        <v>#N/A</v>
      </c>
      <c r="BA198" t="e">
        <f t="shared" si="83"/>
        <v>#N/A</v>
      </c>
      <c r="BB198" t="e">
        <f t="shared" si="83"/>
        <v>#N/A</v>
      </c>
      <c r="BC198" t="e">
        <f t="shared" si="83"/>
        <v>#N/A</v>
      </c>
      <c r="BD198" t="e">
        <f t="shared" si="83"/>
        <v>#N/A</v>
      </c>
      <c r="BG198" t="e">
        <f t="shared" si="68"/>
        <v>#N/A</v>
      </c>
      <c r="BH198" t="e">
        <f t="shared" si="87"/>
        <v>#N/A</v>
      </c>
      <c r="BI198" t="e">
        <f t="shared" si="84"/>
        <v>#N/A</v>
      </c>
      <c r="BJ198" t="e">
        <f t="shared" si="84"/>
        <v>#N/A</v>
      </c>
      <c r="BK198" t="e">
        <f t="shared" si="84"/>
        <v>#N/A</v>
      </c>
      <c r="BL198" t="e">
        <f t="shared" si="84"/>
        <v>#N/A</v>
      </c>
      <c r="BM198" t="e">
        <f t="shared" si="84"/>
        <v>#N/A</v>
      </c>
      <c r="BP198" t="e">
        <f t="shared" si="69"/>
        <v>#N/A</v>
      </c>
      <c r="BQ198" t="e">
        <f t="shared" si="88"/>
        <v>#N/A</v>
      </c>
      <c r="BR198" t="e">
        <f t="shared" si="85"/>
        <v>#N/A</v>
      </c>
      <c r="BS198" t="e">
        <f t="shared" si="85"/>
        <v>#N/A</v>
      </c>
      <c r="BT198" t="e">
        <f t="shared" si="85"/>
        <v>#N/A</v>
      </c>
      <c r="BU198" t="e">
        <f t="shared" si="85"/>
        <v>#N/A</v>
      </c>
      <c r="BV198" t="e">
        <f t="shared" si="85"/>
        <v>#N/A</v>
      </c>
      <c r="BY198" t="e">
        <f t="shared" si="70"/>
        <v>#N/A</v>
      </c>
      <c r="BZ198" t="e">
        <v>#N/A</v>
      </c>
      <c r="CA198" t="e" cm="1">
        <f t="array" ref="CA198">IF(ISNUMBER(BZ198),AF198/COUNT(IF(ISNUMBER(_xlfn.ANCHORARRAY($BZ$11)),_xlfn.ANCHORARRAY($BZ$11))),NA())</f>
        <v>#N/A</v>
      </c>
      <c r="CB198" t="e">
        <f t="shared" si="71"/>
        <v>#N/A</v>
      </c>
      <c r="CD198" t="e">
        <f t="shared" si="72"/>
        <v>#N/A</v>
      </c>
      <c r="CE198" t="e">
        <f t="shared" si="73"/>
        <v>#N/A</v>
      </c>
      <c r="CG198" t="e">
        <v>#N/A</v>
      </c>
      <c r="CH198" t="e">
        <v>#N/A</v>
      </c>
      <c r="CL198" t="e">
        <f t="shared" si="74"/>
        <v>#N/A</v>
      </c>
      <c r="CM198" t="e">
        <v>#N/A</v>
      </c>
      <c r="CN198" t="e" cm="1">
        <f t="array" ref="CN198">IF(ISNUMBER(CM198),AF198/COUNT(IF(ISNUMBER(_xlfn.ANCHORARRAY($CM$11)),_xlfn.ANCHORARRAY($CM$11))),NA())</f>
        <v>#N/A</v>
      </c>
      <c r="CO198" t="e">
        <f t="shared" si="75"/>
        <v>#N/A</v>
      </c>
      <c r="CQ198" t="e">
        <f t="shared" si="76"/>
        <v>#N/A</v>
      </c>
      <c r="CR198" t="e">
        <f t="shared" si="77"/>
        <v>#N/A</v>
      </c>
      <c r="CT198" t="e">
        <v>#N/A</v>
      </c>
      <c r="CU198" t="e">
        <v>#N/A</v>
      </c>
      <c r="CY198" t="e">
        <f t="shared" si="78"/>
        <v>#N/A</v>
      </c>
      <c r="CZ198" t="e">
        <v>#N/A</v>
      </c>
      <c r="DA198" t="e" cm="1">
        <f t="array" ref="DA198">IF(ISNUMBER(CZ198),AF198/COUNT(IF(ISNUMBER(_xlfn.ANCHORARRAY($CZ$11)),_xlfn.ANCHORARRAY($CZ$11))),NA())</f>
        <v>#N/A</v>
      </c>
      <c r="DB198" t="e">
        <f t="shared" si="79"/>
        <v>#N/A</v>
      </c>
      <c r="DD198" t="e">
        <f t="shared" si="80"/>
        <v>#N/A</v>
      </c>
      <c r="DE198" t="e">
        <f t="shared" si="81"/>
        <v>#N/A</v>
      </c>
      <c r="DG198" t="e">
        <v>#N/A</v>
      </c>
      <c r="DH198" t="e">
        <v>#N/A</v>
      </c>
    </row>
    <row r="199" spans="32:112">
      <c r="AF199">
        <v>189</v>
      </c>
      <c r="AG199" s="401">
        <f>'Lab test'!N192</f>
        <v>161.92500000000001</v>
      </c>
      <c r="AH199" s="401">
        <f>'Lab test'!M192</f>
        <v>7.619999999999999E-2</v>
      </c>
      <c r="AI199">
        <f>IF('Lab test'!O192&gt;0,'Lab test'!O192,NA())</f>
        <v>13.229166666666659</v>
      </c>
      <c r="AJ199">
        <f>'Lab test'!Q192</f>
        <v>2125.0000000000005</v>
      </c>
      <c r="AK199" s="401">
        <f>IF('Lab test'!V192&gt;0,'Lab test'!V192,NA())</f>
        <v>220632.23338138757</v>
      </c>
      <c r="AL199" s="7" t="e">
        <f>IF(MAX('Lab test'!W192,'Lab test'!X192)&gt;0,MAX('Lab test'!W192,'Lab test'!X192),NA())</f>
        <v>#N/A</v>
      </c>
      <c r="AM199" s="401">
        <f>IF('Lab test'!P192&gt;0,'Lab test'!P192,NA())</f>
        <v>1.7723076619171243E-3</v>
      </c>
      <c r="AN199" s="401" t="e">
        <f>IF('Lab test'!AU192&gt;0,'Lab test'!AU192,NA())</f>
        <v>#N/A</v>
      </c>
      <c r="AO199" s="401">
        <f>IF('Lab test'!AT192&gt;0,'Lab test'!AT192,NA())</f>
        <v>0.70379844054274177</v>
      </c>
      <c r="AP199" t="e">
        <f t="shared" si="82"/>
        <v>#N/A</v>
      </c>
      <c r="AQ199" s="401">
        <f>'Lab test'!AZ192</f>
        <v>1939</v>
      </c>
      <c r="AR199" t="str">
        <f>'Lab test'!AC192</f>
        <v>LTWb</v>
      </c>
      <c r="AS199" t="str">
        <f>'Lab test'!T192</f>
        <v>Steel</v>
      </c>
      <c r="AX199" t="e">
        <f t="shared" si="67"/>
        <v>#N/A</v>
      </c>
      <c r="AY199" t="e">
        <f t="shared" si="86"/>
        <v>#N/A</v>
      </c>
      <c r="AZ199" t="e">
        <f t="shared" si="83"/>
        <v>#N/A</v>
      </c>
      <c r="BA199" t="e">
        <f t="shared" si="83"/>
        <v>#N/A</v>
      </c>
      <c r="BB199" t="e">
        <f t="shared" si="83"/>
        <v>#N/A</v>
      </c>
      <c r="BC199" t="e">
        <f t="shared" si="83"/>
        <v>#N/A</v>
      </c>
      <c r="BD199" t="e">
        <f t="shared" si="83"/>
        <v>#N/A</v>
      </c>
      <c r="BG199" t="e">
        <f t="shared" si="68"/>
        <v>#N/A</v>
      </c>
      <c r="BH199" t="e">
        <f t="shared" si="87"/>
        <v>#N/A</v>
      </c>
      <c r="BI199" t="e">
        <f t="shared" si="84"/>
        <v>#N/A</v>
      </c>
      <c r="BJ199" t="e">
        <f t="shared" si="84"/>
        <v>#N/A</v>
      </c>
      <c r="BK199" t="e">
        <f t="shared" si="84"/>
        <v>#N/A</v>
      </c>
      <c r="BL199" t="e">
        <f t="shared" si="84"/>
        <v>#N/A</v>
      </c>
      <c r="BM199" t="e">
        <f t="shared" si="84"/>
        <v>#N/A</v>
      </c>
      <c r="BP199" t="e">
        <f t="shared" si="69"/>
        <v>#N/A</v>
      </c>
      <c r="BQ199" t="e">
        <f t="shared" si="88"/>
        <v>#N/A</v>
      </c>
      <c r="BR199" t="e">
        <f t="shared" si="85"/>
        <v>#N/A</v>
      </c>
      <c r="BS199" t="e">
        <f t="shared" si="85"/>
        <v>#N/A</v>
      </c>
      <c r="BT199" t="e">
        <f t="shared" si="85"/>
        <v>#N/A</v>
      </c>
      <c r="BU199" t="e">
        <f t="shared" si="85"/>
        <v>#N/A</v>
      </c>
      <c r="BV199" t="e">
        <f t="shared" si="85"/>
        <v>#N/A</v>
      </c>
      <c r="BY199" t="e">
        <f t="shared" si="70"/>
        <v>#N/A</v>
      </c>
      <c r="BZ199" t="e">
        <v>#N/A</v>
      </c>
      <c r="CA199" t="e" cm="1">
        <f t="array" ref="CA199">IF(ISNUMBER(BZ199),AF199/COUNT(IF(ISNUMBER(_xlfn.ANCHORARRAY($BZ$11)),_xlfn.ANCHORARRAY($BZ$11))),NA())</f>
        <v>#N/A</v>
      </c>
      <c r="CB199" t="e">
        <f t="shared" si="71"/>
        <v>#N/A</v>
      </c>
      <c r="CD199" t="e">
        <f t="shared" si="72"/>
        <v>#N/A</v>
      </c>
      <c r="CE199" t="e">
        <f t="shared" si="73"/>
        <v>#N/A</v>
      </c>
      <c r="CG199" t="e">
        <v>#N/A</v>
      </c>
      <c r="CH199" t="e">
        <v>#N/A</v>
      </c>
      <c r="CL199" t="e">
        <f t="shared" si="74"/>
        <v>#N/A</v>
      </c>
      <c r="CM199" t="e">
        <v>#N/A</v>
      </c>
      <c r="CN199" t="e" cm="1">
        <f t="array" ref="CN199">IF(ISNUMBER(CM199),AF199/COUNT(IF(ISNUMBER(_xlfn.ANCHORARRAY($CM$11)),_xlfn.ANCHORARRAY($CM$11))),NA())</f>
        <v>#N/A</v>
      </c>
      <c r="CO199" t="e">
        <f t="shared" si="75"/>
        <v>#N/A</v>
      </c>
      <c r="CQ199" t="e">
        <f t="shared" si="76"/>
        <v>#N/A</v>
      </c>
      <c r="CR199" t="e">
        <f t="shared" si="77"/>
        <v>#N/A</v>
      </c>
      <c r="CT199" t="e">
        <v>#N/A</v>
      </c>
      <c r="CU199" t="e">
        <v>#N/A</v>
      </c>
      <c r="CY199" t="e">
        <f t="shared" si="78"/>
        <v>#N/A</v>
      </c>
      <c r="CZ199" t="e">
        <v>#N/A</v>
      </c>
      <c r="DA199" t="e" cm="1">
        <f t="array" ref="DA199">IF(ISNUMBER(CZ199),AF199/COUNT(IF(ISNUMBER(_xlfn.ANCHORARRAY($CZ$11)),_xlfn.ANCHORARRAY($CZ$11))),NA())</f>
        <v>#N/A</v>
      </c>
      <c r="DB199" t="e">
        <f t="shared" si="79"/>
        <v>#N/A</v>
      </c>
      <c r="DD199" t="e">
        <f t="shared" si="80"/>
        <v>#N/A</v>
      </c>
      <c r="DE199" t="e">
        <f t="shared" si="81"/>
        <v>#N/A</v>
      </c>
      <c r="DG199" t="e">
        <v>#N/A</v>
      </c>
      <c r="DH199" t="e">
        <v>#N/A</v>
      </c>
    </row>
    <row r="200" spans="32:112">
      <c r="AF200">
        <v>190</v>
      </c>
      <c r="AG200" s="401">
        <f>'Lab test'!N193</f>
        <v>161.92500000000001</v>
      </c>
      <c r="AH200" s="401">
        <f>'Lab test'!M193</f>
        <v>7.619999999999999E-2</v>
      </c>
      <c r="AI200">
        <f>IF('Lab test'!O193&gt;0,'Lab test'!O193,NA())</f>
        <v>13.229166666666659</v>
      </c>
      <c r="AJ200">
        <f>'Lab test'!Q193</f>
        <v>2125.0000000000005</v>
      </c>
      <c r="AK200" s="401">
        <f>IF('Lab test'!V193&gt;0,'Lab test'!V193,NA())</f>
        <v>220632.23338138757</v>
      </c>
      <c r="AL200" s="7" t="e">
        <f>IF(MAX('Lab test'!W193,'Lab test'!X193)&gt;0,MAX('Lab test'!W193,'Lab test'!X193),NA())</f>
        <v>#N/A</v>
      </c>
      <c r="AM200" s="401">
        <f>IF('Lab test'!P193&gt;0,'Lab test'!P193,NA())</f>
        <v>1.7723076619171243E-3</v>
      </c>
      <c r="AN200" s="401" t="e">
        <f>IF('Lab test'!AU193&gt;0,'Lab test'!AU193,NA())</f>
        <v>#N/A</v>
      </c>
      <c r="AO200" s="401">
        <f>IF('Lab test'!AT193&gt;0,'Lab test'!AT193,NA())</f>
        <v>0.78277647551548768</v>
      </c>
      <c r="AP200" t="e">
        <f t="shared" si="82"/>
        <v>#N/A</v>
      </c>
      <c r="AQ200" s="401">
        <f>'Lab test'!AZ193</f>
        <v>1939</v>
      </c>
      <c r="AR200" t="str">
        <f>'Lab test'!AC193</f>
        <v>LTWb</v>
      </c>
      <c r="AS200" t="str">
        <f>'Lab test'!T193</f>
        <v>Steel</v>
      </c>
      <c r="AX200" t="e">
        <f t="shared" si="67"/>
        <v>#N/A</v>
      </c>
      <c r="AY200" t="e">
        <f t="shared" si="86"/>
        <v>#N/A</v>
      </c>
      <c r="AZ200" t="e">
        <f t="shared" si="83"/>
        <v>#N/A</v>
      </c>
      <c r="BA200" t="e">
        <f t="shared" si="83"/>
        <v>#N/A</v>
      </c>
      <c r="BB200" t="e">
        <f t="shared" si="83"/>
        <v>#N/A</v>
      </c>
      <c r="BC200" t="e">
        <f t="shared" si="83"/>
        <v>#N/A</v>
      </c>
      <c r="BD200" t="e">
        <f t="shared" si="83"/>
        <v>#N/A</v>
      </c>
      <c r="BG200" t="e">
        <f t="shared" si="68"/>
        <v>#N/A</v>
      </c>
      <c r="BH200" t="e">
        <f t="shared" si="87"/>
        <v>#N/A</v>
      </c>
      <c r="BI200" t="e">
        <f t="shared" si="84"/>
        <v>#N/A</v>
      </c>
      <c r="BJ200" t="e">
        <f t="shared" si="84"/>
        <v>#N/A</v>
      </c>
      <c r="BK200" t="e">
        <f t="shared" si="84"/>
        <v>#N/A</v>
      </c>
      <c r="BL200" t="e">
        <f t="shared" si="84"/>
        <v>#N/A</v>
      </c>
      <c r="BM200" t="e">
        <f t="shared" si="84"/>
        <v>#N/A</v>
      </c>
      <c r="BP200" t="e">
        <f t="shared" si="69"/>
        <v>#N/A</v>
      </c>
      <c r="BQ200" t="e">
        <f t="shared" si="88"/>
        <v>#N/A</v>
      </c>
      <c r="BR200" t="e">
        <f t="shared" si="85"/>
        <v>#N/A</v>
      </c>
      <c r="BS200" t="e">
        <f t="shared" si="85"/>
        <v>#N/A</v>
      </c>
      <c r="BT200" t="e">
        <f t="shared" si="85"/>
        <v>#N/A</v>
      </c>
      <c r="BU200" t="e">
        <f t="shared" si="85"/>
        <v>#N/A</v>
      </c>
      <c r="BV200" t="e">
        <f t="shared" si="85"/>
        <v>#N/A</v>
      </c>
      <c r="BY200" t="e">
        <f t="shared" si="70"/>
        <v>#N/A</v>
      </c>
      <c r="BZ200" t="e">
        <v>#N/A</v>
      </c>
      <c r="CA200" t="e" cm="1">
        <f t="array" ref="CA200">IF(ISNUMBER(BZ200),AF200/COUNT(IF(ISNUMBER(_xlfn.ANCHORARRAY($BZ$11)),_xlfn.ANCHORARRAY($BZ$11))),NA())</f>
        <v>#N/A</v>
      </c>
      <c r="CB200" t="e">
        <f t="shared" si="71"/>
        <v>#N/A</v>
      </c>
      <c r="CD200" t="e">
        <f t="shared" si="72"/>
        <v>#N/A</v>
      </c>
      <c r="CE200" t="e">
        <f t="shared" si="73"/>
        <v>#N/A</v>
      </c>
      <c r="CG200" t="e">
        <v>#N/A</v>
      </c>
      <c r="CH200" t="e">
        <v>#N/A</v>
      </c>
      <c r="CL200" t="e">
        <f t="shared" si="74"/>
        <v>#N/A</v>
      </c>
      <c r="CM200" t="e">
        <v>#N/A</v>
      </c>
      <c r="CN200" t="e" cm="1">
        <f t="array" ref="CN200">IF(ISNUMBER(CM200),AF200/COUNT(IF(ISNUMBER(_xlfn.ANCHORARRAY($CM$11)),_xlfn.ANCHORARRAY($CM$11))),NA())</f>
        <v>#N/A</v>
      </c>
      <c r="CO200" t="e">
        <f t="shared" si="75"/>
        <v>#N/A</v>
      </c>
      <c r="CQ200" t="e">
        <f t="shared" si="76"/>
        <v>#N/A</v>
      </c>
      <c r="CR200" t="e">
        <f t="shared" si="77"/>
        <v>#N/A</v>
      </c>
      <c r="CT200" t="e">
        <v>#N/A</v>
      </c>
      <c r="CU200" t="e">
        <v>#N/A</v>
      </c>
      <c r="CY200" t="e">
        <f t="shared" si="78"/>
        <v>#N/A</v>
      </c>
      <c r="CZ200" t="e">
        <v>#N/A</v>
      </c>
      <c r="DA200" t="e" cm="1">
        <f t="array" ref="DA200">IF(ISNUMBER(CZ200),AF200/COUNT(IF(ISNUMBER(_xlfn.ANCHORARRAY($CZ$11)),_xlfn.ANCHORARRAY($CZ$11))),NA())</f>
        <v>#N/A</v>
      </c>
      <c r="DB200" t="e">
        <f t="shared" si="79"/>
        <v>#N/A</v>
      </c>
      <c r="DD200" t="e">
        <f t="shared" si="80"/>
        <v>#N/A</v>
      </c>
      <c r="DE200" t="e">
        <f t="shared" si="81"/>
        <v>#N/A</v>
      </c>
      <c r="DG200" t="e">
        <v>#N/A</v>
      </c>
      <c r="DH200" t="e">
        <v>#N/A</v>
      </c>
    </row>
    <row r="201" spans="32:112">
      <c r="AF201">
        <v>191</v>
      </c>
      <c r="AG201" s="401">
        <f>'Lab test'!N194</f>
        <v>161.92500000000001</v>
      </c>
      <c r="AH201" s="401">
        <f>'Lab test'!M194</f>
        <v>7.619999999999999E-2</v>
      </c>
      <c r="AI201">
        <f>IF('Lab test'!O194&gt;0,'Lab test'!O194,NA())</f>
        <v>5.2916666666666501</v>
      </c>
      <c r="AJ201">
        <f>'Lab test'!Q194</f>
        <v>2125.0000000000005</v>
      </c>
      <c r="AK201" s="401">
        <f>IF('Lab test'!V194&gt;0,'Lab test'!V194,NA())</f>
        <v>220632.23338138757</v>
      </c>
      <c r="AL201" s="7" t="e">
        <f>IF(MAX('Lab test'!W194,'Lab test'!X194)&gt;0,MAX('Lab test'!W194,'Lab test'!X194),NA())</f>
        <v>#N/A</v>
      </c>
      <c r="AM201" s="401">
        <f>IF('Lab test'!P194&gt;0,'Lab test'!P194,NA())</f>
        <v>7.0892306476684789E-4</v>
      </c>
      <c r="AN201" s="401" t="e">
        <f>IF('Lab test'!AU194&gt;0,'Lab test'!AU194,NA())</f>
        <v>#N/A</v>
      </c>
      <c r="AO201" s="401">
        <f>IF('Lab test'!AT194&gt;0,'Lab test'!AT194,NA())</f>
        <v>1.033810603795414</v>
      </c>
      <c r="AP201" t="e">
        <f t="shared" si="82"/>
        <v>#N/A</v>
      </c>
      <c r="AQ201" s="401">
        <f>'Lab test'!AZ194</f>
        <v>1939</v>
      </c>
      <c r="AR201" t="str">
        <f>'Lab test'!AC194</f>
        <v>LTWb</v>
      </c>
      <c r="AS201" t="str">
        <f>'Lab test'!T194</f>
        <v>Steel</v>
      </c>
      <c r="AX201" t="e">
        <f t="shared" si="67"/>
        <v>#N/A</v>
      </c>
      <c r="AY201" t="e">
        <f t="shared" si="86"/>
        <v>#N/A</v>
      </c>
      <c r="AZ201" t="e">
        <f t="shared" si="83"/>
        <v>#N/A</v>
      </c>
      <c r="BA201" t="e">
        <f t="shared" si="83"/>
        <v>#N/A</v>
      </c>
      <c r="BB201" t="e">
        <f t="shared" si="83"/>
        <v>#N/A</v>
      </c>
      <c r="BC201" t="e">
        <f t="shared" si="83"/>
        <v>#N/A</v>
      </c>
      <c r="BD201" t="e">
        <f t="shared" si="83"/>
        <v>#N/A</v>
      </c>
      <c r="BG201" t="e">
        <f t="shared" si="68"/>
        <v>#N/A</v>
      </c>
      <c r="BH201" t="e">
        <f t="shared" si="87"/>
        <v>#N/A</v>
      </c>
      <c r="BI201" t="e">
        <f t="shared" si="84"/>
        <v>#N/A</v>
      </c>
      <c r="BJ201" t="e">
        <f t="shared" si="84"/>
        <v>#N/A</v>
      </c>
      <c r="BK201" t="e">
        <f t="shared" si="84"/>
        <v>#N/A</v>
      </c>
      <c r="BL201" t="e">
        <f t="shared" si="84"/>
        <v>#N/A</v>
      </c>
      <c r="BM201" t="e">
        <f t="shared" si="84"/>
        <v>#N/A</v>
      </c>
      <c r="BP201" t="e">
        <f t="shared" si="69"/>
        <v>#N/A</v>
      </c>
      <c r="BQ201" t="e">
        <f t="shared" si="88"/>
        <v>#N/A</v>
      </c>
      <c r="BR201" t="e">
        <f t="shared" si="85"/>
        <v>#N/A</v>
      </c>
      <c r="BS201" t="e">
        <f t="shared" si="85"/>
        <v>#N/A</v>
      </c>
      <c r="BT201" t="e">
        <f t="shared" si="85"/>
        <v>#N/A</v>
      </c>
      <c r="BU201" t="e">
        <f t="shared" si="85"/>
        <v>#N/A</v>
      </c>
      <c r="BV201" t="e">
        <f t="shared" si="85"/>
        <v>#N/A</v>
      </c>
      <c r="BY201" t="e">
        <f t="shared" si="70"/>
        <v>#N/A</v>
      </c>
      <c r="BZ201" t="e">
        <v>#N/A</v>
      </c>
      <c r="CA201" t="e" cm="1">
        <f t="array" ref="CA201">IF(ISNUMBER(BZ201),AF201/COUNT(IF(ISNUMBER(_xlfn.ANCHORARRAY($BZ$11)),_xlfn.ANCHORARRAY($BZ$11))),NA())</f>
        <v>#N/A</v>
      </c>
      <c r="CB201" t="e">
        <f t="shared" si="71"/>
        <v>#N/A</v>
      </c>
      <c r="CD201" t="e">
        <f t="shared" si="72"/>
        <v>#N/A</v>
      </c>
      <c r="CE201" t="e">
        <f t="shared" si="73"/>
        <v>#N/A</v>
      </c>
      <c r="CG201" t="e">
        <v>#N/A</v>
      </c>
      <c r="CH201" t="e">
        <v>#N/A</v>
      </c>
      <c r="CL201" t="e">
        <f t="shared" si="74"/>
        <v>#N/A</v>
      </c>
      <c r="CM201" t="e">
        <v>#N/A</v>
      </c>
      <c r="CN201" t="e" cm="1">
        <f t="array" ref="CN201">IF(ISNUMBER(CM201),AF201/COUNT(IF(ISNUMBER(_xlfn.ANCHORARRAY($CM$11)),_xlfn.ANCHORARRAY($CM$11))),NA())</f>
        <v>#N/A</v>
      </c>
      <c r="CO201" t="e">
        <f t="shared" si="75"/>
        <v>#N/A</v>
      </c>
      <c r="CQ201" t="e">
        <f t="shared" si="76"/>
        <v>#N/A</v>
      </c>
      <c r="CR201" t="e">
        <f t="shared" si="77"/>
        <v>#N/A</v>
      </c>
      <c r="CT201" t="e">
        <v>#N/A</v>
      </c>
      <c r="CU201" t="e">
        <v>#N/A</v>
      </c>
      <c r="CY201" t="e">
        <f t="shared" si="78"/>
        <v>#N/A</v>
      </c>
      <c r="CZ201" t="e">
        <v>#N/A</v>
      </c>
      <c r="DA201" t="e" cm="1">
        <f t="array" ref="DA201">IF(ISNUMBER(CZ201),AF201/COUNT(IF(ISNUMBER(_xlfn.ANCHORARRAY($CZ$11)),_xlfn.ANCHORARRAY($CZ$11))),NA())</f>
        <v>#N/A</v>
      </c>
      <c r="DB201" t="e">
        <f t="shared" si="79"/>
        <v>#N/A</v>
      </c>
      <c r="DD201" t="e">
        <f t="shared" si="80"/>
        <v>#N/A</v>
      </c>
      <c r="DE201" t="e">
        <f t="shared" si="81"/>
        <v>#N/A</v>
      </c>
      <c r="DG201" t="e">
        <v>#N/A</v>
      </c>
      <c r="DH201" t="e">
        <v>#N/A</v>
      </c>
    </row>
    <row r="202" spans="32:112">
      <c r="AF202">
        <v>192</v>
      </c>
      <c r="AG202" s="401">
        <f>'Lab test'!N195</f>
        <v>161.92500000000001</v>
      </c>
      <c r="AH202" s="401">
        <f>'Lab test'!M195</f>
        <v>7.619999999999999E-2</v>
      </c>
      <c r="AI202">
        <f>IF('Lab test'!O195&gt;0,'Lab test'!O195,NA())</f>
        <v>5.2916666666666501</v>
      </c>
      <c r="AJ202">
        <f>'Lab test'!Q195</f>
        <v>2125.0000000000005</v>
      </c>
      <c r="AK202" s="401">
        <f>IF('Lab test'!V195&gt;0,'Lab test'!V195,NA())</f>
        <v>220632.23338138757</v>
      </c>
      <c r="AL202" s="7" t="e">
        <f>IF(MAX('Lab test'!W195,'Lab test'!X195)&gt;0,MAX('Lab test'!W195,'Lab test'!X195),NA())</f>
        <v>#N/A</v>
      </c>
      <c r="AM202" s="401">
        <f>IF('Lab test'!P195&gt;0,'Lab test'!P195,NA())</f>
        <v>7.0892306476684789E-4</v>
      </c>
      <c r="AN202" s="401" t="e">
        <f>IF('Lab test'!AU195&gt;0,'Lab test'!AU195,NA())</f>
        <v>#N/A</v>
      </c>
      <c r="AO202" s="401">
        <f>IF('Lab test'!AT195&gt;0,'Lab test'!AT195,NA())</f>
        <v>1.168790086410471</v>
      </c>
      <c r="AP202" t="e">
        <f t="shared" si="82"/>
        <v>#N/A</v>
      </c>
      <c r="AQ202" s="401">
        <f>'Lab test'!AZ195</f>
        <v>1939</v>
      </c>
      <c r="AR202" t="str">
        <f>'Lab test'!AC195</f>
        <v>LTWb</v>
      </c>
      <c r="AS202" t="str">
        <f>'Lab test'!T195</f>
        <v>Steel</v>
      </c>
      <c r="AX202" t="e">
        <f t="shared" si="67"/>
        <v>#N/A</v>
      </c>
      <c r="AY202" t="e">
        <f t="shared" si="86"/>
        <v>#N/A</v>
      </c>
      <c r="AZ202" t="e">
        <f t="shared" si="83"/>
        <v>#N/A</v>
      </c>
      <c r="BA202" t="e">
        <f t="shared" si="83"/>
        <v>#N/A</v>
      </c>
      <c r="BB202" t="e">
        <f t="shared" si="83"/>
        <v>#N/A</v>
      </c>
      <c r="BC202" t="e">
        <f t="shared" si="83"/>
        <v>#N/A</v>
      </c>
      <c r="BD202" t="e">
        <f t="shared" si="83"/>
        <v>#N/A</v>
      </c>
      <c r="BG202" t="e">
        <f t="shared" si="68"/>
        <v>#N/A</v>
      </c>
      <c r="BH202" t="e">
        <f t="shared" si="87"/>
        <v>#N/A</v>
      </c>
      <c r="BI202" t="e">
        <f t="shared" si="84"/>
        <v>#N/A</v>
      </c>
      <c r="BJ202" t="e">
        <f t="shared" si="84"/>
        <v>#N/A</v>
      </c>
      <c r="BK202" t="e">
        <f t="shared" si="84"/>
        <v>#N/A</v>
      </c>
      <c r="BL202" t="e">
        <f t="shared" si="84"/>
        <v>#N/A</v>
      </c>
      <c r="BM202" t="e">
        <f t="shared" si="84"/>
        <v>#N/A</v>
      </c>
      <c r="BP202" t="e">
        <f t="shared" si="69"/>
        <v>#N/A</v>
      </c>
      <c r="BQ202" t="e">
        <f t="shared" si="88"/>
        <v>#N/A</v>
      </c>
      <c r="BR202" t="e">
        <f t="shared" si="85"/>
        <v>#N/A</v>
      </c>
      <c r="BS202" t="e">
        <f t="shared" si="85"/>
        <v>#N/A</v>
      </c>
      <c r="BT202" t="e">
        <f t="shared" si="85"/>
        <v>#N/A</v>
      </c>
      <c r="BU202" t="e">
        <f t="shared" si="85"/>
        <v>#N/A</v>
      </c>
      <c r="BV202" t="e">
        <f t="shared" si="85"/>
        <v>#N/A</v>
      </c>
      <c r="BY202" t="e">
        <f t="shared" si="70"/>
        <v>#N/A</v>
      </c>
      <c r="BZ202" t="e">
        <v>#N/A</v>
      </c>
      <c r="CA202" t="e" cm="1">
        <f t="array" ref="CA202">IF(ISNUMBER(BZ202),AF202/COUNT(IF(ISNUMBER(_xlfn.ANCHORARRAY($BZ$11)),_xlfn.ANCHORARRAY($BZ$11))),NA())</f>
        <v>#N/A</v>
      </c>
      <c r="CB202" t="e">
        <f t="shared" si="71"/>
        <v>#N/A</v>
      </c>
      <c r="CD202" t="e">
        <f t="shared" si="72"/>
        <v>#N/A</v>
      </c>
      <c r="CE202" t="e">
        <f t="shared" si="73"/>
        <v>#N/A</v>
      </c>
      <c r="CG202" t="e">
        <v>#N/A</v>
      </c>
      <c r="CH202" t="e">
        <v>#N/A</v>
      </c>
      <c r="CL202" t="e">
        <f t="shared" si="74"/>
        <v>#N/A</v>
      </c>
      <c r="CM202" t="e">
        <v>#N/A</v>
      </c>
      <c r="CN202" t="e" cm="1">
        <f t="array" ref="CN202">IF(ISNUMBER(CM202),AF202/COUNT(IF(ISNUMBER(_xlfn.ANCHORARRAY($CM$11)),_xlfn.ANCHORARRAY($CM$11))),NA())</f>
        <v>#N/A</v>
      </c>
      <c r="CO202" t="e">
        <f t="shared" si="75"/>
        <v>#N/A</v>
      </c>
      <c r="CQ202" t="e">
        <f t="shared" si="76"/>
        <v>#N/A</v>
      </c>
      <c r="CR202" t="e">
        <f t="shared" si="77"/>
        <v>#N/A</v>
      </c>
      <c r="CT202" t="e">
        <v>#N/A</v>
      </c>
      <c r="CU202" t="e">
        <v>#N/A</v>
      </c>
      <c r="CY202" t="e">
        <f t="shared" si="78"/>
        <v>#N/A</v>
      </c>
      <c r="CZ202" t="e">
        <v>#N/A</v>
      </c>
      <c r="DA202" t="e" cm="1">
        <f t="array" ref="DA202">IF(ISNUMBER(CZ202),AF202/COUNT(IF(ISNUMBER(_xlfn.ANCHORARRAY($CZ$11)),_xlfn.ANCHORARRAY($CZ$11))),NA())</f>
        <v>#N/A</v>
      </c>
      <c r="DB202" t="e">
        <f t="shared" si="79"/>
        <v>#N/A</v>
      </c>
      <c r="DD202" t="e">
        <f t="shared" si="80"/>
        <v>#N/A</v>
      </c>
      <c r="DE202" t="e">
        <f t="shared" si="81"/>
        <v>#N/A</v>
      </c>
      <c r="DG202" t="e">
        <v>#N/A</v>
      </c>
      <c r="DH202" t="e">
        <v>#N/A</v>
      </c>
    </row>
    <row r="203" spans="32:112">
      <c r="AF203">
        <v>193</v>
      </c>
      <c r="AG203" s="401">
        <f>'Lab test'!N196</f>
        <v>161.92500000000001</v>
      </c>
      <c r="AH203" s="401">
        <f>'Lab test'!M196</f>
        <v>5.0800000000000005E-2</v>
      </c>
      <c r="AI203">
        <f>IF('Lab test'!O196&gt;0,'Lab test'!O196,NA())</f>
        <v>228.07083333333273</v>
      </c>
      <c r="AJ203">
        <f>'Lab test'!Q196</f>
        <v>3187.5</v>
      </c>
      <c r="AK203" s="401">
        <f>IF('Lab test'!V196&gt;0,'Lab test'!V196,NA())</f>
        <v>230974.36932114011</v>
      </c>
      <c r="AL203" s="7" t="e">
        <f>IF(MAX('Lab test'!W196,'Lab test'!X196)&gt;0,MAX('Lab test'!W196,'Lab test'!X196),NA())</f>
        <v>#N/A</v>
      </c>
      <c r="AM203" s="401">
        <f>IF('Lab test'!P196&gt;0,'Lab test'!P196,NA())</f>
        <v>2.4947713442338561E-2</v>
      </c>
      <c r="AN203" s="401" t="e">
        <f>IF('Lab test'!AU196&gt;0,'Lab test'!AU196,NA())</f>
        <v>#N/A</v>
      </c>
      <c r="AO203" s="401">
        <f>IF('Lab test'!AT196&gt;0,'Lab test'!AT196,NA())</f>
        <v>0.17029918819162476</v>
      </c>
      <c r="AP203" t="e">
        <f t="shared" si="82"/>
        <v>#N/A</v>
      </c>
      <c r="AQ203" s="401">
        <f>'Lab test'!AZ196</f>
        <v>1939</v>
      </c>
      <c r="AR203" t="str">
        <f>'Lab test'!AC196</f>
        <v>LTWb</v>
      </c>
      <c r="AS203" t="str">
        <f>'Lab test'!T196</f>
        <v>Steel</v>
      </c>
      <c r="AX203" t="e">
        <f t="shared" si="67"/>
        <v>#N/A</v>
      </c>
      <c r="AY203" t="e">
        <f t="shared" si="86"/>
        <v>#N/A</v>
      </c>
      <c r="AZ203" t="e">
        <f t="shared" si="83"/>
        <v>#N/A</v>
      </c>
      <c r="BA203" t="e">
        <f t="shared" si="83"/>
        <v>#N/A</v>
      </c>
      <c r="BB203" t="e">
        <f t="shared" si="83"/>
        <v>#N/A</v>
      </c>
      <c r="BC203" t="e">
        <f t="shared" si="83"/>
        <v>#N/A</v>
      </c>
      <c r="BD203" t="e">
        <f t="shared" si="83"/>
        <v>#N/A</v>
      </c>
      <c r="BG203" t="e">
        <f t="shared" si="68"/>
        <v>#N/A</v>
      </c>
      <c r="BH203" t="e">
        <f t="shared" si="87"/>
        <v>#N/A</v>
      </c>
      <c r="BI203" t="e">
        <f t="shared" si="84"/>
        <v>#N/A</v>
      </c>
      <c r="BJ203" t="e">
        <f t="shared" si="84"/>
        <v>#N/A</v>
      </c>
      <c r="BK203" t="e">
        <f t="shared" si="84"/>
        <v>#N/A</v>
      </c>
      <c r="BL203" t="e">
        <f t="shared" si="84"/>
        <v>#N/A</v>
      </c>
      <c r="BM203" t="e">
        <f t="shared" si="84"/>
        <v>#N/A</v>
      </c>
      <c r="BP203" t="e">
        <f t="shared" si="69"/>
        <v>#N/A</v>
      </c>
      <c r="BQ203" t="e">
        <f t="shared" si="88"/>
        <v>#N/A</v>
      </c>
      <c r="BR203" t="e">
        <f t="shared" si="85"/>
        <v>#N/A</v>
      </c>
      <c r="BS203" t="e">
        <f t="shared" si="85"/>
        <v>#N/A</v>
      </c>
      <c r="BT203" t="e">
        <f t="shared" si="85"/>
        <v>#N/A</v>
      </c>
      <c r="BU203" t="e">
        <f t="shared" si="85"/>
        <v>#N/A</v>
      </c>
      <c r="BV203" t="e">
        <f t="shared" si="85"/>
        <v>#N/A</v>
      </c>
      <c r="BY203" t="e">
        <f t="shared" si="70"/>
        <v>#N/A</v>
      </c>
      <c r="BZ203" t="e">
        <v>#N/A</v>
      </c>
      <c r="CA203" t="e" cm="1">
        <f t="array" ref="CA203">IF(ISNUMBER(BZ203),AF203/COUNT(IF(ISNUMBER(_xlfn.ANCHORARRAY($BZ$11)),_xlfn.ANCHORARRAY($BZ$11))),NA())</f>
        <v>#N/A</v>
      </c>
      <c r="CB203" t="e">
        <f t="shared" si="71"/>
        <v>#N/A</v>
      </c>
      <c r="CD203" t="e">
        <f t="shared" si="72"/>
        <v>#N/A</v>
      </c>
      <c r="CE203" t="e">
        <f t="shared" si="73"/>
        <v>#N/A</v>
      </c>
      <c r="CG203" t="e">
        <v>#N/A</v>
      </c>
      <c r="CH203" t="e">
        <v>#N/A</v>
      </c>
      <c r="CL203" t="e">
        <f t="shared" si="74"/>
        <v>#N/A</v>
      </c>
      <c r="CM203" t="e">
        <v>#N/A</v>
      </c>
      <c r="CN203" t="e" cm="1">
        <f t="array" ref="CN203">IF(ISNUMBER(CM203),AF203/COUNT(IF(ISNUMBER(_xlfn.ANCHORARRAY($CM$11)),_xlfn.ANCHORARRAY($CM$11))),NA())</f>
        <v>#N/A</v>
      </c>
      <c r="CO203" t="e">
        <f t="shared" si="75"/>
        <v>#N/A</v>
      </c>
      <c r="CQ203" t="e">
        <f t="shared" si="76"/>
        <v>#N/A</v>
      </c>
      <c r="CR203" t="e">
        <f t="shared" si="77"/>
        <v>#N/A</v>
      </c>
      <c r="CT203" t="e">
        <v>#N/A</v>
      </c>
      <c r="CU203" t="e">
        <v>#N/A</v>
      </c>
      <c r="CY203" t="e">
        <f t="shared" si="78"/>
        <v>#N/A</v>
      </c>
      <c r="CZ203" t="e">
        <v>#N/A</v>
      </c>
      <c r="DA203" t="e" cm="1">
        <f t="array" ref="DA203">IF(ISNUMBER(CZ203),AF203/COUNT(IF(ISNUMBER(_xlfn.ANCHORARRAY($CZ$11)),_xlfn.ANCHORARRAY($CZ$11))),NA())</f>
        <v>#N/A</v>
      </c>
      <c r="DB203" t="e">
        <f t="shared" si="79"/>
        <v>#N/A</v>
      </c>
      <c r="DD203" t="e">
        <f t="shared" si="80"/>
        <v>#N/A</v>
      </c>
      <c r="DE203" t="e">
        <f t="shared" si="81"/>
        <v>#N/A</v>
      </c>
      <c r="DG203" t="e">
        <v>#N/A</v>
      </c>
      <c r="DH203" t="e">
        <v>#N/A</v>
      </c>
    </row>
    <row r="204" spans="32:112">
      <c r="AF204">
        <v>194</v>
      </c>
      <c r="AG204" s="401">
        <f>'Lab test'!N197</f>
        <v>161.92500000000001</v>
      </c>
      <c r="AH204" s="401">
        <f>'Lab test'!M197</f>
        <v>5.0800000000000005E-2</v>
      </c>
      <c r="AI204">
        <f>IF('Lab test'!O197&gt;0,'Lab test'!O197,NA())</f>
        <v>228.07083333333273</v>
      </c>
      <c r="AJ204">
        <f>'Lab test'!Q197</f>
        <v>3187.5</v>
      </c>
      <c r="AK204" s="401">
        <f>IF('Lab test'!V197&gt;0,'Lab test'!V197,NA())</f>
        <v>230974.36932114011</v>
      </c>
      <c r="AL204" s="7" t="e">
        <f>IF(MAX('Lab test'!W197,'Lab test'!X197)&gt;0,MAX('Lab test'!W197,'Lab test'!X197),NA())</f>
        <v>#N/A</v>
      </c>
      <c r="AM204" s="401">
        <f>IF('Lab test'!P197&gt;0,'Lab test'!P197,NA())</f>
        <v>2.4947713442338561E-2</v>
      </c>
      <c r="AN204" s="401" t="e">
        <f>IF('Lab test'!AU197&gt;0,'Lab test'!AU197,NA())</f>
        <v>#N/A</v>
      </c>
      <c r="AO204" s="401">
        <f>IF('Lab test'!AT197&gt;0,'Lab test'!AT197,NA())</f>
        <v>0.12479500926461229</v>
      </c>
      <c r="AP204" t="e">
        <f t="shared" si="82"/>
        <v>#N/A</v>
      </c>
      <c r="AQ204" s="401">
        <f>'Lab test'!AZ197</f>
        <v>1939</v>
      </c>
      <c r="AR204" t="str">
        <f>'Lab test'!AC197</f>
        <v>LTWb</v>
      </c>
      <c r="AS204" t="str">
        <f>'Lab test'!T197</f>
        <v>Steel</v>
      </c>
      <c r="AX204" t="e">
        <f t="shared" ref="AX204:AX267" si="89">IF(ISNUMBER($AJ204),IF(ISNUMBER($AP204),IF($AJ204&gt;=AX$9,IF($AJ204&lt;=AX$10,IF($AR204=$AW$2,IF($AS204=$AW$6,$AK204,NA()),NA()),NA()),NA()),NA()),NA())</f>
        <v>#N/A</v>
      </c>
      <c r="AY204" t="e">
        <f t="shared" si="86"/>
        <v>#N/A</v>
      </c>
      <c r="AZ204" t="e">
        <f t="shared" si="83"/>
        <v>#N/A</v>
      </c>
      <c r="BA204" t="e">
        <f t="shared" si="83"/>
        <v>#N/A</v>
      </c>
      <c r="BB204" t="e">
        <f t="shared" si="83"/>
        <v>#N/A</v>
      </c>
      <c r="BC204" t="e">
        <f t="shared" si="83"/>
        <v>#N/A</v>
      </c>
      <c r="BD204" t="e">
        <f t="shared" si="83"/>
        <v>#N/A</v>
      </c>
      <c r="BG204" t="e">
        <f t="shared" ref="BG204:BG267" si="90">IF(ISNUMBER($AJ204),IF(ISNUMBER($AP204),IF($AJ204&gt;=BG$9,IF($AJ204&lt;=BG$10,IF($AR204=$AW$2,IF($AS204=$BF$6,$AK204,NA()),NA()),NA()),NA()),NA()),NA())</f>
        <v>#N/A</v>
      </c>
      <c r="BH204" t="e">
        <f t="shared" si="87"/>
        <v>#N/A</v>
      </c>
      <c r="BI204" t="e">
        <f t="shared" si="84"/>
        <v>#N/A</v>
      </c>
      <c r="BJ204" t="e">
        <f t="shared" si="84"/>
        <v>#N/A</v>
      </c>
      <c r="BK204" t="e">
        <f t="shared" si="84"/>
        <v>#N/A</v>
      </c>
      <c r="BL204" t="e">
        <f t="shared" si="84"/>
        <v>#N/A</v>
      </c>
      <c r="BM204" t="e">
        <f t="shared" si="84"/>
        <v>#N/A</v>
      </c>
      <c r="BP204" t="e">
        <f t="shared" ref="BP204:BP267" si="91">IF(ISNUMBER($AJ204),IF(ISNUMBER($AP204),IF($AJ204&gt;=BP$9,IF($AJ204&lt;=BP$10,IF($AR204=$AW$2,IF($AS204=$BO$6,$AK204,NA()),NA()),NA()),NA()),NA()),NA())</f>
        <v>#N/A</v>
      </c>
      <c r="BQ204" t="e">
        <f t="shared" si="88"/>
        <v>#N/A</v>
      </c>
      <c r="BR204" t="e">
        <f t="shared" si="85"/>
        <v>#N/A</v>
      </c>
      <c r="BS204" t="e">
        <f t="shared" si="85"/>
        <v>#N/A</v>
      </c>
      <c r="BT204" t="e">
        <f t="shared" si="85"/>
        <v>#N/A</v>
      </c>
      <c r="BU204" t="e">
        <f t="shared" si="85"/>
        <v>#N/A</v>
      </c>
      <c r="BV204" t="e">
        <f t="shared" si="85"/>
        <v>#N/A</v>
      </c>
      <c r="BY204" t="e">
        <f t="shared" ref="BY204:BY267" si="92">IF(ISNUMBER(AP204),IF($AR204=$AW$2,IF($AS204=$AW$6,$AK204,NA()),NA()),NA())</f>
        <v>#N/A</v>
      </c>
      <c r="BZ204" t="e">
        <v>#N/A</v>
      </c>
      <c r="CA204" t="e" cm="1">
        <f t="array" ref="CA204">IF(ISNUMBER(BZ204),AF204/COUNT(IF(ISNUMBER(_xlfn.ANCHORARRAY($BZ$11)),_xlfn.ANCHORARRAY($BZ$11))),NA())</f>
        <v>#N/A</v>
      </c>
      <c r="CB204" t="e">
        <f t="shared" ref="CB204:CB267" si="93">IF(BZ204=BZ205,NA(),CA204)</f>
        <v>#N/A</v>
      </c>
      <c r="CD204" t="e">
        <f t="shared" ref="CD204:CD267" si="94">CB204</f>
        <v>#N/A</v>
      </c>
      <c r="CE204" t="e">
        <f t="shared" ref="CE204:CE267" si="95">BZ204</f>
        <v>#N/A</v>
      </c>
      <c r="CG204" t="e">
        <v>#N/A</v>
      </c>
      <c r="CH204" t="e">
        <v>#N/A</v>
      </c>
      <c r="CL204" t="e">
        <f t="shared" ref="CL204:CL267" si="96">IF(ISNUMBER(AP204),IF($AR204=$AW$2,IF($AS204=$BF$6,$AK204,NA()),NA()),NA())</f>
        <v>#N/A</v>
      </c>
      <c r="CM204" t="e">
        <v>#N/A</v>
      </c>
      <c r="CN204" t="e" cm="1">
        <f t="array" ref="CN204">IF(ISNUMBER(CM204),AF204/COUNT(IF(ISNUMBER(_xlfn.ANCHORARRAY($CM$11)),_xlfn.ANCHORARRAY($CM$11))),NA())</f>
        <v>#N/A</v>
      </c>
      <c r="CO204" t="e">
        <f t="shared" ref="CO204:CO267" si="97">IF(CM204=CM205,NA(),CN204)</f>
        <v>#N/A</v>
      </c>
      <c r="CQ204" t="e">
        <f t="shared" ref="CQ204:CQ267" si="98">CO204</f>
        <v>#N/A</v>
      </c>
      <c r="CR204" t="e">
        <f t="shared" ref="CR204:CR267" si="99">CM204</f>
        <v>#N/A</v>
      </c>
      <c r="CT204" t="e">
        <v>#N/A</v>
      </c>
      <c r="CU204" t="e">
        <v>#N/A</v>
      </c>
      <c r="CY204" t="e">
        <f t="shared" ref="CY204:CY267" si="100">IF(ISNUMBER(AP204),IF($AR204=$AW$2,IF($AS204=$BO$6,$AK204,NA()),NA()),NA())</f>
        <v>#N/A</v>
      </c>
      <c r="CZ204" t="e">
        <v>#N/A</v>
      </c>
      <c r="DA204" t="e" cm="1">
        <f t="array" ref="DA204">IF(ISNUMBER(CZ204),AF204/COUNT(IF(ISNUMBER(_xlfn.ANCHORARRAY($CZ$11)),_xlfn.ANCHORARRAY($CZ$11))),NA())</f>
        <v>#N/A</v>
      </c>
      <c r="DB204" t="e">
        <f t="shared" ref="DB204:DB267" si="101">IF(CZ204=CZ205,NA(),DA204)</f>
        <v>#N/A</v>
      </c>
      <c r="DD204" t="e">
        <f t="shared" ref="DD204:DD267" si="102">DB204</f>
        <v>#N/A</v>
      </c>
      <c r="DE204" t="e">
        <f t="shared" ref="DE204:DE267" si="103">CZ204</f>
        <v>#N/A</v>
      </c>
      <c r="DG204" t="e">
        <v>#N/A</v>
      </c>
      <c r="DH204" t="e">
        <v>#N/A</v>
      </c>
    </row>
    <row r="205" spans="32:112">
      <c r="AF205">
        <v>195</v>
      </c>
      <c r="AG205" s="401">
        <f>'Lab test'!N198</f>
        <v>161.92500000000001</v>
      </c>
      <c r="AH205" s="401">
        <f>'Lab test'!M198</f>
        <v>5.0800000000000005E-2</v>
      </c>
      <c r="AI205">
        <f>IF('Lab test'!O198&gt;0,'Lab test'!O198,NA())</f>
        <v>177.79999999999927</v>
      </c>
      <c r="AJ205">
        <f>'Lab test'!Q198</f>
        <v>3187.5</v>
      </c>
      <c r="AK205" s="401">
        <f>IF('Lab test'!V198&gt;0,'Lab test'!V198,NA())</f>
        <v>230974.36932114011</v>
      </c>
      <c r="AL205" s="7" t="e">
        <f>IF(MAX('Lab test'!W198,'Lab test'!X198)&gt;0,MAX('Lab test'!W198,'Lab test'!X198),NA())</f>
        <v>#N/A</v>
      </c>
      <c r="AM205" s="401">
        <f>IF('Lab test'!P198&gt;0,'Lab test'!P198,NA())</f>
        <v>1.9448797486370639E-2</v>
      </c>
      <c r="AN205" s="401" t="e">
        <f>IF('Lab test'!AU198&gt;0,'Lab test'!AU198,NA())</f>
        <v>#N/A</v>
      </c>
      <c r="AO205" s="401">
        <f>IF('Lab test'!AT198&gt;0,'Lab test'!AT198,NA())</f>
        <v>0.12479500926461229</v>
      </c>
      <c r="AP205" t="e">
        <f t="shared" si="82"/>
        <v>#N/A</v>
      </c>
      <c r="AQ205" s="401">
        <f>'Lab test'!AZ198</f>
        <v>1939</v>
      </c>
      <c r="AR205" t="str">
        <f>'Lab test'!AC198</f>
        <v>LTWb</v>
      </c>
      <c r="AS205" t="str">
        <f>'Lab test'!T198</f>
        <v>Steel</v>
      </c>
      <c r="AX205" t="e">
        <f t="shared" si="89"/>
        <v>#N/A</v>
      </c>
      <c r="AY205" t="e">
        <f t="shared" si="86"/>
        <v>#N/A</v>
      </c>
      <c r="AZ205" t="e">
        <f t="shared" si="83"/>
        <v>#N/A</v>
      </c>
      <c r="BA205" t="e">
        <f t="shared" si="83"/>
        <v>#N/A</v>
      </c>
      <c r="BB205" t="e">
        <f t="shared" si="83"/>
        <v>#N/A</v>
      </c>
      <c r="BC205" t="e">
        <f t="shared" si="83"/>
        <v>#N/A</v>
      </c>
      <c r="BD205" t="e">
        <f t="shared" si="83"/>
        <v>#N/A</v>
      </c>
      <c r="BG205" t="e">
        <f t="shared" si="90"/>
        <v>#N/A</v>
      </c>
      <c r="BH205" t="e">
        <f t="shared" si="87"/>
        <v>#N/A</v>
      </c>
      <c r="BI205" t="e">
        <f t="shared" si="84"/>
        <v>#N/A</v>
      </c>
      <c r="BJ205" t="e">
        <f t="shared" si="84"/>
        <v>#N/A</v>
      </c>
      <c r="BK205" t="e">
        <f t="shared" si="84"/>
        <v>#N/A</v>
      </c>
      <c r="BL205" t="e">
        <f t="shared" si="84"/>
        <v>#N/A</v>
      </c>
      <c r="BM205" t="e">
        <f t="shared" si="84"/>
        <v>#N/A</v>
      </c>
      <c r="BP205" t="e">
        <f t="shared" si="91"/>
        <v>#N/A</v>
      </c>
      <c r="BQ205" t="e">
        <f t="shared" si="88"/>
        <v>#N/A</v>
      </c>
      <c r="BR205" t="e">
        <f t="shared" si="85"/>
        <v>#N/A</v>
      </c>
      <c r="BS205" t="e">
        <f t="shared" si="85"/>
        <v>#N/A</v>
      </c>
      <c r="BT205" t="e">
        <f t="shared" si="85"/>
        <v>#N/A</v>
      </c>
      <c r="BU205" t="e">
        <f t="shared" si="85"/>
        <v>#N/A</v>
      </c>
      <c r="BV205" t="e">
        <f t="shared" si="85"/>
        <v>#N/A</v>
      </c>
      <c r="BY205" t="e">
        <f t="shared" si="92"/>
        <v>#N/A</v>
      </c>
      <c r="BZ205" t="e">
        <v>#N/A</v>
      </c>
      <c r="CA205" t="e" cm="1">
        <f t="array" ref="CA205">IF(ISNUMBER(BZ205),AF205/COUNT(IF(ISNUMBER(_xlfn.ANCHORARRAY($BZ$11)),_xlfn.ANCHORARRAY($BZ$11))),NA())</f>
        <v>#N/A</v>
      </c>
      <c r="CB205" t="e">
        <f t="shared" si="93"/>
        <v>#N/A</v>
      </c>
      <c r="CD205" t="e">
        <f t="shared" si="94"/>
        <v>#N/A</v>
      </c>
      <c r="CE205" t="e">
        <f t="shared" si="95"/>
        <v>#N/A</v>
      </c>
      <c r="CG205" t="e">
        <v>#N/A</v>
      </c>
      <c r="CH205" t="e">
        <v>#N/A</v>
      </c>
      <c r="CL205" t="e">
        <f t="shared" si="96"/>
        <v>#N/A</v>
      </c>
      <c r="CM205" t="e">
        <v>#N/A</v>
      </c>
      <c r="CN205" t="e" cm="1">
        <f t="array" ref="CN205">IF(ISNUMBER(CM205),AF205/COUNT(IF(ISNUMBER(_xlfn.ANCHORARRAY($CM$11)),_xlfn.ANCHORARRAY($CM$11))),NA())</f>
        <v>#N/A</v>
      </c>
      <c r="CO205" t="e">
        <f t="shared" si="97"/>
        <v>#N/A</v>
      </c>
      <c r="CQ205" t="e">
        <f t="shared" si="98"/>
        <v>#N/A</v>
      </c>
      <c r="CR205" t="e">
        <f t="shared" si="99"/>
        <v>#N/A</v>
      </c>
      <c r="CT205" t="e">
        <v>#N/A</v>
      </c>
      <c r="CU205" t="e">
        <v>#N/A</v>
      </c>
      <c r="CY205" t="e">
        <f t="shared" si="100"/>
        <v>#N/A</v>
      </c>
      <c r="CZ205" t="e">
        <v>#N/A</v>
      </c>
      <c r="DA205" t="e" cm="1">
        <f t="array" ref="DA205">IF(ISNUMBER(CZ205),AF205/COUNT(IF(ISNUMBER(_xlfn.ANCHORARRAY($CZ$11)),_xlfn.ANCHORARRAY($CZ$11))),NA())</f>
        <v>#N/A</v>
      </c>
      <c r="DB205" t="e">
        <f t="shared" si="101"/>
        <v>#N/A</v>
      </c>
      <c r="DD205" t="e">
        <f t="shared" si="102"/>
        <v>#N/A</v>
      </c>
      <c r="DE205" t="e">
        <f t="shared" si="103"/>
        <v>#N/A</v>
      </c>
      <c r="DG205" t="e">
        <v>#N/A</v>
      </c>
      <c r="DH205" t="e">
        <v>#N/A</v>
      </c>
    </row>
    <row r="206" spans="32:112">
      <c r="AF206">
        <v>196</v>
      </c>
      <c r="AG206" s="401">
        <f>'Lab test'!N199</f>
        <v>161.92500000000001</v>
      </c>
      <c r="AH206" s="401">
        <f>'Lab test'!M199</f>
        <v>5.0800000000000005E-2</v>
      </c>
      <c r="AI206">
        <f>IF('Lab test'!O199&gt;0,'Lab test'!O199,NA())</f>
        <v>178.32916666666608</v>
      </c>
      <c r="AJ206">
        <f>'Lab test'!Q199</f>
        <v>3187.5</v>
      </c>
      <c r="AK206" s="401">
        <f>IF('Lab test'!V199&gt;0,'Lab test'!V199,NA())</f>
        <v>230974.36932114011</v>
      </c>
      <c r="AL206" s="7" t="e">
        <f>IF(MAX('Lab test'!W199,'Lab test'!X199)&gt;0,MAX('Lab test'!W199,'Lab test'!X199),NA())</f>
        <v>#N/A</v>
      </c>
      <c r="AM206" s="401">
        <f>IF('Lab test'!P199&gt;0,'Lab test'!P199,NA())</f>
        <v>1.9506680812222947E-2</v>
      </c>
      <c r="AN206" s="401" t="e">
        <f>IF('Lab test'!AU199&gt;0,'Lab test'!AU199,NA())</f>
        <v>#N/A</v>
      </c>
      <c r="AO206" s="401">
        <f>IF('Lab test'!AT199&gt;0,'Lab test'!AT199,NA())</f>
        <v>0.11405486739299127</v>
      </c>
      <c r="AP206" t="e">
        <f t="shared" si="82"/>
        <v>#N/A</v>
      </c>
      <c r="AQ206" s="401">
        <f>'Lab test'!AZ199</f>
        <v>1939</v>
      </c>
      <c r="AR206" t="str">
        <f>'Lab test'!AC199</f>
        <v>LTWb</v>
      </c>
      <c r="AS206" t="str">
        <f>'Lab test'!T199</f>
        <v>Steel</v>
      </c>
      <c r="AX206" t="e">
        <f t="shared" si="89"/>
        <v>#N/A</v>
      </c>
      <c r="AY206" t="e">
        <f t="shared" si="86"/>
        <v>#N/A</v>
      </c>
      <c r="AZ206" t="e">
        <f t="shared" si="83"/>
        <v>#N/A</v>
      </c>
      <c r="BA206" t="e">
        <f t="shared" si="83"/>
        <v>#N/A</v>
      </c>
      <c r="BB206" t="e">
        <f t="shared" si="83"/>
        <v>#N/A</v>
      </c>
      <c r="BC206" t="e">
        <f t="shared" si="83"/>
        <v>#N/A</v>
      </c>
      <c r="BD206" t="e">
        <f t="shared" si="83"/>
        <v>#N/A</v>
      </c>
      <c r="BG206" t="e">
        <f t="shared" si="90"/>
        <v>#N/A</v>
      </c>
      <c r="BH206" t="e">
        <f t="shared" si="87"/>
        <v>#N/A</v>
      </c>
      <c r="BI206" t="e">
        <f t="shared" si="84"/>
        <v>#N/A</v>
      </c>
      <c r="BJ206" t="e">
        <f t="shared" si="84"/>
        <v>#N/A</v>
      </c>
      <c r="BK206" t="e">
        <f t="shared" si="84"/>
        <v>#N/A</v>
      </c>
      <c r="BL206" t="e">
        <f t="shared" si="84"/>
        <v>#N/A</v>
      </c>
      <c r="BM206" t="e">
        <f t="shared" si="84"/>
        <v>#N/A</v>
      </c>
      <c r="BP206" t="e">
        <f t="shared" si="91"/>
        <v>#N/A</v>
      </c>
      <c r="BQ206" t="e">
        <f t="shared" si="88"/>
        <v>#N/A</v>
      </c>
      <c r="BR206" t="e">
        <f t="shared" si="85"/>
        <v>#N/A</v>
      </c>
      <c r="BS206" t="e">
        <f t="shared" si="85"/>
        <v>#N/A</v>
      </c>
      <c r="BT206" t="e">
        <f t="shared" si="85"/>
        <v>#N/A</v>
      </c>
      <c r="BU206" t="e">
        <f t="shared" si="85"/>
        <v>#N/A</v>
      </c>
      <c r="BV206" t="e">
        <f t="shared" si="85"/>
        <v>#N/A</v>
      </c>
      <c r="BY206" t="e">
        <f t="shared" si="92"/>
        <v>#N/A</v>
      </c>
      <c r="BZ206" t="e">
        <v>#N/A</v>
      </c>
      <c r="CA206" t="e" cm="1">
        <f t="array" ref="CA206">IF(ISNUMBER(BZ206),AF206/COUNT(IF(ISNUMBER(_xlfn.ANCHORARRAY($BZ$11)),_xlfn.ANCHORARRAY($BZ$11))),NA())</f>
        <v>#N/A</v>
      </c>
      <c r="CB206" t="e">
        <f t="shared" si="93"/>
        <v>#N/A</v>
      </c>
      <c r="CD206" t="e">
        <f t="shared" si="94"/>
        <v>#N/A</v>
      </c>
      <c r="CE206" t="e">
        <f t="shared" si="95"/>
        <v>#N/A</v>
      </c>
      <c r="CG206" t="e">
        <v>#N/A</v>
      </c>
      <c r="CH206" t="e">
        <v>#N/A</v>
      </c>
      <c r="CL206" t="e">
        <f t="shared" si="96"/>
        <v>#N/A</v>
      </c>
      <c r="CM206" t="e">
        <v>#N/A</v>
      </c>
      <c r="CN206" t="e" cm="1">
        <f t="array" ref="CN206">IF(ISNUMBER(CM206),AF206/COUNT(IF(ISNUMBER(_xlfn.ANCHORARRAY($CM$11)),_xlfn.ANCHORARRAY($CM$11))),NA())</f>
        <v>#N/A</v>
      </c>
      <c r="CO206" t="e">
        <f t="shared" si="97"/>
        <v>#N/A</v>
      </c>
      <c r="CQ206" t="e">
        <f t="shared" si="98"/>
        <v>#N/A</v>
      </c>
      <c r="CR206" t="e">
        <f t="shared" si="99"/>
        <v>#N/A</v>
      </c>
      <c r="CT206" t="e">
        <v>#N/A</v>
      </c>
      <c r="CU206" t="e">
        <v>#N/A</v>
      </c>
      <c r="CY206" t="e">
        <f t="shared" si="100"/>
        <v>#N/A</v>
      </c>
      <c r="CZ206" t="e">
        <v>#N/A</v>
      </c>
      <c r="DA206" t="e" cm="1">
        <f t="array" ref="DA206">IF(ISNUMBER(CZ206),AF206/COUNT(IF(ISNUMBER(_xlfn.ANCHORARRAY($CZ$11)),_xlfn.ANCHORARRAY($CZ$11))),NA())</f>
        <v>#N/A</v>
      </c>
      <c r="DB206" t="e">
        <f t="shared" si="101"/>
        <v>#N/A</v>
      </c>
      <c r="DD206" t="e">
        <f t="shared" si="102"/>
        <v>#N/A</v>
      </c>
      <c r="DE206" t="e">
        <f t="shared" si="103"/>
        <v>#N/A</v>
      </c>
      <c r="DG206" t="e">
        <v>#N/A</v>
      </c>
      <c r="DH206" t="e">
        <v>#N/A</v>
      </c>
    </row>
    <row r="207" spans="32:112">
      <c r="AF207">
        <v>197</v>
      </c>
      <c r="AG207" s="401">
        <f>'Lab test'!N200</f>
        <v>161.92500000000001</v>
      </c>
      <c r="AH207" s="401">
        <f>'Lab test'!M200</f>
        <v>5.0800000000000005E-2</v>
      </c>
      <c r="AI207">
        <f>IF('Lab test'!O200&gt;0,'Lab test'!O200,NA())</f>
        <v>128.05833333333328</v>
      </c>
      <c r="AJ207">
        <f>'Lab test'!Q200</f>
        <v>3187.5</v>
      </c>
      <c r="AK207" s="401">
        <f>IF('Lab test'!V200&gt;0,'Lab test'!V200,NA())</f>
        <v>230974.36932114011</v>
      </c>
      <c r="AL207" s="7" t="e">
        <f>IF(MAX('Lab test'!W200,'Lab test'!X200)&gt;0,MAX('Lab test'!W200,'Lab test'!X200),NA())</f>
        <v>#N/A</v>
      </c>
      <c r="AM207" s="401">
        <f>IF('Lab test'!P200&gt;0,'Lab test'!P200,NA())</f>
        <v>1.4007764856255095E-2</v>
      </c>
      <c r="AN207" s="401" t="e">
        <f>IF('Lab test'!AU200&gt;0,'Lab test'!AU200,NA())</f>
        <v>#N/A</v>
      </c>
      <c r="AO207" s="401">
        <f>IF('Lab test'!AT200&gt;0,'Lab test'!AT200,NA())</f>
        <v>0.13107366177086094</v>
      </c>
      <c r="AP207" t="e">
        <f t="shared" si="82"/>
        <v>#N/A</v>
      </c>
      <c r="AQ207" s="401">
        <f>'Lab test'!AZ200</f>
        <v>1939</v>
      </c>
      <c r="AR207" t="str">
        <f>'Lab test'!AC200</f>
        <v>LTWb</v>
      </c>
      <c r="AS207" t="str">
        <f>'Lab test'!T200</f>
        <v>Steel</v>
      </c>
      <c r="AX207" t="e">
        <f t="shared" si="89"/>
        <v>#N/A</v>
      </c>
      <c r="AY207" t="e">
        <f t="shared" si="86"/>
        <v>#N/A</v>
      </c>
      <c r="AZ207" t="e">
        <f t="shared" si="83"/>
        <v>#N/A</v>
      </c>
      <c r="BA207" t="e">
        <f t="shared" si="83"/>
        <v>#N/A</v>
      </c>
      <c r="BB207" t="e">
        <f t="shared" si="83"/>
        <v>#N/A</v>
      </c>
      <c r="BC207" t="e">
        <f t="shared" si="83"/>
        <v>#N/A</v>
      </c>
      <c r="BD207" t="e">
        <f t="shared" si="83"/>
        <v>#N/A</v>
      </c>
      <c r="BG207" t="e">
        <f t="shared" si="90"/>
        <v>#N/A</v>
      </c>
      <c r="BH207" t="e">
        <f t="shared" si="87"/>
        <v>#N/A</v>
      </c>
      <c r="BI207" t="e">
        <f t="shared" si="84"/>
        <v>#N/A</v>
      </c>
      <c r="BJ207" t="e">
        <f t="shared" si="84"/>
        <v>#N/A</v>
      </c>
      <c r="BK207" t="e">
        <f t="shared" si="84"/>
        <v>#N/A</v>
      </c>
      <c r="BL207" t="e">
        <f t="shared" si="84"/>
        <v>#N/A</v>
      </c>
      <c r="BM207" t="e">
        <f t="shared" si="84"/>
        <v>#N/A</v>
      </c>
      <c r="BP207" t="e">
        <f t="shared" si="91"/>
        <v>#N/A</v>
      </c>
      <c r="BQ207" t="e">
        <f t="shared" si="88"/>
        <v>#N/A</v>
      </c>
      <c r="BR207" t="e">
        <f t="shared" si="85"/>
        <v>#N/A</v>
      </c>
      <c r="BS207" t="e">
        <f t="shared" si="85"/>
        <v>#N/A</v>
      </c>
      <c r="BT207" t="e">
        <f t="shared" si="85"/>
        <v>#N/A</v>
      </c>
      <c r="BU207" t="e">
        <f t="shared" si="85"/>
        <v>#N/A</v>
      </c>
      <c r="BV207" t="e">
        <f t="shared" si="85"/>
        <v>#N/A</v>
      </c>
      <c r="BY207" t="e">
        <f t="shared" si="92"/>
        <v>#N/A</v>
      </c>
      <c r="BZ207" t="e">
        <v>#N/A</v>
      </c>
      <c r="CA207" t="e" cm="1">
        <f t="array" ref="CA207">IF(ISNUMBER(BZ207),AF207/COUNT(IF(ISNUMBER(_xlfn.ANCHORARRAY($BZ$11)),_xlfn.ANCHORARRAY($BZ$11))),NA())</f>
        <v>#N/A</v>
      </c>
      <c r="CB207" t="e">
        <f t="shared" si="93"/>
        <v>#N/A</v>
      </c>
      <c r="CD207" t="e">
        <f t="shared" si="94"/>
        <v>#N/A</v>
      </c>
      <c r="CE207" t="e">
        <f t="shared" si="95"/>
        <v>#N/A</v>
      </c>
      <c r="CG207" t="e">
        <v>#N/A</v>
      </c>
      <c r="CH207" t="e">
        <v>#N/A</v>
      </c>
      <c r="CL207" t="e">
        <f t="shared" si="96"/>
        <v>#N/A</v>
      </c>
      <c r="CM207" t="e">
        <v>#N/A</v>
      </c>
      <c r="CN207" t="e" cm="1">
        <f t="array" ref="CN207">IF(ISNUMBER(CM207),AF207/COUNT(IF(ISNUMBER(_xlfn.ANCHORARRAY($CM$11)),_xlfn.ANCHORARRAY($CM$11))),NA())</f>
        <v>#N/A</v>
      </c>
      <c r="CO207" t="e">
        <f t="shared" si="97"/>
        <v>#N/A</v>
      </c>
      <c r="CQ207" t="e">
        <f t="shared" si="98"/>
        <v>#N/A</v>
      </c>
      <c r="CR207" t="e">
        <f t="shared" si="99"/>
        <v>#N/A</v>
      </c>
      <c r="CT207" t="e">
        <v>#N/A</v>
      </c>
      <c r="CU207" t="e">
        <v>#N/A</v>
      </c>
      <c r="CY207" t="e">
        <f t="shared" si="100"/>
        <v>#N/A</v>
      </c>
      <c r="CZ207" t="e">
        <v>#N/A</v>
      </c>
      <c r="DA207" t="e" cm="1">
        <f t="array" ref="DA207">IF(ISNUMBER(CZ207),AF207/COUNT(IF(ISNUMBER(_xlfn.ANCHORARRAY($CZ$11)),_xlfn.ANCHORARRAY($CZ$11))),NA())</f>
        <v>#N/A</v>
      </c>
      <c r="DB207" t="e">
        <f t="shared" si="101"/>
        <v>#N/A</v>
      </c>
      <c r="DD207" t="e">
        <f t="shared" si="102"/>
        <v>#N/A</v>
      </c>
      <c r="DE207" t="e">
        <f t="shared" si="103"/>
        <v>#N/A</v>
      </c>
      <c r="DG207" t="e">
        <v>#N/A</v>
      </c>
      <c r="DH207" t="e">
        <v>#N/A</v>
      </c>
    </row>
    <row r="208" spans="32:112">
      <c r="AF208">
        <v>198</v>
      </c>
      <c r="AG208" s="401">
        <f>'Lab test'!N201</f>
        <v>161.92500000000001</v>
      </c>
      <c r="AH208" s="401">
        <f>'Lab test'!M201</f>
        <v>5.0800000000000005E-2</v>
      </c>
      <c r="AI208">
        <f>IF('Lab test'!O201&gt;0,'Lab test'!O201,NA())</f>
        <v>128.05833333333328</v>
      </c>
      <c r="AJ208">
        <f>'Lab test'!Q201</f>
        <v>3187.5</v>
      </c>
      <c r="AK208" s="401">
        <f>IF('Lab test'!V201&gt;0,'Lab test'!V201,NA())</f>
        <v>230974.36932114011</v>
      </c>
      <c r="AL208" s="7" t="e">
        <f>IF(MAX('Lab test'!W201,'Lab test'!X201)&gt;0,MAX('Lab test'!W201,'Lab test'!X201),NA())</f>
        <v>#N/A</v>
      </c>
      <c r="AM208" s="401">
        <f>IF('Lab test'!P201&gt;0,'Lab test'!P201,NA())</f>
        <v>1.4007764856255095E-2</v>
      </c>
      <c r="AN208" s="401" t="e">
        <f>IF('Lab test'!AU201&gt;0,'Lab test'!AU201,NA())</f>
        <v>#N/A</v>
      </c>
      <c r="AO208" s="401">
        <f>IF('Lab test'!AT201&gt;0,'Lab test'!AT201,NA())</f>
        <v>0.18033657959516219</v>
      </c>
      <c r="AP208" t="e">
        <f t="shared" si="82"/>
        <v>#N/A</v>
      </c>
      <c r="AQ208" s="401">
        <f>'Lab test'!AZ201</f>
        <v>1939</v>
      </c>
      <c r="AR208" t="str">
        <f>'Lab test'!AC201</f>
        <v>LTWb</v>
      </c>
      <c r="AS208" t="str">
        <f>'Lab test'!T201</f>
        <v>Steel</v>
      </c>
      <c r="AX208" t="e">
        <f t="shared" si="89"/>
        <v>#N/A</v>
      </c>
      <c r="AY208" t="e">
        <f t="shared" si="86"/>
        <v>#N/A</v>
      </c>
      <c r="AZ208" t="e">
        <f t="shared" si="83"/>
        <v>#N/A</v>
      </c>
      <c r="BA208" t="e">
        <f t="shared" si="83"/>
        <v>#N/A</v>
      </c>
      <c r="BB208" t="e">
        <f t="shared" si="83"/>
        <v>#N/A</v>
      </c>
      <c r="BC208" t="e">
        <f t="shared" si="83"/>
        <v>#N/A</v>
      </c>
      <c r="BD208" t="e">
        <f t="shared" si="83"/>
        <v>#N/A</v>
      </c>
      <c r="BG208" t="e">
        <f t="shared" si="90"/>
        <v>#N/A</v>
      </c>
      <c r="BH208" t="e">
        <f t="shared" si="87"/>
        <v>#N/A</v>
      </c>
      <c r="BI208" t="e">
        <f t="shared" si="84"/>
        <v>#N/A</v>
      </c>
      <c r="BJ208" t="e">
        <f t="shared" si="84"/>
        <v>#N/A</v>
      </c>
      <c r="BK208" t="e">
        <f t="shared" si="84"/>
        <v>#N/A</v>
      </c>
      <c r="BL208" t="e">
        <f t="shared" si="84"/>
        <v>#N/A</v>
      </c>
      <c r="BM208" t="e">
        <f t="shared" si="84"/>
        <v>#N/A</v>
      </c>
      <c r="BP208" t="e">
        <f t="shared" si="91"/>
        <v>#N/A</v>
      </c>
      <c r="BQ208" t="e">
        <f t="shared" si="88"/>
        <v>#N/A</v>
      </c>
      <c r="BR208" t="e">
        <f t="shared" si="85"/>
        <v>#N/A</v>
      </c>
      <c r="BS208" t="e">
        <f t="shared" si="85"/>
        <v>#N/A</v>
      </c>
      <c r="BT208" t="e">
        <f t="shared" si="85"/>
        <v>#N/A</v>
      </c>
      <c r="BU208" t="e">
        <f t="shared" si="85"/>
        <v>#N/A</v>
      </c>
      <c r="BV208" t="e">
        <f t="shared" si="85"/>
        <v>#N/A</v>
      </c>
      <c r="BY208" t="e">
        <f t="shared" si="92"/>
        <v>#N/A</v>
      </c>
      <c r="BZ208" t="e">
        <v>#N/A</v>
      </c>
      <c r="CA208" t="e" cm="1">
        <f t="array" ref="CA208">IF(ISNUMBER(BZ208),AF208/COUNT(IF(ISNUMBER(_xlfn.ANCHORARRAY($BZ$11)),_xlfn.ANCHORARRAY($BZ$11))),NA())</f>
        <v>#N/A</v>
      </c>
      <c r="CB208" t="e">
        <f t="shared" si="93"/>
        <v>#N/A</v>
      </c>
      <c r="CD208" t="e">
        <f t="shared" si="94"/>
        <v>#N/A</v>
      </c>
      <c r="CE208" t="e">
        <f t="shared" si="95"/>
        <v>#N/A</v>
      </c>
      <c r="CG208" t="e">
        <v>#N/A</v>
      </c>
      <c r="CH208" t="e">
        <v>#N/A</v>
      </c>
      <c r="CL208" t="e">
        <f t="shared" si="96"/>
        <v>#N/A</v>
      </c>
      <c r="CM208" t="e">
        <v>#N/A</v>
      </c>
      <c r="CN208" t="e" cm="1">
        <f t="array" ref="CN208">IF(ISNUMBER(CM208),AF208/COUNT(IF(ISNUMBER(_xlfn.ANCHORARRAY($CM$11)),_xlfn.ANCHORARRAY($CM$11))),NA())</f>
        <v>#N/A</v>
      </c>
      <c r="CO208" t="e">
        <f t="shared" si="97"/>
        <v>#N/A</v>
      </c>
      <c r="CQ208" t="e">
        <f t="shared" si="98"/>
        <v>#N/A</v>
      </c>
      <c r="CR208" t="e">
        <f t="shared" si="99"/>
        <v>#N/A</v>
      </c>
      <c r="CT208" t="e">
        <v>#N/A</v>
      </c>
      <c r="CU208" t="e">
        <v>#N/A</v>
      </c>
      <c r="CY208" t="e">
        <f t="shared" si="100"/>
        <v>#N/A</v>
      </c>
      <c r="CZ208" t="e">
        <v>#N/A</v>
      </c>
      <c r="DA208" t="e" cm="1">
        <f t="array" ref="DA208">IF(ISNUMBER(CZ208),AF208/COUNT(IF(ISNUMBER(_xlfn.ANCHORARRAY($CZ$11)),_xlfn.ANCHORARRAY($CZ$11))),NA())</f>
        <v>#N/A</v>
      </c>
      <c r="DB208" t="e">
        <f t="shared" si="101"/>
        <v>#N/A</v>
      </c>
      <c r="DD208" t="e">
        <f t="shared" si="102"/>
        <v>#N/A</v>
      </c>
      <c r="DE208" t="e">
        <f t="shared" si="103"/>
        <v>#N/A</v>
      </c>
      <c r="DG208" t="e">
        <v>#N/A</v>
      </c>
      <c r="DH208" t="e">
        <v>#N/A</v>
      </c>
    </row>
    <row r="209" spans="32:112">
      <c r="AF209">
        <v>199</v>
      </c>
      <c r="AG209" s="401">
        <f>'Lab test'!N202</f>
        <v>161.92500000000001</v>
      </c>
      <c r="AH209" s="401">
        <f>'Lab test'!M202</f>
        <v>5.0800000000000005E-2</v>
      </c>
      <c r="AI209">
        <f>IF('Lab test'!O202&gt;0,'Lab test'!O202,NA())</f>
        <v>76.729166666666544</v>
      </c>
      <c r="AJ209">
        <f>'Lab test'!Q202</f>
        <v>3187.5</v>
      </c>
      <c r="AK209" s="401">
        <f>IF('Lab test'!V202&gt;0,'Lab test'!V202,NA())</f>
        <v>230974.36932114011</v>
      </c>
      <c r="AL209" s="7" t="e">
        <f>IF(MAX('Lab test'!W202,'Lab test'!X202)&gt;0,MAX('Lab test'!W202,'Lab test'!X202),NA())</f>
        <v>#N/A</v>
      </c>
      <c r="AM209" s="401">
        <f>IF('Lab test'!P202&gt;0,'Lab test'!P202,NA())</f>
        <v>8.3930822485825882E-3</v>
      </c>
      <c r="AN209" s="401" t="e">
        <f>IF('Lab test'!AU202&gt;0,'Lab test'!AU202,NA())</f>
        <v>#N/A</v>
      </c>
      <c r="AO209" s="401">
        <f>IF('Lab test'!AT202&gt;0,'Lab test'!AT202,NA())</f>
        <v>0.19253430188409193</v>
      </c>
      <c r="AP209" t="e">
        <f t="shared" si="82"/>
        <v>#N/A</v>
      </c>
      <c r="AQ209" s="401">
        <f>'Lab test'!AZ202</f>
        <v>1939</v>
      </c>
      <c r="AR209" t="str">
        <f>'Lab test'!AC202</f>
        <v>LTWb</v>
      </c>
      <c r="AS209" t="str">
        <f>'Lab test'!T202</f>
        <v>Steel</v>
      </c>
      <c r="AX209" t="e">
        <f t="shared" si="89"/>
        <v>#N/A</v>
      </c>
      <c r="AY209" t="e">
        <f t="shared" si="86"/>
        <v>#N/A</v>
      </c>
      <c r="AZ209" t="e">
        <f t="shared" si="83"/>
        <v>#N/A</v>
      </c>
      <c r="BA209" t="e">
        <f t="shared" si="83"/>
        <v>#N/A</v>
      </c>
      <c r="BB209" t="e">
        <f t="shared" si="83"/>
        <v>#N/A</v>
      </c>
      <c r="BC209" t="e">
        <f t="shared" si="83"/>
        <v>#N/A</v>
      </c>
      <c r="BD209" t="e">
        <f t="shared" si="83"/>
        <v>#N/A</v>
      </c>
      <c r="BG209" t="e">
        <f t="shared" si="90"/>
        <v>#N/A</v>
      </c>
      <c r="BH209" t="e">
        <f t="shared" si="87"/>
        <v>#N/A</v>
      </c>
      <c r="BI209" t="e">
        <f t="shared" si="84"/>
        <v>#N/A</v>
      </c>
      <c r="BJ209" t="e">
        <f t="shared" si="84"/>
        <v>#N/A</v>
      </c>
      <c r="BK209" t="e">
        <f t="shared" si="84"/>
        <v>#N/A</v>
      </c>
      <c r="BL209" t="e">
        <f t="shared" si="84"/>
        <v>#N/A</v>
      </c>
      <c r="BM209" t="e">
        <f t="shared" si="84"/>
        <v>#N/A</v>
      </c>
      <c r="BP209" t="e">
        <f t="shared" si="91"/>
        <v>#N/A</v>
      </c>
      <c r="BQ209" t="e">
        <f t="shared" si="88"/>
        <v>#N/A</v>
      </c>
      <c r="BR209" t="e">
        <f t="shared" si="85"/>
        <v>#N/A</v>
      </c>
      <c r="BS209" t="e">
        <f t="shared" si="85"/>
        <v>#N/A</v>
      </c>
      <c r="BT209" t="e">
        <f t="shared" si="85"/>
        <v>#N/A</v>
      </c>
      <c r="BU209" t="e">
        <f t="shared" si="85"/>
        <v>#N/A</v>
      </c>
      <c r="BV209" t="e">
        <f t="shared" si="85"/>
        <v>#N/A</v>
      </c>
      <c r="BY209" t="e">
        <f t="shared" si="92"/>
        <v>#N/A</v>
      </c>
      <c r="BZ209" t="e">
        <v>#N/A</v>
      </c>
      <c r="CA209" t="e" cm="1">
        <f t="array" ref="CA209">IF(ISNUMBER(BZ209),AF209/COUNT(IF(ISNUMBER(_xlfn.ANCHORARRAY($BZ$11)),_xlfn.ANCHORARRAY($BZ$11))),NA())</f>
        <v>#N/A</v>
      </c>
      <c r="CB209" t="e">
        <f t="shared" si="93"/>
        <v>#N/A</v>
      </c>
      <c r="CD209" t="e">
        <f t="shared" si="94"/>
        <v>#N/A</v>
      </c>
      <c r="CE209" t="e">
        <f t="shared" si="95"/>
        <v>#N/A</v>
      </c>
      <c r="CG209" t="e">
        <v>#N/A</v>
      </c>
      <c r="CH209" t="e">
        <v>#N/A</v>
      </c>
      <c r="CL209" t="e">
        <f t="shared" si="96"/>
        <v>#N/A</v>
      </c>
      <c r="CM209" t="e">
        <v>#N/A</v>
      </c>
      <c r="CN209" t="e" cm="1">
        <f t="array" ref="CN209">IF(ISNUMBER(CM209),AF209/COUNT(IF(ISNUMBER(_xlfn.ANCHORARRAY($CM$11)),_xlfn.ANCHORARRAY($CM$11))),NA())</f>
        <v>#N/A</v>
      </c>
      <c r="CO209" t="e">
        <f t="shared" si="97"/>
        <v>#N/A</v>
      </c>
      <c r="CQ209" t="e">
        <f t="shared" si="98"/>
        <v>#N/A</v>
      </c>
      <c r="CR209" t="e">
        <f t="shared" si="99"/>
        <v>#N/A</v>
      </c>
      <c r="CT209" t="e">
        <v>#N/A</v>
      </c>
      <c r="CU209" t="e">
        <v>#N/A</v>
      </c>
      <c r="CY209" t="e">
        <f t="shared" si="100"/>
        <v>#N/A</v>
      </c>
      <c r="CZ209" t="e">
        <v>#N/A</v>
      </c>
      <c r="DA209" t="e" cm="1">
        <f t="array" ref="DA209">IF(ISNUMBER(CZ209),AF209/COUNT(IF(ISNUMBER(_xlfn.ANCHORARRAY($CZ$11)),_xlfn.ANCHORARRAY($CZ$11))),NA())</f>
        <v>#N/A</v>
      </c>
      <c r="DB209" t="e">
        <f t="shared" si="101"/>
        <v>#N/A</v>
      </c>
      <c r="DD209" t="e">
        <f t="shared" si="102"/>
        <v>#N/A</v>
      </c>
      <c r="DE209" t="e">
        <f t="shared" si="103"/>
        <v>#N/A</v>
      </c>
      <c r="DG209" t="e">
        <v>#N/A</v>
      </c>
      <c r="DH209" t="e">
        <v>#N/A</v>
      </c>
    </row>
    <row r="210" spans="32:112">
      <c r="AF210">
        <v>200</v>
      </c>
      <c r="AG210" s="401">
        <f>'Lab test'!N203</f>
        <v>161.92500000000001</v>
      </c>
      <c r="AH210" s="401">
        <f>'Lab test'!M203</f>
        <v>5.0800000000000005E-2</v>
      </c>
      <c r="AI210">
        <f>IF('Lab test'!O203&gt;0,'Lab test'!O203,NA())</f>
        <v>76.729166666666544</v>
      </c>
      <c r="AJ210">
        <f>'Lab test'!Q203</f>
        <v>3187.5</v>
      </c>
      <c r="AK210" s="401">
        <f>IF('Lab test'!V203&gt;0,'Lab test'!V203,NA())</f>
        <v>230974.36932114011</v>
      </c>
      <c r="AL210" s="7" t="e">
        <f>IF(MAX('Lab test'!W203,'Lab test'!X203)&gt;0,MAX('Lab test'!W203,'Lab test'!X203),NA())</f>
        <v>#N/A</v>
      </c>
      <c r="AM210" s="401">
        <f>IF('Lab test'!P203&gt;0,'Lab test'!P203,NA())</f>
        <v>8.3930822485825882E-3</v>
      </c>
      <c r="AN210" s="401" t="e">
        <f>IF('Lab test'!AU203&gt;0,'Lab test'!AU203,NA())</f>
        <v>#N/A</v>
      </c>
      <c r="AO210" s="401">
        <f>IF('Lab test'!AT203&gt;0,'Lab test'!AT203,NA())</f>
        <v>0.20057338017566478</v>
      </c>
      <c r="AP210" t="e">
        <f t="shared" si="82"/>
        <v>#N/A</v>
      </c>
      <c r="AQ210" s="401">
        <f>'Lab test'!AZ203</f>
        <v>1939</v>
      </c>
      <c r="AR210" t="str">
        <f>'Lab test'!AC203</f>
        <v>LTWb</v>
      </c>
      <c r="AS210" t="str">
        <f>'Lab test'!T203</f>
        <v>Steel</v>
      </c>
      <c r="AX210" t="e">
        <f t="shared" si="89"/>
        <v>#N/A</v>
      </c>
      <c r="AY210" t="e">
        <f t="shared" si="86"/>
        <v>#N/A</v>
      </c>
      <c r="AZ210" t="e">
        <f t="shared" si="83"/>
        <v>#N/A</v>
      </c>
      <c r="BA210" t="e">
        <f t="shared" si="83"/>
        <v>#N/A</v>
      </c>
      <c r="BB210" t="e">
        <f t="shared" si="83"/>
        <v>#N/A</v>
      </c>
      <c r="BC210" t="e">
        <f t="shared" si="83"/>
        <v>#N/A</v>
      </c>
      <c r="BD210" t="e">
        <f t="shared" si="83"/>
        <v>#N/A</v>
      </c>
      <c r="BG210" t="e">
        <f t="shared" si="90"/>
        <v>#N/A</v>
      </c>
      <c r="BH210" t="e">
        <f t="shared" si="87"/>
        <v>#N/A</v>
      </c>
      <c r="BI210" t="e">
        <f t="shared" si="84"/>
        <v>#N/A</v>
      </c>
      <c r="BJ210" t="e">
        <f t="shared" si="84"/>
        <v>#N/A</v>
      </c>
      <c r="BK210" t="e">
        <f t="shared" si="84"/>
        <v>#N/A</v>
      </c>
      <c r="BL210" t="e">
        <f t="shared" si="84"/>
        <v>#N/A</v>
      </c>
      <c r="BM210" t="e">
        <f t="shared" si="84"/>
        <v>#N/A</v>
      </c>
      <c r="BP210" t="e">
        <f t="shared" si="91"/>
        <v>#N/A</v>
      </c>
      <c r="BQ210" t="e">
        <f t="shared" si="88"/>
        <v>#N/A</v>
      </c>
      <c r="BR210" t="e">
        <f t="shared" si="85"/>
        <v>#N/A</v>
      </c>
      <c r="BS210" t="e">
        <f t="shared" si="85"/>
        <v>#N/A</v>
      </c>
      <c r="BT210" t="e">
        <f t="shared" si="85"/>
        <v>#N/A</v>
      </c>
      <c r="BU210" t="e">
        <f t="shared" si="85"/>
        <v>#N/A</v>
      </c>
      <c r="BV210" t="e">
        <f t="shared" si="85"/>
        <v>#N/A</v>
      </c>
      <c r="BY210" t="e">
        <f t="shared" si="92"/>
        <v>#N/A</v>
      </c>
      <c r="BZ210" t="e">
        <v>#N/A</v>
      </c>
      <c r="CA210" t="e" cm="1">
        <f t="array" ref="CA210">IF(ISNUMBER(BZ210),AF210/COUNT(IF(ISNUMBER(_xlfn.ANCHORARRAY($BZ$11)),_xlfn.ANCHORARRAY($BZ$11))),NA())</f>
        <v>#N/A</v>
      </c>
      <c r="CB210" t="e">
        <f t="shared" si="93"/>
        <v>#N/A</v>
      </c>
      <c r="CD210" t="e">
        <f t="shared" si="94"/>
        <v>#N/A</v>
      </c>
      <c r="CE210" t="e">
        <f t="shared" si="95"/>
        <v>#N/A</v>
      </c>
      <c r="CG210" t="e">
        <v>#N/A</v>
      </c>
      <c r="CH210" t="e">
        <v>#N/A</v>
      </c>
      <c r="CL210" t="e">
        <f t="shared" si="96"/>
        <v>#N/A</v>
      </c>
      <c r="CM210" t="e">
        <v>#N/A</v>
      </c>
      <c r="CN210" t="e" cm="1">
        <f t="array" ref="CN210">IF(ISNUMBER(CM210),AF210/COUNT(IF(ISNUMBER(_xlfn.ANCHORARRAY($CM$11)),_xlfn.ANCHORARRAY($CM$11))),NA())</f>
        <v>#N/A</v>
      </c>
      <c r="CO210" t="e">
        <f t="shared" si="97"/>
        <v>#N/A</v>
      </c>
      <c r="CQ210" t="e">
        <f t="shared" si="98"/>
        <v>#N/A</v>
      </c>
      <c r="CR210" t="e">
        <f t="shared" si="99"/>
        <v>#N/A</v>
      </c>
      <c r="CT210" t="e">
        <v>#N/A</v>
      </c>
      <c r="CU210" t="e">
        <v>#N/A</v>
      </c>
      <c r="CY210" t="e">
        <f t="shared" si="100"/>
        <v>#N/A</v>
      </c>
      <c r="CZ210" t="e">
        <v>#N/A</v>
      </c>
      <c r="DA210" t="e" cm="1">
        <f t="array" ref="DA210">IF(ISNUMBER(CZ210),AF210/COUNT(IF(ISNUMBER(_xlfn.ANCHORARRAY($CZ$11)),_xlfn.ANCHORARRAY($CZ$11))),NA())</f>
        <v>#N/A</v>
      </c>
      <c r="DB210" t="e">
        <f t="shared" si="101"/>
        <v>#N/A</v>
      </c>
      <c r="DD210" t="e">
        <f t="shared" si="102"/>
        <v>#N/A</v>
      </c>
      <c r="DE210" t="e">
        <f t="shared" si="103"/>
        <v>#N/A</v>
      </c>
      <c r="DG210" t="e">
        <v>#N/A</v>
      </c>
      <c r="DH210" t="e">
        <v>#N/A</v>
      </c>
    </row>
    <row r="211" spans="32:112">
      <c r="AF211">
        <v>201</v>
      </c>
      <c r="AG211" s="401">
        <f>'Lab test'!N204</f>
        <v>161.92500000000001</v>
      </c>
      <c r="AH211" s="401">
        <f>'Lab test'!M204</f>
        <v>5.0800000000000005E-2</v>
      </c>
      <c r="AI211">
        <f>IF('Lab test'!O204&gt;0,'Lab test'!O204,NA())</f>
        <v>52.916666666666664</v>
      </c>
      <c r="AJ211">
        <f>'Lab test'!Q204</f>
        <v>3187.5</v>
      </c>
      <c r="AK211" s="401">
        <f>IF('Lab test'!V204&gt;0,'Lab test'!V204,NA())</f>
        <v>230974.36932114011</v>
      </c>
      <c r="AL211" s="7" t="e">
        <f>IF(MAX('Lab test'!W204,'Lab test'!X204)&gt;0,MAX('Lab test'!W204,'Lab test'!X204),NA())</f>
        <v>#N/A</v>
      </c>
      <c r="AM211" s="401">
        <f>IF('Lab test'!P204&gt;0,'Lab test'!P204,NA())</f>
        <v>5.7883325852293799E-3</v>
      </c>
      <c r="AN211" s="401" t="e">
        <f>IF('Lab test'!AU204&gt;0,'Lab test'!AU204,NA())</f>
        <v>#N/A</v>
      </c>
      <c r="AO211" s="401">
        <f>IF('Lab test'!AT204&gt;0,'Lab test'!AT204,NA())</f>
        <v>0.24012649456431401</v>
      </c>
      <c r="AP211" t="e">
        <f t="shared" si="82"/>
        <v>#N/A</v>
      </c>
      <c r="AQ211" s="401">
        <f>'Lab test'!AZ204</f>
        <v>1939</v>
      </c>
      <c r="AR211" t="str">
        <f>'Lab test'!AC204</f>
        <v>LTWb</v>
      </c>
      <c r="AS211" t="str">
        <f>'Lab test'!T204</f>
        <v>Steel</v>
      </c>
      <c r="AX211" t="e">
        <f t="shared" si="89"/>
        <v>#N/A</v>
      </c>
      <c r="AY211" t="e">
        <f t="shared" si="86"/>
        <v>#N/A</v>
      </c>
      <c r="AZ211" t="e">
        <f t="shared" si="83"/>
        <v>#N/A</v>
      </c>
      <c r="BA211" t="e">
        <f t="shared" si="83"/>
        <v>#N/A</v>
      </c>
      <c r="BB211" t="e">
        <f t="shared" ref="AZ211:BD262" si="104">IF(ISNUMBER($AJ211),IF(ISNUMBER($AP211),IF($AJ211&gt;BB$9,IF($AJ211&lt;=BB$10,IF($AR211=$AW$2,IF($AS211=$AW$6,$AK211,NA()),NA()),NA()),NA()),NA()),NA())</f>
        <v>#N/A</v>
      </c>
      <c r="BC211" t="e">
        <f t="shared" si="104"/>
        <v>#N/A</v>
      </c>
      <c r="BD211" t="e">
        <f t="shared" si="104"/>
        <v>#N/A</v>
      </c>
      <c r="BG211" t="e">
        <f t="shared" si="90"/>
        <v>#N/A</v>
      </c>
      <c r="BH211" t="e">
        <f t="shared" si="87"/>
        <v>#N/A</v>
      </c>
      <c r="BI211" t="e">
        <f t="shared" si="84"/>
        <v>#N/A</v>
      </c>
      <c r="BJ211" t="e">
        <f t="shared" si="84"/>
        <v>#N/A</v>
      </c>
      <c r="BK211" t="e">
        <f t="shared" ref="BI211:BM262" si="105">IF(ISNUMBER($AJ211),IF(ISNUMBER($AP211),IF($AJ211&gt;BK$9,IF($AJ211&lt;=BK$10,IF($AR211=$AW$2,IF($AS211=$BF$6,$AK211,NA()),NA()),NA()),NA()),NA()),NA())</f>
        <v>#N/A</v>
      </c>
      <c r="BL211" t="e">
        <f t="shared" si="105"/>
        <v>#N/A</v>
      </c>
      <c r="BM211" t="e">
        <f t="shared" si="105"/>
        <v>#N/A</v>
      </c>
      <c r="BP211" t="e">
        <f t="shared" si="91"/>
        <v>#N/A</v>
      </c>
      <c r="BQ211" t="e">
        <f t="shared" si="88"/>
        <v>#N/A</v>
      </c>
      <c r="BR211" t="e">
        <f t="shared" si="85"/>
        <v>#N/A</v>
      </c>
      <c r="BS211" t="e">
        <f t="shared" si="85"/>
        <v>#N/A</v>
      </c>
      <c r="BT211" t="e">
        <f t="shared" ref="BR211:BV262" si="106">IF(ISNUMBER($AJ211),IF(ISNUMBER($AP211),IF($AJ211&gt;BT$9,IF($AJ211&lt;=BT$10,IF($AR211=$AW$2,IF($AS211=$BO$6,$AK211,NA()),NA()),NA()),NA()),NA()),NA())</f>
        <v>#N/A</v>
      </c>
      <c r="BU211" t="e">
        <f t="shared" si="106"/>
        <v>#N/A</v>
      </c>
      <c r="BV211" t="e">
        <f t="shared" si="106"/>
        <v>#N/A</v>
      </c>
      <c r="BY211" t="e">
        <f t="shared" si="92"/>
        <v>#N/A</v>
      </c>
      <c r="BZ211" t="e">
        <v>#N/A</v>
      </c>
      <c r="CA211" t="e" cm="1">
        <f t="array" ref="CA211">IF(ISNUMBER(BZ211),AF211/COUNT(IF(ISNUMBER(_xlfn.ANCHORARRAY($BZ$11)),_xlfn.ANCHORARRAY($BZ$11))),NA())</f>
        <v>#N/A</v>
      </c>
      <c r="CB211" t="e">
        <f t="shared" si="93"/>
        <v>#N/A</v>
      </c>
      <c r="CD211" t="e">
        <f t="shared" si="94"/>
        <v>#N/A</v>
      </c>
      <c r="CE211" t="e">
        <f t="shared" si="95"/>
        <v>#N/A</v>
      </c>
      <c r="CG211" t="e">
        <v>#N/A</v>
      </c>
      <c r="CH211" t="e">
        <v>#N/A</v>
      </c>
      <c r="CL211" t="e">
        <f t="shared" si="96"/>
        <v>#N/A</v>
      </c>
      <c r="CM211" t="e">
        <v>#N/A</v>
      </c>
      <c r="CN211" t="e" cm="1">
        <f t="array" ref="CN211">IF(ISNUMBER(CM211),AF211/COUNT(IF(ISNUMBER(_xlfn.ANCHORARRAY($CM$11)),_xlfn.ANCHORARRAY($CM$11))),NA())</f>
        <v>#N/A</v>
      </c>
      <c r="CO211" t="e">
        <f t="shared" si="97"/>
        <v>#N/A</v>
      </c>
      <c r="CQ211" t="e">
        <f t="shared" si="98"/>
        <v>#N/A</v>
      </c>
      <c r="CR211" t="e">
        <f t="shared" si="99"/>
        <v>#N/A</v>
      </c>
      <c r="CT211" t="e">
        <v>#N/A</v>
      </c>
      <c r="CU211" t="e">
        <v>#N/A</v>
      </c>
      <c r="CY211" t="e">
        <f t="shared" si="100"/>
        <v>#N/A</v>
      </c>
      <c r="CZ211" t="e">
        <v>#N/A</v>
      </c>
      <c r="DA211" t="e" cm="1">
        <f t="array" ref="DA211">IF(ISNUMBER(CZ211),AF211/COUNT(IF(ISNUMBER(_xlfn.ANCHORARRAY($CZ$11)),_xlfn.ANCHORARRAY($CZ$11))),NA())</f>
        <v>#N/A</v>
      </c>
      <c r="DB211" t="e">
        <f t="shared" si="101"/>
        <v>#N/A</v>
      </c>
      <c r="DD211" t="e">
        <f t="shared" si="102"/>
        <v>#N/A</v>
      </c>
      <c r="DE211" t="e">
        <f t="shared" si="103"/>
        <v>#N/A</v>
      </c>
      <c r="DG211" t="e">
        <v>#N/A</v>
      </c>
      <c r="DH211" t="e">
        <v>#N/A</v>
      </c>
    </row>
    <row r="212" spans="32:112">
      <c r="AF212">
        <v>202</v>
      </c>
      <c r="AG212" s="401">
        <f>'Lab test'!N205</f>
        <v>161.92500000000001</v>
      </c>
      <c r="AH212" s="401">
        <f>'Lab test'!M205</f>
        <v>5.0800000000000005E-2</v>
      </c>
      <c r="AI212">
        <f>IF('Lab test'!O205&gt;0,'Lab test'!O205,NA())</f>
        <v>40.216666666666598</v>
      </c>
      <c r="AJ212">
        <f>'Lab test'!Q205</f>
        <v>3187.5</v>
      </c>
      <c r="AK212" s="401">
        <f>IF('Lab test'!V205&gt;0,'Lab test'!V205,NA())</f>
        <v>230974.36932114011</v>
      </c>
      <c r="AL212" s="7" t="e">
        <f>IF(MAX('Lab test'!W205,'Lab test'!X205)&gt;0,MAX('Lab test'!W205,'Lab test'!X205),NA())</f>
        <v>#N/A</v>
      </c>
      <c r="AM212" s="401">
        <f>IF('Lab test'!P205&gt;0,'Lab test'!P205,NA())</f>
        <v>4.399132764774322E-3</v>
      </c>
      <c r="AN212" s="401" t="e">
        <f>IF('Lab test'!AU205&gt;0,'Lab test'!AU205,NA())</f>
        <v>#N/A</v>
      </c>
      <c r="AO212" s="401">
        <f>IF('Lab test'!AT205&gt;0,'Lab test'!AT205,NA())</f>
        <v>0.28050962073851138</v>
      </c>
      <c r="AP212" t="e">
        <f t="shared" si="82"/>
        <v>#N/A</v>
      </c>
      <c r="AQ212" s="401">
        <f>'Lab test'!AZ205</f>
        <v>1939</v>
      </c>
      <c r="AR212" t="str">
        <f>'Lab test'!AC205</f>
        <v>LTWb</v>
      </c>
      <c r="AS212" t="str">
        <f>'Lab test'!T205</f>
        <v>Steel</v>
      </c>
      <c r="AX212" t="e">
        <f t="shared" si="89"/>
        <v>#N/A</v>
      </c>
      <c r="AY212" t="e">
        <f t="shared" si="86"/>
        <v>#N/A</v>
      </c>
      <c r="AZ212" t="e">
        <f t="shared" si="104"/>
        <v>#N/A</v>
      </c>
      <c r="BA212" t="e">
        <f t="shared" si="104"/>
        <v>#N/A</v>
      </c>
      <c r="BB212" t="e">
        <f t="shared" si="104"/>
        <v>#N/A</v>
      </c>
      <c r="BC212" t="e">
        <f t="shared" si="104"/>
        <v>#N/A</v>
      </c>
      <c r="BD212" t="e">
        <f t="shared" si="104"/>
        <v>#N/A</v>
      </c>
      <c r="BG212" t="e">
        <f t="shared" si="90"/>
        <v>#N/A</v>
      </c>
      <c r="BH212" t="e">
        <f t="shared" si="87"/>
        <v>#N/A</v>
      </c>
      <c r="BI212" t="e">
        <f t="shared" si="105"/>
        <v>#N/A</v>
      </c>
      <c r="BJ212" t="e">
        <f t="shared" si="105"/>
        <v>#N/A</v>
      </c>
      <c r="BK212" t="e">
        <f t="shared" si="105"/>
        <v>#N/A</v>
      </c>
      <c r="BL212" t="e">
        <f t="shared" si="105"/>
        <v>#N/A</v>
      </c>
      <c r="BM212" t="e">
        <f t="shared" si="105"/>
        <v>#N/A</v>
      </c>
      <c r="BP212" t="e">
        <f t="shared" si="91"/>
        <v>#N/A</v>
      </c>
      <c r="BQ212" t="e">
        <f t="shared" si="88"/>
        <v>#N/A</v>
      </c>
      <c r="BR212" t="e">
        <f t="shared" si="106"/>
        <v>#N/A</v>
      </c>
      <c r="BS212" t="e">
        <f t="shared" si="106"/>
        <v>#N/A</v>
      </c>
      <c r="BT212" t="e">
        <f t="shared" si="106"/>
        <v>#N/A</v>
      </c>
      <c r="BU212" t="e">
        <f t="shared" si="106"/>
        <v>#N/A</v>
      </c>
      <c r="BV212" t="e">
        <f t="shared" si="106"/>
        <v>#N/A</v>
      </c>
      <c r="BY212" t="e">
        <f t="shared" si="92"/>
        <v>#N/A</v>
      </c>
      <c r="BZ212" t="e">
        <v>#N/A</v>
      </c>
      <c r="CA212" t="e" cm="1">
        <f t="array" ref="CA212">IF(ISNUMBER(BZ212),AF212/COUNT(IF(ISNUMBER(_xlfn.ANCHORARRAY($BZ$11)),_xlfn.ANCHORARRAY($BZ$11))),NA())</f>
        <v>#N/A</v>
      </c>
      <c r="CB212" t="e">
        <f t="shared" si="93"/>
        <v>#N/A</v>
      </c>
      <c r="CD212" t="e">
        <f t="shared" si="94"/>
        <v>#N/A</v>
      </c>
      <c r="CE212" t="e">
        <f t="shared" si="95"/>
        <v>#N/A</v>
      </c>
      <c r="CG212" t="e">
        <v>#N/A</v>
      </c>
      <c r="CH212" t="e">
        <v>#N/A</v>
      </c>
      <c r="CL212" t="e">
        <f t="shared" si="96"/>
        <v>#N/A</v>
      </c>
      <c r="CM212" t="e">
        <v>#N/A</v>
      </c>
      <c r="CN212" t="e" cm="1">
        <f t="array" ref="CN212">IF(ISNUMBER(CM212),AF212/COUNT(IF(ISNUMBER(_xlfn.ANCHORARRAY($CM$11)),_xlfn.ANCHORARRAY($CM$11))),NA())</f>
        <v>#N/A</v>
      </c>
      <c r="CO212" t="e">
        <f t="shared" si="97"/>
        <v>#N/A</v>
      </c>
      <c r="CQ212" t="e">
        <f t="shared" si="98"/>
        <v>#N/A</v>
      </c>
      <c r="CR212" t="e">
        <f t="shared" si="99"/>
        <v>#N/A</v>
      </c>
      <c r="CT212" t="e">
        <v>#N/A</v>
      </c>
      <c r="CU212" t="e">
        <v>#N/A</v>
      </c>
      <c r="CY212" t="e">
        <f t="shared" si="100"/>
        <v>#N/A</v>
      </c>
      <c r="CZ212" t="e">
        <v>#N/A</v>
      </c>
      <c r="DA212" t="e" cm="1">
        <f t="array" ref="DA212">IF(ISNUMBER(CZ212),AF212/COUNT(IF(ISNUMBER(_xlfn.ANCHORARRAY($CZ$11)),_xlfn.ANCHORARRAY($CZ$11))),NA())</f>
        <v>#N/A</v>
      </c>
      <c r="DB212" t="e">
        <f t="shared" si="101"/>
        <v>#N/A</v>
      </c>
      <c r="DD212" t="e">
        <f t="shared" si="102"/>
        <v>#N/A</v>
      </c>
      <c r="DE212" t="e">
        <f t="shared" si="103"/>
        <v>#N/A</v>
      </c>
      <c r="DG212" t="e">
        <v>#N/A</v>
      </c>
      <c r="DH212" t="e">
        <v>#N/A</v>
      </c>
    </row>
    <row r="213" spans="32:112">
      <c r="AF213">
        <v>203</v>
      </c>
      <c r="AG213" s="401">
        <f>'Lab test'!N206</f>
        <v>161.92500000000001</v>
      </c>
      <c r="AH213" s="401">
        <f>'Lab test'!M206</f>
        <v>5.0800000000000005E-2</v>
      </c>
      <c r="AI213">
        <f>IF('Lab test'!O206&gt;0,'Lab test'!O206,NA())</f>
        <v>39.158333333333317</v>
      </c>
      <c r="AJ213">
        <f>'Lab test'!Q206</f>
        <v>3187.5</v>
      </c>
      <c r="AK213" s="401">
        <f>IF('Lab test'!V206&gt;0,'Lab test'!V206,NA())</f>
        <v>230974.36932114011</v>
      </c>
      <c r="AL213" s="7" t="e">
        <f>IF(MAX('Lab test'!W206,'Lab test'!X206)&gt;0,MAX('Lab test'!W206,'Lab test'!X206),NA())</f>
        <v>#N/A</v>
      </c>
      <c r="AM213" s="401">
        <f>IF('Lab test'!P206&gt;0,'Lab test'!P206,NA())</f>
        <v>4.2833661130697396E-3</v>
      </c>
      <c r="AN213" s="401" t="e">
        <f>IF('Lab test'!AU206&gt;0,'Lab test'!AU206,NA())</f>
        <v>#N/A</v>
      </c>
      <c r="AO213" s="401">
        <f>IF('Lab test'!AT206&gt;0,'Lab test'!AT206,NA())</f>
        <v>0.29948291201875293</v>
      </c>
      <c r="AP213" t="e">
        <f t="shared" si="82"/>
        <v>#N/A</v>
      </c>
      <c r="AQ213" s="401">
        <f>'Lab test'!AZ206</f>
        <v>1939</v>
      </c>
      <c r="AR213" t="str">
        <f>'Lab test'!AC206</f>
        <v>LTWb</v>
      </c>
      <c r="AS213" t="str">
        <f>'Lab test'!T206</f>
        <v>Steel</v>
      </c>
      <c r="AX213" t="e">
        <f t="shared" si="89"/>
        <v>#N/A</v>
      </c>
      <c r="AY213" t="e">
        <f t="shared" si="86"/>
        <v>#N/A</v>
      </c>
      <c r="AZ213" t="e">
        <f t="shared" si="104"/>
        <v>#N/A</v>
      </c>
      <c r="BA213" t="e">
        <f t="shared" si="104"/>
        <v>#N/A</v>
      </c>
      <c r="BB213" t="e">
        <f t="shared" si="104"/>
        <v>#N/A</v>
      </c>
      <c r="BC213" t="e">
        <f t="shared" si="104"/>
        <v>#N/A</v>
      </c>
      <c r="BD213" t="e">
        <f t="shared" si="104"/>
        <v>#N/A</v>
      </c>
      <c r="BG213" t="e">
        <f t="shared" si="90"/>
        <v>#N/A</v>
      </c>
      <c r="BH213" t="e">
        <f t="shared" si="87"/>
        <v>#N/A</v>
      </c>
      <c r="BI213" t="e">
        <f t="shared" si="105"/>
        <v>#N/A</v>
      </c>
      <c r="BJ213" t="e">
        <f t="shared" si="105"/>
        <v>#N/A</v>
      </c>
      <c r="BK213" t="e">
        <f t="shared" si="105"/>
        <v>#N/A</v>
      </c>
      <c r="BL213" t="e">
        <f t="shared" si="105"/>
        <v>#N/A</v>
      </c>
      <c r="BM213" t="e">
        <f t="shared" si="105"/>
        <v>#N/A</v>
      </c>
      <c r="BP213" t="e">
        <f t="shared" si="91"/>
        <v>#N/A</v>
      </c>
      <c r="BQ213" t="e">
        <f t="shared" si="88"/>
        <v>#N/A</v>
      </c>
      <c r="BR213" t="e">
        <f t="shared" si="106"/>
        <v>#N/A</v>
      </c>
      <c r="BS213" t="e">
        <f t="shared" si="106"/>
        <v>#N/A</v>
      </c>
      <c r="BT213" t="e">
        <f t="shared" si="106"/>
        <v>#N/A</v>
      </c>
      <c r="BU213" t="e">
        <f t="shared" si="106"/>
        <v>#N/A</v>
      </c>
      <c r="BV213" t="e">
        <f t="shared" si="106"/>
        <v>#N/A</v>
      </c>
      <c r="BY213" t="e">
        <f t="shared" si="92"/>
        <v>#N/A</v>
      </c>
      <c r="BZ213" t="e">
        <v>#N/A</v>
      </c>
      <c r="CA213" t="e" cm="1">
        <f t="array" ref="CA213">IF(ISNUMBER(BZ213),AF213/COUNT(IF(ISNUMBER(_xlfn.ANCHORARRAY($BZ$11)),_xlfn.ANCHORARRAY($BZ$11))),NA())</f>
        <v>#N/A</v>
      </c>
      <c r="CB213" t="e">
        <f t="shared" si="93"/>
        <v>#N/A</v>
      </c>
      <c r="CD213" t="e">
        <f t="shared" si="94"/>
        <v>#N/A</v>
      </c>
      <c r="CE213" t="e">
        <f t="shared" si="95"/>
        <v>#N/A</v>
      </c>
      <c r="CG213" t="e">
        <v>#N/A</v>
      </c>
      <c r="CH213" t="e">
        <v>#N/A</v>
      </c>
      <c r="CL213" t="e">
        <f t="shared" si="96"/>
        <v>#N/A</v>
      </c>
      <c r="CM213" t="e">
        <v>#N/A</v>
      </c>
      <c r="CN213" t="e" cm="1">
        <f t="array" ref="CN213">IF(ISNUMBER(CM213),AF213/COUNT(IF(ISNUMBER(_xlfn.ANCHORARRAY($CM$11)),_xlfn.ANCHORARRAY($CM$11))),NA())</f>
        <v>#N/A</v>
      </c>
      <c r="CO213" t="e">
        <f t="shared" si="97"/>
        <v>#N/A</v>
      </c>
      <c r="CQ213" t="e">
        <f t="shared" si="98"/>
        <v>#N/A</v>
      </c>
      <c r="CR213" t="e">
        <f t="shared" si="99"/>
        <v>#N/A</v>
      </c>
      <c r="CT213" t="e">
        <v>#N/A</v>
      </c>
      <c r="CU213" t="e">
        <v>#N/A</v>
      </c>
      <c r="CY213" t="e">
        <f t="shared" si="100"/>
        <v>#N/A</v>
      </c>
      <c r="CZ213" t="e">
        <v>#N/A</v>
      </c>
      <c r="DA213" t="e" cm="1">
        <f t="array" ref="DA213">IF(ISNUMBER(CZ213),AF213/COUNT(IF(ISNUMBER(_xlfn.ANCHORARRAY($CZ$11)),_xlfn.ANCHORARRAY($CZ$11))),NA())</f>
        <v>#N/A</v>
      </c>
      <c r="DB213" t="e">
        <f t="shared" si="101"/>
        <v>#N/A</v>
      </c>
      <c r="DD213" t="e">
        <f t="shared" si="102"/>
        <v>#N/A</v>
      </c>
      <c r="DE213" t="e">
        <f t="shared" si="103"/>
        <v>#N/A</v>
      </c>
      <c r="DG213" t="e">
        <v>#N/A</v>
      </c>
      <c r="DH213" t="e">
        <v>#N/A</v>
      </c>
    </row>
    <row r="214" spans="32:112">
      <c r="AF214">
        <v>204</v>
      </c>
      <c r="AG214" s="401">
        <f>'Lab test'!N207</f>
        <v>161.92500000000001</v>
      </c>
      <c r="AH214" s="401">
        <f>'Lab test'!M207</f>
        <v>5.0800000000000005E-2</v>
      </c>
      <c r="AI214">
        <f>IF('Lab test'!O207&gt;0,'Lab test'!O207,NA())</f>
        <v>27.516666666666534</v>
      </c>
      <c r="AJ214">
        <f>'Lab test'!Q207</f>
        <v>3187.5</v>
      </c>
      <c r="AK214" s="401">
        <f>IF('Lab test'!V207&gt;0,'Lab test'!V207,NA())</f>
        <v>230974.36932114011</v>
      </c>
      <c r="AL214" s="7" t="e">
        <f>IF(MAX('Lab test'!W207,'Lab test'!X207)&gt;0,MAX('Lab test'!W207,'Lab test'!X207),NA())</f>
        <v>#N/A</v>
      </c>
      <c r="AM214" s="401">
        <f>IF('Lab test'!P207&gt;0,'Lab test'!P207,NA())</f>
        <v>3.0099329443192633E-3</v>
      </c>
      <c r="AN214" s="401" t="e">
        <f>IF('Lab test'!AU207&gt;0,'Lab test'!AU207,NA())</f>
        <v>#N/A</v>
      </c>
      <c r="AO214" s="401">
        <f>IF('Lab test'!AT207&gt;0,'Lab test'!AT207,NA())</f>
        <v>0.45084144898790601</v>
      </c>
      <c r="AP214" t="e">
        <f t="shared" si="82"/>
        <v>#N/A</v>
      </c>
      <c r="AQ214" s="401">
        <f>'Lab test'!AZ207</f>
        <v>1939</v>
      </c>
      <c r="AR214" t="str">
        <f>'Lab test'!AC207</f>
        <v>LTWb</v>
      </c>
      <c r="AS214" t="str">
        <f>'Lab test'!T207</f>
        <v>Steel</v>
      </c>
      <c r="AX214" t="e">
        <f t="shared" si="89"/>
        <v>#N/A</v>
      </c>
      <c r="AY214" t="e">
        <f t="shared" si="86"/>
        <v>#N/A</v>
      </c>
      <c r="AZ214" t="e">
        <f t="shared" si="104"/>
        <v>#N/A</v>
      </c>
      <c r="BA214" t="e">
        <f t="shared" si="104"/>
        <v>#N/A</v>
      </c>
      <c r="BB214" t="e">
        <f t="shared" si="104"/>
        <v>#N/A</v>
      </c>
      <c r="BC214" t="e">
        <f t="shared" si="104"/>
        <v>#N/A</v>
      </c>
      <c r="BD214" t="e">
        <f t="shared" si="104"/>
        <v>#N/A</v>
      </c>
      <c r="BG214" t="e">
        <f t="shared" si="90"/>
        <v>#N/A</v>
      </c>
      <c r="BH214" t="e">
        <f t="shared" si="87"/>
        <v>#N/A</v>
      </c>
      <c r="BI214" t="e">
        <f t="shared" si="105"/>
        <v>#N/A</v>
      </c>
      <c r="BJ214" t="e">
        <f t="shared" si="105"/>
        <v>#N/A</v>
      </c>
      <c r="BK214" t="e">
        <f t="shared" si="105"/>
        <v>#N/A</v>
      </c>
      <c r="BL214" t="e">
        <f t="shared" si="105"/>
        <v>#N/A</v>
      </c>
      <c r="BM214" t="e">
        <f t="shared" si="105"/>
        <v>#N/A</v>
      </c>
      <c r="BP214" t="e">
        <f t="shared" si="91"/>
        <v>#N/A</v>
      </c>
      <c r="BQ214" t="e">
        <f t="shared" si="88"/>
        <v>#N/A</v>
      </c>
      <c r="BR214" t="e">
        <f t="shared" si="106"/>
        <v>#N/A</v>
      </c>
      <c r="BS214" t="e">
        <f t="shared" si="106"/>
        <v>#N/A</v>
      </c>
      <c r="BT214" t="e">
        <f t="shared" si="106"/>
        <v>#N/A</v>
      </c>
      <c r="BU214" t="e">
        <f t="shared" si="106"/>
        <v>#N/A</v>
      </c>
      <c r="BV214" t="e">
        <f t="shared" si="106"/>
        <v>#N/A</v>
      </c>
      <c r="BY214" t="e">
        <f t="shared" si="92"/>
        <v>#N/A</v>
      </c>
      <c r="BZ214" t="e">
        <v>#N/A</v>
      </c>
      <c r="CA214" t="e" cm="1">
        <f t="array" ref="CA214">IF(ISNUMBER(BZ214),AF214/COUNT(IF(ISNUMBER(_xlfn.ANCHORARRAY($BZ$11)),_xlfn.ANCHORARRAY($BZ$11))),NA())</f>
        <v>#N/A</v>
      </c>
      <c r="CB214" t="e">
        <f t="shared" si="93"/>
        <v>#N/A</v>
      </c>
      <c r="CD214" t="e">
        <f t="shared" si="94"/>
        <v>#N/A</v>
      </c>
      <c r="CE214" t="e">
        <f t="shared" si="95"/>
        <v>#N/A</v>
      </c>
      <c r="CG214" t="e">
        <v>#N/A</v>
      </c>
      <c r="CH214" t="e">
        <v>#N/A</v>
      </c>
      <c r="CL214" t="e">
        <f t="shared" si="96"/>
        <v>#N/A</v>
      </c>
      <c r="CM214" t="e">
        <v>#N/A</v>
      </c>
      <c r="CN214" t="e" cm="1">
        <f t="array" ref="CN214">IF(ISNUMBER(CM214),AF214/COUNT(IF(ISNUMBER(_xlfn.ANCHORARRAY($CM$11)),_xlfn.ANCHORARRAY($CM$11))),NA())</f>
        <v>#N/A</v>
      </c>
      <c r="CO214" t="e">
        <f t="shared" si="97"/>
        <v>#N/A</v>
      </c>
      <c r="CQ214" t="e">
        <f t="shared" si="98"/>
        <v>#N/A</v>
      </c>
      <c r="CR214" t="e">
        <f t="shared" si="99"/>
        <v>#N/A</v>
      </c>
      <c r="CT214" t="e">
        <v>#N/A</v>
      </c>
      <c r="CU214" t="e">
        <v>#N/A</v>
      </c>
      <c r="CY214" t="e">
        <f t="shared" si="100"/>
        <v>#N/A</v>
      </c>
      <c r="CZ214" t="e">
        <v>#N/A</v>
      </c>
      <c r="DA214" t="e" cm="1">
        <f t="array" ref="DA214">IF(ISNUMBER(CZ214),AF214/COUNT(IF(ISNUMBER(_xlfn.ANCHORARRAY($CZ$11)),_xlfn.ANCHORARRAY($CZ$11))),NA())</f>
        <v>#N/A</v>
      </c>
      <c r="DB214" t="e">
        <f t="shared" si="101"/>
        <v>#N/A</v>
      </c>
      <c r="DD214" t="e">
        <f t="shared" si="102"/>
        <v>#N/A</v>
      </c>
      <c r="DE214" t="e">
        <f t="shared" si="103"/>
        <v>#N/A</v>
      </c>
      <c r="DG214" t="e">
        <v>#N/A</v>
      </c>
      <c r="DH214" t="e">
        <v>#N/A</v>
      </c>
    </row>
    <row r="215" spans="32:112">
      <c r="AF215">
        <v>205</v>
      </c>
      <c r="AG215" s="401">
        <f>'Lab test'!N208</f>
        <v>161.92500000000001</v>
      </c>
      <c r="AH215" s="401">
        <f>'Lab test'!M208</f>
        <v>5.0800000000000005E-2</v>
      </c>
      <c r="AI215">
        <f>IF('Lab test'!O208&gt;0,'Lab test'!O208,NA())</f>
        <v>12.699999999999983</v>
      </c>
      <c r="AJ215">
        <f>'Lab test'!Q208</f>
        <v>3187.5</v>
      </c>
      <c r="AK215" s="401">
        <f>IF('Lab test'!V208&gt;0,'Lab test'!V208,NA())</f>
        <v>230974.36932114011</v>
      </c>
      <c r="AL215" s="7" t="e">
        <f>IF(MAX('Lab test'!W208,'Lab test'!X208)&gt;0,MAX('Lab test'!W208,'Lab test'!X208),NA())</f>
        <v>#N/A</v>
      </c>
      <c r="AM215" s="401">
        <f>IF('Lab test'!P208&gt;0,'Lab test'!P208,NA())</f>
        <v>1.3891998204550494E-3</v>
      </c>
      <c r="AN215" s="401" t="e">
        <f>IF('Lab test'!AU208&gt;0,'Lab test'!AU208,NA())</f>
        <v>#N/A</v>
      </c>
      <c r="AO215" s="401">
        <f>IF('Lab test'!AT208&gt;0,'Lab test'!AT208,NA())</f>
        <v>0.70703482494443437</v>
      </c>
      <c r="AP215" t="e">
        <f t="shared" ref="AP215:AP278" si="107">IF(AND(OR(ISNUMBER(AN215),ISNUMBER(AO215)),ISNUMBER(AK215),ISNUMBER(AL215)),1,NA())</f>
        <v>#N/A</v>
      </c>
      <c r="AQ215" s="401">
        <f>'Lab test'!AZ208</f>
        <v>1939</v>
      </c>
      <c r="AR215" t="str">
        <f>'Lab test'!AC208</f>
        <v>LTWb</v>
      </c>
      <c r="AS215" t="str">
        <f>'Lab test'!T208</f>
        <v>Steel</v>
      </c>
      <c r="AX215" t="e">
        <f t="shared" si="89"/>
        <v>#N/A</v>
      </c>
      <c r="AY215" t="e">
        <f t="shared" si="86"/>
        <v>#N/A</v>
      </c>
      <c r="AZ215" t="e">
        <f t="shared" si="104"/>
        <v>#N/A</v>
      </c>
      <c r="BA215" t="e">
        <f t="shared" si="104"/>
        <v>#N/A</v>
      </c>
      <c r="BB215" t="e">
        <f t="shared" si="104"/>
        <v>#N/A</v>
      </c>
      <c r="BC215" t="e">
        <f t="shared" si="104"/>
        <v>#N/A</v>
      </c>
      <c r="BD215" t="e">
        <f t="shared" si="104"/>
        <v>#N/A</v>
      </c>
      <c r="BG215" t="e">
        <f t="shared" si="90"/>
        <v>#N/A</v>
      </c>
      <c r="BH215" t="e">
        <f t="shared" si="87"/>
        <v>#N/A</v>
      </c>
      <c r="BI215" t="e">
        <f t="shared" si="105"/>
        <v>#N/A</v>
      </c>
      <c r="BJ215" t="e">
        <f t="shared" si="105"/>
        <v>#N/A</v>
      </c>
      <c r="BK215" t="e">
        <f t="shared" si="105"/>
        <v>#N/A</v>
      </c>
      <c r="BL215" t="e">
        <f t="shared" si="105"/>
        <v>#N/A</v>
      </c>
      <c r="BM215" t="e">
        <f t="shared" si="105"/>
        <v>#N/A</v>
      </c>
      <c r="BP215" t="e">
        <f t="shared" si="91"/>
        <v>#N/A</v>
      </c>
      <c r="BQ215" t="e">
        <f t="shared" si="88"/>
        <v>#N/A</v>
      </c>
      <c r="BR215" t="e">
        <f t="shared" si="106"/>
        <v>#N/A</v>
      </c>
      <c r="BS215" t="e">
        <f t="shared" si="106"/>
        <v>#N/A</v>
      </c>
      <c r="BT215" t="e">
        <f t="shared" si="106"/>
        <v>#N/A</v>
      </c>
      <c r="BU215" t="e">
        <f t="shared" si="106"/>
        <v>#N/A</v>
      </c>
      <c r="BV215" t="e">
        <f t="shared" si="106"/>
        <v>#N/A</v>
      </c>
      <c r="BY215" t="e">
        <f t="shared" si="92"/>
        <v>#N/A</v>
      </c>
      <c r="BZ215" t="e">
        <v>#N/A</v>
      </c>
      <c r="CA215" t="e" cm="1">
        <f t="array" ref="CA215">IF(ISNUMBER(BZ215),AF215/COUNT(IF(ISNUMBER(_xlfn.ANCHORARRAY($BZ$11)),_xlfn.ANCHORARRAY($BZ$11))),NA())</f>
        <v>#N/A</v>
      </c>
      <c r="CB215" t="e">
        <f t="shared" si="93"/>
        <v>#N/A</v>
      </c>
      <c r="CD215" t="e">
        <f t="shared" si="94"/>
        <v>#N/A</v>
      </c>
      <c r="CE215" t="e">
        <f t="shared" si="95"/>
        <v>#N/A</v>
      </c>
      <c r="CG215" t="e">
        <v>#N/A</v>
      </c>
      <c r="CH215" t="e">
        <v>#N/A</v>
      </c>
      <c r="CL215" t="e">
        <f t="shared" si="96"/>
        <v>#N/A</v>
      </c>
      <c r="CM215" t="e">
        <v>#N/A</v>
      </c>
      <c r="CN215" t="e" cm="1">
        <f t="array" ref="CN215">IF(ISNUMBER(CM215),AF215/COUNT(IF(ISNUMBER(_xlfn.ANCHORARRAY($CM$11)),_xlfn.ANCHORARRAY($CM$11))),NA())</f>
        <v>#N/A</v>
      </c>
      <c r="CO215" t="e">
        <f t="shared" si="97"/>
        <v>#N/A</v>
      </c>
      <c r="CQ215" t="e">
        <f t="shared" si="98"/>
        <v>#N/A</v>
      </c>
      <c r="CR215" t="e">
        <f t="shared" si="99"/>
        <v>#N/A</v>
      </c>
      <c r="CT215" t="e">
        <v>#N/A</v>
      </c>
      <c r="CU215" t="e">
        <v>#N/A</v>
      </c>
      <c r="CY215" t="e">
        <f t="shared" si="100"/>
        <v>#N/A</v>
      </c>
      <c r="CZ215" t="e">
        <v>#N/A</v>
      </c>
      <c r="DA215" t="e" cm="1">
        <f t="array" ref="DA215">IF(ISNUMBER(CZ215),AF215/COUNT(IF(ISNUMBER(_xlfn.ANCHORARRAY($CZ$11)),_xlfn.ANCHORARRAY($CZ$11))),NA())</f>
        <v>#N/A</v>
      </c>
      <c r="DB215" t="e">
        <f t="shared" si="101"/>
        <v>#N/A</v>
      </c>
      <c r="DD215" t="e">
        <f t="shared" si="102"/>
        <v>#N/A</v>
      </c>
      <c r="DE215" t="e">
        <f t="shared" si="103"/>
        <v>#N/A</v>
      </c>
      <c r="DG215" t="e">
        <v>#N/A</v>
      </c>
      <c r="DH215" t="e">
        <v>#N/A</v>
      </c>
    </row>
    <row r="216" spans="32:112">
      <c r="AF216">
        <v>206</v>
      </c>
      <c r="AG216" s="401">
        <f>'Lab test'!N209</f>
        <v>161.92500000000001</v>
      </c>
      <c r="AH216" s="401">
        <f>'Lab test'!M209</f>
        <v>5.0800000000000005E-2</v>
      </c>
      <c r="AI216">
        <f>IF('Lab test'!O209&gt;0,'Lab test'!O209,NA())</f>
        <v>10.054166666666658</v>
      </c>
      <c r="AJ216">
        <f>'Lab test'!Q209</f>
        <v>3187.5</v>
      </c>
      <c r="AK216" s="401">
        <f>IF('Lab test'!V209&gt;0,'Lab test'!V209,NA())</f>
        <v>230974.36932114011</v>
      </c>
      <c r="AL216" s="7" t="e">
        <f>IF(MAX('Lab test'!W209,'Lab test'!X209)&gt;0,MAX('Lab test'!W209,'Lab test'!X209),NA())</f>
        <v>#N/A</v>
      </c>
      <c r="AM216" s="401">
        <f>IF('Lab test'!P209&gt;0,'Lab test'!P209,NA())</f>
        <v>1.0997831911935814E-3</v>
      </c>
      <c r="AN216" s="401" t="e">
        <f>IF('Lab test'!AU209&gt;0,'Lab test'!AU209,NA())</f>
        <v>#N/A</v>
      </c>
      <c r="AO216" s="401">
        <f>IF('Lab test'!AT209&gt;0,'Lab test'!AT209,NA())</f>
        <v>0.7799688079038315</v>
      </c>
      <c r="AP216" t="e">
        <f t="shared" si="107"/>
        <v>#N/A</v>
      </c>
      <c r="AQ216" s="401">
        <f>'Lab test'!AZ209</f>
        <v>1939</v>
      </c>
      <c r="AR216" t="str">
        <f>'Lab test'!AC209</f>
        <v>LTWb</v>
      </c>
      <c r="AS216" t="str">
        <f>'Lab test'!T209</f>
        <v>Steel</v>
      </c>
      <c r="AX216" t="e">
        <f t="shared" si="89"/>
        <v>#N/A</v>
      </c>
      <c r="AY216" t="e">
        <f t="shared" si="86"/>
        <v>#N/A</v>
      </c>
      <c r="AZ216" t="e">
        <f t="shared" si="104"/>
        <v>#N/A</v>
      </c>
      <c r="BA216" t="e">
        <f t="shared" si="104"/>
        <v>#N/A</v>
      </c>
      <c r="BB216" t="e">
        <f t="shared" si="104"/>
        <v>#N/A</v>
      </c>
      <c r="BC216" t="e">
        <f t="shared" si="104"/>
        <v>#N/A</v>
      </c>
      <c r="BD216" t="e">
        <f t="shared" si="104"/>
        <v>#N/A</v>
      </c>
      <c r="BG216" t="e">
        <f t="shared" si="90"/>
        <v>#N/A</v>
      </c>
      <c r="BH216" t="e">
        <f t="shared" si="87"/>
        <v>#N/A</v>
      </c>
      <c r="BI216" t="e">
        <f t="shared" si="105"/>
        <v>#N/A</v>
      </c>
      <c r="BJ216" t="e">
        <f t="shared" si="105"/>
        <v>#N/A</v>
      </c>
      <c r="BK216" t="e">
        <f t="shared" si="105"/>
        <v>#N/A</v>
      </c>
      <c r="BL216" t="e">
        <f t="shared" si="105"/>
        <v>#N/A</v>
      </c>
      <c r="BM216" t="e">
        <f t="shared" si="105"/>
        <v>#N/A</v>
      </c>
      <c r="BP216" t="e">
        <f t="shared" si="91"/>
        <v>#N/A</v>
      </c>
      <c r="BQ216" t="e">
        <f t="shared" si="88"/>
        <v>#N/A</v>
      </c>
      <c r="BR216" t="e">
        <f t="shared" si="106"/>
        <v>#N/A</v>
      </c>
      <c r="BS216" t="e">
        <f t="shared" si="106"/>
        <v>#N/A</v>
      </c>
      <c r="BT216" t="e">
        <f t="shared" si="106"/>
        <v>#N/A</v>
      </c>
      <c r="BU216" t="e">
        <f t="shared" si="106"/>
        <v>#N/A</v>
      </c>
      <c r="BV216" t="e">
        <f t="shared" si="106"/>
        <v>#N/A</v>
      </c>
      <c r="BY216" t="e">
        <f t="shared" si="92"/>
        <v>#N/A</v>
      </c>
      <c r="BZ216" t="e">
        <v>#N/A</v>
      </c>
      <c r="CA216" t="e" cm="1">
        <f t="array" ref="CA216">IF(ISNUMBER(BZ216),AF216/COUNT(IF(ISNUMBER(_xlfn.ANCHORARRAY($BZ$11)),_xlfn.ANCHORARRAY($BZ$11))),NA())</f>
        <v>#N/A</v>
      </c>
      <c r="CB216" t="e">
        <f t="shared" si="93"/>
        <v>#N/A</v>
      </c>
      <c r="CD216" t="e">
        <f t="shared" si="94"/>
        <v>#N/A</v>
      </c>
      <c r="CE216" t="e">
        <f t="shared" si="95"/>
        <v>#N/A</v>
      </c>
      <c r="CG216" t="e">
        <v>#N/A</v>
      </c>
      <c r="CH216" t="e">
        <v>#N/A</v>
      </c>
      <c r="CL216" t="e">
        <f t="shared" si="96"/>
        <v>#N/A</v>
      </c>
      <c r="CM216" t="e">
        <v>#N/A</v>
      </c>
      <c r="CN216" t="e" cm="1">
        <f t="array" ref="CN216">IF(ISNUMBER(CM216),AF216/COUNT(IF(ISNUMBER(_xlfn.ANCHORARRAY($CM$11)),_xlfn.ANCHORARRAY($CM$11))),NA())</f>
        <v>#N/A</v>
      </c>
      <c r="CO216" t="e">
        <f t="shared" si="97"/>
        <v>#N/A</v>
      </c>
      <c r="CQ216" t="e">
        <f t="shared" si="98"/>
        <v>#N/A</v>
      </c>
      <c r="CR216" t="e">
        <f t="shared" si="99"/>
        <v>#N/A</v>
      </c>
      <c r="CT216" t="e">
        <v>#N/A</v>
      </c>
      <c r="CU216" t="e">
        <v>#N/A</v>
      </c>
      <c r="CY216" t="e">
        <f t="shared" si="100"/>
        <v>#N/A</v>
      </c>
      <c r="CZ216" t="e">
        <v>#N/A</v>
      </c>
      <c r="DA216" t="e" cm="1">
        <f t="array" ref="DA216">IF(ISNUMBER(CZ216),AF216/COUNT(IF(ISNUMBER(_xlfn.ANCHORARRAY($CZ$11)),_xlfn.ANCHORARRAY($CZ$11))),NA())</f>
        <v>#N/A</v>
      </c>
      <c r="DB216" t="e">
        <f t="shared" si="101"/>
        <v>#N/A</v>
      </c>
      <c r="DD216" t="e">
        <f t="shared" si="102"/>
        <v>#N/A</v>
      </c>
      <c r="DE216" t="e">
        <f t="shared" si="103"/>
        <v>#N/A</v>
      </c>
      <c r="DG216" t="e">
        <v>#N/A</v>
      </c>
      <c r="DH216" t="e">
        <v>#N/A</v>
      </c>
    </row>
    <row r="217" spans="32:112">
      <c r="AF217">
        <v>207</v>
      </c>
      <c r="AG217" s="401">
        <f>'Lab test'!N210</f>
        <v>161.92500000000001</v>
      </c>
      <c r="AH217" s="401">
        <f>'Lab test'!M210</f>
        <v>5.0800000000000005E-2</v>
      </c>
      <c r="AI217">
        <f>IF('Lab test'!O210&gt;0,'Lab test'!O210,NA())</f>
        <v>5.8208333333333258</v>
      </c>
      <c r="AJ217">
        <f>'Lab test'!Q210</f>
        <v>3187.5</v>
      </c>
      <c r="AK217" s="401">
        <f>IF('Lab test'!V210&gt;0,'Lab test'!V210,NA())</f>
        <v>230974.36932114011</v>
      </c>
      <c r="AL217" s="7" t="e">
        <f>IF(MAX('Lab test'!W210,'Lab test'!X210)&gt;0,MAX('Lab test'!W210,'Lab test'!X210),NA())</f>
        <v>#N/A</v>
      </c>
      <c r="AM217" s="401">
        <f>IF('Lab test'!P210&gt;0,'Lab test'!P210,NA())</f>
        <v>6.3671658437523099E-4</v>
      </c>
      <c r="AN217" s="401" t="e">
        <f>IF('Lab test'!AU210&gt;0,'Lab test'!AU210,NA())</f>
        <v>#N/A</v>
      </c>
      <c r="AO217" s="401">
        <f>IF('Lab test'!AT210&gt;0,'Lab test'!AT210,NA())</f>
        <v>0.98075885316822609</v>
      </c>
      <c r="AP217" t="e">
        <f t="shared" si="107"/>
        <v>#N/A</v>
      </c>
      <c r="AQ217" s="401">
        <f>'Lab test'!AZ210</f>
        <v>1939</v>
      </c>
      <c r="AR217" t="str">
        <f>'Lab test'!AC210</f>
        <v>LTWb</v>
      </c>
      <c r="AS217" t="str">
        <f>'Lab test'!T210</f>
        <v>Steel</v>
      </c>
      <c r="AX217" t="e">
        <f t="shared" si="89"/>
        <v>#N/A</v>
      </c>
      <c r="AY217" t="e">
        <f t="shared" si="86"/>
        <v>#N/A</v>
      </c>
      <c r="AZ217" t="e">
        <f t="shared" si="104"/>
        <v>#N/A</v>
      </c>
      <c r="BA217" t="e">
        <f t="shared" si="104"/>
        <v>#N/A</v>
      </c>
      <c r="BB217" t="e">
        <f t="shared" si="104"/>
        <v>#N/A</v>
      </c>
      <c r="BC217" t="e">
        <f t="shared" si="104"/>
        <v>#N/A</v>
      </c>
      <c r="BD217" t="e">
        <f t="shared" si="104"/>
        <v>#N/A</v>
      </c>
      <c r="BG217" t="e">
        <f t="shared" si="90"/>
        <v>#N/A</v>
      </c>
      <c r="BH217" t="e">
        <f t="shared" si="87"/>
        <v>#N/A</v>
      </c>
      <c r="BI217" t="e">
        <f t="shared" si="105"/>
        <v>#N/A</v>
      </c>
      <c r="BJ217" t="e">
        <f t="shared" si="105"/>
        <v>#N/A</v>
      </c>
      <c r="BK217" t="e">
        <f t="shared" si="105"/>
        <v>#N/A</v>
      </c>
      <c r="BL217" t="e">
        <f t="shared" si="105"/>
        <v>#N/A</v>
      </c>
      <c r="BM217" t="e">
        <f t="shared" si="105"/>
        <v>#N/A</v>
      </c>
      <c r="BP217" t="e">
        <f t="shared" si="91"/>
        <v>#N/A</v>
      </c>
      <c r="BQ217" t="e">
        <f t="shared" si="88"/>
        <v>#N/A</v>
      </c>
      <c r="BR217" t="e">
        <f t="shared" si="106"/>
        <v>#N/A</v>
      </c>
      <c r="BS217" t="e">
        <f t="shared" si="106"/>
        <v>#N/A</v>
      </c>
      <c r="BT217" t="e">
        <f t="shared" si="106"/>
        <v>#N/A</v>
      </c>
      <c r="BU217" t="e">
        <f t="shared" si="106"/>
        <v>#N/A</v>
      </c>
      <c r="BV217" t="e">
        <f t="shared" si="106"/>
        <v>#N/A</v>
      </c>
      <c r="BY217" t="e">
        <f t="shared" si="92"/>
        <v>#N/A</v>
      </c>
      <c r="BZ217" t="e">
        <v>#N/A</v>
      </c>
      <c r="CA217" t="e" cm="1">
        <f t="array" ref="CA217">IF(ISNUMBER(BZ217),AF217/COUNT(IF(ISNUMBER(_xlfn.ANCHORARRAY($BZ$11)),_xlfn.ANCHORARRAY($BZ$11))),NA())</f>
        <v>#N/A</v>
      </c>
      <c r="CB217" t="e">
        <f t="shared" si="93"/>
        <v>#N/A</v>
      </c>
      <c r="CD217" t="e">
        <f t="shared" si="94"/>
        <v>#N/A</v>
      </c>
      <c r="CE217" t="e">
        <f t="shared" si="95"/>
        <v>#N/A</v>
      </c>
      <c r="CG217" t="e">
        <v>#N/A</v>
      </c>
      <c r="CH217" t="e">
        <v>#N/A</v>
      </c>
      <c r="CL217" t="e">
        <f t="shared" si="96"/>
        <v>#N/A</v>
      </c>
      <c r="CM217" t="e">
        <v>#N/A</v>
      </c>
      <c r="CN217" t="e" cm="1">
        <f t="array" ref="CN217">IF(ISNUMBER(CM217),AF217/COUNT(IF(ISNUMBER(_xlfn.ANCHORARRAY($CM$11)),_xlfn.ANCHORARRAY($CM$11))),NA())</f>
        <v>#N/A</v>
      </c>
      <c r="CO217" t="e">
        <f t="shared" si="97"/>
        <v>#N/A</v>
      </c>
      <c r="CQ217" t="e">
        <f t="shared" si="98"/>
        <v>#N/A</v>
      </c>
      <c r="CR217" t="e">
        <f t="shared" si="99"/>
        <v>#N/A</v>
      </c>
      <c r="CT217" t="e">
        <v>#N/A</v>
      </c>
      <c r="CU217" t="e">
        <v>#N/A</v>
      </c>
      <c r="CY217" t="e">
        <f t="shared" si="100"/>
        <v>#N/A</v>
      </c>
      <c r="CZ217" t="e">
        <v>#N/A</v>
      </c>
      <c r="DA217" t="e" cm="1">
        <f t="array" ref="DA217">IF(ISNUMBER(CZ217),AF217/COUNT(IF(ISNUMBER(_xlfn.ANCHORARRAY($CZ$11)),_xlfn.ANCHORARRAY($CZ$11))),NA())</f>
        <v>#N/A</v>
      </c>
      <c r="DB217" t="e">
        <f t="shared" si="101"/>
        <v>#N/A</v>
      </c>
      <c r="DD217" t="e">
        <f t="shared" si="102"/>
        <v>#N/A</v>
      </c>
      <c r="DE217" t="e">
        <f t="shared" si="103"/>
        <v>#N/A</v>
      </c>
      <c r="DG217" t="e">
        <v>#N/A</v>
      </c>
      <c r="DH217" t="e">
        <v>#N/A</v>
      </c>
    </row>
    <row r="218" spans="32:112">
      <c r="AF218">
        <v>208</v>
      </c>
      <c r="AG218" s="401">
        <f>'Lab test'!N211</f>
        <v>161.92500000000001</v>
      </c>
      <c r="AH218" s="401">
        <f>'Lab test'!M211</f>
        <v>5.0800000000000005E-2</v>
      </c>
      <c r="AI218">
        <f>IF('Lab test'!O211&gt;0,'Lab test'!O211,NA())</f>
        <v>5.8208333333333258</v>
      </c>
      <c r="AJ218">
        <f>'Lab test'!Q211</f>
        <v>3187.5</v>
      </c>
      <c r="AK218" s="401">
        <f>IF('Lab test'!V211&gt;0,'Lab test'!V211,NA())</f>
        <v>230974.36932114011</v>
      </c>
      <c r="AL218" s="7" t="e">
        <f>IF(MAX('Lab test'!W211,'Lab test'!X211)&gt;0,MAX('Lab test'!W211,'Lab test'!X211),NA())</f>
        <v>#N/A</v>
      </c>
      <c r="AM218" s="401">
        <f>IF('Lab test'!P211&gt;0,'Lab test'!P211,NA())</f>
        <v>6.3671658437523099E-4</v>
      </c>
      <c r="AN218" s="401" t="e">
        <f>IF('Lab test'!AU211&gt;0,'Lab test'!AU211,NA())</f>
        <v>#N/A</v>
      </c>
      <c r="AO218" s="401">
        <f>IF('Lab test'!AT211&gt;0,'Lab test'!AT211,NA())</f>
        <v>1.0908165096552418</v>
      </c>
      <c r="AP218" t="e">
        <f t="shared" si="107"/>
        <v>#N/A</v>
      </c>
      <c r="AQ218" s="401">
        <f>'Lab test'!AZ211</f>
        <v>1939</v>
      </c>
      <c r="AR218" t="str">
        <f>'Lab test'!AC211</f>
        <v>LTWb</v>
      </c>
      <c r="AS218" t="str">
        <f>'Lab test'!T211</f>
        <v>Steel</v>
      </c>
      <c r="AX218" t="e">
        <f t="shared" si="89"/>
        <v>#N/A</v>
      </c>
      <c r="AY218" t="e">
        <f t="shared" si="86"/>
        <v>#N/A</v>
      </c>
      <c r="AZ218" t="e">
        <f t="shared" si="104"/>
        <v>#N/A</v>
      </c>
      <c r="BA218" t="e">
        <f t="shared" si="104"/>
        <v>#N/A</v>
      </c>
      <c r="BB218" t="e">
        <f t="shared" si="104"/>
        <v>#N/A</v>
      </c>
      <c r="BC218" t="e">
        <f t="shared" si="104"/>
        <v>#N/A</v>
      </c>
      <c r="BD218" t="e">
        <f t="shared" si="104"/>
        <v>#N/A</v>
      </c>
      <c r="BG218" t="e">
        <f t="shared" si="90"/>
        <v>#N/A</v>
      </c>
      <c r="BH218" t="e">
        <f t="shared" si="87"/>
        <v>#N/A</v>
      </c>
      <c r="BI218" t="e">
        <f t="shared" si="105"/>
        <v>#N/A</v>
      </c>
      <c r="BJ218" t="e">
        <f t="shared" si="105"/>
        <v>#N/A</v>
      </c>
      <c r="BK218" t="e">
        <f t="shared" si="105"/>
        <v>#N/A</v>
      </c>
      <c r="BL218" t="e">
        <f t="shared" si="105"/>
        <v>#N/A</v>
      </c>
      <c r="BM218" t="e">
        <f t="shared" si="105"/>
        <v>#N/A</v>
      </c>
      <c r="BP218" t="e">
        <f t="shared" si="91"/>
        <v>#N/A</v>
      </c>
      <c r="BQ218" t="e">
        <f t="shared" si="88"/>
        <v>#N/A</v>
      </c>
      <c r="BR218" t="e">
        <f t="shared" si="106"/>
        <v>#N/A</v>
      </c>
      <c r="BS218" t="e">
        <f t="shared" si="106"/>
        <v>#N/A</v>
      </c>
      <c r="BT218" t="e">
        <f t="shared" si="106"/>
        <v>#N/A</v>
      </c>
      <c r="BU218" t="e">
        <f t="shared" si="106"/>
        <v>#N/A</v>
      </c>
      <c r="BV218" t="e">
        <f t="shared" si="106"/>
        <v>#N/A</v>
      </c>
      <c r="BY218" t="e">
        <f t="shared" si="92"/>
        <v>#N/A</v>
      </c>
      <c r="BZ218" t="e">
        <v>#N/A</v>
      </c>
      <c r="CA218" t="e" cm="1">
        <f t="array" ref="CA218">IF(ISNUMBER(BZ218),AF218/COUNT(IF(ISNUMBER(_xlfn.ANCHORARRAY($BZ$11)),_xlfn.ANCHORARRAY($BZ$11))),NA())</f>
        <v>#N/A</v>
      </c>
      <c r="CB218" t="e">
        <f t="shared" si="93"/>
        <v>#N/A</v>
      </c>
      <c r="CD218" t="e">
        <f t="shared" si="94"/>
        <v>#N/A</v>
      </c>
      <c r="CE218" t="e">
        <f t="shared" si="95"/>
        <v>#N/A</v>
      </c>
      <c r="CG218" t="e">
        <v>#N/A</v>
      </c>
      <c r="CH218" t="e">
        <v>#N/A</v>
      </c>
      <c r="CL218" t="e">
        <f t="shared" si="96"/>
        <v>#N/A</v>
      </c>
      <c r="CM218" t="e">
        <v>#N/A</v>
      </c>
      <c r="CN218" t="e" cm="1">
        <f t="array" ref="CN218">IF(ISNUMBER(CM218),AF218/COUNT(IF(ISNUMBER(_xlfn.ANCHORARRAY($CM$11)),_xlfn.ANCHORARRAY($CM$11))),NA())</f>
        <v>#N/A</v>
      </c>
      <c r="CO218" t="e">
        <f t="shared" si="97"/>
        <v>#N/A</v>
      </c>
      <c r="CQ218" t="e">
        <f t="shared" si="98"/>
        <v>#N/A</v>
      </c>
      <c r="CR218" t="e">
        <f t="shared" si="99"/>
        <v>#N/A</v>
      </c>
      <c r="CT218" t="e">
        <v>#N/A</v>
      </c>
      <c r="CU218" t="e">
        <v>#N/A</v>
      </c>
      <c r="CY218" t="e">
        <f t="shared" si="100"/>
        <v>#N/A</v>
      </c>
      <c r="CZ218" t="e">
        <v>#N/A</v>
      </c>
      <c r="DA218" t="e" cm="1">
        <f t="array" ref="DA218">IF(ISNUMBER(CZ218),AF218/COUNT(IF(ISNUMBER(_xlfn.ANCHORARRAY($CZ$11)),_xlfn.ANCHORARRAY($CZ$11))),NA())</f>
        <v>#N/A</v>
      </c>
      <c r="DB218" t="e">
        <f t="shared" si="101"/>
        <v>#N/A</v>
      </c>
      <c r="DD218" t="e">
        <f t="shared" si="102"/>
        <v>#N/A</v>
      </c>
      <c r="DE218" t="e">
        <f t="shared" si="103"/>
        <v>#N/A</v>
      </c>
      <c r="DG218" t="e">
        <v>#N/A</v>
      </c>
      <c r="DH218" t="e">
        <v>#N/A</v>
      </c>
    </row>
    <row r="219" spans="32:112">
      <c r="AF219">
        <v>209</v>
      </c>
      <c r="AG219" s="401">
        <f>'Lab test'!N212</f>
        <v>46.320052319146797</v>
      </c>
      <c r="AH219" s="401">
        <f>'Lab test'!M212</f>
        <v>0.56510463829359092</v>
      </c>
      <c r="AI219">
        <f>IF('Lab test'!O212&gt;0,'Lab test'!O212,NA())</f>
        <v>215.64599999999999</v>
      </c>
      <c r="AJ219">
        <f>'Lab test'!Q212</f>
        <v>81.967213114754088</v>
      </c>
      <c r="AK219" s="401">
        <f>IF('Lab test'!V212&gt;0,'Lab test'!V212,NA())</f>
        <v>203395.41999999998</v>
      </c>
      <c r="AL219" s="7">
        <f>IF(MAX('Lab test'!W212,'Lab test'!X212)&gt;0,MAX('Lab test'!W212,'Lab test'!X212),NA())</f>
        <v>247.86662199999998</v>
      </c>
      <c r="AM219" s="401">
        <f>IF('Lab test'!P212&gt;0,'Lab test'!P212,NA())</f>
        <v>0.51422392736110745</v>
      </c>
      <c r="AN219" s="401">
        <f>IF('Lab test'!AU212&gt;0,'Lab test'!AU212,NA())</f>
        <v>0.87343532684283731</v>
      </c>
      <c r="AO219" s="401">
        <f>IF('Lab test'!AT212&gt;0,'Lab test'!AT212,NA())</f>
        <v>0.1441548056555573</v>
      </c>
      <c r="AP219">
        <f t="shared" si="107"/>
        <v>1</v>
      </c>
      <c r="AQ219" s="401">
        <f>'Lab test'!AZ212</f>
        <v>1933</v>
      </c>
      <c r="AR219" t="str">
        <f>'Lab test'!AC212</f>
        <v>Machined</v>
      </c>
      <c r="AS219" t="str">
        <f>'Lab test'!T212</f>
        <v>Steel</v>
      </c>
      <c r="AX219" t="e">
        <f t="shared" si="89"/>
        <v>#N/A</v>
      </c>
      <c r="AY219" t="e">
        <f t="shared" si="86"/>
        <v>#N/A</v>
      </c>
      <c r="AZ219" t="e">
        <f t="shared" si="104"/>
        <v>#N/A</v>
      </c>
      <c r="BA219" t="e">
        <f t="shared" si="104"/>
        <v>#N/A</v>
      </c>
      <c r="BB219" t="e">
        <f t="shared" si="104"/>
        <v>#N/A</v>
      </c>
      <c r="BC219" t="e">
        <f t="shared" si="104"/>
        <v>#N/A</v>
      </c>
      <c r="BD219" t="e">
        <f t="shared" si="104"/>
        <v>#N/A</v>
      </c>
      <c r="BG219" t="e">
        <f t="shared" si="90"/>
        <v>#N/A</v>
      </c>
      <c r="BH219" t="e">
        <f t="shared" si="87"/>
        <v>#N/A</v>
      </c>
      <c r="BI219" t="e">
        <f t="shared" si="105"/>
        <v>#N/A</v>
      </c>
      <c r="BJ219" t="e">
        <f t="shared" si="105"/>
        <v>#N/A</v>
      </c>
      <c r="BK219" t="e">
        <f t="shared" si="105"/>
        <v>#N/A</v>
      </c>
      <c r="BL219" t="e">
        <f t="shared" si="105"/>
        <v>#N/A</v>
      </c>
      <c r="BM219" t="e">
        <f t="shared" si="105"/>
        <v>#N/A</v>
      </c>
      <c r="BP219" t="e">
        <f t="shared" si="91"/>
        <v>#N/A</v>
      </c>
      <c r="BQ219" t="e">
        <f t="shared" si="88"/>
        <v>#N/A</v>
      </c>
      <c r="BR219" t="e">
        <f t="shared" si="106"/>
        <v>#N/A</v>
      </c>
      <c r="BS219" t="e">
        <f t="shared" si="106"/>
        <v>#N/A</v>
      </c>
      <c r="BT219" t="e">
        <f t="shared" si="106"/>
        <v>#N/A</v>
      </c>
      <c r="BU219" t="e">
        <f t="shared" si="106"/>
        <v>#N/A</v>
      </c>
      <c r="BV219" t="e">
        <f t="shared" si="106"/>
        <v>#N/A</v>
      </c>
      <c r="BY219" t="e">
        <f t="shared" si="92"/>
        <v>#N/A</v>
      </c>
      <c r="BZ219" t="e">
        <v>#N/A</v>
      </c>
      <c r="CA219" t="e" cm="1">
        <f t="array" ref="CA219">IF(ISNUMBER(BZ219),AF219/COUNT(IF(ISNUMBER(_xlfn.ANCHORARRAY($BZ$11)),_xlfn.ANCHORARRAY($BZ$11))),NA())</f>
        <v>#N/A</v>
      </c>
      <c r="CB219" t="e">
        <f t="shared" si="93"/>
        <v>#N/A</v>
      </c>
      <c r="CD219" t="e">
        <f t="shared" si="94"/>
        <v>#N/A</v>
      </c>
      <c r="CE219" t="e">
        <f t="shared" si="95"/>
        <v>#N/A</v>
      </c>
      <c r="CG219" t="e">
        <v>#N/A</v>
      </c>
      <c r="CH219" t="e">
        <v>#N/A</v>
      </c>
      <c r="CL219" t="e">
        <f t="shared" si="96"/>
        <v>#N/A</v>
      </c>
      <c r="CM219" t="e">
        <v>#N/A</v>
      </c>
      <c r="CN219" t="e" cm="1">
        <f t="array" ref="CN219">IF(ISNUMBER(CM219),AF219/COUNT(IF(ISNUMBER(_xlfn.ANCHORARRAY($CM$11)),_xlfn.ANCHORARRAY($CM$11))),NA())</f>
        <v>#N/A</v>
      </c>
      <c r="CO219" t="e">
        <f t="shared" si="97"/>
        <v>#N/A</v>
      </c>
      <c r="CQ219" t="e">
        <f t="shared" si="98"/>
        <v>#N/A</v>
      </c>
      <c r="CR219" t="e">
        <f t="shared" si="99"/>
        <v>#N/A</v>
      </c>
      <c r="CT219" t="e">
        <v>#N/A</v>
      </c>
      <c r="CU219" t="e">
        <v>#N/A</v>
      </c>
      <c r="CY219" t="e">
        <f t="shared" si="100"/>
        <v>#N/A</v>
      </c>
      <c r="CZ219" t="e">
        <v>#N/A</v>
      </c>
      <c r="DA219" t="e" cm="1">
        <f t="array" ref="DA219">IF(ISNUMBER(CZ219),AF219/COUNT(IF(ISNUMBER(_xlfn.ANCHORARRAY($CZ$11)),_xlfn.ANCHORARRAY($CZ$11))),NA())</f>
        <v>#N/A</v>
      </c>
      <c r="DB219" t="e">
        <f t="shared" si="101"/>
        <v>#N/A</v>
      </c>
      <c r="DD219" t="e">
        <f t="shared" si="102"/>
        <v>#N/A</v>
      </c>
      <c r="DE219" t="e">
        <f t="shared" si="103"/>
        <v>#N/A</v>
      </c>
      <c r="DG219" t="e">
        <v>#N/A</v>
      </c>
      <c r="DH219" t="e">
        <v>#N/A</v>
      </c>
    </row>
    <row r="220" spans="32:112">
      <c r="AF220">
        <v>210</v>
      </c>
      <c r="AG220" s="401">
        <f>'Lab test'!N213</f>
        <v>46.640230349565563</v>
      </c>
      <c r="AH220" s="401">
        <f>'Lab test'!M213</f>
        <v>0.95146069913113762</v>
      </c>
      <c r="AI220">
        <f>IF('Lab test'!O213&gt;0,'Lab test'!O213,NA())</f>
        <v>214.62999999999997</v>
      </c>
      <c r="AJ220">
        <f>'Lab test'!Q213</f>
        <v>49.019607843137251</v>
      </c>
      <c r="AK220" s="401">
        <f>IF('Lab test'!V213&gt;0,'Lab test'!V213,NA())</f>
        <v>203395.41999999998</v>
      </c>
      <c r="AL220" s="7">
        <f>IF(MAX('Lab test'!W213,'Lab test'!X213)&gt;0,MAX('Lab test'!W213,'Lab test'!X213),NA())</f>
        <v>247.86662199999998</v>
      </c>
      <c r="AM220" s="401">
        <f>IF('Lab test'!P213&gt;0,'Lab test'!P213,NA())</f>
        <v>0.65727153237888281</v>
      </c>
      <c r="AN220" s="401">
        <f>IF('Lab test'!AU213&gt;0,'Lab test'!AU213,NA())</f>
        <v>1.0598052851182198</v>
      </c>
      <c r="AO220" s="401">
        <f>IF('Lab test'!AT213&gt;0,'Lab test'!AT213,NA())</f>
        <v>0.1046054027176473</v>
      </c>
      <c r="AP220">
        <f t="shared" si="107"/>
        <v>1</v>
      </c>
      <c r="AQ220" s="401">
        <f>'Lab test'!AZ213</f>
        <v>1933</v>
      </c>
      <c r="AR220" t="str">
        <f>'Lab test'!AC213</f>
        <v>Machined</v>
      </c>
      <c r="AS220" t="str">
        <f>'Lab test'!T213</f>
        <v>Steel</v>
      </c>
      <c r="AX220" t="e">
        <f t="shared" si="89"/>
        <v>#N/A</v>
      </c>
      <c r="AY220" t="e">
        <f t="shared" si="86"/>
        <v>#N/A</v>
      </c>
      <c r="AZ220" t="e">
        <f t="shared" si="104"/>
        <v>#N/A</v>
      </c>
      <c r="BA220" t="e">
        <f t="shared" si="104"/>
        <v>#N/A</v>
      </c>
      <c r="BB220" t="e">
        <f t="shared" si="104"/>
        <v>#N/A</v>
      </c>
      <c r="BC220" t="e">
        <f t="shared" si="104"/>
        <v>#N/A</v>
      </c>
      <c r="BD220" t="e">
        <f t="shared" si="104"/>
        <v>#N/A</v>
      </c>
      <c r="BG220" t="e">
        <f t="shared" si="90"/>
        <v>#N/A</v>
      </c>
      <c r="BH220" t="e">
        <f t="shared" si="87"/>
        <v>#N/A</v>
      </c>
      <c r="BI220" t="e">
        <f t="shared" si="105"/>
        <v>#N/A</v>
      </c>
      <c r="BJ220" t="e">
        <f t="shared" si="105"/>
        <v>#N/A</v>
      </c>
      <c r="BK220" t="e">
        <f t="shared" si="105"/>
        <v>#N/A</v>
      </c>
      <c r="BL220" t="e">
        <f t="shared" si="105"/>
        <v>#N/A</v>
      </c>
      <c r="BM220" t="e">
        <f t="shared" si="105"/>
        <v>#N/A</v>
      </c>
      <c r="BP220" t="e">
        <f t="shared" si="91"/>
        <v>#N/A</v>
      </c>
      <c r="BQ220" t="e">
        <f t="shared" si="88"/>
        <v>#N/A</v>
      </c>
      <c r="BR220" t="e">
        <f t="shared" si="106"/>
        <v>#N/A</v>
      </c>
      <c r="BS220" t="e">
        <f t="shared" si="106"/>
        <v>#N/A</v>
      </c>
      <c r="BT220" t="e">
        <f t="shared" si="106"/>
        <v>#N/A</v>
      </c>
      <c r="BU220" t="e">
        <f t="shared" si="106"/>
        <v>#N/A</v>
      </c>
      <c r="BV220" t="e">
        <f t="shared" si="106"/>
        <v>#N/A</v>
      </c>
      <c r="BY220" t="e">
        <f t="shared" si="92"/>
        <v>#N/A</v>
      </c>
      <c r="BZ220" t="e">
        <v>#N/A</v>
      </c>
      <c r="CA220" t="e" cm="1">
        <f t="array" ref="CA220">IF(ISNUMBER(BZ220),AF220/COUNT(IF(ISNUMBER(_xlfn.ANCHORARRAY($BZ$11)),_xlfn.ANCHORARRAY($BZ$11))),NA())</f>
        <v>#N/A</v>
      </c>
      <c r="CB220" t="e">
        <f t="shared" si="93"/>
        <v>#N/A</v>
      </c>
      <c r="CD220" t="e">
        <f t="shared" si="94"/>
        <v>#N/A</v>
      </c>
      <c r="CE220" t="e">
        <f t="shared" si="95"/>
        <v>#N/A</v>
      </c>
      <c r="CG220" t="e">
        <v>#N/A</v>
      </c>
      <c r="CH220" t="e">
        <v>#N/A</v>
      </c>
      <c r="CL220" t="e">
        <f t="shared" si="96"/>
        <v>#N/A</v>
      </c>
      <c r="CM220" t="e">
        <v>#N/A</v>
      </c>
      <c r="CN220" t="e" cm="1">
        <f t="array" ref="CN220">IF(ISNUMBER(CM220),AF220/COUNT(IF(ISNUMBER(_xlfn.ANCHORARRAY($CM$11)),_xlfn.ANCHORARRAY($CM$11))),NA())</f>
        <v>#N/A</v>
      </c>
      <c r="CO220" t="e">
        <f t="shared" si="97"/>
        <v>#N/A</v>
      </c>
      <c r="CQ220" t="e">
        <f t="shared" si="98"/>
        <v>#N/A</v>
      </c>
      <c r="CR220" t="e">
        <f t="shared" si="99"/>
        <v>#N/A</v>
      </c>
      <c r="CT220" t="e">
        <v>#N/A</v>
      </c>
      <c r="CU220" t="e">
        <v>#N/A</v>
      </c>
      <c r="CY220" t="e">
        <f t="shared" si="100"/>
        <v>#N/A</v>
      </c>
      <c r="CZ220" t="e">
        <v>#N/A</v>
      </c>
      <c r="DA220" t="e" cm="1">
        <f t="array" ref="DA220">IF(ISNUMBER(CZ220),AF220/COUNT(IF(ISNUMBER(_xlfn.ANCHORARRAY($CZ$11)),_xlfn.ANCHORARRAY($CZ$11))),NA())</f>
        <v>#N/A</v>
      </c>
      <c r="DB220" t="e">
        <f t="shared" si="101"/>
        <v>#N/A</v>
      </c>
      <c r="DD220" t="e">
        <f t="shared" si="102"/>
        <v>#N/A</v>
      </c>
      <c r="DE220" t="e">
        <f t="shared" si="103"/>
        <v>#N/A</v>
      </c>
      <c r="DG220" t="e">
        <v>#N/A</v>
      </c>
      <c r="DH220" t="e">
        <v>#N/A</v>
      </c>
    </row>
    <row r="221" spans="32:112">
      <c r="AF221">
        <v>211</v>
      </c>
      <c r="AG221" s="401">
        <f>'Lab test'!N214</f>
        <v>47.217037300900714</v>
      </c>
      <c r="AH221" s="401">
        <f>'Lab test'!M214</f>
        <v>1.647874601801435</v>
      </c>
      <c r="AI221">
        <f>IF('Lab test'!O214&gt;0,'Lab test'!O214,NA())</f>
        <v>203.45399999999998</v>
      </c>
      <c r="AJ221">
        <f>'Lab test'!Q214</f>
        <v>28.653295128939828</v>
      </c>
      <c r="AK221" s="401">
        <f>IF('Lab test'!V214&gt;0,'Lab test'!V214,NA())</f>
        <v>203395.41999999998</v>
      </c>
      <c r="AL221" s="7">
        <f>IF(MAX('Lab test'!W214,'Lab test'!X214)&gt;0,MAX('Lab test'!W214,'Lab test'!X214),NA())</f>
        <v>247.86662199999998</v>
      </c>
      <c r="AM221" s="401">
        <f>IF('Lab test'!P214&gt;0,'Lab test'!P214,NA())</f>
        <v>0.80497095979092148</v>
      </c>
      <c r="AN221" s="401">
        <f>IF('Lab test'!AU214&gt;0,'Lab test'!AU214,NA())</f>
        <v>1.0681502086230876</v>
      </c>
      <c r="AO221" s="401">
        <f>IF('Lab test'!AT214&gt;0,'Lab test'!AT214,NA())</f>
        <v>6.1626159686014183E-2</v>
      </c>
      <c r="AP221">
        <f t="shared" si="107"/>
        <v>1</v>
      </c>
      <c r="AQ221" s="401">
        <f>'Lab test'!AZ214</f>
        <v>1933</v>
      </c>
      <c r="AR221" t="str">
        <f>'Lab test'!AC214</f>
        <v>Machined</v>
      </c>
      <c r="AS221" t="str">
        <f>'Lab test'!T214</f>
        <v>Steel</v>
      </c>
      <c r="AX221" t="e">
        <f t="shared" si="89"/>
        <v>#N/A</v>
      </c>
      <c r="AY221" t="e">
        <f t="shared" si="86"/>
        <v>#N/A</v>
      </c>
      <c r="AZ221" t="e">
        <f t="shared" si="104"/>
        <v>#N/A</v>
      </c>
      <c r="BA221" t="e">
        <f t="shared" si="104"/>
        <v>#N/A</v>
      </c>
      <c r="BB221" t="e">
        <f t="shared" si="104"/>
        <v>#N/A</v>
      </c>
      <c r="BC221" t="e">
        <f t="shared" si="104"/>
        <v>#N/A</v>
      </c>
      <c r="BD221" t="e">
        <f t="shared" si="104"/>
        <v>#N/A</v>
      </c>
      <c r="BG221" t="e">
        <f t="shared" si="90"/>
        <v>#N/A</v>
      </c>
      <c r="BH221" t="e">
        <f t="shared" si="87"/>
        <v>#N/A</v>
      </c>
      <c r="BI221" t="e">
        <f t="shared" si="105"/>
        <v>#N/A</v>
      </c>
      <c r="BJ221" t="e">
        <f t="shared" si="105"/>
        <v>#N/A</v>
      </c>
      <c r="BK221" t="e">
        <f t="shared" si="105"/>
        <v>#N/A</v>
      </c>
      <c r="BL221" t="e">
        <f t="shared" si="105"/>
        <v>#N/A</v>
      </c>
      <c r="BM221" t="e">
        <f t="shared" si="105"/>
        <v>#N/A</v>
      </c>
      <c r="BP221" t="e">
        <f t="shared" si="91"/>
        <v>#N/A</v>
      </c>
      <c r="BQ221" t="e">
        <f t="shared" si="88"/>
        <v>#N/A</v>
      </c>
      <c r="BR221" t="e">
        <f t="shared" si="106"/>
        <v>#N/A</v>
      </c>
      <c r="BS221" t="e">
        <f t="shared" si="106"/>
        <v>#N/A</v>
      </c>
      <c r="BT221" t="e">
        <f t="shared" si="106"/>
        <v>#N/A</v>
      </c>
      <c r="BU221" t="e">
        <f t="shared" si="106"/>
        <v>#N/A</v>
      </c>
      <c r="BV221" t="e">
        <f t="shared" si="106"/>
        <v>#N/A</v>
      </c>
      <c r="BY221" t="e">
        <f t="shared" si="92"/>
        <v>#N/A</v>
      </c>
      <c r="BZ221" t="e">
        <v>#N/A</v>
      </c>
      <c r="CA221" t="e" cm="1">
        <f t="array" ref="CA221">IF(ISNUMBER(BZ221),AF221/COUNT(IF(ISNUMBER(_xlfn.ANCHORARRAY($BZ$11)),_xlfn.ANCHORARRAY($BZ$11))),NA())</f>
        <v>#N/A</v>
      </c>
      <c r="CB221" t="e">
        <f t="shared" si="93"/>
        <v>#N/A</v>
      </c>
      <c r="CD221" t="e">
        <f t="shared" si="94"/>
        <v>#N/A</v>
      </c>
      <c r="CE221" t="e">
        <f t="shared" si="95"/>
        <v>#N/A</v>
      </c>
      <c r="CG221" t="e">
        <v>#N/A</v>
      </c>
      <c r="CH221" t="e">
        <v>#N/A</v>
      </c>
      <c r="CL221" t="e">
        <f t="shared" si="96"/>
        <v>#N/A</v>
      </c>
      <c r="CM221" t="e">
        <v>#N/A</v>
      </c>
      <c r="CN221" t="e" cm="1">
        <f t="array" ref="CN221">IF(ISNUMBER(CM221),AF221/COUNT(IF(ISNUMBER(_xlfn.ANCHORARRAY($CM$11)),_xlfn.ANCHORARRAY($CM$11))),NA())</f>
        <v>#N/A</v>
      </c>
      <c r="CO221" t="e">
        <f t="shared" si="97"/>
        <v>#N/A</v>
      </c>
      <c r="CQ221" t="e">
        <f t="shared" si="98"/>
        <v>#N/A</v>
      </c>
      <c r="CR221" t="e">
        <f t="shared" si="99"/>
        <v>#N/A</v>
      </c>
      <c r="CT221" t="e">
        <v>#N/A</v>
      </c>
      <c r="CU221" t="e">
        <v>#N/A</v>
      </c>
      <c r="CY221" t="e">
        <f t="shared" si="100"/>
        <v>#N/A</v>
      </c>
      <c r="CZ221" t="e">
        <v>#N/A</v>
      </c>
      <c r="DA221" t="e" cm="1">
        <f t="array" ref="DA221">IF(ISNUMBER(CZ221),AF221/COUNT(IF(ISNUMBER(_xlfn.ANCHORARRAY($CZ$11)),_xlfn.ANCHORARRAY($CZ$11))),NA())</f>
        <v>#N/A</v>
      </c>
      <c r="DB221" t="e">
        <f t="shared" si="101"/>
        <v>#N/A</v>
      </c>
      <c r="DD221" t="e">
        <f t="shared" si="102"/>
        <v>#N/A</v>
      </c>
      <c r="DE221" t="e">
        <f t="shared" si="103"/>
        <v>#N/A</v>
      </c>
      <c r="DG221" t="e">
        <v>#N/A</v>
      </c>
      <c r="DH221" t="e">
        <v>#N/A</v>
      </c>
    </row>
    <row r="222" spans="32:112">
      <c r="AF222">
        <v>212</v>
      </c>
      <c r="AG222" s="401">
        <f>'Lab test'!N215</f>
        <v>46.349152030597352</v>
      </c>
      <c r="AH222" s="401">
        <f>'Lab test'!M215</f>
        <v>0.59790406119470574</v>
      </c>
      <c r="AI222">
        <f>IF('Lab test'!O215&gt;0,'Lab test'!O215,NA())</f>
        <v>215.64599999999999</v>
      </c>
      <c r="AJ222">
        <f>'Lab test'!Q215</f>
        <v>77.519379844961236</v>
      </c>
      <c r="AK222" s="401">
        <f>IF('Lab test'!V215&gt;0,'Lab test'!V215,NA())</f>
        <v>203395.41999999998</v>
      </c>
      <c r="AL222" s="7">
        <f>IF(MAX('Lab test'!W215,'Lab test'!X215)&gt;0,MAX('Lab test'!W215,'Lab test'!X215),NA())</f>
        <v>247.86662199999998</v>
      </c>
      <c r="AM222" s="401">
        <f>IF('Lab test'!P215&gt;0,'Lab test'!P215,NA())</f>
        <v>0.52843852173606309</v>
      </c>
      <c r="AN222" s="401">
        <f>IF('Lab test'!AU215&gt;0,'Lab test'!AU215,NA())</f>
        <v>1.1112656467315716</v>
      </c>
      <c r="AO222" s="401">
        <f>IF('Lab test'!AT215&gt;0,'Lab test'!AT215,NA())</f>
        <v>0.17345482330633011</v>
      </c>
      <c r="AP222">
        <f t="shared" si="107"/>
        <v>1</v>
      </c>
      <c r="AQ222" s="401">
        <f>'Lab test'!AZ215</f>
        <v>1933</v>
      </c>
      <c r="AR222" t="str">
        <f>'Lab test'!AC215</f>
        <v>Machined</v>
      </c>
      <c r="AS222" t="str">
        <f>'Lab test'!T215</f>
        <v>Steel</v>
      </c>
      <c r="AX222" t="e">
        <f t="shared" si="89"/>
        <v>#N/A</v>
      </c>
      <c r="AY222" t="e">
        <f t="shared" si="86"/>
        <v>#N/A</v>
      </c>
      <c r="AZ222" t="e">
        <f t="shared" si="104"/>
        <v>#N/A</v>
      </c>
      <c r="BA222" t="e">
        <f t="shared" si="104"/>
        <v>#N/A</v>
      </c>
      <c r="BB222" t="e">
        <f t="shared" si="104"/>
        <v>#N/A</v>
      </c>
      <c r="BC222" t="e">
        <f t="shared" si="104"/>
        <v>#N/A</v>
      </c>
      <c r="BD222" t="e">
        <f t="shared" si="104"/>
        <v>#N/A</v>
      </c>
      <c r="BG222" t="e">
        <f t="shared" si="90"/>
        <v>#N/A</v>
      </c>
      <c r="BH222" t="e">
        <f t="shared" si="87"/>
        <v>#N/A</v>
      </c>
      <c r="BI222" t="e">
        <f t="shared" si="105"/>
        <v>#N/A</v>
      </c>
      <c r="BJ222" t="e">
        <f t="shared" si="105"/>
        <v>#N/A</v>
      </c>
      <c r="BK222" t="e">
        <f t="shared" si="105"/>
        <v>#N/A</v>
      </c>
      <c r="BL222" t="e">
        <f t="shared" si="105"/>
        <v>#N/A</v>
      </c>
      <c r="BM222" t="e">
        <f t="shared" si="105"/>
        <v>#N/A</v>
      </c>
      <c r="BP222" t="e">
        <f t="shared" si="91"/>
        <v>#N/A</v>
      </c>
      <c r="BQ222" t="e">
        <f t="shared" si="88"/>
        <v>#N/A</v>
      </c>
      <c r="BR222" t="e">
        <f t="shared" si="106"/>
        <v>#N/A</v>
      </c>
      <c r="BS222" t="e">
        <f t="shared" si="106"/>
        <v>#N/A</v>
      </c>
      <c r="BT222" t="e">
        <f t="shared" si="106"/>
        <v>#N/A</v>
      </c>
      <c r="BU222" t="e">
        <f t="shared" si="106"/>
        <v>#N/A</v>
      </c>
      <c r="BV222" t="e">
        <f t="shared" si="106"/>
        <v>#N/A</v>
      </c>
      <c r="BY222" t="e">
        <f t="shared" si="92"/>
        <v>#N/A</v>
      </c>
      <c r="BZ222" t="e">
        <v>#N/A</v>
      </c>
      <c r="CA222" t="e" cm="1">
        <f t="array" ref="CA222">IF(ISNUMBER(BZ222),AF222/COUNT(IF(ISNUMBER(_xlfn.ANCHORARRAY($BZ$11)),_xlfn.ANCHORARRAY($BZ$11))),NA())</f>
        <v>#N/A</v>
      </c>
      <c r="CB222" t="e">
        <f t="shared" si="93"/>
        <v>#N/A</v>
      </c>
      <c r="CD222" t="e">
        <f t="shared" si="94"/>
        <v>#N/A</v>
      </c>
      <c r="CE222" t="e">
        <f t="shared" si="95"/>
        <v>#N/A</v>
      </c>
      <c r="CG222" t="e">
        <v>#N/A</v>
      </c>
      <c r="CH222" t="e">
        <v>#N/A</v>
      </c>
      <c r="CL222" t="e">
        <f t="shared" si="96"/>
        <v>#N/A</v>
      </c>
      <c r="CM222" t="e">
        <v>#N/A</v>
      </c>
      <c r="CN222" t="e" cm="1">
        <f t="array" ref="CN222">IF(ISNUMBER(CM222),AF222/COUNT(IF(ISNUMBER(_xlfn.ANCHORARRAY($CM$11)),_xlfn.ANCHORARRAY($CM$11))),NA())</f>
        <v>#N/A</v>
      </c>
      <c r="CO222" t="e">
        <f t="shared" si="97"/>
        <v>#N/A</v>
      </c>
      <c r="CQ222" t="e">
        <f t="shared" si="98"/>
        <v>#N/A</v>
      </c>
      <c r="CR222" t="e">
        <f t="shared" si="99"/>
        <v>#N/A</v>
      </c>
      <c r="CT222" t="e">
        <v>#N/A</v>
      </c>
      <c r="CU222" t="e">
        <v>#N/A</v>
      </c>
      <c r="CY222" t="e">
        <f t="shared" si="100"/>
        <v>#N/A</v>
      </c>
      <c r="CZ222" t="e">
        <v>#N/A</v>
      </c>
      <c r="DA222" t="e" cm="1">
        <f t="array" ref="DA222">IF(ISNUMBER(CZ222),AF222/COUNT(IF(ISNUMBER(_xlfn.ANCHORARRAY($CZ$11)),_xlfn.ANCHORARRAY($CZ$11))),NA())</f>
        <v>#N/A</v>
      </c>
      <c r="DB222" t="e">
        <f t="shared" si="101"/>
        <v>#N/A</v>
      </c>
      <c r="DD222" t="e">
        <f t="shared" si="102"/>
        <v>#N/A</v>
      </c>
      <c r="DE222" t="e">
        <f t="shared" si="103"/>
        <v>#N/A</v>
      </c>
      <c r="DG222" t="e">
        <v>#N/A</v>
      </c>
      <c r="DH222" t="e">
        <v>#N/A</v>
      </c>
    </row>
    <row r="223" spans="32:112">
      <c r="AF223">
        <v>213</v>
      </c>
      <c r="AG223" s="401">
        <f>'Lab test'!N216</f>
        <v>46.80333923602327</v>
      </c>
      <c r="AH223" s="401">
        <f>'Lab test'!M216</f>
        <v>1.0998784720465471</v>
      </c>
      <c r="AI223">
        <f>IF('Lab test'!O216&gt;0,'Lab test'!O216,NA())</f>
        <v>215.89999999999998</v>
      </c>
      <c r="AJ223">
        <f>'Lab test'!Q216</f>
        <v>42.553191489361701</v>
      </c>
      <c r="AK223" s="401">
        <f>IF('Lab test'!V216&gt;0,'Lab test'!V216,NA())</f>
        <v>203395.41999999998</v>
      </c>
      <c r="AL223" s="7">
        <f>IF(MAX('Lab test'!W216,'Lab test'!X216)&gt;0,MAX('Lab test'!W216,'Lab test'!X216),NA())</f>
        <v>247.86662199999998</v>
      </c>
      <c r="AM223" s="401">
        <f>IF('Lab test'!P216&gt;0,'Lab test'!P216,NA())</f>
        <v>0.70714705016180168</v>
      </c>
      <c r="AN223" s="401">
        <f>IF('Lab test'!AU216&gt;0,'Lab test'!AU216,NA())</f>
        <v>1.023643949930459</v>
      </c>
      <c r="AO223" s="401">
        <f>IF('Lab test'!AT216&gt;0,'Lab test'!AT216,NA())</f>
        <v>8.7708011311992171E-2</v>
      </c>
      <c r="AP223">
        <f t="shared" si="107"/>
        <v>1</v>
      </c>
      <c r="AQ223" s="401">
        <f>'Lab test'!AZ216</f>
        <v>1933</v>
      </c>
      <c r="AR223" t="str">
        <f>'Lab test'!AC216</f>
        <v>Machined</v>
      </c>
      <c r="AS223" t="str">
        <f>'Lab test'!T216</f>
        <v>Steel</v>
      </c>
      <c r="AX223" t="e">
        <f t="shared" si="89"/>
        <v>#N/A</v>
      </c>
      <c r="AY223" t="e">
        <f t="shared" si="86"/>
        <v>#N/A</v>
      </c>
      <c r="AZ223" t="e">
        <f t="shared" si="104"/>
        <v>#N/A</v>
      </c>
      <c r="BA223" t="e">
        <f t="shared" si="104"/>
        <v>#N/A</v>
      </c>
      <c r="BB223" t="e">
        <f t="shared" si="104"/>
        <v>#N/A</v>
      </c>
      <c r="BC223" t="e">
        <f t="shared" si="104"/>
        <v>#N/A</v>
      </c>
      <c r="BD223" t="e">
        <f t="shared" si="104"/>
        <v>#N/A</v>
      </c>
      <c r="BG223" t="e">
        <f t="shared" si="90"/>
        <v>#N/A</v>
      </c>
      <c r="BH223" t="e">
        <f t="shared" si="87"/>
        <v>#N/A</v>
      </c>
      <c r="BI223" t="e">
        <f t="shared" si="105"/>
        <v>#N/A</v>
      </c>
      <c r="BJ223" t="e">
        <f t="shared" si="105"/>
        <v>#N/A</v>
      </c>
      <c r="BK223" t="e">
        <f t="shared" si="105"/>
        <v>#N/A</v>
      </c>
      <c r="BL223" t="e">
        <f t="shared" si="105"/>
        <v>#N/A</v>
      </c>
      <c r="BM223" t="e">
        <f t="shared" si="105"/>
        <v>#N/A</v>
      </c>
      <c r="BP223" t="e">
        <f t="shared" si="91"/>
        <v>#N/A</v>
      </c>
      <c r="BQ223" t="e">
        <f t="shared" si="88"/>
        <v>#N/A</v>
      </c>
      <c r="BR223" t="e">
        <f t="shared" si="106"/>
        <v>#N/A</v>
      </c>
      <c r="BS223" t="e">
        <f t="shared" si="106"/>
        <v>#N/A</v>
      </c>
      <c r="BT223" t="e">
        <f t="shared" si="106"/>
        <v>#N/A</v>
      </c>
      <c r="BU223" t="e">
        <f t="shared" si="106"/>
        <v>#N/A</v>
      </c>
      <c r="BV223" t="e">
        <f t="shared" si="106"/>
        <v>#N/A</v>
      </c>
      <c r="BY223" t="e">
        <f t="shared" si="92"/>
        <v>#N/A</v>
      </c>
      <c r="BZ223" t="e">
        <v>#N/A</v>
      </c>
      <c r="CA223" t="e" cm="1">
        <f t="array" ref="CA223">IF(ISNUMBER(BZ223),AF223/COUNT(IF(ISNUMBER(_xlfn.ANCHORARRAY($BZ$11)),_xlfn.ANCHORARRAY($BZ$11))),NA())</f>
        <v>#N/A</v>
      </c>
      <c r="CB223" t="e">
        <f t="shared" si="93"/>
        <v>#N/A</v>
      </c>
      <c r="CD223" t="e">
        <f t="shared" si="94"/>
        <v>#N/A</v>
      </c>
      <c r="CE223" t="e">
        <f t="shared" si="95"/>
        <v>#N/A</v>
      </c>
      <c r="CG223" t="e">
        <v>#N/A</v>
      </c>
      <c r="CH223" t="e">
        <v>#N/A</v>
      </c>
      <c r="CL223" t="e">
        <f t="shared" si="96"/>
        <v>#N/A</v>
      </c>
      <c r="CM223" t="e">
        <v>#N/A</v>
      </c>
      <c r="CN223" t="e" cm="1">
        <f t="array" ref="CN223">IF(ISNUMBER(CM223),AF223/COUNT(IF(ISNUMBER(_xlfn.ANCHORARRAY($CM$11)),_xlfn.ANCHORARRAY($CM$11))),NA())</f>
        <v>#N/A</v>
      </c>
      <c r="CO223" t="e">
        <f t="shared" si="97"/>
        <v>#N/A</v>
      </c>
      <c r="CQ223" t="e">
        <f t="shared" si="98"/>
        <v>#N/A</v>
      </c>
      <c r="CR223" t="e">
        <f t="shared" si="99"/>
        <v>#N/A</v>
      </c>
      <c r="CT223" t="e">
        <v>#N/A</v>
      </c>
      <c r="CU223" t="e">
        <v>#N/A</v>
      </c>
      <c r="CY223" t="e">
        <f t="shared" si="100"/>
        <v>#N/A</v>
      </c>
      <c r="CZ223" t="e">
        <v>#N/A</v>
      </c>
      <c r="DA223" t="e" cm="1">
        <f t="array" ref="DA223">IF(ISNUMBER(CZ223),AF223/COUNT(IF(ISNUMBER(_xlfn.ANCHORARRAY($CZ$11)),_xlfn.ANCHORARRAY($CZ$11))),NA())</f>
        <v>#N/A</v>
      </c>
      <c r="DB223" t="e">
        <f t="shared" si="101"/>
        <v>#N/A</v>
      </c>
      <c r="DD223" t="e">
        <f t="shared" si="102"/>
        <v>#N/A</v>
      </c>
      <c r="DE223" t="e">
        <f t="shared" si="103"/>
        <v>#N/A</v>
      </c>
      <c r="DG223" t="e">
        <v>#N/A</v>
      </c>
      <c r="DH223" t="e">
        <v>#N/A</v>
      </c>
    </row>
    <row r="224" spans="32:112">
      <c r="AF224">
        <v>214</v>
      </c>
      <c r="AG224" s="401">
        <f>'Lab test'!N217</f>
        <v>46.942230365959183</v>
      </c>
      <c r="AH224" s="401">
        <f>'Lab test'!M217</f>
        <v>1.657060731918359</v>
      </c>
      <c r="AI224">
        <f>IF('Lab test'!O217&gt;0,'Lab test'!O217,NA())</f>
        <v>202.946</v>
      </c>
      <c r="AJ224">
        <f>'Lab test'!Q217</f>
        <v>28.328611898016998</v>
      </c>
      <c r="AK224" s="401">
        <f>IF('Lab test'!V217&gt;0,'Lab test'!V217,NA())</f>
        <v>203395.41999999998</v>
      </c>
      <c r="AL224" s="7">
        <f>IF(MAX('Lab test'!W217,'Lab test'!X217)&gt;0,MAX('Lab test'!W217,'Lab test'!X217),NA())</f>
        <v>247.86662199999998</v>
      </c>
      <c r="AM224" s="401">
        <f>IF('Lab test'!P217&gt;0,'Lab test'!P217,NA())</f>
        <v>0.81227694778902049</v>
      </c>
      <c r="AN224" s="401">
        <f>IF('Lab test'!AU217&gt;0,'Lab test'!AU217,NA())</f>
        <v>1.1321279554937416</v>
      </c>
      <c r="AO224" s="401">
        <f>IF('Lab test'!AT217&gt;0,'Lab test'!AT217,NA())</f>
        <v>6.4577170386866389E-2</v>
      </c>
      <c r="AP224">
        <f t="shared" si="107"/>
        <v>1</v>
      </c>
      <c r="AQ224" s="401">
        <f>'Lab test'!AZ217</f>
        <v>1933</v>
      </c>
      <c r="AR224" t="str">
        <f>'Lab test'!AC217</f>
        <v>Machined</v>
      </c>
      <c r="AS224" t="str">
        <f>'Lab test'!T217</f>
        <v>Steel</v>
      </c>
      <c r="AX224" t="e">
        <f t="shared" si="89"/>
        <v>#N/A</v>
      </c>
      <c r="AY224" t="e">
        <f t="shared" si="86"/>
        <v>#N/A</v>
      </c>
      <c r="AZ224" t="e">
        <f t="shared" si="104"/>
        <v>#N/A</v>
      </c>
      <c r="BA224" t="e">
        <f t="shared" si="104"/>
        <v>#N/A</v>
      </c>
      <c r="BB224" t="e">
        <f t="shared" si="104"/>
        <v>#N/A</v>
      </c>
      <c r="BC224" t="e">
        <f t="shared" si="104"/>
        <v>#N/A</v>
      </c>
      <c r="BD224" t="e">
        <f t="shared" si="104"/>
        <v>#N/A</v>
      </c>
      <c r="BG224" t="e">
        <f t="shared" si="90"/>
        <v>#N/A</v>
      </c>
      <c r="BH224" t="e">
        <f t="shared" si="87"/>
        <v>#N/A</v>
      </c>
      <c r="BI224" t="e">
        <f t="shared" si="105"/>
        <v>#N/A</v>
      </c>
      <c r="BJ224" t="e">
        <f t="shared" si="105"/>
        <v>#N/A</v>
      </c>
      <c r="BK224" t="e">
        <f t="shared" si="105"/>
        <v>#N/A</v>
      </c>
      <c r="BL224" t="e">
        <f t="shared" si="105"/>
        <v>#N/A</v>
      </c>
      <c r="BM224" t="e">
        <f t="shared" si="105"/>
        <v>#N/A</v>
      </c>
      <c r="BP224" t="e">
        <f t="shared" si="91"/>
        <v>#N/A</v>
      </c>
      <c r="BQ224" t="e">
        <f t="shared" si="88"/>
        <v>#N/A</v>
      </c>
      <c r="BR224" t="e">
        <f t="shared" si="106"/>
        <v>#N/A</v>
      </c>
      <c r="BS224" t="e">
        <f t="shared" si="106"/>
        <v>#N/A</v>
      </c>
      <c r="BT224" t="e">
        <f t="shared" si="106"/>
        <v>#N/A</v>
      </c>
      <c r="BU224" t="e">
        <f t="shared" si="106"/>
        <v>#N/A</v>
      </c>
      <c r="BV224" t="e">
        <f t="shared" si="106"/>
        <v>#N/A</v>
      </c>
      <c r="BY224" t="e">
        <f t="shared" si="92"/>
        <v>#N/A</v>
      </c>
      <c r="BZ224" t="e">
        <v>#N/A</v>
      </c>
      <c r="CA224" t="e" cm="1">
        <f t="array" ref="CA224">IF(ISNUMBER(BZ224),AF224/COUNT(IF(ISNUMBER(_xlfn.ANCHORARRAY($BZ$11)),_xlfn.ANCHORARRAY($BZ$11))),NA())</f>
        <v>#N/A</v>
      </c>
      <c r="CB224" t="e">
        <f t="shared" si="93"/>
        <v>#N/A</v>
      </c>
      <c r="CD224" t="e">
        <f t="shared" si="94"/>
        <v>#N/A</v>
      </c>
      <c r="CE224" t="e">
        <f t="shared" si="95"/>
        <v>#N/A</v>
      </c>
      <c r="CG224" t="e">
        <v>#N/A</v>
      </c>
      <c r="CH224" t="e">
        <v>#N/A</v>
      </c>
      <c r="CL224" t="e">
        <f t="shared" si="96"/>
        <v>#N/A</v>
      </c>
      <c r="CM224" t="e">
        <v>#N/A</v>
      </c>
      <c r="CN224" t="e" cm="1">
        <f t="array" ref="CN224">IF(ISNUMBER(CM224),AF224/COUNT(IF(ISNUMBER(_xlfn.ANCHORARRAY($CM$11)),_xlfn.ANCHORARRAY($CM$11))),NA())</f>
        <v>#N/A</v>
      </c>
      <c r="CO224" t="e">
        <f t="shared" si="97"/>
        <v>#N/A</v>
      </c>
      <c r="CQ224" t="e">
        <f t="shared" si="98"/>
        <v>#N/A</v>
      </c>
      <c r="CR224" t="e">
        <f t="shared" si="99"/>
        <v>#N/A</v>
      </c>
      <c r="CT224" t="e">
        <v>#N/A</v>
      </c>
      <c r="CU224" t="e">
        <v>#N/A</v>
      </c>
      <c r="CY224" t="e">
        <f t="shared" si="100"/>
        <v>#N/A</v>
      </c>
      <c r="CZ224" t="e">
        <v>#N/A</v>
      </c>
      <c r="DA224" t="e" cm="1">
        <f t="array" ref="DA224">IF(ISNUMBER(CZ224),AF224/COUNT(IF(ISNUMBER(_xlfn.ANCHORARRAY($CZ$11)),_xlfn.ANCHORARRAY($CZ$11))),NA())</f>
        <v>#N/A</v>
      </c>
      <c r="DB224" t="e">
        <f t="shared" si="101"/>
        <v>#N/A</v>
      </c>
      <c r="DD224" t="e">
        <f t="shared" si="102"/>
        <v>#N/A</v>
      </c>
      <c r="DE224" t="e">
        <f t="shared" si="103"/>
        <v>#N/A</v>
      </c>
      <c r="DG224" t="e">
        <v>#N/A</v>
      </c>
      <c r="DH224" t="e">
        <v>#N/A</v>
      </c>
    </row>
    <row r="225" spans="32:112">
      <c r="AF225">
        <v>215</v>
      </c>
      <c r="AG225" s="401">
        <f>'Lab test'!N218</f>
        <v>46.683844992450936</v>
      </c>
      <c r="AH225" s="401">
        <f>'Lab test'!M218</f>
        <v>0.60688998490186219</v>
      </c>
      <c r="AI225">
        <f>IF('Lab test'!O218&gt;0,'Lab test'!O218,NA())</f>
        <v>114.55399999999999</v>
      </c>
      <c r="AJ225">
        <f>'Lab test'!Q218</f>
        <v>76.92307692307692</v>
      </c>
      <c r="AK225" s="401">
        <f>IF('Lab test'!V218&gt;0,'Lab test'!V218,NA())</f>
        <v>203395.41999999998</v>
      </c>
      <c r="AL225" s="7">
        <f>IF(MAX('Lab test'!W218,'Lab test'!X218)&gt;0,MAX('Lab test'!W218,'Lab test'!X218),NA())</f>
        <v>247.86662199999998</v>
      </c>
      <c r="AM225" s="401">
        <f>IF('Lab test'!P218&gt;0,'Lab test'!P218,NA())</f>
        <v>0.27977913059202247</v>
      </c>
      <c r="AN225" s="401">
        <f>IF('Lab test'!AU218&gt;0,'Lab test'!AU218,NA())</f>
        <v>1.1126564673157162</v>
      </c>
      <c r="AO225" s="401">
        <f>IF('Lab test'!AT218&gt;0,'Lab test'!AT218,NA())</f>
        <v>0.17233597540399795</v>
      </c>
      <c r="AP225">
        <f t="shared" si="107"/>
        <v>1</v>
      </c>
      <c r="AQ225" s="401">
        <f>'Lab test'!AZ218</f>
        <v>1933</v>
      </c>
      <c r="AR225" t="str">
        <f>'Lab test'!AC218</f>
        <v>Machined</v>
      </c>
      <c r="AS225" t="str">
        <f>'Lab test'!T218</f>
        <v>Steel</v>
      </c>
      <c r="AX225" t="e">
        <f t="shared" si="89"/>
        <v>#N/A</v>
      </c>
      <c r="AY225" t="e">
        <f t="shared" si="86"/>
        <v>#N/A</v>
      </c>
      <c r="AZ225" t="e">
        <f t="shared" si="104"/>
        <v>#N/A</v>
      </c>
      <c r="BA225" t="e">
        <f t="shared" si="104"/>
        <v>#N/A</v>
      </c>
      <c r="BB225" t="e">
        <f t="shared" si="104"/>
        <v>#N/A</v>
      </c>
      <c r="BC225" t="e">
        <f t="shared" si="104"/>
        <v>#N/A</v>
      </c>
      <c r="BD225" t="e">
        <f t="shared" si="104"/>
        <v>#N/A</v>
      </c>
      <c r="BG225" t="e">
        <f t="shared" si="90"/>
        <v>#N/A</v>
      </c>
      <c r="BH225" t="e">
        <f t="shared" si="87"/>
        <v>#N/A</v>
      </c>
      <c r="BI225" t="e">
        <f t="shared" si="105"/>
        <v>#N/A</v>
      </c>
      <c r="BJ225" t="e">
        <f t="shared" si="105"/>
        <v>#N/A</v>
      </c>
      <c r="BK225" t="e">
        <f t="shared" si="105"/>
        <v>#N/A</v>
      </c>
      <c r="BL225" t="e">
        <f t="shared" si="105"/>
        <v>#N/A</v>
      </c>
      <c r="BM225" t="e">
        <f t="shared" si="105"/>
        <v>#N/A</v>
      </c>
      <c r="BP225" t="e">
        <f t="shared" si="91"/>
        <v>#N/A</v>
      </c>
      <c r="BQ225" t="e">
        <f t="shared" si="88"/>
        <v>#N/A</v>
      </c>
      <c r="BR225" t="e">
        <f t="shared" si="106"/>
        <v>#N/A</v>
      </c>
      <c r="BS225" t="e">
        <f t="shared" si="106"/>
        <v>#N/A</v>
      </c>
      <c r="BT225" t="e">
        <f t="shared" si="106"/>
        <v>#N/A</v>
      </c>
      <c r="BU225" t="e">
        <f t="shared" si="106"/>
        <v>#N/A</v>
      </c>
      <c r="BV225" t="e">
        <f t="shared" si="106"/>
        <v>#N/A</v>
      </c>
      <c r="BY225" t="e">
        <f t="shared" si="92"/>
        <v>#N/A</v>
      </c>
      <c r="BZ225" t="e">
        <v>#N/A</v>
      </c>
      <c r="CA225" t="e" cm="1">
        <f t="array" ref="CA225">IF(ISNUMBER(BZ225),AF225/COUNT(IF(ISNUMBER(_xlfn.ANCHORARRAY($BZ$11)),_xlfn.ANCHORARRAY($BZ$11))),NA())</f>
        <v>#N/A</v>
      </c>
      <c r="CB225" t="e">
        <f t="shared" si="93"/>
        <v>#N/A</v>
      </c>
      <c r="CD225" t="e">
        <f t="shared" si="94"/>
        <v>#N/A</v>
      </c>
      <c r="CE225" t="e">
        <f t="shared" si="95"/>
        <v>#N/A</v>
      </c>
      <c r="CG225" t="e">
        <v>#N/A</v>
      </c>
      <c r="CH225" t="e">
        <v>#N/A</v>
      </c>
      <c r="CL225" t="e">
        <f t="shared" si="96"/>
        <v>#N/A</v>
      </c>
      <c r="CM225" t="e">
        <v>#N/A</v>
      </c>
      <c r="CN225" t="e" cm="1">
        <f t="array" ref="CN225">IF(ISNUMBER(CM225),AF225/COUNT(IF(ISNUMBER(_xlfn.ANCHORARRAY($CM$11)),_xlfn.ANCHORARRAY($CM$11))),NA())</f>
        <v>#N/A</v>
      </c>
      <c r="CO225" t="e">
        <f t="shared" si="97"/>
        <v>#N/A</v>
      </c>
      <c r="CQ225" t="e">
        <f t="shared" si="98"/>
        <v>#N/A</v>
      </c>
      <c r="CR225" t="e">
        <f t="shared" si="99"/>
        <v>#N/A</v>
      </c>
      <c r="CT225" t="e">
        <v>#N/A</v>
      </c>
      <c r="CU225" t="e">
        <v>#N/A</v>
      </c>
      <c r="CY225" t="e">
        <f t="shared" si="100"/>
        <v>#N/A</v>
      </c>
      <c r="CZ225" t="e">
        <v>#N/A</v>
      </c>
      <c r="DA225" t="e" cm="1">
        <f t="array" ref="DA225">IF(ISNUMBER(CZ225),AF225/COUNT(IF(ISNUMBER(_xlfn.ANCHORARRAY($CZ$11)),_xlfn.ANCHORARRAY($CZ$11))),NA())</f>
        <v>#N/A</v>
      </c>
      <c r="DB225" t="e">
        <f t="shared" si="101"/>
        <v>#N/A</v>
      </c>
      <c r="DD225" t="e">
        <f t="shared" si="102"/>
        <v>#N/A</v>
      </c>
      <c r="DE225" t="e">
        <f t="shared" si="103"/>
        <v>#N/A</v>
      </c>
      <c r="DG225" t="e">
        <v>#N/A</v>
      </c>
      <c r="DH225" t="e">
        <v>#N/A</v>
      </c>
    </row>
    <row r="226" spans="32:112">
      <c r="AF226">
        <v>216</v>
      </c>
      <c r="AG226" s="401">
        <f>'Lab test'!N219</f>
        <v>46.674449028881959</v>
      </c>
      <c r="AH226" s="401">
        <f>'Lab test'!M219</f>
        <v>0.58809805776391266</v>
      </c>
      <c r="AI226">
        <f>IF('Lab test'!O219&gt;0,'Lab test'!O219,NA())</f>
        <v>64.007999999999996</v>
      </c>
      <c r="AJ226">
        <f>'Lab test'!Q219</f>
        <v>79.365079365079367</v>
      </c>
      <c r="AK226" s="401">
        <f>IF('Lab test'!V219&gt;0,'Lab test'!V219,NA())</f>
        <v>203395.41999999998</v>
      </c>
      <c r="AL226" s="7">
        <f>IF(MAX('Lab test'!W219,'Lab test'!X219)&gt;0,MAX('Lab test'!W219,'Lab test'!X219),NA())</f>
        <v>247.86662199999998</v>
      </c>
      <c r="AM226" s="401">
        <f>IF('Lab test'!P219&gt;0,'Lab test'!P219,NA())</f>
        <v>0.15393604702077612</v>
      </c>
      <c r="AN226" s="401">
        <f>IF('Lab test'!AU219&gt;0,'Lab test'!AU219,NA())</f>
        <v>1.1293463143254521</v>
      </c>
      <c r="AO226" s="401">
        <f>IF('Lab test'!AT219&gt;0,'Lab test'!AT219,NA())</f>
        <v>0.18047406313140898</v>
      </c>
      <c r="AP226">
        <f t="shared" si="107"/>
        <v>1</v>
      </c>
      <c r="AQ226" s="401">
        <f>'Lab test'!AZ219</f>
        <v>1933</v>
      </c>
      <c r="AR226" t="str">
        <f>'Lab test'!AC219</f>
        <v>Machined</v>
      </c>
      <c r="AS226" t="str">
        <f>'Lab test'!T219</f>
        <v>Steel</v>
      </c>
      <c r="AX226" t="e">
        <f t="shared" si="89"/>
        <v>#N/A</v>
      </c>
      <c r="AY226" t="e">
        <f t="shared" si="86"/>
        <v>#N/A</v>
      </c>
      <c r="AZ226" t="e">
        <f t="shared" si="104"/>
        <v>#N/A</v>
      </c>
      <c r="BA226" t="e">
        <f t="shared" si="104"/>
        <v>#N/A</v>
      </c>
      <c r="BB226" t="e">
        <f t="shared" si="104"/>
        <v>#N/A</v>
      </c>
      <c r="BC226" t="e">
        <f t="shared" si="104"/>
        <v>#N/A</v>
      </c>
      <c r="BD226" t="e">
        <f t="shared" si="104"/>
        <v>#N/A</v>
      </c>
      <c r="BG226" t="e">
        <f t="shared" si="90"/>
        <v>#N/A</v>
      </c>
      <c r="BH226" t="e">
        <f t="shared" si="87"/>
        <v>#N/A</v>
      </c>
      <c r="BI226" t="e">
        <f t="shared" si="105"/>
        <v>#N/A</v>
      </c>
      <c r="BJ226" t="e">
        <f t="shared" si="105"/>
        <v>#N/A</v>
      </c>
      <c r="BK226" t="e">
        <f t="shared" si="105"/>
        <v>#N/A</v>
      </c>
      <c r="BL226" t="e">
        <f t="shared" si="105"/>
        <v>#N/A</v>
      </c>
      <c r="BM226" t="e">
        <f t="shared" si="105"/>
        <v>#N/A</v>
      </c>
      <c r="BP226" t="e">
        <f t="shared" si="91"/>
        <v>#N/A</v>
      </c>
      <c r="BQ226" t="e">
        <f t="shared" si="88"/>
        <v>#N/A</v>
      </c>
      <c r="BR226" t="e">
        <f t="shared" si="106"/>
        <v>#N/A</v>
      </c>
      <c r="BS226" t="e">
        <f t="shared" si="106"/>
        <v>#N/A</v>
      </c>
      <c r="BT226" t="e">
        <f t="shared" si="106"/>
        <v>#N/A</v>
      </c>
      <c r="BU226" t="e">
        <f t="shared" si="106"/>
        <v>#N/A</v>
      </c>
      <c r="BV226" t="e">
        <f t="shared" si="106"/>
        <v>#N/A</v>
      </c>
      <c r="BY226" t="e">
        <f t="shared" si="92"/>
        <v>#N/A</v>
      </c>
      <c r="BZ226" t="e">
        <v>#N/A</v>
      </c>
      <c r="CA226" t="e" cm="1">
        <f t="array" ref="CA226">IF(ISNUMBER(BZ226),AF226/COUNT(IF(ISNUMBER(_xlfn.ANCHORARRAY($BZ$11)),_xlfn.ANCHORARRAY($BZ$11))),NA())</f>
        <v>#N/A</v>
      </c>
      <c r="CB226" t="e">
        <f t="shared" si="93"/>
        <v>#N/A</v>
      </c>
      <c r="CD226" t="e">
        <f t="shared" si="94"/>
        <v>#N/A</v>
      </c>
      <c r="CE226" t="e">
        <f t="shared" si="95"/>
        <v>#N/A</v>
      </c>
      <c r="CG226" t="e">
        <v>#N/A</v>
      </c>
      <c r="CH226" t="e">
        <v>#N/A</v>
      </c>
      <c r="CL226" t="e">
        <f t="shared" si="96"/>
        <v>#N/A</v>
      </c>
      <c r="CM226" t="e">
        <v>#N/A</v>
      </c>
      <c r="CN226" t="e" cm="1">
        <f t="array" ref="CN226">IF(ISNUMBER(CM226),AF226/COUNT(IF(ISNUMBER(_xlfn.ANCHORARRAY($CM$11)),_xlfn.ANCHORARRAY($CM$11))),NA())</f>
        <v>#N/A</v>
      </c>
      <c r="CO226" t="e">
        <f t="shared" si="97"/>
        <v>#N/A</v>
      </c>
      <c r="CQ226" t="e">
        <f t="shared" si="98"/>
        <v>#N/A</v>
      </c>
      <c r="CR226" t="e">
        <f t="shared" si="99"/>
        <v>#N/A</v>
      </c>
      <c r="CT226" t="e">
        <v>#N/A</v>
      </c>
      <c r="CU226" t="e">
        <v>#N/A</v>
      </c>
      <c r="CY226" t="e">
        <f t="shared" si="100"/>
        <v>#N/A</v>
      </c>
      <c r="CZ226" t="e">
        <v>#N/A</v>
      </c>
      <c r="DA226" t="e" cm="1">
        <f t="array" ref="DA226">IF(ISNUMBER(CZ226),AF226/COUNT(IF(ISNUMBER(_xlfn.ANCHORARRAY($CZ$11)),_xlfn.ANCHORARRAY($CZ$11))),NA())</f>
        <v>#N/A</v>
      </c>
      <c r="DB226" t="e">
        <f t="shared" si="101"/>
        <v>#N/A</v>
      </c>
      <c r="DD226" t="e">
        <f t="shared" si="102"/>
        <v>#N/A</v>
      </c>
      <c r="DE226" t="e">
        <f t="shared" si="103"/>
        <v>#N/A</v>
      </c>
      <c r="DG226" t="e">
        <v>#N/A</v>
      </c>
      <c r="DH226" t="e">
        <v>#N/A</v>
      </c>
    </row>
    <row r="227" spans="32:112">
      <c r="AF227">
        <v>217</v>
      </c>
      <c r="AG227" s="401">
        <f>'Lab test'!N220</f>
        <v>49.413213255470346</v>
      </c>
      <c r="AH227" s="401">
        <f>'Lab test'!M220</f>
        <v>0.50302651094068818</v>
      </c>
      <c r="AI227">
        <f>IF('Lab test'!O220&gt;0,'Lab test'!O220,NA())</f>
        <v>44.449999999999996</v>
      </c>
      <c r="AJ227">
        <f>'Lab test'!Q220</f>
        <v>98.231827111984288</v>
      </c>
      <c r="AK227" s="401">
        <f>IF('Lab test'!V220&gt;0,'Lab test'!V220,NA())</f>
        <v>206153.32399999999</v>
      </c>
      <c r="AL227" s="7">
        <f>IF(MAX('Lab test'!W220,'Lab test'!X220)&gt;0,MAX('Lab test'!W220,'Lab test'!X220),NA())</f>
        <v>322.67476799999997</v>
      </c>
      <c r="AM227" s="401">
        <f>IF('Lab test'!P220&gt;0,'Lab test'!P220,NA())</f>
        <v>9.0761686687220858E-2</v>
      </c>
      <c r="AN227" s="401">
        <f>IF('Lab test'!AU220&gt;0,'Lab test'!AU220,NA())</f>
        <v>1.0555555555555556</v>
      </c>
      <c r="AO227" s="401">
        <f>IF('Lab test'!AT220&gt;0,'Lab test'!AT220,NA())</f>
        <v>0.2681571036092148</v>
      </c>
      <c r="AP227">
        <f t="shared" si="107"/>
        <v>1</v>
      </c>
      <c r="AQ227" s="401">
        <f>'Lab test'!AZ220</f>
        <v>1933</v>
      </c>
      <c r="AR227" t="str">
        <f>'Lab test'!AC220</f>
        <v>Machined</v>
      </c>
      <c r="AS227" t="str">
        <f>'Lab test'!T220</f>
        <v>Steel</v>
      </c>
      <c r="AX227" t="e">
        <f t="shared" si="89"/>
        <v>#N/A</v>
      </c>
      <c r="AY227" t="e">
        <f t="shared" si="86"/>
        <v>#N/A</v>
      </c>
      <c r="AZ227" t="e">
        <f t="shared" si="104"/>
        <v>#N/A</v>
      </c>
      <c r="BA227" t="e">
        <f t="shared" si="104"/>
        <v>#N/A</v>
      </c>
      <c r="BB227" t="e">
        <f t="shared" si="104"/>
        <v>#N/A</v>
      </c>
      <c r="BC227" t="e">
        <f t="shared" si="104"/>
        <v>#N/A</v>
      </c>
      <c r="BD227" t="e">
        <f t="shared" si="104"/>
        <v>#N/A</v>
      </c>
      <c r="BG227" t="e">
        <f t="shared" si="90"/>
        <v>#N/A</v>
      </c>
      <c r="BH227" t="e">
        <f t="shared" si="87"/>
        <v>#N/A</v>
      </c>
      <c r="BI227" t="e">
        <f t="shared" si="105"/>
        <v>#N/A</v>
      </c>
      <c r="BJ227" t="e">
        <f t="shared" si="105"/>
        <v>#N/A</v>
      </c>
      <c r="BK227" t="e">
        <f t="shared" si="105"/>
        <v>#N/A</v>
      </c>
      <c r="BL227" t="e">
        <f t="shared" si="105"/>
        <v>#N/A</v>
      </c>
      <c r="BM227" t="e">
        <f t="shared" si="105"/>
        <v>#N/A</v>
      </c>
      <c r="BP227" t="e">
        <f t="shared" si="91"/>
        <v>#N/A</v>
      </c>
      <c r="BQ227" t="e">
        <f t="shared" si="88"/>
        <v>#N/A</v>
      </c>
      <c r="BR227" t="e">
        <f t="shared" si="106"/>
        <v>#N/A</v>
      </c>
      <c r="BS227" t="e">
        <f t="shared" si="106"/>
        <v>#N/A</v>
      </c>
      <c r="BT227" t="e">
        <f t="shared" si="106"/>
        <v>#N/A</v>
      </c>
      <c r="BU227" t="e">
        <f t="shared" si="106"/>
        <v>#N/A</v>
      </c>
      <c r="BV227" t="e">
        <f t="shared" si="106"/>
        <v>#N/A</v>
      </c>
      <c r="BY227" t="e">
        <f t="shared" si="92"/>
        <v>#N/A</v>
      </c>
      <c r="BZ227" t="e">
        <v>#N/A</v>
      </c>
      <c r="CA227" t="e" cm="1">
        <f t="array" ref="CA227">IF(ISNUMBER(BZ227),AF227/COUNT(IF(ISNUMBER(_xlfn.ANCHORARRAY($BZ$11)),_xlfn.ANCHORARRAY($BZ$11))),NA())</f>
        <v>#N/A</v>
      </c>
      <c r="CB227" t="e">
        <f t="shared" si="93"/>
        <v>#N/A</v>
      </c>
      <c r="CD227" t="e">
        <f t="shared" si="94"/>
        <v>#N/A</v>
      </c>
      <c r="CE227" t="e">
        <f t="shared" si="95"/>
        <v>#N/A</v>
      </c>
      <c r="CG227" t="e">
        <v>#N/A</v>
      </c>
      <c r="CH227" t="e">
        <v>#N/A</v>
      </c>
      <c r="CL227" t="e">
        <f t="shared" si="96"/>
        <v>#N/A</v>
      </c>
      <c r="CM227" t="e">
        <v>#N/A</v>
      </c>
      <c r="CN227" t="e" cm="1">
        <f t="array" ref="CN227">IF(ISNUMBER(CM227),AF227/COUNT(IF(ISNUMBER(_xlfn.ANCHORARRAY($CM$11)),_xlfn.ANCHORARRAY($CM$11))),NA())</f>
        <v>#N/A</v>
      </c>
      <c r="CO227" t="e">
        <f t="shared" si="97"/>
        <v>#N/A</v>
      </c>
      <c r="CQ227" t="e">
        <f t="shared" si="98"/>
        <v>#N/A</v>
      </c>
      <c r="CR227" t="e">
        <f t="shared" si="99"/>
        <v>#N/A</v>
      </c>
      <c r="CT227" t="e">
        <v>#N/A</v>
      </c>
      <c r="CU227" t="e">
        <v>#N/A</v>
      </c>
      <c r="CY227" t="e">
        <f t="shared" si="100"/>
        <v>#N/A</v>
      </c>
      <c r="CZ227" t="e">
        <v>#N/A</v>
      </c>
      <c r="DA227" t="e" cm="1">
        <f t="array" ref="DA227">IF(ISNUMBER(CZ227),AF227/COUNT(IF(ISNUMBER(_xlfn.ANCHORARRAY($CZ$11)),_xlfn.ANCHORARRAY($CZ$11))),NA())</f>
        <v>#N/A</v>
      </c>
      <c r="DB227" t="e">
        <f t="shared" si="101"/>
        <v>#N/A</v>
      </c>
      <c r="DD227" t="e">
        <f t="shared" si="102"/>
        <v>#N/A</v>
      </c>
      <c r="DE227" t="e">
        <f t="shared" si="103"/>
        <v>#N/A</v>
      </c>
      <c r="DG227" t="e">
        <v>#N/A</v>
      </c>
      <c r="DH227" t="e">
        <v>#N/A</v>
      </c>
    </row>
    <row r="228" spans="32:112">
      <c r="AF228">
        <v>218</v>
      </c>
      <c r="AG228" s="401">
        <f>'Lab test'!N221</f>
        <v>49.414206595704051</v>
      </c>
      <c r="AH228" s="401">
        <f>'Lab test'!M221</f>
        <v>0.50501319140809542</v>
      </c>
      <c r="AI228">
        <f>IF('Lab test'!O221&gt;0,'Lab test'!O221,NA())</f>
        <v>95.25</v>
      </c>
      <c r="AJ228">
        <f>'Lab test'!Q221</f>
        <v>97.847358121330728</v>
      </c>
      <c r="AK228" s="401">
        <f>IF('Lab test'!V221&gt;0,'Lab test'!V221,NA())</f>
        <v>206153.32399999999</v>
      </c>
      <c r="AL228" s="7">
        <f>IF(MAX('Lab test'!W221,'Lab test'!X221)&gt;0,MAX('Lab test'!W221,'Lab test'!X221),NA())</f>
        <v>322.67476799999997</v>
      </c>
      <c r="AM228" s="401">
        <f>IF('Lab test'!P221&gt;0,'Lab test'!P221,NA())</f>
        <v>0.19486713748805642</v>
      </c>
      <c r="AN228" s="401">
        <f>IF('Lab test'!AU221&gt;0,'Lab test'!AU221,NA())</f>
        <v>1.1431623931623933</v>
      </c>
      <c r="AO228" s="401">
        <f>IF('Lab test'!AT221&gt;0,'Lab test'!AT221,NA())</f>
        <v>0.28927641153467182</v>
      </c>
      <c r="AP228">
        <f t="shared" si="107"/>
        <v>1</v>
      </c>
      <c r="AQ228" s="401">
        <f>'Lab test'!AZ221</f>
        <v>1933</v>
      </c>
      <c r="AR228" t="str">
        <f>'Lab test'!AC221</f>
        <v>Machined</v>
      </c>
      <c r="AS228" t="str">
        <f>'Lab test'!T221</f>
        <v>Steel</v>
      </c>
      <c r="AX228" t="e">
        <f t="shared" si="89"/>
        <v>#N/A</v>
      </c>
      <c r="AY228" t="e">
        <f t="shared" si="86"/>
        <v>#N/A</v>
      </c>
      <c r="AZ228" t="e">
        <f t="shared" si="104"/>
        <v>#N/A</v>
      </c>
      <c r="BA228" t="e">
        <f t="shared" si="104"/>
        <v>#N/A</v>
      </c>
      <c r="BB228" t="e">
        <f t="shared" si="104"/>
        <v>#N/A</v>
      </c>
      <c r="BC228" t="e">
        <f t="shared" si="104"/>
        <v>#N/A</v>
      </c>
      <c r="BD228" t="e">
        <f t="shared" si="104"/>
        <v>#N/A</v>
      </c>
      <c r="BG228" t="e">
        <f t="shared" si="90"/>
        <v>#N/A</v>
      </c>
      <c r="BH228" t="e">
        <f t="shared" si="87"/>
        <v>#N/A</v>
      </c>
      <c r="BI228" t="e">
        <f t="shared" si="105"/>
        <v>#N/A</v>
      </c>
      <c r="BJ228" t="e">
        <f t="shared" si="105"/>
        <v>#N/A</v>
      </c>
      <c r="BK228" t="e">
        <f t="shared" si="105"/>
        <v>#N/A</v>
      </c>
      <c r="BL228" t="e">
        <f t="shared" si="105"/>
        <v>#N/A</v>
      </c>
      <c r="BM228" t="e">
        <f t="shared" si="105"/>
        <v>#N/A</v>
      </c>
      <c r="BP228" t="e">
        <f t="shared" si="91"/>
        <v>#N/A</v>
      </c>
      <c r="BQ228" t="e">
        <f t="shared" si="88"/>
        <v>#N/A</v>
      </c>
      <c r="BR228" t="e">
        <f t="shared" si="106"/>
        <v>#N/A</v>
      </c>
      <c r="BS228" t="e">
        <f t="shared" si="106"/>
        <v>#N/A</v>
      </c>
      <c r="BT228" t="e">
        <f t="shared" si="106"/>
        <v>#N/A</v>
      </c>
      <c r="BU228" t="e">
        <f t="shared" si="106"/>
        <v>#N/A</v>
      </c>
      <c r="BV228" t="e">
        <f t="shared" si="106"/>
        <v>#N/A</v>
      </c>
      <c r="BY228" t="e">
        <f t="shared" si="92"/>
        <v>#N/A</v>
      </c>
      <c r="BZ228" t="e">
        <v>#N/A</v>
      </c>
      <c r="CA228" t="e" cm="1">
        <f t="array" ref="CA228">IF(ISNUMBER(BZ228),AF228/COUNT(IF(ISNUMBER(_xlfn.ANCHORARRAY($BZ$11)),_xlfn.ANCHORARRAY($BZ$11))),NA())</f>
        <v>#N/A</v>
      </c>
      <c r="CB228" t="e">
        <f t="shared" si="93"/>
        <v>#N/A</v>
      </c>
      <c r="CD228" t="e">
        <f t="shared" si="94"/>
        <v>#N/A</v>
      </c>
      <c r="CE228" t="e">
        <f t="shared" si="95"/>
        <v>#N/A</v>
      </c>
      <c r="CG228" t="e">
        <v>#N/A</v>
      </c>
      <c r="CH228" t="e">
        <v>#N/A</v>
      </c>
      <c r="CL228" t="e">
        <f t="shared" si="96"/>
        <v>#N/A</v>
      </c>
      <c r="CM228" t="e">
        <v>#N/A</v>
      </c>
      <c r="CN228" t="e" cm="1">
        <f t="array" ref="CN228">IF(ISNUMBER(CM228),AF228/COUNT(IF(ISNUMBER(_xlfn.ANCHORARRAY($CM$11)),_xlfn.ANCHORARRAY($CM$11))),NA())</f>
        <v>#N/A</v>
      </c>
      <c r="CO228" t="e">
        <f t="shared" si="97"/>
        <v>#N/A</v>
      </c>
      <c r="CQ228" t="e">
        <f t="shared" si="98"/>
        <v>#N/A</v>
      </c>
      <c r="CR228" t="e">
        <f t="shared" si="99"/>
        <v>#N/A</v>
      </c>
      <c r="CT228" t="e">
        <v>#N/A</v>
      </c>
      <c r="CU228" t="e">
        <v>#N/A</v>
      </c>
      <c r="CY228" t="e">
        <f t="shared" si="100"/>
        <v>#N/A</v>
      </c>
      <c r="CZ228" t="e">
        <v>#N/A</v>
      </c>
      <c r="DA228" t="e" cm="1">
        <f t="array" ref="DA228">IF(ISNUMBER(CZ228),AF228/COUNT(IF(ISNUMBER(_xlfn.ANCHORARRAY($CZ$11)),_xlfn.ANCHORARRAY($CZ$11))),NA())</f>
        <v>#N/A</v>
      </c>
      <c r="DB228" t="e">
        <f t="shared" si="101"/>
        <v>#N/A</v>
      </c>
      <c r="DD228" t="e">
        <f t="shared" si="102"/>
        <v>#N/A</v>
      </c>
      <c r="DE228" t="e">
        <f t="shared" si="103"/>
        <v>#N/A</v>
      </c>
      <c r="DG228" t="e">
        <v>#N/A</v>
      </c>
      <c r="DH228" t="e">
        <v>#N/A</v>
      </c>
    </row>
    <row r="229" spans="32:112">
      <c r="AF229">
        <v>219</v>
      </c>
      <c r="AG229" s="401">
        <f>'Lab test'!N222</f>
        <v>49.413213255470346</v>
      </c>
      <c r="AH229" s="401">
        <f>'Lab test'!M222</f>
        <v>0.50302651094068818</v>
      </c>
      <c r="AI229">
        <f>IF('Lab test'!O222&gt;0,'Lab test'!O222,NA())</f>
        <v>146.04999999999998</v>
      </c>
      <c r="AJ229">
        <f>'Lab test'!Q222</f>
        <v>98.231827111984288</v>
      </c>
      <c r="AK229" s="401">
        <f>IF('Lab test'!V222&gt;0,'Lab test'!V222,NA())</f>
        <v>206153.32399999999</v>
      </c>
      <c r="AL229" s="7">
        <f>IF(MAX('Lab test'!W222,'Lab test'!X222)&gt;0,MAX('Lab test'!W222,'Lab test'!X222),NA())</f>
        <v>322.67476799999997</v>
      </c>
      <c r="AM229" s="401">
        <f>IF('Lab test'!P222&gt;0,'Lab test'!P222,NA())</f>
        <v>0.2982169705437257</v>
      </c>
      <c r="AN229" s="401">
        <f>IF('Lab test'!AU222&gt;0,'Lab test'!AU222,NA())</f>
        <v>0.99145299145299148</v>
      </c>
      <c r="AO229" s="401">
        <f>IF('Lab test'!AT222&gt;0,'Lab test'!AT222,NA())</f>
        <v>0.25187225926047707</v>
      </c>
      <c r="AP229">
        <f t="shared" si="107"/>
        <v>1</v>
      </c>
      <c r="AQ229" s="401">
        <f>'Lab test'!AZ222</f>
        <v>1933</v>
      </c>
      <c r="AR229" t="str">
        <f>'Lab test'!AC222</f>
        <v>Machined</v>
      </c>
      <c r="AS229" t="str">
        <f>'Lab test'!T222</f>
        <v>Steel</v>
      </c>
      <c r="AX229" t="e">
        <f t="shared" si="89"/>
        <v>#N/A</v>
      </c>
      <c r="AY229" t="e">
        <f t="shared" si="86"/>
        <v>#N/A</v>
      </c>
      <c r="AZ229" t="e">
        <f t="shared" si="104"/>
        <v>#N/A</v>
      </c>
      <c r="BA229" t="e">
        <f t="shared" si="104"/>
        <v>#N/A</v>
      </c>
      <c r="BB229" t="e">
        <f t="shared" si="104"/>
        <v>#N/A</v>
      </c>
      <c r="BC229" t="e">
        <f t="shared" si="104"/>
        <v>#N/A</v>
      </c>
      <c r="BD229" t="e">
        <f t="shared" si="104"/>
        <v>#N/A</v>
      </c>
      <c r="BG229" t="e">
        <f t="shared" si="90"/>
        <v>#N/A</v>
      </c>
      <c r="BH229" t="e">
        <f t="shared" si="87"/>
        <v>#N/A</v>
      </c>
      <c r="BI229" t="e">
        <f t="shared" si="105"/>
        <v>#N/A</v>
      </c>
      <c r="BJ229" t="e">
        <f t="shared" si="105"/>
        <v>#N/A</v>
      </c>
      <c r="BK229" t="e">
        <f t="shared" si="105"/>
        <v>#N/A</v>
      </c>
      <c r="BL229" t="e">
        <f t="shared" si="105"/>
        <v>#N/A</v>
      </c>
      <c r="BM229" t="e">
        <f t="shared" si="105"/>
        <v>#N/A</v>
      </c>
      <c r="BP229" t="e">
        <f t="shared" si="91"/>
        <v>#N/A</v>
      </c>
      <c r="BQ229" t="e">
        <f t="shared" si="88"/>
        <v>#N/A</v>
      </c>
      <c r="BR229" t="e">
        <f t="shared" si="106"/>
        <v>#N/A</v>
      </c>
      <c r="BS229" t="e">
        <f t="shared" si="106"/>
        <v>#N/A</v>
      </c>
      <c r="BT229" t="e">
        <f t="shared" si="106"/>
        <v>#N/A</v>
      </c>
      <c r="BU229" t="e">
        <f t="shared" si="106"/>
        <v>#N/A</v>
      </c>
      <c r="BV229" t="e">
        <f t="shared" si="106"/>
        <v>#N/A</v>
      </c>
      <c r="BY229" t="e">
        <f t="shared" si="92"/>
        <v>#N/A</v>
      </c>
      <c r="BZ229" t="e">
        <v>#N/A</v>
      </c>
      <c r="CA229" t="e" cm="1">
        <f t="array" ref="CA229">IF(ISNUMBER(BZ229),AF229/COUNT(IF(ISNUMBER(_xlfn.ANCHORARRAY($BZ$11)),_xlfn.ANCHORARRAY($BZ$11))),NA())</f>
        <v>#N/A</v>
      </c>
      <c r="CB229" t="e">
        <f t="shared" si="93"/>
        <v>#N/A</v>
      </c>
      <c r="CD229" t="e">
        <f t="shared" si="94"/>
        <v>#N/A</v>
      </c>
      <c r="CE229" t="e">
        <f t="shared" si="95"/>
        <v>#N/A</v>
      </c>
      <c r="CG229" t="e">
        <v>#N/A</v>
      </c>
      <c r="CH229" t="e">
        <v>#N/A</v>
      </c>
      <c r="CL229" t="e">
        <f t="shared" si="96"/>
        <v>#N/A</v>
      </c>
      <c r="CM229" t="e">
        <v>#N/A</v>
      </c>
      <c r="CN229" t="e" cm="1">
        <f t="array" ref="CN229">IF(ISNUMBER(CM229),AF229/COUNT(IF(ISNUMBER(_xlfn.ANCHORARRAY($CM$11)),_xlfn.ANCHORARRAY($CM$11))),NA())</f>
        <v>#N/A</v>
      </c>
      <c r="CO229" t="e">
        <f t="shared" si="97"/>
        <v>#N/A</v>
      </c>
      <c r="CQ229" t="e">
        <f t="shared" si="98"/>
        <v>#N/A</v>
      </c>
      <c r="CR229" t="e">
        <f t="shared" si="99"/>
        <v>#N/A</v>
      </c>
      <c r="CT229" t="e">
        <v>#N/A</v>
      </c>
      <c r="CU229" t="e">
        <v>#N/A</v>
      </c>
      <c r="CY229" t="e">
        <f t="shared" si="100"/>
        <v>#N/A</v>
      </c>
      <c r="CZ229" t="e">
        <v>#N/A</v>
      </c>
      <c r="DA229" t="e" cm="1">
        <f t="array" ref="DA229">IF(ISNUMBER(CZ229),AF229/COUNT(IF(ISNUMBER(_xlfn.ANCHORARRAY($CZ$11)),_xlfn.ANCHORARRAY($CZ$11))),NA())</f>
        <v>#N/A</v>
      </c>
      <c r="DB229" t="e">
        <f t="shared" si="101"/>
        <v>#N/A</v>
      </c>
      <c r="DD229" t="e">
        <f t="shared" si="102"/>
        <v>#N/A</v>
      </c>
      <c r="DE229" t="e">
        <f t="shared" si="103"/>
        <v>#N/A</v>
      </c>
      <c r="DG229" t="e">
        <v>#N/A</v>
      </c>
      <c r="DH229" t="e">
        <v>#N/A</v>
      </c>
    </row>
    <row r="230" spans="32:112">
      <c r="AF230">
        <v>220</v>
      </c>
      <c r="AG230" s="401">
        <f>'Lab test'!N223</f>
        <v>49.43457887539217</v>
      </c>
      <c r="AH230" s="401">
        <f>'Lab test'!M223</f>
        <v>0.54575775078432953</v>
      </c>
      <c r="AI230">
        <f>IF('Lab test'!O223&gt;0,'Lab test'!O223,NA())</f>
        <v>196.85</v>
      </c>
      <c r="AJ230">
        <f>'Lab test'!Q223</f>
        <v>90.579710144927546</v>
      </c>
      <c r="AK230" s="401">
        <f>IF('Lab test'!V223&gt;0,'Lab test'!V223,NA())</f>
        <v>206153.32399999999</v>
      </c>
      <c r="AL230" s="7">
        <f>IF(MAX('Lab test'!W223,'Lab test'!X223)&gt;0,MAX('Lab test'!W223,'Lab test'!X223),NA())</f>
        <v>322.67476799999997</v>
      </c>
      <c r="AM230" s="401">
        <f>IF('Lab test'!P223&gt;0,'Lab test'!P223,NA())</f>
        <v>0.41839753479272312</v>
      </c>
      <c r="AN230" s="401">
        <f>IF('Lab test'!AU223&gt;0,'Lab test'!AU223,NA())</f>
        <v>1.0256410256410258</v>
      </c>
      <c r="AO230" s="401">
        <f>IF('Lab test'!AT223&gt;0,'Lab test'!AT223,NA())</f>
        <v>0.24026045720311631</v>
      </c>
      <c r="AP230">
        <f t="shared" si="107"/>
        <v>1</v>
      </c>
      <c r="AQ230" s="401">
        <f>'Lab test'!AZ223</f>
        <v>1933</v>
      </c>
      <c r="AR230" t="str">
        <f>'Lab test'!AC223</f>
        <v>Machined</v>
      </c>
      <c r="AS230" t="str">
        <f>'Lab test'!T223</f>
        <v>Steel</v>
      </c>
      <c r="AX230" t="e">
        <f t="shared" si="89"/>
        <v>#N/A</v>
      </c>
      <c r="AY230" t="e">
        <f t="shared" si="86"/>
        <v>#N/A</v>
      </c>
      <c r="AZ230" t="e">
        <f t="shared" si="104"/>
        <v>#N/A</v>
      </c>
      <c r="BA230" t="e">
        <f t="shared" si="104"/>
        <v>#N/A</v>
      </c>
      <c r="BB230" t="e">
        <f t="shared" si="104"/>
        <v>#N/A</v>
      </c>
      <c r="BC230" t="e">
        <f t="shared" si="104"/>
        <v>#N/A</v>
      </c>
      <c r="BD230" t="e">
        <f t="shared" si="104"/>
        <v>#N/A</v>
      </c>
      <c r="BG230" t="e">
        <f t="shared" si="90"/>
        <v>#N/A</v>
      </c>
      <c r="BH230" t="e">
        <f t="shared" si="87"/>
        <v>#N/A</v>
      </c>
      <c r="BI230" t="e">
        <f t="shared" si="105"/>
        <v>#N/A</v>
      </c>
      <c r="BJ230" t="e">
        <f t="shared" si="105"/>
        <v>#N/A</v>
      </c>
      <c r="BK230" t="e">
        <f t="shared" si="105"/>
        <v>#N/A</v>
      </c>
      <c r="BL230" t="e">
        <f t="shared" si="105"/>
        <v>#N/A</v>
      </c>
      <c r="BM230" t="e">
        <f t="shared" si="105"/>
        <v>#N/A</v>
      </c>
      <c r="BP230" t="e">
        <f t="shared" si="91"/>
        <v>#N/A</v>
      </c>
      <c r="BQ230" t="e">
        <f t="shared" si="88"/>
        <v>#N/A</v>
      </c>
      <c r="BR230" t="e">
        <f t="shared" si="106"/>
        <v>#N/A</v>
      </c>
      <c r="BS230" t="e">
        <f t="shared" si="106"/>
        <v>#N/A</v>
      </c>
      <c r="BT230" t="e">
        <f t="shared" si="106"/>
        <v>#N/A</v>
      </c>
      <c r="BU230" t="e">
        <f t="shared" si="106"/>
        <v>#N/A</v>
      </c>
      <c r="BV230" t="e">
        <f t="shared" si="106"/>
        <v>#N/A</v>
      </c>
      <c r="BY230" t="e">
        <f t="shared" si="92"/>
        <v>#N/A</v>
      </c>
      <c r="BZ230" t="e">
        <v>#N/A</v>
      </c>
      <c r="CA230" t="e" cm="1">
        <f t="array" ref="CA230">IF(ISNUMBER(BZ230),AF230/COUNT(IF(ISNUMBER(_xlfn.ANCHORARRAY($BZ$11)),_xlfn.ANCHORARRAY($BZ$11))),NA())</f>
        <v>#N/A</v>
      </c>
      <c r="CB230" t="e">
        <f t="shared" si="93"/>
        <v>#N/A</v>
      </c>
      <c r="CD230" t="e">
        <f t="shared" si="94"/>
        <v>#N/A</v>
      </c>
      <c r="CE230" t="e">
        <f t="shared" si="95"/>
        <v>#N/A</v>
      </c>
      <c r="CG230" t="e">
        <v>#N/A</v>
      </c>
      <c r="CH230" t="e">
        <v>#N/A</v>
      </c>
      <c r="CL230" t="e">
        <f t="shared" si="96"/>
        <v>#N/A</v>
      </c>
      <c r="CM230" t="e">
        <v>#N/A</v>
      </c>
      <c r="CN230" t="e" cm="1">
        <f t="array" ref="CN230">IF(ISNUMBER(CM230),AF230/COUNT(IF(ISNUMBER(_xlfn.ANCHORARRAY($CM$11)),_xlfn.ANCHORARRAY($CM$11))),NA())</f>
        <v>#N/A</v>
      </c>
      <c r="CO230" t="e">
        <f t="shared" si="97"/>
        <v>#N/A</v>
      </c>
      <c r="CQ230" t="e">
        <f t="shared" si="98"/>
        <v>#N/A</v>
      </c>
      <c r="CR230" t="e">
        <f t="shared" si="99"/>
        <v>#N/A</v>
      </c>
      <c r="CT230" t="e">
        <v>#N/A</v>
      </c>
      <c r="CU230" t="e">
        <v>#N/A</v>
      </c>
      <c r="CY230" t="e">
        <f t="shared" si="100"/>
        <v>#N/A</v>
      </c>
      <c r="CZ230" t="e">
        <v>#N/A</v>
      </c>
      <c r="DA230" t="e" cm="1">
        <f t="array" ref="DA230">IF(ISNUMBER(CZ230),AF230/COUNT(IF(ISNUMBER(_xlfn.ANCHORARRAY($CZ$11)),_xlfn.ANCHORARRAY($CZ$11))),NA())</f>
        <v>#N/A</v>
      </c>
      <c r="DB230" t="e">
        <f t="shared" si="101"/>
        <v>#N/A</v>
      </c>
      <c r="DD230" t="e">
        <f t="shared" si="102"/>
        <v>#N/A</v>
      </c>
      <c r="DE230" t="e">
        <f t="shared" si="103"/>
        <v>#N/A</v>
      </c>
      <c r="DG230" t="e">
        <v>#N/A</v>
      </c>
      <c r="DH230" t="e">
        <v>#N/A</v>
      </c>
    </row>
    <row r="231" spans="32:112">
      <c r="AF231">
        <v>221</v>
      </c>
      <c r="AG231" s="401">
        <f>'Lab test'!N224</f>
        <v>49.407998874388831</v>
      </c>
      <c r="AH231" s="401">
        <f>'Lab test'!M224</f>
        <v>0.49259774877765666</v>
      </c>
      <c r="AI231">
        <f>IF('Lab test'!O224&gt;0,'Lab test'!O224,NA())</f>
        <v>504.69799999999998</v>
      </c>
      <c r="AJ231">
        <f>'Lab test'!Q224</f>
        <v>100.30090270812438</v>
      </c>
      <c r="AK231" s="401">
        <f>IF('Lab test'!V224&gt;0,'Lab test'!V224,NA())</f>
        <v>206153.32399999999</v>
      </c>
      <c r="AL231" s="7">
        <f>IF(MAX('Lab test'!W224,'Lab test'!X224)&gt;0,MAX('Lab test'!W224,'Lab test'!X224),NA())</f>
        <v>322.67476799999997</v>
      </c>
      <c r="AM231" s="401">
        <f>IF('Lab test'!P224&gt;0,'Lab test'!P224,NA())</f>
        <v>1.0199570835537215</v>
      </c>
      <c r="AN231" s="401">
        <f>IF('Lab test'!AU224&gt;0,'Lab test'!AU224,NA())</f>
        <v>1.0811965811965811</v>
      </c>
      <c r="AO231" s="401">
        <f>IF('Lab test'!AT224&gt;0,'Lab test'!AT224,NA())</f>
        <v>0.28045648956167174</v>
      </c>
      <c r="AP231">
        <f t="shared" si="107"/>
        <v>1</v>
      </c>
      <c r="AQ231" s="401">
        <f>'Lab test'!AZ224</f>
        <v>1933</v>
      </c>
      <c r="AR231" t="str">
        <f>'Lab test'!AC224</f>
        <v>Machined</v>
      </c>
      <c r="AS231" t="str">
        <f>'Lab test'!T224</f>
        <v>Steel</v>
      </c>
      <c r="AX231" t="e">
        <f t="shared" si="89"/>
        <v>#N/A</v>
      </c>
      <c r="AY231" t="e">
        <f t="shared" si="86"/>
        <v>#N/A</v>
      </c>
      <c r="AZ231" t="e">
        <f t="shared" si="104"/>
        <v>#N/A</v>
      </c>
      <c r="BA231" t="e">
        <f t="shared" si="104"/>
        <v>#N/A</v>
      </c>
      <c r="BB231" t="e">
        <f t="shared" si="104"/>
        <v>#N/A</v>
      </c>
      <c r="BC231" t="e">
        <f t="shared" si="104"/>
        <v>#N/A</v>
      </c>
      <c r="BD231" t="e">
        <f t="shared" si="104"/>
        <v>#N/A</v>
      </c>
      <c r="BG231" t="e">
        <f t="shared" si="90"/>
        <v>#N/A</v>
      </c>
      <c r="BH231" t="e">
        <f t="shared" si="87"/>
        <v>#N/A</v>
      </c>
      <c r="BI231" t="e">
        <f t="shared" si="105"/>
        <v>#N/A</v>
      </c>
      <c r="BJ231" t="e">
        <f t="shared" si="105"/>
        <v>#N/A</v>
      </c>
      <c r="BK231" t="e">
        <f t="shared" si="105"/>
        <v>#N/A</v>
      </c>
      <c r="BL231" t="e">
        <f t="shared" si="105"/>
        <v>#N/A</v>
      </c>
      <c r="BM231" t="e">
        <f t="shared" si="105"/>
        <v>#N/A</v>
      </c>
      <c r="BP231" t="e">
        <f t="shared" si="91"/>
        <v>#N/A</v>
      </c>
      <c r="BQ231" t="e">
        <f t="shared" si="88"/>
        <v>#N/A</v>
      </c>
      <c r="BR231" t="e">
        <f t="shared" si="106"/>
        <v>#N/A</v>
      </c>
      <c r="BS231" t="e">
        <f t="shared" si="106"/>
        <v>#N/A</v>
      </c>
      <c r="BT231" t="e">
        <f t="shared" si="106"/>
        <v>#N/A</v>
      </c>
      <c r="BU231" t="e">
        <f t="shared" si="106"/>
        <v>#N/A</v>
      </c>
      <c r="BV231" t="e">
        <f t="shared" si="106"/>
        <v>#N/A</v>
      </c>
      <c r="BY231" t="e">
        <f t="shared" si="92"/>
        <v>#N/A</v>
      </c>
      <c r="BZ231" t="e">
        <v>#N/A</v>
      </c>
      <c r="CA231" t="e" cm="1">
        <f t="array" ref="CA231">IF(ISNUMBER(BZ231),AF231/COUNT(IF(ISNUMBER(_xlfn.ANCHORARRAY($BZ$11)),_xlfn.ANCHORARRAY($BZ$11))),NA())</f>
        <v>#N/A</v>
      </c>
      <c r="CB231" t="e">
        <f t="shared" si="93"/>
        <v>#N/A</v>
      </c>
      <c r="CD231" t="e">
        <f t="shared" si="94"/>
        <v>#N/A</v>
      </c>
      <c r="CE231" t="e">
        <f t="shared" si="95"/>
        <v>#N/A</v>
      </c>
      <c r="CG231" t="e">
        <v>#N/A</v>
      </c>
      <c r="CH231" t="e">
        <v>#N/A</v>
      </c>
      <c r="CL231" t="e">
        <f t="shared" si="96"/>
        <v>#N/A</v>
      </c>
      <c r="CM231" t="e">
        <v>#N/A</v>
      </c>
      <c r="CN231" t="e" cm="1">
        <f t="array" ref="CN231">IF(ISNUMBER(CM231),AF231/COUNT(IF(ISNUMBER(_xlfn.ANCHORARRAY($CM$11)),_xlfn.ANCHORARRAY($CM$11))),NA())</f>
        <v>#N/A</v>
      </c>
      <c r="CO231" t="e">
        <f t="shared" si="97"/>
        <v>#N/A</v>
      </c>
      <c r="CQ231" t="e">
        <f t="shared" si="98"/>
        <v>#N/A</v>
      </c>
      <c r="CR231" t="e">
        <f t="shared" si="99"/>
        <v>#N/A</v>
      </c>
      <c r="CT231" t="e">
        <v>#N/A</v>
      </c>
      <c r="CU231" t="e">
        <v>#N/A</v>
      </c>
      <c r="CY231" t="e">
        <f t="shared" si="100"/>
        <v>#N/A</v>
      </c>
      <c r="CZ231" t="e">
        <v>#N/A</v>
      </c>
      <c r="DA231" t="e" cm="1">
        <f t="array" ref="DA231">IF(ISNUMBER(CZ231),AF231/COUNT(IF(ISNUMBER(_xlfn.ANCHORARRAY($CZ$11)),_xlfn.ANCHORARRAY($CZ$11))),NA())</f>
        <v>#N/A</v>
      </c>
      <c r="DB231" t="e">
        <f t="shared" si="101"/>
        <v>#N/A</v>
      </c>
      <c r="DD231" t="e">
        <f t="shared" si="102"/>
        <v>#N/A</v>
      </c>
      <c r="DE231" t="e">
        <f t="shared" si="103"/>
        <v>#N/A</v>
      </c>
      <c r="DG231" t="e">
        <v>#N/A</v>
      </c>
      <c r="DH231" t="e">
        <v>#N/A</v>
      </c>
    </row>
    <row r="232" spans="32:112">
      <c r="AF232">
        <v>222</v>
      </c>
      <c r="AG232" s="401">
        <f>'Lab test'!N225</f>
        <v>49.533947616336775</v>
      </c>
      <c r="AH232" s="401">
        <f>'Lab test'!M225</f>
        <v>0.74449523267354178</v>
      </c>
      <c r="AI232">
        <f>IF('Lab test'!O225&gt;0,'Lab test'!O225,NA())</f>
        <v>215.64599999999999</v>
      </c>
      <c r="AJ232">
        <f>'Lab test'!Q225</f>
        <v>66.533599467731207</v>
      </c>
      <c r="AK232" s="401">
        <f>IF('Lab test'!V225&gt;0,'Lab test'!V225,NA())</f>
        <v>206153.32399999999</v>
      </c>
      <c r="AL232" s="7">
        <f>IF(MAX('Lab test'!W225,'Lab test'!X225)&gt;0,MAX('Lab test'!W225,'Lab test'!X225),NA())</f>
        <v>322.67476799999997</v>
      </c>
      <c r="AM232" s="401">
        <f>IF('Lab test'!P225&gt;0,'Lab test'!P225,NA())</f>
        <v>0.53372550476408576</v>
      </c>
      <c r="AN232" s="401">
        <f>IF('Lab test'!AU225&gt;0,'Lab test'!AU225,NA())</f>
        <v>1.1858974358974359</v>
      </c>
      <c r="AO232" s="401">
        <f>IF('Lab test'!AT225&gt;0,'Lab test'!AT225,NA())</f>
        <v>0.20405354199586023</v>
      </c>
      <c r="AP232">
        <f t="shared" si="107"/>
        <v>1</v>
      </c>
      <c r="AQ232" s="401">
        <f>'Lab test'!AZ225</f>
        <v>1933</v>
      </c>
      <c r="AR232" t="str">
        <f>'Lab test'!AC225</f>
        <v>Machined</v>
      </c>
      <c r="AS232" t="str">
        <f>'Lab test'!T225</f>
        <v>Steel</v>
      </c>
      <c r="AX232" t="e">
        <f t="shared" si="89"/>
        <v>#N/A</v>
      </c>
      <c r="AY232" t="e">
        <f t="shared" si="86"/>
        <v>#N/A</v>
      </c>
      <c r="AZ232" t="e">
        <f t="shared" si="104"/>
        <v>#N/A</v>
      </c>
      <c r="BA232" t="e">
        <f t="shared" si="104"/>
        <v>#N/A</v>
      </c>
      <c r="BB232" t="e">
        <f t="shared" si="104"/>
        <v>#N/A</v>
      </c>
      <c r="BC232" t="e">
        <f t="shared" si="104"/>
        <v>#N/A</v>
      </c>
      <c r="BD232" t="e">
        <f t="shared" si="104"/>
        <v>#N/A</v>
      </c>
      <c r="BG232" t="e">
        <f t="shared" si="90"/>
        <v>#N/A</v>
      </c>
      <c r="BH232" t="e">
        <f t="shared" si="87"/>
        <v>#N/A</v>
      </c>
      <c r="BI232" t="e">
        <f t="shared" si="105"/>
        <v>#N/A</v>
      </c>
      <c r="BJ232" t="e">
        <f t="shared" si="105"/>
        <v>#N/A</v>
      </c>
      <c r="BK232" t="e">
        <f t="shared" si="105"/>
        <v>#N/A</v>
      </c>
      <c r="BL232" t="e">
        <f t="shared" si="105"/>
        <v>#N/A</v>
      </c>
      <c r="BM232" t="e">
        <f t="shared" si="105"/>
        <v>#N/A</v>
      </c>
      <c r="BP232" t="e">
        <f t="shared" si="91"/>
        <v>#N/A</v>
      </c>
      <c r="BQ232" t="e">
        <f t="shared" si="88"/>
        <v>#N/A</v>
      </c>
      <c r="BR232" t="e">
        <f t="shared" si="106"/>
        <v>#N/A</v>
      </c>
      <c r="BS232" t="e">
        <f t="shared" si="106"/>
        <v>#N/A</v>
      </c>
      <c r="BT232" t="e">
        <f t="shared" si="106"/>
        <v>#N/A</v>
      </c>
      <c r="BU232" t="e">
        <f t="shared" si="106"/>
        <v>#N/A</v>
      </c>
      <c r="BV232" t="e">
        <f t="shared" si="106"/>
        <v>#N/A</v>
      </c>
      <c r="BY232" t="e">
        <f t="shared" si="92"/>
        <v>#N/A</v>
      </c>
      <c r="BZ232" t="e">
        <v>#N/A</v>
      </c>
      <c r="CA232" t="e" cm="1">
        <f t="array" ref="CA232">IF(ISNUMBER(BZ232),AF232/COUNT(IF(ISNUMBER(_xlfn.ANCHORARRAY($BZ$11)),_xlfn.ANCHORARRAY($BZ$11))),NA())</f>
        <v>#N/A</v>
      </c>
      <c r="CB232" t="e">
        <f t="shared" si="93"/>
        <v>#N/A</v>
      </c>
      <c r="CD232" t="e">
        <f t="shared" si="94"/>
        <v>#N/A</v>
      </c>
      <c r="CE232" t="e">
        <f t="shared" si="95"/>
        <v>#N/A</v>
      </c>
      <c r="CG232" t="e">
        <v>#N/A</v>
      </c>
      <c r="CH232" t="e">
        <v>#N/A</v>
      </c>
      <c r="CL232" t="e">
        <f t="shared" si="96"/>
        <v>#N/A</v>
      </c>
      <c r="CM232" t="e">
        <v>#N/A</v>
      </c>
      <c r="CN232" t="e" cm="1">
        <f t="array" ref="CN232">IF(ISNUMBER(CM232),AF232/COUNT(IF(ISNUMBER(_xlfn.ANCHORARRAY($CM$11)),_xlfn.ANCHORARRAY($CM$11))),NA())</f>
        <v>#N/A</v>
      </c>
      <c r="CO232" t="e">
        <f t="shared" si="97"/>
        <v>#N/A</v>
      </c>
      <c r="CQ232" t="e">
        <f t="shared" si="98"/>
        <v>#N/A</v>
      </c>
      <c r="CR232" t="e">
        <f t="shared" si="99"/>
        <v>#N/A</v>
      </c>
      <c r="CT232" t="e">
        <v>#N/A</v>
      </c>
      <c r="CU232" t="e">
        <v>#N/A</v>
      </c>
      <c r="CY232" t="e">
        <f t="shared" si="100"/>
        <v>#N/A</v>
      </c>
      <c r="CZ232" t="e">
        <v>#N/A</v>
      </c>
      <c r="DA232" t="e" cm="1">
        <f t="array" ref="DA232">IF(ISNUMBER(CZ232),AF232/COUNT(IF(ISNUMBER(_xlfn.ANCHORARRAY($CZ$11)),_xlfn.ANCHORARRAY($CZ$11))),NA())</f>
        <v>#N/A</v>
      </c>
      <c r="DB232" t="e">
        <f t="shared" si="101"/>
        <v>#N/A</v>
      </c>
      <c r="DD232" t="e">
        <f t="shared" si="102"/>
        <v>#N/A</v>
      </c>
      <c r="DE232" t="e">
        <f t="shared" si="103"/>
        <v>#N/A</v>
      </c>
      <c r="DG232" t="e">
        <v>#N/A</v>
      </c>
      <c r="DH232" t="e">
        <v>#N/A</v>
      </c>
    </row>
    <row r="233" spans="32:112">
      <c r="AF233">
        <v>223</v>
      </c>
      <c r="AG233" s="401">
        <f>'Lab test'!N226</f>
        <v>49.347245643620013</v>
      </c>
      <c r="AH233" s="401">
        <f>'Lab test'!M226</f>
        <v>0.37109128724002244</v>
      </c>
      <c r="AI233">
        <f>IF('Lab test'!O226&gt;0,'Lab test'!O226,NA())</f>
        <v>215.89999999999998</v>
      </c>
      <c r="AJ233">
        <f>'Lab test'!Q226</f>
        <v>132.97872340425533</v>
      </c>
      <c r="AK233" s="401">
        <f>IF('Lab test'!V226&gt;0,'Lab test'!V226,NA())</f>
        <v>206153.32399999999</v>
      </c>
      <c r="AL233" s="7">
        <f>IF(MAX('Lab test'!W226,'Lab test'!X226)&gt;0,MAX('Lab test'!W226,'Lab test'!X226),NA())</f>
        <v>322.67476799999997</v>
      </c>
      <c r="AM233" s="401">
        <f>IF('Lab test'!P226&gt;0,'Lab test'!P226,NA())</f>
        <v>0.37940115218737808</v>
      </c>
      <c r="AN233" s="401">
        <f>IF('Lab test'!AU226&gt;0,'Lab test'!AU226,NA())</f>
        <v>0.86324786324786329</v>
      </c>
      <c r="AO233" s="401">
        <f>IF('Lab test'!AT226&gt;0,'Lab test'!AT226,NA())</f>
        <v>0.29687502238448887</v>
      </c>
      <c r="AP233">
        <f t="shared" si="107"/>
        <v>1</v>
      </c>
      <c r="AQ233" s="401">
        <f>'Lab test'!AZ226</f>
        <v>1933</v>
      </c>
      <c r="AR233" t="str">
        <f>'Lab test'!AC226</f>
        <v>Machined</v>
      </c>
      <c r="AS233" t="str">
        <f>'Lab test'!T226</f>
        <v>Steel</v>
      </c>
      <c r="AX233" t="e">
        <f t="shared" si="89"/>
        <v>#N/A</v>
      </c>
      <c r="AY233" t="e">
        <f t="shared" si="86"/>
        <v>#N/A</v>
      </c>
      <c r="AZ233" t="e">
        <f t="shared" si="104"/>
        <v>#N/A</v>
      </c>
      <c r="BA233" t="e">
        <f t="shared" si="104"/>
        <v>#N/A</v>
      </c>
      <c r="BB233" t="e">
        <f t="shared" si="104"/>
        <v>#N/A</v>
      </c>
      <c r="BC233" t="e">
        <f t="shared" si="104"/>
        <v>#N/A</v>
      </c>
      <c r="BD233" t="e">
        <f t="shared" si="104"/>
        <v>#N/A</v>
      </c>
      <c r="BG233" t="e">
        <f t="shared" si="90"/>
        <v>#N/A</v>
      </c>
      <c r="BH233" t="e">
        <f t="shared" si="87"/>
        <v>#N/A</v>
      </c>
      <c r="BI233" t="e">
        <f t="shared" si="105"/>
        <v>#N/A</v>
      </c>
      <c r="BJ233" t="e">
        <f t="shared" si="105"/>
        <v>#N/A</v>
      </c>
      <c r="BK233" t="e">
        <f t="shared" si="105"/>
        <v>#N/A</v>
      </c>
      <c r="BL233" t="e">
        <f t="shared" si="105"/>
        <v>#N/A</v>
      </c>
      <c r="BM233" t="e">
        <f t="shared" si="105"/>
        <v>#N/A</v>
      </c>
      <c r="BP233" t="e">
        <f t="shared" si="91"/>
        <v>#N/A</v>
      </c>
      <c r="BQ233" t="e">
        <f t="shared" si="88"/>
        <v>#N/A</v>
      </c>
      <c r="BR233" t="e">
        <f t="shared" si="106"/>
        <v>#N/A</v>
      </c>
      <c r="BS233" t="e">
        <f t="shared" si="106"/>
        <v>#N/A</v>
      </c>
      <c r="BT233" t="e">
        <f t="shared" si="106"/>
        <v>#N/A</v>
      </c>
      <c r="BU233" t="e">
        <f t="shared" si="106"/>
        <v>#N/A</v>
      </c>
      <c r="BV233" t="e">
        <f t="shared" si="106"/>
        <v>#N/A</v>
      </c>
      <c r="BY233" t="e">
        <f t="shared" si="92"/>
        <v>#N/A</v>
      </c>
      <c r="BZ233" t="e">
        <v>#N/A</v>
      </c>
      <c r="CA233" t="e" cm="1">
        <f t="array" ref="CA233">IF(ISNUMBER(BZ233),AF233/COUNT(IF(ISNUMBER(_xlfn.ANCHORARRAY($BZ$11)),_xlfn.ANCHORARRAY($BZ$11))),NA())</f>
        <v>#N/A</v>
      </c>
      <c r="CB233" t="e">
        <f t="shared" si="93"/>
        <v>#N/A</v>
      </c>
      <c r="CD233" t="e">
        <f t="shared" si="94"/>
        <v>#N/A</v>
      </c>
      <c r="CE233" t="e">
        <f t="shared" si="95"/>
        <v>#N/A</v>
      </c>
      <c r="CG233" t="e">
        <v>#N/A</v>
      </c>
      <c r="CH233" t="e">
        <v>#N/A</v>
      </c>
      <c r="CL233" t="e">
        <f t="shared" si="96"/>
        <v>#N/A</v>
      </c>
      <c r="CM233" t="e">
        <v>#N/A</v>
      </c>
      <c r="CN233" t="e" cm="1">
        <f t="array" ref="CN233">IF(ISNUMBER(CM233),AF233/COUNT(IF(ISNUMBER(_xlfn.ANCHORARRAY($CM$11)),_xlfn.ANCHORARRAY($CM$11))),NA())</f>
        <v>#N/A</v>
      </c>
      <c r="CO233" t="e">
        <f t="shared" si="97"/>
        <v>#N/A</v>
      </c>
      <c r="CQ233" t="e">
        <f t="shared" si="98"/>
        <v>#N/A</v>
      </c>
      <c r="CR233" t="e">
        <f t="shared" si="99"/>
        <v>#N/A</v>
      </c>
      <c r="CT233" t="e">
        <v>#N/A</v>
      </c>
      <c r="CU233" t="e">
        <v>#N/A</v>
      </c>
      <c r="CY233" t="e">
        <f t="shared" si="100"/>
        <v>#N/A</v>
      </c>
      <c r="CZ233" t="e">
        <v>#N/A</v>
      </c>
      <c r="DA233" t="e" cm="1">
        <f t="array" ref="DA233">IF(ISNUMBER(CZ233),AF233/COUNT(IF(ISNUMBER(_xlfn.ANCHORARRAY($CZ$11)),_xlfn.ANCHORARRAY($CZ$11))),NA())</f>
        <v>#N/A</v>
      </c>
      <c r="DB233" t="e">
        <f t="shared" si="101"/>
        <v>#N/A</v>
      </c>
      <c r="DD233" t="e">
        <f t="shared" si="102"/>
        <v>#N/A</v>
      </c>
      <c r="DE233" t="e">
        <f t="shared" si="103"/>
        <v>#N/A</v>
      </c>
      <c r="DG233" t="e">
        <v>#N/A</v>
      </c>
      <c r="DH233" t="e">
        <v>#N/A</v>
      </c>
    </row>
    <row r="234" spans="32:112">
      <c r="AF234">
        <v>224</v>
      </c>
      <c r="AG234" s="401">
        <f>'Lab test'!N227</f>
        <v>49.528707724236597</v>
      </c>
      <c r="AH234" s="401">
        <f>'Lab test'!M227</f>
        <v>0.73401544847318645</v>
      </c>
      <c r="AI234">
        <f>IF('Lab test'!O227&gt;0,'Lab test'!O227,NA())</f>
        <v>215.64599999999999</v>
      </c>
      <c r="AJ234">
        <f>'Lab test'!Q227</f>
        <v>67.476383265856953</v>
      </c>
      <c r="AK234" s="401">
        <f>IF('Lab test'!V227&gt;0,'Lab test'!V227,NA())</f>
        <v>206153.32399999999</v>
      </c>
      <c r="AL234" s="7">
        <f>IF(MAX('Lab test'!W227,'Lab test'!X227)&gt;0,MAX('Lab test'!W227,'Lab test'!X227),NA())</f>
        <v>322.67476799999997</v>
      </c>
      <c r="AM234" s="401">
        <f>IF('Lab test'!P227&gt;0,'Lab test'!P227,NA())</f>
        <v>0.53003983721682535</v>
      </c>
      <c r="AN234" s="401">
        <f>IF('Lab test'!AU227&gt;0,'Lab test'!AU227,NA())</f>
        <v>1.1239316239316239</v>
      </c>
      <c r="AO234" s="401">
        <f>IF('Lab test'!AT227&gt;0,'Lab test'!AT227,NA())</f>
        <v>0.19613164718240897</v>
      </c>
      <c r="AP234">
        <f t="shared" si="107"/>
        <v>1</v>
      </c>
      <c r="AQ234" s="401">
        <f>'Lab test'!AZ227</f>
        <v>1933</v>
      </c>
      <c r="AR234" t="str">
        <f>'Lab test'!AC227</f>
        <v>Machined</v>
      </c>
      <c r="AS234" t="str">
        <f>'Lab test'!T227</f>
        <v>Steel</v>
      </c>
      <c r="AX234" t="e">
        <f t="shared" si="89"/>
        <v>#N/A</v>
      </c>
      <c r="AY234" t="e">
        <f t="shared" si="86"/>
        <v>#N/A</v>
      </c>
      <c r="AZ234" t="e">
        <f t="shared" si="104"/>
        <v>#N/A</v>
      </c>
      <c r="BA234" t="e">
        <f t="shared" si="104"/>
        <v>#N/A</v>
      </c>
      <c r="BB234" t="e">
        <f t="shared" si="104"/>
        <v>#N/A</v>
      </c>
      <c r="BC234" t="e">
        <f t="shared" si="104"/>
        <v>#N/A</v>
      </c>
      <c r="BD234" t="e">
        <f t="shared" si="104"/>
        <v>#N/A</v>
      </c>
      <c r="BG234" t="e">
        <f t="shared" si="90"/>
        <v>#N/A</v>
      </c>
      <c r="BH234" t="e">
        <f t="shared" si="87"/>
        <v>#N/A</v>
      </c>
      <c r="BI234" t="e">
        <f t="shared" si="105"/>
        <v>#N/A</v>
      </c>
      <c r="BJ234" t="e">
        <f t="shared" si="105"/>
        <v>#N/A</v>
      </c>
      <c r="BK234" t="e">
        <f t="shared" si="105"/>
        <v>#N/A</v>
      </c>
      <c r="BL234" t="e">
        <f t="shared" si="105"/>
        <v>#N/A</v>
      </c>
      <c r="BM234" t="e">
        <f t="shared" si="105"/>
        <v>#N/A</v>
      </c>
      <c r="BP234" t="e">
        <f t="shared" si="91"/>
        <v>#N/A</v>
      </c>
      <c r="BQ234" t="e">
        <f t="shared" si="88"/>
        <v>#N/A</v>
      </c>
      <c r="BR234" t="e">
        <f t="shared" si="106"/>
        <v>#N/A</v>
      </c>
      <c r="BS234" t="e">
        <f t="shared" si="106"/>
        <v>#N/A</v>
      </c>
      <c r="BT234" t="e">
        <f t="shared" si="106"/>
        <v>#N/A</v>
      </c>
      <c r="BU234" t="e">
        <f t="shared" si="106"/>
        <v>#N/A</v>
      </c>
      <c r="BV234" t="e">
        <f t="shared" si="106"/>
        <v>#N/A</v>
      </c>
      <c r="BY234" t="e">
        <f t="shared" si="92"/>
        <v>#N/A</v>
      </c>
      <c r="BZ234" t="e">
        <v>#N/A</v>
      </c>
      <c r="CA234" t="e" cm="1">
        <f t="array" ref="CA234">IF(ISNUMBER(BZ234),AF234/COUNT(IF(ISNUMBER(_xlfn.ANCHORARRAY($BZ$11)),_xlfn.ANCHORARRAY($BZ$11))),NA())</f>
        <v>#N/A</v>
      </c>
      <c r="CB234" t="e">
        <f t="shared" si="93"/>
        <v>#N/A</v>
      </c>
      <c r="CD234" t="e">
        <f t="shared" si="94"/>
        <v>#N/A</v>
      </c>
      <c r="CE234" t="e">
        <f t="shared" si="95"/>
        <v>#N/A</v>
      </c>
      <c r="CG234" t="e">
        <v>#N/A</v>
      </c>
      <c r="CH234" t="e">
        <v>#N/A</v>
      </c>
      <c r="CL234" t="e">
        <f t="shared" si="96"/>
        <v>#N/A</v>
      </c>
      <c r="CM234" t="e">
        <v>#N/A</v>
      </c>
      <c r="CN234" t="e" cm="1">
        <f t="array" ref="CN234">IF(ISNUMBER(CM234),AF234/COUNT(IF(ISNUMBER(_xlfn.ANCHORARRAY($CM$11)),_xlfn.ANCHORARRAY($CM$11))),NA())</f>
        <v>#N/A</v>
      </c>
      <c r="CO234" t="e">
        <f t="shared" si="97"/>
        <v>#N/A</v>
      </c>
      <c r="CQ234" t="e">
        <f t="shared" si="98"/>
        <v>#N/A</v>
      </c>
      <c r="CR234" t="e">
        <f t="shared" si="99"/>
        <v>#N/A</v>
      </c>
      <c r="CT234" t="e">
        <v>#N/A</v>
      </c>
      <c r="CU234" t="e">
        <v>#N/A</v>
      </c>
      <c r="CY234" t="e">
        <f t="shared" si="100"/>
        <v>#N/A</v>
      </c>
      <c r="CZ234" t="e">
        <v>#N/A</v>
      </c>
      <c r="DA234" t="e" cm="1">
        <f t="array" ref="DA234">IF(ISNUMBER(CZ234),AF234/COUNT(IF(ISNUMBER(_xlfn.ANCHORARRAY($CZ$11)),_xlfn.ANCHORARRAY($CZ$11))),NA())</f>
        <v>#N/A</v>
      </c>
      <c r="DB234" t="e">
        <f t="shared" si="101"/>
        <v>#N/A</v>
      </c>
      <c r="DD234" t="e">
        <f t="shared" si="102"/>
        <v>#N/A</v>
      </c>
      <c r="DE234" t="e">
        <f t="shared" si="103"/>
        <v>#N/A</v>
      </c>
      <c r="DG234" t="e">
        <v>#N/A</v>
      </c>
      <c r="DH234" t="e">
        <v>#N/A</v>
      </c>
    </row>
    <row r="235" spans="32:112">
      <c r="AF235">
        <v>225</v>
      </c>
      <c r="AG235" s="401">
        <f>'Lab test'!N228</f>
        <v>49.343283282479526</v>
      </c>
      <c r="AH235" s="401">
        <f>'Lab test'!M228</f>
        <v>0.36316656495904931</v>
      </c>
      <c r="AI235">
        <f>IF('Lab test'!O228&gt;0,'Lab test'!O228,NA())</f>
        <v>215.89999999999998</v>
      </c>
      <c r="AJ235">
        <f>'Lab test'!Q228</f>
        <v>135.86956521739131</v>
      </c>
      <c r="AK235" s="401">
        <f>IF('Lab test'!V228&gt;0,'Lab test'!V228,NA())</f>
        <v>206153.32399999999</v>
      </c>
      <c r="AL235" s="7">
        <f>IF(MAX('Lab test'!W228,'Lab test'!X228)&gt;0,MAX('Lab test'!W228,'Lab test'!X228),NA())</f>
        <v>322.67476799999997</v>
      </c>
      <c r="AM235" s="401">
        <f>IF('Lab test'!P228&gt;0,'Lab test'!P228,NA())</f>
        <v>0.37537340997518148</v>
      </c>
      <c r="AN235" s="401">
        <f>IF('Lab test'!AU228&gt;0,'Lab test'!AU228,NA())</f>
        <v>0.93376068376068388</v>
      </c>
      <c r="AO235" s="401">
        <f>IF('Lab test'!AT228&gt;0,'Lab test'!AT228,NA())</f>
        <v>0.32810568686800567</v>
      </c>
      <c r="AP235">
        <f t="shared" si="107"/>
        <v>1</v>
      </c>
      <c r="AQ235" s="401">
        <f>'Lab test'!AZ228</f>
        <v>1933</v>
      </c>
      <c r="AR235" t="str">
        <f>'Lab test'!AC228</f>
        <v>Machined</v>
      </c>
      <c r="AS235" t="str">
        <f>'Lab test'!T228</f>
        <v>Steel</v>
      </c>
      <c r="AX235" t="e">
        <f t="shared" si="89"/>
        <v>#N/A</v>
      </c>
      <c r="AY235" t="e">
        <f t="shared" si="86"/>
        <v>#N/A</v>
      </c>
      <c r="AZ235" t="e">
        <f t="shared" si="104"/>
        <v>#N/A</v>
      </c>
      <c r="BA235" t="e">
        <f t="shared" si="104"/>
        <v>#N/A</v>
      </c>
      <c r="BB235" t="e">
        <f t="shared" si="104"/>
        <v>#N/A</v>
      </c>
      <c r="BC235" t="e">
        <f t="shared" si="104"/>
        <v>#N/A</v>
      </c>
      <c r="BD235" t="e">
        <f t="shared" si="104"/>
        <v>#N/A</v>
      </c>
      <c r="BG235" t="e">
        <f t="shared" si="90"/>
        <v>#N/A</v>
      </c>
      <c r="BH235" t="e">
        <f t="shared" si="87"/>
        <v>#N/A</v>
      </c>
      <c r="BI235" t="e">
        <f t="shared" si="105"/>
        <v>#N/A</v>
      </c>
      <c r="BJ235" t="e">
        <f t="shared" si="105"/>
        <v>#N/A</v>
      </c>
      <c r="BK235" t="e">
        <f t="shared" si="105"/>
        <v>#N/A</v>
      </c>
      <c r="BL235" t="e">
        <f t="shared" si="105"/>
        <v>#N/A</v>
      </c>
      <c r="BM235" t="e">
        <f t="shared" si="105"/>
        <v>#N/A</v>
      </c>
      <c r="BP235" t="e">
        <f t="shared" si="91"/>
        <v>#N/A</v>
      </c>
      <c r="BQ235" t="e">
        <f t="shared" si="88"/>
        <v>#N/A</v>
      </c>
      <c r="BR235" t="e">
        <f t="shared" si="106"/>
        <v>#N/A</v>
      </c>
      <c r="BS235" t="e">
        <f t="shared" si="106"/>
        <v>#N/A</v>
      </c>
      <c r="BT235" t="e">
        <f t="shared" si="106"/>
        <v>#N/A</v>
      </c>
      <c r="BU235" t="e">
        <f t="shared" si="106"/>
        <v>#N/A</v>
      </c>
      <c r="BV235" t="e">
        <f t="shared" si="106"/>
        <v>#N/A</v>
      </c>
      <c r="BY235" t="e">
        <f t="shared" si="92"/>
        <v>#N/A</v>
      </c>
      <c r="BZ235" t="e">
        <v>#N/A</v>
      </c>
      <c r="CA235" t="e" cm="1">
        <f t="array" ref="CA235">IF(ISNUMBER(BZ235),AF235/COUNT(IF(ISNUMBER(_xlfn.ANCHORARRAY($BZ$11)),_xlfn.ANCHORARRAY($BZ$11))),NA())</f>
        <v>#N/A</v>
      </c>
      <c r="CB235" t="e">
        <f t="shared" si="93"/>
        <v>#N/A</v>
      </c>
      <c r="CD235" t="e">
        <f t="shared" si="94"/>
        <v>#N/A</v>
      </c>
      <c r="CE235" t="e">
        <f t="shared" si="95"/>
        <v>#N/A</v>
      </c>
      <c r="CG235" t="e">
        <v>#N/A</v>
      </c>
      <c r="CH235" t="e">
        <v>#N/A</v>
      </c>
      <c r="CL235" t="e">
        <f t="shared" si="96"/>
        <v>#N/A</v>
      </c>
      <c r="CM235" t="e">
        <v>#N/A</v>
      </c>
      <c r="CN235" t="e" cm="1">
        <f t="array" ref="CN235">IF(ISNUMBER(CM235),AF235/COUNT(IF(ISNUMBER(_xlfn.ANCHORARRAY($CM$11)),_xlfn.ANCHORARRAY($CM$11))),NA())</f>
        <v>#N/A</v>
      </c>
      <c r="CO235" t="e">
        <f t="shared" si="97"/>
        <v>#N/A</v>
      </c>
      <c r="CQ235" t="e">
        <f t="shared" si="98"/>
        <v>#N/A</v>
      </c>
      <c r="CR235" t="e">
        <f t="shared" si="99"/>
        <v>#N/A</v>
      </c>
      <c r="CT235" t="e">
        <v>#N/A</v>
      </c>
      <c r="CU235" t="e">
        <v>#N/A</v>
      </c>
      <c r="CY235" t="e">
        <f t="shared" si="100"/>
        <v>#N/A</v>
      </c>
      <c r="CZ235" t="e">
        <v>#N/A</v>
      </c>
      <c r="DA235" t="e" cm="1">
        <f t="array" ref="DA235">IF(ISNUMBER(CZ235),AF235/COUNT(IF(ISNUMBER(_xlfn.ANCHORARRAY($CZ$11)),_xlfn.ANCHORARRAY($CZ$11))),NA())</f>
        <v>#N/A</v>
      </c>
      <c r="DB235" t="e">
        <f t="shared" si="101"/>
        <v>#N/A</v>
      </c>
      <c r="DD235" t="e">
        <f t="shared" si="102"/>
        <v>#N/A</v>
      </c>
      <c r="DE235" t="e">
        <f t="shared" si="103"/>
        <v>#N/A</v>
      </c>
      <c r="DG235" t="e">
        <v>#N/A</v>
      </c>
      <c r="DH235" t="e">
        <v>#N/A</v>
      </c>
    </row>
    <row r="236" spans="32:112">
      <c r="AF236">
        <v>226</v>
      </c>
      <c r="AG236" s="401">
        <f>'Lab test'!N229</f>
        <v>49.355897168315643</v>
      </c>
      <c r="AH236" s="401">
        <f>'Lab test'!M229</f>
        <v>0.33759433663127897</v>
      </c>
      <c r="AI236">
        <f>IF('Lab test'!O229&gt;0,'Lab test'!O229,NA())</f>
        <v>63.5</v>
      </c>
      <c r="AJ236">
        <f>'Lab test'!Q229</f>
        <v>146.19883040935673</v>
      </c>
      <c r="AK236" s="401">
        <f>IF('Lab test'!V229&gt;0,'Lab test'!V229,NA())</f>
        <v>206153.32399999999</v>
      </c>
      <c r="AL236" s="7">
        <f>IF(MAX('Lab test'!W229,'Lab test'!X229)&gt;0,MAX('Lab test'!W229,'Lab test'!X229),NA())</f>
        <v>322.67476799999997</v>
      </c>
      <c r="AM236" s="401">
        <f>IF('Lab test'!P229&gt;0,'Lab test'!P229,NA())</f>
        <v>0.10640516890285105</v>
      </c>
      <c r="AN236" s="401">
        <f>IF('Lab test'!AU229&gt;0,'Lab test'!AU229,NA())</f>
        <v>1.1794871794871795</v>
      </c>
      <c r="AO236" s="401">
        <f>IF('Lab test'!AT229&gt;0,'Lab test'!AT229,NA())</f>
        <v>0.44595712933490705</v>
      </c>
      <c r="AP236">
        <f t="shared" si="107"/>
        <v>1</v>
      </c>
      <c r="AQ236" s="401">
        <f>'Lab test'!AZ229</f>
        <v>1933</v>
      </c>
      <c r="AR236" t="str">
        <f>'Lab test'!AC229</f>
        <v>Machined</v>
      </c>
      <c r="AS236" t="str">
        <f>'Lab test'!T229</f>
        <v>Steel</v>
      </c>
      <c r="AX236" t="e">
        <f t="shared" si="89"/>
        <v>#N/A</v>
      </c>
      <c r="AY236" t="e">
        <f t="shared" si="86"/>
        <v>#N/A</v>
      </c>
      <c r="AZ236" t="e">
        <f t="shared" si="104"/>
        <v>#N/A</v>
      </c>
      <c r="BA236" t="e">
        <f t="shared" si="104"/>
        <v>#N/A</v>
      </c>
      <c r="BB236" t="e">
        <f t="shared" si="104"/>
        <v>#N/A</v>
      </c>
      <c r="BC236" t="e">
        <f t="shared" si="104"/>
        <v>#N/A</v>
      </c>
      <c r="BD236" t="e">
        <f t="shared" si="104"/>
        <v>#N/A</v>
      </c>
      <c r="BG236" t="e">
        <f t="shared" si="90"/>
        <v>#N/A</v>
      </c>
      <c r="BH236" t="e">
        <f t="shared" si="87"/>
        <v>#N/A</v>
      </c>
      <c r="BI236" t="e">
        <f t="shared" si="105"/>
        <v>#N/A</v>
      </c>
      <c r="BJ236" t="e">
        <f t="shared" si="105"/>
        <v>#N/A</v>
      </c>
      <c r="BK236" t="e">
        <f t="shared" si="105"/>
        <v>#N/A</v>
      </c>
      <c r="BL236" t="e">
        <f t="shared" si="105"/>
        <v>#N/A</v>
      </c>
      <c r="BM236" t="e">
        <f t="shared" si="105"/>
        <v>#N/A</v>
      </c>
      <c r="BP236" t="e">
        <f t="shared" si="91"/>
        <v>#N/A</v>
      </c>
      <c r="BQ236" t="e">
        <f t="shared" si="88"/>
        <v>#N/A</v>
      </c>
      <c r="BR236" t="e">
        <f t="shared" si="106"/>
        <v>#N/A</v>
      </c>
      <c r="BS236" t="e">
        <f t="shared" si="106"/>
        <v>#N/A</v>
      </c>
      <c r="BT236" t="e">
        <f t="shared" si="106"/>
        <v>#N/A</v>
      </c>
      <c r="BU236" t="e">
        <f t="shared" si="106"/>
        <v>#N/A</v>
      </c>
      <c r="BV236" t="e">
        <f t="shared" si="106"/>
        <v>#N/A</v>
      </c>
      <c r="BY236" t="e">
        <f t="shared" si="92"/>
        <v>#N/A</v>
      </c>
      <c r="BZ236" t="e">
        <v>#N/A</v>
      </c>
      <c r="CA236" t="e" cm="1">
        <f t="array" ref="CA236">IF(ISNUMBER(BZ236),AF236/COUNT(IF(ISNUMBER(_xlfn.ANCHORARRAY($BZ$11)),_xlfn.ANCHORARRAY($BZ$11))),NA())</f>
        <v>#N/A</v>
      </c>
      <c r="CB236" t="e">
        <f t="shared" si="93"/>
        <v>#N/A</v>
      </c>
      <c r="CD236" t="e">
        <f t="shared" si="94"/>
        <v>#N/A</v>
      </c>
      <c r="CE236" t="e">
        <f t="shared" si="95"/>
        <v>#N/A</v>
      </c>
      <c r="CG236" t="e">
        <v>#N/A</v>
      </c>
      <c r="CH236" t="e">
        <v>#N/A</v>
      </c>
      <c r="CL236" t="e">
        <f t="shared" si="96"/>
        <v>#N/A</v>
      </c>
      <c r="CM236" t="e">
        <v>#N/A</v>
      </c>
      <c r="CN236" t="e" cm="1">
        <f t="array" ref="CN236">IF(ISNUMBER(CM236),AF236/COUNT(IF(ISNUMBER(_xlfn.ANCHORARRAY($CM$11)),_xlfn.ANCHORARRAY($CM$11))),NA())</f>
        <v>#N/A</v>
      </c>
      <c r="CO236" t="e">
        <f t="shared" si="97"/>
        <v>#N/A</v>
      </c>
      <c r="CQ236" t="e">
        <f t="shared" si="98"/>
        <v>#N/A</v>
      </c>
      <c r="CR236" t="e">
        <f t="shared" si="99"/>
        <v>#N/A</v>
      </c>
      <c r="CT236" t="e">
        <v>#N/A</v>
      </c>
      <c r="CU236" t="e">
        <v>#N/A</v>
      </c>
      <c r="CY236" t="e">
        <f t="shared" si="100"/>
        <v>#N/A</v>
      </c>
      <c r="CZ236" t="e">
        <v>#N/A</v>
      </c>
      <c r="DA236" t="e" cm="1">
        <f t="array" ref="DA236">IF(ISNUMBER(CZ236),AF236/COUNT(IF(ISNUMBER(_xlfn.ANCHORARRAY($CZ$11)),_xlfn.ANCHORARRAY($CZ$11))),NA())</f>
        <v>#N/A</v>
      </c>
      <c r="DB236" t="e">
        <f t="shared" si="101"/>
        <v>#N/A</v>
      </c>
      <c r="DD236" t="e">
        <f t="shared" si="102"/>
        <v>#N/A</v>
      </c>
      <c r="DE236" t="e">
        <f t="shared" si="103"/>
        <v>#N/A</v>
      </c>
      <c r="DG236" t="e">
        <v>#N/A</v>
      </c>
      <c r="DH236" t="e">
        <v>#N/A</v>
      </c>
    </row>
    <row r="237" spans="32:112">
      <c r="AF237">
        <v>227</v>
      </c>
      <c r="AG237" s="401">
        <f>'Lab test'!N230</f>
        <v>49.369768142125864</v>
      </c>
      <c r="AH237" s="401">
        <f>'Lab test'!M230</f>
        <v>0.36533628425173142</v>
      </c>
      <c r="AI237">
        <f>IF('Lab test'!O230&gt;0,'Lab test'!O230,NA())</f>
        <v>164.846</v>
      </c>
      <c r="AJ237">
        <f>'Lab test'!Q230</f>
        <v>135.13513513513513</v>
      </c>
      <c r="AK237" s="401">
        <f>IF('Lab test'!V230&gt;0,'Lab test'!V230,NA())</f>
        <v>206153.32399999999</v>
      </c>
      <c r="AL237" s="7">
        <f>IF(MAX('Lab test'!W230,'Lab test'!X230)&gt;0,MAX('Lab test'!W230,'Lab test'!X230),NA())</f>
        <v>322.67476799999997</v>
      </c>
      <c r="AM237" s="401">
        <f>IF('Lab test'!P230&gt;0,'Lab test'!P230,NA())</f>
        <v>0.28723224036389955</v>
      </c>
      <c r="AN237" s="401">
        <f>IF('Lab test'!AU230&gt;0,'Lab test'!AU230,NA())</f>
        <v>0.97222222222222221</v>
      </c>
      <c r="AO237" s="401">
        <f>IF('Lab test'!AT230&gt;0,'Lab test'!AT230,NA())</f>
        <v>0.33977374116629883</v>
      </c>
      <c r="AP237">
        <f t="shared" si="107"/>
        <v>1</v>
      </c>
      <c r="AQ237" s="401">
        <f>'Lab test'!AZ230</f>
        <v>1933</v>
      </c>
      <c r="AR237" t="str">
        <f>'Lab test'!AC230</f>
        <v>Machined</v>
      </c>
      <c r="AS237" t="str">
        <f>'Lab test'!T230</f>
        <v>Steel</v>
      </c>
      <c r="AX237" t="e">
        <f t="shared" si="89"/>
        <v>#N/A</v>
      </c>
      <c r="AY237" t="e">
        <f t="shared" si="86"/>
        <v>#N/A</v>
      </c>
      <c r="AZ237" t="e">
        <f t="shared" si="104"/>
        <v>#N/A</v>
      </c>
      <c r="BA237" t="e">
        <f t="shared" si="104"/>
        <v>#N/A</v>
      </c>
      <c r="BB237" t="e">
        <f t="shared" si="104"/>
        <v>#N/A</v>
      </c>
      <c r="BC237" t="e">
        <f t="shared" si="104"/>
        <v>#N/A</v>
      </c>
      <c r="BD237" t="e">
        <f t="shared" si="104"/>
        <v>#N/A</v>
      </c>
      <c r="BG237" t="e">
        <f t="shared" si="90"/>
        <v>#N/A</v>
      </c>
      <c r="BH237" t="e">
        <f t="shared" si="87"/>
        <v>#N/A</v>
      </c>
      <c r="BI237" t="e">
        <f t="shared" si="105"/>
        <v>#N/A</v>
      </c>
      <c r="BJ237" t="e">
        <f t="shared" si="105"/>
        <v>#N/A</v>
      </c>
      <c r="BK237" t="e">
        <f t="shared" si="105"/>
        <v>#N/A</v>
      </c>
      <c r="BL237" t="e">
        <f t="shared" si="105"/>
        <v>#N/A</v>
      </c>
      <c r="BM237" t="e">
        <f t="shared" si="105"/>
        <v>#N/A</v>
      </c>
      <c r="BP237" t="e">
        <f t="shared" si="91"/>
        <v>#N/A</v>
      </c>
      <c r="BQ237" t="e">
        <f t="shared" si="88"/>
        <v>#N/A</v>
      </c>
      <c r="BR237" t="e">
        <f t="shared" si="106"/>
        <v>#N/A</v>
      </c>
      <c r="BS237" t="e">
        <f t="shared" si="106"/>
        <v>#N/A</v>
      </c>
      <c r="BT237" t="e">
        <f t="shared" si="106"/>
        <v>#N/A</v>
      </c>
      <c r="BU237" t="e">
        <f t="shared" si="106"/>
        <v>#N/A</v>
      </c>
      <c r="BV237" t="e">
        <f t="shared" si="106"/>
        <v>#N/A</v>
      </c>
      <c r="BY237" t="e">
        <f t="shared" si="92"/>
        <v>#N/A</v>
      </c>
      <c r="BZ237" t="e">
        <v>#N/A</v>
      </c>
      <c r="CA237" t="e" cm="1">
        <f t="array" ref="CA237">IF(ISNUMBER(BZ237),AF237/COUNT(IF(ISNUMBER(_xlfn.ANCHORARRAY($BZ$11)),_xlfn.ANCHORARRAY($BZ$11))),NA())</f>
        <v>#N/A</v>
      </c>
      <c r="CB237" t="e">
        <f t="shared" si="93"/>
        <v>#N/A</v>
      </c>
      <c r="CD237" t="e">
        <f t="shared" si="94"/>
        <v>#N/A</v>
      </c>
      <c r="CE237" t="e">
        <f t="shared" si="95"/>
        <v>#N/A</v>
      </c>
      <c r="CG237" t="e">
        <v>#N/A</v>
      </c>
      <c r="CH237" t="e">
        <v>#N/A</v>
      </c>
      <c r="CL237" t="e">
        <f t="shared" si="96"/>
        <v>#N/A</v>
      </c>
      <c r="CM237" t="e">
        <v>#N/A</v>
      </c>
      <c r="CN237" t="e" cm="1">
        <f t="array" ref="CN237">IF(ISNUMBER(CM237),AF237/COUNT(IF(ISNUMBER(_xlfn.ANCHORARRAY($CM$11)),_xlfn.ANCHORARRAY($CM$11))),NA())</f>
        <v>#N/A</v>
      </c>
      <c r="CO237" t="e">
        <f t="shared" si="97"/>
        <v>#N/A</v>
      </c>
      <c r="CQ237" t="e">
        <f t="shared" si="98"/>
        <v>#N/A</v>
      </c>
      <c r="CR237" t="e">
        <f t="shared" si="99"/>
        <v>#N/A</v>
      </c>
      <c r="CT237" t="e">
        <v>#N/A</v>
      </c>
      <c r="CU237" t="e">
        <v>#N/A</v>
      </c>
      <c r="CY237" t="e">
        <f t="shared" si="100"/>
        <v>#N/A</v>
      </c>
      <c r="CZ237" t="e">
        <v>#N/A</v>
      </c>
      <c r="DA237" t="e" cm="1">
        <f t="array" ref="DA237">IF(ISNUMBER(CZ237),AF237/COUNT(IF(ISNUMBER(_xlfn.ANCHORARRAY($CZ$11)),_xlfn.ANCHORARRAY($CZ$11))),NA())</f>
        <v>#N/A</v>
      </c>
      <c r="DB237" t="e">
        <f t="shared" si="101"/>
        <v>#N/A</v>
      </c>
      <c r="DD237" t="e">
        <f t="shared" si="102"/>
        <v>#N/A</v>
      </c>
      <c r="DE237" t="e">
        <f t="shared" si="103"/>
        <v>#N/A</v>
      </c>
      <c r="DG237" t="e">
        <v>#N/A</v>
      </c>
      <c r="DH237" t="e">
        <v>#N/A</v>
      </c>
    </row>
    <row r="238" spans="32:112">
      <c r="AF238">
        <v>228</v>
      </c>
      <c r="AG238" s="401">
        <f>'Lab test'!N231</f>
        <v>49.367538352679041</v>
      </c>
      <c r="AH238" s="401">
        <f>'Lab test'!M231</f>
        <v>0.36087670535808375</v>
      </c>
      <c r="AI238">
        <f>IF('Lab test'!O231&gt;0,'Lab test'!O231,NA())</f>
        <v>266.7</v>
      </c>
      <c r="AJ238">
        <f>'Lab test'!Q231</f>
        <v>136.79890560875515</v>
      </c>
      <c r="AK238" s="401">
        <f>IF('Lab test'!V231&gt;0,'Lab test'!V231,NA())</f>
        <v>206153.32399999999</v>
      </c>
      <c r="AL238" s="7">
        <f>IF(MAX('Lab test'!W231,'Lab test'!X231)&gt;0,MAX('Lab test'!W231,'Lab test'!X231),NA())</f>
        <v>322.67476799999997</v>
      </c>
      <c r="AM238" s="401">
        <f>IF('Lab test'!P231&gt;0,'Lab test'!P231,NA())</f>
        <v>0.46189177838858558</v>
      </c>
      <c r="AN238" s="401">
        <f>IF('Lab test'!AU231&gt;0,'Lab test'!AU231,NA())</f>
        <v>0.76923076923076927</v>
      </c>
      <c r="AO238" s="401">
        <f>IF('Lab test'!AT231&gt;0,'Lab test'!AT231,NA())</f>
        <v>0.27214180378136837</v>
      </c>
      <c r="AP238">
        <f t="shared" si="107"/>
        <v>1</v>
      </c>
      <c r="AQ238" s="401">
        <f>'Lab test'!AZ231</f>
        <v>1933</v>
      </c>
      <c r="AR238" t="str">
        <f>'Lab test'!AC231</f>
        <v>Machined</v>
      </c>
      <c r="AS238" t="str">
        <f>'Lab test'!T231</f>
        <v>Steel</v>
      </c>
      <c r="AX238" t="e">
        <f t="shared" si="89"/>
        <v>#N/A</v>
      </c>
      <c r="AY238" t="e">
        <f t="shared" ref="AY238:AY301" si="108">IF(ISNUMBER($AJ238),IF(ISNUMBER($AP238),IF($AJ238&gt;AY$9,IF($AJ238&lt;=AY$10,IF($AR238=$AW$2,IF($AS238=$AW$6,$AK238,NA()),NA()),NA()),NA()),NA()),NA())</f>
        <v>#N/A</v>
      </c>
      <c r="AZ238" t="e">
        <f t="shared" si="104"/>
        <v>#N/A</v>
      </c>
      <c r="BA238" t="e">
        <f t="shared" si="104"/>
        <v>#N/A</v>
      </c>
      <c r="BB238" t="e">
        <f t="shared" si="104"/>
        <v>#N/A</v>
      </c>
      <c r="BC238" t="e">
        <f t="shared" si="104"/>
        <v>#N/A</v>
      </c>
      <c r="BD238" t="e">
        <f t="shared" si="104"/>
        <v>#N/A</v>
      </c>
      <c r="BG238" t="e">
        <f t="shared" si="90"/>
        <v>#N/A</v>
      </c>
      <c r="BH238" t="e">
        <f t="shared" ref="BH238:BH301" si="109">IF(ISNUMBER($AJ238),IF(ISNUMBER($AP238),IF($AJ238&gt;BH$9,IF($AJ238&lt;=BH$10,IF($AR238=$AW$2,IF($AS238=$BF$6,$AK238,NA()),NA()),NA()),NA()),NA()),NA())</f>
        <v>#N/A</v>
      </c>
      <c r="BI238" t="e">
        <f t="shared" si="105"/>
        <v>#N/A</v>
      </c>
      <c r="BJ238" t="e">
        <f t="shared" si="105"/>
        <v>#N/A</v>
      </c>
      <c r="BK238" t="e">
        <f t="shared" si="105"/>
        <v>#N/A</v>
      </c>
      <c r="BL238" t="e">
        <f t="shared" si="105"/>
        <v>#N/A</v>
      </c>
      <c r="BM238" t="e">
        <f t="shared" si="105"/>
        <v>#N/A</v>
      </c>
      <c r="BP238" t="e">
        <f t="shared" si="91"/>
        <v>#N/A</v>
      </c>
      <c r="BQ238" t="e">
        <f t="shared" ref="BQ238:BQ301" si="110">IF(ISNUMBER($AJ238),IF(ISNUMBER($AP238),IF($AJ238&gt;BQ$9,IF($AJ238&lt;=BQ$10,IF($AR238=$AW$2,IF($AS238=$BO$6,$AK238,NA()),NA()),NA()),NA()),NA()),NA())</f>
        <v>#N/A</v>
      </c>
      <c r="BR238" t="e">
        <f t="shared" si="106"/>
        <v>#N/A</v>
      </c>
      <c r="BS238" t="e">
        <f t="shared" si="106"/>
        <v>#N/A</v>
      </c>
      <c r="BT238" t="e">
        <f t="shared" si="106"/>
        <v>#N/A</v>
      </c>
      <c r="BU238" t="e">
        <f t="shared" si="106"/>
        <v>#N/A</v>
      </c>
      <c r="BV238" t="e">
        <f t="shared" si="106"/>
        <v>#N/A</v>
      </c>
      <c r="BY238" t="e">
        <f t="shared" si="92"/>
        <v>#N/A</v>
      </c>
      <c r="BZ238" t="e">
        <v>#N/A</v>
      </c>
      <c r="CA238" t="e" cm="1">
        <f t="array" ref="CA238">IF(ISNUMBER(BZ238),AF238/COUNT(IF(ISNUMBER(_xlfn.ANCHORARRAY($BZ$11)),_xlfn.ANCHORARRAY($BZ$11))),NA())</f>
        <v>#N/A</v>
      </c>
      <c r="CB238" t="e">
        <f t="shared" si="93"/>
        <v>#N/A</v>
      </c>
      <c r="CD238" t="e">
        <f t="shared" si="94"/>
        <v>#N/A</v>
      </c>
      <c r="CE238" t="e">
        <f t="shared" si="95"/>
        <v>#N/A</v>
      </c>
      <c r="CG238" t="e">
        <v>#N/A</v>
      </c>
      <c r="CH238" t="e">
        <v>#N/A</v>
      </c>
      <c r="CL238" t="e">
        <f t="shared" si="96"/>
        <v>#N/A</v>
      </c>
      <c r="CM238" t="e">
        <v>#N/A</v>
      </c>
      <c r="CN238" t="e" cm="1">
        <f t="array" ref="CN238">IF(ISNUMBER(CM238),AF238/COUNT(IF(ISNUMBER(_xlfn.ANCHORARRAY($CM$11)),_xlfn.ANCHORARRAY($CM$11))),NA())</f>
        <v>#N/A</v>
      </c>
      <c r="CO238" t="e">
        <f t="shared" si="97"/>
        <v>#N/A</v>
      </c>
      <c r="CQ238" t="e">
        <f t="shared" si="98"/>
        <v>#N/A</v>
      </c>
      <c r="CR238" t="e">
        <f t="shared" si="99"/>
        <v>#N/A</v>
      </c>
      <c r="CT238" t="e">
        <v>#N/A</v>
      </c>
      <c r="CU238" t="e">
        <v>#N/A</v>
      </c>
      <c r="CY238" t="e">
        <f t="shared" si="100"/>
        <v>#N/A</v>
      </c>
      <c r="CZ238" t="e">
        <v>#N/A</v>
      </c>
      <c r="DA238" t="e" cm="1">
        <f t="array" ref="DA238">IF(ISNUMBER(CZ238),AF238/COUNT(IF(ISNUMBER(_xlfn.ANCHORARRAY($CZ$11)),_xlfn.ANCHORARRAY($CZ$11))),NA())</f>
        <v>#N/A</v>
      </c>
      <c r="DB238" t="e">
        <f t="shared" si="101"/>
        <v>#N/A</v>
      </c>
      <c r="DD238" t="e">
        <f t="shared" si="102"/>
        <v>#N/A</v>
      </c>
      <c r="DE238" t="e">
        <f t="shared" si="103"/>
        <v>#N/A</v>
      </c>
      <c r="DG238" t="e">
        <v>#N/A</v>
      </c>
      <c r="DH238" t="e">
        <v>#N/A</v>
      </c>
    </row>
    <row r="239" spans="32:112">
      <c r="AF239">
        <v>229</v>
      </c>
      <c r="AG239" s="401">
        <f>'Lab test'!N232</f>
        <v>49.361097869991724</v>
      </c>
      <c r="AH239" s="401">
        <f>'Lab test'!M232</f>
        <v>0.34799573998344163</v>
      </c>
      <c r="AI239">
        <f>IF('Lab test'!O232&gt;0,'Lab test'!O232,NA())</f>
        <v>507.49199999999996</v>
      </c>
      <c r="AJ239">
        <f>'Lab test'!Q232</f>
        <v>141.84397163120568</v>
      </c>
      <c r="AK239" s="401">
        <f>IF('Lab test'!V232&gt;0,'Lab test'!V232,NA())</f>
        <v>206153.32399999999</v>
      </c>
      <c r="AL239" s="7">
        <f>IF(MAX('Lab test'!W232,'Lab test'!X232)&gt;0,MAX('Lab test'!W232,'Lab test'!X232),NA())</f>
        <v>322.67476799999997</v>
      </c>
      <c r="AM239" s="401">
        <f>IF('Lab test'!P232&gt;0,'Lab test'!P232,NA())</f>
        <v>0.86325469387375575</v>
      </c>
      <c r="AN239" s="401">
        <f>IF('Lab test'!AU232&gt;0,'Lab test'!AU232,NA())</f>
        <v>1.1538461538461537</v>
      </c>
      <c r="AO239" s="401">
        <f>IF('Lab test'!AT232&gt;0,'Lab test'!AT232,NA())</f>
        <v>0.423267358647192</v>
      </c>
      <c r="AP239">
        <f t="shared" si="107"/>
        <v>1</v>
      </c>
      <c r="AQ239" s="401">
        <f>'Lab test'!AZ232</f>
        <v>1933</v>
      </c>
      <c r="AR239" t="str">
        <f>'Lab test'!AC232</f>
        <v>Machined</v>
      </c>
      <c r="AS239" t="str">
        <f>'Lab test'!T232</f>
        <v>Steel</v>
      </c>
      <c r="AX239" t="e">
        <f t="shared" si="89"/>
        <v>#N/A</v>
      </c>
      <c r="AY239" t="e">
        <f t="shared" si="108"/>
        <v>#N/A</v>
      </c>
      <c r="AZ239" t="e">
        <f t="shared" si="104"/>
        <v>#N/A</v>
      </c>
      <c r="BA239" t="e">
        <f t="shared" si="104"/>
        <v>#N/A</v>
      </c>
      <c r="BB239" t="e">
        <f t="shared" si="104"/>
        <v>#N/A</v>
      </c>
      <c r="BC239" t="e">
        <f t="shared" si="104"/>
        <v>#N/A</v>
      </c>
      <c r="BD239" t="e">
        <f t="shared" si="104"/>
        <v>#N/A</v>
      </c>
      <c r="BG239" t="e">
        <f t="shared" si="90"/>
        <v>#N/A</v>
      </c>
      <c r="BH239" t="e">
        <f t="shared" si="109"/>
        <v>#N/A</v>
      </c>
      <c r="BI239" t="e">
        <f t="shared" si="105"/>
        <v>#N/A</v>
      </c>
      <c r="BJ239" t="e">
        <f t="shared" si="105"/>
        <v>#N/A</v>
      </c>
      <c r="BK239" t="e">
        <f t="shared" si="105"/>
        <v>#N/A</v>
      </c>
      <c r="BL239" t="e">
        <f t="shared" si="105"/>
        <v>#N/A</v>
      </c>
      <c r="BM239" t="e">
        <f t="shared" si="105"/>
        <v>#N/A</v>
      </c>
      <c r="BP239" t="e">
        <f t="shared" si="91"/>
        <v>#N/A</v>
      </c>
      <c r="BQ239" t="e">
        <f t="shared" si="110"/>
        <v>#N/A</v>
      </c>
      <c r="BR239" t="e">
        <f t="shared" si="106"/>
        <v>#N/A</v>
      </c>
      <c r="BS239" t="e">
        <f t="shared" si="106"/>
        <v>#N/A</v>
      </c>
      <c r="BT239" t="e">
        <f t="shared" si="106"/>
        <v>#N/A</v>
      </c>
      <c r="BU239" t="e">
        <f t="shared" si="106"/>
        <v>#N/A</v>
      </c>
      <c r="BV239" t="e">
        <f t="shared" si="106"/>
        <v>#N/A</v>
      </c>
      <c r="BY239" t="e">
        <f t="shared" si="92"/>
        <v>#N/A</v>
      </c>
      <c r="BZ239" t="e">
        <v>#N/A</v>
      </c>
      <c r="CA239" t="e" cm="1">
        <f t="array" ref="CA239">IF(ISNUMBER(BZ239),AF239/COUNT(IF(ISNUMBER(_xlfn.ANCHORARRAY($BZ$11)),_xlfn.ANCHORARRAY($BZ$11))),NA())</f>
        <v>#N/A</v>
      </c>
      <c r="CB239" t="e">
        <f t="shared" si="93"/>
        <v>#N/A</v>
      </c>
      <c r="CD239" t="e">
        <f t="shared" si="94"/>
        <v>#N/A</v>
      </c>
      <c r="CE239" t="e">
        <f t="shared" si="95"/>
        <v>#N/A</v>
      </c>
      <c r="CG239" t="e">
        <v>#N/A</v>
      </c>
      <c r="CH239" t="e">
        <v>#N/A</v>
      </c>
      <c r="CL239" t="e">
        <f t="shared" si="96"/>
        <v>#N/A</v>
      </c>
      <c r="CM239" t="e">
        <v>#N/A</v>
      </c>
      <c r="CN239" t="e" cm="1">
        <f t="array" ref="CN239">IF(ISNUMBER(CM239),AF239/COUNT(IF(ISNUMBER(_xlfn.ANCHORARRAY($CM$11)),_xlfn.ANCHORARRAY($CM$11))),NA())</f>
        <v>#N/A</v>
      </c>
      <c r="CO239" t="e">
        <f t="shared" si="97"/>
        <v>#N/A</v>
      </c>
      <c r="CQ239" t="e">
        <f t="shared" si="98"/>
        <v>#N/A</v>
      </c>
      <c r="CR239" t="e">
        <f t="shared" si="99"/>
        <v>#N/A</v>
      </c>
      <c r="CT239" t="e">
        <v>#N/A</v>
      </c>
      <c r="CU239" t="e">
        <v>#N/A</v>
      </c>
      <c r="CY239" t="e">
        <f t="shared" si="100"/>
        <v>#N/A</v>
      </c>
      <c r="CZ239" t="e">
        <v>#N/A</v>
      </c>
      <c r="DA239" t="e" cm="1">
        <f t="array" ref="DA239">IF(ISNUMBER(CZ239),AF239/COUNT(IF(ISNUMBER(_xlfn.ANCHORARRAY($CZ$11)),_xlfn.ANCHORARRAY($CZ$11))),NA())</f>
        <v>#N/A</v>
      </c>
      <c r="DB239" t="e">
        <f t="shared" si="101"/>
        <v>#N/A</v>
      </c>
      <c r="DD239" t="e">
        <f t="shared" si="102"/>
        <v>#N/A</v>
      </c>
      <c r="DE239" t="e">
        <f t="shared" si="103"/>
        <v>#N/A</v>
      </c>
      <c r="DG239" t="e">
        <v>#N/A</v>
      </c>
      <c r="DH239" t="e">
        <v>#N/A</v>
      </c>
    </row>
    <row r="240" spans="32:112">
      <c r="AF240">
        <v>230</v>
      </c>
      <c r="AG240" s="401">
        <f>'Lab test'!N233</f>
        <v>49.358373556240153</v>
      </c>
      <c r="AH240" s="401">
        <f>'Lab test'!M233</f>
        <v>0.34254711248030667</v>
      </c>
      <c r="AI240">
        <f>IF('Lab test'!O233&gt;0,'Lab test'!O233,NA())</f>
        <v>63.5</v>
      </c>
      <c r="AJ240">
        <f>'Lab test'!Q233</f>
        <v>144.09221902017291</v>
      </c>
      <c r="AK240" s="401">
        <f>IF('Lab test'!V233&gt;0,'Lab test'!V233,NA())</f>
        <v>206153.32399999999</v>
      </c>
      <c r="AL240" s="7">
        <f>IF(MAX('Lab test'!W233,'Lab test'!X233)&gt;0,MAX('Lab test'!W233,'Lab test'!X233),NA())</f>
        <v>322.67476799999997</v>
      </c>
      <c r="AM240" s="401">
        <f>IF('Lab test'!P233&gt;0,'Lab test'!P233,NA())</f>
        <v>0.10717478476647413</v>
      </c>
      <c r="AN240" s="401">
        <f>IF('Lab test'!AU233&gt;0,'Lab test'!AU233,NA())</f>
        <v>1.0961538461538463</v>
      </c>
      <c r="AO240" s="401">
        <f>IF('Lab test'!AT233&gt;0,'Lab test'!AT233,NA())</f>
        <v>0.40847739690771884</v>
      </c>
      <c r="AP240">
        <f t="shared" si="107"/>
        <v>1</v>
      </c>
      <c r="AQ240" s="401">
        <f>'Lab test'!AZ233</f>
        <v>1933</v>
      </c>
      <c r="AR240" t="str">
        <f>'Lab test'!AC233</f>
        <v>Machined</v>
      </c>
      <c r="AS240" t="str">
        <f>'Lab test'!T233</f>
        <v>Steel</v>
      </c>
      <c r="AX240" t="e">
        <f t="shared" si="89"/>
        <v>#N/A</v>
      </c>
      <c r="AY240" t="e">
        <f t="shared" si="108"/>
        <v>#N/A</v>
      </c>
      <c r="AZ240" t="e">
        <f t="shared" si="104"/>
        <v>#N/A</v>
      </c>
      <c r="BA240" t="e">
        <f t="shared" si="104"/>
        <v>#N/A</v>
      </c>
      <c r="BB240" t="e">
        <f t="shared" si="104"/>
        <v>#N/A</v>
      </c>
      <c r="BC240" t="e">
        <f t="shared" si="104"/>
        <v>#N/A</v>
      </c>
      <c r="BD240" t="e">
        <f t="shared" si="104"/>
        <v>#N/A</v>
      </c>
      <c r="BG240" t="e">
        <f t="shared" si="90"/>
        <v>#N/A</v>
      </c>
      <c r="BH240" t="e">
        <f t="shared" si="109"/>
        <v>#N/A</v>
      </c>
      <c r="BI240" t="e">
        <f t="shared" si="105"/>
        <v>#N/A</v>
      </c>
      <c r="BJ240" t="e">
        <f t="shared" si="105"/>
        <v>#N/A</v>
      </c>
      <c r="BK240" t="e">
        <f t="shared" si="105"/>
        <v>#N/A</v>
      </c>
      <c r="BL240" t="e">
        <f t="shared" si="105"/>
        <v>#N/A</v>
      </c>
      <c r="BM240" t="e">
        <f t="shared" si="105"/>
        <v>#N/A</v>
      </c>
      <c r="BP240" t="e">
        <f t="shared" si="91"/>
        <v>#N/A</v>
      </c>
      <c r="BQ240" t="e">
        <f t="shared" si="110"/>
        <v>#N/A</v>
      </c>
      <c r="BR240" t="e">
        <f t="shared" si="106"/>
        <v>#N/A</v>
      </c>
      <c r="BS240" t="e">
        <f t="shared" si="106"/>
        <v>#N/A</v>
      </c>
      <c r="BT240" t="e">
        <f t="shared" si="106"/>
        <v>#N/A</v>
      </c>
      <c r="BU240" t="e">
        <f t="shared" si="106"/>
        <v>#N/A</v>
      </c>
      <c r="BV240" t="e">
        <f t="shared" si="106"/>
        <v>#N/A</v>
      </c>
      <c r="BY240" t="e">
        <f t="shared" si="92"/>
        <v>#N/A</v>
      </c>
      <c r="BZ240" t="e">
        <v>#N/A</v>
      </c>
      <c r="CA240" t="e" cm="1">
        <f t="array" ref="CA240">IF(ISNUMBER(BZ240),AF240/COUNT(IF(ISNUMBER(_xlfn.ANCHORARRAY($BZ$11)),_xlfn.ANCHORARRAY($BZ$11))),NA())</f>
        <v>#N/A</v>
      </c>
      <c r="CB240" t="e">
        <f t="shared" si="93"/>
        <v>#N/A</v>
      </c>
      <c r="CD240" t="e">
        <f t="shared" si="94"/>
        <v>#N/A</v>
      </c>
      <c r="CE240" t="e">
        <f t="shared" si="95"/>
        <v>#N/A</v>
      </c>
      <c r="CG240" t="e">
        <v>#N/A</v>
      </c>
      <c r="CH240" t="e">
        <v>#N/A</v>
      </c>
      <c r="CL240" t="e">
        <f t="shared" si="96"/>
        <v>#N/A</v>
      </c>
      <c r="CM240" t="e">
        <v>#N/A</v>
      </c>
      <c r="CN240" t="e" cm="1">
        <f t="array" ref="CN240">IF(ISNUMBER(CM240),AF240/COUNT(IF(ISNUMBER(_xlfn.ANCHORARRAY($CM$11)),_xlfn.ANCHORARRAY($CM$11))),NA())</f>
        <v>#N/A</v>
      </c>
      <c r="CO240" t="e">
        <f t="shared" si="97"/>
        <v>#N/A</v>
      </c>
      <c r="CQ240" t="e">
        <f t="shared" si="98"/>
        <v>#N/A</v>
      </c>
      <c r="CR240" t="e">
        <f t="shared" si="99"/>
        <v>#N/A</v>
      </c>
      <c r="CT240" t="e">
        <v>#N/A</v>
      </c>
      <c r="CU240" t="e">
        <v>#N/A</v>
      </c>
      <c r="CY240" t="e">
        <f t="shared" si="100"/>
        <v>#N/A</v>
      </c>
      <c r="CZ240" t="e">
        <v>#N/A</v>
      </c>
      <c r="DA240" t="e" cm="1">
        <f t="array" ref="DA240">IF(ISNUMBER(CZ240),AF240/COUNT(IF(ISNUMBER(_xlfn.ANCHORARRAY($CZ$11)),_xlfn.ANCHORARRAY($CZ$11))),NA())</f>
        <v>#N/A</v>
      </c>
      <c r="DB240" t="e">
        <f t="shared" si="101"/>
        <v>#N/A</v>
      </c>
      <c r="DD240" t="e">
        <f t="shared" si="102"/>
        <v>#N/A</v>
      </c>
      <c r="DE240" t="e">
        <f t="shared" si="103"/>
        <v>#N/A</v>
      </c>
      <c r="DG240" t="e">
        <v>#N/A</v>
      </c>
      <c r="DH240" t="e">
        <v>#N/A</v>
      </c>
    </row>
    <row r="241" spans="32:112">
      <c r="AF241">
        <v>231</v>
      </c>
      <c r="AG241" s="401">
        <f>'Lab test'!N234</f>
        <v>49.362336293843143</v>
      </c>
      <c r="AH241" s="401">
        <f>'Lab test'!M234</f>
        <v>0.35047258768628636</v>
      </c>
      <c r="AI241">
        <f>IF('Lab test'!O234&gt;0,'Lab test'!O234,NA())</f>
        <v>164.846</v>
      </c>
      <c r="AJ241">
        <f>'Lab test'!Q234</f>
        <v>140.8450704225352</v>
      </c>
      <c r="AK241" s="401">
        <f>IF('Lab test'!V234&gt;0,'Lab test'!V234,NA())</f>
        <v>206153.32399999999</v>
      </c>
      <c r="AL241" s="7">
        <f>IF(MAX('Lab test'!W234,'Lab test'!X234)&gt;0,MAX('Lab test'!W234,'Lab test'!X234),NA())</f>
        <v>322.67476799999997</v>
      </c>
      <c r="AM241" s="401">
        <f>IF('Lab test'!P234&gt;0,'Lab test'!P234,NA())</f>
        <v>0.28139208753015998</v>
      </c>
      <c r="AN241" s="401">
        <f>IF('Lab test'!AU234&gt;0,'Lab test'!AU234,NA())</f>
        <v>1.1239316239316239</v>
      </c>
      <c r="AO241" s="401">
        <f>IF('Lab test'!AT234&gt;0,'Lab test'!AT234,NA())</f>
        <v>0.4093902832737043</v>
      </c>
      <c r="AP241">
        <f t="shared" si="107"/>
        <v>1</v>
      </c>
      <c r="AQ241" s="401">
        <f>'Lab test'!AZ234</f>
        <v>1933</v>
      </c>
      <c r="AR241" t="str">
        <f>'Lab test'!AC234</f>
        <v>Machined</v>
      </c>
      <c r="AS241" t="str">
        <f>'Lab test'!T234</f>
        <v>Steel</v>
      </c>
      <c r="AX241" t="e">
        <f t="shared" si="89"/>
        <v>#N/A</v>
      </c>
      <c r="AY241" t="e">
        <f t="shared" si="108"/>
        <v>#N/A</v>
      </c>
      <c r="AZ241" t="e">
        <f t="shared" si="104"/>
        <v>#N/A</v>
      </c>
      <c r="BA241" t="e">
        <f t="shared" si="104"/>
        <v>#N/A</v>
      </c>
      <c r="BB241" t="e">
        <f t="shared" si="104"/>
        <v>#N/A</v>
      </c>
      <c r="BC241" t="e">
        <f t="shared" si="104"/>
        <v>#N/A</v>
      </c>
      <c r="BD241" t="e">
        <f t="shared" si="104"/>
        <v>#N/A</v>
      </c>
      <c r="BG241" t="e">
        <f t="shared" si="90"/>
        <v>#N/A</v>
      </c>
      <c r="BH241" t="e">
        <f t="shared" si="109"/>
        <v>#N/A</v>
      </c>
      <c r="BI241" t="e">
        <f t="shared" si="105"/>
        <v>#N/A</v>
      </c>
      <c r="BJ241" t="e">
        <f t="shared" si="105"/>
        <v>#N/A</v>
      </c>
      <c r="BK241" t="e">
        <f t="shared" si="105"/>
        <v>#N/A</v>
      </c>
      <c r="BL241" t="e">
        <f t="shared" si="105"/>
        <v>#N/A</v>
      </c>
      <c r="BM241" t="e">
        <f t="shared" si="105"/>
        <v>#N/A</v>
      </c>
      <c r="BP241" t="e">
        <f t="shared" si="91"/>
        <v>#N/A</v>
      </c>
      <c r="BQ241" t="e">
        <f t="shared" si="110"/>
        <v>#N/A</v>
      </c>
      <c r="BR241" t="e">
        <f t="shared" si="106"/>
        <v>#N/A</v>
      </c>
      <c r="BS241" t="e">
        <f t="shared" si="106"/>
        <v>#N/A</v>
      </c>
      <c r="BT241" t="e">
        <f t="shared" si="106"/>
        <v>#N/A</v>
      </c>
      <c r="BU241" t="e">
        <f t="shared" si="106"/>
        <v>#N/A</v>
      </c>
      <c r="BV241" t="e">
        <f t="shared" si="106"/>
        <v>#N/A</v>
      </c>
      <c r="BY241" t="e">
        <f t="shared" si="92"/>
        <v>#N/A</v>
      </c>
      <c r="BZ241" t="e">
        <v>#N/A</v>
      </c>
      <c r="CA241" t="e" cm="1">
        <f t="array" ref="CA241">IF(ISNUMBER(BZ241),AF241/COUNT(IF(ISNUMBER(_xlfn.ANCHORARRAY($BZ$11)),_xlfn.ANCHORARRAY($BZ$11))),NA())</f>
        <v>#N/A</v>
      </c>
      <c r="CB241" t="e">
        <f t="shared" si="93"/>
        <v>#N/A</v>
      </c>
      <c r="CD241" t="e">
        <f t="shared" si="94"/>
        <v>#N/A</v>
      </c>
      <c r="CE241" t="e">
        <f t="shared" si="95"/>
        <v>#N/A</v>
      </c>
      <c r="CG241" t="e">
        <v>#N/A</v>
      </c>
      <c r="CH241" t="e">
        <v>#N/A</v>
      </c>
      <c r="CL241" t="e">
        <f t="shared" si="96"/>
        <v>#N/A</v>
      </c>
      <c r="CM241" t="e">
        <v>#N/A</v>
      </c>
      <c r="CN241" t="e" cm="1">
        <f t="array" ref="CN241">IF(ISNUMBER(CM241),AF241/COUNT(IF(ISNUMBER(_xlfn.ANCHORARRAY($CM$11)),_xlfn.ANCHORARRAY($CM$11))),NA())</f>
        <v>#N/A</v>
      </c>
      <c r="CO241" t="e">
        <f t="shared" si="97"/>
        <v>#N/A</v>
      </c>
      <c r="CQ241" t="e">
        <f t="shared" si="98"/>
        <v>#N/A</v>
      </c>
      <c r="CR241" t="e">
        <f t="shared" si="99"/>
        <v>#N/A</v>
      </c>
      <c r="CT241" t="e">
        <v>#N/A</v>
      </c>
      <c r="CU241" t="e">
        <v>#N/A</v>
      </c>
      <c r="CY241" t="e">
        <f t="shared" si="100"/>
        <v>#N/A</v>
      </c>
      <c r="CZ241" t="e">
        <v>#N/A</v>
      </c>
      <c r="DA241" t="e" cm="1">
        <f t="array" ref="DA241">IF(ISNUMBER(CZ241),AF241/COUNT(IF(ISNUMBER(_xlfn.ANCHORARRAY($CZ$11)),_xlfn.ANCHORARRAY($CZ$11))),NA())</f>
        <v>#N/A</v>
      </c>
      <c r="DB241" t="e">
        <f t="shared" si="101"/>
        <v>#N/A</v>
      </c>
      <c r="DD241" t="e">
        <f t="shared" si="102"/>
        <v>#N/A</v>
      </c>
      <c r="DE241" t="e">
        <f t="shared" si="103"/>
        <v>#N/A</v>
      </c>
      <c r="DG241" t="e">
        <v>#N/A</v>
      </c>
      <c r="DH241" t="e">
        <v>#N/A</v>
      </c>
    </row>
    <row r="242" spans="32:112">
      <c r="AF242">
        <v>232</v>
      </c>
      <c r="AG242" s="401">
        <f>'Lab test'!N235</f>
        <v>49.364813327980734</v>
      </c>
      <c r="AH242" s="401">
        <f>'Lab test'!M235</f>
        <v>0.35542665596146128</v>
      </c>
      <c r="AI242">
        <f>IF('Lab test'!O235&gt;0,'Lab test'!O235,NA())</f>
        <v>266.44599999999997</v>
      </c>
      <c r="AJ242">
        <f>'Lab test'!Q235</f>
        <v>138.88888888888889</v>
      </c>
      <c r="AK242" s="401">
        <f>IF('Lab test'!V235&gt;0,'Lab test'!V235,NA())</f>
        <v>206153.32399999999</v>
      </c>
      <c r="AL242" s="7">
        <f>IF(MAX('Lab test'!W235,'Lab test'!X235)&gt;0,MAX('Lab test'!W235,'Lab test'!X235),NA())</f>
        <v>322.67476799999997</v>
      </c>
      <c r="AM242" s="401">
        <f>IF('Lab test'!P235&gt;0,'Lab test'!P235,NA())</f>
        <v>0.45799206532375852</v>
      </c>
      <c r="AN242" s="401">
        <f>IF('Lab test'!AU235&gt;0,'Lab test'!AU235,NA())</f>
        <v>1.0811965811965811</v>
      </c>
      <c r="AO242" s="401">
        <f>IF('Lab test'!AT235&gt;0,'Lab test'!AT235,NA())</f>
        <v>0.38835433346248149</v>
      </c>
      <c r="AP242">
        <f t="shared" si="107"/>
        <v>1</v>
      </c>
      <c r="AQ242" s="401">
        <f>'Lab test'!AZ235</f>
        <v>1933</v>
      </c>
      <c r="AR242" t="str">
        <f>'Lab test'!AC235</f>
        <v>Machined</v>
      </c>
      <c r="AS242" t="str">
        <f>'Lab test'!T235</f>
        <v>Steel</v>
      </c>
      <c r="AX242" t="e">
        <f t="shared" si="89"/>
        <v>#N/A</v>
      </c>
      <c r="AY242" t="e">
        <f t="shared" si="108"/>
        <v>#N/A</v>
      </c>
      <c r="AZ242" t="e">
        <f t="shared" si="104"/>
        <v>#N/A</v>
      </c>
      <c r="BA242" t="e">
        <f t="shared" si="104"/>
        <v>#N/A</v>
      </c>
      <c r="BB242" t="e">
        <f t="shared" si="104"/>
        <v>#N/A</v>
      </c>
      <c r="BC242" t="e">
        <f t="shared" si="104"/>
        <v>#N/A</v>
      </c>
      <c r="BD242" t="e">
        <f t="shared" si="104"/>
        <v>#N/A</v>
      </c>
      <c r="BG242" t="e">
        <f t="shared" si="90"/>
        <v>#N/A</v>
      </c>
      <c r="BH242" t="e">
        <f t="shared" si="109"/>
        <v>#N/A</v>
      </c>
      <c r="BI242" t="e">
        <f t="shared" si="105"/>
        <v>#N/A</v>
      </c>
      <c r="BJ242" t="e">
        <f t="shared" si="105"/>
        <v>#N/A</v>
      </c>
      <c r="BK242" t="e">
        <f t="shared" si="105"/>
        <v>#N/A</v>
      </c>
      <c r="BL242" t="e">
        <f t="shared" si="105"/>
        <v>#N/A</v>
      </c>
      <c r="BM242" t="e">
        <f t="shared" si="105"/>
        <v>#N/A</v>
      </c>
      <c r="BP242" t="e">
        <f t="shared" si="91"/>
        <v>#N/A</v>
      </c>
      <c r="BQ242" t="e">
        <f t="shared" si="110"/>
        <v>#N/A</v>
      </c>
      <c r="BR242" t="e">
        <f t="shared" si="106"/>
        <v>#N/A</v>
      </c>
      <c r="BS242" t="e">
        <f t="shared" si="106"/>
        <v>#N/A</v>
      </c>
      <c r="BT242" t="e">
        <f t="shared" si="106"/>
        <v>#N/A</v>
      </c>
      <c r="BU242" t="e">
        <f t="shared" si="106"/>
        <v>#N/A</v>
      </c>
      <c r="BV242" t="e">
        <f t="shared" si="106"/>
        <v>#N/A</v>
      </c>
      <c r="BY242" t="e">
        <f t="shared" si="92"/>
        <v>#N/A</v>
      </c>
      <c r="BZ242" t="e">
        <v>#N/A</v>
      </c>
      <c r="CA242" t="e" cm="1">
        <f t="array" ref="CA242">IF(ISNUMBER(BZ242),AF242/COUNT(IF(ISNUMBER(_xlfn.ANCHORARRAY($BZ$11)),_xlfn.ANCHORARRAY($BZ$11))),NA())</f>
        <v>#N/A</v>
      </c>
      <c r="CB242" t="e">
        <f t="shared" si="93"/>
        <v>#N/A</v>
      </c>
      <c r="CD242" t="e">
        <f t="shared" si="94"/>
        <v>#N/A</v>
      </c>
      <c r="CE242" t="e">
        <f t="shared" si="95"/>
        <v>#N/A</v>
      </c>
      <c r="CG242" t="e">
        <v>#N/A</v>
      </c>
      <c r="CH242" t="e">
        <v>#N/A</v>
      </c>
      <c r="CL242" t="e">
        <f t="shared" si="96"/>
        <v>#N/A</v>
      </c>
      <c r="CM242" t="e">
        <v>#N/A</v>
      </c>
      <c r="CN242" t="e" cm="1">
        <f t="array" ref="CN242">IF(ISNUMBER(CM242),AF242/COUNT(IF(ISNUMBER(_xlfn.ANCHORARRAY($CM$11)),_xlfn.ANCHORARRAY($CM$11))),NA())</f>
        <v>#N/A</v>
      </c>
      <c r="CO242" t="e">
        <f t="shared" si="97"/>
        <v>#N/A</v>
      </c>
      <c r="CQ242" t="e">
        <f t="shared" si="98"/>
        <v>#N/A</v>
      </c>
      <c r="CR242" t="e">
        <f t="shared" si="99"/>
        <v>#N/A</v>
      </c>
      <c r="CT242" t="e">
        <v>#N/A</v>
      </c>
      <c r="CU242" t="e">
        <v>#N/A</v>
      </c>
      <c r="CY242" t="e">
        <f t="shared" si="100"/>
        <v>#N/A</v>
      </c>
      <c r="CZ242" t="e">
        <v>#N/A</v>
      </c>
      <c r="DA242" t="e" cm="1">
        <f t="array" ref="DA242">IF(ISNUMBER(CZ242),AF242/COUNT(IF(ISNUMBER(_xlfn.ANCHORARRAY($CZ$11)),_xlfn.ANCHORARRAY($CZ$11))),NA())</f>
        <v>#N/A</v>
      </c>
      <c r="DB242" t="e">
        <f t="shared" si="101"/>
        <v>#N/A</v>
      </c>
      <c r="DD242" t="e">
        <f t="shared" si="102"/>
        <v>#N/A</v>
      </c>
      <c r="DE242" t="e">
        <f t="shared" si="103"/>
        <v>#N/A</v>
      </c>
      <c r="DG242" t="e">
        <v>#N/A</v>
      </c>
      <c r="DH242" t="e">
        <v>#N/A</v>
      </c>
    </row>
    <row r="243" spans="32:112">
      <c r="AF243">
        <v>233</v>
      </c>
      <c r="AG243" s="401">
        <f>'Lab test'!N236</f>
        <v>49.364813327980734</v>
      </c>
      <c r="AH243" s="401">
        <f>'Lab test'!M236</f>
        <v>0.35542665596146128</v>
      </c>
      <c r="AI243">
        <f>IF('Lab test'!O236&gt;0,'Lab test'!O236,NA())</f>
        <v>508</v>
      </c>
      <c r="AJ243">
        <f>'Lab test'!Q236</f>
        <v>138.88888888888889</v>
      </c>
      <c r="AK243" s="401">
        <f>IF('Lab test'!V236&gt;0,'Lab test'!V236,NA())</f>
        <v>206153.32399999999</v>
      </c>
      <c r="AL243" s="7">
        <f>IF(MAX('Lab test'!W236,'Lab test'!X236)&gt;0,MAX('Lab test'!W236,'Lab test'!X236),NA())</f>
        <v>322.67476799999997</v>
      </c>
      <c r="AM243" s="401">
        <f>IF('Lab test'!P236&gt;0,'Lab test'!P236,NA())</f>
        <v>0.87319745533605064</v>
      </c>
      <c r="AN243" s="401">
        <f>IF('Lab test'!AU236&gt;0,'Lab test'!AU236,NA())</f>
        <v>0.84615384615384615</v>
      </c>
      <c r="AO243" s="401">
        <f>IF('Lab test'!AT236&gt;0,'Lab test'!AT236,NA())</f>
        <v>0.30392947836194206</v>
      </c>
      <c r="AP243">
        <f t="shared" si="107"/>
        <v>1</v>
      </c>
      <c r="AQ243" s="401">
        <f>'Lab test'!AZ236</f>
        <v>1933</v>
      </c>
      <c r="AR243" t="str">
        <f>'Lab test'!AC236</f>
        <v>Machined</v>
      </c>
      <c r="AS243" t="str">
        <f>'Lab test'!T236</f>
        <v>Steel</v>
      </c>
      <c r="AX243" t="e">
        <f t="shared" si="89"/>
        <v>#N/A</v>
      </c>
      <c r="AY243" t="e">
        <f t="shared" si="108"/>
        <v>#N/A</v>
      </c>
      <c r="AZ243" t="e">
        <f t="shared" si="104"/>
        <v>#N/A</v>
      </c>
      <c r="BA243" t="e">
        <f t="shared" si="104"/>
        <v>#N/A</v>
      </c>
      <c r="BB243" t="e">
        <f t="shared" si="104"/>
        <v>#N/A</v>
      </c>
      <c r="BC243" t="e">
        <f t="shared" si="104"/>
        <v>#N/A</v>
      </c>
      <c r="BD243" t="e">
        <f t="shared" si="104"/>
        <v>#N/A</v>
      </c>
      <c r="BG243" t="e">
        <f t="shared" si="90"/>
        <v>#N/A</v>
      </c>
      <c r="BH243" t="e">
        <f t="shared" si="109"/>
        <v>#N/A</v>
      </c>
      <c r="BI243" t="e">
        <f t="shared" si="105"/>
        <v>#N/A</v>
      </c>
      <c r="BJ243" t="e">
        <f t="shared" si="105"/>
        <v>#N/A</v>
      </c>
      <c r="BK243" t="e">
        <f t="shared" si="105"/>
        <v>#N/A</v>
      </c>
      <c r="BL243" t="e">
        <f t="shared" si="105"/>
        <v>#N/A</v>
      </c>
      <c r="BM243" t="e">
        <f t="shared" si="105"/>
        <v>#N/A</v>
      </c>
      <c r="BP243" t="e">
        <f t="shared" si="91"/>
        <v>#N/A</v>
      </c>
      <c r="BQ243" t="e">
        <f t="shared" si="110"/>
        <v>#N/A</v>
      </c>
      <c r="BR243" t="e">
        <f t="shared" si="106"/>
        <v>#N/A</v>
      </c>
      <c r="BS243" t="e">
        <f t="shared" si="106"/>
        <v>#N/A</v>
      </c>
      <c r="BT243" t="e">
        <f t="shared" si="106"/>
        <v>#N/A</v>
      </c>
      <c r="BU243" t="e">
        <f t="shared" si="106"/>
        <v>#N/A</v>
      </c>
      <c r="BV243" t="e">
        <f t="shared" si="106"/>
        <v>#N/A</v>
      </c>
      <c r="BY243" t="e">
        <f t="shared" si="92"/>
        <v>#N/A</v>
      </c>
      <c r="BZ243" t="e">
        <v>#N/A</v>
      </c>
      <c r="CA243" t="e" cm="1">
        <f t="array" ref="CA243">IF(ISNUMBER(BZ243),AF243/COUNT(IF(ISNUMBER(_xlfn.ANCHORARRAY($BZ$11)),_xlfn.ANCHORARRAY($BZ$11))),NA())</f>
        <v>#N/A</v>
      </c>
      <c r="CB243" t="e">
        <f t="shared" si="93"/>
        <v>#N/A</v>
      </c>
      <c r="CD243" t="e">
        <f t="shared" si="94"/>
        <v>#N/A</v>
      </c>
      <c r="CE243" t="e">
        <f t="shared" si="95"/>
        <v>#N/A</v>
      </c>
      <c r="CG243" t="e">
        <v>#N/A</v>
      </c>
      <c r="CH243" t="e">
        <v>#N/A</v>
      </c>
      <c r="CL243" t="e">
        <f t="shared" si="96"/>
        <v>#N/A</v>
      </c>
      <c r="CM243" t="e">
        <v>#N/A</v>
      </c>
      <c r="CN243" t="e" cm="1">
        <f t="array" ref="CN243">IF(ISNUMBER(CM243),AF243/COUNT(IF(ISNUMBER(_xlfn.ANCHORARRAY($CM$11)),_xlfn.ANCHORARRAY($CM$11))),NA())</f>
        <v>#N/A</v>
      </c>
      <c r="CO243" t="e">
        <f t="shared" si="97"/>
        <v>#N/A</v>
      </c>
      <c r="CQ243" t="e">
        <f t="shared" si="98"/>
        <v>#N/A</v>
      </c>
      <c r="CR243" t="e">
        <f t="shared" si="99"/>
        <v>#N/A</v>
      </c>
      <c r="CT243" t="e">
        <v>#N/A</v>
      </c>
      <c r="CU243" t="e">
        <v>#N/A</v>
      </c>
      <c r="CY243" t="e">
        <f t="shared" si="100"/>
        <v>#N/A</v>
      </c>
      <c r="CZ243" t="e">
        <v>#N/A</v>
      </c>
      <c r="DA243" t="e" cm="1">
        <f t="array" ref="DA243">IF(ISNUMBER(CZ243),AF243/COUNT(IF(ISNUMBER(_xlfn.ANCHORARRAY($CZ$11)),_xlfn.ANCHORARRAY($CZ$11))),NA())</f>
        <v>#N/A</v>
      </c>
      <c r="DB243" t="e">
        <f t="shared" si="101"/>
        <v>#N/A</v>
      </c>
      <c r="DD243" t="e">
        <f t="shared" si="102"/>
        <v>#N/A</v>
      </c>
      <c r="DE243" t="e">
        <f t="shared" si="103"/>
        <v>#N/A</v>
      </c>
      <c r="DG243" t="e">
        <v>#N/A</v>
      </c>
      <c r="DH243" t="e">
        <v>#N/A</v>
      </c>
    </row>
    <row r="244" spans="32:112">
      <c r="AF244">
        <v>234</v>
      </c>
      <c r="AG244" s="401">
        <f>'Lab test'!N237</f>
        <v>173.40921262719539</v>
      </c>
      <c r="AH244" s="401">
        <f>'Lab test'!M237</f>
        <v>0.36242525439083834</v>
      </c>
      <c r="AI244">
        <f>IF('Lab test'!O237&gt;0,'Lab test'!O237,NA())</f>
        <v>266.44599999999997</v>
      </c>
      <c r="AJ244">
        <f>'Lab test'!Q237</f>
        <v>478.46889952153111</v>
      </c>
      <c r="AK244" s="401">
        <f>IF('Lab test'!V237&gt;0,'Lab test'!V237,NA())</f>
        <v>199948.03999999998</v>
      </c>
      <c r="AL244" s="7">
        <f>IF(MAX('Lab test'!W237,'Lab test'!X237)&gt;0,MAX('Lab test'!W237,'Lab test'!X237),NA())</f>
        <v>295.78520399999996</v>
      </c>
      <c r="AM244" s="401">
        <f>IF('Lab test'!P237&gt;0,'Lab test'!P237,NA())</f>
        <v>7.0244153225193298E-2</v>
      </c>
      <c r="AN244" s="401">
        <f>IF('Lab test'!AU237&gt;0,'Lab test'!AU237,NA())</f>
        <v>0.34265734265734266</v>
      </c>
      <c r="AO244" s="401">
        <f>IF('Lab test'!AT237&gt;0,'Lab test'!AT237,NA())</f>
        <v>0.40073232327226049</v>
      </c>
      <c r="AP244">
        <f t="shared" si="107"/>
        <v>1</v>
      </c>
      <c r="AQ244" s="401">
        <f>'Lab test'!AZ237</f>
        <v>1933</v>
      </c>
      <c r="AR244" t="str">
        <f>'Lab test'!AC237</f>
        <v>Machined</v>
      </c>
      <c r="AS244" t="str">
        <f>'Lab test'!T237</f>
        <v>Steel</v>
      </c>
      <c r="AX244" t="e">
        <f t="shared" si="89"/>
        <v>#N/A</v>
      </c>
      <c r="AY244" t="e">
        <f t="shared" si="108"/>
        <v>#N/A</v>
      </c>
      <c r="AZ244" t="e">
        <f t="shared" si="104"/>
        <v>#N/A</v>
      </c>
      <c r="BA244" t="e">
        <f t="shared" si="104"/>
        <v>#N/A</v>
      </c>
      <c r="BB244" t="e">
        <f t="shared" si="104"/>
        <v>#N/A</v>
      </c>
      <c r="BC244" t="e">
        <f t="shared" si="104"/>
        <v>#N/A</v>
      </c>
      <c r="BD244" t="e">
        <f t="shared" si="104"/>
        <v>#N/A</v>
      </c>
      <c r="BG244" t="e">
        <f t="shared" si="90"/>
        <v>#N/A</v>
      </c>
      <c r="BH244" t="e">
        <f t="shared" si="109"/>
        <v>#N/A</v>
      </c>
      <c r="BI244" t="e">
        <f t="shared" si="105"/>
        <v>#N/A</v>
      </c>
      <c r="BJ244" t="e">
        <f t="shared" si="105"/>
        <v>#N/A</v>
      </c>
      <c r="BK244" t="e">
        <f t="shared" si="105"/>
        <v>#N/A</v>
      </c>
      <c r="BL244" t="e">
        <f t="shared" si="105"/>
        <v>#N/A</v>
      </c>
      <c r="BM244" t="e">
        <f t="shared" si="105"/>
        <v>#N/A</v>
      </c>
      <c r="BP244" t="e">
        <f t="shared" si="91"/>
        <v>#N/A</v>
      </c>
      <c r="BQ244" t="e">
        <f t="shared" si="110"/>
        <v>#N/A</v>
      </c>
      <c r="BR244" t="e">
        <f t="shared" si="106"/>
        <v>#N/A</v>
      </c>
      <c r="BS244" t="e">
        <f t="shared" si="106"/>
        <v>#N/A</v>
      </c>
      <c r="BT244" t="e">
        <f t="shared" si="106"/>
        <v>#N/A</v>
      </c>
      <c r="BU244" t="e">
        <f t="shared" si="106"/>
        <v>#N/A</v>
      </c>
      <c r="BV244" t="e">
        <f t="shared" si="106"/>
        <v>#N/A</v>
      </c>
      <c r="BY244" t="e">
        <f t="shared" si="92"/>
        <v>#N/A</v>
      </c>
      <c r="BZ244" t="e">
        <v>#N/A</v>
      </c>
      <c r="CA244" t="e" cm="1">
        <f t="array" ref="CA244">IF(ISNUMBER(BZ244),AF244/COUNT(IF(ISNUMBER(_xlfn.ANCHORARRAY($BZ$11)),_xlfn.ANCHORARRAY($BZ$11))),NA())</f>
        <v>#N/A</v>
      </c>
      <c r="CB244" t="e">
        <f t="shared" si="93"/>
        <v>#N/A</v>
      </c>
      <c r="CD244" t="e">
        <f t="shared" si="94"/>
        <v>#N/A</v>
      </c>
      <c r="CE244" t="e">
        <f t="shared" si="95"/>
        <v>#N/A</v>
      </c>
      <c r="CG244" t="e">
        <v>#N/A</v>
      </c>
      <c r="CH244" t="e">
        <v>#N/A</v>
      </c>
      <c r="CL244" t="e">
        <f t="shared" si="96"/>
        <v>#N/A</v>
      </c>
      <c r="CM244" t="e">
        <v>#N/A</v>
      </c>
      <c r="CN244" t="e" cm="1">
        <f t="array" ref="CN244">IF(ISNUMBER(CM244),AF244/COUNT(IF(ISNUMBER(_xlfn.ANCHORARRAY($CM$11)),_xlfn.ANCHORARRAY($CM$11))),NA())</f>
        <v>#N/A</v>
      </c>
      <c r="CO244" t="e">
        <f t="shared" si="97"/>
        <v>#N/A</v>
      </c>
      <c r="CQ244" t="e">
        <f t="shared" si="98"/>
        <v>#N/A</v>
      </c>
      <c r="CR244" t="e">
        <f t="shared" si="99"/>
        <v>#N/A</v>
      </c>
      <c r="CT244" t="e">
        <v>#N/A</v>
      </c>
      <c r="CU244" t="e">
        <v>#N/A</v>
      </c>
      <c r="CY244" t="e">
        <f t="shared" si="100"/>
        <v>#N/A</v>
      </c>
      <c r="CZ244" t="e">
        <v>#N/A</v>
      </c>
      <c r="DA244" t="e" cm="1">
        <f t="array" ref="DA244">IF(ISNUMBER(CZ244),AF244/COUNT(IF(ISNUMBER(_xlfn.ANCHORARRAY($CZ$11)),_xlfn.ANCHORARRAY($CZ$11))),NA())</f>
        <v>#N/A</v>
      </c>
      <c r="DB244" t="e">
        <f t="shared" si="101"/>
        <v>#N/A</v>
      </c>
      <c r="DD244" t="e">
        <f t="shared" si="102"/>
        <v>#N/A</v>
      </c>
      <c r="DE244" t="e">
        <f t="shared" si="103"/>
        <v>#N/A</v>
      </c>
      <c r="DG244" t="e">
        <v>#N/A</v>
      </c>
      <c r="DH244" t="e">
        <v>#N/A</v>
      </c>
    </row>
    <row r="245" spans="32:112">
      <c r="AF245">
        <v>235</v>
      </c>
      <c r="AG245" s="401">
        <f>'Lab test'!N238</f>
        <v>173.64909906523317</v>
      </c>
      <c r="AH245" s="401">
        <f>'Lab test'!M238</f>
        <v>0.84219813046638092</v>
      </c>
      <c r="AI245">
        <f>IF('Lab test'!O238&gt;0,'Lab test'!O238,NA())</f>
        <v>266.44599999999997</v>
      </c>
      <c r="AJ245">
        <f>'Lab test'!Q238</f>
        <v>206.18556701030928</v>
      </c>
      <c r="AK245" s="401">
        <f>IF('Lab test'!V238&gt;0,'Lab test'!V238,NA())</f>
        <v>199948.03999999998</v>
      </c>
      <c r="AL245" s="7">
        <f>IF(MAX('Lab test'!W238,'Lab test'!X238)&gt;0,MAX('Lab test'!W238,'Lab test'!X238),NA())</f>
        <v>295.78520399999996</v>
      </c>
      <c r="AM245" s="401">
        <f>IF('Lab test'!P238&gt;0,'Lab test'!P238,NA())</f>
        <v>0.10685812258399512</v>
      </c>
      <c r="AN245" s="401">
        <f>IF('Lab test'!AU238&gt;0,'Lab test'!AU238,NA())</f>
        <v>0.73193473193473202</v>
      </c>
      <c r="AO245" s="401">
        <f>IF('Lab test'!AT238&gt;0,'Lab test'!AT238,NA())</f>
        <v>0.36886821582250323</v>
      </c>
      <c r="AP245">
        <f t="shared" si="107"/>
        <v>1</v>
      </c>
      <c r="AQ245" s="401">
        <f>'Lab test'!AZ238</f>
        <v>1933</v>
      </c>
      <c r="AR245" t="str">
        <f>'Lab test'!AC238</f>
        <v>Machined</v>
      </c>
      <c r="AS245" t="str">
        <f>'Lab test'!T238</f>
        <v>Steel</v>
      </c>
      <c r="AX245" t="e">
        <f t="shared" si="89"/>
        <v>#N/A</v>
      </c>
      <c r="AY245" t="e">
        <f t="shared" si="108"/>
        <v>#N/A</v>
      </c>
      <c r="AZ245" t="e">
        <f t="shared" si="104"/>
        <v>#N/A</v>
      </c>
      <c r="BA245" t="e">
        <f t="shared" si="104"/>
        <v>#N/A</v>
      </c>
      <c r="BB245" t="e">
        <f t="shared" si="104"/>
        <v>#N/A</v>
      </c>
      <c r="BC245" t="e">
        <f t="shared" si="104"/>
        <v>#N/A</v>
      </c>
      <c r="BD245" t="e">
        <f t="shared" si="104"/>
        <v>#N/A</v>
      </c>
      <c r="BG245" t="e">
        <f t="shared" si="90"/>
        <v>#N/A</v>
      </c>
      <c r="BH245" t="e">
        <f t="shared" si="109"/>
        <v>#N/A</v>
      </c>
      <c r="BI245" t="e">
        <f t="shared" si="105"/>
        <v>#N/A</v>
      </c>
      <c r="BJ245" t="e">
        <f t="shared" si="105"/>
        <v>#N/A</v>
      </c>
      <c r="BK245" t="e">
        <f t="shared" si="105"/>
        <v>#N/A</v>
      </c>
      <c r="BL245" t="e">
        <f t="shared" si="105"/>
        <v>#N/A</v>
      </c>
      <c r="BM245" t="e">
        <f t="shared" si="105"/>
        <v>#N/A</v>
      </c>
      <c r="BP245" t="e">
        <f t="shared" si="91"/>
        <v>#N/A</v>
      </c>
      <c r="BQ245" t="e">
        <f t="shared" si="110"/>
        <v>#N/A</v>
      </c>
      <c r="BR245" t="e">
        <f t="shared" si="106"/>
        <v>#N/A</v>
      </c>
      <c r="BS245" t="e">
        <f t="shared" si="106"/>
        <v>#N/A</v>
      </c>
      <c r="BT245" t="e">
        <f t="shared" si="106"/>
        <v>#N/A</v>
      </c>
      <c r="BU245" t="e">
        <f t="shared" si="106"/>
        <v>#N/A</v>
      </c>
      <c r="BV245" t="e">
        <f t="shared" si="106"/>
        <v>#N/A</v>
      </c>
      <c r="BY245" t="e">
        <f t="shared" si="92"/>
        <v>#N/A</v>
      </c>
      <c r="BZ245" t="e">
        <v>#N/A</v>
      </c>
      <c r="CA245" t="e" cm="1">
        <f t="array" ref="CA245">IF(ISNUMBER(BZ245),AF245/COUNT(IF(ISNUMBER(_xlfn.ANCHORARRAY($BZ$11)),_xlfn.ANCHORARRAY($BZ$11))),NA())</f>
        <v>#N/A</v>
      </c>
      <c r="CB245" t="e">
        <f t="shared" si="93"/>
        <v>#N/A</v>
      </c>
      <c r="CD245" t="e">
        <f t="shared" si="94"/>
        <v>#N/A</v>
      </c>
      <c r="CE245" t="e">
        <f t="shared" si="95"/>
        <v>#N/A</v>
      </c>
      <c r="CG245" t="e">
        <v>#N/A</v>
      </c>
      <c r="CH245" t="e">
        <v>#N/A</v>
      </c>
      <c r="CL245" t="e">
        <f t="shared" si="96"/>
        <v>#N/A</v>
      </c>
      <c r="CM245" t="e">
        <v>#N/A</v>
      </c>
      <c r="CN245" t="e" cm="1">
        <f t="array" ref="CN245">IF(ISNUMBER(CM245),AF245/COUNT(IF(ISNUMBER(_xlfn.ANCHORARRAY($CM$11)),_xlfn.ANCHORARRAY($CM$11))),NA())</f>
        <v>#N/A</v>
      </c>
      <c r="CO245" t="e">
        <f t="shared" si="97"/>
        <v>#N/A</v>
      </c>
      <c r="CQ245" t="e">
        <f t="shared" si="98"/>
        <v>#N/A</v>
      </c>
      <c r="CR245" t="e">
        <f t="shared" si="99"/>
        <v>#N/A</v>
      </c>
      <c r="CT245" t="e">
        <v>#N/A</v>
      </c>
      <c r="CU245" t="e">
        <v>#N/A</v>
      </c>
      <c r="CY245" t="e">
        <f t="shared" si="100"/>
        <v>#N/A</v>
      </c>
      <c r="CZ245" t="e">
        <v>#N/A</v>
      </c>
      <c r="DA245" t="e" cm="1">
        <f t="array" ref="DA245">IF(ISNUMBER(CZ245),AF245/COUNT(IF(ISNUMBER(_xlfn.ANCHORARRAY($CZ$11)),_xlfn.ANCHORARRAY($CZ$11))),NA())</f>
        <v>#N/A</v>
      </c>
      <c r="DB245" t="e">
        <f t="shared" si="101"/>
        <v>#N/A</v>
      </c>
      <c r="DD245" t="e">
        <f t="shared" si="102"/>
        <v>#N/A</v>
      </c>
      <c r="DE245" t="e">
        <f t="shared" si="103"/>
        <v>#N/A</v>
      </c>
      <c r="DG245" t="e">
        <v>#N/A</v>
      </c>
      <c r="DH245" t="e">
        <v>#N/A</v>
      </c>
    </row>
    <row r="246" spans="32:112">
      <c r="AF246">
        <v>236</v>
      </c>
      <c r="AG246" s="401">
        <f>'Lab test'!N239</f>
        <v>173.49083862051006</v>
      </c>
      <c r="AH246" s="401">
        <f>'Lab test'!M239</f>
        <v>0.52567724102014557</v>
      </c>
      <c r="AI246">
        <f>IF('Lab test'!O239&gt;0,'Lab test'!O239,NA())</f>
        <v>267.20799999999997</v>
      </c>
      <c r="AJ246">
        <f>'Lab test'!Q239</f>
        <v>330.03300330032999</v>
      </c>
      <c r="AK246" s="401">
        <f>IF('Lab test'!V239&gt;0,'Lab test'!V239,NA())</f>
        <v>199948.03999999998</v>
      </c>
      <c r="AL246" s="7">
        <f>IF(MAX('Lab test'!W239,'Lab test'!X239)&gt;0,MAX('Lab test'!W239,'Lab test'!X239),NA())</f>
        <v>295.78520399999996</v>
      </c>
      <c r="AM246" s="401">
        <f>IF('Lab test'!P239&gt;0,'Lab test'!P239,NA())</f>
        <v>8.4780158539469061E-2</v>
      </c>
      <c r="AN246" s="401">
        <f>IF('Lab test'!AU239&gt;0,'Lab test'!AU239,NA())</f>
        <v>0.53613053613053618</v>
      </c>
      <c r="AO246" s="401">
        <f>IF('Lab test'!AT239&gt;0,'Lab test'!AT239,NA())</f>
        <v>0.43248249432427566</v>
      </c>
      <c r="AP246">
        <f t="shared" si="107"/>
        <v>1</v>
      </c>
      <c r="AQ246" s="401">
        <f>'Lab test'!AZ239</f>
        <v>1933</v>
      </c>
      <c r="AR246" t="str">
        <f>'Lab test'!AC239</f>
        <v>Machined</v>
      </c>
      <c r="AS246" t="str">
        <f>'Lab test'!T239</f>
        <v>Steel</v>
      </c>
      <c r="AX246" t="e">
        <f t="shared" si="89"/>
        <v>#N/A</v>
      </c>
      <c r="AY246" t="e">
        <f t="shared" si="108"/>
        <v>#N/A</v>
      </c>
      <c r="AZ246" t="e">
        <f t="shared" si="104"/>
        <v>#N/A</v>
      </c>
      <c r="BA246" t="e">
        <f t="shared" si="104"/>
        <v>#N/A</v>
      </c>
      <c r="BB246" t="e">
        <f t="shared" si="104"/>
        <v>#N/A</v>
      </c>
      <c r="BC246" t="e">
        <f t="shared" si="104"/>
        <v>#N/A</v>
      </c>
      <c r="BD246" t="e">
        <f t="shared" si="104"/>
        <v>#N/A</v>
      </c>
      <c r="BG246" t="e">
        <f t="shared" si="90"/>
        <v>#N/A</v>
      </c>
      <c r="BH246" t="e">
        <f t="shared" si="109"/>
        <v>#N/A</v>
      </c>
      <c r="BI246" t="e">
        <f t="shared" si="105"/>
        <v>#N/A</v>
      </c>
      <c r="BJ246" t="e">
        <f t="shared" si="105"/>
        <v>#N/A</v>
      </c>
      <c r="BK246" t="e">
        <f t="shared" si="105"/>
        <v>#N/A</v>
      </c>
      <c r="BL246" t="e">
        <f t="shared" si="105"/>
        <v>#N/A</v>
      </c>
      <c r="BM246" t="e">
        <f t="shared" si="105"/>
        <v>#N/A</v>
      </c>
      <c r="BP246" t="e">
        <f t="shared" si="91"/>
        <v>#N/A</v>
      </c>
      <c r="BQ246" t="e">
        <f t="shared" si="110"/>
        <v>#N/A</v>
      </c>
      <c r="BR246" t="e">
        <f t="shared" si="106"/>
        <v>#N/A</v>
      </c>
      <c r="BS246" t="e">
        <f t="shared" si="106"/>
        <v>#N/A</v>
      </c>
      <c r="BT246" t="e">
        <f t="shared" si="106"/>
        <v>#N/A</v>
      </c>
      <c r="BU246" t="e">
        <f t="shared" si="106"/>
        <v>#N/A</v>
      </c>
      <c r="BV246" t="e">
        <f t="shared" si="106"/>
        <v>#N/A</v>
      </c>
      <c r="BY246" t="e">
        <f t="shared" si="92"/>
        <v>#N/A</v>
      </c>
      <c r="BZ246" t="e">
        <v>#N/A</v>
      </c>
      <c r="CA246" t="e" cm="1">
        <f t="array" ref="CA246">IF(ISNUMBER(BZ246),AF246/COUNT(IF(ISNUMBER(_xlfn.ANCHORARRAY($BZ$11)),_xlfn.ANCHORARRAY($BZ$11))),NA())</f>
        <v>#N/A</v>
      </c>
      <c r="CB246" t="e">
        <f t="shared" si="93"/>
        <v>#N/A</v>
      </c>
      <c r="CD246" t="e">
        <f t="shared" si="94"/>
        <v>#N/A</v>
      </c>
      <c r="CE246" t="e">
        <f t="shared" si="95"/>
        <v>#N/A</v>
      </c>
      <c r="CG246" t="e">
        <v>#N/A</v>
      </c>
      <c r="CH246" t="e">
        <v>#N/A</v>
      </c>
      <c r="CL246" t="e">
        <f t="shared" si="96"/>
        <v>#N/A</v>
      </c>
      <c r="CM246" t="e">
        <v>#N/A</v>
      </c>
      <c r="CN246" t="e" cm="1">
        <f t="array" ref="CN246">IF(ISNUMBER(CM246),AF246/COUNT(IF(ISNUMBER(_xlfn.ANCHORARRAY($CM$11)),_xlfn.ANCHORARRAY($CM$11))),NA())</f>
        <v>#N/A</v>
      </c>
      <c r="CO246" t="e">
        <f t="shared" si="97"/>
        <v>#N/A</v>
      </c>
      <c r="CQ246" t="e">
        <f t="shared" si="98"/>
        <v>#N/A</v>
      </c>
      <c r="CR246" t="e">
        <f t="shared" si="99"/>
        <v>#N/A</v>
      </c>
      <c r="CT246" t="e">
        <v>#N/A</v>
      </c>
      <c r="CU246" t="e">
        <v>#N/A</v>
      </c>
      <c r="CY246" t="e">
        <f t="shared" si="100"/>
        <v>#N/A</v>
      </c>
      <c r="CZ246" t="e">
        <v>#N/A</v>
      </c>
      <c r="DA246" t="e" cm="1">
        <f t="array" ref="DA246">IF(ISNUMBER(CZ246),AF246/COUNT(IF(ISNUMBER(_xlfn.ANCHORARRAY($CZ$11)),_xlfn.ANCHORARRAY($CZ$11))),NA())</f>
        <v>#N/A</v>
      </c>
      <c r="DB246" t="e">
        <f t="shared" si="101"/>
        <v>#N/A</v>
      </c>
      <c r="DD246" t="e">
        <f t="shared" si="102"/>
        <v>#N/A</v>
      </c>
      <c r="DE246" t="e">
        <f t="shared" si="103"/>
        <v>#N/A</v>
      </c>
      <c r="DG246" t="e">
        <v>#N/A</v>
      </c>
      <c r="DH246" t="e">
        <v>#N/A</v>
      </c>
    </row>
    <row r="247" spans="32:112">
      <c r="AF247">
        <v>237</v>
      </c>
      <c r="AG247" s="401">
        <f>'Lab test'!N240</f>
        <v>173.42744155779144</v>
      </c>
      <c r="AH247" s="401">
        <f>'Lab test'!M240</f>
        <v>0.39888311558292033</v>
      </c>
      <c r="AI247">
        <f>IF('Lab test'!O240&gt;0,'Lab test'!O240,NA())</f>
        <v>266.7</v>
      </c>
      <c r="AJ247">
        <f>'Lab test'!Q240</f>
        <v>434.78260869565219</v>
      </c>
      <c r="AK247" s="401">
        <f>IF('Lab test'!V240&gt;0,'Lab test'!V240,NA())</f>
        <v>199948.03999999998</v>
      </c>
      <c r="AL247" s="7">
        <f>IF(MAX('Lab test'!W240,'Lab test'!X240)&gt;0,MAX('Lab test'!W240,'Lab test'!X240),NA())</f>
        <v>295.78520399999996</v>
      </c>
      <c r="AM247" s="401">
        <f>IF('Lab test'!P240&gt;0,'Lab test'!P240,NA())</f>
        <v>7.3751204294926029E-2</v>
      </c>
      <c r="AN247" s="401">
        <f>IF('Lab test'!AU240&gt;0,'Lab test'!AU240,NA())</f>
        <v>0.51515151515151514</v>
      </c>
      <c r="AO247" s="401">
        <f>IF('Lab test'!AT240&gt;0,'Lab test'!AT240,NA())</f>
        <v>0.54745416384568002</v>
      </c>
      <c r="AP247">
        <f t="shared" si="107"/>
        <v>1</v>
      </c>
      <c r="AQ247" s="401">
        <f>'Lab test'!AZ240</f>
        <v>1933</v>
      </c>
      <c r="AR247" t="str">
        <f>'Lab test'!AC240</f>
        <v>Machined</v>
      </c>
      <c r="AS247" t="str">
        <f>'Lab test'!T240</f>
        <v>Steel</v>
      </c>
      <c r="AX247" t="e">
        <f t="shared" si="89"/>
        <v>#N/A</v>
      </c>
      <c r="AY247" t="e">
        <f t="shared" si="108"/>
        <v>#N/A</v>
      </c>
      <c r="AZ247" t="e">
        <f t="shared" si="104"/>
        <v>#N/A</v>
      </c>
      <c r="BA247" t="e">
        <f t="shared" si="104"/>
        <v>#N/A</v>
      </c>
      <c r="BB247" t="e">
        <f t="shared" si="104"/>
        <v>#N/A</v>
      </c>
      <c r="BC247" t="e">
        <f t="shared" si="104"/>
        <v>#N/A</v>
      </c>
      <c r="BD247" t="e">
        <f t="shared" si="104"/>
        <v>#N/A</v>
      </c>
      <c r="BG247" t="e">
        <f t="shared" si="90"/>
        <v>#N/A</v>
      </c>
      <c r="BH247" t="e">
        <f t="shared" si="109"/>
        <v>#N/A</v>
      </c>
      <c r="BI247" t="e">
        <f t="shared" si="105"/>
        <v>#N/A</v>
      </c>
      <c r="BJ247" t="e">
        <f t="shared" si="105"/>
        <v>#N/A</v>
      </c>
      <c r="BK247" t="e">
        <f t="shared" si="105"/>
        <v>#N/A</v>
      </c>
      <c r="BL247" t="e">
        <f t="shared" si="105"/>
        <v>#N/A</v>
      </c>
      <c r="BM247" t="e">
        <f t="shared" si="105"/>
        <v>#N/A</v>
      </c>
      <c r="BP247" t="e">
        <f t="shared" si="91"/>
        <v>#N/A</v>
      </c>
      <c r="BQ247" t="e">
        <f t="shared" si="110"/>
        <v>#N/A</v>
      </c>
      <c r="BR247" t="e">
        <f t="shared" si="106"/>
        <v>#N/A</v>
      </c>
      <c r="BS247" t="e">
        <f t="shared" si="106"/>
        <v>#N/A</v>
      </c>
      <c r="BT247" t="e">
        <f t="shared" si="106"/>
        <v>#N/A</v>
      </c>
      <c r="BU247" t="e">
        <f t="shared" si="106"/>
        <v>#N/A</v>
      </c>
      <c r="BV247" t="e">
        <f t="shared" si="106"/>
        <v>#N/A</v>
      </c>
      <c r="BY247" t="e">
        <f t="shared" si="92"/>
        <v>#N/A</v>
      </c>
      <c r="BZ247" t="e">
        <v>#N/A</v>
      </c>
      <c r="CA247" t="e" cm="1">
        <f t="array" ref="CA247">IF(ISNUMBER(BZ247),AF247/COUNT(IF(ISNUMBER(_xlfn.ANCHORARRAY($BZ$11)),_xlfn.ANCHORARRAY($BZ$11))),NA())</f>
        <v>#N/A</v>
      </c>
      <c r="CB247" t="e">
        <f t="shared" si="93"/>
        <v>#N/A</v>
      </c>
      <c r="CD247" t="e">
        <f t="shared" si="94"/>
        <v>#N/A</v>
      </c>
      <c r="CE247" t="e">
        <f t="shared" si="95"/>
        <v>#N/A</v>
      </c>
      <c r="CG247" t="e">
        <v>#N/A</v>
      </c>
      <c r="CH247" t="e">
        <v>#N/A</v>
      </c>
      <c r="CL247" t="e">
        <f t="shared" si="96"/>
        <v>#N/A</v>
      </c>
      <c r="CM247" t="e">
        <v>#N/A</v>
      </c>
      <c r="CN247" t="e" cm="1">
        <f t="array" ref="CN247">IF(ISNUMBER(CM247),AF247/COUNT(IF(ISNUMBER(_xlfn.ANCHORARRAY($CM$11)),_xlfn.ANCHORARRAY($CM$11))),NA())</f>
        <v>#N/A</v>
      </c>
      <c r="CO247" t="e">
        <f t="shared" si="97"/>
        <v>#N/A</v>
      </c>
      <c r="CQ247" t="e">
        <f t="shared" si="98"/>
        <v>#N/A</v>
      </c>
      <c r="CR247" t="e">
        <f t="shared" si="99"/>
        <v>#N/A</v>
      </c>
      <c r="CT247" t="e">
        <v>#N/A</v>
      </c>
      <c r="CU247" t="e">
        <v>#N/A</v>
      </c>
      <c r="CY247" t="e">
        <f t="shared" si="100"/>
        <v>#N/A</v>
      </c>
      <c r="CZ247" t="e">
        <v>#N/A</v>
      </c>
      <c r="DA247" t="e" cm="1">
        <f t="array" ref="DA247">IF(ISNUMBER(CZ247),AF247/COUNT(IF(ISNUMBER(_xlfn.ANCHORARRAY($CZ$11)),_xlfn.ANCHORARRAY($CZ$11))),NA())</f>
        <v>#N/A</v>
      </c>
      <c r="DB247" t="e">
        <f t="shared" si="101"/>
        <v>#N/A</v>
      </c>
      <c r="DD247" t="e">
        <f t="shared" si="102"/>
        <v>#N/A</v>
      </c>
      <c r="DE247" t="e">
        <f t="shared" si="103"/>
        <v>#N/A</v>
      </c>
      <c r="DG247" t="e">
        <v>#N/A</v>
      </c>
      <c r="DH247" t="e">
        <v>#N/A</v>
      </c>
    </row>
    <row r="248" spans="32:112">
      <c r="AF248">
        <v>238</v>
      </c>
      <c r="AG248" s="401">
        <f>'Lab test'!N241</f>
        <v>173.34153870785363</v>
      </c>
      <c r="AH248" s="401">
        <f>'Lab test'!M241</f>
        <v>0.22707741570728823</v>
      </c>
      <c r="AI248">
        <f>IF('Lab test'!O241&gt;0,'Lab test'!O241,NA())</f>
        <v>266.7</v>
      </c>
      <c r="AJ248">
        <f>'Lab test'!Q241</f>
        <v>763.35877862595419</v>
      </c>
      <c r="AK248" s="401">
        <f>IF('Lab test'!V241&gt;0,'Lab test'!V241,NA())</f>
        <v>199948.03999999998</v>
      </c>
      <c r="AL248" s="7">
        <f>IF(MAX('Lab test'!W241,'Lab test'!X241)&gt;0,MAX('Lab test'!W241,'Lab test'!X241),NA())</f>
        <v>295.78520399999996</v>
      </c>
      <c r="AM248" s="401">
        <f>IF('Lab test'!P241&gt;0,'Lab test'!P241,NA())</f>
        <v>5.5687281347272938E-2</v>
      </c>
      <c r="AN248" s="401">
        <f>IF('Lab test'!AU241&gt;0,'Lab test'!AU241,NA())</f>
        <v>0.18671328671328674</v>
      </c>
      <c r="AO248" s="401">
        <f>IF('Lab test'!AT241&gt;0,'Lab test'!AT241,NA())</f>
        <v>0.34837304619975001</v>
      </c>
      <c r="AP248">
        <f t="shared" si="107"/>
        <v>1</v>
      </c>
      <c r="AQ248" s="401">
        <f>'Lab test'!AZ241</f>
        <v>1933</v>
      </c>
      <c r="AR248" t="str">
        <f>'Lab test'!AC241</f>
        <v>Machined</v>
      </c>
      <c r="AS248" t="str">
        <f>'Lab test'!T241</f>
        <v>Steel</v>
      </c>
      <c r="AX248" t="e">
        <f t="shared" si="89"/>
        <v>#N/A</v>
      </c>
      <c r="AY248" t="e">
        <f t="shared" si="108"/>
        <v>#N/A</v>
      </c>
      <c r="AZ248" t="e">
        <f t="shared" si="104"/>
        <v>#N/A</v>
      </c>
      <c r="BA248" t="e">
        <f t="shared" si="104"/>
        <v>#N/A</v>
      </c>
      <c r="BB248" t="e">
        <f t="shared" si="104"/>
        <v>#N/A</v>
      </c>
      <c r="BC248" t="e">
        <f t="shared" si="104"/>
        <v>#N/A</v>
      </c>
      <c r="BD248" t="e">
        <f t="shared" si="104"/>
        <v>#N/A</v>
      </c>
      <c r="BG248" t="e">
        <f t="shared" si="90"/>
        <v>#N/A</v>
      </c>
      <c r="BH248" t="e">
        <f t="shared" si="109"/>
        <v>#N/A</v>
      </c>
      <c r="BI248" t="e">
        <f t="shared" si="105"/>
        <v>#N/A</v>
      </c>
      <c r="BJ248" t="e">
        <f t="shared" si="105"/>
        <v>#N/A</v>
      </c>
      <c r="BK248" t="e">
        <f t="shared" si="105"/>
        <v>#N/A</v>
      </c>
      <c r="BL248" t="e">
        <f t="shared" si="105"/>
        <v>#N/A</v>
      </c>
      <c r="BM248" t="e">
        <f t="shared" si="105"/>
        <v>#N/A</v>
      </c>
      <c r="BP248" t="e">
        <f t="shared" si="91"/>
        <v>#N/A</v>
      </c>
      <c r="BQ248" t="e">
        <f t="shared" si="110"/>
        <v>#N/A</v>
      </c>
      <c r="BR248" t="e">
        <f t="shared" si="106"/>
        <v>#N/A</v>
      </c>
      <c r="BS248" t="e">
        <f t="shared" si="106"/>
        <v>#N/A</v>
      </c>
      <c r="BT248" t="e">
        <f t="shared" si="106"/>
        <v>#N/A</v>
      </c>
      <c r="BU248" t="e">
        <f t="shared" si="106"/>
        <v>#N/A</v>
      </c>
      <c r="BV248" t="e">
        <f t="shared" si="106"/>
        <v>#N/A</v>
      </c>
      <c r="BY248" t="e">
        <f t="shared" si="92"/>
        <v>#N/A</v>
      </c>
      <c r="BZ248" t="e">
        <v>#N/A</v>
      </c>
      <c r="CA248" t="e" cm="1">
        <f t="array" ref="CA248">IF(ISNUMBER(BZ248),AF248/COUNT(IF(ISNUMBER(_xlfn.ANCHORARRAY($BZ$11)),_xlfn.ANCHORARRAY($BZ$11))),NA())</f>
        <v>#N/A</v>
      </c>
      <c r="CB248" t="e">
        <f t="shared" si="93"/>
        <v>#N/A</v>
      </c>
      <c r="CD248" t="e">
        <f t="shared" si="94"/>
        <v>#N/A</v>
      </c>
      <c r="CE248" t="e">
        <f t="shared" si="95"/>
        <v>#N/A</v>
      </c>
      <c r="CG248" t="e">
        <v>#N/A</v>
      </c>
      <c r="CH248" t="e">
        <v>#N/A</v>
      </c>
      <c r="CL248" t="e">
        <f t="shared" si="96"/>
        <v>#N/A</v>
      </c>
      <c r="CM248" t="e">
        <v>#N/A</v>
      </c>
      <c r="CN248" t="e" cm="1">
        <f t="array" ref="CN248">IF(ISNUMBER(CM248),AF248/COUNT(IF(ISNUMBER(_xlfn.ANCHORARRAY($CM$11)),_xlfn.ANCHORARRAY($CM$11))),NA())</f>
        <v>#N/A</v>
      </c>
      <c r="CO248" t="e">
        <f t="shared" si="97"/>
        <v>#N/A</v>
      </c>
      <c r="CQ248" t="e">
        <f t="shared" si="98"/>
        <v>#N/A</v>
      </c>
      <c r="CR248" t="e">
        <f t="shared" si="99"/>
        <v>#N/A</v>
      </c>
      <c r="CT248" t="e">
        <v>#N/A</v>
      </c>
      <c r="CU248" t="e">
        <v>#N/A</v>
      </c>
      <c r="CY248" t="e">
        <f t="shared" si="100"/>
        <v>#N/A</v>
      </c>
      <c r="CZ248" t="e">
        <v>#N/A</v>
      </c>
      <c r="DA248" t="e" cm="1">
        <f t="array" ref="DA248">IF(ISNUMBER(CZ248),AF248/COUNT(IF(ISNUMBER(_xlfn.ANCHORARRAY($CZ$11)),_xlfn.ANCHORARRAY($CZ$11))),NA())</f>
        <v>#N/A</v>
      </c>
      <c r="DB248" t="e">
        <f t="shared" si="101"/>
        <v>#N/A</v>
      </c>
      <c r="DD248" t="e">
        <f t="shared" si="102"/>
        <v>#N/A</v>
      </c>
      <c r="DE248" t="e">
        <f t="shared" si="103"/>
        <v>#N/A</v>
      </c>
      <c r="DG248" t="e">
        <v>#N/A</v>
      </c>
      <c r="DH248" t="e">
        <v>#N/A</v>
      </c>
    </row>
    <row r="249" spans="32:112">
      <c r="AF249">
        <v>239</v>
      </c>
      <c r="AG249" s="401">
        <f>'Lab test'!N242</f>
        <v>173.39792997137192</v>
      </c>
      <c r="AH249" s="401">
        <f>'Lab test'!M242</f>
        <v>0.33985994274388898</v>
      </c>
      <c r="AI249">
        <f>IF('Lab test'!O242&gt;0,'Lab test'!O242,NA())</f>
        <v>245.36399999999998</v>
      </c>
      <c r="AJ249">
        <f>'Lab test'!Q242</f>
        <v>510.20408163265307</v>
      </c>
      <c r="AK249" s="401">
        <f>IF('Lab test'!V242&gt;0,'Lab test'!V242,NA())</f>
        <v>199948.03999999998</v>
      </c>
      <c r="AL249" s="7">
        <f>IF(MAX('Lab test'!W242,'Lab test'!X242)&gt;0,MAX('Lab test'!W242,'Lab test'!X242),NA())</f>
        <v>295.78520399999996</v>
      </c>
      <c r="AM249" s="401">
        <f>IF('Lab test'!P242&gt;0,'Lab test'!P242,NA())</f>
        <v>6.2646234260854208E-2</v>
      </c>
      <c r="AN249" s="401">
        <f>IF('Lab test'!AU242&gt;0,'Lab test'!AU242,NA())</f>
        <v>0.3867132867132867</v>
      </c>
      <c r="AO249" s="401">
        <f>IF('Lab test'!AT242&gt;0,'Lab test'!AT242,NA())</f>
        <v>0.48225155900497763</v>
      </c>
      <c r="AP249">
        <f t="shared" si="107"/>
        <v>1</v>
      </c>
      <c r="AQ249" s="401">
        <f>'Lab test'!AZ242</f>
        <v>1933</v>
      </c>
      <c r="AR249" t="str">
        <f>'Lab test'!AC242</f>
        <v>Machined</v>
      </c>
      <c r="AS249" t="str">
        <f>'Lab test'!T242</f>
        <v>Steel</v>
      </c>
      <c r="AX249" t="e">
        <f t="shared" si="89"/>
        <v>#N/A</v>
      </c>
      <c r="AY249" t="e">
        <f t="shared" si="108"/>
        <v>#N/A</v>
      </c>
      <c r="AZ249" t="e">
        <f t="shared" si="104"/>
        <v>#N/A</v>
      </c>
      <c r="BA249" t="e">
        <f t="shared" si="104"/>
        <v>#N/A</v>
      </c>
      <c r="BB249" t="e">
        <f t="shared" si="104"/>
        <v>#N/A</v>
      </c>
      <c r="BC249" t="e">
        <f t="shared" si="104"/>
        <v>#N/A</v>
      </c>
      <c r="BD249" t="e">
        <f t="shared" si="104"/>
        <v>#N/A</v>
      </c>
      <c r="BG249" t="e">
        <f t="shared" si="90"/>
        <v>#N/A</v>
      </c>
      <c r="BH249" t="e">
        <f t="shared" si="109"/>
        <v>#N/A</v>
      </c>
      <c r="BI249" t="e">
        <f t="shared" si="105"/>
        <v>#N/A</v>
      </c>
      <c r="BJ249" t="e">
        <f t="shared" si="105"/>
        <v>#N/A</v>
      </c>
      <c r="BK249" t="e">
        <f t="shared" si="105"/>
        <v>#N/A</v>
      </c>
      <c r="BL249" t="e">
        <f t="shared" si="105"/>
        <v>#N/A</v>
      </c>
      <c r="BM249" t="e">
        <f t="shared" si="105"/>
        <v>#N/A</v>
      </c>
      <c r="BP249" t="e">
        <f t="shared" si="91"/>
        <v>#N/A</v>
      </c>
      <c r="BQ249" t="e">
        <f t="shared" si="110"/>
        <v>#N/A</v>
      </c>
      <c r="BR249" t="e">
        <f t="shared" si="106"/>
        <v>#N/A</v>
      </c>
      <c r="BS249" t="e">
        <f t="shared" si="106"/>
        <v>#N/A</v>
      </c>
      <c r="BT249" t="e">
        <f t="shared" si="106"/>
        <v>#N/A</v>
      </c>
      <c r="BU249" t="e">
        <f t="shared" si="106"/>
        <v>#N/A</v>
      </c>
      <c r="BV249" t="e">
        <f t="shared" si="106"/>
        <v>#N/A</v>
      </c>
      <c r="BY249" t="e">
        <f t="shared" si="92"/>
        <v>#N/A</v>
      </c>
      <c r="BZ249" t="e">
        <v>#N/A</v>
      </c>
      <c r="CA249" t="e" cm="1">
        <f t="array" ref="CA249">IF(ISNUMBER(BZ249),AF249/COUNT(IF(ISNUMBER(_xlfn.ANCHORARRAY($BZ$11)),_xlfn.ANCHORARRAY($BZ$11))),NA())</f>
        <v>#N/A</v>
      </c>
      <c r="CB249" t="e">
        <f t="shared" si="93"/>
        <v>#N/A</v>
      </c>
      <c r="CD249" t="e">
        <f t="shared" si="94"/>
        <v>#N/A</v>
      </c>
      <c r="CE249" t="e">
        <f t="shared" si="95"/>
        <v>#N/A</v>
      </c>
      <c r="CG249" t="e">
        <v>#N/A</v>
      </c>
      <c r="CH249" t="e">
        <v>#N/A</v>
      </c>
      <c r="CL249" t="e">
        <f t="shared" si="96"/>
        <v>#N/A</v>
      </c>
      <c r="CM249" t="e">
        <v>#N/A</v>
      </c>
      <c r="CN249" t="e" cm="1">
        <f t="array" ref="CN249">IF(ISNUMBER(CM249),AF249/COUNT(IF(ISNUMBER(_xlfn.ANCHORARRAY($CM$11)),_xlfn.ANCHORARRAY($CM$11))),NA())</f>
        <v>#N/A</v>
      </c>
      <c r="CO249" t="e">
        <f t="shared" si="97"/>
        <v>#N/A</v>
      </c>
      <c r="CQ249" t="e">
        <f t="shared" si="98"/>
        <v>#N/A</v>
      </c>
      <c r="CR249" t="e">
        <f t="shared" si="99"/>
        <v>#N/A</v>
      </c>
      <c r="CT249" t="e">
        <v>#N/A</v>
      </c>
      <c r="CU249" t="e">
        <v>#N/A</v>
      </c>
      <c r="CY249" t="e">
        <f t="shared" si="100"/>
        <v>#N/A</v>
      </c>
      <c r="CZ249" t="e">
        <v>#N/A</v>
      </c>
      <c r="DA249" t="e" cm="1">
        <f t="array" ref="DA249">IF(ISNUMBER(CZ249),AF249/COUNT(IF(ISNUMBER(_xlfn.ANCHORARRAY($CZ$11)),_xlfn.ANCHORARRAY($CZ$11))),NA())</f>
        <v>#N/A</v>
      </c>
      <c r="DB249" t="e">
        <f t="shared" si="101"/>
        <v>#N/A</v>
      </c>
      <c r="DD249" t="e">
        <f t="shared" si="102"/>
        <v>#N/A</v>
      </c>
      <c r="DE249" t="e">
        <f t="shared" si="103"/>
        <v>#N/A</v>
      </c>
      <c r="DG249" t="e">
        <v>#N/A</v>
      </c>
      <c r="DH249" t="e">
        <v>#N/A</v>
      </c>
    </row>
    <row r="250" spans="32:112">
      <c r="AF250">
        <v>240</v>
      </c>
      <c r="AG250" s="401">
        <f>'Lab test'!N243</f>
        <v>173.48302003945798</v>
      </c>
      <c r="AH250" s="401">
        <f>'Lab test'!M243</f>
        <v>0.51004007891600645</v>
      </c>
      <c r="AI250">
        <f>IF('Lab test'!O243&gt;0,'Lab test'!O243,NA())</f>
        <v>265.68400000000003</v>
      </c>
      <c r="AJ250">
        <f>'Lab test'!Q243</f>
        <v>340.13605442176873</v>
      </c>
      <c r="AK250" s="401">
        <f>IF('Lab test'!V243&gt;0,'Lab test'!V243,NA())</f>
        <v>199948.03999999998</v>
      </c>
      <c r="AL250" s="7">
        <f>IF(MAX('Lab test'!W243,'Lab test'!X243)&gt;0,MAX('Lab test'!W243,'Lab test'!X243),NA())</f>
        <v>295.78520399999996</v>
      </c>
      <c r="AM250" s="401">
        <f>IF('Lab test'!P243&gt;0,'Lab test'!P243,NA())</f>
        <v>8.303899655237873E-2</v>
      </c>
      <c r="AN250" s="401">
        <f>IF('Lab test'!AU243&gt;0,'Lab test'!AU243,NA())</f>
        <v>0.50815850815850827</v>
      </c>
      <c r="AO250" s="401">
        <f>IF('Lab test'!AT243&gt;0,'Lab test'!AT243,NA())</f>
        <v>0.42246670630132671</v>
      </c>
      <c r="AP250">
        <f t="shared" si="107"/>
        <v>1</v>
      </c>
      <c r="AQ250" s="401">
        <f>'Lab test'!AZ243</f>
        <v>1933</v>
      </c>
      <c r="AR250" t="str">
        <f>'Lab test'!AC243</f>
        <v>Machined</v>
      </c>
      <c r="AS250" t="str">
        <f>'Lab test'!T243</f>
        <v>Steel</v>
      </c>
      <c r="AX250" t="e">
        <f t="shared" si="89"/>
        <v>#N/A</v>
      </c>
      <c r="AY250" t="e">
        <f t="shared" si="108"/>
        <v>#N/A</v>
      </c>
      <c r="AZ250" t="e">
        <f t="shared" si="104"/>
        <v>#N/A</v>
      </c>
      <c r="BA250" t="e">
        <f t="shared" si="104"/>
        <v>#N/A</v>
      </c>
      <c r="BB250" t="e">
        <f t="shared" si="104"/>
        <v>#N/A</v>
      </c>
      <c r="BC250" t="e">
        <f t="shared" si="104"/>
        <v>#N/A</v>
      </c>
      <c r="BD250" t="e">
        <f t="shared" si="104"/>
        <v>#N/A</v>
      </c>
      <c r="BG250" t="e">
        <f t="shared" si="90"/>
        <v>#N/A</v>
      </c>
      <c r="BH250" t="e">
        <f t="shared" si="109"/>
        <v>#N/A</v>
      </c>
      <c r="BI250" t="e">
        <f t="shared" si="105"/>
        <v>#N/A</v>
      </c>
      <c r="BJ250" t="e">
        <f t="shared" si="105"/>
        <v>#N/A</v>
      </c>
      <c r="BK250" t="e">
        <f t="shared" si="105"/>
        <v>#N/A</v>
      </c>
      <c r="BL250" t="e">
        <f t="shared" si="105"/>
        <v>#N/A</v>
      </c>
      <c r="BM250" t="e">
        <f t="shared" si="105"/>
        <v>#N/A</v>
      </c>
      <c r="BP250" t="e">
        <f t="shared" si="91"/>
        <v>#N/A</v>
      </c>
      <c r="BQ250" t="e">
        <f t="shared" si="110"/>
        <v>#N/A</v>
      </c>
      <c r="BR250" t="e">
        <f t="shared" si="106"/>
        <v>#N/A</v>
      </c>
      <c r="BS250" t="e">
        <f t="shared" si="106"/>
        <v>#N/A</v>
      </c>
      <c r="BT250" t="e">
        <f t="shared" si="106"/>
        <v>#N/A</v>
      </c>
      <c r="BU250" t="e">
        <f t="shared" si="106"/>
        <v>#N/A</v>
      </c>
      <c r="BV250" t="e">
        <f t="shared" si="106"/>
        <v>#N/A</v>
      </c>
      <c r="BY250" t="e">
        <f t="shared" si="92"/>
        <v>#N/A</v>
      </c>
      <c r="BZ250" t="e">
        <v>#N/A</v>
      </c>
      <c r="CA250" t="e" cm="1">
        <f t="array" ref="CA250">IF(ISNUMBER(BZ250),AF250/COUNT(IF(ISNUMBER(_xlfn.ANCHORARRAY($BZ$11)),_xlfn.ANCHORARRAY($BZ$11))),NA())</f>
        <v>#N/A</v>
      </c>
      <c r="CB250" t="e">
        <f t="shared" si="93"/>
        <v>#N/A</v>
      </c>
      <c r="CD250" t="e">
        <f t="shared" si="94"/>
        <v>#N/A</v>
      </c>
      <c r="CE250" t="e">
        <f t="shared" si="95"/>
        <v>#N/A</v>
      </c>
      <c r="CG250" t="e">
        <v>#N/A</v>
      </c>
      <c r="CH250" t="e">
        <v>#N/A</v>
      </c>
      <c r="CL250" t="e">
        <f t="shared" si="96"/>
        <v>#N/A</v>
      </c>
      <c r="CM250" t="e">
        <v>#N/A</v>
      </c>
      <c r="CN250" t="e" cm="1">
        <f t="array" ref="CN250">IF(ISNUMBER(CM250),AF250/COUNT(IF(ISNUMBER(_xlfn.ANCHORARRAY($CM$11)),_xlfn.ANCHORARRAY($CM$11))),NA())</f>
        <v>#N/A</v>
      </c>
      <c r="CO250" t="e">
        <f t="shared" si="97"/>
        <v>#N/A</v>
      </c>
      <c r="CQ250" t="e">
        <f t="shared" si="98"/>
        <v>#N/A</v>
      </c>
      <c r="CR250" t="e">
        <f t="shared" si="99"/>
        <v>#N/A</v>
      </c>
      <c r="CT250" t="e">
        <v>#N/A</v>
      </c>
      <c r="CU250" t="e">
        <v>#N/A</v>
      </c>
      <c r="CY250" t="e">
        <f t="shared" si="100"/>
        <v>#N/A</v>
      </c>
      <c r="CZ250" t="e">
        <v>#N/A</v>
      </c>
      <c r="DA250" t="e" cm="1">
        <f t="array" ref="DA250">IF(ISNUMBER(CZ250),AF250/COUNT(IF(ISNUMBER(_xlfn.ANCHORARRAY($CZ$11)),_xlfn.ANCHORARRAY($CZ$11))),NA())</f>
        <v>#N/A</v>
      </c>
      <c r="DB250" t="e">
        <f t="shared" si="101"/>
        <v>#N/A</v>
      </c>
      <c r="DD250" t="e">
        <f t="shared" si="102"/>
        <v>#N/A</v>
      </c>
      <c r="DE250" t="e">
        <f t="shared" si="103"/>
        <v>#N/A</v>
      </c>
      <c r="DG250" t="e">
        <v>#N/A</v>
      </c>
      <c r="DH250" t="e">
        <v>#N/A</v>
      </c>
    </row>
    <row r="251" spans="32:112">
      <c r="AF251">
        <v>241</v>
      </c>
      <c r="AG251" s="401">
        <f>'Lab test'!N244</f>
        <v>173.59689339847174</v>
      </c>
      <c r="AH251" s="401">
        <f>'Lab test'!M244</f>
        <v>0.73778679694350491</v>
      </c>
      <c r="AI251">
        <f>IF('Lab test'!O244&gt;0,'Lab test'!O244,NA())</f>
        <v>266.7</v>
      </c>
      <c r="AJ251">
        <f>'Lab test'!Q244</f>
        <v>235.29411764705881</v>
      </c>
      <c r="AK251" s="401">
        <f>IF('Lab test'!V244&gt;0,'Lab test'!V244,NA())</f>
        <v>199948.03999999998</v>
      </c>
      <c r="AL251" s="7">
        <f>IF(MAX('Lab test'!W244,'Lab test'!X244)&gt;0,MAX('Lab test'!W244,'Lab test'!X244),NA())</f>
        <v>295.78520399999996</v>
      </c>
      <c r="AM251" s="401">
        <f>IF('Lab test'!P244&gt;0,'Lab test'!P244,NA())</f>
        <v>0.10015566796328701</v>
      </c>
      <c r="AN251" s="401">
        <f>IF('Lab test'!AU244&gt;0,'Lab test'!AU244,NA())</f>
        <v>0.70629370629370636</v>
      </c>
      <c r="AO251" s="401">
        <f>IF('Lab test'!AT244&gt;0,'Lab test'!AT244,NA())</f>
        <v>0.40619729229071527</v>
      </c>
      <c r="AP251">
        <f t="shared" si="107"/>
        <v>1</v>
      </c>
      <c r="AQ251" s="401">
        <f>'Lab test'!AZ244</f>
        <v>1933</v>
      </c>
      <c r="AR251" t="str">
        <f>'Lab test'!AC244</f>
        <v>Machined</v>
      </c>
      <c r="AS251" t="str">
        <f>'Lab test'!T244</f>
        <v>Steel</v>
      </c>
      <c r="AX251" t="e">
        <f t="shared" si="89"/>
        <v>#N/A</v>
      </c>
      <c r="AY251" t="e">
        <f t="shared" si="108"/>
        <v>#N/A</v>
      </c>
      <c r="AZ251" t="e">
        <f t="shared" si="104"/>
        <v>#N/A</v>
      </c>
      <c r="BA251" t="e">
        <f t="shared" si="104"/>
        <v>#N/A</v>
      </c>
      <c r="BB251" t="e">
        <f t="shared" si="104"/>
        <v>#N/A</v>
      </c>
      <c r="BC251" t="e">
        <f t="shared" si="104"/>
        <v>#N/A</v>
      </c>
      <c r="BD251" t="e">
        <f t="shared" si="104"/>
        <v>#N/A</v>
      </c>
      <c r="BG251" t="e">
        <f t="shared" si="90"/>
        <v>#N/A</v>
      </c>
      <c r="BH251" t="e">
        <f t="shared" si="109"/>
        <v>#N/A</v>
      </c>
      <c r="BI251" t="e">
        <f t="shared" si="105"/>
        <v>#N/A</v>
      </c>
      <c r="BJ251" t="e">
        <f t="shared" si="105"/>
        <v>#N/A</v>
      </c>
      <c r="BK251" t="e">
        <f t="shared" si="105"/>
        <v>#N/A</v>
      </c>
      <c r="BL251" t="e">
        <f t="shared" si="105"/>
        <v>#N/A</v>
      </c>
      <c r="BM251" t="e">
        <f t="shared" si="105"/>
        <v>#N/A</v>
      </c>
      <c r="BP251" t="e">
        <f t="shared" si="91"/>
        <v>#N/A</v>
      </c>
      <c r="BQ251" t="e">
        <f t="shared" si="110"/>
        <v>#N/A</v>
      </c>
      <c r="BR251" t="e">
        <f t="shared" si="106"/>
        <v>#N/A</v>
      </c>
      <c r="BS251" t="e">
        <f t="shared" si="106"/>
        <v>#N/A</v>
      </c>
      <c r="BT251" t="e">
        <f t="shared" si="106"/>
        <v>#N/A</v>
      </c>
      <c r="BU251" t="e">
        <f t="shared" si="106"/>
        <v>#N/A</v>
      </c>
      <c r="BV251" t="e">
        <f t="shared" si="106"/>
        <v>#N/A</v>
      </c>
      <c r="BY251" t="e">
        <f t="shared" si="92"/>
        <v>#N/A</v>
      </c>
      <c r="BZ251" t="e">
        <v>#N/A</v>
      </c>
      <c r="CA251" t="e" cm="1">
        <f t="array" ref="CA251">IF(ISNUMBER(BZ251),AF251/COUNT(IF(ISNUMBER(_xlfn.ANCHORARRAY($BZ$11)),_xlfn.ANCHORARRAY($BZ$11))),NA())</f>
        <v>#N/A</v>
      </c>
      <c r="CB251" t="e">
        <f t="shared" si="93"/>
        <v>#N/A</v>
      </c>
      <c r="CD251" t="e">
        <f t="shared" si="94"/>
        <v>#N/A</v>
      </c>
      <c r="CE251" t="e">
        <f t="shared" si="95"/>
        <v>#N/A</v>
      </c>
      <c r="CG251" t="e">
        <v>#N/A</v>
      </c>
      <c r="CH251" t="e">
        <v>#N/A</v>
      </c>
      <c r="CL251" t="e">
        <f t="shared" si="96"/>
        <v>#N/A</v>
      </c>
      <c r="CM251" t="e">
        <v>#N/A</v>
      </c>
      <c r="CN251" t="e" cm="1">
        <f t="array" ref="CN251">IF(ISNUMBER(CM251),AF251/COUNT(IF(ISNUMBER(_xlfn.ANCHORARRAY($CM$11)),_xlfn.ANCHORARRAY($CM$11))),NA())</f>
        <v>#N/A</v>
      </c>
      <c r="CO251" t="e">
        <f t="shared" si="97"/>
        <v>#N/A</v>
      </c>
      <c r="CQ251" t="e">
        <f t="shared" si="98"/>
        <v>#N/A</v>
      </c>
      <c r="CR251" t="e">
        <f t="shared" si="99"/>
        <v>#N/A</v>
      </c>
      <c r="CT251" t="e">
        <v>#N/A</v>
      </c>
      <c r="CU251" t="e">
        <v>#N/A</v>
      </c>
      <c r="CY251" t="e">
        <f t="shared" si="100"/>
        <v>#N/A</v>
      </c>
      <c r="CZ251" t="e">
        <v>#N/A</v>
      </c>
      <c r="DA251" t="e" cm="1">
        <f t="array" ref="DA251">IF(ISNUMBER(CZ251),AF251/COUNT(IF(ISNUMBER(_xlfn.ANCHORARRAY($CZ$11)),_xlfn.ANCHORARRAY($CZ$11))),NA())</f>
        <v>#N/A</v>
      </c>
      <c r="DB251" t="e">
        <f t="shared" si="101"/>
        <v>#N/A</v>
      </c>
      <c r="DD251" t="e">
        <f t="shared" si="102"/>
        <v>#N/A</v>
      </c>
      <c r="DE251" t="e">
        <f t="shared" si="103"/>
        <v>#N/A</v>
      </c>
      <c r="DG251" t="e">
        <v>#N/A</v>
      </c>
      <c r="DH251" t="e">
        <v>#N/A</v>
      </c>
    </row>
    <row r="252" spans="32:112">
      <c r="AF252">
        <v>242</v>
      </c>
      <c r="AG252" s="401">
        <f>'Lab test'!N245</f>
        <v>1016</v>
      </c>
      <c r="AH252" s="401">
        <f>'Lab test'!M245</f>
        <v>6.0756800000000002</v>
      </c>
      <c r="AI252">
        <f>IF('Lab test'!O245&gt;0,'Lab test'!O245,NA())</f>
        <v>1828.8</v>
      </c>
      <c r="AJ252">
        <f>'Lab test'!Q245</f>
        <v>167.22408026755852</v>
      </c>
      <c r="AK252" s="401">
        <f>IF('Lab test'!V245&gt;0,'Lab test'!V245,NA())</f>
        <v>200637.516</v>
      </c>
      <c r="AL252" s="7">
        <f>IF(MAX('Lab test'!W245,'Lab test'!X245)&gt;0,MAX('Lab test'!W245,'Lab test'!X245),NA())</f>
        <v>245.21213939999998</v>
      </c>
      <c r="AM252" s="401">
        <f>IF('Lab test'!P245&gt;0,'Lab test'!P245,NA())</f>
        <v>0.13919482749010467</v>
      </c>
      <c r="AN252" s="401">
        <f>IF('Lab test'!AU245&gt;0,'Lab test'!AU245,NA())</f>
        <v>0.68128778293265846</v>
      </c>
      <c r="AO252" s="401">
        <f>IF('Lab test'!AT245&gt;0,'Lab test'!AT245,NA())</f>
        <v>0.23005970823835847</v>
      </c>
      <c r="AP252">
        <f t="shared" si="107"/>
        <v>1</v>
      </c>
      <c r="AQ252" s="401">
        <f>'Lab test'!AZ245</f>
        <v>1933</v>
      </c>
      <c r="AR252" t="str">
        <f>'Lab test'!AC245</f>
        <v>CLTW</v>
      </c>
      <c r="AS252" t="str">
        <f>'Lab test'!T245</f>
        <v>Steel</v>
      </c>
      <c r="AX252" t="e">
        <f t="shared" si="89"/>
        <v>#N/A</v>
      </c>
      <c r="AY252" t="e">
        <f t="shared" si="108"/>
        <v>#N/A</v>
      </c>
      <c r="AZ252" t="e">
        <f t="shared" si="104"/>
        <v>#N/A</v>
      </c>
      <c r="BA252" t="e">
        <f t="shared" si="104"/>
        <v>#N/A</v>
      </c>
      <c r="BB252" t="e">
        <f t="shared" si="104"/>
        <v>#N/A</v>
      </c>
      <c r="BC252" t="e">
        <f t="shared" si="104"/>
        <v>#N/A</v>
      </c>
      <c r="BD252" t="e">
        <f t="shared" si="104"/>
        <v>#N/A</v>
      </c>
      <c r="BG252" t="e">
        <f t="shared" si="90"/>
        <v>#N/A</v>
      </c>
      <c r="BH252" t="e">
        <f t="shared" si="109"/>
        <v>#N/A</v>
      </c>
      <c r="BI252" t="e">
        <f t="shared" si="105"/>
        <v>#N/A</v>
      </c>
      <c r="BJ252" t="e">
        <f t="shared" si="105"/>
        <v>#N/A</v>
      </c>
      <c r="BK252" t="e">
        <f t="shared" si="105"/>
        <v>#N/A</v>
      </c>
      <c r="BL252" t="e">
        <f t="shared" si="105"/>
        <v>#N/A</v>
      </c>
      <c r="BM252" t="e">
        <f t="shared" si="105"/>
        <v>#N/A</v>
      </c>
      <c r="BP252" t="e">
        <f t="shared" si="91"/>
        <v>#N/A</v>
      </c>
      <c r="BQ252" t="e">
        <f t="shared" si="110"/>
        <v>#N/A</v>
      </c>
      <c r="BR252" t="e">
        <f t="shared" si="106"/>
        <v>#N/A</v>
      </c>
      <c r="BS252" t="e">
        <f t="shared" si="106"/>
        <v>#N/A</v>
      </c>
      <c r="BT252" t="e">
        <f t="shared" si="106"/>
        <v>#N/A</v>
      </c>
      <c r="BU252" t="e">
        <f t="shared" si="106"/>
        <v>#N/A</v>
      </c>
      <c r="BV252" t="e">
        <f t="shared" si="106"/>
        <v>#N/A</v>
      </c>
      <c r="BY252" t="e">
        <f t="shared" si="92"/>
        <v>#N/A</v>
      </c>
      <c r="BZ252" t="e">
        <v>#N/A</v>
      </c>
      <c r="CA252" t="e" cm="1">
        <f t="array" ref="CA252">IF(ISNUMBER(BZ252),AF252/COUNT(IF(ISNUMBER(_xlfn.ANCHORARRAY($BZ$11)),_xlfn.ANCHORARRAY($BZ$11))),NA())</f>
        <v>#N/A</v>
      </c>
      <c r="CB252" t="e">
        <f t="shared" si="93"/>
        <v>#N/A</v>
      </c>
      <c r="CD252" t="e">
        <f t="shared" si="94"/>
        <v>#N/A</v>
      </c>
      <c r="CE252" t="e">
        <f t="shared" si="95"/>
        <v>#N/A</v>
      </c>
      <c r="CG252" t="e">
        <v>#N/A</v>
      </c>
      <c r="CH252" t="e">
        <v>#N/A</v>
      </c>
      <c r="CL252" t="e">
        <f t="shared" si="96"/>
        <v>#N/A</v>
      </c>
      <c r="CM252" t="e">
        <v>#N/A</v>
      </c>
      <c r="CN252" t="e" cm="1">
        <f t="array" ref="CN252">IF(ISNUMBER(CM252),AF252/COUNT(IF(ISNUMBER(_xlfn.ANCHORARRAY($CM$11)),_xlfn.ANCHORARRAY($CM$11))),NA())</f>
        <v>#N/A</v>
      </c>
      <c r="CO252" t="e">
        <f t="shared" si="97"/>
        <v>#N/A</v>
      </c>
      <c r="CQ252" t="e">
        <f t="shared" si="98"/>
        <v>#N/A</v>
      </c>
      <c r="CR252" t="e">
        <f t="shared" si="99"/>
        <v>#N/A</v>
      </c>
      <c r="CT252" t="e">
        <v>#N/A</v>
      </c>
      <c r="CU252" t="e">
        <v>#N/A</v>
      </c>
      <c r="CY252" t="e">
        <f t="shared" si="100"/>
        <v>#N/A</v>
      </c>
      <c r="CZ252" t="e">
        <v>#N/A</v>
      </c>
      <c r="DA252" t="e" cm="1">
        <f t="array" ref="DA252">IF(ISNUMBER(CZ252),AF252/COUNT(IF(ISNUMBER(_xlfn.ANCHORARRAY($CZ$11)),_xlfn.ANCHORARRAY($CZ$11))),NA())</f>
        <v>#N/A</v>
      </c>
      <c r="DB252" t="e">
        <f t="shared" si="101"/>
        <v>#N/A</v>
      </c>
      <c r="DD252" t="e">
        <f t="shared" si="102"/>
        <v>#N/A</v>
      </c>
      <c r="DE252" t="e">
        <f t="shared" si="103"/>
        <v>#N/A</v>
      </c>
      <c r="DG252" t="e">
        <v>#N/A</v>
      </c>
      <c r="DH252" t="e">
        <v>#N/A</v>
      </c>
    </row>
    <row r="253" spans="32:112">
      <c r="AF253">
        <v>243</v>
      </c>
      <c r="AG253" s="401">
        <f>'Lab test'!N246</f>
        <v>1016</v>
      </c>
      <c r="AH253" s="401">
        <f>'Lab test'!M246</f>
        <v>5.9029600000000002</v>
      </c>
      <c r="AI253">
        <f>IF('Lab test'!O246&gt;0,'Lab test'!O246,NA())</f>
        <v>1828.8</v>
      </c>
      <c r="AJ253">
        <f>'Lab test'!Q246</f>
        <v>172.11703958691911</v>
      </c>
      <c r="AK253" s="401">
        <f>IF('Lab test'!V246&gt;0,'Lab test'!V246,NA())</f>
        <v>197190.136</v>
      </c>
      <c r="AL253" s="7">
        <f>IF(MAX('Lab test'!W246,'Lab test'!X246)&gt;0,MAX('Lab test'!W246,'Lab test'!X246),NA())</f>
        <v>248.7974146</v>
      </c>
      <c r="AM253" s="401">
        <f>IF('Lab test'!P246&gt;0,'Lab test'!P246,NA())</f>
        <v>0.13720204080114845</v>
      </c>
      <c r="AN253" s="401">
        <f>IF('Lab test'!AU246&gt;0,'Lab test'!AU246,NA())</f>
        <v>0.65484273243730073</v>
      </c>
      <c r="AO253" s="401">
        <f>IF('Lab test'!AT246&gt;0,'Lab test'!AT246,NA())</f>
        <v>0.2349648400377404</v>
      </c>
      <c r="AP253">
        <f t="shared" si="107"/>
        <v>1</v>
      </c>
      <c r="AQ253" s="401">
        <f>'Lab test'!AZ246</f>
        <v>1933</v>
      </c>
      <c r="AR253" t="str">
        <f>'Lab test'!AC246</f>
        <v>CLTW</v>
      </c>
      <c r="AS253" t="str">
        <f>'Lab test'!T246</f>
        <v>Steel</v>
      </c>
      <c r="AX253" t="e">
        <f t="shared" si="89"/>
        <v>#N/A</v>
      </c>
      <c r="AY253" t="e">
        <f t="shared" si="108"/>
        <v>#N/A</v>
      </c>
      <c r="AZ253" t="e">
        <f t="shared" si="104"/>
        <v>#N/A</v>
      </c>
      <c r="BA253" t="e">
        <f t="shared" si="104"/>
        <v>#N/A</v>
      </c>
      <c r="BB253" t="e">
        <f t="shared" si="104"/>
        <v>#N/A</v>
      </c>
      <c r="BC253" t="e">
        <f t="shared" si="104"/>
        <v>#N/A</v>
      </c>
      <c r="BD253" t="e">
        <f t="shared" si="104"/>
        <v>#N/A</v>
      </c>
      <c r="BG253" t="e">
        <f t="shared" si="90"/>
        <v>#N/A</v>
      </c>
      <c r="BH253" t="e">
        <f t="shared" si="109"/>
        <v>#N/A</v>
      </c>
      <c r="BI253" t="e">
        <f t="shared" si="105"/>
        <v>#N/A</v>
      </c>
      <c r="BJ253" t="e">
        <f t="shared" si="105"/>
        <v>#N/A</v>
      </c>
      <c r="BK253" t="e">
        <f t="shared" si="105"/>
        <v>#N/A</v>
      </c>
      <c r="BL253" t="e">
        <f t="shared" si="105"/>
        <v>#N/A</v>
      </c>
      <c r="BM253" t="e">
        <f t="shared" si="105"/>
        <v>#N/A</v>
      </c>
      <c r="BP253" t="e">
        <f t="shared" si="91"/>
        <v>#N/A</v>
      </c>
      <c r="BQ253" t="e">
        <f t="shared" si="110"/>
        <v>#N/A</v>
      </c>
      <c r="BR253" t="e">
        <f t="shared" si="106"/>
        <v>#N/A</v>
      </c>
      <c r="BS253" t="e">
        <f t="shared" si="106"/>
        <v>#N/A</v>
      </c>
      <c r="BT253" t="e">
        <f t="shared" si="106"/>
        <v>#N/A</v>
      </c>
      <c r="BU253" t="e">
        <f t="shared" si="106"/>
        <v>#N/A</v>
      </c>
      <c r="BV253" t="e">
        <f t="shared" si="106"/>
        <v>#N/A</v>
      </c>
      <c r="BY253" t="e">
        <f t="shared" si="92"/>
        <v>#N/A</v>
      </c>
      <c r="BZ253" t="e">
        <v>#N/A</v>
      </c>
      <c r="CA253" t="e" cm="1">
        <f t="array" ref="CA253">IF(ISNUMBER(BZ253),AF253/COUNT(IF(ISNUMBER(_xlfn.ANCHORARRAY($BZ$11)),_xlfn.ANCHORARRAY($BZ$11))),NA())</f>
        <v>#N/A</v>
      </c>
      <c r="CB253" t="e">
        <f t="shared" si="93"/>
        <v>#N/A</v>
      </c>
      <c r="CD253" t="e">
        <f t="shared" si="94"/>
        <v>#N/A</v>
      </c>
      <c r="CE253" t="e">
        <f t="shared" si="95"/>
        <v>#N/A</v>
      </c>
      <c r="CG253" t="e">
        <v>#N/A</v>
      </c>
      <c r="CH253" t="e">
        <v>#N/A</v>
      </c>
      <c r="CL253" t="e">
        <f t="shared" si="96"/>
        <v>#N/A</v>
      </c>
      <c r="CM253" t="e">
        <v>#N/A</v>
      </c>
      <c r="CN253" t="e" cm="1">
        <f t="array" ref="CN253">IF(ISNUMBER(CM253),AF253/COUNT(IF(ISNUMBER(_xlfn.ANCHORARRAY($CM$11)),_xlfn.ANCHORARRAY($CM$11))),NA())</f>
        <v>#N/A</v>
      </c>
      <c r="CO253" t="e">
        <f t="shared" si="97"/>
        <v>#N/A</v>
      </c>
      <c r="CQ253" t="e">
        <f t="shared" si="98"/>
        <v>#N/A</v>
      </c>
      <c r="CR253" t="e">
        <f t="shared" si="99"/>
        <v>#N/A</v>
      </c>
      <c r="CT253" t="e">
        <v>#N/A</v>
      </c>
      <c r="CU253" t="e">
        <v>#N/A</v>
      </c>
      <c r="CY253" t="e">
        <f t="shared" si="100"/>
        <v>#N/A</v>
      </c>
      <c r="CZ253" t="e">
        <v>#N/A</v>
      </c>
      <c r="DA253" t="e" cm="1">
        <f t="array" ref="DA253">IF(ISNUMBER(CZ253),AF253/COUNT(IF(ISNUMBER(_xlfn.ANCHORARRAY($CZ$11)),_xlfn.ANCHORARRAY($CZ$11))),NA())</f>
        <v>#N/A</v>
      </c>
      <c r="DB253" t="e">
        <f t="shared" si="101"/>
        <v>#N/A</v>
      </c>
      <c r="DD253" t="e">
        <f t="shared" si="102"/>
        <v>#N/A</v>
      </c>
      <c r="DE253" t="e">
        <f t="shared" si="103"/>
        <v>#N/A</v>
      </c>
      <c r="DG253" t="e">
        <v>#N/A</v>
      </c>
      <c r="DH253" t="e">
        <v>#N/A</v>
      </c>
    </row>
    <row r="254" spans="32:112">
      <c r="AF254">
        <v>244</v>
      </c>
      <c r="AG254" s="401">
        <f>'Lab test'!N247</f>
        <v>1016</v>
      </c>
      <c r="AH254" s="401">
        <f>'Lab test'!M247</f>
        <v>6.1467999999999998</v>
      </c>
      <c r="AI254">
        <f>IF('Lab test'!O247&gt;0,'Lab test'!O247,NA())</f>
        <v>1828.8</v>
      </c>
      <c r="AJ254">
        <f>'Lab test'!Q247</f>
        <v>165.28925619834712</v>
      </c>
      <c r="AK254" s="401">
        <f>IF('Lab test'!V247&gt;0,'Lab test'!V247,NA())</f>
        <v>204774.372</v>
      </c>
      <c r="AL254" s="7">
        <f>IF(MAX('Lab test'!W247,'Lab test'!X247)&gt;0,MAX('Lab test'!W247,'Lab test'!X247),NA())</f>
        <v>260.78050747999998</v>
      </c>
      <c r="AM254" s="401">
        <f>IF('Lab test'!P247&gt;0,'Lab test'!P247,NA())</f>
        <v>0.14000714267493641</v>
      </c>
      <c r="AN254" s="401">
        <f>IF('Lab test'!AU247&gt;0,'Lab test'!AU247,NA())</f>
        <v>0.69217143008222515</v>
      </c>
      <c r="AO254" s="401">
        <f>IF('Lab test'!AT247&gt;0,'Lab test'!AT247,NA())</f>
        <v>0.24073494770506743</v>
      </c>
      <c r="AP254">
        <f t="shared" si="107"/>
        <v>1</v>
      </c>
      <c r="AQ254" s="401">
        <f>'Lab test'!AZ247</f>
        <v>1933</v>
      </c>
      <c r="AR254" t="str">
        <f>'Lab test'!AC247</f>
        <v>CLTW</v>
      </c>
      <c r="AS254" t="str">
        <f>'Lab test'!T247</f>
        <v>Steel</v>
      </c>
      <c r="AX254" t="e">
        <f t="shared" si="89"/>
        <v>#N/A</v>
      </c>
      <c r="AY254" t="e">
        <f t="shared" si="108"/>
        <v>#N/A</v>
      </c>
      <c r="AZ254" t="e">
        <f t="shared" si="104"/>
        <v>#N/A</v>
      </c>
      <c r="BA254" t="e">
        <f t="shared" si="104"/>
        <v>#N/A</v>
      </c>
      <c r="BB254" t="e">
        <f t="shared" si="104"/>
        <v>#N/A</v>
      </c>
      <c r="BC254" t="e">
        <f t="shared" si="104"/>
        <v>#N/A</v>
      </c>
      <c r="BD254" t="e">
        <f t="shared" si="104"/>
        <v>#N/A</v>
      </c>
      <c r="BG254" t="e">
        <f t="shared" si="90"/>
        <v>#N/A</v>
      </c>
      <c r="BH254" t="e">
        <f t="shared" si="109"/>
        <v>#N/A</v>
      </c>
      <c r="BI254" t="e">
        <f t="shared" si="105"/>
        <v>#N/A</v>
      </c>
      <c r="BJ254" t="e">
        <f t="shared" si="105"/>
        <v>#N/A</v>
      </c>
      <c r="BK254" t="e">
        <f t="shared" si="105"/>
        <v>#N/A</v>
      </c>
      <c r="BL254" t="e">
        <f t="shared" si="105"/>
        <v>#N/A</v>
      </c>
      <c r="BM254" t="e">
        <f t="shared" si="105"/>
        <v>#N/A</v>
      </c>
      <c r="BP254" t="e">
        <f t="shared" si="91"/>
        <v>#N/A</v>
      </c>
      <c r="BQ254" t="e">
        <f t="shared" si="110"/>
        <v>#N/A</v>
      </c>
      <c r="BR254" t="e">
        <f t="shared" si="106"/>
        <v>#N/A</v>
      </c>
      <c r="BS254" t="e">
        <f t="shared" si="106"/>
        <v>#N/A</v>
      </c>
      <c r="BT254" t="e">
        <f t="shared" si="106"/>
        <v>#N/A</v>
      </c>
      <c r="BU254" t="e">
        <f t="shared" si="106"/>
        <v>#N/A</v>
      </c>
      <c r="BV254" t="e">
        <f t="shared" si="106"/>
        <v>#N/A</v>
      </c>
      <c r="BY254" t="e">
        <f t="shared" si="92"/>
        <v>#N/A</v>
      </c>
      <c r="BZ254" t="e">
        <v>#N/A</v>
      </c>
      <c r="CA254" t="e" cm="1">
        <f t="array" ref="CA254">IF(ISNUMBER(BZ254),AF254/COUNT(IF(ISNUMBER(_xlfn.ANCHORARRAY($BZ$11)),_xlfn.ANCHORARRAY($BZ$11))),NA())</f>
        <v>#N/A</v>
      </c>
      <c r="CB254" t="e">
        <f t="shared" si="93"/>
        <v>#N/A</v>
      </c>
      <c r="CD254" t="e">
        <f t="shared" si="94"/>
        <v>#N/A</v>
      </c>
      <c r="CE254" t="e">
        <f t="shared" si="95"/>
        <v>#N/A</v>
      </c>
      <c r="CG254" t="e">
        <v>#N/A</v>
      </c>
      <c r="CH254" t="e">
        <v>#N/A</v>
      </c>
      <c r="CL254" t="e">
        <f t="shared" si="96"/>
        <v>#N/A</v>
      </c>
      <c r="CM254" t="e">
        <v>#N/A</v>
      </c>
      <c r="CN254" t="e" cm="1">
        <f t="array" ref="CN254">IF(ISNUMBER(CM254),AF254/COUNT(IF(ISNUMBER(_xlfn.ANCHORARRAY($CM$11)),_xlfn.ANCHORARRAY($CM$11))),NA())</f>
        <v>#N/A</v>
      </c>
      <c r="CO254" t="e">
        <f t="shared" si="97"/>
        <v>#N/A</v>
      </c>
      <c r="CQ254" t="e">
        <f t="shared" si="98"/>
        <v>#N/A</v>
      </c>
      <c r="CR254" t="e">
        <f t="shared" si="99"/>
        <v>#N/A</v>
      </c>
      <c r="CT254" t="e">
        <v>#N/A</v>
      </c>
      <c r="CU254" t="e">
        <v>#N/A</v>
      </c>
      <c r="CY254" t="e">
        <f t="shared" si="100"/>
        <v>#N/A</v>
      </c>
      <c r="CZ254" t="e">
        <v>#N/A</v>
      </c>
      <c r="DA254" t="e" cm="1">
        <f t="array" ref="DA254">IF(ISNUMBER(CZ254),AF254/COUNT(IF(ISNUMBER(_xlfn.ANCHORARRAY($CZ$11)),_xlfn.ANCHORARRAY($CZ$11))),NA())</f>
        <v>#N/A</v>
      </c>
      <c r="DB254" t="e">
        <f t="shared" si="101"/>
        <v>#N/A</v>
      </c>
      <c r="DD254" t="e">
        <f t="shared" si="102"/>
        <v>#N/A</v>
      </c>
      <c r="DE254" t="e">
        <f t="shared" si="103"/>
        <v>#N/A</v>
      </c>
      <c r="DG254" t="e">
        <v>#N/A</v>
      </c>
      <c r="DH254" t="e">
        <v>#N/A</v>
      </c>
    </row>
    <row r="255" spans="32:112">
      <c r="AF255">
        <v>245</v>
      </c>
      <c r="AG255" s="401">
        <f>'Lab test'!N248</f>
        <v>1016</v>
      </c>
      <c r="AH255" s="401">
        <f>'Lab test'!M248</f>
        <v>6.0756800000000002</v>
      </c>
      <c r="AI255">
        <f>IF('Lab test'!O248&gt;0,'Lab test'!O248,NA())</f>
        <v>1828.8</v>
      </c>
      <c r="AJ255">
        <f>'Lab test'!Q248</f>
        <v>167.22408026755852</v>
      </c>
      <c r="AK255" s="401">
        <f>IF('Lab test'!V248&gt;0,'Lab test'!V248,NA())</f>
        <v>199948.03999999998</v>
      </c>
      <c r="AL255" s="7">
        <f>IF(MAX('Lab test'!W248,'Lab test'!X248)&gt;0,MAX('Lab test'!W248,'Lab test'!X248),NA())</f>
        <v>248.8318884</v>
      </c>
      <c r="AM255" s="401">
        <f>IF('Lab test'!P248&gt;0,'Lab test'!P248,NA())</f>
        <v>0.13919482749010467</v>
      </c>
      <c r="AN255" s="401">
        <f>IF('Lab test'!AU248&gt;0,'Lab test'!AU248,NA())</f>
        <v>0.7605985037406483</v>
      </c>
      <c r="AO255" s="401">
        <f>IF('Lab test'!AT248&gt;0,'Lab test'!AT248,NA())</f>
        <v>0.26153179250894387</v>
      </c>
      <c r="AP255">
        <f t="shared" si="107"/>
        <v>1</v>
      </c>
      <c r="AQ255" s="401">
        <f>'Lab test'!AZ248</f>
        <v>1933</v>
      </c>
      <c r="AR255" t="str">
        <f>'Lab test'!AC248</f>
        <v>CLTW</v>
      </c>
      <c r="AS255" t="str">
        <f>'Lab test'!T248</f>
        <v>Steel</v>
      </c>
      <c r="AX255" t="e">
        <f t="shared" si="89"/>
        <v>#N/A</v>
      </c>
      <c r="AY255" t="e">
        <f t="shared" si="108"/>
        <v>#N/A</v>
      </c>
      <c r="AZ255" t="e">
        <f t="shared" si="104"/>
        <v>#N/A</v>
      </c>
      <c r="BA255" t="e">
        <f t="shared" si="104"/>
        <v>#N/A</v>
      </c>
      <c r="BB255" t="e">
        <f t="shared" si="104"/>
        <v>#N/A</v>
      </c>
      <c r="BC255" t="e">
        <f t="shared" si="104"/>
        <v>#N/A</v>
      </c>
      <c r="BD255" t="e">
        <f t="shared" si="104"/>
        <v>#N/A</v>
      </c>
      <c r="BG255" t="e">
        <f t="shared" si="90"/>
        <v>#N/A</v>
      </c>
      <c r="BH255" t="e">
        <f t="shared" si="109"/>
        <v>#N/A</v>
      </c>
      <c r="BI255" t="e">
        <f t="shared" si="105"/>
        <v>#N/A</v>
      </c>
      <c r="BJ255" t="e">
        <f t="shared" si="105"/>
        <v>#N/A</v>
      </c>
      <c r="BK255" t="e">
        <f t="shared" si="105"/>
        <v>#N/A</v>
      </c>
      <c r="BL255" t="e">
        <f t="shared" si="105"/>
        <v>#N/A</v>
      </c>
      <c r="BM255" t="e">
        <f t="shared" si="105"/>
        <v>#N/A</v>
      </c>
      <c r="BP255" t="e">
        <f t="shared" si="91"/>
        <v>#N/A</v>
      </c>
      <c r="BQ255" t="e">
        <f t="shared" si="110"/>
        <v>#N/A</v>
      </c>
      <c r="BR255" t="e">
        <f t="shared" si="106"/>
        <v>#N/A</v>
      </c>
      <c r="BS255" t="e">
        <f t="shared" si="106"/>
        <v>#N/A</v>
      </c>
      <c r="BT255" t="e">
        <f t="shared" si="106"/>
        <v>#N/A</v>
      </c>
      <c r="BU255" t="e">
        <f t="shared" si="106"/>
        <v>#N/A</v>
      </c>
      <c r="BV255" t="e">
        <f t="shared" si="106"/>
        <v>#N/A</v>
      </c>
      <c r="BY255" t="e">
        <f t="shared" si="92"/>
        <v>#N/A</v>
      </c>
      <c r="BZ255" t="e">
        <v>#N/A</v>
      </c>
      <c r="CA255" t="e" cm="1">
        <f t="array" ref="CA255">IF(ISNUMBER(BZ255),AF255/COUNT(IF(ISNUMBER(_xlfn.ANCHORARRAY($BZ$11)),_xlfn.ANCHORARRAY($BZ$11))),NA())</f>
        <v>#N/A</v>
      </c>
      <c r="CB255" t="e">
        <f t="shared" si="93"/>
        <v>#N/A</v>
      </c>
      <c r="CD255" t="e">
        <f t="shared" si="94"/>
        <v>#N/A</v>
      </c>
      <c r="CE255" t="e">
        <f t="shared" si="95"/>
        <v>#N/A</v>
      </c>
      <c r="CG255" t="e">
        <v>#N/A</v>
      </c>
      <c r="CH255" t="e">
        <v>#N/A</v>
      </c>
      <c r="CL255" t="e">
        <f t="shared" si="96"/>
        <v>#N/A</v>
      </c>
      <c r="CM255" t="e">
        <v>#N/A</v>
      </c>
      <c r="CN255" t="e" cm="1">
        <f t="array" ref="CN255">IF(ISNUMBER(CM255),AF255/COUNT(IF(ISNUMBER(_xlfn.ANCHORARRAY($CM$11)),_xlfn.ANCHORARRAY($CM$11))),NA())</f>
        <v>#N/A</v>
      </c>
      <c r="CO255" t="e">
        <f t="shared" si="97"/>
        <v>#N/A</v>
      </c>
      <c r="CQ255" t="e">
        <f t="shared" si="98"/>
        <v>#N/A</v>
      </c>
      <c r="CR255" t="e">
        <f t="shared" si="99"/>
        <v>#N/A</v>
      </c>
      <c r="CT255" t="e">
        <v>#N/A</v>
      </c>
      <c r="CU255" t="e">
        <v>#N/A</v>
      </c>
      <c r="CY255" t="e">
        <f t="shared" si="100"/>
        <v>#N/A</v>
      </c>
      <c r="CZ255" t="e">
        <v>#N/A</v>
      </c>
      <c r="DA255" t="e" cm="1">
        <f t="array" ref="DA255">IF(ISNUMBER(CZ255),AF255/COUNT(IF(ISNUMBER(_xlfn.ANCHORARRAY($CZ$11)),_xlfn.ANCHORARRAY($CZ$11))),NA())</f>
        <v>#N/A</v>
      </c>
      <c r="DB255" t="e">
        <f t="shared" si="101"/>
        <v>#N/A</v>
      </c>
      <c r="DD255" t="e">
        <f t="shared" si="102"/>
        <v>#N/A</v>
      </c>
      <c r="DE255" t="e">
        <f t="shared" si="103"/>
        <v>#N/A</v>
      </c>
      <c r="DG255" t="e">
        <v>#N/A</v>
      </c>
      <c r="DH255" t="e">
        <v>#N/A</v>
      </c>
    </row>
    <row r="256" spans="32:112">
      <c r="AF256">
        <v>246</v>
      </c>
      <c r="AG256" s="401">
        <f>'Lab test'!N249</f>
        <v>431.79999999999995</v>
      </c>
      <c r="AH256" s="401">
        <f>'Lab test'!M249</f>
        <v>3.1089599999999997</v>
      </c>
      <c r="AI256">
        <f>IF('Lab test'!O249&gt;0,'Lab test'!O249,NA())</f>
        <v>10668</v>
      </c>
      <c r="AJ256">
        <f>'Lab test'!Q249</f>
        <v>138.88888888888889</v>
      </c>
      <c r="AK256" s="401">
        <f>IF('Lab test'!V249&gt;0,'Lab test'!V249,NA())</f>
        <v>202705.94399999999</v>
      </c>
      <c r="AL256" s="7">
        <f>IF(MAX('Lab test'!W249,'Lab test'!X249)&gt;0,MAX('Lab test'!W249,'Lab test'!X249),NA())</f>
        <v>226.14812799999999</v>
      </c>
      <c r="AM256" s="401">
        <f>IF('Lab test'!P249&gt;0,'Lab test'!P249,NA())</f>
        <v>2.0963636336354119</v>
      </c>
      <c r="AN256" s="401">
        <f>IF('Lab test'!AU249&gt;0,'Lab test'!AU249,NA())</f>
        <v>0.6097560975609756</v>
      </c>
      <c r="AO256" s="401">
        <f>IF('Lab test'!AT249&gt;0,'Lab test'!AT249,NA())</f>
        <v>0.15611027628361965</v>
      </c>
      <c r="AP256">
        <f t="shared" si="107"/>
        <v>1</v>
      </c>
      <c r="AQ256" s="401">
        <f>'Lab test'!AZ249</f>
        <v>1933</v>
      </c>
      <c r="AR256" t="str">
        <f>'Lab test'!AC249</f>
        <v>CLTW</v>
      </c>
      <c r="AS256" t="str">
        <f>'Lab test'!T249</f>
        <v>Steel</v>
      </c>
      <c r="AX256" t="e">
        <f t="shared" si="89"/>
        <v>#N/A</v>
      </c>
      <c r="AY256" t="e">
        <f t="shared" si="108"/>
        <v>#N/A</v>
      </c>
      <c r="AZ256" t="e">
        <f t="shared" si="104"/>
        <v>#N/A</v>
      </c>
      <c r="BA256" t="e">
        <f t="shared" si="104"/>
        <v>#N/A</v>
      </c>
      <c r="BB256" t="e">
        <f t="shared" si="104"/>
        <v>#N/A</v>
      </c>
      <c r="BC256" t="e">
        <f t="shared" si="104"/>
        <v>#N/A</v>
      </c>
      <c r="BD256" t="e">
        <f t="shared" si="104"/>
        <v>#N/A</v>
      </c>
      <c r="BG256" t="e">
        <f t="shared" si="90"/>
        <v>#N/A</v>
      </c>
      <c r="BH256" t="e">
        <f t="shared" si="109"/>
        <v>#N/A</v>
      </c>
      <c r="BI256" t="e">
        <f t="shared" si="105"/>
        <v>#N/A</v>
      </c>
      <c r="BJ256" t="e">
        <f t="shared" si="105"/>
        <v>#N/A</v>
      </c>
      <c r="BK256" t="e">
        <f t="shared" si="105"/>
        <v>#N/A</v>
      </c>
      <c r="BL256" t="e">
        <f t="shared" si="105"/>
        <v>#N/A</v>
      </c>
      <c r="BM256" t="e">
        <f t="shared" si="105"/>
        <v>#N/A</v>
      </c>
      <c r="BP256" t="e">
        <f t="shared" si="91"/>
        <v>#N/A</v>
      </c>
      <c r="BQ256" t="e">
        <f t="shared" si="110"/>
        <v>#N/A</v>
      </c>
      <c r="BR256" t="e">
        <f t="shared" si="106"/>
        <v>#N/A</v>
      </c>
      <c r="BS256" t="e">
        <f t="shared" si="106"/>
        <v>#N/A</v>
      </c>
      <c r="BT256" t="e">
        <f t="shared" si="106"/>
        <v>#N/A</v>
      </c>
      <c r="BU256" t="e">
        <f t="shared" si="106"/>
        <v>#N/A</v>
      </c>
      <c r="BV256" t="e">
        <f t="shared" si="106"/>
        <v>#N/A</v>
      </c>
      <c r="BY256" t="e">
        <f t="shared" si="92"/>
        <v>#N/A</v>
      </c>
      <c r="BZ256" t="e">
        <v>#N/A</v>
      </c>
      <c r="CA256" t="e" cm="1">
        <f t="array" ref="CA256">IF(ISNUMBER(BZ256),AF256/COUNT(IF(ISNUMBER(_xlfn.ANCHORARRAY($BZ$11)),_xlfn.ANCHORARRAY($BZ$11))),NA())</f>
        <v>#N/A</v>
      </c>
      <c r="CB256" t="e">
        <f t="shared" si="93"/>
        <v>#N/A</v>
      </c>
      <c r="CD256" t="e">
        <f t="shared" si="94"/>
        <v>#N/A</v>
      </c>
      <c r="CE256" t="e">
        <f t="shared" si="95"/>
        <v>#N/A</v>
      </c>
      <c r="CG256" t="e">
        <v>#N/A</v>
      </c>
      <c r="CH256" t="e">
        <v>#N/A</v>
      </c>
      <c r="CL256" t="e">
        <f t="shared" si="96"/>
        <v>#N/A</v>
      </c>
      <c r="CM256" t="e">
        <v>#N/A</v>
      </c>
      <c r="CN256" t="e" cm="1">
        <f t="array" ref="CN256">IF(ISNUMBER(CM256),AF256/COUNT(IF(ISNUMBER(_xlfn.ANCHORARRAY($CM$11)),_xlfn.ANCHORARRAY($CM$11))),NA())</f>
        <v>#N/A</v>
      </c>
      <c r="CO256" t="e">
        <f t="shared" si="97"/>
        <v>#N/A</v>
      </c>
      <c r="CQ256" t="e">
        <f t="shared" si="98"/>
        <v>#N/A</v>
      </c>
      <c r="CR256" t="e">
        <f t="shared" si="99"/>
        <v>#N/A</v>
      </c>
      <c r="CT256" t="e">
        <v>#N/A</v>
      </c>
      <c r="CU256" t="e">
        <v>#N/A</v>
      </c>
      <c r="CY256" t="e">
        <f t="shared" si="100"/>
        <v>#N/A</v>
      </c>
      <c r="CZ256" t="e">
        <v>#N/A</v>
      </c>
      <c r="DA256" t="e" cm="1">
        <f t="array" ref="DA256">IF(ISNUMBER(CZ256),AF256/COUNT(IF(ISNUMBER(_xlfn.ANCHORARRAY($CZ$11)),_xlfn.ANCHORARRAY($CZ$11))),NA())</f>
        <v>#N/A</v>
      </c>
      <c r="DB256" t="e">
        <f t="shared" si="101"/>
        <v>#N/A</v>
      </c>
      <c r="DD256" t="e">
        <f t="shared" si="102"/>
        <v>#N/A</v>
      </c>
      <c r="DE256" t="e">
        <f t="shared" si="103"/>
        <v>#N/A</v>
      </c>
      <c r="DG256" t="e">
        <v>#N/A</v>
      </c>
      <c r="DH256" t="e">
        <v>#N/A</v>
      </c>
    </row>
    <row r="257" spans="32:112">
      <c r="AF257">
        <v>247</v>
      </c>
      <c r="AG257" s="401">
        <f>'Lab test'!N250</f>
        <v>431.79999999999995</v>
      </c>
      <c r="AH257" s="401">
        <f>'Lab test'!M250</f>
        <v>2.8585159999999998</v>
      </c>
      <c r="AI257">
        <f>IF('Lab test'!O250&gt;0,'Lab test'!O250,NA())</f>
        <v>10668</v>
      </c>
      <c r="AJ257">
        <f>'Lab test'!Q250</f>
        <v>151.05740181268882</v>
      </c>
      <c r="AK257" s="401">
        <f>IF('Lab test'!V250&gt;0,'Lab test'!V250,NA())</f>
        <v>194432.23199999999</v>
      </c>
      <c r="AL257" s="7">
        <f>IF(MAX('Lab test'!W250,'Lab test'!X250)&gt;0,MAX('Lab test'!W250,'Lab test'!X250),NA())</f>
        <v>223.39022399999999</v>
      </c>
      <c r="AM257" s="401">
        <f>IF('Lab test'!P250&gt;0,'Lab test'!P250,NA())</f>
        <v>2.0101541540845544</v>
      </c>
      <c r="AN257" s="401">
        <f>IF('Lab test'!AU250&gt;0,'Lab test'!AU250,NA())</f>
        <v>0.68518518518518523</v>
      </c>
      <c r="AO257" s="401">
        <f>IF('Lab test'!AT250&gt;0,'Lab test'!AT250,NA())</f>
        <v>0.19648400422599385</v>
      </c>
      <c r="AP257">
        <f t="shared" si="107"/>
        <v>1</v>
      </c>
      <c r="AQ257" s="401">
        <f>'Lab test'!AZ250</f>
        <v>1933</v>
      </c>
      <c r="AR257" t="str">
        <f>'Lab test'!AC250</f>
        <v>CLTW</v>
      </c>
      <c r="AS257" t="str">
        <f>'Lab test'!T250</f>
        <v>Steel</v>
      </c>
      <c r="AX257" t="e">
        <f t="shared" si="89"/>
        <v>#N/A</v>
      </c>
      <c r="AY257" t="e">
        <f t="shared" si="108"/>
        <v>#N/A</v>
      </c>
      <c r="AZ257" t="e">
        <f t="shared" si="104"/>
        <v>#N/A</v>
      </c>
      <c r="BA257" t="e">
        <f t="shared" si="104"/>
        <v>#N/A</v>
      </c>
      <c r="BB257" t="e">
        <f t="shared" si="104"/>
        <v>#N/A</v>
      </c>
      <c r="BC257" t="e">
        <f t="shared" si="104"/>
        <v>#N/A</v>
      </c>
      <c r="BD257" t="e">
        <f t="shared" si="104"/>
        <v>#N/A</v>
      </c>
      <c r="BG257" t="e">
        <f t="shared" si="90"/>
        <v>#N/A</v>
      </c>
      <c r="BH257" t="e">
        <f t="shared" si="109"/>
        <v>#N/A</v>
      </c>
      <c r="BI257" t="e">
        <f t="shared" si="105"/>
        <v>#N/A</v>
      </c>
      <c r="BJ257" t="e">
        <f t="shared" si="105"/>
        <v>#N/A</v>
      </c>
      <c r="BK257" t="e">
        <f t="shared" si="105"/>
        <v>#N/A</v>
      </c>
      <c r="BL257" t="e">
        <f t="shared" si="105"/>
        <v>#N/A</v>
      </c>
      <c r="BM257" t="e">
        <f t="shared" si="105"/>
        <v>#N/A</v>
      </c>
      <c r="BP257" t="e">
        <f t="shared" si="91"/>
        <v>#N/A</v>
      </c>
      <c r="BQ257" t="e">
        <f t="shared" si="110"/>
        <v>#N/A</v>
      </c>
      <c r="BR257" t="e">
        <f t="shared" si="106"/>
        <v>#N/A</v>
      </c>
      <c r="BS257" t="e">
        <f t="shared" si="106"/>
        <v>#N/A</v>
      </c>
      <c r="BT257" t="e">
        <f t="shared" si="106"/>
        <v>#N/A</v>
      </c>
      <c r="BU257" t="e">
        <f t="shared" si="106"/>
        <v>#N/A</v>
      </c>
      <c r="BV257" t="e">
        <f t="shared" si="106"/>
        <v>#N/A</v>
      </c>
      <c r="BY257" t="e">
        <f t="shared" si="92"/>
        <v>#N/A</v>
      </c>
      <c r="BZ257" t="e">
        <v>#N/A</v>
      </c>
      <c r="CA257" t="e" cm="1">
        <f t="array" ref="CA257">IF(ISNUMBER(BZ257),AF257/COUNT(IF(ISNUMBER(_xlfn.ANCHORARRAY($BZ$11)),_xlfn.ANCHORARRAY($BZ$11))),NA())</f>
        <v>#N/A</v>
      </c>
      <c r="CB257" t="e">
        <f t="shared" si="93"/>
        <v>#N/A</v>
      </c>
      <c r="CD257" t="e">
        <f t="shared" si="94"/>
        <v>#N/A</v>
      </c>
      <c r="CE257" t="e">
        <f t="shared" si="95"/>
        <v>#N/A</v>
      </c>
      <c r="CG257" t="e">
        <v>#N/A</v>
      </c>
      <c r="CH257" t="e">
        <v>#N/A</v>
      </c>
      <c r="CL257" t="e">
        <f t="shared" si="96"/>
        <v>#N/A</v>
      </c>
      <c r="CM257" t="e">
        <v>#N/A</v>
      </c>
      <c r="CN257" t="e" cm="1">
        <f t="array" ref="CN257">IF(ISNUMBER(CM257),AF257/COUNT(IF(ISNUMBER(_xlfn.ANCHORARRAY($CM$11)),_xlfn.ANCHORARRAY($CM$11))),NA())</f>
        <v>#N/A</v>
      </c>
      <c r="CO257" t="e">
        <f t="shared" si="97"/>
        <v>#N/A</v>
      </c>
      <c r="CQ257" t="e">
        <f t="shared" si="98"/>
        <v>#N/A</v>
      </c>
      <c r="CR257" t="e">
        <f t="shared" si="99"/>
        <v>#N/A</v>
      </c>
      <c r="CT257" t="e">
        <v>#N/A</v>
      </c>
      <c r="CU257" t="e">
        <v>#N/A</v>
      </c>
      <c r="CY257" t="e">
        <f t="shared" si="100"/>
        <v>#N/A</v>
      </c>
      <c r="CZ257" t="e">
        <v>#N/A</v>
      </c>
      <c r="DA257" t="e" cm="1">
        <f t="array" ref="DA257">IF(ISNUMBER(CZ257),AF257/COUNT(IF(ISNUMBER(_xlfn.ANCHORARRAY($CZ$11)),_xlfn.ANCHORARRAY($CZ$11))),NA())</f>
        <v>#N/A</v>
      </c>
      <c r="DB257" t="e">
        <f t="shared" si="101"/>
        <v>#N/A</v>
      </c>
      <c r="DD257" t="e">
        <f t="shared" si="102"/>
        <v>#N/A</v>
      </c>
      <c r="DE257" t="e">
        <f t="shared" si="103"/>
        <v>#N/A</v>
      </c>
      <c r="DG257" t="e">
        <v>#N/A</v>
      </c>
      <c r="DH257" t="e">
        <v>#N/A</v>
      </c>
    </row>
    <row r="258" spans="32:112">
      <c r="AF258">
        <v>248</v>
      </c>
      <c r="AG258" s="401">
        <f>'Lab test'!N251</f>
        <v>431.79999999999995</v>
      </c>
      <c r="AH258" s="401">
        <f>'Lab test'!M251</f>
        <v>3.0441899999999995</v>
      </c>
      <c r="AI258">
        <f>IF('Lab test'!O251&gt;0,'Lab test'!O251,NA())</f>
        <v>6096</v>
      </c>
      <c r="AJ258">
        <f>'Lab test'!Q251</f>
        <v>141.84397163120568</v>
      </c>
      <c r="AK258" s="401">
        <f>IF('Lab test'!V251&gt;0,'Lab test'!V251,NA())</f>
        <v>197879.61199999999</v>
      </c>
      <c r="AL258" s="7">
        <f>IF(MAX('Lab test'!W251,'Lab test'!X251)&gt;0,MAX('Lab test'!W251,'Lab test'!X251),NA())</f>
        <v>311.29841399999998</v>
      </c>
      <c r="AM258" s="401">
        <f>IF('Lab test'!P251&gt;0,'Lab test'!P251,NA())</f>
        <v>1.1853780440291763</v>
      </c>
      <c r="AN258" s="401">
        <f>IF('Lab test'!AU251&gt;0,'Lab test'!AU251,NA())</f>
        <v>0.5138427464008859</v>
      </c>
      <c r="AO258" s="401">
        <f>IF('Lab test'!AT251&gt;0,'Lab test'!AT251,NA())</f>
        <v>0.18945160752767079</v>
      </c>
      <c r="AP258">
        <f t="shared" si="107"/>
        <v>1</v>
      </c>
      <c r="AQ258" s="401">
        <f>'Lab test'!AZ251</f>
        <v>1933</v>
      </c>
      <c r="AR258" t="str">
        <f>'Lab test'!AC251</f>
        <v>CLTW</v>
      </c>
      <c r="AS258" t="str">
        <f>'Lab test'!T251</f>
        <v>Steel</v>
      </c>
      <c r="AX258" t="e">
        <f t="shared" si="89"/>
        <v>#N/A</v>
      </c>
      <c r="AY258" t="e">
        <f t="shared" si="108"/>
        <v>#N/A</v>
      </c>
      <c r="AZ258" t="e">
        <f t="shared" si="104"/>
        <v>#N/A</v>
      </c>
      <c r="BA258" t="e">
        <f t="shared" si="104"/>
        <v>#N/A</v>
      </c>
      <c r="BB258" t="e">
        <f t="shared" si="104"/>
        <v>#N/A</v>
      </c>
      <c r="BC258" t="e">
        <f t="shared" si="104"/>
        <v>#N/A</v>
      </c>
      <c r="BD258" t="e">
        <f t="shared" si="104"/>
        <v>#N/A</v>
      </c>
      <c r="BG258" t="e">
        <f t="shared" si="90"/>
        <v>#N/A</v>
      </c>
      <c r="BH258" t="e">
        <f t="shared" si="109"/>
        <v>#N/A</v>
      </c>
      <c r="BI258" t="e">
        <f t="shared" si="105"/>
        <v>#N/A</v>
      </c>
      <c r="BJ258" t="e">
        <f t="shared" si="105"/>
        <v>#N/A</v>
      </c>
      <c r="BK258" t="e">
        <f t="shared" si="105"/>
        <v>#N/A</v>
      </c>
      <c r="BL258" t="e">
        <f t="shared" si="105"/>
        <v>#N/A</v>
      </c>
      <c r="BM258" t="e">
        <f t="shared" si="105"/>
        <v>#N/A</v>
      </c>
      <c r="BP258" t="e">
        <f t="shared" si="91"/>
        <v>#N/A</v>
      </c>
      <c r="BQ258" t="e">
        <f t="shared" si="110"/>
        <v>#N/A</v>
      </c>
      <c r="BR258" t="e">
        <f t="shared" si="106"/>
        <v>#N/A</v>
      </c>
      <c r="BS258" t="e">
        <f t="shared" si="106"/>
        <v>#N/A</v>
      </c>
      <c r="BT258" t="e">
        <f t="shared" si="106"/>
        <v>#N/A</v>
      </c>
      <c r="BU258" t="e">
        <f t="shared" si="106"/>
        <v>#N/A</v>
      </c>
      <c r="BV258" t="e">
        <f t="shared" si="106"/>
        <v>#N/A</v>
      </c>
      <c r="BY258" t="e">
        <f t="shared" si="92"/>
        <v>#N/A</v>
      </c>
      <c r="BZ258" t="e">
        <v>#N/A</v>
      </c>
      <c r="CA258" t="e" cm="1">
        <f t="array" ref="CA258">IF(ISNUMBER(BZ258),AF258/COUNT(IF(ISNUMBER(_xlfn.ANCHORARRAY($BZ$11)),_xlfn.ANCHORARRAY($BZ$11))),NA())</f>
        <v>#N/A</v>
      </c>
      <c r="CB258" t="e">
        <f t="shared" si="93"/>
        <v>#N/A</v>
      </c>
      <c r="CD258" t="e">
        <f t="shared" si="94"/>
        <v>#N/A</v>
      </c>
      <c r="CE258" t="e">
        <f t="shared" si="95"/>
        <v>#N/A</v>
      </c>
      <c r="CG258" t="e">
        <v>#N/A</v>
      </c>
      <c r="CH258" t="e">
        <v>#N/A</v>
      </c>
      <c r="CL258" t="e">
        <f t="shared" si="96"/>
        <v>#N/A</v>
      </c>
      <c r="CM258" t="e">
        <v>#N/A</v>
      </c>
      <c r="CN258" t="e" cm="1">
        <f t="array" ref="CN258">IF(ISNUMBER(CM258),AF258/COUNT(IF(ISNUMBER(_xlfn.ANCHORARRAY($CM$11)),_xlfn.ANCHORARRAY($CM$11))),NA())</f>
        <v>#N/A</v>
      </c>
      <c r="CO258" t="e">
        <f t="shared" si="97"/>
        <v>#N/A</v>
      </c>
      <c r="CQ258" t="e">
        <f t="shared" si="98"/>
        <v>#N/A</v>
      </c>
      <c r="CR258" t="e">
        <f t="shared" si="99"/>
        <v>#N/A</v>
      </c>
      <c r="CT258" t="e">
        <v>#N/A</v>
      </c>
      <c r="CU258" t="e">
        <v>#N/A</v>
      </c>
      <c r="CY258" t="e">
        <f t="shared" si="100"/>
        <v>#N/A</v>
      </c>
      <c r="CZ258" t="e">
        <v>#N/A</v>
      </c>
      <c r="DA258" t="e" cm="1">
        <f t="array" ref="DA258">IF(ISNUMBER(CZ258),AF258/COUNT(IF(ISNUMBER(_xlfn.ANCHORARRAY($CZ$11)),_xlfn.ANCHORARRAY($CZ$11))),NA())</f>
        <v>#N/A</v>
      </c>
      <c r="DB258" t="e">
        <f t="shared" si="101"/>
        <v>#N/A</v>
      </c>
      <c r="DD258" t="e">
        <f t="shared" si="102"/>
        <v>#N/A</v>
      </c>
      <c r="DE258" t="e">
        <f t="shared" si="103"/>
        <v>#N/A</v>
      </c>
      <c r="DG258" t="e">
        <v>#N/A</v>
      </c>
      <c r="DH258" t="e">
        <v>#N/A</v>
      </c>
    </row>
    <row r="259" spans="32:112">
      <c r="AF259">
        <v>249</v>
      </c>
      <c r="AG259" s="401">
        <f>'Lab test'!N252</f>
        <v>431.79999999999995</v>
      </c>
      <c r="AH259" s="401">
        <f>'Lab test'!M252</f>
        <v>3.0355539999999994</v>
      </c>
      <c r="AI259">
        <f>IF('Lab test'!O252&gt;0,'Lab test'!O252,NA())</f>
        <v>6096</v>
      </c>
      <c r="AJ259">
        <f>'Lab test'!Q252</f>
        <v>142.24751066856331</v>
      </c>
      <c r="AK259" s="401">
        <f>IF('Lab test'!V252&gt;0,'Lab test'!V252,NA())</f>
        <v>205463.848</v>
      </c>
      <c r="AL259" s="7">
        <f>IF(MAX('Lab test'!W252,'Lab test'!X252)&gt;0,MAX('Lab test'!W252,'Lab test'!X252),NA())</f>
        <v>262.69035600000001</v>
      </c>
      <c r="AM259" s="401">
        <f>IF('Lab test'!P252&gt;0,'Lab test'!P252,NA())</f>
        <v>1.1836954625649649</v>
      </c>
      <c r="AN259" s="401">
        <f>IF('Lab test'!AU252&gt;0,'Lab test'!AU252,NA())</f>
        <v>0.61154855643044614</v>
      </c>
      <c r="AO259" s="401">
        <f>IF('Lab test'!AT252&gt;0,'Lab test'!AT252,NA())</f>
        <v>0.18376620870063035</v>
      </c>
      <c r="AP259">
        <f t="shared" si="107"/>
        <v>1</v>
      </c>
      <c r="AQ259" s="401">
        <f>'Lab test'!AZ252</f>
        <v>1933</v>
      </c>
      <c r="AR259" t="str">
        <f>'Lab test'!AC252</f>
        <v>CLTW</v>
      </c>
      <c r="AS259" t="str">
        <f>'Lab test'!T252</f>
        <v>Steel</v>
      </c>
      <c r="AX259" t="e">
        <f t="shared" si="89"/>
        <v>#N/A</v>
      </c>
      <c r="AY259" t="e">
        <f t="shared" si="108"/>
        <v>#N/A</v>
      </c>
      <c r="AZ259" t="e">
        <f t="shared" si="104"/>
        <v>#N/A</v>
      </c>
      <c r="BA259" t="e">
        <f t="shared" si="104"/>
        <v>#N/A</v>
      </c>
      <c r="BB259" t="e">
        <f t="shared" si="104"/>
        <v>#N/A</v>
      </c>
      <c r="BC259" t="e">
        <f t="shared" si="104"/>
        <v>#N/A</v>
      </c>
      <c r="BD259" t="e">
        <f t="shared" si="104"/>
        <v>#N/A</v>
      </c>
      <c r="BG259" t="e">
        <f t="shared" si="90"/>
        <v>#N/A</v>
      </c>
      <c r="BH259" t="e">
        <f t="shared" si="109"/>
        <v>#N/A</v>
      </c>
      <c r="BI259" t="e">
        <f t="shared" si="105"/>
        <v>#N/A</v>
      </c>
      <c r="BJ259" t="e">
        <f t="shared" si="105"/>
        <v>#N/A</v>
      </c>
      <c r="BK259" t="e">
        <f t="shared" si="105"/>
        <v>#N/A</v>
      </c>
      <c r="BL259" t="e">
        <f t="shared" si="105"/>
        <v>#N/A</v>
      </c>
      <c r="BM259" t="e">
        <f t="shared" si="105"/>
        <v>#N/A</v>
      </c>
      <c r="BP259" t="e">
        <f t="shared" si="91"/>
        <v>#N/A</v>
      </c>
      <c r="BQ259" t="e">
        <f t="shared" si="110"/>
        <v>#N/A</v>
      </c>
      <c r="BR259" t="e">
        <f t="shared" si="106"/>
        <v>#N/A</v>
      </c>
      <c r="BS259" t="e">
        <f t="shared" si="106"/>
        <v>#N/A</v>
      </c>
      <c r="BT259" t="e">
        <f t="shared" si="106"/>
        <v>#N/A</v>
      </c>
      <c r="BU259" t="e">
        <f t="shared" si="106"/>
        <v>#N/A</v>
      </c>
      <c r="BV259" t="e">
        <f t="shared" si="106"/>
        <v>#N/A</v>
      </c>
      <c r="BY259" t="e">
        <f t="shared" si="92"/>
        <v>#N/A</v>
      </c>
      <c r="BZ259" t="e">
        <v>#N/A</v>
      </c>
      <c r="CA259" t="e" cm="1">
        <f t="array" ref="CA259">IF(ISNUMBER(BZ259),AF259/COUNT(IF(ISNUMBER(_xlfn.ANCHORARRAY($BZ$11)),_xlfn.ANCHORARRAY($BZ$11))),NA())</f>
        <v>#N/A</v>
      </c>
      <c r="CB259" t="e">
        <f t="shared" si="93"/>
        <v>#N/A</v>
      </c>
      <c r="CD259" t="e">
        <f t="shared" si="94"/>
        <v>#N/A</v>
      </c>
      <c r="CE259" t="e">
        <f t="shared" si="95"/>
        <v>#N/A</v>
      </c>
      <c r="CG259" t="e">
        <v>#N/A</v>
      </c>
      <c r="CH259" t="e">
        <v>#N/A</v>
      </c>
      <c r="CL259" t="e">
        <f t="shared" si="96"/>
        <v>#N/A</v>
      </c>
      <c r="CM259" t="e">
        <v>#N/A</v>
      </c>
      <c r="CN259" t="e" cm="1">
        <f t="array" ref="CN259">IF(ISNUMBER(CM259),AF259/COUNT(IF(ISNUMBER(_xlfn.ANCHORARRAY($CM$11)),_xlfn.ANCHORARRAY($CM$11))),NA())</f>
        <v>#N/A</v>
      </c>
      <c r="CO259" t="e">
        <f t="shared" si="97"/>
        <v>#N/A</v>
      </c>
      <c r="CQ259" t="e">
        <f t="shared" si="98"/>
        <v>#N/A</v>
      </c>
      <c r="CR259" t="e">
        <f t="shared" si="99"/>
        <v>#N/A</v>
      </c>
      <c r="CT259" t="e">
        <v>#N/A</v>
      </c>
      <c r="CU259" t="e">
        <v>#N/A</v>
      </c>
      <c r="CY259" t="e">
        <f t="shared" si="100"/>
        <v>#N/A</v>
      </c>
      <c r="CZ259" t="e">
        <v>#N/A</v>
      </c>
      <c r="DA259" t="e" cm="1">
        <f t="array" ref="DA259">IF(ISNUMBER(CZ259),AF259/COUNT(IF(ISNUMBER(_xlfn.ANCHORARRAY($CZ$11)),_xlfn.ANCHORARRAY($CZ$11))),NA())</f>
        <v>#N/A</v>
      </c>
      <c r="DB259" t="e">
        <f t="shared" si="101"/>
        <v>#N/A</v>
      </c>
      <c r="DD259" t="e">
        <f t="shared" si="102"/>
        <v>#N/A</v>
      </c>
      <c r="DE259" t="e">
        <f t="shared" si="103"/>
        <v>#N/A</v>
      </c>
      <c r="DG259" t="e">
        <v>#N/A</v>
      </c>
      <c r="DH259" t="e">
        <v>#N/A</v>
      </c>
    </row>
    <row r="260" spans="32:112">
      <c r="AF260">
        <v>250</v>
      </c>
      <c r="AG260" s="401">
        <f>'Lab test'!N253</f>
        <v>127</v>
      </c>
      <c r="AH260" s="401">
        <f>'Lab test'!M253</f>
        <v>0.76454</v>
      </c>
      <c r="AI260">
        <f>IF('Lab test'!O253&gt;0,'Lab test'!O253,NA())</f>
        <v>762</v>
      </c>
      <c r="AJ260">
        <f>'Lab test'!Q253</f>
        <v>166.11295681063123</v>
      </c>
      <c r="AK260" s="401">
        <f>IF('Lab test'!V253&gt;0,'Lab test'!V253,NA())</f>
        <v>197879.61199999999</v>
      </c>
      <c r="AL260" s="7">
        <f>IF(MAX('Lab test'!W253,'Lab test'!X253)&gt;0,MAX('Lab test'!W253,'Lab test'!X253),NA())</f>
        <v>176.16111799999999</v>
      </c>
      <c r="AM260" s="401">
        <f>IF('Lab test'!P253&gt;0,'Lab test'!P253,NA())</f>
        <v>0.46553195379049978</v>
      </c>
      <c r="AN260" s="401">
        <f>IF('Lab test'!AU253&gt;0,'Lab test'!AU253,NA())</f>
        <v>0.40704500978473579</v>
      </c>
      <c r="AO260" s="401">
        <f>IF('Lab test'!AT253&gt;0,'Lab test'!AT253,NA())</f>
        <v>9.9457210619263534E-2</v>
      </c>
      <c r="AP260">
        <f t="shared" si="107"/>
        <v>1</v>
      </c>
      <c r="AQ260" s="401">
        <f>'Lab test'!AZ253</f>
        <v>1933</v>
      </c>
      <c r="AR260" t="str">
        <f>'Lab test'!AC253</f>
        <v>LTWa</v>
      </c>
      <c r="AS260" t="str">
        <f>'Lab test'!T253</f>
        <v>Steel</v>
      </c>
      <c r="AX260" t="e">
        <f t="shared" si="89"/>
        <v>#N/A</v>
      </c>
      <c r="AY260" t="e">
        <f t="shared" si="108"/>
        <v>#N/A</v>
      </c>
      <c r="AZ260" t="e">
        <f t="shared" si="104"/>
        <v>#N/A</v>
      </c>
      <c r="BA260" t="e">
        <f t="shared" si="104"/>
        <v>#N/A</v>
      </c>
      <c r="BB260" t="e">
        <f t="shared" si="104"/>
        <v>#N/A</v>
      </c>
      <c r="BC260" t="e">
        <f t="shared" si="104"/>
        <v>#N/A</v>
      </c>
      <c r="BD260" t="e">
        <f t="shared" si="104"/>
        <v>#N/A</v>
      </c>
      <c r="BG260" t="e">
        <f t="shared" si="90"/>
        <v>#N/A</v>
      </c>
      <c r="BH260" t="e">
        <f t="shared" si="109"/>
        <v>#N/A</v>
      </c>
      <c r="BI260" t="e">
        <f t="shared" si="105"/>
        <v>#N/A</v>
      </c>
      <c r="BJ260" t="e">
        <f t="shared" si="105"/>
        <v>#N/A</v>
      </c>
      <c r="BK260" t="e">
        <f t="shared" si="105"/>
        <v>#N/A</v>
      </c>
      <c r="BL260" t="e">
        <f t="shared" si="105"/>
        <v>#N/A</v>
      </c>
      <c r="BM260" t="e">
        <f t="shared" si="105"/>
        <v>#N/A</v>
      </c>
      <c r="BP260" t="e">
        <f t="shared" si="91"/>
        <v>#N/A</v>
      </c>
      <c r="BQ260" t="e">
        <f t="shared" si="110"/>
        <v>#N/A</v>
      </c>
      <c r="BR260" t="e">
        <f t="shared" si="106"/>
        <v>#N/A</v>
      </c>
      <c r="BS260" t="e">
        <f t="shared" si="106"/>
        <v>#N/A</v>
      </c>
      <c r="BT260" t="e">
        <f t="shared" si="106"/>
        <v>#N/A</v>
      </c>
      <c r="BU260" t="e">
        <f t="shared" si="106"/>
        <v>#N/A</v>
      </c>
      <c r="BV260" t="e">
        <f t="shared" si="106"/>
        <v>#N/A</v>
      </c>
      <c r="BY260" t="e">
        <f t="shared" si="92"/>
        <v>#N/A</v>
      </c>
      <c r="BZ260" t="e">
        <v>#N/A</v>
      </c>
      <c r="CA260" t="e" cm="1">
        <f t="array" ref="CA260">IF(ISNUMBER(BZ260),AF260/COUNT(IF(ISNUMBER(_xlfn.ANCHORARRAY($BZ$11)),_xlfn.ANCHORARRAY($BZ$11))),NA())</f>
        <v>#N/A</v>
      </c>
      <c r="CB260" t="e">
        <f t="shared" si="93"/>
        <v>#N/A</v>
      </c>
      <c r="CD260" t="e">
        <f t="shared" si="94"/>
        <v>#N/A</v>
      </c>
      <c r="CE260" t="e">
        <f t="shared" si="95"/>
        <v>#N/A</v>
      </c>
      <c r="CG260" t="e">
        <v>#N/A</v>
      </c>
      <c r="CH260" t="e">
        <v>#N/A</v>
      </c>
      <c r="CL260" t="e">
        <f t="shared" si="96"/>
        <v>#N/A</v>
      </c>
      <c r="CM260" t="e">
        <v>#N/A</v>
      </c>
      <c r="CN260" t="e" cm="1">
        <f t="array" ref="CN260">IF(ISNUMBER(CM260),AF260/COUNT(IF(ISNUMBER(_xlfn.ANCHORARRAY($CM$11)),_xlfn.ANCHORARRAY($CM$11))),NA())</f>
        <v>#N/A</v>
      </c>
      <c r="CO260" t="e">
        <f t="shared" si="97"/>
        <v>#N/A</v>
      </c>
      <c r="CQ260" t="e">
        <f t="shared" si="98"/>
        <v>#N/A</v>
      </c>
      <c r="CR260" t="e">
        <f t="shared" si="99"/>
        <v>#N/A</v>
      </c>
      <c r="CT260" t="e">
        <v>#N/A</v>
      </c>
      <c r="CU260" t="e">
        <v>#N/A</v>
      </c>
      <c r="CY260" t="e">
        <f t="shared" si="100"/>
        <v>#N/A</v>
      </c>
      <c r="CZ260" t="e">
        <v>#N/A</v>
      </c>
      <c r="DA260" t="e" cm="1">
        <f t="array" ref="DA260">IF(ISNUMBER(CZ260),AF260/COUNT(IF(ISNUMBER(_xlfn.ANCHORARRAY($CZ$11)),_xlfn.ANCHORARRAY($CZ$11))),NA())</f>
        <v>#N/A</v>
      </c>
      <c r="DB260" t="e">
        <f t="shared" si="101"/>
        <v>#N/A</v>
      </c>
      <c r="DD260" t="e">
        <f t="shared" si="102"/>
        <v>#N/A</v>
      </c>
      <c r="DE260" t="e">
        <f t="shared" si="103"/>
        <v>#N/A</v>
      </c>
      <c r="DG260" t="e">
        <v>#N/A</v>
      </c>
      <c r="DH260" t="e">
        <v>#N/A</v>
      </c>
    </row>
    <row r="261" spans="32:112">
      <c r="AF261">
        <v>251</v>
      </c>
      <c r="AG261" s="401">
        <f>'Lab test'!N254</f>
        <v>127</v>
      </c>
      <c r="AH261" s="401">
        <f>'Lab test'!M254</f>
        <v>0.75565000000000004</v>
      </c>
      <c r="AI261">
        <f>IF('Lab test'!O254&gt;0,'Lab test'!O254,NA())</f>
        <v>762</v>
      </c>
      <c r="AJ261">
        <f>'Lab test'!Q254</f>
        <v>168.0672268907563</v>
      </c>
      <c r="AK261" s="401">
        <f>IF('Lab test'!V254&gt;0,'Lab test'!V254,NA())</f>
        <v>207532.27599999998</v>
      </c>
      <c r="AL261" s="7">
        <f>IF(MAX('Lab test'!W254,'Lab test'!X254)&gt;0,MAX('Lab test'!W254,'Lab test'!X254),NA())</f>
        <v>186.50325799999999</v>
      </c>
      <c r="AM261" s="401">
        <f>IF('Lab test'!P254&gt;0,'Lab test'!P254,NA())</f>
        <v>0.46281745861624546</v>
      </c>
      <c r="AN261" s="401">
        <f>IF('Lab test'!AU254&gt;0,'Lab test'!AU254,NA())</f>
        <v>0.5471349353049908</v>
      </c>
      <c r="AO261" s="401">
        <f>IF('Lab test'!AT254&gt;0,'Lab test'!AT254,NA())</f>
        <v>0.13653989910355002</v>
      </c>
      <c r="AP261">
        <f t="shared" si="107"/>
        <v>1</v>
      </c>
      <c r="AQ261" s="401">
        <f>'Lab test'!AZ254</f>
        <v>1933</v>
      </c>
      <c r="AR261" t="str">
        <f>'Lab test'!AC254</f>
        <v>LTWa</v>
      </c>
      <c r="AS261" t="str">
        <f>'Lab test'!T254</f>
        <v>Steel</v>
      </c>
      <c r="AX261" t="e">
        <f t="shared" si="89"/>
        <v>#N/A</v>
      </c>
      <c r="AY261" t="e">
        <f t="shared" si="108"/>
        <v>#N/A</v>
      </c>
      <c r="AZ261" t="e">
        <f t="shared" si="104"/>
        <v>#N/A</v>
      </c>
      <c r="BA261" t="e">
        <f t="shared" si="104"/>
        <v>#N/A</v>
      </c>
      <c r="BB261" t="e">
        <f t="shared" si="104"/>
        <v>#N/A</v>
      </c>
      <c r="BC261" t="e">
        <f t="shared" si="104"/>
        <v>#N/A</v>
      </c>
      <c r="BD261" t="e">
        <f t="shared" si="104"/>
        <v>#N/A</v>
      </c>
      <c r="BG261" t="e">
        <f t="shared" si="90"/>
        <v>#N/A</v>
      </c>
      <c r="BH261" t="e">
        <f t="shared" si="109"/>
        <v>#N/A</v>
      </c>
      <c r="BI261" t="e">
        <f t="shared" si="105"/>
        <v>#N/A</v>
      </c>
      <c r="BJ261" t="e">
        <f t="shared" si="105"/>
        <v>#N/A</v>
      </c>
      <c r="BK261" t="e">
        <f t="shared" si="105"/>
        <v>#N/A</v>
      </c>
      <c r="BL261" t="e">
        <f t="shared" si="105"/>
        <v>#N/A</v>
      </c>
      <c r="BM261" t="e">
        <f t="shared" si="105"/>
        <v>#N/A</v>
      </c>
      <c r="BP261" t="e">
        <f t="shared" si="91"/>
        <v>#N/A</v>
      </c>
      <c r="BQ261" t="e">
        <f t="shared" si="110"/>
        <v>#N/A</v>
      </c>
      <c r="BR261" t="e">
        <f t="shared" si="106"/>
        <v>#N/A</v>
      </c>
      <c r="BS261" t="e">
        <f t="shared" si="106"/>
        <v>#N/A</v>
      </c>
      <c r="BT261" t="e">
        <f t="shared" si="106"/>
        <v>#N/A</v>
      </c>
      <c r="BU261" t="e">
        <f t="shared" si="106"/>
        <v>#N/A</v>
      </c>
      <c r="BV261" t="e">
        <f t="shared" si="106"/>
        <v>#N/A</v>
      </c>
      <c r="BY261" t="e">
        <f t="shared" si="92"/>
        <v>#N/A</v>
      </c>
      <c r="BZ261" t="e">
        <v>#N/A</v>
      </c>
      <c r="CA261" t="e" cm="1">
        <f t="array" ref="CA261">IF(ISNUMBER(BZ261),AF261/COUNT(IF(ISNUMBER(_xlfn.ANCHORARRAY($BZ$11)),_xlfn.ANCHORARRAY($BZ$11))),NA())</f>
        <v>#N/A</v>
      </c>
      <c r="CB261" t="e">
        <f t="shared" si="93"/>
        <v>#N/A</v>
      </c>
      <c r="CD261" t="e">
        <f t="shared" si="94"/>
        <v>#N/A</v>
      </c>
      <c r="CE261" t="e">
        <f t="shared" si="95"/>
        <v>#N/A</v>
      </c>
      <c r="CG261" t="e">
        <v>#N/A</v>
      </c>
      <c r="CH261" t="e">
        <v>#N/A</v>
      </c>
      <c r="CL261" t="e">
        <f t="shared" si="96"/>
        <v>#N/A</v>
      </c>
      <c r="CM261" t="e">
        <v>#N/A</v>
      </c>
      <c r="CN261" t="e" cm="1">
        <f t="array" ref="CN261">IF(ISNUMBER(CM261),AF261/COUNT(IF(ISNUMBER(_xlfn.ANCHORARRAY($CM$11)),_xlfn.ANCHORARRAY($CM$11))),NA())</f>
        <v>#N/A</v>
      </c>
      <c r="CO261" t="e">
        <f t="shared" si="97"/>
        <v>#N/A</v>
      </c>
      <c r="CQ261" t="e">
        <f t="shared" si="98"/>
        <v>#N/A</v>
      </c>
      <c r="CR261" t="e">
        <f t="shared" si="99"/>
        <v>#N/A</v>
      </c>
      <c r="CT261" t="e">
        <v>#N/A</v>
      </c>
      <c r="CU261" t="e">
        <v>#N/A</v>
      </c>
      <c r="CY261" t="e">
        <f t="shared" si="100"/>
        <v>#N/A</v>
      </c>
      <c r="CZ261" t="e">
        <v>#N/A</v>
      </c>
      <c r="DA261" t="e" cm="1">
        <f t="array" ref="DA261">IF(ISNUMBER(CZ261),AF261/COUNT(IF(ISNUMBER(_xlfn.ANCHORARRAY($CZ$11)),_xlfn.ANCHORARRAY($CZ$11))),NA())</f>
        <v>#N/A</v>
      </c>
      <c r="DB261" t="e">
        <f t="shared" si="101"/>
        <v>#N/A</v>
      </c>
      <c r="DD261" t="e">
        <f t="shared" si="102"/>
        <v>#N/A</v>
      </c>
      <c r="DE261" t="e">
        <f t="shared" si="103"/>
        <v>#N/A</v>
      </c>
      <c r="DG261" t="e">
        <v>#N/A</v>
      </c>
      <c r="DH261" t="e">
        <v>#N/A</v>
      </c>
    </row>
    <row r="262" spans="32:112">
      <c r="AF262">
        <v>252</v>
      </c>
      <c r="AG262" s="401">
        <f>'Lab test'!N255</f>
        <v>254</v>
      </c>
      <c r="AH262" s="401">
        <f>'Lab test'!M255</f>
        <v>0.77216000000000007</v>
      </c>
      <c r="AI262">
        <f>IF('Lab test'!O255&gt;0,'Lab test'!O255,NA())</f>
        <v>762</v>
      </c>
      <c r="AJ262">
        <f>'Lab test'!Q255</f>
        <v>328.9473684210526</v>
      </c>
      <c r="AK262" s="401">
        <f>IF('Lab test'!V255&gt;0,'Lab test'!V255,NA())</f>
        <v>207532.27599999998</v>
      </c>
      <c r="AL262" s="7">
        <f>IF(MAX('Lab test'!W255,'Lab test'!X255)&gt;0,MAX('Lab test'!W255,'Lab test'!X255),NA())</f>
        <v>186.50325799999999</v>
      </c>
      <c r="AM262" s="401">
        <f>IF('Lab test'!P255&gt;0,'Lab test'!P255,NA())</f>
        <v>0.16540858502508266</v>
      </c>
      <c r="AN262" s="401">
        <f>IF('Lab test'!AU255&gt;0,'Lab test'!AU255,NA())</f>
        <v>0.33493530499075785</v>
      </c>
      <c r="AO262" s="401">
        <f>IF('Lab test'!AT255&gt;0,'Lab test'!AT255,NA())</f>
        <v>0.16359477998255403</v>
      </c>
      <c r="AP262">
        <f t="shared" si="107"/>
        <v>1</v>
      </c>
      <c r="AQ262" s="401">
        <f>'Lab test'!AZ255</f>
        <v>1933</v>
      </c>
      <c r="AR262" t="str">
        <f>'Lab test'!AC255</f>
        <v>LTWa</v>
      </c>
      <c r="AS262" t="str">
        <f>'Lab test'!T255</f>
        <v>Steel</v>
      </c>
      <c r="AX262" t="e">
        <f t="shared" si="89"/>
        <v>#N/A</v>
      </c>
      <c r="AY262" t="e">
        <f t="shared" si="108"/>
        <v>#N/A</v>
      </c>
      <c r="AZ262" t="e">
        <f t="shared" si="104"/>
        <v>#N/A</v>
      </c>
      <c r="BA262" t="e">
        <f t="shared" si="104"/>
        <v>#N/A</v>
      </c>
      <c r="BB262" t="e">
        <f t="shared" ref="AZ262:BD313" si="111">IF(ISNUMBER($AJ262),IF(ISNUMBER($AP262),IF($AJ262&gt;BB$9,IF($AJ262&lt;=BB$10,IF($AR262=$AW$2,IF($AS262=$AW$6,$AK262,NA()),NA()),NA()),NA()),NA()),NA())</f>
        <v>#N/A</v>
      </c>
      <c r="BC262" t="e">
        <f t="shared" si="111"/>
        <v>#N/A</v>
      </c>
      <c r="BD262" t="e">
        <f t="shared" si="111"/>
        <v>#N/A</v>
      </c>
      <c r="BG262" t="e">
        <f t="shared" si="90"/>
        <v>#N/A</v>
      </c>
      <c r="BH262" t="e">
        <f t="shared" si="109"/>
        <v>#N/A</v>
      </c>
      <c r="BI262" t="e">
        <f t="shared" si="105"/>
        <v>#N/A</v>
      </c>
      <c r="BJ262" t="e">
        <f t="shared" si="105"/>
        <v>#N/A</v>
      </c>
      <c r="BK262" t="e">
        <f t="shared" ref="BI262:BM313" si="112">IF(ISNUMBER($AJ262),IF(ISNUMBER($AP262),IF($AJ262&gt;BK$9,IF($AJ262&lt;=BK$10,IF($AR262=$AW$2,IF($AS262=$BF$6,$AK262,NA()),NA()),NA()),NA()),NA()),NA())</f>
        <v>#N/A</v>
      </c>
      <c r="BL262" t="e">
        <f t="shared" si="112"/>
        <v>#N/A</v>
      </c>
      <c r="BM262" t="e">
        <f t="shared" si="112"/>
        <v>#N/A</v>
      </c>
      <c r="BP262" t="e">
        <f t="shared" si="91"/>
        <v>#N/A</v>
      </c>
      <c r="BQ262" t="e">
        <f t="shared" si="110"/>
        <v>#N/A</v>
      </c>
      <c r="BR262" t="e">
        <f t="shared" si="106"/>
        <v>#N/A</v>
      </c>
      <c r="BS262" t="e">
        <f t="shared" si="106"/>
        <v>#N/A</v>
      </c>
      <c r="BT262" t="e">
        <f t="shared" ref="BR262:BV313" si="113">IF(ISNUMBER($AJ262),IF(ISNUMBER($AP262),IF($AJ262&gt;BT$9,IF($AJ262&lt;=BT$10,IF($AR262=$AW$2,IF($AS262=$BO$6,$AK262,NA()),NA()),NA()),NA()),NA()),NA())</f>
        <v>#N/A</v>
      </c>
      <c r="BU262" t="e">
        <f t="shared" si="113"/>
        <v>#N/A</v>
      </c>
      <c r="BV262" t="e">
        <f t="shared" si="113"/>
        <v>#N/A</v>
      </c>
      <c r="BY262" t="e">
        <f t="shared" si="92"/>
        <v>#N/A</v>
      </c>
      <c r="BZ262" t="e">
        <v>#N/A</v>
      </c>
      <c r="CA262" t="e" cm="1">
        <f t="array" ref="CA262">IF(ISNUMBER(BZ262),AF262/COUNT(IF(ISNUMBER(_xlfn.ANCHORARRAY($BZ$11)),_xlfn.ANCHORARRAY($BZ$11))),NA())</f>
        <v>#N/A</v>
      </c>
      <c r="CB262" t="e">
        <f t="shared" si="93"/>
        <v>#N/A</v>
      </c>
      <c r="CD262" t="e">
        <f t="shared" si="94"/>
        <v>#N/A</v>
      </c>
      <c r="CE262" t="e">
        <f t="shared" si="95"/>
        <v>#N/A</v>
      </c>
      <c r="CG262" t="e">
        <v>#N/A</v>
      </c>
      <c r="CH262" t="e">
        <v>#N/A</v>
      </c>
      <c r="CL262" t="e">
        <f t="shared" si="96"/>
        <v>#N/A</v>
      </c>
      <c r="CM262" t="e">
        <v>#N/A</v>
      </c>
      <c r="CN262" t="e" cm="1">
        <f t="array" ref="CN262">IF(ISNUMBER(CM262),AF262/COUNT(IF(ISNUMBER(_xlfn.ANCHORARRAY($CM$11)),_xlfn.ANCHORARRAY($CM$11))),NA())</f>
        <v>#N/A</v>
      </c>
      <c r="CO262" t="e">
        <f t="shared" si="97"/>
        <v>#N/A</v>
      </c>
      <c r="CQ262" t="e">
        <f t="shared" si="98"/>
        <v>#N/A</v>
      </c>
      <c r="CR262" t="e">
        <f t="shared" si="99"/>
        <v>#N/A</v>
      </c>
      <c r="CT262" t="e">
        <v>#N/A</v>
      </c>
      <c r="CU262" t="e">
        <v>#N/A</v>
      </c>
      <c r="CY262" t="e">
        <f t="shared" si="100"/>
        <v>#N/A</v>
      </c>
      <c r="CZ262" t="e">
        <v>#N/A</v>
      </c>
      <c r="DA262" t="e" cm="1">
        <f t="array" ref="DA262">IF(ISNUMBER(CZ262),AF262/COUNT(IF(ISNUMBER(_xlfn.ANCHORARRAY($CZ$11)),_xlfn.ANCHORARRAY($CZ$11))),NA())</f>
        <v>#N/A</v>
      </c>
      <c r="DB262" t="e">
        <f t="shared" si="101"/>
        <v>#N/A</v>
      </c>
      <c r="DD262" t="e">
        <f t="shared" si="102"/>
        <v>#N/A</v>
      </c>
      <c r="DE262" t="e">
        <f t="shared" si="103"/>
        <v>#N/A</v>
      </c>
      <c r="DG262" t="e">
        <v>#N/A</v>
      </c>
      <c r="DH262" t="e">
        <v>#N/A</v>
      </c>
    </row>
    <row r="263" spans="32:112">
      <c r="AF263">
        <v>253</v>
      </c>
      <c r="AG263" s="401">
        <f>'Lab test'!N256</f>
        <v>381</v>
      </c>
      <c r="AH263" s="401">
        <f>'Lab test'!M256</f>
        <v>0.73532999999999993</v>
      </c>
      <c r="AI263">
        <f>IF('Lab test'!O256&gt;0,'Lab test'!O256,NA())</f>
        <v>762</v>
      </c>
      <c r="AJ263">
        <f>'Lab test'!Q256</f>
        <v>518.13471502590676</v>
      </c>
      <c r="AK263" s="401">
        <f>IF('Lab test'!V256&gt;0,'Lab test'!V256,NA())</f>
        <v>206842.8</v>
      </c>
      <c r="AL263" s="7">
        <f>IF(MAX('Lab test'!W256,'Lab test'!X256)&gt;0,MAX('Lab test'!W256,'Lab test'!X256),NA())</f>
        <v>204.42963399999999</v>
      </c>
      <c r="AM263" s="401">
        <f>IF('Lab test'!P256&gt;0,'Lab test'!P256,NA())</f>
        <v>8.7863530545955179E-2</v>
      </c>
      <c r="AN263" s="401">
        <f>IF('Lab test'!AU256&gt;0,'Lab test'!AU256,NA())</f>
        <v>0.30219224283305229</v>
      </c>
      <c r="AO263" s="401">
        <f>IF('Lab test'!AT256&gt;0,'Lab test'!AT256,NA())</f>
        <v>0.25568824924188327</v>
      </c>
      <c r="AP263">
        <f t="shared" si="107"/>
        <v>1</v>
      </c>
      <c r="AQ263" s="401">
        <f>'Lab test'!AZ256</f>
        <v>1933</v>
      </c>
      <c r="AR263" t="str">
        <f>'Lab test'!AC256</f>
        <v>LTWa</v>
      </c>
      <c r="AS263" t="str">
        <f>'Lab test'!T256</f>
        <v>Steel</v>
      </c>
      <c r="AX263" t="e">
        <f t="shared" si="89"/>
        <v>#N/A</v>
      </c>
      <c r="AY263" t="e">
        <f t="shared" si="108"/>
        <v>#N/A</v>
      </c>
      <c r="AZ263" t="e">
        <f t="shared" si="111"/>
        <v>#N/A</v>
      </c>
      <c r="BA263" t="e">
        <f t="shared" si="111"/>
        <v>#N/A</v>
      </c>
      <c r="BB263" t="e">
        <f t="shared" si="111"/>
        <v>#N/A</v>
      </c>
      <c r="BC263" t="e">
        <f t="shared" si="111"/>
        <v>#N/A</v>
      </c>
      <c r="BD263" t="e">
        <f t="shared" si="111"/>
        <v>#N/A</v>
      </c>
      <c r="BG263" t="e">
        <f t="shared" si="90"/>
        <v>#N/A</v>
      </c>
      <c r="BH263" t="e">
        <f t="shared" si="109"/>
        <v>#N/A</v>
      </c>
      <c r="BI263" t="e">
        <f t="shared" si="112"/>
        <v>#N/A</v>
      </c>
      <c r="BJ263" t="e">
        <f t="shared" si="112"/>
        <v>#N/A</v>
      </c>
      <c r="BK263" t="e">
        <f t="shared" si="112"/>
        <v>#N/A</v>
      </c>
      <c r="BL263" t="e">
        <f t="shared" si="112"/>
        <v>#N/A</v>
      </c>
      <c r="BM263" t="e">
        <f t="shared" si="112"/>
        <v>#N/A</v>
      </c>
      <c r="BP263" t="e">
        <f t="shared" si="91"/>
        <v>#N/A</v>
      </c>
      <c r="BQ263" t="e">
        <f t="shared" si="110"/>
        <v>#N/A</v>
      </c>
      <c r="BR263" t="e">
        <f t="shared" si="113"/>
        <v>#N/A</v>
      </c>
      <c r="BS263" t="e">
        <f t="shared" si="113"/>
        <v>#N/A</v>
      </c>
      <c r="BT263" t="e">
        <f t="shared" si="113"/>
        <v>#N/A</v>
      </c>
      <c r="BU263" t="e">
        <f t="shared" si="113"/>
        <v>#N/A</v>
      </c>
      <c r="BV263" t="e">
        <f t="shared" si="113"/>
        <v>#N/A</v>
      </c>
      <c r="BY263" t="e">
        <f t="shared" si="92"/>
        <v>#N/A</v>
      </c>
      <c r="BZ263" t="e">
        <v>#N/A</v>
      </c>
      <c r="CA263" t="e" cm="1">
        <f t="array" ref="CA263">IF(ISNUMBER(BZ263),AF263/COUNT(IF(ISNUMBER(_xlfn.ANCHORARRAY($BZ$11)),_xlfn.ANCHORARRAY($BZ$11))),NA())</f>
        <v>#N/A</v>
      </c>
      <c r="CB263" t="e">
        <f t="shared" si="93"/>
        <v>#N/A</v>
      </c>
      <c r="CD263" t="e">
        <f t="shared" si="94"/>
        <v>#N/A</v>
      </c>
      <c r="CE263" t="e">
        <f t="shared" si="95"/>
        <v>#N/A</v>
      </c>
      <c r="CG263" t="e">
        <v>#N/A</v>
      </c>
      <c r="CH263" t="e">
        <v>#N/A</v>
      </c>
      <c r="CL263" t="e">
        <f t="shared" si="96"/>
        <v>#N/A</v>
      </c>
      <c r="CM263" t="e">
        <v>#N/A</v>
      </c>
      <c r="CN263" t="e" cm="1">
        <f t="array" ref="CN263">IF(ISNUMBER(CM263),AF263/COUNT(IF(ISNUMBER(_xlfn.ANCHORARRAY($CM$11)),_xlfn.ANCHORARRAY($CM$11))),NA())</f>
        <v>#N/A</v>
      </c>
      <c r="CO263" t="e">
        <f t="shared" si="97"/>
        <v>#N/A</v>
      </c>
      <c r="CQ263" t="e">
        <f t="shared" si="98"/>
        <v>#N/A</v>
      </c>
      <c r="CR263" t="e">
        <f t="shared" si="99"/>
        <v>#N/A</v>
      </c>
      <c r="CT263" t="e">
        <v>#N/A</v>
      </c>
      <c r="CU263" t="e">
        <v>#N/A</v>
      </c>
      <c r="CY263" t="e">
        <f t="shared" si="100"/>
        <v>#N/A</v>
      </c>
      <c r="CZ263" t="e">
        <v>#N/A</v>
      </c>
      <c r="DA263" t="e" cm="1">
        <f t="array" ref="DA263">IF(ISNUMBER(CZ263),AF263/COUNT(IF(ISNUMBER(_xlfn.ANCHORARRAY($CZ$11)),_xlfn.ANCHORARRAY($CZ$11))),NA())</f>
        <v>#N/A</v>
      </c>
      <c r="DB263" t="e">
        <f t="shared" si="101"/>
        <v>#N/A</v>
      </c>
      <c r="DD263" t="e">
        <f t="shared" si="102"/>
        <v>#N/A</v>
      </c>
      <c r="DE263" t="e">
        <f t="shared" si="103"/>
        <v>#N/A</v>
      </c>
      <c r="DG263" t="e">
        <v>#N/A</v>
      </c>
      <c r="DH263" t="e">
        <v>#N/A</v>
      </c>
    </row>
    <row r="264" spans="32:112">
      <c r="AF264">
        <v>254</v>
      </c>
      <c r="AG264" s="401">
        <f>'Lab test'!N257</f>
        <v>381</v>
      </c>
      <c r="AH264" s="401">
        <f>'Lab test'!M257</f>
        <v>0.84582000000000002</v>
      </c>
      <c r="AI264">
        <f>IF('Lab test'!O257&gt;0,'Lab test'!O257,NA())</f>
        <v>762</v>
      </c>
      <c r="AJ264">
        <f>'Lab test'!Q257</f>
        <v>450.45045045045043</v>
      </c>
      <c r="AK264" s="401">
        <f>IF('Lab test'!V257&gt;0,'Lab test'!V257,NA())</f>
        <v>206842.8</v>
      </c>
      <c r="AL264" s="7">
        <f>IF(MAX('Lab test'!W257,'Lab test'!X257)&gt;0,MAX('Lab test'!W257,'Lab test'!X257),NA())</f>
        <v>223.04548599999998</v>
      </c>
      <c r="AM264" s="401">
        <f>IF('Lab test'!P257&gt;0,'Lab test'!P257,NA())</f>
        <v>9.4233751915117972E-2</v>
      </c>
      <c r="AN264" s="401">
        <f>IF('Lab test'!AU257&gt;0,'Lab test'!AU257,NA())</f>
        <v>0.31406491499227207</v>
      </c>
      <c r="AO264" s="401">
        <f>IF('Lab test'!AT257&gt;0,'Lab test'!AT257,NA())</f>
        <v>0.25205818360552606</v>
      </c>
      <c r="AP264">
        <f t="shared" si="107"/>
        <v>1</v>
      </c>
      <c r="AQ264" s="401">
        <f>'Lab test'!AZ257</f>
        <v>1933</v>
      </c>
      <c r="AR264" t="str">
        <f>'Lab test'!AC257</f>
        <v>LTWa</v>
      </c>
      <c r="AS264" t="str">
        <f>'Lab test'!T257</f>
        <v>Steel</v>
      </c>
      <c r="AX264" t="e">
        <f t="shared" si="89"/>
        <v>#N/A</v>
      </c>
      <c r="AY264" t="e">
        <f t="shared" si="108"/>
        <v>#N/A</v>
      </c>
      <c r="AZ264" t="e">
        <f t="shared" si="111"/>
        <v>#N/A</v>
      </c>
      <c r="BA264" t="e">
        <f t="shared" si="111"/>
        <v>#N/A</v>
      </c>
      <c r="BB264" t="e">
        <f t="shared" si="111"/>
        <v>#N/A</v>
      </c>
      <c r="BC264" t="e">
        <f t="shared" si="111"/>
        <v>#N/A</v>
      </c>
      <c r="BD264" t="e">
        <f t="shared" si="111"/>
        <v>#N/A</v>
      </c>
      <c r="BG264" t="e">
        <f t="shared" si="90"/>
        <v>#N/A</v>
      </c>
      <c r="BH264" t="e">
        <f t="shared" si="109"/>
        <v>#N/A</v>
      </c>
      <c r="BI264" t="e">
        <f t="shared" si="112"/>
        <v>#N/A</v>
      </c>
      <c r="BJ264" t="e">
        <f t="shared" si="112"/>
        <v>#N/A</v>
      </c>
      <c r="BK264" t="e">
        <f t="shared" si="112"/>
        <v>#N/A</v>
      </c>
      <c r="BL264" t="e">
        <f t="shared" si="112"/>
        <v>#N/A</v>
      </c>
      <c r="BM264" t="e">
        <f t="shared" si="112"/>
        <v>#N/A</v>
      </c>
      <c r="BP264" t="e">
        <f t="shared" si="91"/>
        <v>#N/A</v>
      </c>
      <c r="BQ264" t="e">
        <f t="shared" si="110"/>
        <v>#N/A</v>
      </c>
      <c r="BR264" t="e">
        <f t="shared" si="113"/>
        <v>#N/A</v>
      </c>
      <c r="BS264" t="e">
        <f t="shared" si="113"/>
        <v>#N/A</v>
      </c>
      <c r="BT264" t="e">
        <f t="shared" si="113"/>
        <v>#N/A</v>
      </c>
      <c r="BU264" t="e">
        <f t="shared" si="113"/>
        <v>#N/A</v>
      </c>
      <c r="BV264" t="e">
        <f t="shared" si="113"/>
        <v>#N/A</v>
      </c>
      <c r="BY264" t="e">
        <f t="shared" si="92"/>
        <v>#N/A</v>
      </c>
      <c r="BZ264" t="e">
        <v>#N/A</v>
      </c>
      <c r="CA264" t="e" cm="1">
        <f t="array" ref="CA264">IF(ISNUMBER(BZ264),AF264/COUNT(IF(ISNUMBER(_xlfn.ANCHORARRAY($BZ$11)),_xlfn.ANCHORARRAY($BZ$11))),NA())</f>
        <v>#N/A</v>
      </c>
      <c r="CB264" t="e">
        <f t="shared" si="93"/>
        <v>#N/A</v>
      </c>
      <c r="CD264" t="e">
        <f t="shared" si="94"/>
        <v>#N/A</v>
      </c>
      <c r="CE264" t="e">
        <f t="shared" si="95"/>
        <v>#N/A</v>
      </c>
      <c r="CG264" t="e">
        <v>#N/A</v>
      </c>
      <c r="CH264" t="e">
        <v>#N/A</v>
      </c>
      <c r="CL264" t="e">
        <f t="shared" si="96"/>
        <v>#N/A</v>
      </c>
      <c r="CM264" t="e">
        <v>#N/A</v>
      </c>
      <c r="CN264" t="e" cm="1">
        <f t="array" ref="CN264">IF(ISNUMBER(CM264),AF264/COUNT(IF(ISNUMBER(_xlfn.ANCHORARRAY($CM$11)),_xlfn.ANCHORARRAY($CM$11))),NA())</f>
        <v>#N/A</v>
      </c>
      <c r="CO264" t="e">
        <f t="shared" si="97"/>
        <v>#N/A</v>
      </c>
      <c r="CQ264" t="e">
        <f t="shared" si="98"/>
        <v>#N/A</v>
      </c>
      <c r="CR264" t="e">
        <f t="shared" si="99"/>
        <v>#N/A</v>
      </c>
      <c r="CT264" t="e">
        <v>#N/A</v>
      </c>
      <c r="CU264" t="e">
        <v>#N/A</v>
      </c>
      <c r="CY264" t="e">
        <f t="shared" si="100"/>
        <v>#N/A</v>
      </c>
      <c r="CZ264" t="e">
        <v>#N/A</v>
      </c>
      <c r="DA264" t="e" cm="1">
        <f t="array" ref="DA264">IF(ISNUMBER(CZ264),AF264/COUNT(IF(ISNUMBER(_xlfn.ANCHORARRAY($CZ$11)),_xlfn.ANCHORARRAY($CZ$11))),NA())</f>
        <v>#N/A</v>
      </c>
      <c r="DB264" t="e">
        <f t="shared" si="101"/>
        <v>#N/A</v>
      </c>
      <c r="DD264" t="e">
        <f t="shared" si="102"/>
        <v>#N/A</v>
      </c>
      <c r="DE264" t="e">
        <f t="shared" si="103"/>
        <v>#N/A</v>
      </c>
      <c r="DG264" t="e">
        <v>#N/A</v>
      </c>
      <c r="DH264" t="e">
        <v>#N/A</v>
      </c>
    </row>
    <row r="265" spans="32:112">
      <c r="AF265">
        <v>255</v>
      </c>
      <c r="AG265" s="401">
        <f>'Lab test'!N258</f>
        <v>431.79999999999995</v>
      </c>
      <c r="AH265" s="401">
        <f>'Lab test'!M258</f>
        <v>2.8757879999999996</v>
      </c>
      <c r="AI265">
        <f>IF('Lab test'!O258&gt;0,'Lab test'!O258,NA())</f>
        <v>1828.8000000000002</v>
      </c>
      <c r="AJ265">
        <f>'Lab test'!Q258</f>
        <v>150.15015015015015</v>
      </c>
      <c r="AK265" s="401">
        <f>IF('Lab test'!V258&gt;0,'Lab test'!V258,NA())</f>
        <v>207532.27599999998</v>
      </c>
      <c r="AL265" s="7">
        <f>IF(MAX('Lab test'!W258,'Lab test'!X258)&gt;0,MAX('Lab test'!W258,'Lab test'!X258),NA())</f>
        <v>275.44566199999997</v>
      </c>
      <c r="AM265" s="401">
        <f>IF('Lab test'!P258&gt;0,'Lab test'!P258,NA())</f>
        <v>0.3456373682219831</v>
      </c>
      <c r="AN265" s="401">
        <f>IF('Lab test'!AU258&gt;0,'Lab test'!AU258,NA())</f>
        <v>0.67334167709637049</v>
      </c>
      <c r="AO265" s="401">
        <f>IF('Lab test'!AT258&gt;0,'Lab test'!AT258,NA())</f>
        <v>0.22171387824667943</v>
      </c>
      <c r="AP265">
        <f t="shared" si="107"/>
        <v>1</v>
      </c>
      <c r="AQ265" s="401">
        <f>'Lab test'!AZ258</f>
        <v>1933</v>
      </c>
      <c r="AR265" t="str">
        <f>'Lab test'!AC258</f>
        <v>LTWa</v>
      </c>
      <c r="AS265" t="str">
        <f>'Lab test'!T258</f>
        <v>Steel</v>
      </c>
      <c r="AX265" t="e">
        <f t="shared" si="89"/>
        <v>#N/A</v>
      </c>
      <c r="AY265" t="e">
        <f t="shared" si="108"/>
        <v>#N/A</v>
      </c>
      <c r="AZ265" t="e">
        <f t="shared" si="111"/>
        <v>#N/A</v>
      </c>
      <c r="BA265" t="e">
        <f t="shared" si="111"/>
        <v>#N/A</v>
      </c>
      <c r="BB265" t="e">
        <f t="shared" si="111"/>
        <v>#N/A</v>
      </c>
      <c r="BC265" t="e">
        <f t="shared" si="111"/>
        <v>#N/A</v>
      </c>
      <c r="BD265" t="e">
        <f t="shared" si="111"/>
        <v>#N/A</v>
      </c>
      <c r="BG265" t="e">
        <f t="shared" si="90"/>
        <v>#N/A</v>
      </c>
      <c r="BH265" t="e">
        <f t="shared" si="109"/>
        <v>#N/A</v>
      </c>
      <c r="BI265" t="e">
        <f t="shared" si="112"/>
        <v>#N/A</v>
      </c>
      <c r="BJ265" t="e">
        <f t="shared" si="112"/>
        <v>#N/A</v>
      </c>
      <c r="BK265" t="e">
        <f t="shared" si="112"/>
        <v>#N/A</v>
      </c>
      <c r="BL265" t="e">
        <f t="shared" si="112"/>
        <v>#N/A</v>
      </c>
      <c r="BM265" t="e">
        <f t="shared" si="112"/>
        <v>#N/A</v>
      </c>
      <c r="BP265" t="e">
        <f t="shared" si="91"/>
        <v>#N/A</v>
      </c>
      <c r="BQ265" t="e">
        <f t="shared" si="110"/>
        <v>#N/A</v>
      </c>
      <c r="BR265" t="e">
        <f t="shared" si="113"/>
        <v>#N/A</v>
      </c>
      <c r="BS265" t="e">
        <f t="shared" si="113"/>
        <v>#N/A</v>
      </c>
      <c r="BT265" t="e">
        <f t="shared" si="113"/>
        <v>#N/A</v>
      </c>
      <c r="BU265" t="e">
        <f t="shared" si="113"/>
        <v>#N/A</v>
      </c>
      <c r="BV265" t="e">
        <f t="shared" si="113"/>
        <v>#N/A</v>
      </c>
      <c r="BY265" t="e">
        <f t="shared" si="92"/>
        <v>#N/A</v>
      </c>
      <c r="BZ265" t="e">
        <v>#N/A</v>
      </c>
      <c r="CA265" t="e" cm="1">
        <f t="array" ref="CA265">IF(ISNUMBER(BZ265),AF265/COUNT(IF(ISNUMBER(_xlfn.ANCHORARRAY($BZ$11)),_xlfn.ANCHORARRAY($BZ$11))),NA())</f>
        <v>#N/A</v>
      </c>
      <c r="CB265" t="e">
        <f t="shared" si="93"/>
        <v>#N/A</v>
      </c>
      <c r="CD265" t="e">
        <f t="shared" si="94"/>
        <v>#N/A</v>
      </c>
      <c r="CE265" t="e">
        <f t="shared" si="95"/>
        <v>#N/A</v>
      </c>
      <c r="CG265" t="e">
        <v>#N/A</v>
      </c>
      <c r="CH265" t="e">
        <v>#N/A</v>
      </c>
      <c r="CL265" t="e">
        <f t="shared" si="96"/>
        <v>#N/A</v>
      </c>
      <c r="CM265" t="e">
        <v>#N/A</v>
      </c>
      <c r="CN265" t="e" cm="1">
        <f t="array" ref="CN265">IF(ISNUMBER(CM265),AF265/COUNT(IF(ISNUMBER(_xlfn.ANCHORARRAY($CM$11)),_xlfn.ANCHORARRAY($CM$11))),NA())</f>
        <v>#N/A</v>
      </c>
      <c r="CO265" t="e">
        <f t="shared" si="97"/>
        <v>#N/A</v>
      </c>
      <c r="CQ265" t="e">
        <f t="shared" si="98"/>
        <v>#N/A</v>
      </c>
      <c r="CR265" t="e">
        <f t="shared" si="99"/>
        <v>#N/A</v>
      </c>
      <c r="CT265" t="e">
        <v>#N/A</v>
      </c>
      <c r="CU265" t="e">
        <v>#N/A</v>
      </c>
      <c r="CY265" t="e">
        <f t="shared" si="100"/>
        <v>#N/A</v>
      </c>
      <c r="CZ265" t="e">
        <v>#N/A</v>
      </c>
      <c r="DA265" t="e" cm="1">
        <f t="array" ref="DA265">IF(ISNUMBER(CZ265),AF265/COUNT(IF(ISNUMBER(_xlfn.ANCHORARRAY($CZ$11)),_xlfn.ANCHORARRAY($CZ$11))),NA())</f>
        <v>#N/A</v>
      </c>
      <c r="DB265" t="e">
        <f t="shared" si="101"/>
        <v>#N/A</v>
      </c>
      <c r="DD265" t="e">
        <f t="shared" si="102"/>
        <v>#N/A</v>
      </c>
      <c r="DE265" t="e">
        <f t="shared" si="103"/>
        <v>#N/A</v>
      </c>
      <c r="DG265" t="e">
        <v>#N/A</v>
      </c>
      <c r="DH265" t="e">
        <v>#N/A</v>
      </c>
    </row>
    <row r="266" spans="32:112">
      <c r="AF266">
        <v>256</v>
      </c>
      <c r="AG266" s="401">
        <f>'Lab test'!N259</f>
        <v>431.79999999999995</v>
      </c>
      <c r="AH266" s="401">
        <f>'Lab test'!M259</f>
        <v>2.9707839999999996</v>
      </c>
      <c r="AI266">
        <f>IF('Lab test'!O259&gt;0,'Lab test'!O259,NA())</f>
        <v>1828.8000000000002</v>
      </c>
      <c r="AJ266">
        <f>'Lab test'!Q259</f>
        <v>145.34883720930233</v>
      </c>
      <c r="AK266" s="401">
        <f>IF('Lab test'!V259&gt;0,'Lab test'!V259,NA())</f>
        <v>200637.516</v>
      </c>
      <c r="AL266" s="7">
        <f>IF(MAX('Lab test'!W259,'Lab test'!X259)&gt;0,MAX('Lab test'!W259,'Lab test'!X259),NA())</f>
        <v>282.68516</v>
      </c>
      <c r="AM266" s="401">
        <f>IF('Lab test'!P259&gt;0,'Lab test'!P259,NA())</f>
        <v>0.35129971233872848</v>
      </c>
      <c r="AN266" s="401">
        <f>IF('Lab test'!AU259&gt;0,'Lab test'!AU259,NA())</f>
        <v>0.6707317073170731</v>
      </c>
      <c r="AO266" s="401">
        <f>IF('Lab test'!AT259&gt;0,'Lab test'!AT259,NA())</f>
        <v>0.22695125576955136</v>
      </c>
      <c r="AP266">
        <f t="shared" si="107"/>
        <v>1</v>
      </c>
      <c r="AQ266" s="401">
        <f>'Lab test'!AZ259</f>
        <v>1933</v>
      </c>
      <c r="AR266" t="str">
        <f>'Lab test'!AC259</f>
        <v>LTWa</v>
      </c>
      <c r="AS266" t="str">
        <f>'Lab test'!T259</f>
        <v>Steel</v>
      </c>
      <c r="AX266" t="e">
        <f t="shared" si="89"/>
        <v>#N/A</v>
      </c>
      <c r="AY266" t="e">
        <f t="shared" si="108"/>
        <v>#N/A</v>
      </c>
      <c r="AZ266" t="e">
        <f t="shared" si="111"/>
        <v>#N/A</v>
      </c>
      <c r="BA266" t="e">
        <f t="shared" si="111"/>
        <v>#N/A</v>
      </c>
      <c r="BB266" t="e">
        <f t="shared" si="111"/>
        <v>#N/A</v>
      </c>
      <c r="BC266" t="e">
        <f t="shared" si="111"/>
        <v>#N/A</v>
      </c>
      <c r="BD266" t="e">
        <f t="shared" si="111"/>
        <v>#N/A</v>
      </c>
      <c r="BG266" t="e">
        <f t="shared" si="90"/>
        <v>#N/A</v>
      </c>
      <c r="BH266" t="e">
        <f t="shared" si="109"/>
        <v>#N/A</v>
      </c>
      <c r="BI266" t="e">
        <f t="shared" si="112"/>
        <v>#N/A</v>
      </c>
      <c r="BJ266" t="e">
        <f t="shared" si="112"/>
        <v>#N/A</v>
      </c>
      <c r="BK266" t="e">
        <f t="shared" si="112"/>
        <v>#N/A</v>
      </c>
      <c r="BL266" t="e">
        <f t="shared" si="112"/>
        <v>#N/A</v>
      </c>
      <c r="BM266" t="e">
        <f t="shared" si="112"/>
        <v>#N/A</v>
      </c>
      <c r="BP266" t="e">
        <f t="shared" si="91"/>
        <v>#N/A</v>
      </c>
      <c r="BQ266" t="e">
        <f t="shared" si="110"/>
        <v>#N/A</v>
      </c>
      <c r="BR266" t="e">
        <f t="shared" si="113"/>
        <v>#N/A</v>
      </c>
      <c r="BS266" t="e">
        <f t="shared" si="113"/>
        <v>#N/A</v>
      </c>
      <c r="BT266" t="e">
        <f t="shared" si="113"/>
        <v>#N/A</v>
      </c>
      <c r="BU266" t="e">
        <f t="shared" si="113"/>
        <v>#N/A</v>
      </c>
      <c r="BV266" t="e">
        <f t="shared" si="113"/>
        <v>#N/A</v>
      </c>
      <c r="BY266" t="e">
        <f t="shared" si="92"/>
        <v>#N/A</v>
      </c>
      <c r="BZ266" t="e">
        <v>#N/A</v>
      </c>
      <c r="CA266" t="e" cm="1">
        <f t="array" ref="CA266">IF(ISNUMBER(BZ266),AF266/COUNT(IF(ISNUMBER(_xlfn.ANCHORARRAY($BZ$11)),_xlfn.ANCHORARRAY($BZ$11))),NA())</f>
        <v>#N/A</v>
      </c>
      <c r="CB266" t="e">
        <f t="shared" si="93"/>
        <v>#N/A</v>
      </c>
      <c r="CD266" t="e">
        <f t="shared" si="94"/>
        <v>#N/A</v>
      </c>
      <c r="CE266" t="e">
        <f t="shared" si="95"/>
        <v>#N/A</v>
      </c>
      <c r="CG266" t="e">
        <v>#N/A</v>
      </c>
      <c r="CH266" t="e">
        <v>#N/A</v>
      </c>
      <c r="CL266" t="e">
        <f t="shared" si="96"/>
        <v>#N/A</v>
      </c>
      <c r="CM266" t="e">
        <v>#N/A</v>
      </c>
      <c r="CN266" t="e" cm="1">
        <f t="array" ref="CN266">IF(ISNUMBER(CM266),AF266/COUNT(IF(ISNUMBER(_xlfn.ANCHORARRAY($CM$11)),_xlfn.ANCHORARRAY($CM$11))),NA())</f>
        <v>#N/A</v>
      </c>
      <c r="CO266" t="e">
        <f t="shared" si="97"/>
        <v>#N/A</v>
      </c>
      <c r="CQ266" t="e">
        <f t="shared" si="98"/>
        <v>#N/A</v>
      </c>
      <c r="CR266" t="e">
        <f t="shared" si="99"/>
        <v>#N/A</v>
      </c>
      <c r="CT266" t="e">
        <v>#N/A</v>
      </c>
      <c r="CU266" t="e">
        <v>#N/A</v>
      </c>
      <c r="CY266" t="e">
        <f t="shared" si="100"/>
        <v>#N/A</v>
      </c>
      <c r="CZ266" t="e">
        <v>#N/A</v>
      </c>
      <c r="DA266" t="e" cm="1">
        <f t="array" ref="DA266">IF(ISNUMBER(CZ266),AF266/COUNT(IF(ISNUMBER(_xlfn.ANCHORARRAY($CZ$11)),_xlfn.ANCHORARRAY($CZ$11))),NA())</f>
        <v>#N/A</v>
      </c>
      <c r="DB266" t="e">
        <f t="shared" si="101"/>
        <v>#N/A</v>
      </c>
      <c r="DD266" t="e">
        <f t="shared" si="102"/>
        <v>#N/A</v>
      </c>
      <c r="DE266" t="e">
        <f t="shared" si="103"/>
        <v>#N/A</v>
      </c>
      <c r="DG266" t="e">
        <v>#N/A</v>
      </c>
      <c r="DH266" t="e">
        <v>#N/A</v>
      </c>
    </row>
    <row r="267" spans="32:112">
      <c r="AF267">
        <v>257</v>
      </c>
      <c r="AG267" s="401">
        <f>'Lab test'!N260</f>
        <v>508</v>
      </c>
      <c r="AH267" s="401">
        <f>'Lab test'!M260</f>
        <v>0.76200000000000001</v>
      </c>
      <c r="AI267">
        <f>IF('Lab test'!O260&gt;0,'Lab test'!O260,NA())</f>
        <v>762</v>
      </c>
      <c r="AJ267">
        <f>'Lab test'!Q260</f>
        <v>666.66666666666663</v>
      </c>
      <c r="AK267" s="401">
        <f>IF('Lab test'!V260&gt;0,'Lab test'!V260,NA())</f>
        <v>206153.32399999999</v>
      </c>
      <c r="AL267" s="7">
        <f>IF(MAX('Lab test'!W260,'Lab test'!X260)&gt;0,MAX('Lab test'!W260,'Lab test'!X260),NA())</f>
        <v>170.30057199999999</v>
      </c>
      <c r="AM267" s="401">
        <f>IF('Lab test'!P260&gt;0,'Lab test'!P260,NA())</f>
        <v>5.809475019311125E-2</v>
      </c>
      <c r="AN267" s="401">
        <f>IF('Lab test'!AU260&gt;0,'Lab test'!AU260,NA())</f>
        <v>0.23117408906882592</v>
      </c>
      <c r="AO267" s="401">
        <f>IF('Lab test'!AT260&gt;0,'Lab test'!AT260,NA())</f>
        <v>0.21035603896323504</v>
      </c>
      <c r="AP267">
        <f t="shared" si="107"/>
        <v>1</v>
      </c>
      <c r="AQ267" s="401">
        <f>'Lab test'!AZ260</f>
        <v>1933</v>
      </c>
      <c r="AR267" t="str">
        <f>'Lab test'!AC260</f>
        <v>Miscellaneous</v>
      </c>
      <c r="AS267" t="str">
        <f>'Lab test'!T260</f>
        <v>Steel</v>
      </c>
      <c r="AX267" t="e">
        <f t="shared" si="89"/>
        <v>#N/A</v>
      </c>
      <c r="AY267" t="e">
        <f t="shared" si="108"/>
        <v>#N/A</v>
      </c>
      <c r="AZ267" t="e">
        <f t="shared" si="111"/>
        <v>#N/A</v>
      </c>
      <c r="BA267" t="e">
        <f t="shared" si="111"/>
        <v>#N/A</v>
      </c>
      <c r="BB267" t="e">
        <f t="shared" si="111"/>
        <v>#N/A</v>
      </c>
      <c r="BC267" t="e">
        <f t="shared" si="111"/>
        <v>#N/A</v>
      </c>
      <c r="BD267" t="e">
        <f t="shared" si="111"/>
        <v>#N/A</v>
      </c>
      <c r="BG267" t="e">
        <f t="shared" si="90"/>
        <v>#N/A</v>
      </c>
      <c r="BH267" t="e">
        <f t="shared" si="109"/>
        <v>#N/A</v>
      </c>
      <c r="BI267" t="e">
        <f t="shared" si="112"/>
        <v>#N/A</v>
      </c>
      <c r="BJ267" t="e">
        <f t="shared" si="112"/>
        <v>#N/A</v>
      </c>
      <c r="BK267" t="e">
        <f t="shared" si="112"/>
        <v>#N/A</v>
      </c>
      <c r="BL267" t="e">
        <f t="shared" si="112"/>
        <v>#N/A</v>
      </c>
      <c r="BM267" t="e">
        <f t="shared" si="112"/>
        <v>#N/A</v>
      </c>
      <c r="BP267" t="e">
        <f t="shared" si="91"/>
        <v>#N/A</v>
      </c>
      <c r="BQ267" t="e">
        <f t="shared" si="110"/>
        <v>#N/A</v>
      </c>
      <c r="BR267" t="e">
        <f t="shared" si="113"/>
        <v>#N/A</v>
      </c>
      <c r="BS267" t="e">
        <f t="shared" si="113"/>
        <v>#N/A</v>
      </c>
      <c r="BT267" t="e">
        <f t="shared" si="113"/>
        <v>#N/A</v>
      </c>
      <c r="BU267" t="e">
        <f t="shared" si="113"/>
        <v>#N/A</v>
      </c>
      <c r="BV267" t="e">
        <f t="shared" si="113"/>
        <v>#N/A</v>
      </c>
      <c r="BY267" t="e">
        <f t="shared" si="92"/>
        <v>#N/A</v>
      </c>
      <c r="BZ267" t="e">
        <v>#N/A</v>
      </c>
      <c r="CA267" t="e" cm="1">
        <f t="array" ref="CA267">IF(ISNUMBER(BZ267),AF267/COUNT(IF(ISNUMBER(_xlfn.ANCHORARRAY($BZ$11)),_xlfn.ANCHORARRAY($BZ$11))),NA())</f>
        <v>#N/A</v>
      </c>
      <c r="CB267" t="e">
        <f t="shared" si="93"/>
        <v>#N/A</v>
      </c>
      <c r="CD267" t="e">
        <f t="shared" si="94"/>
        <v>#N/A</v>
      </c>
      <c r="CE267" t="e">
        <f t="shared" si="95"/>
        <v>#N/A</v>
      </c>
      <c r="CG267" t="e">
        <v>#N/A</v>
      </c>
      <c r="CH267" t="e">
        <v>#N/A</v>
      </c>
      <c r="CL267" t="e">
        <f t="shared" si="96"/>
        <v>#N/A</v>
      </c>
      <c r="CM267" t="e">
        <v>#N/A</v>
      </c>
      <c r="CN267" t="e" cm="1">
        <f t="array" ref="CN267">IF(ISNUMBER(CM267),AF267/COUNT(IF(ISNUMBER(_xlfn.ANCHORARRAY($CM$11)),_xlfn.ANCHORARRAY($CM$11))),NA())</f>
        <v>#N/A</v>
      </c>
      <c r="CO267" t="e">
        <f t="shared" si="97"/>
        <v>#N/A</v>
      </c>
      <c r="CQ267" t="e">
        <f t="shared" si="98"/>
        <v>#N/A</v>
      </c>
      <c r="CR267" t="e">
        <f t="shared" si="99"/>
        <v>#N/A</v>
      </c>
      <c r="CT267" t="e">
        <v>#N/A</v>
      </c>
      <c r="CU267" t="e">
        <v>#N/A</v>
      </c>
      <c r="CY267" t="e">
        <f t="shared" si="100"/>
        <v>#N/A</v>
      </c>
      <c r="CZ267" t="e">
        <v>#N/A</v>
      </c>
      <c r="DA267" t="e" cm="1">
        <f t="array" ref="DA267">IF(ISNUMBER(CZ267),AF267/COUNT(IF(ISNUMBER(_xlfn.ANCHORARRAY($CZ$11)),_xlfn.ANCHORARRAY($CZ$11))),NA())</f>
        <v>#N/A</v>
      </c>
      <c r="DB267" t="e">
        <f t="shared" si="101"/>
        <v>#N/A</v>
      </c>
      <c r="DD267" t="e">
        <f t="shared" si="102"/>
        <v>#N/A</v>
      </c>
      <c r="DE267" t="e">
        <f t="shared" si="103"/>
        <v>#N/A</v>
      </c>
      <c r="DG267" t="e">
        <v>#N/A</v>
      </c>
      <c r="DH267" t="e">
        <v>#N/A</v>
      </c>
    </row>
    <row r="268" spans="32:112">
      <c r="AF268">
        <v>258</v>
      </c>
      <c r="AG268" s="401">
        <f>'Lab test'!N261</f>
        <v>508</v>
      </c>
      <c r="AH268" s="401">
        <f>'Lab test'!M261</f>
        <v>0.77723999999999993</v>
      </c>
      <c r="AI268">
        <f>IF('Lab test'!O261&gt;0,'Lab test'!O261,NA())</f>
        <v>762</v>
      </c>
      <c r="AJ268">
        <f>'Lab test'!Q261</f>
        <v>653.59477124183013</v>
      </c>
      <c r="AK268" s="401">
        <f>IF('Lab test'!V261&gt;0,'Lab test'!V261,NA())</f>
        <v>206153.32399999999</v>
      </c>
      <c r="AL268" s="7">
        <f>IF(MAX('Lab test'!W261,'Lab test'!X261)&gt;0,MAX('Lab test'!W261,'Lab test'!X261),NA())</f>
        <v>170.30057199999999</v>
      </c>
      <c r="AM268" s="401">
        <f>IF('Lab test'!P261&gt;0,'Lab test'!P261,NA())</f>
        <v>5.8672821646823838E-2</v>
      </c>
      <c r="AN268" s="401">
        <f>IF('Lab test'!AU261&gt;0,'Lab test'!AU261,NA())</f>
        <v>0.23238866396761132</v>
      </c>
      <c r="AO268" s="401">
        <f>IF('Lab test'!AT261&gt;0,'Lab test'!AT261,NA())</f>
        <v>0.20731493830036216</v>
      </c>
      <c r="AP268">
        <f t="shared" si="107"/>
        <v>1</v>
      </c>
      <c r="AQ268" s="401">
        <f>'Lab test'!AZ261</f>
        <v>1933</v>
      </c>
      <c r="AR268" t="str">
        <f>'Lab test'!AC261</f>
        <v>Miscellaneous</v>
      </c>
      <c r="AS268" t="str">
        <f>'Lab test'!T261</f>
        <v>Steel</v>
      </c>
      <c r="AX268" t="e">
        <f t="shared" ref="AX268:AX331" si="114">IF(ISNUMBER($AJ268),IF(ISNUMBER($AP268),IF($AJ268&gt;=AX$9,IF($AJ268&lt;=AX$10,IF($AR268=$AW$2,IF($AS268=$AW$6,$AK268,NA()),NA()),NA()),NA()),NA()),NA())</f>
        <v>#N/A</v>
      </c>
      <c r="AY268" t="e">
        <f t="shared" si="108"/>
        <v>#N/A</v>
      </c>
      <c r="AZ268" t="e">
        <f t="shared" si="111"/>
        <v>#N/A</v>
      </c>
      <c r="BA268" t="e">
        <f t="shared" si="111"/>
        <v>#N/A</v>
      </c>
      <c r="BB268" t="e">
        <f t="shared" si="111"/>
        <v>#N/A</v>
      </c>
      <c r="BC268" t="e">
        <f t="shared" si="111"/>
        <v>#N/A</v>
      </c>
      <c r="BD268" t="e">
        <f t="shared" si="111"/>
        <v>#N/A</v>
      </c>
      <c r="BG268" t="e">
        <f t="shared" ref="BG268:BG331" si="115">IF(ISNUMBER($AJ268),IF(ISNUMBER($AP268),IF($AJ268&gt;=BG$9,IF($AJ268&lt;=BG$10,IF($AR268=$AW$2,IF($AS268=$BF$6,$AK268,NA()),NA()),NA()),NA()),NA()),NA())</f>
        <v>#N/A</v>
      </c>
      <c r="BH268" t="e">
        <f t="shared" si="109"/>
        <v>#N/A</v>
      </c>
      <c r="BI268" t="e">
        <f t="shared" si="112"/>
        <v>#N/A</v>
      </c>
      <c r="BJ268" t="e">
        <f t="shared" si="112"/>
        <v>#N/A</v>
      </c>
      <c r="BK268" t="e">
        <f t="shared" si="112"/>
        <v>#N/A</v>
      </c>
      <c r="BL268" t="e">
        <f t="shared" si="112"/>
        <v>#N/A</v>
      </c>
      <c r="BM268" t="e">
        <f t="shared" si="112"/>
        <v>#N/A</v>
      </c>
      <c r="BP268" t="e">
        <f t="shared" ref="BP268:BP331" si="116">IF(ISNUMBER($AJ268),IF(ISNUMBER($AP268),IF($AJ268&gt;=BP$9,IF($AJ268&lt;=BP$10,IF($AR268=$AW$2,IF($AS268=$BO$6,$AK268,NA()),NA()),NA()),NA()),NA()),NA())</f>
        <v>#N/A</v>
      </c>
      <c r="BQ268" t="e">
        <f t="shared" si="110"/>
        <v>#N/A</v>
      </c>
      <c r="BR268" t="e">
        <f t="shared" si="113"/>
        <v>#N/A</v>
      </c>
      <c r="BS268" t="e">
        <f t="shared" si="113"/>
        <v>#N/A</v>
      </c>
      <c r="BT268" t="e">
        <f t="shared" si="113"/>
        <v>#N/A</v>
      </c>
      <c r="BU268" t="e">
        <f t="shared" si="113"/>
        <v>#N/A</v>
      </c>
      <c r="BV268" t="e">
        <f t="shared" si="113"/>
        <v>#N/A</v>
      </c>
      <c r="BY268" t="e">
        <f t="shared" ref="BY268:BY331" si="117">IF(ISNUMBER(AP268),IF($AR268=$AW$2,IF($AS268=$AW$6,$AK268,NA()),NA()),NA())</f>
        <v>#N/A</v>
      </c>
      <c r="BZ268" t="e">
        <v>#N/A</v>
      </c>
      <c r="CA268" t="e" cm="1">
        <f t="array" ref="CA268">IF(ISNUMBER(BZ268),AF268/COUNT(IF(ISNUMBER(_xlfn.ANCHORARRAY($BZ$11)),_xlfn.ANCHORARRAY($BZ$11))),NA())</f>
        <v>#N/A</v>
      </c>
      <c r="CB268" t="e">
        <f t="shared" ref="CB268:CB331" si="118">IF(BZ268=BZ269,NA(),CA268)</f>
        <v>#N/A</v>
      </c>
      <c r="CD268" t="e">
        <f t="shared" ref="CD268:CD331" si="119">CB268</f>
        <v>#N/A</v>
      </c>
      <c r="CE268" t="e">
        <f t="shared" ref="CE268:CE331" si="120">BZ268</f>
        <v>#N/A</v>
      </c>
      <c r="CG268" t="e">
        <v>#N/A</v>
      </c>
      <c r="CH268" t="e">
        <v>#N/A</v>
      </c>
      <c r="CL268" t="e">
        <f t="shared" ref="CL268:CL331" si="121">IF(ISNUMBER(AP268),IF($AR268=$AW$2,IF($AS268=$BF$6,$AK268,NA()),NA()),NA())</f>
        <v>#N/A</v>
      </c>
      <c r="CM268" t="e">
        <v>#N/A</v>
      </c>
      <c r="CN268" t="e" cm="1">
        <f t="array" ref="CN268">IF(ISNUMBER(CM268),AF268/COUNT(IF(ISNUMBER(_xlfn.ANCHORARRAY($CM$11)),_xlfn.ANCHORARRAY($CM$11))),NA())</f>
        <v>#N/A</v>
      </c>
      <c r="CO268" t="e">
        <f t="shared" ref="CO268:CO331" si="122">IF(CM268=CM269,NA(),CN268)</f>
        <v>#N/A</v>
      </c>
      <c r="CQ268" t="e">
        <f t="shared" ref="CQ268:CQ331" si="123">CO268</f>
        <v>#N/A</v>
      </c>
      <c r="CR268" t="e">
        <f t="shared" ref="CR268:CR331" si="124">CM268</f>
        <v>#N/A</v>
      </c>
      <c r="CT268" t="e">
        <v>#N/A</v>
      </c>
      <c r="CU268" t="e">
        <v>#N/A</v>
      </c>
      <c r="CY268" t="e">
        <f t="shared" ref="CY268:CY331" si="125">IF(ISNUMBER(AP268),IF($AR268=$AW$2,IF($AS268=$BO$6,$AK268,NA()),NA()),NA())</f>
        <v>#N/A</v>
      </c>
      <c r="CZ268" t="e">
        <v>#N/A</v>
      </c>
      <c r="DA268" t="e" cm="1">
        <f t="array" ref="DA268">IF(ISNUMBER(CZ268),AF268/COUNT(IF(ISNUMBER(_xlfn.ANCHORARRAY($CZ$11)),_xlfn.ANCHORARRAY($CZ$11))),NA())</f>
        <v>#N/A</v>
      </c>
      <c r="DB268" t="e">
        <f t="shared" ref="DB268:DB331" si="126">IF(CZ268=CZ269,NA(),DA268)</f>
        <v>#N/A</v>
      </c>
      <c r="DD268" t="e">
        <f t="shared" ref="DD268:DD331" si="127">DB268</f>
        <v>#N/A</v>
      </c>
      <c r="DE268" t="e">
        <f t="shared" ref="DE268:DE331" si="128">CZ268</f>
        <v>#N/A</v>
      </c>
      <c r="DG268" t="e">
        <v>#N/A</v>
      </c>
      <c r="DH268" t="e">
        <v>#N/A</v>
      </c>
    </row>
    <row r="269" spans="32:112">
      <c r="AF269">
        <v>259</v>
      </c>
      <c r="AG269" s="401">
        <f>'Lab test'!N262</f>
        <v>635</v>
      </c>
      <c r="AH269" s="401">
        <f>'Lab test'!M262</f>
        <v>0.76834999999999998</v>
      </c>
      <c r="AI269">
        <f>IF('Lab test'!O262&gt;0,'Lab test'!O262,NA())</f>
        <v>762</v>
      </c>
      <c r="AJ269">
        <f>'Lab test'!Q262</f>
        <v>826.44628099173553</v>
      </c>
      <c r="AK269" s="401">
        <f>IF('Lab test'!V262&gt;0,'Lab test'!V262,NA())</f>
        <v>206842.8</v>
      </c>
      <c r="AL269" s="7">
        <f>IF(MAX('Lab test'!W262,'Lab test'!X262)&gt;0,MAX('Lab test'!W262,'Lab test'!X262),NA())</f>
        <v>198.913826</v>
      </c>
      <c r="AM269" s="401">
        <f>IF('Lab test'!P262&gt;0,'Lab test'!P262,NA())</f>
        <v>4.1742065114222605E-2</v>
      </c>
      <c r="AN269" s="401">
        <f>IF('Lab test'!AU262&gt;0,'Lab test'!AU262,NA())</f>
        <v>0.15355285961871751</v>
      </c>
      <c r="AO269" s="401">
        <f>IF('Lab test'!AT262&gt;0,'Lab test'!AT262,NA())</f>
        <v>0.20164080598741679</v>
      </c>
      <c r="AP269">
        <f t="shared" si="107"/>
        <v>1</v>
      </c>
      <c r="AQ269" s="401">
        <f>'Lab test'!AZ262</f>
        <v>1933</v>
      </c>
      <c r="AR269" t="str">
        <f>'Lab test'!AC262</f>
        <v>Miscellaneous</v>
      </c>
      <c r="AS269" t="str">
        <f>'Lab test'!T262</f>
        <v>Steel</v>
      </c>
      <c r="AX269" t="e">
        <f t="shared" si="114"/>
        <v>#N/A</v>
      </c>
      <c r="AY269" t="e">
        <f t="shared" si="108"/>
        <v>#N/A</v>
      </c>
      <c r="AZ269" t="e">
        <f t="shared" si="111"/>
        <v>#N/A</v>
      </c>
      <c r="BA269" t="e">
        <f t="shared" si="111"/>
        <v>#N/A</v>
      </c>
      <c r="BB269" t="e">
        <f t="shared" si="111"/>
        <v>#N/A</v>
      </c>
      <c r="BC269" t="e">
        <f t="shared" si="111"/>
        <v>#N/A</v>
      </c>
      <c r="BD269" t="e">
        <f t="shared" si="111"/>
        <v>#N/A</v>
      </c>
      <c r="BG269" t="e">
        <f t="shared" si="115"/>
        <v>#N/A</v>
      </c>
      <c r="BH269" t="e">
        <f t="shared" si="109"/>
        <v>#N/A</v>
      </c>
      <c r="BI269" t="e">
        <f t="shared" si="112"/>
        <v>#N/A</v>
      </c>
      <c r="BJ269" t="e">
        <f t="shared" si="112"/>
        <v>#N/A</v>
      </c>
      <c r="BK269" t="e">
        <f t="shared" si="112"/>
        <v>#N/A</v>
      </c>
      <c r="BL269" t="e">
        <f t="shared" si="112"/>
        <v>#N/A</v>
      </c>
      <c r="BM269" t="e">
        <f t="shared" si="112"/>
        <v>#N/A</v>
      </c>
      <c r="BP269" t="e">
        <f t="shared" si="116"/>
        <v>#N/A</v>
      </c>
      <c r="BQ269" t="e">
        <f t="shared" si="110"/>
        <v>#N/A</v>
      </c>
      <c r="BR269" t="e">
        <f t="shared" si="113"/>
        <v>#N/A</v>
      </c>
      <c r="BS269" t="e">
        <f t="shared" si="113"/>
        <v>#N/A</v>
      </c>
      <c r="BT269" t="e">
        <f t="shared" si="113"/>
        <v>#N/A</v>
      </c>
      <c r="BU269" t="e">
        <f t="shared" si="113"/>
        <v>#N/A</v>
      </c>
      <c r="BV269" t="e">
        <f t="shared" si="113"/>
        <v>#N/A</v>
      </c>
      <c r="BY269" t="e">
        <f t="shared" si="117"/>
        <v>#N/A</v>
      </c>
      <c r="BZ269" t="e">
        <v>#N/A</v>
      </c>
      <c r="CA269" t="e" cm="1">
        <f t="array" ref="CA269">IF(ISNUMBER(BZ269),AF269/COUNT(IF(ISNUMBER(_xlfn.ANCHORARRAY($BZ$11)),_xlfn.ANCHORARRAY($BZ$11))),NA())</f>
        <v>#N/A</v>
      </c>
      <c r="CB269" t="e">
        <f t="shared" si="118"/>
        <v>#N/A</v>
      </c>
      <c r="CD269" t="e">
        <f t="shared" si="119"/>
        <v>#N/A</v>
      </c>
      <c r="CE269" t="e">
        <f t="shared" si="120"/>
        <v>#N/A</v>
      </c>
      <c r="CG269" t="e">
        <v>#N/A</v>
      </c>
      <c r="CH269" t="e">
        <v>#N/A</v>
      </c>
      <c r="CL269" t="e">
        <f t="shared" si="121"/>
        <v>#N/A</v>
      </c>
      <c r="CM269" t="e">
        <v>#N/A</v>
      </c>
      <c r="CN269" t="e" cm="1">
        <f t="array" ref="CN269">IF(ISNUMBER(CM269),AF269/COUNT(IF(ISNUMBER(_xlfn.ANCHORARRAY($CM$11)),_xlfn.ANCHORARRAY($CM$11))),NA())</f>
        <v>#N/A</v>
      </c>
      <c r="CO269" t="e">
        <f t="shared" si="122"/>
        <v>#N/A</v>
      </c>
      <c r="CQ269" t="e">
        <f t="shared" si="123"/>
        <v>#N/A</v>
      </c>
      <c r="CR269" t="e">
        <f t="shared" si="124"/>
        <v>#N/A</v>
      </c>
      <c r="CT269" t="e">
        <v>#N/A</v>
      </c>
      <c r="CU269" t="e">
        <v>#N/A</v>
      </c>
      <c r="CY269" t="e">
        <f t="shared" si="125"/>
        <v>#N/A</v>
      </c>
      <c r="CZ269" t="e">
        <v>#N/A</v>
      </c>
      <c r="DA269" t="e" cm="1">
        <f t="array" ref="DA269">IF(ISNUMBER(CZ269),AF269/COUNT(IF(ISNUMBER(_xlfn.ANCHORARRAY($CZ$11)),_xlfn.ANCHORARRAY($CZ$11))),NA())</f>
        <v>#N/A</v>
      </c>
      <c r="DB269" t="e">
        <f t="shared" si="126"/>
        <v>#N/A</v>
      </c>
      <c r="DD269" t="e">
        <f t="shared" si="127"/>
        <v>#N/A</v>
      </c>
      <c r="DE269" t="e">
        <f t="shared" si="128"/>
        <v>#N/A</v>
      </c>
      <c r="DG269" t="e">
        <v>#N/A</v>
      </c>
      <c r="DH269" t="e">
        <v>#N/A</v>
      </c>
    </row>
    <row r="270" spans="32:112">
      <c r="AF270">
        <v>260</v>
      </c>
      <c r="AG270" s="401">
        <f>'Lab test'!N263</f>
        <v>635</v>
      </c>
      <c r="AH270" s="401">
        <f>'Lab test'!M263</f>
        <v>0.74930000000000008</v>
      </c>
      <c r="AI270">
        <f>IF('Lab test'!O263&gt;0,'Lab test'!O263,NA())</f>
        <v>762</v>
      </c>
      <c r="AJ270">
        <f>'Lab test'!Q263</f>
        <v>847.45762711864404</v>
      </c>
      <c r="AK270" s="401">
        <f>IF('Lab test'!V263&gt;0,'Lab test'!V263,NA())</f>
        <v>206842.8</v>
      </c>
      <c r="AL270" s="7">
        <f>IF(MAX('Lab test'!W263,'Lab test'!X263)&gt;0,MAX('Lab test'!W263,'Lab test'!X263),NA())</f>
        <v>175.64401100000001</v>
      </c>
      <c r="AM270" s="401">
        <f>IF('Lab test'!P263&gt;0,'Lab test'!P263,NA())</f>
        <v>4.1221353689562402E-2</v>
      </c>
      <c r="AN270" s="401">
        <f>IF('Lab test'!AU263&gt;0,'Lab test'!AU263,NA())</f>
        <v>0.16800785083415112</v>
      </c>
      <c r="AO270" s="401">
        <f>IF('Lab test'!AT263&gt;0,'Lab test'!AT263,NA())</f>
        <v>0.199766118155801</v>
      </c>
      <c r="AP270">
        <f t="shared" si="107"/>
        <v>1</v>
      </c>
      <c r="AQ270" s="401">
        <f>'Lab test'!AZ263</f>
        <v>1933</v>
      </c>
      <c r="AR270" t="str">
        <f>'Lab test'!AC263</f>
        <v>Miscellaneous</v>
      </c>
      <c r="AS270" t="str">
        <f>'Lab test'!T263</f>
        <v>Steel</v>
      </c>
      <c r="AX270" t="e">
        <f t="shared" si="114"/>
        <v>#N/A</v>
      </c>
      <c r="AY270" t="e">
        <f t="shared" si="108"/>
        <v>#N/A</v>
      </c>
      <c r="AZ270" t="e">
        <f t="shared" si="111"/>
        <v>#N/A</v>
      </c>
      <c r="BA270" t="e">
        <f t="shared" si="111"/>
        <v>#N/A</v>
      </c>
      <c r="BB270" t="e">
        <f t="shared" si="111"/>
        <v>#N/A</v>
      </c>
      <c r="BC270" t="e">
        <f t="shared" si="111"/>
        <v>#N/A</v>
      </c>
      <c r="BD270" t="e">
        <f t="shared" si="111"/>
        <v>#N/A</v>
      </c>
      <c r="BG270" t="e">
        <f t="shared" si="115"/>
        <v>#N/A</v>
      </c>
      <c r="BH270" t="e">
        <f t="shared" si="109"/>
        <v>#N/A</v>
      </c>
      <c r="BI270" t="e">
        <f t="shared" si="112"/>
        <v>#N/A</v>
      </c>
      <c r="BJ270" t="e">
        <f t="shared" si="112"/>
        <v>#N/A</v>
      </c>
      <c r="BK270" t="e">
        <f t="shared" si="112"/>
        <v>#N/A</v>
      </c>
      <c r="BL270" t="e">
        <f t="shared" si="112"/>
        <v>#N/A</v>
      </c>
      <c r="BM270" t="e">
        <f t="shared" si="112"/>
        <v>#N/A</v>
      </c>
      <c r="BP270" t="e">
        <f t="shared" si="116"/>
        <v>#N/A</v>
      </c>
      <c r="BQ270" t="e">
        <f t="shared" si="110"/>
        <v>#N/A</v>
      </c>
      <c r="BR270" t="e">
        <f t="shared" si="113"/>
        <v>#N/A</v>
      </c>
      <c r="BS270" t="e">
        <f t="shared" si="113"/>
        <v>#N/A</v>
      </c>
      <c r="BT270" t="e">
        <f t="shared" si="113"/>
        <v>#N/A</v>
      </c>
      <c r="BU270" t="e">
        <f t="shared" si="113"/>
        <v>#N/A</v>
      </c>
      <c r="BV270" t="e">
        <f t="shared" si="113"/>
        <v>#N/A</v>
      </c>
      <c r="BY270" t="e">
        <f t="shared" si="117"/>
        <v>#N/A</v>
      </c>
      <c r="BZ270" t="e">
        <v>#N/A</v>
      </c>
      <c r="CA270" t="e" cm="1">
        <f t="array" ref="CA270">IF(ISNUMBER(BZ270),AF270/COUNT(IF(ISNUMBER(_xlfn.ANCHORARRAY($BZ$11)),_xlfn.ANCHORARRAY($BZ$11))),NA())</f>
        <v>#N/A</v>
      </c>
      <c r="CB270" t="e">
        <f t="shared" si="118"/>
        <v>#N/A</v>
      </c>
      <c r="CD270" t="e">
        <f t="shared" si="119"/>
        <v>#N/A</v>
      </c>
      <c r="CE270" t="e">
        <f t="shared" si="120"/>
        <v>#N/A</v>
      </c>
      <c r="CG270" t="e">
        <v>#N/A</v>
      </c>
      <c r="CH270" t="e">
        <v>#N/A</v>
      </c>
      <c r="CL270" t="e">
        <f t="shared" si="121"/>
        <v>#N/A</v>
      </c>
      <c r="CM270" t="e">
        <v>#N/A</v>
      </c>
      <c r="CN270" t="e" cm="1">
        <f t="array" ref="CN270">IF(ISNUMBER(CM270),AF270/COUNT(IF(ISNUMBER(_xlfn.ANCHORARRAY($CM$11)),_xlfn.ANCHORARRAY($CM$11))),NA())</f>
        <v>#N/A</v>
      </c>
      <c r="CO270" t="e">
        <f t="shared" si="122"/>
        <v>#N/A</v>
      </c>
      <c r="CQ270" t="e">
        <f t="shared" si="123"/>
        <v>#N/A</v>
      </c>
      <c r="CR270" t="e">
        <f t="shared" si="124"/>
        <v>#N/A</v>
      </c>
      <c r="CT270" t="e">
        <v>#N/A</v>
      </c>
      <c r="CU270" t="e">
        <v>#N/A</v>
      </c>
      <c r="CY270" t="e">
        <f t="shared" si="125"/>
        <v>#N/A</v>
      </c>
      <c r="CZ270" t="e">
        <v>#N/A</v>
      </c>
      <c r="DA270" t="e" cm="1">
        <f t="array" ref="DA270">IF(ISNUMBER(CZ270),AF270/COUNT(IF(ISNUMBER(_xlfn.ANCHORARRAY($CZ$11)),_xlfn.ANCHORARRAY($CZ$11))),NA())</f>
        <v>#N/A</v>
      </c>
      <c r="DB270" t="e">
        <f t="shared" si="126"/>
        <v>#N/A</v>
      </c>
      <c r="DD270" t="e">
        <f t="shared" si="127"/>
        <v>#N/A</v>
      </c>
      <c r="DE270" t="e">
        <f t="shared" si="128"/>
        <v>#N/A</v>
      </c>
      <c r="DG270" t="e">
        <v>#N/A</v>
      </c>
      <c r="DH270" t="e">
        <v>#N/A</v>
      </c>
    </row>
    <row r="271" spans="32:112">
      <c r="AF271">
        <v>261</v>
      </c>
      <c r="AG271" s="401">
        <f>'Lab test'!N264</f>
        <v>762</v>
      </c>
      <c r="AH271" s="401">
        <f>'Lab test'!M264</f>
        <v>0.78486</v>
      </c>
      <c r="AI271">
        <f>IF('Lab test'!O264&gt;0,'Lab test'!O264,NA())</f>
        <v>762</v>
      </c>
      <c r="AJ271">
        <f>'Lab test'!Q264</f>
        <v>970.87378640776694</v>
      </c>
      <c r="AK271" s="401">
        <f>IF('Lab test'!V264&gt;0,'Lab test'!V264,NA())</f>
        <v>206842.8</v>
      </c>
      <c r="AL271" s="7">
        <f>IF(MAX('Lab test'!W264,'Lab test'!X264)&gt;0,MAX('Lab test'!W264,'Lab test'!X264),NA())</f>
        <v>218.35704920000001</v>
      </c>
      <c r="AM271" s="401">
        <f>IF('Lab test'!P264&gt;0,'Lab test'!P264,NA())</f>
        <v>3.2093613071762429E-2</v>
      </c>
      <c r="AN271" s="401">
        <f>IF('Lab test'!AU264&gt;0,'Lab test'!AU264,NA())</f>
        <v>0.13135459425323651</v>
      </c>
      <c r="AO271" s="401">
        <f>IF('Lab test'!AT264&gt;0,'Lab test'!AT264,NA())</f>
        <v>0.22244168423990465</v>
      </c>
      <c r="AP271">
        <f t="shared" si="107"/>
        <v>1</v>
      </c>
      <c r="AQ271" s="401">
        <f>'Lab test'!AZ264</f>
        <v>1933</v>
      </c>
      <c r="AR271" t="str">
        <f>'Lab test'!AC264</f>
        <v>Miscellaneous</v>
      </c>
      <c r="AS271" t="str">
        <f>'Lab test'!T264</f>
        <v>Steel</v>
      </c>
      <c r="AX271" t="e">
        <f t="shared" si="114"/>
        <v>#N/A</v>
      </c>
      <c r="AY271" t="e">
        <f t="shared" si="108"/>
        <v>#N/A</v>
      </c>
      <c r="AZ271" t="e">
        <f t="shared" si="111"/>
        <v>#N/A</v>
      </c>
      <c r="BA271" t="e">
        <f t="shared" si="111"/>
        <v>#N/A</v>
      </c>
      <c r="BB271" t="e">
        <f t="shared" si="111"/>
        <v>#N/A</v>
      </c>
      <c r="BC271" t="e">
        <f t="shared" si="111"/>
        <v>#N/A</v>
      </c>
      <c r="BD271" t="e">
        <f t="shared" si="111"/>
        <v>#N/A</v>
      </c>
      <c r="BG271" t="e">
        <f t="shared" si="115"/>
        <v>#N/A</v>
      </c>
      <c r="BH271" t="e">
        <f t="shared" si="109"/>
        <v>#N/A</v>
      </c>
      <c r="BI271" t="e">
        <f t="shared" si="112"/>
        <v>#N/A</v>
      </c>
      <c r="BJ271" t="e">
        <f t="shared" si="112"/>
        <v>#N/A</v>
      </c>
      <c r="BK271" t="e">
        <f t="shared" si="112"/>
        <v>#N/A</v>
      </c>
      <c r="BL271" t="e">
        <f t="shared" si="112"/>
        <v>#N/A</v>
      </c>
      <c r="BM271" t="e">
        <f t="shared" si="112"/>
        <v>#N/A</v>
      </c>
      <c r="BP271" t="e">
        <f t="shared" si="116"/>
        <v>#N/A</v>
      </c>
      <c r="BQ271" t="e">
        <f t="shared" si="110"/>
        <v>#N/A</v>
      </c>
      <c r="BR271" t="e">
        <f t="shared" si="113"/>
        <v>#N/A</v>
      </c>
      <c r="BS271" t="e">
        <f t="shared" si="113"/>
        <v>#N/A</v>
      </c>
      <c r="BT271" t="e">
        <f t="shared" si="113"/>
        <v>#N/A</v>
      </c>
      <c r="BU271" t="e">
        <f t="shared" si="113"/>
        <v>#N/A</v>
      </c>
      <c r="BV271" t="e">
        <f t="shared" si="113"/>
        <v>#N/A</v>
      </c>
      <c r="BY271" t="e">
        <f t="shared" si="117"/>
        <v>#N/A</v>
      </c>
      <c r="BZ271" t="e">
        <v>#N/A</v>
      </c>
      <c r="CA271" t="e" cm="1">
        <f t="array" ref="CA271">IF(ISNUMBER(BZ271),AF271/COUNT(IF(ISNUMBER(_xlfn.ANCHORARRAY($BZ$11)),_xlfn.ANCHORARRAY($BZ$11))),NA())</f>
        <v>#N/A</v>
      </c>
      <c r="CB271" t="e">
        <f t="shared" si="118"/>
        <v>#N/A</v>
      </c>
      <c r="CD271" t="e">
        <f t="shared" si="119"/>
        <v>#N/A</v>
      </c>
      <c r="CE271" t="e">
        <f t="shared" si="120"/>
        <v>#N/A</v>
      </c>
      <c r="CG271" t="e">
        <v>#N/A</v>
      </c>
      <c r="CH271" t="e">
        <v>#N/A</v>
      </c>
      <c r="CL271" t="e">
        <f t="shared" si="121"/>
        <v>#N/A</v>
      </c>
      <c r="CM271" t="e">
        <v>#N/A</v>
      </c>
      <c r="CN271" t="e" cm="1">
        <f t="array" ref="CN271">IF(ISNUMBER(CM271),AF271/COUNT(IF(ISNUMBER(_xlfn.ANCHORARRAY($CM$11)),_xlfn.ANCHORARRAY($CM$11))),NA())</f>
        <v>#N/A</v>
      </c>
      <c r="CO271" t="e">
        <f t="shared" si="122"/>
        <v>#N/A</v>
      </c>
      <c r="CQ271" t="e">
        <f t="shared" si="123"/>
        <v>#N/A</v>
      </c>
      <c r="CR271" t="e">
        <f t="shared" si="124"/>
        <v>#N/A</v>
      </c>
      <c r="CT271" t="e">
        <v>#N/A</v>
      </c>
      <c r="CU271" t="e">
        <v>#N/A</v>
      </c>
      <c r="CY271" t="e">
        <f t="shared" si="125"/>
        <v>#N/A</v>
      </c>
      <c r="CZ271" t="e">
        <v>#N/A</v>
      </c>
      <c r="DA271" t="e" cm="1">
        <f t="array" ref="DA271">IF(ISNUMBER(CZ271),AF271/COUNT(IF(ISNUMBER(_xlfn.ANCHORARRAY($CZ$11)),_xlfn.ANCHORARRAY($CZ$11))),NA())</f>
        <v>#N/A</v>
      </c>
      <c r="DB271" t="e">
        <f t="shared" si="126"/>
        <v>#N/A</v>
      </c>
      <c r="DD271" t="e">
        <f t="shared" si="127"/>
        <v>#N/A</v>
      </c>
      <c r="DE271" t="e">
        <f t="shared" si="128"/>
        <v>#N/A</v>
      </c>
      <c r="DG271" t="e">
        <v>#N/A</v>
      </c>
      <c r="DH271" t="e">
        <v>#N/A</v>
      </c>
    </row>
    <row r="272" spans="32:112">
      <c r="AF272">
        <v>262</v>
      </c>
      <c r="AG272" s="401">
        <f>'Lab test'!N265</f>
        <v>762</v>
      </c>
      <c r="AH272" s="401">
        <f>'Lab test'!M265</f>
        <v>0.76962000000000008</v>
      </c>
      <c r="AI272">
        <f>IF('Lab test'!O265&gt;0,'Lab test'!O265,NA())</f>
        <v>762</v>
      </c>
      <c r="AJ272">
        <f>'Lab test'!Q265</f>
        <v>990.09900990099004</v>
      </c>
      <c r="AK272" s="401">
        <f>IF('Lab test'!V265&gt;0,'Lab test'!V265,NA())</f>
        <v>206842.8</v>
      </c>
      <c r="AL272" s="7">
        <f>IF(MAX('Lab test'!W265,'Lab test'!X265)&gt;0,MAX('Lab test'!W265,'Lab test'!X265),NA())</f>
        <v>315.43527</v>
      </c>
      <c r="AM272" s="401">
        <f>IF('Lab test'!P265&gt;0,'Lab test'!P265,NA())</f>
        <v>3.1780497164141407E-2</v>
      </c>
      <c r="AN272" s="401">
        <f>IF('Lab test'!AU265&gt;0,'Lab test'!AU265,NA())</f>
        <v>8.4590163934426227E-2</v>
      </c>
      <c r="AO272" s="401">
        <f>IF('Lab test'!AT265&gt;0,'Lab test'!AT265,NA())</f>
        <v>0.21103265364353677</v>
      </c>
      <c r="AP272">
        <f t="shared" si="107"/>
        <v>1</v>
      </c>
      <c r="AQ272" s="401">
        <f>'Lab test'!AZ265</f>
        <v>1933</v>
      </c>
      <c r="AR272" t="str">
        <f>'Lab test'!AC265</f>
        <v>Miscellaneous</v>
      </c>
      <c r="AS272" t="str">
        <f>'Lab test'!T265</f>
        <v>Steel</v>
      </c>
      <c r="AX272" t="e">
        <f t="shared" si="114"/>
        <v>#N/A</v>
      </c>
      <c r="AY272" t="e">
        <f t="shared" si="108"/>
        <v>#N/A</v>
      </c>
      <c r="AZ272" t="e">
        <f t="shared" si="111"/>
        <v>#N/A</v>
      </c>
      <c r="BA272" t="e">
        <f t="shared" si="111"/>
        <v>#N/A</v>
      </c>
      <c r="BB272" t="e">
        <f t="shared" si="111"/>
        <v>#N/A</v>
      </c>
      <c r="BC272" t="e">
        <f t="shared" si="111"/>
        <v>#N/A</v>
      </c>
      <c r="BD272" t="e">
        <f t="shared" si="111"/>
        <v>#N/A</v>
      </c>
      <c r="BG272" t="e">
        <f t="shared" si="115"/>
        <v>#N/A</v>
      </c>
      <c r="BH272" t="e">
        <f t="shared" si="109"/>
        <v>#N/A</v>
      </c>
      <c r="BI272" t="e">
        <f t="shared" si="112"/>
        <v>#N/A</v>
      </c>
      <c r="BJ272" t="e">
        <f t="shared" si="112"/>
        <v>#N/A</v>
      </c>
      <c r="BK272" t="e">
        <f t="shared" si="112"/>
        <v>#N/A</v>
      </c>
      <c r="BL272" t="e">
        <f t="shared" si="112"/>
        <v>#N/A</v>
      </c>
      <c r="BM272" t="e">
        <f t="shared" si="112"/>
        <v>#N/A</v>
      </c>
      <c r="BP272" t="e">
        <f t="shared" si="116"/>
        <v>#N/A</v>
      </c>
      <c r="BQ272" t="e">
        <f t="shared" si="110"/>
        <v>#N/A</v>
      </c>
      <c r="BR272" t="e">
        <f t="shared" si="113"/>
        <v>#N/A</v>
      </c>
      <c r="BS272" t="e">
        <f t="shared" si="113"/>
        <v>#N/A</v>
      </c>
      <c r="BT272" t="e">
        <f t="shared" si="113"/>
        <v>#N/A</v>
      </c>
      <c r="BU272" t="e">
        <f t="shared" si="113"/>
        <v>#N/A</v>
      </c>
      <c r="BV272" t="e">
        <f t="shared" si="113"/>
        <v>#N/A</v>
      </c>
      <c r="BY272" t="e">
        <f t="shared" si="117"/>
        <v>#N/A</v>
      </c>
      <c r="BZ272" t="e">
        <v>#N/A</v>
      </c>
      <c r="CA272" t="e" cm="1">
        <f t="array" ref="CA272">IF(ISNUMBER(BZ272),AF272/COUNT(IF(ISNUMBER(_xlfn.ANCHORARRAY($BZ$11)),_xlfn.ANCHORARRAY($BZ$11))),NA())</f>
        <v>#N/A</v>
      </c>
      <c r="CB272" t="e">
        <f t="shared" si="118"/>
        <v>#N/A</v>
      </c>
      <c r="CD272" t="e">
        <f t="shared" si="119"/>
        <v>#N/A</v>
      </c>
      <c r="CE272" t="e">
        <f t="shared" si="120"/>
        <v>#N/A</v>
      </c>
      <c r="CG272" t="e">
        <v>#N/A</v>
      </c>
      <c r="CH272" t="e">
        <v>#N/A</v>
      </c>
      <c r="CL272" t="e">
        <f t="shared" si="121"/>
        <v>#N/A</v>
      </c>
      <c r="CM272" t="e">
        <v>#N/A</v>
      </c>
      <c r="CN272" t="e" cm="1">
        <f t="array" ref="CN272">IF(ISNUMBER(CM272),AF272/COUNT(IF(ISNUMBER(_xlfn.ANCHORARRAY($CM$11)),_xlfn.ANCHORARRAY($CM$11))),NA())</f>
        <v>#N/A</v>
      </c>
      <c r="CO272" t="e">
        <f t="shared" si="122"/>
        <v>#N/A</v>
      </c>
      <c r="CQ272" t="e">
        <f t="shared" si="123"/>
        <v>#N/A</v>
      </c>
      <c r="CR272" t="e">
        <f t="shared" si="124"/>
        <v>#N/A</v>
      </c>
      <c r="CT272" t="e">
        <v>#N/A</v>
      </c>
      <c r="CU272" t="e">
        <v>#N/A</v>
      </c>
      <c r="CY272" t="e">
        <f t="shared" si="125"/>
        <v>#N/A</v>
      </c>
      <c r="CZ272" t="e">
        <v>#N/A</v>
      </c>
      <c r="DA272" t="e" cm="1">
        <f t="array" ref="DA272">IF(ISNUMBER(CZ272),AF272/COUNT(IF(ISNUMBER(_xlfn.ANCHORARRAY($CZ$11)),_xlfn.ANCHORARRAY($CZ$11))),NA())</f>
        <v>#N/A</v>
      </c>
      <c r="DB272" t="e">
        <f t="shared" si="126"/>
        <v>#N/A</v>
      </c>
      <c r="DD272" t="e">
        <f t="shared" si="127"/>
        <v>#N/A</v>
      </c>
      <c r="DE272" t="e">
        <f t="shared" si="128"/>
        <v>#N/A</v>
      </c>
      <c r="DG272" t="e">
        <v>#N/A</v>
      </c>
      <c r="DH272" t="e">
        <v>#N/A</v>
      </c>
    </row>
    <row r="273" spans="32:112">
      <c r="AF273">
        <v>263</v>
      </c>
      <c r="AG273" s="401">
        <f>'Lab test'!N266</f>
        <v>254</v>
      </c>
      <c r="AH273" s="401">
        <f>'Lab test'!M266</f>
        <v>0.81</v>
      </c>
      <c r="AI273">
        <f>IF('Lab test'!O266&gt;0,'Lab test'!O266,NA())</f>
        <v>45.211999999999996</v>
      </c>
      <c r="AJ273">
        <f>'Lab test'!Q266</f>
        <v>303</v>
      </c>
      <c r="AK273" s="401">
        <f>IF('Lab test'!V266&gt;0,'Lab test'!V266,NA())</f>
        <v>197000</v>
      </c>
      <c r="AL273" s="7">
        <f>IF(MAX('Lab test'!W266,'Lab test'!X266)&gt;0,MAX('Lab test'!W266,'Lab test'!X266),NA())</f>
        <v>373</v>
      </c>
      <c r="AM273" s="401">
        <f>IF('Lab test'!P266&gt;0,'Lab test'!P266,NA())</f>
        <v>1.0051841998313299E-2</v>
      </c>
      <c r="AN273" s="401">
        <f>IF('Lab test'!AU266&gt;0,'Lab test'!AU266,NA())</f>
        <v>0.71045576407506705</v>
      </c>
      <c r="AO273" s="401">
        <f>IF('Lab test'!AT266&gt;0,'Lab test'!AT266,NA())</f>
        <v>0.69696291321268566</v>
      </c>
      <c r="AP273">
        <f t="shared" si="107"/>
        <v>1</v>
      </c>
      <c r="AQ273" s="401">
        <f>'Lab test'!AZ266</f>
        <v>1987</v>
      </c>
      <c r="AR273" t="str">
        <f>'Lab test'!AC266</f>
        <v>LTWa</v>
      </c>
      <c r="AS273" t="str">
        <f>'Lab test'!T266</f>
        <v>Steel</v>
      </c>
      <c r="AX273" t="e">
        <f t="shared" si="114"/>
        <v>#N/A</v>
      </c>
      <c r="AY273" t="e">
        <f t="shared" si="108"/>
        <v>#N/A</v>
      </c>
      <c r="AZ273" t="e">
        <f t="shared" si="111"/>
        <v>#N/A</v>
      </c>
      <c r="BA273" t="e">
        <f t="shared" si="111"/>
        <v>#N/A</v>
      </c>
      <c r="BB273" t="e">
        <f t="shared" si="111"/>
        <v>#N/A</v>
      </c>
      <c r="BC273" t="e">
        <f t="shared" si="111"/>
        <v>#N/A</v>
      </c>
      <c r="BD273" t="e">
        <f t="shared" si="111"/>
        <v>#N/A</v>
      </c>
      <c r="BG273" t="e">
        <f t="shared" si="115"/>
        <v>#N/A</v>
      </c>
      <c r="BH273" t="e">
        <f t="shared" si="109"/>
        <v>#N/A</v>
      </c>
      <c r="BI273" t="e">
        <f t="shared" si="112"/>
        <v>#N/A</v>
      </c>
      <c r="BJ273" t="e">
        <f t="shared" si="112"/>
        <v>#N/A</v>
      </c>
      <c r="BK273" t="e">
        <f t="shared" si="112"/>
        <v>#N/A</v>
      </c>
      <c r="BL273" t="e">
        <f t="shared" si="112"/>
        <v>#N/A</v>
      </c>
      <c r="BM273" t="e">
        <f t="shared" si="112"/>
        <v>#N/A</v>
      </c>
      <c r="BP273" t="e">
        <f t="shared" si="116"/>
        <v>#N/A</v>
      </c>
      <c r="BQ273" t="e">
        <f t="shared" si="110"/>
        <v>#N/A</v>
      </c>
      <c r="BR273" t="e">
        <f t="shared" si="113"/>
        <v>#N/A</v>
      </c>
      <c r="BS273" t="e">
        <f t="shared" si="113"/>
        <v>#N/A</v>
      </c>
      <c r="BT273" t="e">
        <f t="shared" si="113"/>
        <v>#N/A</v>
      </c>
      <c r="BU273" t="e">
        <f t="shared" si="113"/>
        <v>#N/A</v>
      </c>
      <c r="BV273" t="e">
        <f t="shared" si="113"/>
        <v>#N/A</v>
      </c>
      <c r="BY273" t="e">
        <f t="shared" si="117"/>
        <v>#N/A</v>
      </c>
      <c r="BZ273" t="e">
        <v>#N/A</v>
      </c>
      <c r="CA273" t="e" cm="1">
        <f t="array" ref="CA273">IF(ISNUMBER(BZ273),AF273/COUNT(IF(ISNUMBER(_xlfn.ANCHORARRAY($BZ$11)),_xlfn.ANCHORARRAY($BZ$11))),NA())</f>
        <v>#N/A</v>
      </c>
      <c r="CB273" t="e">
        <f t="shared" si="118"/>
        <v>#N/A</v>
      </c>
      <c r="CD273" t="e">
        <f t="shared" si="119"/>
        <v>#N/A</v>
      </c>
      <c r="CE273" t="e">
        <f t="shared" si="120"/>
        <v>#N/A</v>
      </c>
      <c r="CG273" t="e">
        <v>#N/A</v>
      </c>
      <c r="CH273" t="e">
        <v>#N/A</v>
      </c>
      <c r="CL273" t="e">
        <f t="shared" si="121"/>
        <v>#N/A</v>
      </c>
      <c r="CM273" t="e">
        <v>#N/A</v>
      </c>
      <c r="CN273" t="e" cm="1">
        <f t="array" ref="CN273">IF(ISNUMBER(CM273),AF273/COUNT(IF(ISNUMBER(_xlfn.ANCHORARRAY($CM$11)),_xlfn.ANCHORARRAY($CM$11))),NA())</f>
        <v>#N/A</v>
      </c>
      <c r="CO273" t="e">
        <f t="shared" si="122"/>
        <v>#N/A</v>
      </c>
      <c r="CQ273" t="e">
        <f t="shared" si="123"/>
        <v>#N/A</v>
      </c>
      <c r="CR273" t="e">
        <f t="shared" si="124"/>
        <v>#N/A</v>
      </c>
      <c r="CT273" t="e">
        <v>#N/A</v>
      </c>
      <c r="CU273" t="e">
        <v>#N/A</v>
      </c>
      <c r="CY273" t="e">
        <f t="shared" si="125"/>
        <v>#N/A</v>
      </c>
      <c r="CZ273" t="e">
        <v>#N/A</v>
      </c>
      <c r="DA273" t="e" cm="1">
        <f t="array" ref="DA273">IF(ISNUMBER(CZ273),AF273/COUNT(IF(ISNUMBER(_xlfn.ANCHORARRAY($CZ$11)),_xlfn.ANCHORARRAY($CZ$11))),NA())</f>
        <v>#N/A</v>
      </c>
      <c r="DB273" t="e">
        <f t="shared" si="126"/>
        <v>#N/A</v>
      </c>
      <c r="DD273" t="e">
        <f t="shared" si="127"/>
        <v>#N/A</v>
      </c>
      <c r="DE273" t="e">
        <f t="shared" si="128"/>
        <v>#N/A</v>
      </c>
      <c r="DG273" t="e">
        <v>#N/A</v>
      </c>
      <c r="DH273" t="e">
        <v>#N/A</v>
      </c>
    </row>
    <row r="274" spans="32:112">
      <c r="AF274">
        <v>264</v>
      </c>
      <c r="AG274" s="401">
        <f>'Lab test'!N267</f>
        <v>254</v>
      </c>
      <c r="AH274" s="401">
        <f>'Lab test'!M267</f>
        <v>0.81</v>
      </c>
      <c r="AI274">
        <f>IF('Lab test'!O267&gt;0,'Lab test'!O267,NA())</f>
        <v>106.67999999999999</v>
      </c>
      <c r="AJ274">
        <f>'Lab test'!Q267</f>
        <v>313</v>
      </c>
      <c r="AK274" s="401">
        <f>IF('Lab test'!V267&gt;0,'Lab test'!V267,NA())</f>
        <v>197000</v>
      </c>
      <c r="AL274" s="7">
        <f>IF(MAX('Lab test'!W267,'Lab test'!X267)&gt;0,MAX('Lab test'!W267,'Lab test'!X267),NA())</f>
        <v>390</v>
      </c>
      <c r="AM274" s="401">
        <f>IF('Lab test'!P267&gt;0,'Lab test'!P267,NA())</f>
        <v>2.371782943422239E-2</v>
      </c>
      <c r="AN274" s="401">
        <f>IF('Lab test'!AU267&gt;0,'Lab test'!AU267,NA())</f>
        <v>0.54358974358974355</v>
      </c>
      <c r="AO274" s="401">
        <f>IF('Lab test'!AT267&gt;0,'Lab test'!AT267,NA())</f>
        <v>0.55757033057014849</v>
      </c>
      <c r="AP274">
        <f t="shared" si="107"/>
        <v>1</v>
      </c>
      <c r="AQ274" s="401">
        <f>'Lab test'!AZ267</f>
        <v>1987</v>
      </c>
      <c r="AR274" t="str">
        <f>'Lab test'!AC267</f>
        <v>LTWa</v>
      </c>
      <c r="AS274" t="str">
        <f>'Lab test'!T267</f>
        <v>Steel</v>
      </c>
      <c r="AX274" t="e">
        <f t="shared" si="114"/>
        <v>#N/A</v>
      </c>
      <c r="AY274" t="e">
        <f t="shared" si="108"/>
        <v>#N/A</v>
      </c>
      <c r="AZ274" t="e">
        <f t="shared" si="111"/>
        <v>#N/A</v>
      </c>
      <c r="BA274" t="e">
        <f t="shared" si="111"/>
        <v>#N/A</v>
      </c>
      <c r="BB274" t="e">
        <f t="shared" si="111"/>
        <v>#N/A</v>
      </c>
      <c r="BC274" t="e">
        <f t="shared" si="111"/>
        <v>#N/A</v>
      </c>
      <c r="BD274" t="e">
        <f t="shared" si="111"/>
        <v>#N/A</v>
      </c>
      <c r="BG274" t="e">
        <f t="shared" si="115"/>
        <v>#N/A</v>
      </c>
      <c r="BH274" t="e">
        <f t="shared" si="109"/>
        <v>#N/A</v>
      </c>
      <c r="BI274" t="e">
        <f t="shared" si="112"/>
        <v>#N/A</v>
      </c>
      <c r="BJ274" t="e">
        <f t="shared" si="112"/>
        <v>#N/A</v>
      </c>
      <c r="BK274" t="e">
        <f t="shared" si="112"/>
        <v>#N/A</v>
      </c>
      <c r="BL274" t="e">
        <f t="shared" si="112"/>
        <v>#N/A</v>
      </c>
      <c r="BM274" t="e">
        <f t="shared" si="112"/>
        <v>#N/A</v>
      </c>
      <c r="BP274" t="e">
        <f t="shared" si="116"/>
        <v>#N/A</v>
      </c>
      <c r="BQ274" t="e">
        <f t="shared" si="110"/>
        <v>#N/A</v>
      </c>
      <c r="BR274" t="e">
        <f t="shared" si="113"/>
        <v>#N/A</v>
      </c>
      <c r="BS274" t="e">
        <f t="shared" si="113"/>
        <v>#N/A</v>
      </c>
      <c r="BT274" t="e">
        <f t="shared" si="113"/>
        <v>#N/A</v>
      </c>
      <c r="BU274" t="e">
        <f t="shared" si="113"/>
        <v>#N/A</v>
      </c>
      <c r="BV274" t="e">
        <f t="shared" si="113"/>
        <v>#N/A</v>
      </c>
      <c r="BY274" t="e">
        <f t="shared" si="117"/>
        <v>#N/A</v>
      </c>
      <c r="BZ274" t="e">
        <v>#N/A</v>
      </c>
      <c r="CA274" t="e" cm="1">
        <f t="array" ref="CA274">IF(ISNUMBER(BZ274),AF274/COUNT(IF(ISNUMBER(_xlfn.ANCHORARRAY($BZ$11)),_xlfn.ANCHORARRAY($BZ$11))),NA())</f>
        <v>#N/A</v>
      </c>
      <c r="CB274" t="e">
        <f t="shared" si="118"/>
        <v>#N/A</v>
      </c>
      <c r="CD274" t="e">
        <f t="shared" si="119"/>
        <v>#N/A</v>
      </c>
      <c r="CE274" t="e">
        <f t="shared" si="120"/>
        <v>#N/A</v>
      </c>
      <c r="CG274" t="e">
        <v>#N/A</v>
      </c>
      <c r="CH274" t="e">
        <v>#N/A</v>
      </c>
      <c r="CL274" t="e">
        <f t="shared" si="121"/>
        <v>#N/A</v>
      </c>
      <c r="CM274" t="e">
        <v>#N/A</v>
      </c>
      <c r="CN274" t="e" cm="1">
        <f t="array" ref="CN274">IF(ISNUMBER(CM274),AF274/COUNT(IF(ISNUMBER(_xlfn.ANCHORARRAY($CM$11)),_xlfn.ANCHORARRAY($CM$11))),NA())</f>
        <v>#N/A</v>
      </c>
      <c r="CO274" t="e">
        <f t="shared" si="122"/>
        <v>#N/A</v>
      </c>
      <c r="CQ274" t="e">
        <f t="shared" si="123"/>
        <v>#N/A</v>
      </c>
      <c r="CR274" t="e">
        <f t="shared" si="124"/>
        <v>#N/A</v>
      </c>
      <c r="CT274" t="e">
        <v>#N/A</v>
      </c>
      <c r="CU274" t="e">
        <v>#N/A</v>
      </c>
      <c r="CY274" t="e">
        <f t="shared" si="125"/>
        <v>#N/A</v>
      </c>
      <c r="CZ274" t="e">
        <v>#N/A</v>
      </c>
      <c r="DA274" t="e" cm="1">
        <f t="array" ref="DA274">IF(ISNUMBER(CZ274),AF274/COUNT(IF(ISNUMBER(_xlfn.ANCHORARRAY($CZ$11)),_xlfn.ANCHORARRAY($CZ$11))),NA())</f>
        <v>#N/A</v>
      </c>
      <c r="DB274" t="e">
        <f t="shared" si="126"/>
        <v>#N/A</v>
      </c>
      <c r="DD274" t="e">
        <f t="shared" si="127"/>
        <v>#N/A</v>
      </c>
      <c r="DE274" t="e">
        <f t="shared" si="128"/>
        <v>#N/A</v>
      </c>
      <c r="DG274" t="e">
        <v>#N/A</v>
      </c>
      <c r="DH274" t="e">
        <v>#N/A</v>
      </c>
    </row>
    <row r="275" spans="32:112">
      <c r="AF275">
        <v>265</v>
      </c>
      <c r="AG275" s="401">
        <f>'Lab test'!N268</f>
        <v>254</v>
      </c>
      <c r="AH275" s="401">
        <f>'Lab test'!M268</f>
        <v>0.81</v>
      </c>
      <c r="AI275">
        <f>IF('Lab test'!O268&gt;0,'Lab test'!O268,NA())</f>
        <v>106.426</v>
      </c>
      <c r="AJ275">
        <f>'Lab test'!Q268</f>
        <v>313</v>
      </c>
      <c r="AK275" s="401">
        <f>IF('Lab test'!V268&gt;0,'Lab test'!V268,NA())</f>
        <v>197000</v>
      </c>
      <c r="AL275" s="7">
        <f>IF(MAX('Lab test'!W268,'Lab test'!X268)&gt;0,MAX('Lab test'!W268,'Lab test'!X268),NA())</f>
        <v>412</v>
      </c>
      <c r="AM275" s="401">
        <f>IF('Lab test'!P268&gt;0,'Lab test'!P268,NA())</f>
        <v>2.3661358411759956E-2</v>
      </c>
      <c r="AN275" s="401">
        <f>IF('Lab test'!AU268&gt;0,'Lab test'!AU268,NA())</f>
        <v>0.55024271844660189</v>
      </c>
      <c r="AO275" s="401">
        <f>IF('Lab test'!AT268&gt;0,'Lab test'!AT268,NA())</f>
        <v>0.59623204688798426</v>
      </c>
      <c r="AP275">
        <f t="shared" si="107"/>
        <v>1</v>
      </c>
      <c r="AQ275" s="401">
        <f>'Lab test'!AZ268</f>
        <v>1987</v>
      </c>
      <c r="AR275" t="str">
        <f>'Lab test'!AC268</f>
        <v>LTWa</v>
      </c>
      <c r="AS275" t="str">
        <f>'Lab test'!T268</f>
        <v>Steel</v>
      </c>
      <c r="AX275" t="e">
        <f t="shared" si="114"/>
        <v>#N/A</v>
      </c>
      <c r="AY275" t="e">
        <f t="shared" si="108"/>
        <v>#N/A</v>
      </c>
      <c r="AZ275" t="e">
        <f t="shared" si="111"/>
        <v>#N/A</v>
      </c>
      <c r="BA275" t="e">
        <f t="shared" si="111"/>
        <v>#N/A</v>
      </c>
      <c r="BB275" t="e">
        <f t="shared" si="111"/>
        <v>#N/A</v>
      </c>
      <c r="BC275" t="e">
        <f t="shared" si="111"/>
        <v>#N/A</v>
      </c>
      <c r="BD275" t="e">
        <f t="shared" si="111"/>
        <v>#N/A</v>
      </c>
      <c r="BG275" t="e">
        <f t="shared" si="115"/>
        <v>#N/A</v>
      </c>
      <c r="BH275" t="e">
        <f t="shared" si="109"/>
        <v>#N/A</v>
      </c>
      <c r="BI275" t="e">
        <f t="shared" si="112"/>
        <v>#N/A</v>
      </c>
      <c r="BJ275" t="e">
        <f t="shared" si="112"/>
        <v>#N/A</v>
      </c>
      <c r="BK275" t="e">
        <f t="shared" si="112"/>
        <v>#N/A</v>
      </c>
      <c r="BL275" t="e">
        <f t="shared" si="112"/>
        <v>#N/A</v>
      </c>
      <c r="BM275" t="e">
        <f t="shared" si="112"/>
        <v>#N/A</v>
      </c>
      <c r="BP275" t="e">
        <f t="shared" si="116"/>
        <v>#N/A</v>
      </c>
      <c r="BQ275" t="e">
        <f t="shared" si="110"/>
        <v>#N/A</v>
      </c>
      <c r="BR275" t="e">
        <f t="shared" si="113"/>
        <v>#N/A</v>
      </c>
      <c r="BS275" t="e">
        <f t="shared" si="113"/>
        <v>#N/A</v>
      </c>
      <c r="BT275" t="e">
        <f t="shared" si="113"/>
        <v>#N/A</v>
      </c>
      <c r="BU275" t="e">
        <f t="shared" si="113"/>
        <v>#N/A</v>
      </c>
      <c r="BV275" t="e">
        <f t="shared" si="113"/>
        <v>#N/A</v>
      </c>
      <c r="BY275" t="e">
        <f t="shared" si="117"/>
        <v>#N/A</v>
      </c>
      <c r="BZ275" t="e">
        <v>#N/A</v>
      </c>
      <c r="CA275" t="e" cm="1">
        <f t="array" ref="CA275">IF(ISNUMBER(BZ275),AF275/COUNT(IF(ISNUMBER(_xlfn.ANCHORARRAY($BZ$11)),_xlfn.ANCHORARRAY($BZ$11))),NA())</f>
        <v>#N/A</v>
      </c>
      <c r="CB275" t="e">
        <f t="shared" si="118"/>
        <v>#N/A</v>
      </c>
      <c r="CD275" t="e">
        <f t="shared" si="119"/>
        <v>#N/A</v>
      </c>
      <c r="CE275" t="e">
        <f t="shared" si="120"/>
        <v>#N/A</v>
      </c>
      <c r="CG275" t="e">
        <v>#N/A</v>
      </c>
      <c r="CH275" t="e">
        <v>#N/A</v>
      </c>
      <c r="CL275" t="e">
        <f t="shared" si="121"/>
        <v>#N/A</v>
      </c>
      <c r="CM275" t="e">
        <v>#N/A</v>
      </c>
      <c r="CN275" t="e" cm="1">
        <f t="array" ref="CN275">IF(ISNUMBER(CM275),AF275/COUNT(IF(ISNUMBER(_xlfn.ANCHORARRAY($CM$11)),_xlfn.ANCHORARRAY($CM$11))),NA())</f>
        <v>#N/A</v>
      </c>
      <c r="CO275" t="e">
        <f t="shared" si="122"/>
        <v>#N/A</v>
      </c>
      <c r="CQ275" t="e">
        <f t="shared" si="123"/>
        <v>#N/A</v>
      </c>
      <c r="CR275" t="e">
        <f t="shared" si="124"/>
        <v>#N/A</v>
      </c>
      <c r="CT275" t="e">
        <v>#N/A</v>
      </c>
      <c r="CU275" t="e">
        <v>#N/A</v>
      </c>
      <c r="CY275" t="e">
        <f t="shared" si="125"/>
        <v>#N/A</v>
      </c>
      <c r="CZ275" t="e">
        <v>#N/A</v>
      </c>
      <c r="DA275" t="e" cm="1">
        <f t="array" ref="DA275">IF(ISNUMBER(CZ275),AF275/COUNT(IF(ISNUMBER(_xlfn.ANCHORARRAY($CZ$11)),_xlfn.ANCHORARRAY($CZ$11))),NA())</f>
        <v>#N/A</v>
      </c>
      <c r="DB275" t="e">
        <f t="shared" si="126"/>
        <v>#N/A</v>
      </c>
      <c r="DD275" t="e">
        <f t="shared" si="127"/>
        <v>#N/A</v>
      </c>
      <c r="DE275" t="e">
        <f t="shared" si="128"/>
        <v>#N/A</v>
      </c>
      <c r="DG275" t="e">
        <v>#N/A</v>
      </c>
      <c r="DH275" t="e">
        <v>#N/A</v>
      </c>
    </row>
    <row r="276" spans="32:112">
      <c r="AF276">
        <v>266</v>
      </c>
      <c r="AG276" s="401">
        <f>'Lab test'!N269</f>
        <v>254</v>
      </c>
      <c r="AH276" s="401">
        <f>'Lab test'!M269</f>
        <v>0.81</v>
      </c>
      <c r="AI276">
        <f>IF('Lab test'!O269&gt;0,'Lab test'!O269,NA())</f>
        <v>106.426</v>
      </c>
      <c r="AJ276">
        <f>'Lab test'!Q269</f>
        <v>313</v>
      </c>
      <c r="AK276" s="401">
        <f>IF('Lab test'!V269&gt;0,'Lab test'!V269,NA())</f>
        <v>197000</v>
      </c>
      <c r="AL276" s="7">
        <f>IF(MAX('Lab test'!W269,'Lab test'!X269)&gt;0,MAX('Lab test'!W269,'Lab test'!X269),NA())</f>
        <v>412</v>
      </c>
      <c r="AM276" s="401">
        <f>IF('Lab test'!P269&gt;0,'Lab test'!P269,NA())</f>
        <v>2.3661358411759956E-2</v>
      </c>
      <c r="AN276" s="401">
        <f>IF('Lab test'!AU269&gt;0,'Lab test'!AU269,NA())</f>
        <v>0.56966019417475722</v>
      </c>
      <c r="AO276" s="401">
        <f>IF('Lab test'!AT269&gt;0,'Lab test'!AT269,NA())</f>
        <v>0.61727243672082011</v>
      </c>
      <c r="AP276">
        <f t="shared" si="107"/>
        <v>1</v>
      </c>
      <c r="AQ276" s="401">
        <f>'Lab test'!AZ269</f>
        <v>1987</v>
      </c>
      <c r="AR276" t="str">
        <f>'Lab test'!AC269</f>
        <v>LTWa</v>
      </c>
      <c r="AS276" t="str">
        <f>'Lab test'!T269</f>
        <v>Steel</v>
      </c>
      <c r="AX276" t="e">
        <f t="shared" si="114"/>
        <v>#N/A</v>
      </c>
      <c r="AY276" t="e">
        <f t="shared" si="108"/>
        <v>#N/A</v>
      </c>
      <c r="AZ276" t="e">
        <f t="shared" si="111"/>
        <v>#N/A</v>
      </c>
      <c r="BA276" t="e">
        <f t="shared" si="111"/>
        <v>#N/A</v>
      </c>
      <c r="BB276" t="e">
        <f t="shared" si="111"/>
        <v>#N/A</v>
      </c>
      <c r="BC276" t="e">
        <f t="shared" si="111"/>
        <v>#N/A</v>
      </c>
      <c r="BD276" t="e">
        <f t="shared" si="111"/>
        <v>#N/A</v>
      </c>
      <c r="BG276" t="e">
        <f t="shared" si="115"/>
        <v>#N/A</v>
      </c>
      <c r="BH276" t="e">
        <f t="shared" si="109"/>
        <v>#N/A</v>
      </c>
      <c r="BI276" t="e">
        <f t="shared" si="112"/>
        <v>#N/A</v>
      </c>
      <c r="BJ276" t="e">
        <f t="shared" si="112"/>
        <v>#N/A</v>
      </c>
      <c r="BK276" t="e">
        <f t="shared" si="112"/>
        <v>#N/A</v>
      </c>
      <c r="BL276" t="e">
        <f t="shared" si="112"/>
        <v>#N/A</v>
      </c>
      <c r="BM276" t="e">
        <f t="shared" si="112"/>
        <v>#N/A</v>
      </c>
      <c r="BP276" t="e">
        <f t="shared" si="116"/>
        <v>#N/A</v>
      </c>
      <c r="BQ276" t="e">
        <f t="shared" si="110"/>
        <v>#N/A</v>
      </c>
      <c r="BR276" t="e">
        <f t="shared" si="113"/>
        <v>#N/A</v>
      </c>
      <c r="BS276" t="e">
        <f t="shared" si="113"/>
        <v>#N/A</v>
      </c>
      <c r="BT276" t="e">
        <f t="shared" si="113"/>
        <v>#N/A</v>
      </c>
      <c r="BU276" t="e">
        <f t="shared" si="113"/>
        <v>#N/A</v>
      </c>
      <c r="BV276" t="e">
        <f t="shared" si="113"/>
        <v>#N/A</v>
      </c>
      <c r="BY276" t="e">
        <f t="shared" si="117"/>
        <v>#N/A</v>
      </c>
      <c r="BZ276" t="e">
        <v>#N/A</v>
      </c>
      <c r="CA276" t="e" cm="1">
        <f t="array" ref="CA276">IF(ISNUMBER(BZ276),AF276/COUNT(IF(ISNUMBER(_xlfn.ANCHORARRAY($BZ$11)),_xlfn.ANCHORARRAY($BZ$11))),NA())</f>
        <v>#N/A</v>
      </c>
      <c r="CB276" t="e">
        <f t="shared" si="118"/>
        <v>#N/A</v>
      </c>
      <c r="CD276" t="e">
        <f t="shared" si="119"/>
        <v>#N/A</v>
      </c>
      <c r="CE276" t="e">
        <f t="shared" si="120"/>
        <v>#N/A</v>
      </c>
      <c r="CG276" t="e">
        <v>#N/A</v>
      </c>
      <c r="CH276" t="e">
        <v>#N/A</v>
      </c>
      <c r="CL276" t="e">
        <f t="shared" si="121"/>
        <v>#N/A</v>
      </c>
      <c r="CM276" t="e">
        <v>#N/A</v>
      </c>
      <c r="CN276" t="e" cm="1">
        <f t="array" ref="CN276">IF(ISNUMBER(CM276),AF276/COUNT(IF(ISNUMBER(_xlfn.ANCHORARRAY($CM$11)),_xlfn.ANCHORARRAY($CM$11))),NA())</f>
        <v>#N/A</v>
      </c>
      <c r="CO276" t="e">
        <f t="shared" si="122"/>
        <v>#N/A</v>
      </c>
      <c r="CQ276" t="e">
        <f t="shared" si="123"/>
        <v>#N/A</v>
      </c>
      <c r="CR276" t="e">
        <f t="shared" si="124"/>
        <v>#N/A</v>
      </c>
      <c r="CT276" t="e">
        <v>#N/A</v>
      </c>
      <c r="CU276" t="e">
        <v>#N/A</v>
      </c>
      <c r="CY276" t="e">
        <f t="shared" si="125"/>
        <v>#N/A</v>
      </c>
      <c r="CZ276" t="e">
        <v>#N/A</v>
      </c>
      <c r="DA276" t="e" cm="1">
        <f t="array" ref="DA276">IF(ISNUMBER(CZ276),AF276/COUNT(IF(ISNUMBER(_xlfn.ANCHORARRAY($CZ$11)),_xlfn.ANCHORARRAY($CZ$11))),NA())</f>
        <v>#N/A</v>
      </c>
      <c r="DB276" t="e">
        <f t="shared" si="126"/>
        <v>#N/A</v>
      </c>
      <c r="DD276" t="e">
        <f t="shared" si="127"/>
        <v>#N/A</v>
      </c>
      <c r="DE276" t="e">
        <f t="shared" si="128"/>
        <v>#N/A</v>
      </c>
      <c r="DG276" t="e">
        <v>#N/A</v>
      </c>
      <c r="DH276" t="e">
        <v>#N/A</v>
      </c>
    </row>
    <row r="277" spans="32:112">
      <c r="AF277">
        <v>267</v>
      </c>
      <c r="AG277" s="401">
        <f>'Lab test'!N270</f>
        <v>41.274999999999999</v>
      </c>
      <c r="AH277" s="401">
        <f>'Lab test'!M270</f>
        <v>0.38385749999999996</v>
      </c>
      <c r="AI277">
        <f>IF('Lab test'!O270&gt;0,'Lab test'!O270,NA())</f>
        <v>127</v>
      </c>
      <c r="AJ277">
        <f>'Lab test'!Q270</f>
        <v>107.52688172043011</v>
      </c>
      <c r="AK277" s="401">
        <f>IF('Lab test'!V270&gt;0,'Lab test'!V270,NA())</f>
        <v>222294.32911496531</v>
      </c>
      <c r="AL277" s="7">
        <f>IF(MAX('Lab test'!W270,'Lab test'!X270)&gt;0,MAX('Lab test'!W270,'Lab test'!X270),NA())</f>
        <v>617.77025228799994</v>
      </c>
      <c r="AM277" s="401">
        <f>IF('Lab test'!P270&gt;0,'Lab test'!P270,NA())</f>
        <v>0.29672771572286016</v>
      </c>
      <c r="AN277" s="401">
        <f>IF('Lab test'!AU270&gt;0,'Lab test'!AU270,NA())</f>
        <v>0.97750000000000004</v>
      </c>
      <c r="AO277" s="401">
        <f>IF('Lab test'!AT270&gt;0,'Lab test'!AT270,NA())</f>
        <v>0.48262937231742575</v>
      </c>
      <c r="AP277">
        <f t="shared" si="107"/>
        <v>1</v>
      </c>
      <c r="AQ277" s="401">
        <f>'Lab test'!AZ270</f>
        <v>1928</v>
      </c>
      <c r="AR277" t="str">
        <f>'Lab test'!AC270</f>
        <v>LTWa</v>
      </c>
      <c r="AS277" t="str">
        <f>'Lab test'!T270</f>
        <v>Steel</v>
      </c>
      <c r="AX277" t="e">
        <f t="shared" si="114"/>
        <v>#N/A</v>
      </c>
      <c r="AY277" t="e">
        <f t="shared" si="108"/>
        <v>#N/A</v>
      </c>
      <c r="AZ277" t="e">
        <f t="shared" si="111"/>
        <v>#N/A</v>
      </c>
      <c r="BA277" t="e">
        <f t="shared" si="111"/>
        <v>#N/A</v>
      </c>
      <c r="BB277" t="e">
        <f t="shared" si="111"/>
        <v>#N/A</v>
      </c>
      <c r="BC277" t="e">
        <f t="shared" si="111"/>
        <v>#N/A</v>
      </c>
      <c r="BD277" t="e">
        <f t="shared" si="111"/>
        <v>#N/A</v>
      </c>
      <c r="BG277" t="e">
        <f t="shared" si="115"/>
        <v>#N/A</v>
      </c>
      <c r="BH277" t="e">
        <f t="shared" si="109"/>
        <v>#N/A</v>
      </c>
      <c r="BI277" t="e">
        <f t="shared" si="112"/>
        <v>#N/A</v>
      </c>
      <c r="BJ277" t="e">
        <f t="shared" si="112"/>
        <v>#N/A</v>
      </c>
      <c r="BK277" t="e">
        <f t="shared" si="112"/>
        <v>#N/A</v>
      </c>
      <c r="BL277" t="e">
        <f t="shared" si="112"/>
        <v>#N/A</v>
      </c>
      <c r="BM277" t="e">
        <f t="shared" si="112"/>
        <v>#N/A</v>
      </c>
      <c r="BP277" t="e">
        <f t="shared" si="116"/>
        <v>#N/A</v>
      </c>
      <c r="BQ277" t="e">
        <f t="shared" si="110"/>
        <v>#N/A</v>
      </c>
      <c r="BR277" t="e">
        <f t="shared" si="113"/>
        <v>#N/A</v>
      </c>
      <c r="BS277" t="e">
        <f t="shared" si="113"/>
        <v>#N/A</v>
      </c>
      <c r="BT277" t="e">
        <f t="shared" si="113"/>
        <v>#N/A</v>
      </c>
      <c r="BU277" t="e">
        <f t="shared" si="113"/>
        <v>#N/A</v>
      </c>
      <c r="BV277" t="e">
        <f t="shared" si="113"/>
        <v>#N/A</v>
      </c>
      <c r="BY277" t="e">
        <f t="shared" si="117"/>
        <v>#N/A</v>
      </c>
      <c r="BZ277" t="e">
        <v>#N/A</v>
      </c>
      <c r="CA277" t="e" cm="1">
        <f t="array" ref="CA277">IF(ISNUMBER(BZ277),AF277/COUNT(IF(ISNUMBER(_xlfn.ANCHORARRAY($BZ$11)),_xlfn.ANCHORARRAY($BZ$11))),NA())</f>
        <v>#N/A</v>
      </c>
      <c r="CB277" t="e">
        <f t="shared" si="118"/>
        <v>#N/A</v>
      </c>
      <c r="CD277" t="e">
        <f t="shared" si="119"/>
        <v>#N/A</v>
      </c>
      <c r="CE277" t="e">
        <f t="shared" si="120"/>
        <v>#N/A</v>
      </c>
      <c r="CG277" t="e">
        <v>#N/A</v>
      </c>
      <c r="CH277" t="e">
        <v>#N/A</v>
      </c>
      <c r="CL277" t="e">
        <f t="shared" si="121"/>
        <v>#N/A</v>
      </c>
      <c r="CM277" t="e">
        <v>#N/A</v>
      </c>
      <c r="CN277" t="e" cm="1">
        <f t="array" ref="CN277">IF(ISNUMBER(CM277),AF277/COUNT(IF(ISNUMBER(_xlfn.ANCHORARRAY($CM$11)),_xlfn.ANCHORARRAY($CM$11))),NA())</f>
        <v>#N/A</v>
      </c>
      <c r="CO277" t="e">
        <f t="shared" si="122"/>
        <v>#N/A</v>
      </c>
      <c r="CQ277" t="e">
        <f t="shared" si="123"/>
        <v>#N/A</v>
      </c>
      <c r="CR277" t="e">
        <f t="shared" si="124"/>
        <v>#N/A</v>
      </c>
      <c r="CT277" t="e">
        <v>#N/A</v>
      </c>
      <c r="CU277" t="e">
        <v>#N/A</v>
      </c>
      <c r="CY277" t="e">
        <f t="shared" si="125"/>
        <v>#N/A</v>
      </c>
      <c r="CZ277" t="e">
        <v>#N/A</v>
      </c>
      <c r="DA277" t="e" cm="1">
        <f t="array" ref="DA277">IF(ISNUMBER(CZ277),AF277/COUNT(IF(ISNUMBER(_xlfn.ANCHORARRAY($CZ$11)),_xlfn.ANCHORARRAY($CZ$11))),NA())</f>
        <v>#N/A</v>
      </c>
      <c r="DB277" t="e">
        <f t="shared" si="126"/>
        <v>#N/A</v>
      </c>
      <c r="DD277" t="e">
        <f t="shared" si="127"/>
        <v>#N/A</v>
      </c>
      <c r="DE277" t="e">
        <f t="shared" si="128"/>
        <v>#N/A</v>
      </c>
      <c r="DG277" t="e">
        <v>#N/A</v>
      </c>
      <c r="DH277" t="e">
        <v>#N/A</v>
      </c>
    </row>
    <row r="278" spans="32:112">
      <c r="AF278">
        <v>268</v>
      </c>
      <c r="AG278" s="401">
        <f>'Lab test'!N271</f>
        <v>41.274999999999999</v>
      </c>
      <c r="AH278" s="401">
        <f>'Lab test'!M271</f>
        <v>0.37560250000000001</v>
      </c>
      <c r="AI278">
        <f>IF('Lab test'!O271&gt;0,'Lab test'!O271,NA())</f>
        <v>127</v>
      </c>
      <c r="AJ278">
        <f>'Lab test'!Q271</f>
        <v>109.89010989010988</v>
      </c>
      <c r="AK278" s="401">
        <f>IF('Lab test'!V271&gt;0,'Lab test'!V271,NA())</f>
        <v>222294.32911496531</v>
      </c>
      <c r="AL278" s="7">
        <f>IF(MAX('Lab test'!W271,'Lab test'!X271)&gt;0,MAX('Lab test'!W271,'Lab test'!X271),NA())</f>
        <v>617.77025228799994</v>
      </c>
      <c r="AM278" s="401">
        <f>IF('Lab test'!P271&gt;0,'Lab test'!P271,NA())</f>
        <v>0.29351975428213717</v>
      </c>
      <c r="AN278" s="401">
        <f>IF('Lab test'!AU271&gt;0,'Lab test'!AU271,NA())</f>
        <v>1.0875000000000001</v>
      </c>
      <c r="AO278" s="401">
        <f>IF('Lab test'!AT271&gt;0,'Lab test'!AT271,NA())</f>
        <v>0.54874149847113507</v>
      </c>
      <c r="AP278">
        <f t="shared" si="107"/>
        <v>1</v>
      </c>
      <c r="AQ278" s="401">
        <f>'Lab test'!AZ271</f>
        <v>1928</v>
      </c>
      <c r="AR278" t="str">
        <f>'Lab test'!AC271</f>
        <v>LTWa</v>
      </c>
      <c r="AS278" t="str">
        <f>'Lab test'!T271</f>
        <v>Steel</v>
      </c>
      <c r="AX278" t="e">
        <f t="shared" si="114"/>
        <v>#N/A</v>
      </c>
      <c r="AY278" t="e">
        <f t="shared" si="108"/>
        <v>#N/A</v>
      </c>
      <c r="AZ278" t="e">
        <f t="shared" si="111"/>
        <v>#N/A</v>
      </c>
      <c r="BA278" t="e">
        <f t="shared" si="111"/>
        <v>#N/A</v>
      </c>
      <c r="BB278" t="e">
        <f t="shared" si="111"/>
        <v>#N/A</v>
      </c>
      <c r="BC278" t="e">
        <f t="shared" si="111"/>
        <v>#N/A</v>
      </c>
      <c r="BD278" t="e">
        <f t="shared" si="111"/>
        <v>#N/A</v>
      </c>
      <c r="BG278" t="e">
        <f t="shared" si="115"/>
        <v>#N/A</v>
      </c>
      <c r="BH278" t="e">
        <f t="shared" si="109"/>
        <v>#N/A</v>
      </c>
      <c r="BI278" t="e">
        <f t="shared" si="112"/>
        <v>#N/A</v>
      </c>
      <c r="BJ278" t="e">
        <f t="shared" si="112"/>
        <v>#N/A</v>
      </c>
      <c r="BK278" t="e">
        <f t="shared" si="112"/>
        <v>#N/A</v>
      </c>
      <c r="BL278" t="e">
        <f t="shared" si="112"/>
        <v>#N/A</v>
      </c>
      <c r="BM278" t="e">
        <f t="shared" si="112"/>
        <v>#N/A</v>
      </c>
      <c r="BP278" t="e">
        <f t="shared" si="116"/>
        <v>#N/A</v>
      </c>
      <c r="BQ278" t="e">
        <f t="shared" si="110"/>
        <v>#N/A</v>
      </c>
      <c r="BR278" t="e">
        <f t="shared" si="113"/>
        <v>#N/A</v>
      </c>
      <c r="BS278" t="e">
        <f t="shared" si="113"/>
        <v>#N/A</v>
      </c>
      <c r="BT278" t="e">
        <f t="shared" si="113"/>
        <v>#N/A</v>
      </c>
      <c r="BU278" t="e">
        <f t="shared" si="113"/>
        <v>#N/A</v>
      </c>
      <c r="BV278" t="e">
        <f t="shared" si="113"/>
        <v>#N/A</v>
      </c>
      <c r="BY278" t="e">
        <f t="shared" si="117"/>
        <v>#N/A</v>
      </c>
      <c r="BZ278" t="e">
        <v>#N/A</v>
      </c>
      <c r="CA278" t="e" cm="1">
        <f t="array" ref="CA278">IF(ISNUMBER(BZ278),AF278/COUNT(IF(ISNUMBER(_xlfn.ANCHORARRAY($BZ$11)),_xlfn.ANCHORARRAY($BZ$11))),NA())</f>
        <v>#N/A</v>
      </c>
      <c r="CB278" t="e">
        <f t="shared" si="118"/>
        <v>#N/A</v>
      </c>
      <c r="CD278" t="e">
        <f t="shared" si="119"/>
        <v>#N/A</v>
      </c>
      <c r="CE278" t="e">
        <f t="shared" si="120"/>
        <v>#N/A</v>
      </c>
      <c r="CG278" t="e">
        <v>#N/A</v>
      </c>
      <c r="CH278" t="e">
        <v>#N/A</v>
      </c>
      <c r="CL278" t="e">
        <f t="shared" si="121"/>
        <v>#N/A</v>
      </c>
      <c r="CM278" t="e">
        <v>#N/A</v>
      </c>
      <c r="CN278" t="e" cm="1">
        <f t="array" ref="CN278">IF(ISNUMBER(CM278),AF278/COUNT(IF(ISNUMBER(_xlfn.ANCHORARRAY($CM$11)),_xlfn.ANCHORARRAY($CM$11))),NA())</f>
        <v>#N/A</v>
      </c>
      <c r="CO278" t="e">
        <f t="shared" si="122"/>
        <v>#N/A</v>
      </c>
      <c r="CQ278" t="e">
        <f t="shared" si="123"/>
        <v>#N/A</v>
      </c>
      <c r="CR278" t="e">
        <f t="shared" si="124"/>
        <v>#N/A</v>
      </c>
      <c r="CT278" t="e">
        <v>#N/A</v>
      </c>
      <c r="CU278" t="e">
        <v>#N/A</v>
      </c>
      <c r="CY278" t="e">
        <f t="shared" si="125"/>
        <v>#N/A</v>
      </c>
      <c r="CZ278" t="e">
        <v>#N/A</v>
      </c>
      <c r="DA278" t="e" cm="1">
        <f t="array" ref="DA278">IF(ISNUMBER(CZ278),AF278/COUNT(IF(ISNUMBER(_xlfn.ANCHORARRAY($CZ$11)),_xlfn.ANCHORARRAY($CZ$11))),NA())</f>
        <v>#N/A</v>
      </c>
      <c r="DB278" t="e">
        <f t="shared" si="126"/>
        <v>#N/A</v>
      </c>
      <c r="DD278" t="e">
        <f t="shared" si="127"/>
        <v>#N/A</v>
      </c>
      <c r="DE278" t="e">
        <f t="shared" si="128"/>
        <v>#N/A</v>
      </c>
      <c r="DG278" t="e">
        <v>#N/A</v>
      </c>
      <c r="DH278" t="e">
        <v>#N/A</v>
      </c>
    </row>
    <row r="279" spans="32:112">
      <c r="AF279">
        <v>269</v>
      </c>
      <c r="AG279" s="401">
        <f>'Lab test'!N272</f>
        <v>41.274999999999999</v>
      </c>
      <c r="AH279" s="401">
        <f>'Lab test'!M272</f>
        <v>0.37972999999999996</v>
      </c>
      <c r="AI279">
        <f>IF('Lab test'!O272&gt;0,'Lab test'!O272,NA())</f>
        <v>127</v>
      </c>
      <c r="AJ279">
        <f>'Lab test'!Q272</f>
        <v>108.69565217391305</v>
      </c>
      <c r="AK279" s="401">
        <f>IF('Lab test'!V272&gt;0,'Lab test'!V272,NA())</f>
        <v>222294.32911496531</v>
      </c>
      <c r="AL279" s="7">
        <f>IF(MAX('Lab test'!W272,'Lab test'!X272)&gt;0,MAX('Lab test'!W272,'Lab test'!X272),NA())</f>
        <v>617.77025228799994</v>
      </c>
      <c r="AM279" s="401">
        <f>IF('Lab test'!P272&gt;0,'Lab test'!P272,NA())</f>
        <v>0.29512809374232118</v>
      </c>
      <c r="AN279" s="401">
        <f>IF('Lab test'!AU272&gt;0,'Lab test'!AU272,NA())</f>
        <v>1.0875000000000001</v>
      </c>
      <c r="AO279" s="401">
        <f>IF('Lab test'!AT272&gt;0,'Lab test'!AT272,NA())</f>
        <v>0.54277691696601416</v>
      </c>
      <c r="AP279">
        <f t="shared" ref="AP279:AP342" si="129">IF(AND(OR(ISNUMBER(AN279),ISNUMBER(AO279)),ISNUMBER(AK279),ISNUMBER(AL279)),1,NA())</f>
        <v>1</v>
      </c>
      <c r="AQ279" s="401">
        <f>'Lab test'!AZ272</f>
        <v>1928</v>
      </c>
      <c r="AR279" t="str">
        <f>'Lab test'!AC272</f>
        <v>LTWa</v>
      </c>
      <c r="AS279" t="str">
        <f>'Lab test'!T272</f>
        <v>Steel</v>
      </c>
      <c r="AX279" t="e">
        <f t="shared" si="114"/>
        <v>#N/A</v>
      </c>
      <c r="AY279" t="e">
        <f t="shared" si="108"/>
        <v>#N/A</v>
      </c>
      <c r="AZ279" t="e">
        <f t="shared" si="111"/>
        <v>#N/A</v>
      </c>
      <c r="BA279" t="e">
        <f t="shared" si="111"/>
        <v>#N/A</v>
      </c>
      <c r="BB279" t="e">
        <f t="shared" si="111"/>
        <v>#N/A</v>
      </c>
      <c r="BC279" t="e">
        <f t="shared" si="111"/>
        <v>#N/A</v>
      </c>
      <c r="BD279" t="e">
        <f t="shared" si="111"/>
        <v>#N/A</v>
      </c>
      <c r="BG279" t="e">
        <f t="shared" si="115"/>
        <v>#N/A</v>
      </c>
      <c r="BH279" t="e">
        <f t="shared" si="109"/>
        <v>#N/A</v>
      </c>
      <c r="BI279" t="e">
        <f t="shared" si="112"/>
        <v>#N/A</v>
      </c>
      <c r="BJ279" t="e">
        <f t="shared" si="112"/>
        <v>#N/A</v>
      </c>
      <c r="BK279" t="e">
        <f t="shared" si="112"/>
        <v>#N/A</v>
      </c>
      <c r="BL279" t="e">
        <f t="shared" si="112"/>
        <v>#N/A</v>
      </c>
      <c r="BM279" t="e">
        <f t="shared" si="112"/>
        <v>#N/A</v>
      </c>
      <c r="BP279" t="e">
        <f t="shared" si="116"/>
        <v>#N/A</v>
      </c>
      <c r="BQ279" t="e">
        <f t="shared" si="110"/>
        <v>#N/A</v>
      </c>
      <c r="BR279" t="e">
        <f t="shared" si="113"/>
        <v>#N/A</v>
      </c>
      <c r="BS279" t="e">
        <f t="shared" si="113"/>
        <v>#N/A</v>
      </c>
      <c r="BT279" t="e">
        <f t="shared" si="113"/>
        <v>#N/A</v>
      </c>
      <c r="BU279" t="e">
        <f t="shared" si="113"/>
        <v>#N/A</v>
      </c>
      <c r="BV279" t="e">
        <f t="shared" si="113"/>
        <v>#N/A</v>
      </c>
      <c r="BY279" t="e">
        <f t="shared" si="117"/>
        <v>#N/A</v>
      </c>
      <c r="BZ279" t="e">
        <v>#N/A</v>
      </c>
      <c r="CA279" t="e" cm="1">
        <f t="array" ref="CA279">IF(ISNUMBER(BZ279),AF279/COUNT(IF(ISNUMBER(_xlfn.ANCHORARRAY($BZ$11)),_xlfn.ANCHORARRAY($BZ$11))),NA())</f>
        <v>#N/A</v>
      </c>
      <c r="CB279" t="e">
        <f t="shared" si="118"/>
        <v>#N/A</v>
      </c>
      <c r="CD279" t="e">
        <f t="shared" si="119"/>
        <v>#N/A</v>
      </c>
      <c r="CE279" t="e">
        <f t="shared" si="120"/>
        <v>#N/A</v>
      </c>
      <c r="CG279" t="e">
        <v>#N/A</v>
      </c>
      <c r="CH279" t="e">
        <v>#N/A</v>
      </c>
      <c r="CL279" t="e">
        <f t="shared" si="121"/>
        <v>#N/A</v>
      </c>
      <c r="CM279" t="e">
        <v>#N/A</v>
      </c>
      <c r="CN279" t="e" cm="1">
        <f t="array" ref="CN279">IF(ISNUMBER(CM279),AF279/COUNT(IF(ISNUMBER(_xlfn.ANCHORARRAY($CM$11)),_xlfn.ANCHORARRAY($CM$11))),NA())</f>
        <v>#N/A</v>
      </c>
      <c r="CO279" t="e">
        <f t="shared" si="122"/>
        <v>#N/A</v>
      </c>
      <c r="CQ279" t="e">
        <f t="shared" si="123"/>
        <v>#N/A</v>
      </c>
      <c r="CR279" t="e">
        <f t="shared" si="124"/>
        <v>#N/A</v>
      </c>
      <c r="CT279" t="e">
        <v>#N/A</v>
      </c>
      <c r="CU279" t="e">
        <v>#N/A</v>
      </c>
      <c r="CY279" t="e">
        <f t="shared" si="125"/>
        <v>#N/A</v>
      </c>
      <c r="CZ279" t="e">
        <v>#N/A</v>
      </c>
      <c r="DA279" t="e" cm="1">
        <f t="array" ref="DA279">IF(ISNUMBER(CZ279),AF279/COUNT(IF(ISNUMBER(_xlfn.ANCHORARRAY($CZ$11)),_xlfn.ANCHORARRAY($CZ$11))),NA())</f>
        <v>#N/A</v>
      </c>
      <c r="DB279" t="e">
        <f t="shared" si="126"/>
        <v>#N/A</v>
      </c>
      <c r="DD279" t="e">
        <f t="shared" si="127"/>
        <v>#N/A</v>
      </c>
      <c r="DE279" t="e">
        <f t="shared" si="128"/>
        <v>#N/A</v>
      </c>
      <c r="DG279" t="e">
        <v>#N/A</v>
      </c>
      <c r="DH279" t="e">
        <v>#N/A</v>
      </c>
    </row>
    <row r="280" spans="32:112">
      <c r="AF280">
        <v>270</v>
      </c>
      <c r="AG280" s="401">
        <f>'Lab test'!N273</f>
        <v>63.5</v>
      </c>
      <c r="AH280" s="401">
        <f>'Lab test'!M273</f>
        <v>0.39496999999999999</v>
      </c>
      <c r="AI280">
        <f>IF('Lab test'!O273&gt;0,'Lab test'!O273,NA())</f>
        <v>127</v>
      </c>
      <c r="AJ280">
        <f>'Lab test'!Q273</f>
        <v>160.77170418006432</v>
      </c>
      <c r="AK280" s="401">
        <f>IF('Lab test'!V273&gt;0,'Lab test'!V273,NA())</f>
        <v>222294.32911496531</v>
      </c>
      <c r="AL280" s="7">
        <f>IF(MAX('Lab test'!W273,'Lab test'!X273)&gt;0,MAX('Lab test'!W273,'Lab test'!X273),NA())</f>
        <v>617.77025228799994</v>
      </c>
      <c r="AM280" s="401">
        <f>IF('Lab test'!P273&gt;0,'Lab test'!P273,NA())</f>
        <v>0.15773395322504283</v>
      </c>
      <c r="AN280" s="401">
        <f>IF('Lab test'!AU273&gt;0,'Lab test'!AU273,NA())</f>
        <v>0.75625000000000009</v>
      </c>
      <c r="AO280" s="401">
        <f>IF('Lab test'!AT273&gt;0,'Lab test'!AT273,NA())</f>
        <v>0.55828368256510974</v>
      </c>
      <c r="AP280">
        <f t="shared" si="129"/>
        <v>1</v>
      </c>
      <c r="AQ280" s="401">
        <f>'Lab test'!AZ273</f>
        <v>1928</v>
      </c>
      <c r="AR280" t="str">
        <f>'Lab test'!AC273</f>
        <v>LTWa</v>
      </c>
      <c r="AS280" t="str">
        <f>'Lab test'!T273</f>
        <v>Steel</v>
      </c>
      <c r="AX280" t="e">
        <f t="shared" si="114"/>
        <v>#N/A</v>
      </c>
      <c r="AY280" t="e">
        <f t="shared" si="108"/>
        <v>#N/A</v>
      </c>
      <c r="AZ280" t="e">
        <f t="shared" si="111"/>
        <v>#N/A</v>
      </c>
      <c r="BA280" t="e">
        <f t="shared" si="111"/>
        <v>#N/A</v>
      </c>
      <c r="BB280" t="e">
        <f t="shared" si="111"/>
        <v>#N/A</v>
      </c>
      <c r="BC280" t="e">
        <f t="shared" si="111"/>
        <v>#N/A</v>
      </c>
      <c r="BD280" t="e">
        <f t="shared" si="111"/>
        <v>#N/A</v>
      </c>
      <c r="BG280" t="e">
        <f t="shared" si="115"/>
        <v>#N/A</v>
      </c>
      <c r="BH280" t="e">
        <f t="shared" si="109"/>
        <v>#N/A</v>
      </c>
      <c r="BI280" t="e">
        <f t="shared" si="112"/>
        <v>#N/A</v>
      </c>
      <c r="BJ280" t="e">
        <f t="shared" si="112"/>
        <v>#N/A</v>
      </c>
      <c r="BK280" t="e">
        <f t="shared" si="112"/>
        <v>#N/A</v>
      </c>
      <c r="BL280" t="e">
        <f t="shared" si="112"/>
        <v>#N/A</v>
      </c>
      <c r="BM280" t="e">
        <f t="shared" si="112"/>
        <v>#N/A</v>
      </c>
      <c r="BP280" t="e">
        <f t="shared" si="116"/>
        <v>#N/A</v>
      </c>
      <c r="BQ280" t="e">
        <f t="shared" si="110"/>
        <v>#N/A</v>
      </c>
      <c r="BR280" t="e">
        <f t="shared" si="113"/>
        <v>#N/A</v>
      </c>
      <c r="BS280" t="e">
        <f t="shared" si="113"/>
        <v>#N/A</v>
      </c>
      <c r="BT280" t="e">
        <f t="shared" si="113"/>
        <v>#N/A</v>
      </c>
      <c r="BU280" t="e">
        <f t="shared" si="113"/>
        <v>#N/A</v>
      </c>
      <c r="BV280" t="e">
        <f t="shared" si="113"/>
        <v>#N/A</v>
      </c>
      <c r="BY280" t="e">
        <f t="shared" si="117"/>
        <v>#N/A</v>
      </c>
      <c r="BZ280" t="e">
        <v>#N/A</v>
      </c>
      <c r="CA280" t="e" cm="1">
        <f t="array" ref="CA280">IF(ISNUMBER(BZ280),AF280/COUNT(IF(ISNUMBER(_xlfn.ANCHORARRAY($BZ$11)),_xlfn.ANCHORARRAY($BZ$11))),NA())</f>
        <v>#N/A</v>
      </c>
      <c r="CB280" t="e">
        <f t="shared" si="118"/>
        <v>#N/A</v>
      </c>
      <c r="CD280" t="e">
        <f t="shared" si="119"/>
        <v>#N/A</v>
      </c>
      <c r="CE280" t="e">
        <f t="shared" si="120"/>
        <v>#N/A</v>
      </c>
      <c r="CG280" t="e">
        <v>#N/A</v>
      </c>
      <c r="CH280" t="e">
        <v>#N/A</v>
      </c>
      <c r="CL280" t="e">
        <f t="shared" si="121"/>
        <v>#N/A</v>
      </c>
      <c r="CM280" t="e">
        <v>#N/A</v>
      </c>
      <c r="CN280" t="e" cm="1">
        <f t="array" ref="CN280">IF(ISNUMBER(CM280),AF280/COUNT(IF(ISNUMBER(_xlfn.ANCHORARRAY($CM$11)),_xlfn.ANCHORARRAY($CM$11))),NA())</f>
        <v>#N/A</v>
      </c>
      <c r="CO280" t="e">
        <f t="shared" si="122"/>
        <v>#N/A</v>
      </c>
      <c r="CQ280" t="e">
        <f t="shared" si="123"/>
        <v>#N/A</v>
      </c>
      <c r="CR280" t="e">
        <f t="shared" si="124"/>
        <v>#N/A</v>
      </c>
      <c r="CT280" t="e">
        <v>#N/A</v>
      </c>
      <c r="CU280" t="e">
        <v>#N/A</v>
      </c>
      <c r="CY280" t="e">
        <f t="shared" si="125"/>
        <v>#N/A</v>
      </c>
      <c r="CZ280" t="e">
        <v>#N/A</v>
      </c>
      <c r="DA280" t="e" cm="1">
        <f t="array" ref="DA280">IF(ISNUMBER(CZ280),AF280/COUNT(IF(ISNUMBER(_xlfn.ANCHORARRAY($CZ$11)),_xlfn.ANCHORARRAY($CZ$11))),NA())</f>
        <v>#N/A</v>
      </c>
      <c r="DB280" t="e">
        <f t="shared" si="126"/>
        <v>#N/A</v>
      </c>
      <c r="DD280" t="e">
        <f t="shared" si="127"/>
        <v>#N/A</v>
      </c>
      <c r="DE280" t="e">
        <f t="shared" si="128"/>
        <v>#N/A</v>
      </c>
      <c r="DG280" t="e">
        <v>#N/A</v>
      </c>
      <c r="DH280" t="e">
        <v>#N/A</v>
      </c>
    </row>
    <row r="281" spans="32:112">
      <c r="AF281">
        <v>271</v>
      </c>
      <c r="AG281" s="401">
        <f>'Lab test'!N274</f>
        <v>63.5</v>
      </c>
      <c r="AH281" s="401">
        <f>'Lab test'!M274</f>
        <v>0.38481000000000004</v>
      </c>
      <c r="AI281">
        <f>IF('Lab test'!O274&gt;0,'Lab test'!O274,NA())</f>
        <v>127</v>
      </c>
      <c r="AJ281">
        <f>'Lab test'!Q274</f>
        <v>165.016501650165</v>
      </c>
      <c r="AK281" s="401">
        <f>IF('Lab test'!V274&gt;0,'Lab test'!V274,NA())</f>
        <v>222294.32911496531</v>
      </c>
      <c r="AL281" s="7">
        <f>IF(MAX('Lab test'!W274,'Lab test'!X274)&gt;0,MAX('Lab test'!W274,'Lab test'!X274),NA())</f>
        <v>617.77025228799994</v>
      </c>
      <c r="AM281" s="401">
        <f>IF('Lab test'!P274&gt;0,'Lab test'!P274,NA())</f>
        <v>0.15569200364822852</v>
      </c>
      <c r="AN281" s="401">
        <f>IF('Lab test'!AU274&gt;0,'Lab test'!AU274,NA())</f>
        <v>0.70250000000000012</v>
      </c>
      <c r="AO281" s="401">
        <f>IF('Lab test'!AT274&gt;0,'Lab test'!AT274,NA())</f>
        <v>0.53229653114090503</v>
      </c>
      <c r="AP281">
        <f t="shared" si="129"/>
        <v>1</v>
      </c>
      <c r="AQ281" s="401">
        <f>'Lab test'!AZ274</f>
        <v>1928</v>
      </c>
      <c r="AR281" t="str">
        <f>'Lab test'!AC274</f>
        <v>LTWa</v>
      </c>
      <c r="AS281" t="str">
        <f>'Lab test'!T274</f>
        <v>Steel</v>
      </c>
      <c r="AX281" t="e">
        <f t="shared" si="114"/>
        <v>#N/A</v>
      </c>
      <c r="AY281" t="e">
        <f t="shared" si="108"/>
        <v>#N/A</v>
      </c>
      <c r="AZ281" t="e">
        <f t="shared" si="111"/>
        <v>#N/A</v>
      </c>
      <c r="BA281" t="e">
        <f t="shared" si="111"/>
        <v>#N/A</v>
      </c>
      <c r="BB281" t="e">
        <f t="shared" si="111"/>
        <v>#N/A</v>
      </c>
      <c r="BC281" t="e">
        <f t="shared" si="111"/>
        <v>#N/A</v>
      </c>
      <c r="BD281" t="e">
        <f t="shared" si="111"/>
        <v>#N/A</v>
      </c>
      <c r="BG281" t="e">
        <f t="shared" si="115"/>
        <v>#N/A</v>
      </c>
      <c r="BH281" t="e">
        <f t="shared" si="109"/>
        <v>#N/A</v>
      </c>
      <c r="BI281" t="e">
        <f t="shared" si="112"/>
        <v>#N/A</v>
      </c>
      <c r="BJ281" t="e">
        <f t="shared" si="112"/>
        <v>#N/A</v>
      </c>
      <c r="BK281" t="e">
        <f t="shared" si="112"/>
        <v>#N/A</v>
      </c>
      <c r="BL281" t="e">
        <f t="shared" si="112"/>
        <v>#N/A</v>
      </c>
      <c r="BM281" t="e">
        <f t="shared" si="112"/>
        <v>#N/A</v>
      </c>
      <c r="BP281" t="e">
        <f t="shared" si="116"/>
        <v>#N/A</v>
      </c>
      <c r="BQ281" t="e">
        <f t="shared" si="110"/>
        <v>#N/A</v>
      </c>
      <c r="BR281" t="e">
        <f t="shared" si="113"/>
        <v>#N/A</v>
      </c>
      <c r="BS281" t="e">
        <f t="shared" si="113"/>
        <v>#N/A</v>
      </c>
      <c r="BT281" t="e">
        <f t="shared" si="113"/>
        <v>#N/A</v>
      </c>
      <c r="BU281" t="e">
        <f t="shared" si="113"/>
        <v>#N/A</v>
      </c>
      <c r="BV281" t="e">
        <f t="shared" si="113"/>
        <v>#N/A</v>
      </c>
      <c r="BY281" t="e">
        <f t="shared" si="117"/>
        <v>#N/A</v>
      </c>
      <c r="BZ281" t="e">
        <v>#N/A</v>
      </c>
      <c r="CA281" t="e" cm="1">
        <f t="array" ref="CA281">IF(ISNUMBER(BZ281),AF281/COUNT(IF(ISNUMBER(_xlfn.ANCHORARRAY($BZ$11)),_xlfn.ANCHORARRAY($BZ$11))),NA())</f>
        <v>#N/A</v>
      </c>
      <c r="CB281" t="e">
        <f t="shared" si="118"/>
        <v>#N/A</v>
      </c>
      <c r="CD281" t="e">
        <f t="shared" si="119"/>
        <v>#N/A</v>
      </c>
      <c r="CE281" t="e">
        <f t="shared" si="120"/>
        <v>#N/A</v>
      </c>
      <c r="CG281" t="e">
        <v>#N/A</v>
      </c>
      <c r="CH281" t="e">
        <v>#N/A</v>
      </c>
      <c r="CL281" t="e">
        <f t="shared" si="121"/>
        <v>#N/A</v>
      </c>
      <c r="CM281" t="e">
        <v>#N/A</v>
      </c>
      <c r="CN281" t="e" cm="1">
        <f t="array" ref="CN281">IF(ISNUMBER(CM281),AF281/COUNT(IF(ISNUMBER(_xlfn.ANCHORARRAY($CM$11)),_xlfn.ANCHORARRAY($CM$11))),NA())</f>
        <v>#N/A</v>
      </c>
      <c r="CO281" t="e">
        <f t="shared" si="122"/>
        <v>#N/A</v>
      </c>
      <c r="CQ281" t="e">
        <f t="shared" si="123"/>
        <v>#N/A</v>
      </c>
      <c r="CR281" t="e">
        <f t="shared" si="124"/>
        <v>#N/A</v>
      </c>
      <c r="CT281" t="e">
        <v>#N/A</v>
      </c>
      <c r="CU281" t="e">
        <v>#N/A</v>
      </c>
      <c r="CY281" t="e">
        <f t="shared" si="125"/>
        <v>#N/A</v>
      </c>
      <c r="CZ281" t="e">
        <v>#N/A</v>
      </c>
      <c r="DA281" t="e" cm="1">
        <f t="array" ref="DA281">IF(ISNUMBER(CZ281),AF281/COUNT(IF(ISNUMBER(_xlfn.ANCHORARRAY($CZ$11)),_xlfn.ANCHORARRAY($CZ$11))),NA())</f>
        <v>#N/A</v>
      </c>
      <c r="DB281" t="e">
        <f t="shared" si="126"/>
        <v>#N/A</v>
      </c>
      <c r="DD281" t="e">
        <f t="shared" si="127"/>
        <v>#N/A</v>
      </c>
      <c r="DE281" t="e">
        <f t="shared" si="128"/>
        <v>#N/A</v>
      </c>
      <c r="DG281" t="e">
        <v>#N/A</v>
      </c>
      <c r="DH281" t="e">
        <v>#N/A</v>
      </c>
    </row>
    <row r="282" spans="32:112">
      <c r="AF282">
        <v>272</v>
      </c>
      <c r="AG282" s="401">
        <f>'Lab test'!N275</f>
        <v>101.6</v>
      </c>
      <c r="AH282" s="401">
        <f>'Lab test'!M275</f>
        <v>0.39014399999999994</v>
      </c>
      <c r="AI282">
        <f>IF('Lab test'!O275&gt;0,'Lab test'!O275,NA())</f>
        <v>127</v>
      </c>
      <c r="AJ282">
        <f>'Lab test'!Q275</f>
        <v>260.41666666666669</v>
      </c>
      <c r="AK282" s="401">
        <f>IF('Lab test'!V275&gt;0,'Lab test'!V275,NA())</f>
        <v>222294.32911496531</v>
      </c>
      <c r="AL282" s="7">
        <f>IF(MAX('Lab test'!W275,'Lab test'!X275)&gt;0,MAX('Lab test'!W275,'Lab test'!X275),NA())</f>
        <v>617.77025228799994</v>
      </c>
      <c r="AM282" s="401">
        <f>IF('Lab test'!P275&gt;0,'Lab test'!P275,NA())</f>
        <v>7.7459666924148338E-2</v>
      </c>
      <c r="AN282" s="401">
        <f>IF('Lab test'!AU275&gt;0,'Lab test'!AU275,NA())</f>
        <v>0.42125000000000007</v>
      </c>
      <c r="AO282" s="401">
        <f>IF('Lab test'!AT275&gt;0,'Lab test'!AT275,NA())</f>
        <v>0.50371933469870411</v>
      </c>
      <c r="AP282">
        <f t="shared" si="129"/>
        <v>1</v>
      </c>
      <c r="AQ282" s="401">
        <f>'Lab test'!AZ275</f>
        <v>1928</v>
      </c>
      <c r="AR282" t="str">
        <f>'Lab test'!AC275</f>
        <v>LTWa</v>
      </c>
      <c r="AS282" t="str">
        <f>'Lab test'!T275</f>
        <v>Steel</v>
      </c>
      <c r="AX282" t="e">
        <f t="shared" si="114"/>
        <v>#N/A</v>
      </c>
      <c r="AY282" t="e">
        <f t="shared" si="108"/>
        <v>#N/A</v>
      </c>
      <c r="AZ282" t="e">
        <f t="shared" si="111"/>
        <v>#N/A</v>
      </c>
      <c r="BA282" t="e">
        <f t="shared" si="111"/>
        <v>#N/A</v>
      </c>
      <c r="BB282" t="e">
        <f t="shared" si="111"/>
        <v>#N/A</v>
      </c>
      <c r="BC282" t="e">
        <f t="shared" si="111"/>
        <v>#N/A</v>
      </c>
      <c r="BD282" t="e">
        <f t="shared" si="111"/>
        <v>#N/A</v>
      </c>
      <c r="BG282" t="e">
        <f t="shared" si="115"/>
        <v>#N/A</v>
      </c>
      <c r="BH282" t="e">
        <f t="shared" si="109"/>
        <v>#N/A</v>
      </c>
      <c r="BI282" t="e">
        <f t="shared" si="112"/>
        <v>#N/A</v>
      </c>
      <c r="BJ282" t="e">
        <f t="shared" si="112"/>
        <v>#N/A</v>
      </c>
      <c r="BK282" t="e">
        <f t="shared" si="112"/>
        <v>#N/A</v>
      </c>
      <c r="BL282" t="e">
        <f t="shared" si="112"/>
        <v>#N/A</v>
      </c>
      <c r="BM282" t="e">
        <f t="shared" si="112"/>
        <v>#N/A</v>
      </c>
      <c r="BP282" t="e">
        <f t="shared" si="116"/>
        <v>#N/A</v>
      </c>
      <c r="BQ282" t="e">
        <f t="shared" si="110"/>
        <v>#N/A</v>
      </c>
      <c r="BR282" t="e">
        <f t="shared" si="113"/>
        <v>#N/A</v>
      </c>
      <c r="BS282" t="e">
        <f t="shared" si="113"/>
        <v>#N/A</v>
      </c>
      <c r="BT282" t="e">
        <f t="shared" si="113"/>
        <v>#N/A</v>
      </c>
      <c r="BU282" t="e">
        <f t="shared" si="113"/>
        <v>#N/A</v>
      </c>
      <c r="BV282" t="e">
        <f t="shared" si="113"/>
        <v>#N/A</v>
      </c>
      <c r="BY282" t="e">
        <f t="shared" si="117"/>
        <v>#N/A</v>
      </c>
      <c r="BZ282" t="e">
        <v>#N/A</v>
      </c>
      <c r="CA282" t="e" cm="1">
        <f t="array" ref="CA282">IF(ISNUMBER(BZ282),AF282/COUNT(IF(ISNUMBER(_xlfn.ANCHORARRAY($BZ$11)),_xlfn.ANCHORARRAY($BZ$11))),NA())</f>
        <v>#N/A</v>
      </c>
      <c r="CB282" t="e">
        <f t="shared" si="118"/>
        <v>#N/A</v>
      </c>
      <c r="CD282" t="e">
        <f t="shared" si="119"/>
        <v>#N/A</v>
      </c>
      <c r="CE282" t="e">
        <f t="shared" si="120"/>
        <v>#N/A</v>
      </c>
      <c r="CG282" t="e">
        <v>#N/A</v>
      </c>
      <c r="CH282" t="e">
        <v>#N/A</v>
      </c>
      <c r="CL282" t="e">
        <f t="shared" si="121"/>
        <v>#N/A</v>
      </c>
      <c r="CM282" t="e">
        <v>#N/A</v>
      </c>
      <c r="CN282" t="e" cm="1">
        <f t="array" ref="CN282">IF(ISNUMBER(CM282),AF282/COUNT(IF(ISNUMBER(_xlfn.ANCHORARRAY($CM$11)),_xlfn.ANCHORARRAY($CM$11))),NA())</f>
        <v>#N/A</v>
      </c>
      <c r="CO282" t="e">
        <f t="shared" si="122"/>
        <v>#N/A</v>
      </c>
      <c r="CQ282" t="e">
        <f t="shared" si="123"/>
        <v>#N/A</v>
      </c>
      <c r="CR282" t="e">
        <f t="shared" si="124"/>
        <v>#N/A</v>
      </c>
      <c r="CT282" t="e">
        <v>#N/A</v>
      </c>
      <c r="CU282" t="e">
        <v>#N/A</v>
      </c>
      <c r="CY282" t="e">
        <f t="shared" si="125"/>
        <v>#N/A</v>
      </c>
      <c r="CZ282" t="e">
        <v>#N/A</v>
      </c>
      <c r="DA282" t="e" cm="1">
        <f t="array" ref="DA282">IF(ISNUMBER(CZ282),AF282/COUNT(IF(ISNUMBER(_xlfn.ANCHORARRAY($CZ$11)),_xlfn.ANCHORARRAY($CZ$11))),NA())</f>
        <v>#N/A</v>
      </c>
      <c r="DB282" t="e">
        <f t="shared" si="126"/>
        <v>#N/A</v>
      </c>
      <c r="DD282" t="e">
        <f t="shared" si="127"/>
        <v>#N/A</v>
      </c>
      <c r="DE282" t="e">
        <f t="shared" si="128"/>
        <v>#N/A</v>
      </c>
      <c r="DG282" t="e">
        <v>#N/A</v>
      </c>
      <c r="DH282" t="e">
        <v>#N/A</v>
      </c>
    </row>
    <row r="283" spans="32:112">
      <c r="AF283">
        <v>273</v>
      </c>
      <c r="AG283" s="401">
        <f>'Lab test'!N276</f>
        <v>101.6</v>
      </c>
      <c r="AH283" s="401">
        <f>'Lab test'!M276</f>
        <v>0.37591999999999998</v>
      </c>
      <c r="AI283">
        <f>IF('Lab test'!O276&gt;0,'Lab test'!O276,NA())</f>
        <v>127</v>
      </c>
      <c r="AJ283">
        <f>'Lab test'!Q276</f>
        <v>270.27027027027026</v>
      </c>
      <c r="AK283" s="401">
        <f>IF('Lab test'!V276&gt;0,'Lab test'!V276,NA())</f>
        <v>222294.32911496531</v>
      </c>
      <c r="AL283" s="7">
        <f>IF(MAX('Lab test'!W276,'Lab test'!X276)&gt;0,MAX('Lab test'!W276,'Lab test'!X276),NA())</f>
        <v>617.77025228799994</v>
      </c>
      <c r="AM283" s="401">
        <f>IF('Lab test'!P276&gt;0,'Lab test'!P276,NA())</f>
        <v>7.6034531628727753E-2</v>
      </c>
      <c r="AN283" s="401">
        <f>IF('Lab test'!AU276&gt;0,'Lab test'!AU276,NA())</f>
        <v>0.4875000000000001</v>
      </c>
      <c r="AO283" s="401">
        <f>IF('Lab test'!AT276&gt;0,'Lab test'!AT276,NA())</f>
        <v>0.60499645171607908</v>
      </c>
      <c r="AP283">
        <f t="shared" si="129"/>
        <v>1</v>
      </c>
      <c r="AQ283" s="401">
        <f>'Lab test'!AZ276</f>
        <v>1928</v>
      </c>
      <c r="AR283" t="str">
        <f>'Lab test'!AC276</f>
        <v>LTWa</v>
      </c>
      <c r="AS283" t="str">
        <f>'Lab test'!T276</f>
        <v>Steel</v>
      </c>
      <c r="AX283" t="e">
        <f t="shared" si="114"/>
        <v>#N/A</v>
      </c>
      <c r="AY283" t="e">
        <f t="shared" si="108"/>
        <v>#N/A</v>
      </c>
      <c r="AZ283" t="e">
        <f t="shared" si="111"/>
        <v>#N/A</v>
      </c>
      <c r="BA283" t="e">
        <f t="shared" si="111"/>
        <v>#N/A</v>
      </c>
      <c r="BB283" t="e">
        <f t="shared" si="111"/>
        <v>#N/A</v>
      </c>
      <c r="BC283" t="e">
        <f t="shared" si="111"/>
        <v>#N/A</v>
      </c>
      <c r="BD283" t="e">
        <f t="shared" si="111"/>
        <v>#N/A</v>
      </c>
      <c r="BG283" t="e">
        <f t="shared" si="115"/>
        <v>#N/A</v>
      </c>
      <c r="BH283" t="e">
        <f t="shared" si="109"/>
        <v>#N/A</v>
      </c>
      <c r="BI283" t="e">
        <f t="shared" si="112"/>
        <v>#N/A</v>
      </c>
      <c r="BJ283" t="e">
        <f t="shared" si="112"/>
        <v>#N/A</v>
      </c>
      <c r="BK283" t="e">
        <f t="shared" si="112"/>
        <v>#N/A</v>
      </c>
      <c r="BL283" t="e">
        <f t="shared" si="112"/>
        <v>#N/A</v>
      </c>
      <c r="BM283" t="e">
        <f t="shared" si="112"/>
        <v>#N/A</v>
      </c>
      <c r="BP283" t="e">
        <f t="shared" si="116"/>
        <v>#N/A</v>
      </c>
      <c r="BQ283" t="e">
        <f t="shared" si="110"/>
        <v>#N/A</v>
      </c>
      <c r="BR283" t="e">
        <f t="shared" si="113"/>
        <v>#N/A</v>
      </c>
      <c r="BS283" t="e">
        <f t="shared" si="113"/>
        <v>#N/A</v>
      </c>
      <c r="BT283" t="e">
        <f t="shared" si="113"/>
        <v>#N/A</v>
      </c>
      <c r="BU283" t="e">
        <f t="shared" si="113"/>
        <v>#N/A</v>
      </c>
      <c r="BV283" t="e">
        <f t="shared" si="113"/>
        <v>#N/A</v>
      </c>
      <c r="BY283" t="e">
        <f t="shared" si="117"/>
        <v>#N/A</v>
      </c>
      <c r="BZ283" t="e">
        <v>#N/A</v>
      </c>
      <c r="CA283" t="e" cm="1">
        <f t="array" ref="CA283">IF(ISNUMBER(BZ283),AF283/COUNT(IF(ISNUMBER(_xlfn.ANCHORARRAY($BZ$11)),_xlfn.ANCHORARRAY($BZ$11))),NA())</f>
        <v>#N/A</v>
      </c>
      <c r="CB283" t="e">
        <f t="shared" si="118"/>
        <v>#N/A</v>
      </c>
      <c r="CD283" t="e">
        <f t="shared" si="119"/>
        <v>#N/A</v>
      </c>
      <c r="CE283" t="e">
        <f t="shared" si="120"/>
        <v>#N/A</v>
      </c>
      <c r="CG283" t="e">
        <v>#N/A</v>
      </c>
      <c r="CH283" t="e">
        <v>#N/A</v>
      </c>
      <c r="CL283" t="e">
        <f t="shared" si="121"/>
        <v>#N/A</v>
      </c>
      <c r="CM283" t="e">
        <v>#N/A</v>
      </c>
      <c r="CN283" t="e" cm="1">
        <f t="array" ref="CN283">IF(ISNUMBER(CM283),AF283/COUNT(IF(ISNUMBER(_xlfn.ANCHORARRAY($CM$11)),_xlfn.ANCHORARRAY($CM$11))),NA())</f>
        <v>#N/A</v>
      </c>
      <c r="CO283" t="e">
        <f t="shared" si="122"/>
        <v>#N/A</v>
      </c>
      <c r="CQ283" t="e">
        <f t="shared" si="123"/>
        <v>#N/A</v>
      </c>
      <c r="CR283" t="e">
        <f t="shared" si="124"/>
        <v>#N/A</v>
      </c>
      <c r="CT283" t="e">
        <v>#N/A</v>
      </c>
      <c r="CU283" t="e">
        <v>#N/A</v>
      </c>
      <c r="CY283" t="e">
        <f t="shared" si="125"/>
        <v>#N/A</v>
      </c>
      <c r="CZ283" t="e">
        <v>#N/A</v>
      </c>
      <c r="DA283" t="e" cm="1">
        <f t="array" ref="DA283">IF(ISNUMBER(CZ283),AF283/COUNT(IF(ISNUMBER(_xlfn.ANCHORARRAY($CZ$11)),_xlfn.ANCHORARRAY($CZ$11))),NA())</f>
        <v>#N/A</v>
      </c>
      <c r="DB283" t="e">
        <f t="shared" si="126"/>
        <v>#N/A</v>
      </c>
      <c r="DD283" t="e">
        <f t="shared" si="127"/>
        <v>#N/A</v>
      </c>
      <c r="DE283" t="e">
        <f t="shared" si="128"/>
        <v>#N/A</v>
      </c>
      <c r="DG283" t="e">
        <v>#N/A</v>
      </c>
      <c r="DH283" t="e">
        <v>#N/A</v>
      </c>
    </row>
    <row r="284" spans="32:112">
      <c r="AF284">
        <v>274</v>
      </c>
      <c r="AG284" s="401">
        <f>'Lab test'!N277</f>
        <v>185.73749999999998</v>
      </c>
      <c r="AH284" s="401">
        <f>'Lab test'!M277</f>
        <v>0.3863339999999999</v>
      </c>
      <c r="AI284">
        <f>IF('Lab test'!O277&gt;0,'Lab test'!O277,NA())</f>
        <v>127</v>
      </c>
      <c r="AJ284">
        <f>'Lab test'!Q277</f>
        <v>480.76923076923083</v>
      </c>
      <c r="AK284" s="401">
        <f>IF('Lab test'!V277&gt;0,'Lab test'!V277,NA())</f>
        <v>222294.32911496531</v>
      </c>
      <c r="AL284" s="7">
        <f>IF(MAX('Lab test'!W277,'Lab test'!X277)&gt;0,MAX('Lab test'!W277,'Lab test'!X277),NA())</f>
        <v>617.77025228799994</v>
      </c>
      <c r="AM284" s="401">
        <f>IF('Lab test'!P277&gt;0,'Lab test'!P277,NA())</f>
        <v>3.1184285130916593E-2</v>
      </c>
      <c r="AN284" s="401">
        <f>IF('Lab test'!AU277&gt;0,'Lab test'!AU277,NA())</f>
        <v>0.24375000000000005</v>
      </c>
      <c r="AO284" s="401">
        <f>IF('Lab test'!AT277&gt;0,'Lab test'!AT277,NA())</f>
        <v>0.53809780561285891</v>
      </c>
      <c r="AP284">
        <f t="shared" si="129"/>
        <v>1</v>
      </c>
      <c r="AQ284" s="401">
        <f>'Lab test'!AZ277</f>
        <v>1928</v>
      </c>
      <c r="AR284" t="str">
        <f>'Lab test'!AC277</f>
        <v>LTWa</v>
      </c>
      <c r="AS284" t="str">
        <f>'Lab test'!T277</f>
        <v>Steel</v>
      </c>
      <c r="AX284" t="e">
        <f t="shared" si="114"/>
        <v>#N/A</v>
      </c>
      <c r="AY284" t="e">
        <f t="shared" si="108"/>
        <v>#N/A</v>
      </c>
      <c r="AZ284" t="e">
        <f t="shared" si="111"/>
        <v>#N/A</v>
      </c>
      <c r="BA284" t="e">
        <f t="shared" si="111"/>
        <v>#N/A</v>
      </c>
      <c r="BB284" t="e">
        <f t="shared" si="111"/>
        <v>#N/A</v>
      </c>
      <c r="BC284" t="e">
        <f t="shared" si="111"/>
        <v>#N/A</v>
      </c>
      <c r="BD284" t="e">
        <f t="shared" si="111"/>
        <v>#N/A</v>
      </c>
      <c r="BG284" t="e">
        <f t="shared" si="115"/>
        <v>#N/A</v>
      </c>
      <c r="BH284" t="e">
        <f t="shared" si="109"/>
        <v>#N/A</v>
      </c>
      <c r="BI284" t="e">
        <f t="shared" si="112"/>
        <v>#N/A</v>
      </c>
      <c r="BJ284" t="e">
        <f t="shared" si="112"/>
        <v>#N/A</v>
      </c>
      <c r="BK284" t="e">
        <f t="shared" si="112"/>
        <v>#N/A</v>
      </c>
      <c r="BL284" t="e">
        <f t="shared" si="112"/>
        <v>#N/A</v>
      </c>
      <c r="BM284" t="e">
        <f t="shared" si="112"/>
        <v>#N/A</v>
      </c>
      <c r="BP284" t="e">
        <f t="shared" si="116"/>
        <v>#N/A</v>
      </c>
      <c r="BQ284" t="e">
        <f t="shared" si="110"/>
        <v>#N/A</v>
      </c>
      <c r="BR284" t="e">
        <f t="shared" si="113"/>
        <v>#N/A</v>
      </c>
      <c r="BS284" t="e">
        <f t="shared" si="113"/>
        <v>#N/A</v>
      </c>
      <c r="BT284" t="e">
        <f t="shared" si="113"/>
        <v>#N/A</v>
      </c>
      <c r="BU284" t="e">
        <f t="shared" si="113"/>
        <v>#N/A</v>
      </c>
      <c r="BV284" t="e">
        <f t="shared" si="113"/>
        <v>#N/A</v>
      </c>
      <c r="BY284" t="e">
        <f t="shared" si="117"/>
        <v>#N/A</v>
      </c>
      <c r="BZ284" t="e">
        <v>#N/A</v>
      </c>
      <c r="CA284" t="e" cm="1">
        <f t="array" ref="CA284">IF(ISNUMBER(BZ284),AF284/COUNT(IF(ISNUMBER(_xlfn.ANCHORARRAY($BZ$11)),_xlfn.ANCHORARRAY($BZ$11))),NA())</f>
        <v>#N/A</v>
      </c>
      <c r="CB284" t="e">
        <f t="shared" si="118"/>
        <v>#N/A</v>
      </c>
      <c r="CD284" t="e">
        <f t="shared" si="119"/>
        <v>#N/A</v>
      </c>
      <c r="CE284" t="e">
        <f t="shared" si="120"/>
        <v>#N/A</v>
      </c>
      <c r="CG284" t="e">
        <v>#N/A</v>
      </c>
      <c r="CH284" t="e">
        <v>#N/A</v>
      </c>
      <c r="CL284" t="e">
        <f t="shared" si="121"/>
        <v>#N/A</v>
      </c>
      <c r="CM284" t="e">
        <v>#N/A</v>
      </c>
      <c r="CN284" t="e" cm="1">
        <f t="array" ref="CN284">IF(ISNUMBER(CM284),AF284/COUNT(IF(ISNUMBER(_xlfn.ANCHORARRAY($CM$11)),_xlfn.ANCHORARRAY($CM$11))),NA())</f>
        <v>#N/A</v>
      </c>
      <c r="CO284" t="e">
        <f t="shared" si="122"/>
        <v>#N/A</v>
      </c>
      <c r="CQ284" t="e">
        <f t="shared" si="123"/>
        <v>#N/A</v>
      </c>
      <c r="CR284" t="e">
        <f t="shared" si="124"/>
        <v>#N/A</v>
      </c>
      <c r="CT284" t="e">
        <v>#N/A</v>
      </c>
      <c r="CU284" t="e">
        <v>#N/A</v>
      </c>
      <c r="CY284" t="e">
        <f t="shared" si="125"/>
        <v>#N/A</v>
      </c>
      <c r="CZ284" t="e">
        <v>#N/A</v>
      </c>
      <c r="DA284" t="e" cm="1">
        <f t="array" ref="DA284">IF(ISNUMBER(CZ284),AF284/COUNT(IF(ISNUMBER(_xlfn.ANCHORARRAY($CZ$11)),_xlfn.ANCHORARRAY($CZ$11))),NA())</f>
        <v>#N/A</v>
      </c>
      <c r="DB284" t="e">
        <f t="shared" si="126"/>
        <v>#N/A</v>
      </c>
      <c r="DD284" t="e">
        <f t="shared" si="127"/>
        <v>#N/A</v>
      </c>
      <c r="DE284" t="e">
        <f t="shared" si="128"/>
        <v>#N/A</v>
      </c>
      <c r="DG284" t="e">
        <v>#N/A</v>
      </c>
      <c r="DH284" t="e">
        <v>#N/A</v>
      </c>
    </row>
    <row r="285" spans="32:112">
      <c r="AF285">
        <v>275</v>
      </c>
      <c r="AG285" s="401">
        <f>'Lab test'!N278</f>
        <v>185.73749999999998</v>
      </c>
      <c r="AH285" s="401">
        <f>'Lab test'!M278</f>
        <v>0.36404549999999997</v>
      </c>
      <c r="AI285">
        <f>IF('Lab test'!O278&gt;0,'Lab test'!O278,NA())</f>
        <v>127</v>
      </c>
      <c r="AJ285">
        <f>'Lab test'!Q278</f>
        <v>510.20408163265307</v>
      </c>
      <c r="AK285" s="401">
        <f>IF('Lab test'!V278&gt;0,'Lab test'!V278,NA())</f>
        <v>222294.32911496531</v>
      </c>
      <c r="AL285" s="7">
        <f>IF(MAX('Lab test'!W278,'Lab test'!X278)&gt;0,MAX('Lab test'!W278,'Lab test'!X278),NA())</f>
        <v>617.77025228799994</v>
      </c>
      <c r="AM285" s="401">
        <f>IF('Lab test'!P278&gt;0,'Lab test'!P278,NA())</f>
        <v>3.0271375892210128E-2</v>
      </c>
      <c r="AN285" s="401">
        <f>IF('Lab test'!AU278&gt;0,'Lab test'!AU278,NA())</f>
        <v>0.16900000000000001</v>
      </c>
      <c r="AO285" s="401">
        <f>IF('Lab test'!AT278&gt;0,'Lab test'!AT278,NA())</f>
        <v>0.39592284799378785</v>
      </c>
      <c r="AP285">
        <f t="shared" si="129"/>
        <v>1</v>
      </c>
      <c r="AQ285" s="401">
        <f>'Lab test'!AZ278</f>
        <v>1928</v>
      </c>
      <c r="AR285" t="str">
        <f>'Lab test'!AC278</f>
        <v>LTWa</v>
      </c>
      <c r="AS285" t="str">
        <f>'Lab test'!T278</f>
        <v>Steel</v>
      </c>
      <c r="AX285" t="e">
        <f t="shared" si="114"/>
        <v>#N/A</v>
      </c>
      <c r="AY285" t="e">
        <f t="shared" si="108"/>
        <v>#N/A</v>
      </c>
      <c r="AZ285" t="e">
        <f t="shared" si="111"/>
        <v>#N/A</v>
      </c>
      <c r="BA285" t="e">
        <f t="shared" si="111"/>
        <v>#N/A</v>
      </c>
      <c r="BB285" t="e">
        <f t="shared" si="111"/>
        <v>#N/A</v>
      </c>
      <c r="BC285" t="e">
        <f t="shared" si="111"/>
        <v>#N/A</v>
      </c>
      <c r="BD285" t="e">
        <f t="shared" si="111"/>
        <v>#N/A</v>
      </c>
      <c r="BG285" t="e">
        <f t="shared" si="115"/>
        <v>#N/A</v>
      </c>
      <c r="BH285" t="e">
        <f t="shared" si="109"/>
        <v>#N/A</v>
      </c>
      <c r="BI285" t="e">
        <f t="shared" si="112"/>
        <v>#N/A</v>
      </c>
      <c r="BJ285" t="e">
        <f t="shared" si="112"/>
        <v>#N/A</v>
      </c>
      <c r="BK285" t="e">
        <f t="shared" si="112"/>
        <v>#N/A</v>
      </c>
      <c r="BL285" t="e">
        <f t="shared" si="112"/>
        <v>#N/A</v>
      </c>
      <c r="BM285" t="e">
        <f t="shared" si="112"/>
        <v>#N/A</v>
      </c>
      <c r="BP285" t="e">
        <f t="shared" si="116"/>
        <v>#N/A</v>
      </c>
      <c r="BQ285" t="e">
        <f t="shared" si="110"/>
        <v>#N/A</v>
      </c>
      <c r="BR285" t="e">
        <f t="shared" si="113"/>
        <v>#N/A</v>
      </c>
      <c r="BS285" t="e">
        <f t="shared" si="113"/>
        <v>#N/A</v>
      </c>
      <c r="BT285" t="e">
        <f t="shared" si="113"/>
        <v>#N/A</v>
      </c>
      <c r="BU285" t="e">
        <f t="shared" si="113"/>
        <v>#N/A</v>
      </c>
      <c r="BV285" t="e">
        <f t="shared" si="113"/>
        <v>#N/A</v>
      </c>
      <c r="BY285" t="e">
        <f t="shared" si="117"/>
        <v>#N/A</v>
      </c>
      <c r="BZ285" t="e">
        <v>#N/A</v>
      </c>
      <c r="CA285" t="e" cm="1">
        <f t="array" ref="CA285">IF(ISNUMBER(BZ285),AF285/COUNT(IF(ISNUMBER(_xlfn.ANCHORARRAY($BZ$11)),_xlfn.ANCHORARRAY($BZ$11))),NA())</f>
        <v>#N/A</v>
      </c>
      <c r="CB285" t="e">
        <f t="shared" si="118"/>
        <v>#N/A</v>
      </c>
      <c r="CD285" t="e">
        <f t="shared" si="119"/>
        <v>#N/A</v>
      </c>
      <c r="CE285" t="e">
        <f t="shared" si="120"/>
        <v>#N/A</v>
      </c>
      <c r="CG285" t="e">
        <v>#N/A</v>
      </c>
      <c r="CH285" t="e">
        <v>#N/A</v>
      </c>
      <c r="CL285" t="e">
        <f t="shared" si="121"/>
        <v>#N/A</v>
      </c>
      <c r="CM285" t="e">
        <v>#N/A</v>
      </c>
      <c r="CN285" t="e" cm="1">
        <f t="array" ref="CN285">IF(ISNUMBER(CM285),AF285/COUNT(IF(ISNUMBER(_xlfn.ANCHORARRAY($CM$11)),_xlfn.ANCHORARRAY($CM$11))),NA())</f>
        <v>#N/A</v>
      </c>
      <c r="CO285" t="e">
        <f t="shared" si="122"/>
        <v>#N/A</v>
      </c>
      <c r="CQ285" t="e">
        <f t="shared" si="123"/>
        <v>#N/A</v>
      </c>
      <c r="CR285" t="e">
        <f t="shared" si="124"/>
        <v>#N/A</v>
      </c>
      <c r="CT285" t="e">
        <v>#N/A</v>
      </c>
      <c r="CU285" t="e">
        <v>#N/A</v>
      </c>
      <c r="CY285" t="e">
        <f t="shared" si="125"/>
        <v>#N/A</v>
      </c>
      <c r="CZ285" t="e">
        <v>#N/A</v>
      </c>
      <c r="DA285" t="e" cm="1">
        <f t="array" ref="DA285">IF(ISNUMBER(CZ285),AF285/COUNT(IF(ISNUMBER(_xlfn.ANCHORARRAY($CZ$11)),_xlfn.ANCHORARRAY($CZ$11))),NA())</f>
        <v>#N/A</v>
      </c>
      <c r="DB285" t="e">
        <f t="shared" si="126"/>
        <v>#N/A</v>
      </c>
      <c r="DD285" t="e">
        <f t="shared" si="127"/>
        <v>#N/A</v>
      </c>
      <c r="DE285" t="e">
        <f t="shared" si="128"/>
        <v>#N/A</v>
      </c>
      <c r="DG285" t="e">
        <v>#N/A</v>
      </c>
      <c r="DH285" t="e">
        <v>#N/A</v>
      </c>
    </row>
    <row r="286" spans="32:112">
      <c r="AF286">
        <v>276</v>
      </c>
      <c r="AG286" s="401">
        <f>'Lab test'!N279</f>
        <v>50.875</v>
      </c>
      <c r="AH286" s="401">
        <f>'Lab test'!M279</f>
        <v>1.9</v>
      </c>
      <c r="AI286">
        <f>IF('Lab test'!O279&gt;0,'Lab test'!O279,NA())</f>
        <v>300</v>
      </c>
      <c r="AJ286">
        <f>'Lab test'!Q279</f>
        <v>26.776315789473685</v>
      </c>
      <c r="AK286" s="401">
        <f>IF('Lab test'!V279&gt;0,'Lab test'!V279,NA())</f>
        <v>192392</v>
      </c>
      <c r="AL286" s="7">
        <f>IF(MAX('Lab test'!W279,'Lab test'!X279)&gt;0,MAX('Lab test'!W279,'Lab test'!X279),NA())</f>
        <v>277</v>
      </c>
      <c r="AM286" s="401">
        <f>IF('Lab test'!P279&gt;0,'Lab test'!P279,NA())</f>
        <v>1.139571086955977</v>
      </c>
      <c r="AN286" s="401">
        <f>IF('Lab test'!AU279&gt;0,'Lab test'!AU279,NA())</f>
        <v>1.0342644271697803</v>
      </c>
      <c r="AO286" s="401">
        <f>IF('Lab test'!AT279&gt;0,'Lab test'!AT279,NA())</f>
        <v>6.5880440172496016E-2</v>
      </c>
      <c r="AP286">
        <f t="shared" si="129"/>
        <v>1</v>
      </c>
      <c r="AQ286" s="401">
        <f>'Lab test'!AZ279</f>
        <v>2016</v>
      </c>
      <c r="AR286" t="str">
        <f>'Lab test'!AC279</f>
        <v>LTWa</v>
      </c>
      <c r="AS286" t="str">
        <f>'Lab test'!T279</f>
        <v>Steel</v>
      </c>
      <c r="AX286" t="e">
        <f t="shared" si="114"/>
        <v>#N/A</v>
      </c>
      <c r="AY286" t="e">
        <f t="shared" si="108"/>
        <v>#N/A</v>
      </c>
      <c r="AZ286" t="e">
        <f t="shared" si="111"/>
        <v>#N/A</v>
      </c>
      <c r="BA286" t="e">
        <f t="shared" si="111"/>
        <v>#N/A</v>
      </c>
      <c r="BB286" t="e">
        <f t="shared" si="111"/>
        <v>#N/A</v>
      </c>
      <c r="BC286" t="e">
        <f t="shared" si="111"/>
        <v>#N/A</v>
      </c>
      <c r="BD286" t="e">
        <f t="shared" si="111"/>
        <v>#N/A</v>
      </c>
      <c r="BG286" t="e">
        <f t="shared" si="115"/>
        <v>#N/A</v>
      </c>
      <c r="BH286" t="e">
        <f t="shared" si="109"/>
        <v>#N/A</v>
      </c>
      <c r="BI286" t="e">
        <f t="shared" si="112"/>
        <v>#N/A</v>
      </c>
      <c r="BJ286" t="e">
        <f t="shared" si="112"/>
        <v>#N/A</v>
      </c>
      <c r="BK286" t="e">
        <f t="shared" si="112"/>
        <v>#N/A</v>
      </c>
      <c r="BL286" t="e">
        <f t="shared" si="112"/>
        <v>#N/A</v>
      </c>
      <c r="BM286" t="e">
        <f t="shared" si="112"/>
        <v>#N/A</v>
      </c>
      <c r="BP286" t="e">
        <f t="shared" si="116"/>
        <v>#N/A</v>
      </c>
      <c r="BQ286" t="e">
        <f t="shared" si="110"/>
        <v>#N/A</v>
      </c>
      <c r="BR286" t="e">
        <f t="shared" si="113"/>
        <v>#N/A</v>
      </c>
      <c r="BS286" t="e">
        <f t="shared" si="113"/>
        <v>#N/A</v>
      </c>
      <c r="BT286" t="e">
        <f t="shared" si="113"/>
        <v>#N/A</v>
      </c>
      <c r="BU286" t="e">
        <f t="shared" si="113"/>
        <v>#N/A</v>
      </c>
      <c r="BV286" t="e">
        <f t="shared" si="113"/>
        <v>#N/A</v>
      </c>
      <c r="BY286" t="e">
        <f t="shared" si="117"/>
        <v>#N/A</v>
      </c>
      <c r="BZ286" t="e">
        <v>#N/A</v>
      </c>
      <c r="CA286" t="e" cm="1">
        <f t="array" ref="CA286">IF(ISNUMBER(BZ286),AF286/COUNT(IF(ISNUMBER(_xlfn.ANCHORARRAY($BZ$11)),_xlfn.ANCHORARRAY($BZ$11))),NA())</f>
        <v>#N/A</v>
      </c>
      <c r="CB286" t="e">
        <f t="shared" si="118"/>
        <v>#N/A</v>
      </c>
      <c r="CD286" t="e">
        <f t="shared" si="119"/>
        <v>#N/A</v>
      </c>
      <c r="CE286" t="e">
        <f t="shared" si="120"/>
        <v>#N/A</v>
      </c>
      <c r="CG286" t="e">
        <v>#N/A</v>
      </c>
      <c r="CH286" t="e">
        <v>#N/A</v>
      </c>
      <c r="CL286" t="e">
        <f t="shared" si="121"/>
        <v>#N/A</v>
      </c>
      <c r="CM286" t="e">
        <v>#N/A</v>
      </c>
      <c r="CN286" t="e" cm="1">
        <f t="array" ref="CN286">IF(ISNUMBER(CM286),AF286/COUNT(IF(ISNUMBER(_xlfn.ANCHORARRAY($CM$11)),_xlfn.ANCHORARRAY($CM$11))),NA())</f>
        <v>#N/A</v>
      </c>
      <c r="CO286" t="e">
        <f t="shared" si="122"/>
        <v>#N/A</v>
      </c>
      <c r="CQ286" t="e">
        <f t="shared" si="123"/>
        <v>#N/A</v>
      </c>
      <c r="CR286" t="e">
        <f t="shared" si="124"/>
        <v>#N/A</v>
      </c>
      <c r="CT286" t="e">
        <v>#N/A</v>
      </c>
      <c r="CU286" t="e">
        <v>#N/A</v>
      </c>
      <c r="CY286" t="e">
        <f t="shared" si="125"/>
        <v>#N/A</v>
      </c>
      <c r="CZ286" t="e">
        <v>#N/A</v>
      </c>
      <c r="DA286" t="e" cm="1">
        <f t="array" ref="DA286">IF(ISNUMBER(CZ286),AF286/COUNT(IF(ISNUMBER(_xlfn.ANCHORARRAY($CZ$11)),_xlfn.ANCHORARRAY($CZ$11))),NA())</f>
        <v>#N/A</v>
      </c>
      <c r="DB286" t="e">
        <f t="shared" si="126"/>
        <v>#N/A</v>
      </c>
      <c r="DD286" t="e">
        <f t="shared" si="127"/>
        <v>#N/A</v>
      </c>
      <c r="DE286" t="e">
        <f t="shared" si="128"/>
        <v>#N/A</v>
      </c>
      <c r="DG286" t="e">
        <v>#N/A</v>
      </c>
      <c r="DH286" t="e">
        <v>#N/A</v>
      </c>
    </row>
    <row r="287" spans="32:112">
      <c r="AF287">
        <v>277</v>
      </c>
      <c r="AG287" s="401">
        <f>'Lab test'!N280</f>
        <v>75.75</v>
      </c>
      <c r="AH287" s="401">
        <f>'Lab test'!M280</f>
        <v>1.9</v>
      </c>
      <c r="AI287">
        <f>IF('Lab test'!O280&gt;0,'Lab test'!O280,NA())</f>
        <v>450</v>
      </c>
      <c r="AJ287">
        <f>'Lab test'!Q280</f>
        <v>39.868421052631582</v>
      </c>
      <c r="AK287" s="401">
        <f>IF('Lab test'!V280&gt;0,'Lab test'!V280,NA())</f>
        <v>192392</v>
      </c>
      <c r="AL287" s="7">
        <f>IF(MAX('Lab test'!W280,'Lab test'!X280)&gt;0,MAX('Lab test'!W280,'Lab test'!X280),NA())</f>
        <v>277</v>
      </c>
      <c r="AM287" s="401">
        <f>IF('Lab test'!P280&gt;0,'Lab test'!P280,NA())</f>
        <v>0.94083910149930083</v>
      </c>
      <c r="AN287" s="401">
        <f>IF('Lab test'!AU280&gt;0,'Lab test'!AU280,NA())</f>
        <v>1.024778471330511</v>
      </c>
      <c r="AO287" s="401">
        <f>IF('Lab test'!AT280&gt;0,'Lab test'!AT280,NA())</f>
        <v>9.7192580415400728E-2</v>
      </c>
      <c r="AP287">
        <f t="shared" si="129"/>
        <v>1</v>
      </c>
      <c r="AQ287" s="401">
        <f>'Lab test'!AZ280</f>
        <v>2016</v>
      </c>
      <c r="AR287" t="str">
        <f>'Lab test'!AC280</f>
        <v>LTWa</v>
      </c>
      <c r="AS287" t="str">
        <f>'Lab test'!T280</f>
        <v>Steel</v>
      </c>
      <c r="AX287" t="e">
        <f t="shared" si="114"/>
        <v>#N/A</v>
      </c>
      <c r="AY287" t="e">
        <f t="shared" si="108"/>
        <v>#N/A</v>
      </c>
      <c r="AZ287" t="e">
        <f t="shared" si="111"/>
        <v>#N/A</v>
      </c>
      <c r="BA287" t="e">
        <f t="shared" si="111"/>
        <v>#N/A</v>
      </c>
      <c r="BB287" t="e">
        <f t="shared" si="111"/>
        <v>#N/A</v>
      </c>
      <c r="BC287" t="e">
        <f t="shared" si="111"/>
        <v>#N/A</v>
      </c>
      <c r="BD287" t="e">
        <f t="shared" si="111"/>
        <v>#N/A</v>
      </c>
      <c r="BG287" t="e">
        <f t="shared" si="115"/>
        <v>#N/A</v>
      </c>
      <c r="BH287" t="e">
        <f t="shared" si="109"/>
        <v>#N/A</v>
      </c>
      <c r="BI287" t="e">
        <f t="shared" si="112"/>
        <v>#N/A</v>
      </c>
      <c r="BJ287" t="e">
        <f t="shared" si="112"/>
        <v>#N/A</v>
      </c>
      <c r="BK287" t="e">
        <f t="shared" si="112"/>
        <v>#N/A</v>
      </c>
      <c r="BL287" t="e">
        <f t="shared" si="112"/>
        <v>#N/A</v>
      </c>
      <c r="BM287" t="e">
        <f t="shared" si="112"/>
        <v>#N/A</v>
      </c>
      <c r="BP287" t="e">
        <f t="shared" si="116"/>
        <v>#N/A</v>
      </c>
      <c r="BQ287" t="e">
        <f t="shared" si="110"/>
        <v>#N/A</v>
      </c>
      <c r="BR287" t="e">
        <f t="shared" si="113"/>
        <v>#N/A</v>
      </c>
      <c r="BS287" t="e">
        <f t="shared" si="113"/>
        <v>#N/A</v>
      </c>
      <c r="BT287" t="e">
        <f t="shared" si="113"/>
        <v>#N/A</v>
      </c>
      <c r="BU287" t="e">
        <f t="shared" si="113"/>
        <v>#N/A</v>
      </c>
      <c r="BV287" t="e">
        <f t="shared" si="113"/>
        <v>#N/A</v>
      </c>
      <c r="BY287" t="e">
        <f t="shared" si="117"/>
        <v>#N/A</v>
      </c>
      <c r="BZ287" t="e">
        <v>#N/A</v>
      </c>
      <c r="CA287" t="e" cm="1">
        <f t="array" ref="CA287">IF(ISNUMBER(BZ287),AF287/COUNT(IF(ISNUMBER(_xlfn.ANCHORARRAY($BZ$11)),_xlfn.ANCHORARRAY($BZ$11))),NA())</f>
        <v>#N/A</v>
      </c>
      <c r="CB287" t="e">
        <f t="shared" si="118"/>
        <v>#N/A</v>
      </c>
      <c r="CD287" t="e">
        <f t="shared" si="119"/>
        <v>#N/A</v>
      </c>
      <c r="CE287" t="e">
        <f t="shared" si="120"/>
        <v>#N/A</v>
      </c>
      <c r="CG287" t="e">
        <v>#N/A</v>
      </c>
      <c r="CH287" t="e">
        <v>#N/A</v>
      </c>
      <c r="CL287" t="e">
        <f t="shared" si="121"/>
        <v>#N/A</v>
      </c>
      <c r="CM287" t="e">
        <v>#N/A</v>
      </c>
      <c r="CN287" t="e" cm="1">
        <f t="array" ref="CN287">IF(ISNUMBER(CM287),AF287/COUNT(IF(ISNUMBER(_xlfn.ANCHORARRAY($CM$11)),_xlfn.ANCHORARRAY($CM$11))),NA())</f>
        <v>#N/A</v>
      </c>
      <c r="CO287" t="e">
        <f t="shared" si="122"/>
        <v>#N/A</v>
      </c>
      <c r="CQ287" t="e">
        <f t="shared" si="123"/>
        <v>#N/A</v>
      </c>
      <c r="CR287" t="e">
        <f t="shared" si="124"/>
        <v>#N/A</v>
      </c>
      <c r="CT287" t="e">
        <v>#N/A</v>
      </c>
      <c r="CU287" t="e">
        <v>#N/A</v>
      </c>
      <c r="CY287" t="e">
        <f t="shared" si="125"/>
        <v>#N/A</v>
      </c>
      <c r="CZ287" t="e">
        <v>#N/A</v>
      </c>
      <c r="DA287" t="e" cm="1">
        <f t="array" ref="DA287">IF(ISNUMBER(CZ287),AF287/COUNT(IF(ISNUMBER(_xlfn.ANCHORARRAY($CZ$11)),_xlfn.ANCHORARRAY($CZ$11))),NA())</f>
        <v>#N/A</v>
      </c>
      <c r="DB287" t="e">
        <f t="shared" si="126"/>
        <v>#N/A</v>
      </c>
      <c r="DD287" t="e">
        <f t="shared" si="127"/>
        <v>#N/A</v>
      </c>
      <c r="DE287" t="e">
        <f t="shared" si="128"/>
        <v>#N/A</v>
      </c>
      <c r="DG287" t="e">
        <v>#N/A</v>
      </c>
      <c r="DH287" t="e">
        <v>#N/A</v>
      </c>
    </row>
    <row r="288" spans="32:112">
      <c r="AF288">
        <v>278</v>
      </c>
      <c r="AG288" s="401">
        <f>'Lab test'!N281</f>
        <v>102</v>
      </c>
      <c r="AH288" s="401">
        <f>'Lab test'!M281</f>
        <v>1.9</v>
      </c>
      <c r="AI288">
        <f>IF('Lab test'!O281&gt;0,'Lab test'!O281,NA())</f>
        <v>600</v>
      </c>
      <c r="AJ288">
        <f>'Lab test'!Q281</f>
        <v>53.684210526315795</v>
      </c>
      <c r="AK288" s="401">
        <f>IF('Lab test'!V281&gt;0,'Lab test'!V281,NA())</f>
        <v>192392</v>
      </c>
      <c r="AL288" s="7">
        <f>IF(MAX('Lab test'!W281,'Lab test'!X281)&gt;0,MAX('Lab test'!W281,'Lab test'!X281),NA())</f>
        <v>277</v>
      </c>
      <c r="AM288" s="401">
        <f>IF('Lab test'!P281&gt;0,'Lab test'!P281,NA())</f>
        <v>0.80283776495016634</v>
      </c>
      <c r="AN288" s="401">
        <f>IF('Lab test'!AU281&gt;0,'Lab test'!AU281,NA())</f>
        <v>0.84554380320268663</v>
      </c>
      <c r="AO288" s="401">
        <f>IF('Lab test'!AT281&gt;0,'Lab test'!AT281,NA())</f>
        <v>0.1079833421677923</v>
      </c>
      <c r="AP288">
        <f t="shared" si="129"/>
        <v>1</v>
      </c>
      <c r="AQ288" s="401">
        <f>'Lab test'!AZ281</f>
        <v>2016</v>
      </c>
      <c r="AR288" t="str">
        <f>'Lab test'!AC281</f>
        <v>LTWa</v>
      </c>
      <c r="AS288" t="str">
        <f>'Lab test'!T281</f>
        <v>Steel</v>
      </c>
      <c r="AX288" t="e">
        <f t="shared" si="114"/>
        <v>#N/A</v>
      </c>
      <c r="AY288" t="e">
        <f t="shared" si="108"/>
        <v>#N/A</v>
      </c>
      <c r="AZ288" t="e">
        <f t="shared" si="111"/>
        <v>#N/A</v>
      </c>
      <c r="BA288" t="e">
        <f t="shared" si="111"/>
        <v>#N/A</v>
      </c>
      <c r="BB288" t="e">
        <f t="shared" si="111"/>
        <v>#N/A</v>
      </c>
      <c r="BC288" t="e">
        <f t="shared" si="111"/>
        <v>#N/A</v>
      </c>
      <c r="BD288" t="e">
        <f t="shared" si="111"/>
        <v>#N/A</v>
      </c>
      <c r="BG288" t="e">
        <f t="shared" si="115"/>
        <v>#N/A</v>
      </c>
      <c r="BH288" t="e">
        <f t="shared" si="109"/>
        <v>#N/A</v>
      </c>
      <c r="BI288" t="e">
        <f t="shared" si="112"/>
        <v>#N/A</v>
      </c>
      <c r="BJ288" t="e">
        <f t="shared" si="112"/>
        <v>#N/A</v>
      </c>
      <c r="BK288" t="e">
        <f t="shared" si="112"/>
        <v>#N/A</v>
      </c>
      <c r="BL288" t="e">
        <f t="shared" si="112"/>
        <v>#N/A</v>
      </c>
      <c r="BM288" t="e">
        <f t="shared" si="112"/>
        <v>#N/A</v>
      </c>
      <c r="BP288" t="e">
        <f t="shared" si="116"/>
        <v>#N/A</v>
      </c>
      <c r="BQ288" t="e">
        <f t="shared" si="110"/>
        <v>#N/A</v>
      </c>
      <c r="BR288" t="e">
        <f t="shared" si="113"/>
        <v>#N/A</v>
      </c>
      <c r="BS288" t="e">
        <f t="shared" si="113"/>
        <v>#N/A</v>
      </c>
      <c r="BT288" t="e">
        <f t="shared" si="113"/>
        <v>#N/A</v>
      </c>
      <c r="BU288" t="e">
        <f t="shared" si="113"/>
        <v>#N/A</v>
      </c>
      <c r="BV288" t="e">
        <f t="shared" si="113"/>
        <v>#N/A</v>
      </c>
      <c r="BY288" t="e">
        <f t="shared" si="117"/>
        <v>#N/A</v>
      </c>
      <c r="BZ288" t="e">
        <v>#N/A</v>
      </c>
      <c r="CA288" t="e" cm="1">
        <f t="array" ref="CA288">IF(ISNUMBER(BZ288),AF288/COUNT(IF(ISNUMBER(_xlfn.ANCHORARRAY($BZ$11)),_xlfn.ANCHORARRAY($BZ$11))),NA())</f>
        <v>#N/A</v>
      </c>
      <c r="CB288" t="e">
        <f t="shared" si="118"/>
        <v>#N/A</v>
      </c>
      <c r="CD288" t="e">
        <f t="shared" si="119"/>
        <v>#N/A</v>
      </c>
      <c r="CE288" t="e">
        <f t="shared" si="120"/>
        <v>#N/A</v>
      </c>
      <c r="CG288" t="e">
        <v>#N/A</v>
      </c>
      <c r="CH288" t="e">
        <v>#N/A</v>
      </c>
      <c r="CL288" t="e">
        <f t="shared" si="121"/>
        <v>#N/A</v>
      </c>
      <c r="CM288" t="e">
        <v>#N/A</v>
      </c>
      <c r="CN288" t="e" cm="1">
        <f t="array" ref="CN288">IF(ISNUMBER(CM288),AF288/COUNT(IF(ISNUMBER(_xlfn.ANCHORARRAY($CM$11)),_xlfn.ANCHORARRAY($CM$11))),NA())</f>
        <v>#N/A</v>
      </c>
      <c r="CO288" t="e">
        <f t="shared" si="122"/>
        <v>#N/A</v>
      </c>
      <c r="CQ288" t="e">
        <f t="shared" si="123"/>
        <v>#N/A</v>
      </c>
      <c r="CR288" t="e">
        <f t="shared" si="124"/>
        <v>#N/A</v>
      </c>
      <c r="CT288" t="e">
        <v>#N/A</v>
      </c>
      <c r="CU288" t="e">
        <v>#N/A</v>
      </c>
      <c r="CY288" t="e">
        <f t="shared" si="125"/>
        <v>#N/A</v>
      </c>
      <c r="CZ288" t="e">
        <v>#N/A</v>
      </c>
      <c r="DA288" t="e" cm="1">
        <f t="array" ref="DA288">IF(ISNUMBER(CZ288),AF288/COUNT(IF(ISNUMBER(_xlfn.ANCHORARRAY($CZ$11)),_xlfn.ANCHORARRAY($CZ$11))),NA())</f>
        <v>#N/A</v>
      </c>
      <c r="DB288" t="e">
        <f t="shared" si="126"/>
        <v>#N/A</v>
      </c>
      <c r="DD288" t="e">
        <f t="shared" si="127"/>
        <v>#N/A</v>
      </c>
      <c r="DE288" t="e">
        <f t="shared" si="128"/>
        <v>#N/A</v>
      </c>
      <c r="DG288" t="e">
        <v>#N/A</v>
      </c>
      <c r="DH288" t="e">
        <v>#N/A</v>
      </c>
    </row>
    <row r="289" spans="32:112">
      <c r="AF289">
        <v>279</v>
      </c>
      <c r="AG289" s="401">
        <f>'Lab test'!N282</f>
        <v>128.25</v>
      </c>
      <c r="AH289" s="401">
        <f>'Lab test'!M282</f>
        <v>1.9</v>
      </c>
      <c r="AI289">
        <f>IF('Lab test'!O282&gt;0,'Lab test'!O282,NA())</f>
        <v>750</v>
      </c>
      <c r="AJ289">
        <f>'Lab test'!Q282</f>
        <v>67.5</v>
      </c>
      <c r="AK289" s="401">
        <f>IF('Lab test'!V282&gt;0,'Lab test'!V282,NA())</f>
        <v>192392</v>
      </c>
      <c r="AL289" s="7">
        <f>IF(MAX('Lab test'!W282,'Lab test'!X282)&gt;0,MAX('Lab test'!W282,'Lab test'!X282),NA())</f>
        <v>277</v>
      </c>
      <c r="AM289" s="401">
        <f>IF('Lab test'!P282&gt;0,'Lab test'!P282,NA())</f>
        <v>0.71179019818735034</v>
      </c>
      <c r="AN289" s="401">
        <f>IF('Lab test'!AU282&gt;0,'Lab test'!AU282,NA())</f>
        <v>0.83163899996276169</v>
      </c>
      <c r="AO289" s="401">
        <f>IF('Lab test'!AT282&gt;0,'Lab test'!AT282,NA())</f>
        <v>0.1335404094760882</v>
      </c>
      <c r="AP289">
        <f t="shared" si="129"/>
        <v>1</v>
      </c>
      <c r="AQ289" s="401">
        <f>'Lab test'!AZ282</f>
        <v>2016</v>
      </c>
      <c r="AR289" t="str">
        <f>'Lab test'!AC282</f>
        <v>LTWa</v>
      </c>
      <c r="AS289" t="str">
        <f>'Lab test'!T282</f>
        <v>Steel</v>
      </c>
      <c r="AX289" t="e">
        <f t="shared" si="114"/>
        <v>#N/A</v>
      </c>
      <c r="AY289" t="e">
        <f t="shared" si="108"/>
        <v>#N/A</v>
      </c>
      <c r="AZ289" t="e">
        <f t="shared" si="111"/>
        <v>#N/A</v>
      </c>
      <c r="BA289" t="e">
        <f t="shared" si="111"/>
        <v>#N/A</v>
      </c>
      <c r="BB289" t="e">
        <f t="shared" si="111"/>
        <v>#N/A</v>
      </c>
      <c r="BC289" t="e">
        <f t="shared" si="111"/>
        <v>#N/A</v>
      </c>
      <c r="BD289" t="e">
        <f t="shared" si="111"/>
        <v>#N/A</v>
      </c>
      <c r="BG289" t="e">
        <f t="shared" si="115"/>
        <v>#N/A</v>
      </c>
      <c r="BH289" t="e">
        <f t="shared" si="109"/>
        <v>#N/A</v>
      </c>
      <c r="BI289" t="e">
        <f t="shared" si="112"/>
        <v>#N/A</v>
      </c>
      <c r="BJ289" t="e">
        <f t="shared" si="112"/>
        <v>#N/A</v>
      </c>
      <c r="BK289" t="e">
        <f t="shared" si="112"/>
        <v>#N/A</v>
      </c>
      <c r="BL289" t="e">
        <f t="shared" si="112"/>
        <v>#N/A</v>
      </c>
      <c r="BM289" t="e">
        <f t="shared" si="112"/>
        <v>#N/A</v>
      </c>
      <c r="BP289" t="e">
        <f t="shared" si="116"/>
        <v>#N/A</v>
      </c>
      <c r="BQ289" t="e">
        <f t="shared" si="110"/>
        <v>#N/A</v>
      </c>
      <c r="BR289" t="e">
        <f t="shared" si="113"/>
        <v>#N/A</v>
      </c>
      <c r="BS289" t="e">
        <f t="shared" si="113"/>
        <v>#N/A</v>
      </c>
      <c r="BT289" t="e">
        <f t="shared" si="113"/>
        <v>#N/A</v>
      </c>
      <c r="BU289" t="e">
        <f t="shared" si="113"/>
        <v>#N/A</v>
      </c>
      <c r="BV289" t="e">
        <f t="shared" si="113"/>
        <v>#N/A</v>
      </c>
      <c r="BY289" t="e">
        <f t="shared" si="117"/>
        <v>#N/A</v>
      </c>
      <c r="BZ289" t="e">
        <v>#N/A</v>
      </c>
      <c r="CA289" t="e" cm="1">
        <f t="array" ref="CA289">IF(ISNUMBER(BZ289),AF289/COUNT(IF(ISNUMBER(_xlfn.ANCHORARRAY($BZ$11)),_xlfn.ANCHORARRAY($BZ$11))),NA())</f>
        <v>#N/A</v>
      </c>
      <c r="CB289" t="e">
        <f t="shared" si="118"/>
        <v>#N/A</v>
      </c>
      <c r="CD289" t="e">
        <f t="shared" si="119"/>
        <v>#N/A</v>
      </c>
      <c r="CE289" t="e">
        <f t="shared" si="120"/>
        <v>#N/A</v>
      </c>
      <c r="CG289" t="e">
        <v>#N/A</v>
      </c>
      <c r="CH289" t="e">
        <v>#N/A</v>
      </c>
      <c r="CL289" t="e">
        <f t="shared" si="121"/>
        <v>#N/A</v>
      </c>
      <c r="CM289" t="e">
        <v>#N/A</v>
      </c>
      <c r="CN289" t="e" cm="1">
        <f t="array" ref="CN289">IF(ISNUMBER(CM289),AF289/COUNT(IF(ISNUMBER(_xlfn.ANCHORARRAY($CM$11)),_xlfn.ANCHORARRAY($CM$11))),NA())</f>
        <v>#N/A</v>
      </c>
      <c r="CO289" t="e">
        <f t="shared" si="122"/>
        <v>#N/A</v>
      </c>
      <c r="CQ289" t="e">
        <f t="shared" si="123"/>
        <v>#N/A</v>
      </c>
      <c r="CR289" t="e">
        <f t="shared" si="124"/>
        <v>#N/A</v>
      </c>
      <c r="CT289" t="e">
        <v>#N/A</v>
      </c>
      <c r="CU289" t="e">
        <v>#N/A</v>
      </c>
      <c r="CY289" t="e">
        <f t="shared" si="125"/>
        <v>#N/A</v>
      </c>
      <c r="CZ289" t="e">
        <v>#N/A</v>
      </c>
      <c r="DA289" t="e" cm="1">
        <f t="array" ref="DA289">IF(ISNUMBER(CZ289),AF289/COUNT(IF(ISNUMBER(_xlfn.ANCHORARRAY($CZ$11)),_xlfn.ANCHORARRAY($CZ$11))),NA())</f>
        <v>#N/A</v>
      </c>
      <c r="DB289" t="e">
        <f t="shared" si="126"/>
        <v>#N/A</v>
      </c>
      <c r="DD289" t="e">
        <f t="shared" si="127"/>
        <v>#N/A</v>
      </c>
      <c r="DE289" t="e">
        <f t="shared" si="128"/>
        <v>#N/A</v>
      </c>
      <c r="DG289" t="e">
        <v>#N/A</v>
      </c>
      <c r="DH289" t="e">
        <v>#N/A</v>
      </c>
    </row>
    <row r="290" spans="32:112">
      <c r="AF290">
        <v>280</v>
      </c>
      <c r="AG290" s="401">
        <f>'Lab test'!N283</f>
        <v>102</v>
      </c>
      <c r="AH290" s="401">
        <f>'Lab test'!M283</f>
        <v>1.9</v>
      </c>
      <c r="AI290">
        <f>IF('Lab test'!O283&gt;0,'Lab test'!O283,NA())</f>
        <v>1400</v>
      </c>
      <c r="AJ290">
        <f>'Lab test'!Q283</f>
        <v>53.684210526315795</v>
      </c>
      <c r="AK290" s="401">
        <f>IF('Lab test'!V283&gt;0,'Lab test'!V283,NA())</f>
        <v>192392</v>
      </c>
      <c r="AL290" s="7">
        <f>IF(MAX('Lab test'!W283,'Lab test'!X283)&gt;0,MAX('Lab test'!W283,'Lab test'!X283),NA())</f>
        <v>277</v>
      </c>
      <c r="AM290" s="401">
        <f>IF('Lab test'!P283&gt;0,'Lab test'!P283,NA())</f>
        <v>1.8732881182170547</v>
      </c>
      <c r="AN290" s="401">
        <f>IF('Lab test'!AU283&gt;0,'Lab test'!AU283,NA())</f>
        <v>0.83813195359536996</v>
      </c>
      <c r="AO290" s="401">
        <f>IF('Lab test'!AT283&gt;0,'Lab test'!AT283,NA())</f>
        <v>0.10703678411933691</v>
      </c>
      <c r="AP290">
        <f t="shared" si="129"/>
        <v>1</v>
      </c>
      <c r="AQ290" s="401">
        <f>'Lab test'!AZ283</f>
        <v>2016</v>
      </c>
      <c r="AR290" t="str">
        <f>'Lab test'!AC283</f>
        <v>LTWa</v>
      </c>
      <c r="AS290" t="str">
        <f>'Lab test'!T283</f>
        <v>Steel</v>
      </c>
      <c r="AX290" t="e">
        <f t="shared" si="114"/>
        <v>#N/A</v>
      </c>
      <c r="AY290" t="e">
        <f t="shared" si="108"/>
        <v>#N/A</v>
      </c>
      <c r="AZ290" t="e">
        <f t="shared" si="111"/>
        <v>#N/A</v>
      </c>
      <c r="BA290" t="e">
        <f t="shared" si="111"/>
        <v>#N/A</v>
      </c>
      <c r="BB290" t="e">
        <f t="shared" si="111"/>
        <v>#N/A</v>
      </c>
      <c r="BC290" t="e">
        <f t="shared" si="111"/>
        <v>#N/A</v>
      </c>
      <c r="BD290" t="e">
        <f t="shared" si="111"/>
        <v>#N/A</v>
      </c>
      <c r="BG290" t="e">
        <f t="shared" si="115"/>
        <v>#N/A</v>
      </c>
      <c r="BH290" t="e">
        <f t="shared" si="109"/>
        <v>#N/A</v>
      </c>
      <c r="BI290" t="e">
        <f t="shared" si="112"/>
        <v>#N/A</v>
      </c>
      <c r="BJ290" t="e">
        <f t="shared" si="112"/>
        <v>#N/A</v>
      </c>
      <c r="BK290" t="e">
        <f t="shared" si="112"/>
        <v>#N/A</v>
      </c>
      <c r="BL290" t="e">
        <f t="shared" si="112"/>
        <v>#N/A</v>
      </c>
      <c r="BM290" t="e">
        <f t="shared" si="112"/>
        <v>#N/A</v>
      </c>
      <c r="BP290" t="e">
        <f t="shared" si="116"/>
        <v>#N/A</v>
      </c>
      <c r="BQ290" t="e">
        <f t="shared" si="110"/>
        <v>#N/A</v>
      </c>
      <c r="BR290" t="e">
        <f t="shared" si="113"/>
        <v>#N/A</v>
      </c>
      <c r="BS290" t="e">
        <f t="shared" si="113"/>
        <v>#N/A</v>
      </c>
      <c r="BT290" t="e">
        <f t="shared" si="113"/>
        <v>#N/A</v>
      </c>
      <c r="BU290" t="e">
        <f t="shared" si="113"/>
        <v>#N/A</v>
      </c>
      <c r="BV290" t="e">
        <f t="shared" si="113"/>
        <v>#N/A</v>
      </c>
      <c r="BY290" t="e">
        <f t="shared" si="117"/>
        <v>#N/A</v>
      </c>
      <c r="BZ290" t="e">
        <v>#N/A</v>
      </c>
      <c r="CA290" t="e" cm="1">
        <f t="array" ref="CA290">IF(ISNUMBER(BZ290),AF290/COUNT(IF(ISNUMBER(_xlfn.ANCHORARRAY($BZ$11)),_xlfn.ANCHORARRAY($BZ$11))),NA())</f>
        <v>#N/A</v>
      </c>
      <c r="CB290" t="e">
        <f t="shared" si="118"/>
        <v>#N/A</v>
      </c>
      <c r="CD290" t="e">
        <f t="shared" si="119"/>
        <v>#N/A</v>
      </c>
      <c r="CE290" t="e">
        <f t="shared" si="120"/>
        <v>#N/A</v>
      </c>
      <c r="CG290" t="e">
        <v>#N/A</v>
      </c>
      <c r="CH290" t="e">
        <v>#N/A</v>
      </c>
      <c r="CL290" t="e">
        <f t="shared" si="121"/>
        <v>#N/A</v>
      </c>
      <c r="CM290" t="e">
        <v>#N/A</v>
      </c>
      <c r="CN290" t="e" cm="1">
        <f t="array" ref="CN290">IF(ISNUMBER(CM290),AF290/COUNT(IF(ISNUMBER(_xlfn.ANCHORARRAY($CM$11)),_xlfn.ANCHORARRAY($CM$11))),NA())</f>
        <v>#N/A</v>
      </c>
      <c r="CO290" t="e">
        <f t="shared" si="122"/>
        <v>#N/A</v>
      </c>
      <c r="CQ290" t="e">
        <f t="shared" si="123"/>
        <v>#N/A</v>
      </c>
      <c r="CR290" t="e">
        <f t="shared" si="124"/>
        <v>#N/A</v>
      </c>
      <c r="CT290" t="e">
        <v>#N/A</v>
      </c>
      <c r="CU290" t="e">
        <v>#N/A</v>
      </c>
      <c r="CY290" t="e">
        <f t="shared" si="125"/>
        <v>#N/A</v>
      </c>
      <c r="CZ290" t="e">
        <v>#N/A</v>
      </c>
      <c r="DA290" t="e" cm="1">
        <f t="array" ref="DA290">IF(ISNUMBER(CZ290),AF290/COUNT(IF(ISNUMBER(_xlfn.ANCHORARRAY($CZ$11)),_xlfn.ANCHORARRAY($CZ$11))),NA())</f>
        <v>#N/A</v>
      </c>
      <c r="DB290" t="e">
        <f t="shared" si="126"/>
        <v>#N/A</v>
      </c>
      <c r="DD290" t="e">
        <f t="shared" si="127"/>
        <v>#N/A</v>
      </c>
      <c r="DE290" t="e">
        <f t="shared" si="128"/>
        <v>#N/A</v>
      </c>
      <c r="DG290" t="e">
        <v>#N/A</v>
      </c>
      <c r="DH290" t="e">
        <v>#N/A</v>
      </c>
    </row>
    <row r="291" spans="32:112">
      <c r="AF291">
        <v>281</v>
      </c>
      <c r="AG291" s="401">
        <f>'Lab test'!N284</f>
        <v>82.234999999999999</v>
      </c>
      <c r="AH291" s="401">
        <f>'Lab test'!M284</f>
        <v>3.95</v>
      </c>
      <c r="AI291">
        <f>IF('Lab test'!O284&gt;0,'Lab test'!O284,NA())</f>
        <v>505.31</v>
      </c>
      <c r="AJ291">
        <f>'Lab test'!Q284</f>
        <v>20.818989999999999</v>
      </c>
      <c r="AK291" s="401">
        <f>IF('Lab test'!V284&gt;0,'Lab test'!V284,NA())</f>
        <v>211700</v>
      </c>
      <c r="AL291" s="7">
        <f>IF(MAX('Lab test'!W284,'Lab test'!X284)&gt;0,MAX('Lab test'!W284,'Lab test'!X284),NA())</f>
        <v>720</v>
      </c>
      <c r="AM291" s="401">
        <f>IF('Lab test'!P284&gt;0,'Lab test'!P284,NA())</f>
        <v>1.3467016605070057</v>
      </c>
      <c r="AN291" s="401">
        <f>IF('Lab test'!AU284&gt;0,'Lab test'!AU284,NA())</f>
        <v>1.1111413228196587</v>
      </c>
      <c r="AO291" s="401">
        <f>IF('Lab test'!AT284&gt;0,'Lab test'!AT284,NA())</f>
        <v>0.13013613388687759</v>
      </c>
      <c r="AP291">
        <f t="shared" si="129"/>
        <v>1</v>
      </c>
      <c r="AQ291" s="401">
        <f>'Lab test'!AZ284</f>
        <v>2020</v>
      </c>
      <c r="AR291" t="str">
        <f>'Lab test'!AC284</f>
        <v>Tubes</v>
      </c>
      <c r="AS291" t="str">
        <f>'Lab test'!T284</f>
        <v>Steel</v>
      </c>
      <c r="AX291" t="e">
        <f t="shared" si="114"/>
        <v>#N/A</v>
      </c>
      <c r="AY291" t="e">
        <f t="shared" si="108"/>
        <v>#N/A</v>
      </c>
      <c r="AZ291" t="e">
        <f t="shared" si="111"/>
        <v>#N/A</v>
      </c>
      <c r="BA291" t="e">
        <f t="shared" si="111"/>
        <v>#N/A</v>
      </c>
      <c r="BB291" t="e">
        <f t="shared" si="111"/>
        <v>#N/A</v>
      </c>
      <c r="BC291" t="e">
        <f t="shared" si="111"/>
        <v>#N/A</v>
      </c>
      <c r="BD291" t="e">
        <f t="shared" si="111"/>
        <v>#N/A</v>
      </c>
      <c r="BG291" t="e">
        <f t="shared" si="115"/>
        <v>#N/A</v>
      </c>
      <c r="BH291" t="e">
        <f t="shared" si="109"/>
        <v>#N/A</v>
      </c>
      <c r="BI291" t="e">
        <f t="shared" si="112"/>
        <v>#N/A</v>
      </c>
      <c r="BJ291" t="e">
        <f t="shared" si="112"/>
        <v>#N/A</v>
      </c>
      <c r="BK291" t="e">
        <f t="shared" si="112"/>
        <v>#N/A</v>
      </c>
      <c r="BL291" t="e">
        <f t="shared" si="112"/>
        <v>#N/A</v>
      </c>
      <c r="BM291" t="e">
        <f t="shared" si="112"/>
        <v>#N/A</v>
      </c>
      <c r="BP291" t="e">
        <f t="shared" si="116"/>
        <v>#N/A</v>
      </c>
      <c r="BQ291" t="e">
        <f t="shared" si="110"/>
        <v>#N/A</v>
      </c>
      <c r="BR291" t="e">
        <f t="shared" si="113"/>
        <v>#N/A</v>
      </c>
      <c r="BS291" t="e">
        <f t="shared" si="113"/>
        <v>#N/A</v>
      </c>
      <c r="BT291" t="e">
        <f t="shared" si="113"/>
        <v>#N/A</v>
      </c>
      <c r="BU291" t="e">
        <f t="shared" si="113"/>
        <v>#N/A</v>
      </c>
      <c r="BV291" t="e">
        <f t="shared" si="113"/>
        <v>#N/A</v>
      </c>
      <c r="BY291" t="e">
        <f t="shared" si="117"/>
        <v>#N/A</v>
      </c>
      <c r="BZ291" t="e">
        <v>#N/A</v>
      </c>
      <c r="CA291" t="e" cm="1">
        <f t="array" ref="CA291">IF(ISNUMBER(BZ291),AF291/COUNT(IF(ISNUMBER(_xlfn.ANCHORARRAY($BZ$11)),_xlfn.ANCHORARRAY($BZ$11))),NA())</f>
        <v>#N/A</v>
      </c>
      <c r="CB291" t="e">
        <f t="shared" si="118"/>
        <v>#N/A</v>
      </c>
      <c r="CD291" t="e">
        <f t="shared" si="119"/>
        <v>#N/A</v>
      </c>
      <c r="CE291" t="e">
        <f t="shared" si="120"/>
        <v>#N/A</v>
      </c>
      <c r="CG291" t="e">
        <v>#N/A</v>
      </c>
      <c r="CH291" t="e">
        <v>#N/A</v>
      </c>
      <c r="CL291" t="e">
        <f t="shared" si="121"/>
        <v>#N/A</v>
      </c>
      <c r="CM291" t="e">
        <v>#N/A</v>
      </c>
      <c r="CN291" t="e" cm="1">
        <f t="array" ref="CN291">IF(ISNUMBER(CM291),AF291/COUNT(IF(ISNUMBER(_xlfn.ANCHORARRAY($CM$11)),_xlfn.ANCHORARRAY($CM$11))),NA())</f>
        <v>#N/A</v>
      </c>
      <c r="CO291" t="e">
        <f t="shared" si="122"/>
        <v>#N/A</v>
      </c>
      <c r="CQ291" t="e">
        <f t="shared" si="123"/>
        <v>#N/A</v>
      </c>
      <c r="CR291" t="e">
        <f t="shared" si="124"/>
        <v>#N/A</v>
      </c>
      <c r="CT291" t="e">
        <v>#N/A</v>
      </c>
      <c r="CU291" t="e">
        <v>#N/A</v>
      </c>
      <c r="CY291" t="e">
        <f t="shared" si="125"/>
        <v>#N/A</v>
      </c>
      <c r="CZ291" t="e">
        <v>#N/A</v>
      </c>
      <c r="DA291" t="e" cm="1">
        <f t="array" ref="DA291">IF(ISNUMBER(CZ291),AF291/COUNT(IF(ISNUMBER(_xlfn.ANCHORARRAY($CZ$11)),_xlfn.ANCHORARRAY($CZ$11))),NA())</f>
        <v>#N/A</v>
      </c>
      <c r="DB291" t="e">
        <f t="shared" si="126"/>
        <v>#N/A</v>
      </c>
      <c r="DD291" t="e">
        <f t="shared" si="127"/>
        <v>#N/A</v>
      </c>
      <c r="DE291" t="e">
        <f t="shared" si="128"/>
        <v>#N/A</v>
      </c>
      <c r="DG291" t="e">
        <v>#N/A</v>
      </c>
      <c r="DH291" t="e">
        <v>#N/A</v>
      </c>
    </row>
    <row r="292" spans="32:112">
      <c r="AF292">
        <v>282</v>
      </c>
      <c r="AG292" s="401">
        <f>'Lab test'!N285</f>
        <v>68.06</v>
      </c>
      <c r="AH292" s="401">
        <f>'Lab test'!M285</f>
        <v>3.98</v>
      </c>
      <c r="AI292">
        <f>IF('Lab test'!O285&gt;0,'Lab test'!O285,NA())</f>
        <v>420.28</v>
      </c>
      <c r="AJ292">
        <f>'Lab test'!Q285</f>
        <v>17.1005</v>
      </c>
      <c r="AK292" s="401">
        <f>IF('Lab test'!V285&gt;0,'Lab test'!V285,NA())</f>
        <v>213300</v>
      </c>
      <c r="AL292" s="7">
        <f>IF(MAX('Lab test'!W285,'Lab test'!X285)&gt;0,MAX('Lab test'!W285,'Lab test'!X285),NA())</f>
        <v>742.4</v>
      </c>
      <c r="AM292" s="401">
        <f>IF('Lab test'!P285&gt;0,'Lab test'!P285,NA())</f>
        <v>1.4932837616133572</v>
      </c>
      <c r="AN292" s="401">
        <f>IF('Lab test'!AU285&gt;0,'Lab test'!AU285,NA())</f>
        <v>1.1230610952833175</v>
      </c>
      <c r="AO292" s="401">
        <f>IF('Lab test'!AT285&gt;0,'Lab test'!AT285,NA())</f>
        <v>0.11044789816484829</v>
      </c>
      <c r="AP292">
        <f t="shared" si="129"/>
        <v>1</v>
      </c>
      <c r="AQ292" s="401">
        <f>'Lab test'!AZ285</f>
        <v>2020</v>
      </c>
      <c r="AR292" t="str">
        <f>'Lab test'!AC285</f>
        <v>Tubes</v>
      </c>
      <c r="AS292" t="str">
        <f>'Lab test'!T285</f>
        <v>Steel</v>
      </c>
      <c r="AX292" t="e">
        <f t="shared" si="114"/>
        <v>#N/A</v>
      </c>
      <c r="AY292" t="e">
        <f t="shared" si="108"/>
        <v>#N/A</v>
      </c>
      <c r="AZ292" t="e">
        <f t="shared" si="111"/>
        <v>#N/A</v>
      </c>
      <c r="BA292" t="e">
        <f t="shared" si="111"/>
        <v>#N/A</v>
      </c>
      <c r="BB292" t="e">
        <f t="shared" si="111"/>
        <v>#N/A</v>
      </c>
      <c r="BC292" t="e">
        <f t="shared" si="111"/>
        <v>#N/A</v>
      </c>
      <c r="BD292" t="e">
        <f t="shared" si="111"/>
        <v>#N/A</v>
      </c>
      <c r="BG292" t="e">
        <f t="shared" si="115"/>
        <v>#N/A</v>
      </c>
      <c r="BH292" t="e">
        <f t="shared" si="109"/>
        <v>#N/A</v>
      </c>
      <c r="BI292" t="e">
        <f t="shared" si="112"/>
        <v>#N/A</v>
      </c>
      <c r="BJ292" t="e">
        <f t="shared" si="112"/>
        <v>#N/A</v>
      </c>
      <c r="BK292" t="e">
        <f t="shared" si="112"/>
        <v>#N/A</v>
      </c>
      <c r="BL292" t="e">
        <f t="shared" si="112"/>
        <v>#N/A</v>
      </c>
      <c r="BM292" t="e">
        <f t="shared" si="112"/>
        <v>#N/A</v>
      </c>
      <c r="BP292" t="e">
        <f t="shared" si="116"/>
        <v>#N/A</v>
      </c>
      <c r="BQ292" t="e">
        <f t="shared" si="110"/>
        <v>#N/A</v>
      </c>
      <c r="BR292" t="e">
        <f t="shared" si="113"/>
        <v>#N/A</v>
      </c>
      <c r="BS292" t="e">
        <f t="shared" si="113"/>
        <v>#N/A</v>
      </c>
      <c r="BT292" t="e">
        <f t="shared" si="113"/>
        <v>#N/A</v>
      </c>
      <c r="BU292" t="e">
        <f t="shared" si="113"/>
        <v>#N/A</v>
      </c>
      <c r="BV292" t="e">
        <f t="shared" si="113"/>
        <v>#N/A</v>
      </c>
      <c r="BY292" t="e">
        <f t="shared" si="117"/>
        <v>#N/A</v>
      </c>
      <c r="BZ292" t="e">
        <v>#N/A</v>
      </c>
      <c r="CA292" t="e" cm="1">
        <f t="array" ref="CA292">IF(ISNUMBER(BZ292),AF292/COUNT(IF(ISNUMBER(_xlfn.ANCHORARRAY($BZ$11)),_xlfn.ANCHORARRAY($BZ$11))),NA())</f>
        <v>#N/A</v>
      </c>
      <c r="CB292" t="e">
        <f t="shared" si="118"/>
        <v>#N/A</v>
      </c>
      <c r="CD292" t="e">
        <f t="shared" si="119"/>
        <v>#N/A</v>
      </c>
      <c r="CE292" t="e">
        <f t="shared" si="120"/>
        <v>#N/A</v>
      </c>
      <c r="CG292" t="e">
        <v>#N/A</v>
      </c>
      <c r="CH292" t="e">
        <v>#N/A</v>
      </c>
      <c r="CL292" t="e">
        <f t="shared" si="121"/>
        <v>#N/A</v>
      </c>
      <c r="CM292" t="e">
        <v>#N/A</v>
      </c>
      <c r="CN292" t="e" cm="1">
        <f t="array" ref="CN292">IF(ISNUMBER(CM292),AF292/COUNT(IF(ISNUMBER(_xlfn.ANCHORARRAY($CM$11)),_xlfn.ANCHORARRAY($CM$11))),NA())</f>
        <v>#N/A</v>
      </c>
      <c r="CO292" t="e">
        <f t="shared" si="122"/>
        <v>#N/A</v>
      </c>
      <c r="CQ292" t="e">
        <f t="shared" si="123"/>
        <v>#N/A</v>
      </c>
      <c r="CR292" t="e">
        <f t="shared" si="124"/>
        <v>#N/A</v>
      </c>
      <c r="CT292" t="e">
        <v>#N/A</v>
      </c>
      <c r="CU292" t="e">
        <v>#N/A</v>
      </c>
      <c r="CY292" t="e">
        <f t="shared" si="125"/>
        <v>#N/A</v>
      </c>
      <c r="CZ292" t="e">
        <v>#N/A</v>
      </c>
      <c r="DA292" t="e" cm="1">
        <f t="array" ref="DA292">IF(ISNUMBER(CZ292),AF292/COUNT(IF(ISNUMBER(_xlfn.ANCHORARRAY($CZ$11)),_xlfn.ANCHORARRAY($CZ$11))),NA())</f>
        <v>#N/A</v>
      </c>
      <c r="DB292" t="e">
        <f t="shared" si="126"/>
        <v>#N/A</v>
      </c>
      <c r="DD292" t="e">
        <f t="shared" si="127"/>
        <v>#N/A</v>
      </c>
      <c r="DE292" t="e">
        <f t="shared" si="128"/>
        <v>#N/A</v>
      </c>
      <c r="DG292" t="e">
        <v>#N/A</v>
      </c>
      <c r="DH292" t="e">
        <v>#N/A</v>
      </c>
    </row>
    <row r="293" spans="32:112">
      <c r="AF293">
        <v>283</v>
      </c>
      <c r="AG293" s="401">
        <f>'Lab test'!N286</f>
        <v>67.754999999999995</v>
      </c>
      <c r="AH293" s="401">
        <f>'Lab test'!M286</f>
        <v>4.91</v>
      </c>
      <c r="AI293">
        <f>IF('Lab test'!O286&gt;0,'Lab test'!O286,NA())</f>
        <v>420.08</v>
      </c>
      <c r="AJ293">
        <f>'Lab test'!Q286</f>
        <v>13.799390000000001</v>
      </c>
      <c r="AK293" s="401">
        <f>IF('Lab test'!V286&gt;0,'Lab test'!V286,NA())</f>
        <v>212500</v>
      </c>
      <c r="AL293" s="7">
        <f>IF(MAX('Lab test'!W286,'Lab test'!X286)&gt;0,MAX('Lab test'!W286,'Lab test'!X286),NA())</f>
        <v>729.7</v>
      </c>
      <c r="AM293" s="401">
        <f>IF('Lab test'!P286&gt;0,'Lab test'!P286,NA())</f>
        <v>1.6690168718245313</v>
      </c>
      <c r="AN293" s="401">
        <f>IF('Lab test'!AU286&gt;0,'Lab test'!AU286,NA())</f>
        <v>1.1800406797454237</v>
      </c>
      <c r="AO293" s="401">
        <f>IF('Lab test'!AT286&gt;0,'Lab test'!AT286,NA())</f>
        <v>9.2318763434484113E-2</v>
      </c>
      <c r="AP293">
        <f t="shared" si="129"/>
        <v>1</v>
      </c>
      <c r="AQ293" s="401">
        <f>'Lab test'!AZ286</f>
        <v>2020</v>
      </c>
      <c r="AR293" t="str">
        <f>'Lab test'!AC286</f>
        <v>Tubes</v>
      </c>
      <c r="AS293" t="str">
        <f>'Lab test'!T286</f>
        <v>Steel</v>
      </c>
      <c r="AX293" t="e">
        <f t="shared" si="114"/>
        <v>#N/A</v>
      </c>
      <c r="AY293" t="e">
        <f t="shared" si="108"/>
        <v>#N/A</v>
      </c>
      <c r="AZ293" t="e">
        <f t="shared" si="111"/>
        <v>#N/A</v>
      </c>
      <c r="BA293" t="e">
        <f t="shared" si="111"/>
        <v>#N/A</v>
      </c>
      <c r="BB293" t="e">
        <f t="shared" si="111"/>
        <v>#N/A</v>
      </c>
      <c r="BC293" t="e">
        <f t="shared" si="111"/>
        <v>#N/A</v>
      </c>
      <c r="BD293" t="e">
        <f t="shared" si="111"/>
        <v>#N/A</v>
      </c>
      <c r="BG293" t="e">
        <f t="shared" si="115"/>
        <v>#N/A</v>
      </c>
      <c r="BH293" t="e">
        <f t="shared" si="109"/>
        <v>#N/A</v>
      </c>
      <c r="BI293" t="e">
        <f t="shared" si="112"/>
        <v>#N/A</v>
      </c>
      <c r="BJ293" t="e">
        <f t="shared" si="112"/>
        <v>#N/A</v>
      </c>
      <c r="BK293" t="e">
        <f t="shared" si="112"/>
        <v>#N/A</v>
      </c>
      <c r="BL293" t="e">
        <f t="shared" si="112"/>
        <v>#N/A</v>
      </c>
      <c r="BM293" t="e">
        <f t="shared" si="112"/>
        <v>#N/A</v>
      </c>
      <c r="BP293" t="e">
        <f t="shared" si="116"/>
        <v>#N/A</v>
      </c>
      <c r="BQ293" t="e">
        <f t="shared" si="110"/>
        <v>#N/A</v>
      </c>
      <c r="BR293" t="e">
        <f t="shared" si="113"/>
        <v>#N/A</v>
      </c>
      <c r="BS293" t="e">
        <f t="shared" si="113"/>
        <v>#N/A</v>
      </c>
      <c r="BT293" t="e">
        <f t="shared" si="113"/>
        <v>#N/A</v>
      </c>
      <c r="BU293" t="e">
        <f t="shared" si="113"/>
        <v>#N/A</v>
      </c>
      <c r="BV293" t="e">
        <f t="shared" si="113"/>
        <v>#N/A</v>
      </c>
      <c r="BY293" t="e">
        <f t="shared" si="117"/>
        <v>#N/A</v>
      </c>
      <c r="BZ293" t="e">
        <v>#N/A</v>
      </c>
      <c r="CA293" t="e" cm="1">
        <f t="array" ref="CA293">IF(ISNUMBER(BZ293),AF293/COUNT(IF(ISNUMBER(_xlfn.ANCHORARRAY($BZ$11)),_xlfn.ANCHORARRAY($BZ$11))),NA())</f>
        <v>#N/A</v>
      </c>
      <c r="CB293" t="e">
        <f t="shared" si="118"/>
        <v>#N/A</v>
      </c>
      <c r="CD293" t="e">
        <f t="shared" si="119"/>
        <v>#N/A</v>
      </c>
      <c r="CE293" t="e">
        <f t="shared" si="120"/>
        <v>#N/A</v>
      </c>
      <c r="CG293" t="e">
        <v>#N/A</v>
      </c>
      <c r="CH293" t="e">
        <v>#N/A</v>
      </c>
      <c r="CL293" t="e">
        <f t="shared" si="121"/>
        <v>#N/A</v>
      </c>
      <c r="CM293" t="e">
        <v>#N/A</v>
      </c>
      <c r="CN293" t="e" cm="1">
        <f t="array" ref="CN293">IF(ISNUMBER(CM293),AF293/COUNT(IF(ISNUMBER(_xlfn.ANCHORARRAY($CM$11)),_xlfn.ANCHORARRAY($CM$11))),NA())</f>
        <v>#N/A</v>
      </c>
      <c r="CO293" t="e">
        <f t="shared" si="122"/>
        <v>#N/A</v>
      </c>
      <c r="CQ293" t="e">
        <f t="shared" si="123"/>
        <v>#N/A</v>
      </c>
      <c r="CR293" t="e">
        <f t="shared" si="124"/>
        <v>#N/A</v>
      </c>
      <c r="CT293" t="e">
        <v>#N/A</v>
      </c>
      <c r="CU293" t="e">
        <v>#N/A</v>
      </c>
      <c r="CY293" t="e">
        <f t="shared" si="125"/>
        <v>#N/A</v>
      </c>
      <c r="CZ293" t="e">
        <v>#N/A</v>
      </c>
      <c r="DA293" t="e" cm="1">
        <f t="array" ref="DA293">IF(ISNUMBER(CZ293),AF293/COUNT(IF(ISNUMBER(_xlfn.ANCHORARRAY($CZ$11)),_xlfn.ANCHORARRAY($CZ$11))),NA())</f>
        <v>#N/A</v>
      </c>
      <c r="DB293" t="e">
        <f t="shared" si="126"/>
        <v>#N/A</v>
      </c>
      <c r="DD293" t="e">
        <f t="shared" si="127"/>
        <v>#N/A</v>
      </c>
      <c r="DE293" t="e">
        <f t="shared" si="128"/>
        <v>#N/A</v>
      </c>
      <c r="DG293" t="e">
        <v>#N/A</v>
      </c>
      <c r="DH293" t="e">
        <v>#N/A</v>
      </c>
    </row>
    <row r="294" spans="32:112">
      <c r="AF294">
        <v>284</v>
      </c>
      <c r="AG294" s="401">
        <f>'Lab test'!N287</f>
        <v>66.89</v>
      </c>
      <c r="AH294" s="401">
        <f>'Lab test'!M287</f>
        <v>6.04</v>
      </c>
      <c r="AI294">
        <f>IF('Lab test'!O287&gt;0,'Lab test'!O287,NA())</f>
        <v>420.02</v>
      </c>
      <c r="AJ294">
        <f>'Lab test'!Q287</f>
        <v>11.0745</v>
      </c>
      <c r="AK294" s="401">
        <f>IF('Lab test'!V287&gt;0,'Lab test'!V287,NA())</f>
        <v>207900</v>
      </c>
      <c r="AL294" s="7">
        <f>IF(MAX('Lab test'!W287,'Lab test'!X287)&gt;0,MAX('Lab test'!W287,'Lab test'!X287),NA())</f>
        <v>779</v>
      </c>
      <c r="AM294" s="401">
        <f>IF('Lab test'!P287&gt;0,'Lab test'!P287,NA())</f>
        <v>1.8868902742964615</v>
      </c>
      <c r="AN294" s="401">
        <f>IF('Lab test'!AU287&gt;0,'Lab test'!AU287,NA())</f>
        <v>1.143095430651031</v>
      </c>
      <c r="AO294" s="401">
        <f>IF('Lab test'!AT287&gt;0,'Lab test'!AT287,NA())</f>
        <v>7.8409679859592532E-2</v>
      </c>
      <c r="AP294">
        <f t="shared" si="129"/>
        <v>1</v>
      </c>
      <c r="AQ294" s="401">
        <f>'Lab test'!AZ287</f>
        <v>2020</v>
      </c>
      <c r="AR294" t="str">
        <f>'Lab test'!AC287</f>
        <v>Tubes</v>
      </c>
      <c r="AS294" t="str">
        <f>'Lab test'!T287</f>
        <v>Steel</v>
      </c>
      <c r="AX294" t="e">
        <f t="shared" si="114"/>
        <v>#N/A</v>
      </c>
      <c r="AY294" t="e">
        <f t="shared" si="108"/>
        <v>#N/A</v>
      </c>
      <c r="AZ294" t="e">
        <f t="shared" si="111"/>
        <v>#N/A</v>
      </c>
      <c r="BA294" t="e">
        <f t="shared" si="111"/>
        <v>#N/A</v>
      </c>
      <c r="BB294" t="e">
        <f t="shared" si="111"/>
        <v>#N/A</v>
      </c>
      <c r="BC294" t="e">
        <f t="shared" si="111"/>
        <v>#N/A</v>
      </c>
      <c r="BD294" t="e">
        <f t="shared" si="111"/>
        <v>#N/A</v>
      </c>
      <c r="BG294" t="e">
        <f t="shared" si="115"/>
        <v>#N/A</v>
      </c>
      <c r="BH294" t="e">
        <f t="shared" si="109"/>
        <v>#N/A</v>
      </c>
      <c r="BI294" t="e">
        <f t="shared" si="112"/>
        <v>#N/A</v>
      </c>
      <c r="BJ294" t="e">
        <f t="shared" si="112"/>
        <v>#N/A</v>
      </c>
      <c r="BK294" t="e">
        <f t="shared" si="112"/>
        <v>#N/A</v>
      </c>
      <c r="BL294" t="e">
        <f t="shared" si="112"/>
        <v>#N/A</v>
      </c>
      <c r="BM294" t="e">
        <f t="shared" si="112"/>
        <v>#N/A</v>
      </c>
      <c r="BP294" t="e">
        <f t="shared" si="116"/>
        <v>#N/A</v>
      </c>
      <c r="BQ294" t="e">
        <f t="shared" si="110"/>
        <v>#N/A</v>
      </c>
      <c r="BR294" t="e">
        <f t="shared" si="113"/>
        <v>#N/A</v>
      </c>
      <c r="BS294" t="e">
        <f t="shared" si="113"/>
        <v>#N/A</v>
      </c>
      <c r="BT294" t="e">
        <f t="shared" si="113"/>
        <v>#N/A</v>
      </c>
      <c r="BU294" t="e">
        <f t="shared" si="113"/>
        <v>#N/A</v>
      </c>
      <c r="BV294" t="e">
        <f t="shared" si="113"/>
        <v>#N/A</v>
      </c>
      <c r="BY294" t="e">
        <f t="shared" si="117"/>
        <v>#N/A</v>
      </c>
      <c r="BZ294" t="e">
        <v>#N/A</v>
      </c>
      <c r="CA294" t="e" cm="1">
        <f t="array" ref="CA294">IF(ISNUMBER(BZ294),AF294/COUNT(IF(ISNUMBER(_xlfn.ANCHORARRAY($BZ$11)),_xlfn.ANCHORARRAY($BZ$11))),NA())</f>
        <v>#N/A</v>
      </c>
      <c r="CB294" t="e">
        <f t="shared" si="118"/>
        <v>#N/A</v>
      </c>
      <c r="CD294" t="e">
        <f t="shared" si="119"/>
        <v>#N/A</v>
      </c>
      <c r="CE294" t="e">
        <f t="shared" si="120"/>
        <v>#N/A</v>
      </c>
      <c r="CG294" t="e">
        <v>#N/A</v>
      </c>
      <c r="CH294" t="e">
        <v>#N/A</v>
      </c>
      <c r="CL294" t="e">
        <f t="shared" si="121"/>
        <v>#N/A</v>
      </c>
      <c r="CM294" t="e">
        <v>#N/A</v>
      </c>
      <c r="CN294" t="e" cm="1">
        <f t="array" ref="CN294">IF(ISNUMBER(CM294),AF294/COUNT(IF(ISNUMBER(_xlfn.ANCHORARRAY($CM$11)),_xlfn.ANCHORARRAY($CM$11))),NA())</f>
        <v>#N/A</v>
      </c>
      <c r="CO294" t="e">
        <f t="shared" si="122"/>
        <v>#N/A</v>
      </c>
      <c r="CQ294" t="e">
        <f t="shared" si="123"/>
        <v>#N/A</v>
      </c>
      <c r="CR294" t="e">
        <f t="shared" si="124"/>
        <v>#N/A</v>
      </c>
      <c r="CT294" t="e">
        <v>#N/A</v>
      </c>
      <c r="CU294" t="e">
        <v>#N/A</v>
      </c>
      <c r="CY294" t="e">
        <f t="shared" si="125"/>
        <v>#N/A</v>
      </c>
      <c r="CZ294" t="e">
        <v>#N/A</v>
      </c>
      <c r="DA294" t="e" cm="1">
        <f t="array" ref="DA294">IF(ISNUMBER(CZ294),AF294/COUNT(IF(ISNUMBER(_xlfn.ANCHORARRAY($CZ$11)),_xlfn.ANCHORARRAY($CZ$11))),NA())</f>
        <v>#N/A</v>
      </c>
      <c r="DB294" t="e">
        <f t="shared" si="126"/>
        <v>#N/A</v>
      </c>
      <c r="DD294" t="e">
        <f t="shared" si="127"/>
        <v>#N/A</v>
      </c>
      <c r="DE294" t="e">
        <f t="shared" si="128"/>
        <v>#N/A</v>
      </c>
      <c r="DG294" t="e">
        <v>#N/A</v>
      </c>
      <c r="DH294" t="e">
        <v>#N/A</v>
      </c>
    </row>
    <row r="295" spans="32:112">
      <c r="AF295">
        <v>285</v>
      </c>
      <c r="AG295" s="401">
        <f>'Lab test'!N288</f>
        <v>66.105000000000004</v>
      </c>
      <c r="AH295" s="401">
        <f>'Lab test'!M288</f>
        <v>7.85</v>
      </c>
      <c r="AI295">
        <f>IF('Lab test'!O288&gt;0,'Lab test'!O288,NA())</f>
        <v>420.25</v>
      </c>
      <c r="AJ295">
        <f>'Lab test'!Q288</f>
        <v>8.4210189999999994</v>
      </c>
      <c r="AK295" s="401">
        <f>IF('Lab test'!V288&gt;0,'Lab test'!V288,NA())</f>
        <v>205700</v>
      </c>
      <c r="AL295" s="7">
        <f>IF(MAX('Lab test'!W288,'Lab test'!X288)&gt;0,MAX('Lab test'!W288,'Lab test'!X288),NA())</f>
        <v>784.8</v>
      </c>
      <c r="AM295" s="401">
        <f>IF('Lab test'!P288&gt;0,'Lab test'!P288,NA())</f>
        <v>2.1907412518904033</v>
      </c>
      <c r="AN295" s="401">
        <f>IF('Lab test'!AU288&gt;0,'Lab test'!AU288,NA())</f>
        <v>1.1419999999999999</v>
      </c>
      <c r="AO295" s="401">
        <f>IF('Lab test'!AT288&gt;0,'Lab test'!AT288,NA())</f>
        <v>6.0569111778250508E-2</v>
      </c>
      <c r="AP295">
        <f t="shared" si="129"/>
        <v>1</v>
      </c>
      <c r="AQ295" s="401">
        <f>'Lab test'!AZ288</f>
        <v>2020</v>
      </c>
      <c r="AR295" t="str">
        <f>'Lab test'!AC288</f>
        <v>Tubes</v>
      </c>
      <c r="AS295" t="str">
        <f>'Lab test'!T288</f>
        <v>Steel</v>
      </c>
      <c r="AX295" t="e">
        <f t="shared" si="114"/>
        <v>#N/A</v>
      </c>
      <c r="AY295" t="e">
        <f t="shared" si="108"/>
        <v>#N/A</v>
      </c>
      <c r="AZ295" t="e">
        <f t="shared" si="111"/>
        <v>#N/A</v>
      </c>
      <c r="BA295" t="e">
        <f t="shared" si="111"/>
        <v>#N/A</v>
      </c>
      <c r="BB295" t="e">
        <f t="shared" si="111"/>
        <v>#N/A</v>
      </c>
      <c r="BC295" t="e">
        <f t="shared" si="111"/>
        <v>#N/A</v>
      </c>
      <c r="BD295" t="e">
        <f t="shared" si="111"/>
        <v>#N/A</v>
      </c>
      <c r="BG295" t="e">
        <f t="shared" si="115"/>
        <v>#N/A</v>
      </c>
      <c r="BH295" t="e">
        <f t="shared" si="109"/>
        <v>#N/A</v>
      </c>
      <c r="BI295" t="e">
        <f t="shared" si="112"/>
        <v>#N/A</v>
      </c>
      <c r="BJ295" t="e">
        <f t="shared" si="112"/>
        <v>#N/A</v>
      </c>
      <c r="BK295" t="e">
        <f t="shared" si="112"/>
        <v>#N/A</v>
      </c>
      <c r="BL295" t="e">
        <f t="shared" si="112"/>
        <v>#N/A</v>
      </c>
      <c r="BM295" t="e">
        <f t="shared" si="112"/>
        <v>#N/A</v>
      </c>
      <c r="BP295" t="e">
        <f t="shared" si="116"/>
        <v>#N/A</v>
      </c>
      <c r="BQ295" t="e">
        <f t="shared" si="110"/>
        <v>#N/A</v>
      </c>
      <c r="BR295" t="e">
        <f t="shared" si="113"/>
        <v>#N/A</v>
      </c>
      <c r="BS295" t="e">
        <f t="shared" si="113"/>
        <v>#N/A</v>
      </c>
      <c r="BT295" t="e">
        <f t="shared" si="113"/>
        <v>#N/A</v>
      </c>
      <c r="BU295" t="e">
        <f t="shared" si="113"/>
        <v>#N/A</v>
      </c>
      <c r="BV295" t="e">
        <f t="shared" si="113"/>
        <v>#N/A</v>
      </c>
      <c r="BY295" t="e">
        <f t="shared" si="117"/>
        <v>#N/A</v>
      </c>
      <c r="BZ295" t="e">
        <v>#N/A</v>
      </c>
      <c r="CA295" t="e" cm="1">
        <f t="array" ref="CA295">IF(ISNUMBER(BZ295),AF295/COUNT(IF(ISNUMBER(_xlfn.ANCHORARRAY($BZ$11)),_xlfn.ANCHORARRAY($BZ$11))),NA())</f>
        <v>#N/A</v>
      </c>
      <c r="CB295" t="e">
        <f t="shared" si="118"/>
        <v>#N/A</v>
      </c>
      <c r="CD295" t="e">
        <f t="shared" si="119"/>
        <v>#N/A</v>
      </c>
      <c r="CE295" t="e">
        <f t="shared" si="120"/>
        <v>#N/A</v>
      </c>
      <c r="CG295" t="e">
        <v>#N/A</v>
      </c>
      <c r="CH295" t="e">
        <v>#N/A</v>
      </c>
      <c r="CL295" t="e">
        <f t="shared" si="121"/>
        <v>#N/A</v>
      </c>
      <c r="CM295" t="e">
        <v>#N/A</v>
      </c>
      <c r="CN295" t="e" cm="1">
        <f t="array" ref="CN295">IF(ISNUMBER(CM295),AF295/COUNT(IF(ISNUMBER(_xlfn.ANCHORARRAY($CM$11)),_xlfn.ANCHORARRAY($CM$11))),NA())</f>
        <v>#N/A</v>
      </c>
      <c r="CO295" t="e">
        <f t="shared" si="122"/>
        <v>#N/A</v>
      </c>
      <c r="CQ295" t="e">
        <f t="shared" si="123"/>
        <v>#N/A</v>
      </c>
      <c r="CR295" t="e">
        <f t="shared" si="124"/>
        <v>#N/A</v>
      </c>
      <c r="CT295" t="e">
        <v>#N/A</v>
      </c>
      <c r="CU295" t="e">
        <v>#N/A</v>
      </c>
      <c r="CY295" t="e">
        <f t="shared" si="125"/>
        <v>#N/A</v>
      </c>
      <c r="CZ295" t="e">
        <v>#N/A</v>
      </c>
      <c r="DA295" t="e" cm="1">
        <f t="array" ref="DA295">IF(ISNUMBER(CZ295),AF295/COUNT(IF(ISNUMBER(_xlfn.ANCHORARRAY($CZ$11)),_xlfn.ANCHORARRAY($CZ$11))),NA())</f>
        <v>#N/A</v>
      </c>
      <c r="DB295" t="e">
        <f t="shared" si="126"/>
        <v>#N/A</v>
      </c>
      <c r="DD295" t="e">
        <f t="shared" si="127"/>
        <v>#N/A</v>
      </c>
      <c r="DE295" t="e">
        <f t="shared" si="128"/>
        <v>#N/A</v>
      </c>
      <c r="DG295" t="e">
        <v>#N/A</v>
      </c>
      <c r="DH295" t="e">
        <v>#N/A</v>
      </c>
    </row>
    <row r="296" spans="32:112">
      <c r="AF296">
        <v>286</v>
      </c>
      <c r="AG296" s="401">
        <f>'Lab test'!N289</f>
        <v>65.180000000000007</v>
      </c>
      <c r="AH296" s="401">
        <f>'Lab test'!M289</f>
        <v>9.93</v>
      </c>
      <c r="AI296">
        <f>IF('Lab test'!O289&gt;0,'Lab test'!O289,NA())</f>
        <v>419.99</v>
      </c>
      <c r="AJ296">
        <f>'Lab test'!Q289</f>
        <v>6.5639479999999999</v>
      </c>
      <c r="AK296" s="401">
        <f>IF('Lab test'!V289&gt;0,'Lab test'!V289,NA())</f>
        <v>205600</v>
      </c>
      <c r="AL296" s="7">
        <f>IF(MAX('Lab test'!W289,'Lab test'!X289)&gt;0,MAX('Lab test'!W289,'Lab test'!X289),NA())</f>
        <v>787.6</v>
      </c>
      <c r="AM296" s="401">
        <f>IF('Lab test'!P289&gt;0,'Lab test'!P289,NA())</f>
        <v>2.5150234570940531</v>
      </c>
      <c r="AN296" s="401">
        <f>IF('Lab test'!AU289&gt;0,'Lab test'!AU289,NA())</f>
        <v>1.1741194104421684</v>
      </c>
      <c r="AO296" s="401">
        <f>IF('Lab test'!AT289&gt;0,'Lab test'!AT289,NA())</f>
        <v>4.8771677430958567E-2</v>
      </c>
      <c r="AP296">
        <f t="shared" si="129"/>
        <v>1</v>
      </c>
      <c r="AQ296" s="401">
        <f>'Lab test'!AZ289</f>
        <v>2020</v>
      </c>
      <c r="AR296" t="str">
        <f>'Lab test'!AC289</f>
        <v>Tubes</v>
      </c>
      <c r="AS296" t="str">
        <f>'Lab test'!T289</f>
        <v>Steel</v>
      </c>
      <c r="AX296" t="e">
        <f t="shared" si="114"/>
        <v>#N/A</v>
      </c>
      <c r="AY296" t="e">
        <f t="shared" si="108"/>
        <v>#N/A</v>
      </c>
      <c r="AZ296" t="e">
        <f t="shared" si="111"/>
        <v>#N/A</v>
      </c>
      <c r="BA296" t="e">
        <f t="shared" si="111"/>
        <v>#N/A</v>
      </c>
      <c r="BB296" t="e">
        <f t="shared" si="111"/>
        <v>#N/A</v>
      </c>
      <c r="BC296" t="e">
        <f t="shared" si="111"/>
        <v>#N/A</v>
      </c>
      <c r="BD296" t="e">
        <f t="shared" si="111"/>
        <v>#N/A</v>
      </c>
      <c r="BG296" t="e">
        <f t="shared" si="115"/>
        <v>#N/A</v>
      </c>
      <c r="BH296" t="e">
        <f t="shared" si="109"/>
        <v>#N/A</v>
      </c>
      <c r="BI296" t="e">
        <f t="shared" si="112"/>
        <v>#N/A</v>
      </c>
      <c r="BJ296" t="e">
        <f t="shared" si="112"/>
        <v>#N/A</v>
      </c>
      <c r="BK296" t="e">
        <f t="shared" si="112"/>
        <v>#N/A</v>
      </c>
      <c r="BL296" t="e">
        <f t="shared" si="112"/>
        <v>#N/A</v>
      </c>
      <c r="BM296" t="e">
        <f t="shared" si="112"/>
        <v>#N/A</v>
      </c>
      <c r="BP296" t="e">
        <f t="shared" si="116"/>
        <v>#N/A</v>
      </c>
      <c r="BQ296" t="e">
        <f t="shared" si="110"/>
        <v>#N/A</v>
      </c>
      <c r="BR296" t="e">
        <f t="shared" si="113"/>
        <v>#N/A</v>
      </c>
      <c r="BS296" t="e">
        <f t="shared" si="113"/>
        <v>#N/A</v>
      </c>
      <c r="BT296" t="e">
        <f t="shared" si="113"/>
        <v>#N/A</v>
      </c>
      <c r="BU296" t="e">
        <f t="shared" si="113"/>
        <v>#N/A</v>
      </c>
      <c r="BV296" t="e">
        <f t="shared" si="113"/>
        <v>#N/A</v>
      </c>
      <c r="BY296" t="e">
        <f t="shared" si="117"/>
        <v>#N/A</v>
      </c>
      <c r="BZ296" t="e">
        <v>#N/A</v>
      </c>
      <c r="CA296" t="e" cm="1">
        <f t="array" ref="CA296">IF(ISNUMBER(BZ296),AF296/COUNT(IF(ISNUMBER(_xlfn.ANCHORARRAY($BZ$11)),_xlfn.ANCHORARRAY($BZ$11))),NA())</f>
        <v>#N/A</v>
      </c>
      <c r="CB296" t="e">
        <f t="shared" si="118"/>
        <v>#N/A</v>
      </c>
      <c r="CD296" t="e">
        <f t="shared" si="119"/>
        <v>#N/A</v>
      </c>
      <c r="CE296" t="e">
        <f t="shared" si="120"/>
        <v>#N/A</v>
      </c>
      <c r="CG296" t="e">
        <v>#N/A</v>
      </c>
      <c r="CH296" t="e">
        <v>#N/A</v>
      </c>
      <c r="CL296" t="e">
        <f t="shared" si="121"/>
        <v>#N/A</v>
      </c>
      <c r="CM296" t="e">
        <v>#N/A</v>
      </c>
      <c r="CN296" t="e" cm="1">
        <f t="array" ref="CN296">IF(ISNUMBER(CM296),AF296/COUNT(IF(ISNUMBER(_xlfn.ANCHORARRAY($CM$11)),_xlfn.ANCHORARRAY($CM$11))),NA())</f>
        <v>#N/A</v>
      </c>
      <c r="CO296" t="e">
        <f t="shared" si="122"/>
        <v>#N/A</v>
      </c>
      <c r="CQ296" t="e">
        <f t="shared" si="123"/>
        <v>#N/A</v>
      </c>
      <c r="CR296" t="e">
        <f t="shared" si="124"/>
        <v>#N/A</v>
      </c>
      <c r="CT296" t="e">
        <v>#N/A</v>
      </c>
      <c r="CU296" t="e">
        <v>#N/A</v>
      </c>
      <c r="CY296" t="e">
        <f t="shared" si="125"/>
        <v>#N/A</v>
      </c>
      <c r="CZ296" t="e">
        <v>#N/A</v>
      </c>
      <c r="DA296" t="e" cm="1">
        <f t="array" ref="DA296">IF(ISNUMBER(CZ296),AF296/COUNT(IF(ISNUMBER(_xlfn.ANCHORARRAY($CZ$11)),_xlfn.ANCHORARRAY($CZ$11))),NA())</f>
        <v>#N/A</v>
      </c>
      <c r="DB296" t="e">
        <f t="shared" si="126"/>
        <v>#N/A</v>
      </c>
      <c r="DD296" t="e">
        <f t="shared" si="127"/>
        <v>#N/A</v>
      </c>
      <c r="DE296" t="e">
        <f t="shared" si="128"/>
        <v>#N/A</v>
      </c>
      <c r="DG296" t="e">
        <v>#N/A</v>
      </c>
      <c r="DH296" t="e">
        <v>#N/A</v>
      </c>
    </row>
    <row r="297" spans="32:112">
      <c r="AF297">
        <v>287</v>
      </c>
      <c r="AG297" s="401">
        <f>'Lab test'!N290</f>
        <v>75</v>
      </c>
      <c r="AH297" s="401">
        <f>'Lab test'!M290</f>
        <v>2</v>
      </c>
      <c r="AI297">
        <f>IF('Lab test'!O290&gt;0,'Lab test'!O290,NA())</f>
        <v>450</v>
      </c>
      <c r="AJ297">
        <f>'Lab test'!Q290</f>
        <v>37.5</v>
      </c>
      <c r="AK297" s="401">
        <f>IF('Lab test'!V290&gt;0,'Lab test'!V290,NA())</f>
        <v>188000</v>
      </c>
      <c r="AL297" s="7">
        <f>IF(MAX('Lab test'!W290,'Lab test'!X290)&gt;0,MAX('Lab test'!W290,'Lab test'!X290),NA())</f>
        <v>190</v>
      </c>
      <c r="AM297" s="401">
        <f>IF('Lab test'!P290&gt;0,'Lab test'!P290,NA())</f>
        <v>0.97979589711327131</v>
      </c>
      <c r="AN297" s="401">
        <f>IF('Lab test'!AU290&gt;0,'Lab test'!AU290,NA())</f>
        <v>1.1052631578947369</v>
      </c>
      <c r="AO297" s="401">
        <f>IF('Lab test'!AT290&gt;0,'Lab test'!AT290,NA())</f>
        <v>6.9210826691294761E-2</v>
      </c>
      <c r="AP297">
        <f t="shared" si="129"/>
        <v>1</v>
      </c>
      <c r="AQ297" s="401">
        <f>'Lab test'!AZ290</f>
        <v>2016</v>
      </c>
      <c r="AR297" t="str">
        <f>'Lab test'!AC290</f>
        <v>LTWb</v>
      </c>
      <c r="AS297" t="str">
        <f>'Lab test'!T290</f>
        <v>Steel</v>
      </c>
      <c r="AX297">
        <f t="shared" si="114"/>
        <v>188000</v>
      </c>
      <c r="AY297" t="e">
        <f t="shared" si="108"/>
        <v>#N/A</v>
      </c>
      <c r="AZ297" t="e">
        <f t="shared" si="111"/>
        <v>#N/A</v>
      </c>
      <c r="BA297" t="e">
        <f t="shared" si="111"/>
        <v>#N/A</v>
      </c>
      <c r="BB297" t="e">
        <f t="shared" si="111"/>
        <v>#N/A</v>
      </c>
      <c r="BC297" t="e">
        <f t="shared" si="111"/>
        <v>#N/A</v>
      </c>
      <c r="BD297" t="e">
        <f t="shared" si="111"/>
        <v>#N/A</v>
      </c>
      <c r="BG297" t="e">
        <f t="shared" si="115"/>
        <v>#N/A</v>
      </c>
      <c r="BH297" t="e">
        <f t="shared" si="109"/>
        <v>#N/A</v>
      </c>
      <c r="BI297" t="e">
        <f t="shared" si="112"/>
        <v>#N/A</v>
      </c>
      <c r="BJ297" t="e">
        <f t="shared" si="112"/>
        <v>#N/A</v>
      </c>
      <c r="BK297" t="e">
        <f t="shared" si="112"/>
        <v>#N/A</v>
      </c>
      <c r="BL297" t="e">
        <f t="shared" si="112"/>
        <v>#N/A</v>
      </c>
      <c r="BM297" t="e">
        <f t="shared" si="112"/>
        <v>#N/A</v>
      </c>
      <c r="BP297" t="e">
        <f t="shared" si="116"/>
        <v>#N/A</v>
      </c>
      <c r="BQ297" t="e">
        <f t="shared" si="110"/>
        <v>#N/A</v>
      </c>
      <c r="BR297" t="e">
        <f t="shared" si="113"/>
        <v>#N/A</v>
      </c>
      <c r="BS297" t="e">
        <f t="shared" si="113"/>
        <v>#N/A</v>
      </c>
      <c r="BT297" t="e">
        <f t="shared" si="113"/>
        <v>#N/A</v>
      </c>
      <c r="BU297" t="e">
        <f t="shared" si="113"/>
        <v>#N/A</v>
      </c>
      <c r="BV297" t="e">
        <f t="shared" si="113"/>
        <v>#N/A</v>
      </c>
      <c r="BY297">
        <f t="shared" si="117"/>
        <v>188000</v>
      </c>
      <c r="BZ297" t="e">
        <v>#N/A</v>
      </c>
      <c r="CA297" t="e" cm="1">
        <f t="array" ref="CA297">IF(ISNUMBER(BZ297),AF297/COUNT(IF(ISNUMBER(_xlfn.ANCHORARRAY($BZ$11)),_xlfn.ANCHORARRAY($BZ$11))),NA())</f>
        <v>#N/A</v>
      </c>
      <c r="CB297" t="e">
        <f t="shared" si="118"/>
        <v>#N/A</v>
      </c>
      <c r="CD297" t="e">
        <f t="shared" si="119"/>
        <v>#N/A</v>
      </c>
      <c r="CE297" t="e">
        <f t="shared" si="120"/>
        <v>#N/A</v>
      </c>
      <c r="CG297" t="e">
        <v>#N/A</v>
      </c>
      <c r="CH297" t="e">
        <v>#N/A</v>
      </c>
      <c r="CL297" t="e">
        <f t="shared" si="121"/>
        <v>#N/A</v>
      </c>
      <c r="CM297" t="e">
        <v>#N/A</v>
      </c>
      <c r="CN297" t="e" cm="1">
        <f t="array" ref="CN297">IF(ISNUMBER(CM297),AF297/COUNT(IF(ISNUMBER(_xlfn.ANCHORARRAY($CM$11)),_xlfn.ANCHORARRAY($CM$11))),NA())</f>
        <v>#N/A</v>
      </c>
      <c r="CO297" t="e">
        <f t="shared" si="122"/>
        <v>#N/A</v>
      </c>
      <c r="CQ297" t="e">
        <f t="shared" si="123"/>
        <v>#N/A</v>
      </c>
      <c r="CR297" t="e">
        <f t="shared" si="124"/>
        <v>#N/A</v>
      </c>
      <c r="CT297" t="e">
        <v>#N/A</v>
      </c>
      <c r="CU297" t="e">
        <v>#N/A</v>
      </c>
      <c r="CY297" t="e">
        <f t="shared" si="125"/>
        <v>#N/A</v>
      </c>
      <c r="CZ297" t="e">
        <v>#N/A</v>
      </c>
      <c r="DA297" t="e" cm="1">
        <f t="array" ref="DA297">IF(ISNUMBER(CZ297),AF297/COUNT(IF(ISNUMBER(_xlfn.ANCHORARRAY($CZ$11)),_xlfn.ANCHORARRAY($CZ$11))),NA())</f>
        <v>#N/A</v>
      </c>
      <c r="DB297" t="e">
        <f t="shared" si="126"/>
        <v>#N/A</v>
      </c>
      <c r="DD297" t="e">
        <f t="shared" si="127"/>
        <v>#N/A</v>
      </c>
      <c r="DE297" t="e">
        <f t="shared" si="128"/>
        <v>#N/A</v>
      </c>
      <c r="DG297" t="e">
        <v>#N/A</v>
      </c>
      <c r="DH297" t="e">
        <v>#N/A</v>
      </c>
    </row>
    <row r="298" spans="32:112">
      <c r="AF298">
        <v>288</v>
      </c>
      <c r="AG298" s="401">
        <f>'Lab test'!N291</f>
        <v>75</v>
      </c>
      <c r="AH298" s="401">
        <f>'Lab test'!M291</f>
        <v>2</v>
      </c>
      <c r="AI298">
        <f>IF('Lab test'!O291&gt;0,'Lab test'!O291,NA())</f>
        <v>450</v>
      </c>
      <c r="AJ298">
        <f>'Lab test'!Q291</f>
        <v>37.5</v>
      </c>
      <c r="AK298" s="401">
        <f>IF('Lab test'!V291&gt;0,'Lab test'!V291,NA())</f>
        <v>188000</v>
      </c>
      <c r="AL298" s="7">
        <f>IF(MAX('Lab test'!W291,'Lab test'!X291)&gt;0,MAX('Lab test'!W291,'Lab test'!X291),NA())</f>
        <v>190</v>
      </c>
      <c r="AM298" s="401">
        <f>IF('Lab test'!P291&gt;0,'Lab test'!P291,NA())</f>
        <v>0.97979589711327131</v>
      </c>
      <c r="AN298" s="401" t="e">
        <f>IF('Lab test'!AU291&gt;0,'Lab test'!AU291,NA())</f>
        <v>#N/A</v>
      </c>
      <c r="AO298" s="401" t="e">
        <f>IF('Lab test'!AT291&gt;0,'Lab test'!AT291,NA())</f>
        <v>#N/A</v>
      </c>
      <c r="AP298" t="e">
        <f t="shared" si="129"/>
        <v>#N/A</v>
      </c>
      <c r="AQ298" s="401">
        <f>'Lab test'!AZ291</f>
        <v>2016</v>
      </c>
      <c r="AR298" t="str">
        <f>'Lab test'!AC291</f>
        <v>LTWb</v>
      </c>
      <c r="AS298" t="str">
        <f>'Lab test'!T291</f>
        <v>Steel</v>
      </c>
      <c r="AX298" t="e">
        <f t="shared" si="114"/>
        <v>#N/A</v>
      </c>
      <c r="AY298" t="e">
        <f t="shared" si="108"/>
        <v>#N/A</v>
      </c>
      <c r="AZ298" t="e">
        <f t="shared" si="111"/>
        <v>#N/A</v>
      </c>
      <c r="BA298" t="e">
        <f t="shared" si="111"/>
        <v>#N/A</v>
      </c>
      <c r="BB298" t="e">
        <f t="shared" si="111"/>
        <v>#N/A</v>
      </c>
      <c r="BC298" t="e">
        <f t="shared" si="111"/>
        <v>#N/A</v>
      </c>
      <c r="BD298" t="e">
        <f t="shared" si="111"/>
        <v>#N/A</v>
      </c>
      <c r="BG298" t="e">
        <f t="shared" si="115"/>
        <v>#N/A</v>
      </c>
      <c r="BH298" t="e">
        <f t="shared" si="109"/>
        <v>#N/A</v>
      </c>
      <c r="BI298" t="e">
        <f t="shared" si="112"/>
        <v>#N/A</v>
      </c>
      <c r="BJ298" t="e">
        <f t="shared" si="112"/>
        <v>#N/A</v>
      </c>
      <c r="BK298" t="e">
        <f t="shared" si="112"/>
        <v>#N/A</v>
      </c>
      <c r="BL298" t="e">
        <f t="shared" si="112"/>
        <v>#N/A</v>
      </c>
      <c r="BM298" t="e">
        <f t="shared" si="112"/>
        <v>#N/A</v>
      </c>
      <c r="BP298" t="e">
        <f t="shared" si="116"/>
        <v>#N/A</v>
      </c>
      <c r="BQ298" t="e">
        <f t="shared" si="110"/>
        <v>#N/A</v>
      </c>
      <c r="BR298" t="e">
        <f t="shared" si="113"/>
        <v>#N/A</v>
      </c>
      <c r="BS298" t="e">
        <f t="shared" si="113"/>
        <v>#N/A</v>
      </c>
      <c r="BT298" t="e">
        <f t="shared" si="113"/>
        <v>#N/A</v>
      </c>
      <c r="BU298" t="e">
        <f t="shared" si="113"/>
        <v>#N/A</v>
      </c>
      <c r="BV298" t="e">
        <f t="shared" si="113"/>
        <v>#N/A</v>
      </c>
      <c r="BY298" t="e">
        <f t="shared" si="117"/>
        <v>#N/A</v>
      </c>
      <c r="BZ298" t="e">
        <v>#N/A</v>
      </c>
      <c r="CA298" t="e" cm="1">
        <f t="array" ref="CA298">IF(ISNUMBER(BZ298),AF298/COUNT(IF(ISNUMBER(_xlfn.ANCHORARRAY($BZ$11)),_xlfn.ANCHORARRAY($BZ$11))),NA())</f>
        <v>#N/A</v>
      </c>
      <c r="CB298" t="e">
        <f t="shared" si="118"/>
        <v>#N/A</v>
      </c>
      <c r="CD298" t="e">
        <f t="shared" si="119"/>
        <v>#N/A</v>
      </c>
      <c r="CE298" t="e">
        <f t="shared" si="120"/>
        <v>#N/A</v>
      </c>
      <c r="CG298" t="e">
        <v>#N/A</v>
      </c>
      <c r="CH298" t="e">
        <v>#N/A</v>
      </c>
      <c r="CL298" t="e">
        <f t="shared" si="121"/>
        <v>#N/A</v>
      </c>
      <c r="CM298" t="e">
        <v>#N/A</v>
      </c>
      <c r="CN298" t="e" cm="1">
        <f t="array" ref="CN298">IF(ISNUMBER(CM298),AF298/COUNT(IF(ISNUMBER(_xlfn.ANCHORARRAY($CM$11)),_xlfn.ANCHORARRAY($CM$11))),NA())</f>
        <v>#N/A</v>
      </c>
      <c r="CO298" t="e">
        <f t="shared" si="122"/>
        <v>#N/A</v>
      </c>
      <c r="CQ298" t="e">
        <f t="shared" si="123"/>
        <v>#N/A</v>
      </c>
      <c r="CR298" t="e">
        <f t="shared" si="124"/>
        <v>#N/A</v>
      </c>
      <c r="CT298" t="e">
        <v>#N/A</v>
      </c>
      <c r="CU298" t="e">
        <v>#N/A</v>
      </c>
      <c r="CY298" t="e">
        <f t="shared" si="125"/>
        <v>#N/A</v>
      </c>
      <c r="CZ298" t="e">
        <v>#N/A</v>
      </c>
      <c r="DA298" t="e" cm="1">
        <f t="array" ref="DA298">IF(ISNUMBER(CZ298),AF298/COUNT(IF(ISNUMBER(_xlfn.ANCHORARRAY($CZ$11)),_xlfn.ANCHORARRAY($CZ$11))),NA())</f>
        <v>#N/A</v>
      </c>
      <c r="DB298" t="e">
        <f t="shared" si="126"/>
        <v>#N/A</v>
      </c>
      <c r="DD298" t="e">
        <f t="shared" si="127"/>
        <v>#N/A</v>
      </c>
      <c r="DE298" t="e">
        <f t="shared" si="128"/>
        <v>#N/A</v>
      </c>
      <c r="DG298" t="e">
        <v>#N/A</v>
      </c>
      <c r="DH298" t="e">
        <v>#N/A</v>
      </c>
    </row>
    <row r="299" spans="32:112">
      <c r="AF299">
        <v>289</v>
      </c>
      <c r="AG299" s="401">
        <f>'Lab test'!N292</f>
        <v>75</v>
      </c>
      <c r="AH299" s="401">
        <f>'Lab test'!M292</f>
        <v>2</v>
      </c>
      <c r="AI299">
        <f>IF('Lab test'!O292&gt;0,'Lab test'!O292,NA())</f>
        <v>450</v>
      </c>
      <c r="AJ299">
        <f>'Lab test'!Q292</f>
        <v>37.5</v>
      </c>
      <c r="AK299" s="401">
        <f>IF('Lab test'!V292&gt;0,'Lab test'!V292,NA())</f>
        <v>188000</v>
      </c>
      <c r="AL299" s="7">
        <f>IF(MAX('Lab test'!W292,'Lab test'!X292)&gt;0,MAX('Lab test'!W292,'Lab test'!X292),NA())</f>
        <v>190</v>
      </c>
      <c r="AM299" s="401">
        <f>IF('Lab test'!P292&gt;0,'Lab test'!P292,NA())</f>
        <v>0.97979589711327131</v>
      </c>
      <c r="AN299" s="401" t="e">
        <f>IF('Lab test'!AU292&gt;0,'Lab test'!AU292,NA())</f>
        <v>#N/A</v>
      </c>
      <c r="AO299" s="401" t="e">
        <f>IF('Lab test'!AT292&gt;0,'Lab test'!AT292,NA())</f>
        <v>#N/A</v>
      </c>
      <c r="AP299" t="e">
        <f t="shared" si="129"/>
        <v>#N/A</v>
      </c>
      <c r="AQ299" s="401">
        <f>'Lab test'!AZ292</f>
        <v>2016</v>
      </c>
      <c r="AR299" t="str">
        <f>'Lab test'!AC292</f>
        <v>LTWb</v>
      </c>
      <c r="AS299" t="str">
        <f>'Lab test'!T292</f>
        <v>Steel</v>
      </c>
      <c r="AX299" t="e">
        <f t="shared" si="114"/>
        <v>#N/A</v>
      </c>
      <c r="AY299" t="e">
        <f t="shared" si="108"/>
        <v>#N/A</v>
      </c>
      <c r="AZ299" t="e">
        <f t="shared" si="111"/>
        <v>#N/A</v>
      </c>
      <c r="BA299" t="e">
        <f t="shared" si="111"/>
        <v>#N/A</v>
      </c>
      <c r="BB299" t="e">
        <f t="shared" si="111"/>
        <v>#N/A</v>
      </c>
      <c r="BC299" t="e">
        <f t="shared" si="111"/>
        <v>#N/A</v>
      </c>
      <c r="BD299" t="e">
        <f t="shared" si="111"/>
        <v>#N/A</v>
      </c>
      <c r="BG299" t="e">
        <f t="shared" si="115"/>
        <v>#N/A</v>
      </c>
      <c r="BH299" t="e">
        <f t="shared" si="109"/>
        <v>#N/A</v>
      </c>
      <c r="BI299" t="e">
        <f t="shared" si="112"/>
        <v>#N/A</v>
      </c>
      <c r="BJ299" t="e">
        <f t="shared" si="112"/>
        <v>#N/A</v>
      </c>
      <c r="BK299" t="e">
        <f t="shared" si="112"/>
        <v>#N/A</v>
      </c>
      <c r="BL299" t="e">
        <f t="shared" si="112"/>
        <v>#N/A</v>
      </c>
      <c r="BM299" t="e">
        <f t="shared" si="112"/>
        <v>#N/A</v>
      </c>
      <c r="BP299" t="e">
        <f t="shared" si="116"/>
        <v>#N/A</v>
      </c>
      <c r="BQ299" t="e">
        <f t="shared" si="110"/>
        <v>#N/A</v>
      </c>
      <c r="BR299" t="e">
        <f t="shared" si="113"/>
        <v>#N/A</v>
      </c>
      <c r="BS299" t="e">
        <f t="shared" si="113"/>
        <v>#N/A</v>
      </c>
      <c r="BT299" t="e">
        <f t="shared" si="113"/>
        <v>#N/A</v>
      </c>
      <c r="BU299" t="e">
        <f t="shared" si="113"/>
        <v>#N/A</v>
      </c>
      <c r="BV299" t="e">
        <f t="shared" si="113"/>
        <v>#N/A</v>
      </c>
      <c r="BY299" t="e">
        <f t="shared" si="117"/>
        <v>#N/A</v>
      </c>
      <c r="BZ299" t="e">
        <v>#N/A</v>
      </c>
      <c r="CA299" t="e" cm="1">
        <f t="array" ref="CA299">IF(ISNUMBER(BZ299),AF299/COUNT(IF(ISNUMBER(_xlfn.ANCHORARRAY($BZ$11)),_xlfn.ANCHORARRAY($BZ$11))),NA())</f>
        <v>#N/A</v>
      </c>
      <c r="CB299" t="e">
        <f t="shared" si="118"/>
        <v>#N/A</v>
      </c>
      <c r="CD299" t="e">
        <f t="shared" si="119"/>
        <v>#N/A</v>
      </c>
      <c r="CE299" t="e">
        <f t="shared" si="120"/>
        <v>#N/A</v>
      </c>
      <c r="CG299" t="e">
        <v>#N/A</v>
      </c>
      <c r="CH299" t="e">
        <v>#N/A</v>
      </c>
      <c r="CL299" t="e">
        <f t="shared" si="121"/>
        <v>#N/A</v>
      </c>
      <c r="CM299" t="e">
        <v>#N/A</v>
      </c>
      <c r="CN299" t="e" cm="1">
        <f t="array" ref="CN299">IF(ISNUMBER(CM299),AF299/COUNT(IF(ISNUMBER(_xlfn.ANCHORARRAY($CM$11)),_xlfn.ANCHORARRAY($CM$11))),NA())</f>
        <v>#N/A</v>
      </c>
      <c r="CO299" t="e">
        <f t="shared" si="122"/>
        <v>#N/A</v>
      </c>
      <c r="CQ299" t="e">
        <f t="shared" si="123"/>
        <v>#N/A</v>
      </c>
      <c r="CR299" t="e">
        <f t="shared" si="124"/>
        <v>#N/A</v>
      </c>
      <c r="CT299" t="e">
        <v>#N/A</v>
      </c>
      <c r="CU299" t="e">
        <v>#N/A</v>
      </c>
      <c r="CY299" t="e">
        <f t="shared" si="125"/>
        <v>#N/A</v>
      </c>
      <c r="CZ299" t="e">
        <v>#N/A</v>
      </c>
      <c r="DA299" t="e" cm="1">
        <f t="array" ref="DA299">IF(ISNUMBER(CZ299),AF299/COUNT(IF(ISNUMBER(_xlfn.ANCHORARRAY($CZ$11)),_xlfn.ANCHORARRAY($CZ$11))),NA())</f>
        <v>#N/A</v>
      </c>
      <c r="DB299" t="e">
        <f t="shared" si="126"/>
        <v>#N/A</v>
      </c>
      <c r="DD299" t="e">
        <f t="shared" si="127"/>
        <v>#N/A</v>
      </c>
      <c r="DE299" t="e">
        <f t="shared" si="128"/>
        <v>#N/A</v>
      </c>
      <c r="DG299" t="e">
        <v>#N/A</v>
      </c>
      <c r="DH299" t="e">
        <v>#N/A</v>
      </c>
    </row>
    <row r="300" spans="32:112">
      <c r="AF300">
        <v>290</v>
      </c>
      <c r="AG300" s="401">
        <f>'Lab test'!N293</f>
        <v>100</v>
      </c>
      <c r="AH300" s="401">
        <f>'Lab test'!M293</f>
        <v>2</v>
      </c>
      <c r="AI300">
        <f>IF('Lab test'!O293&gt;0,'Lab test'!O293,NA())</f>
        <v>600</v>
      </c>
      <c r="AJ300">
        <f>'Lab test'!Q293</f>
        <v>50</v>
      </c>
      <c r="AK300" s="401">
        <f>IF('Lab test'!V293&gt;0,'Lab test'!V293,NA())</f>
        <v>188000</v>
      </c>
      <c r="AL300" s="7">
        <f>IF(MAX('Lab test'!W293,'Lab test'!X293)&gt;0,MAX('Lab test'!W293,'Lab test'!X293),NA())</f>
        <v>190</v>
      </c>
      <c r="AM300" s="401">
        <f>IF('Lab test'!P293&gt;0,'Lab test'!P293,NA())</f>
        <v>0.84852813742385702</v>
      </c>
      <c r="AN300" s="401">
        <f>IF('Lab test'!AU293&gt;0,'Lab test'!AU293,NA())</f>
        <v>0.9</v>
      </c>
      <c r="AO300" s="401">
        <f>IF('Lab test'!AT293&gt;0,'Lab test'!AT293,NA())</f>
        <v>7.514318326483431E-2</v>
      </c>
      <c r="AP300">
        <f t="shared" si="129"/>
        <v>1</v>
      </c>
      <c r="AQ300" s="401">
        <f>'Lab test'!AZ293</f>
        <v>2016</v>
      </c>
      <c r="AR300" t="str">
        <f>'Lab test'!AC293</f>
        <v>LTWb</v>
      </c>
      <c r="AS300" t="str">
        <f>'Lab test'!T293</f>
        <v>Steel</v>
      </c>
      <c r="AX300">
        <f t="shared" si="114"/>
        <v>188000</v>
      </c>
      <c r="AY300" t="e">
        <f t="shared" si="108"/>
        <v>#N/A</v>
      </c>
      <c r="AZ300" t="e">
        <f t="shared" si="111"/>
        <v>#N/A</v>
      </c>
      <c r="BA300" t="e">
        <f t="shared" si="111"/>
        <v>#N/A</v>
      </c>
      <c r="BB300" t="e">
        <f t="shared" si="111"/>
        <v>#N/A</v>
      </c>
      <c r="BC300" t="e">
        <f t="shared" si="111"/>
        <v>#N/A</v>
      </c>
      <c r="BD300" t="e">
        <f t="shared" si="111"/>
        <v>#N/A</v>
      </c>
      <c r="BG300" t="e">
        <f t="shared" si="115"/>
        <v>#N/A</v>
      </c>
      <c r="BH300" t="e">
        <f t="shared" si="109"/>
        <v>#N/A</v>
      </c>
      <c r="BI300" t="e">
        <f t="shared" si="112"/>
        <v>#N/A</v>
      </c>
      <c r="BJ300" t="e">
        <f t="shared" si="112"/>
        <v>#N/A</v>
      </c>
      <c r="BK300" t="e">
        <f t="shared" si="112"/>
        <v>#N/A</v>
      </c>
      <c r="BL300" t="e">
        <f t="shared" si="112"/>
        <v>#N/A</v>
      </c>
      <c r="BM300" t="e">
        <f t="shared" si="112"/>
        <v>#N/A</v>
      </c>
      <c r="BP300" t="e">
        <f t="shared" si="116"/>
        <v>#N/A</v>
      </c>
      <c r="BQ300" t="e">
        <f t="shared" si="110"/>
        <v>#N/A</v>
      </c>
      <c r="BR300" t="e">
        <f t="shared" si="113"/>
        <v>#N/A</v>
      </c>
      <c r="BS300" t="e">
        <f t="shared" si="113"/>
        <v>#N/A</v>
      </c>
      <c r="BT300" t="e">
        <f t="shared" si="113"/>
        <v>#N/A</v>
      </c>
      <c r="BU300" t="e">
        <f t="shared" si="113"/>
        <v>#N/A</v>
      </c>
      <c r="BV300" t="e">
        <f t="shared" si="113"/>
        <v>#N/A</v>
      </c>
      <c r="BY300">
        <f t="shared" si="117"/>
        <v>188000</v>
      </c>
      <c r="BZ300" t="e">
        <v>#N/A</v>
      </c>
      <c r="CA300" t="e" cm="1">
        <f t="array" ref="CA300">IF(ISNUMBER(BZ300),AF300/COUNT(IF(ISNUMBER(_xlfn.ANCHORARRAY($BZ$11)),_xlfn.ANCHORARRAY($BZ$11))),NA())</f>
        <v>#N/A</v>
      </c>
      <c r="CB300" t="e">
        <f t="shared" si="118"/>
        <v>#N/A</v>
      </c>
      <c r="CD300" t="e">
        <f t="shared" si="119"/>
        <v>#N/A</v>
      </c>
      <c r="CE300" t="e">
        <f t="shared" si="120"/>
        <v>#N/A</v>
      </c>
      <c r="CG300" t="e">
        <v>#N/A</v>
      </c>
      <c r="CH300" t="e">
        <v>#N/A</v>
      </c>
      <c r="CL300" t="e">
        <f t="shared" si="121"/>
        <v>#N/A</v>
      </c>
      <c r="CM300" t="e">
        <v>#N/A</v>
      </c>
      <c r="CN300" t="e" cm="1">
        <f t="array" ref="CN300">IF(ISNUMBER(CM300),AF300/COUNT(IF(ISNUMBER(_xlfn.ANCHORARRAY($CM$11)),_xlfn.ANCHORARRAY($CM$11))),NA())</f>
        <v>#N/A</v>
      </c>
      <c r="CO300" t="e">
        <f t="shared" si="122"/>
        <v>#N/A</v>
      </c>
      <c r="CQ300" t="e">
        <f t="shared" si="123"/>
        <v>#N/A</v>
      </c>
      <c r="CR300" t="e">
        <f t="shared" si="124"/>
        <v>#N/A</v>
      </c>
      <c r="CT300" t="e">
        <v>#N/A</v>
      </c>
      <c r="CU300" t="e">
        <v>#N/A</v>
      </c>
      <c r="CY300" t="e">
        <f t="shared" si="125"/>
        <v>#N/A</v>
      </c>
      <c r="CZ300" t="e">
        <v>#N/A</v>
      </c>
      <c r="DA300" t="e" cm="1">
        <f t="array" ref="DA300">IF(ISNUMBER(CZ300),AF300/COUNT(IF(ISNUMBER(_xlfn.ANCHORARRAY($CZ$11)),_xlfn.ANCHORARRAY($CZ$11))),NA())</f>
        <v>#N/A</v>
      </c>
      <c r="DB300" t="e">
        <f t="shared" si="126"/>
        <v>#N/A</v>
      </c>
      <c r="DD300" t="e">
        <f t="shared" si="127"/>
        <v>#N/A</v>
      </c>
      <c r="DE300" t="e">
        <f t="shared" si="128"/>
        <v>#N/A</v>
      </c>
      <c r="DG300" t="e">
        <v>#N/A</v>
      </c>
      <c r="DH300" t="e">
        <v>#N/A</v>
      </c>
    </row>
    <row r="301" spans="32:112">
      <c r="AF301">
        <v>291</v>
      </c>
      <c r="AG301" s="401">
        <f>'Lab test'!N294</f>
        <v>100</v>
      </c>
      <c r="AH301" s="401">
        <f>'Lab test'!M294</f>
        <v>2</v>
      </c>
      <c r="AI301">
        <f>IF('Lab test'!O294&gt;0,'Lab test'!O294,NA())</f>
        <v>600</v>
      </c>
      <c r="AJ301">
        <f>'Lab test'!Q294</f>
        <v>50</v>
      </c>
      <c r="AK301" s="401">
        <f>IF('Lab test'!V294&gt;0,'Lab test'!V294,NA())</f>
        <v>188000</v>
      </c>
      <c r="AL301" s="7">
        <f>IF(MAX('Lab test'!W294,'Lab test'!X294)&gt;0,MAX('Lab test'!W294,'Lab test'!X294),NA())</f>
        <v>190</v>
      </c>
      <c r="AM301" s="401">
        <f>IF('Lab test'!P294&gt;0,'Lab test'!P294,NA())</f>
        <v>0.84852813742385702</v>
      </c>
      <c r="AN301" s="401" t="e">
        <f>IF('Lab test'!AU294&gt;0,'Lab test'!AU294,NA())</f>
        <v>#N/A</v>
      </c>
      <c r="AO301" s="401" t="e">
        <f>IF('Lab test'!AT294&gt;0,'Lab test'!AT294,NA())</f>
        <v>#N/A</v>
      </c>
      <c r="AP301" t="e">
        <f t="shared" si="129"/>
        <v>#N/A</v>
      </c>
      <c r="AQ301" s="401">
        <f>'Lab test'!AZ294</f>
        <v>2016</v>
      </c>
      <c r="AR301" t="str">
        <f>'Lab test'!AC294</f>
        <v>LTWb</v>
      </c>
      <c r="AS301" t="str">
        <f>'Lab test'!T294</f>
        <v>Steel</v>
      </c>
      <c r="AX301" t="e">
        <f t="shared" si="114"/>
        <v>#N/A</v>
      </c>
      <c r="AY301" t="e">
        <f t="shared" si="108"/>
        <v>#N/A</v>
      </c>
      <c r="AZ301" t="e">
        <f t="shared" si="111"/>
        <v>#N/A</v>
      </c>
      <c r="BA301" t="e">
        <f t="shared" si="111"/>
        <v>#N/A</v>
      </c>
      <c r="BB301" t="e">
        <f t="shared" si="111"/>
        <v>#N/A</v>
      </c>
      <c r="BC301" t="e">
        <f t="shared" si="111"/>
        <v>#N/A</v>
      </c>
      <c r="BD301" t="e">
        <f t="shared" si="111"/>
        <v>#N/A</v>
      </c>
      <c r="BG301" t="e">
        <f t="shared" si="115"/>
        <v>#N/A</v>
      </c>
      <c r="BH301" t="e">
        <f t="shared" si="109"/>
        <v>#N/A</v>
      </c>
      <c r="BI301" t="e">
        <f t="shared" si="112"/>
        <v>#N/A</v>
      </c>
      <c r="BJ301" t="e">
        <f t="shared" si="112"/>
        <v>#N/A</v>
      </c>
      <c r="BK301" t="e">
        <f t="shared" si="112"/>
        <v>#N/A</v>
      </c>
      <c r="BL301" t="e">
        <f t="shared" si="112"/>
        <v>#N/A</v>
      </c>
      <c r="BM301" t="e">
        <f t="shared" si="112"/>
        <v>#N/A</v>
      </c>
      <c r="BP301" t="e">
        <f t="shared" si="116"/>
        <v>#N/A</v>
      </c>
      <c r="BQ301" t="e">
        <f t="shared" si="110"/>
        <v>#N/A</v>
      </c>
      <c r="BR301" t="e">
        <f t="shared" si="113"/>
        <v>#N/A</v>
      </c>
      <c r="BS301" t="e">
        <f t="shared" si="113"/>
        <v>#N/A</v>
      </c>
      <c r="BT301" t="e">
        <f t="shared" si="113"/>
        <v>#N/A</v>
      </c>
      <c r="BU301" t="e">
        <f t="shared" si="113"/>
        <v>#N/A</v>
      </c>
      <c r="BV301" t="e">
        <f t="shared" si="113"/>
        <v>#N/A</v>
      </c>
      <c r="BY301" t="e">
        <f t="shared" si="117"/>
        <v>#N/A</v>
      </c>
      <c r="BZ301" t="e">
        <v>#N/A</v>
      </c>
      <c r="CA301" t="e" cm="1">
        <f t="array" ref="CA301">IF(ISNUMBER(BZ301),AF301/COUNT(IF(ISNUMBER(_xlfn.ANCHORARRAY($BZ$11)),_xlfn.ANCHORARRAY($BZ$11))),NA())</f>
        <v>#N/A</v>
      </c>
      <c r="CB301" t="e">
        <f t="shared" si="118"/>
        <v>#N/A</v>
      </c>
      <c r="CD301" t="e">
        <f t="shared" si="119"/>
        <v>#N/A</v>
      </c>
      <c r="CE301" t="e">
        <f t="shared" si="120"/>
        <v>#N/A</v>
      </c>
      <c r="CG301" t="e">
        <v>#N/A</v>
      </c>
      <c r="CH301" t="e">
        <v>#N/A</v>
      </c>
      <c r="CL301" t="e">
        <f t="shared" si="121"/>
        <v>#N/A</v>
      </c>
      <c r="CM301" t="e">
        <v>#N/A</v>
      </c>
      <c r="CN301" t="e" cm="1">
        <f t="array" ref="CN301">IF(ISNUMBER(CM301),AF301/COUNT(IF(ISNUMBER(_xlfn.ANCHORARRAY($CM$11)),_xlfn.ANCHORARRAY($CM$11))),NA())</f>
        <v>#N/A</v>
      </c>
      <c r="CO301" t="e">
        <f t="shared" si="122"/>
        <v>#N/A</v>
      </c>
      <c r="CQ301" t="e">
        <f t="shared" si="123"/>
        <v>#N/A</v>
      </c>
      <c r="CR301" t="e">
        <f t="shared" si="124"/>
        <v>#N/A</v>
      </c>
      <c r="CT301" t="e">
        <v>#N/A</v>
      </c>
      <c r="CU301" t="e">
        <v>#N/A</v>
      </c>
      <c r="CY301" t="e">
        <f t="shared" si="125"/>
        <v>#N/A</v>
      </c>
      <c r="CZ301" t="e">
        <v>#N/A</v>
      </c>
      <c r="DA301" t="e" cm="1">
        <f t="array" ref="DA301">IF(ISNUMBER(CZ301),AF301/COUNT(IF(ISNUMBER(_xlfn.ANCHORARRAY($CZ$11)),_xlfn.ANCHORARRAY($CZ$11))),NA())</f>
        <v>#N/A</v>
      </c>
      <c r="DB301" t="e">
        <f t="shared" si="126"/>
        <v>#N/A</v>
      </c>
      <c r="DD301" t="e">
        <f t="shared" si="127"/>
        <v>#N/A</v>
      </c>
      <c r="DE301" t="e">
        <f t="shared" si="128"/>
        <v>#N/A</v>
      </c>
      <c r="DG301" t="e">
        <v>#N/A</v>
      </c>
      <c r="DH301" t="e">
        <v>#N/A</v>
      </c>
    </row>
    <row r="302" spans="32:112">
      <c r="AF302">
        <v>292</v>
      </c>
      <c r="AG302" s="401">
        <f>'Lab test'!N295</f>
        <v>100</v>
      </c>
      <c r="AH302" s="401">
        <f>'Lab test'!M295</f>
        <v>2</v>
      </c>
      <c r="AI302">
        <f>IF('Lab test'!O295&gt;0,'Lab test'!O295,NA())</f>
        <v>600</v>
      </c>
      <c r="AJ302">
        <f>'Lab test'!Q295</f>
        <v>50</v>
      </c>
      <c r="AK302" s="401">
        <f>IF('Lab test'!V295&gt;0,'Lab test'!V295,NA())</f>
        <v>188000</v>
      </c>
      <c r="AL302" s="7">
        <f>IF(MAX('Lab test'!W295,'Lab test'!X295)&gt;0,MAX('Lab test'!W295,'Lab test'!X295),NA())</f>
        <v>190</v>
      </c>
      <c r="AM302" s="401">
        <f>IF('Lab test'!P295&gt;0,'Lab test'!P295,NA())</f>
        <v>0.84852813742385702</v>
      </c>
      <c r="AN302" s="401" t="e">
        <f>IF('Lab test'!AU295&gt;0,'Lab test'!AU295,NA())</f>
        <v>#N/A</v>
      </c>
      <c r="AO302" s="401" t="e">
        <f>IF('Lab test'!AT295&gt;0,'Lab test'!AT295,NA())</f>
        <v>#N/A</v>
      </c>
      <c r="AP302" t="e">
        <f t="shared" si="129"/>
        <v>#N/A</v>
      </c>
      <c r="AQ302" s="401">
        <f>'Lab test'!AZ295</f>
        <v>2016</v>
      </c>
      <c r="AR302" t="str">
        <f>'Lab test'!AC295</f>
        <v>LTWb</v>
      </c>
      <c r="AS302" t="str">
        <f>'Lab test'!T295</f>
        <v>Steel</v>
      </c>
      <c r="AX302" t="e">
        <f t="shared" si="114"/>
        <v>#N/A</v>
      </c>
      <c r="AY302" t="e">
        <f t="shared" ref="AY302:AY365" si="130">IF(ISNUMBER($AJ302),IF(ISNUMBER($AP302),IF($AJ302&gt;AY$9,IF($AJ302&lt;=AY$10,IF($AR302=$AW$2,IF($AS302=$AW$6,$AK302,NA()),NA()),NA()),NA()),NA()),NA())</f>
        <v>#N/A</v>
      </c>
      <c r="AZ302" t="e">
        <f t="shared" si="111"/>
        <v>#N/A</v>
      </c>
      <c r="BA302" t="e">
        <f t="shared" si="111"/>
        <v>#N/A</v>
      </c>
      <c r="BB302" t="e">
        <f t="shared" si="111"/>
        <v>#N/A</v>
      </c>
      <c r="BC302" t="e">
        <f t="shared" si="111"/>
        <v>#N/A</v>
      </c>
      <c r="BD302" t="e">
        <f t="shared" si="111"/>
        <v>#N/A</v>
      </c>
      <c r="BG302" t="e">
        <f t="shared" si="115"/>
        <v>#N/A</v>
      </c>
      <c r="BH302" t="e">
        <f t="shared" ref="BH302:BH365" si="131">IF(ISNUMBER($AJ302),IF(ISNUMBER($AP302),IF($AJ302&gt;BH$9,IF($AJ302&lt;=BH$10,IF($AR302=$AW$2,IF($AS302=$BF$6,$AK302,NA()),NA()),NA()),NA()),NA()),NA())</f>
        <v>#N/A</v>
      </c>
      <c r="BI302" t="e">
        <f t="shared" si="112"/>
        <v>#N/A</v>
      </c>
      <c r="BJ302" t="e">
        <f t="shared" si="112"/>
        <v>#N/A</v>
      </c>
      <c r="BK302" t="e">
        <f t="shared" si="112"/>
        <v>#N/A</v>
      </c>
      <c r="BL302" t="e">
        <f t="shared" si="112"/>
        <v>#N/A</v>
      </c>
      <c r="BM302" t="e">
        <f t="shared" si="112"/>
        <v>#N/A</v>
      </c>
      <c r="BP302" t="e">
        <f t="shared" si="116"/>
        <v>#N/A</v>
      </c>
      <c r="BQ302" t="e">
        <f t="shared" ref="BQ302:BQ365" si="132">IF(ISNUMBER($AJ302),IF(ISNUMBER($AP302),IF($AJ302&gt;BQ$9,IF($AJ302&lt;=BQ$10,IF($AR302=$AW$2,IF($AS302=$BO$6,$AK302,NA()),NA()),NA()),NA()),NA()),NA())</f>
        <v>#N/A</v>
      </c>
      <c r="BR302" t="e">
        <f t="shared" si="113"/>
        <v>#N/A</v>
      </c>
      <c r="BS302" t="e">
        <f t="shared" si="113"/>
        <v>#N/A</v>
      </c>
      <c r="BT302" t="e">
        <f t="shared" si="113"/>
        <v>#N/A</v>
      </c>
      <c r="BU302" t="e">
        <f t="shared" si="113"/>
        <v>#N/A</v>
      </c>
      <c r="BV302" t="e">
        <f t="shared" si="113"/>
        <v>#N/A</v>
      </c>
      <c r="BY302" t="e">
        <f t="shared" si="117"/>
        <v>#N/A</v>
      </c>
      <c r="BZ302" t="e">
        <v>#N/A</v>
      </c>
      <c r="CA302" t="e" cm="1">
        <f t="array" ref="CA302">IF(ISNUMBER(BZ302),AF302/COUNT(IF(ISNUMBER(_xlfn.ANCHORARRAY($BZ$11)),_xlfn.ANCHORARRAY($BZ$11))),NA())</f>
        <v>#N/A</v>
      </c>
      <c r="CB302" t="e">
        <f t="shared" si="118"/>
        <v>#N/A</v>
      </c>
      <c r="CD302" t="e">
        <f t="shared" si="119"/>
        <v>#N/A</v>
      </c>
      <c r="CE302" t="e">
        <f t="shared" si="120"/>
        <v>#N/A</v>
      </c>
      <c r="CG302" t="e">
        <v>#N/A</v>
      </c>
      <c r="CH302" t="e">
        <v>#N/A</v>
      </c>
      <c r="CL302" t="e">
        <f t="shared" si="121"/>
        <v>#N/A</v>
      </c>
      <c r="CM302" t="e">
        <v>#N/A</v>
      </c>
      <c r="CN302" t="e" cm="1">
        <f t="array" ref="CN302">IF(ISNUMBER(CM302),AF302/COUNT(IF(ISNUMBER(_xlfn.ANCHORARRAY($CM$11)),_xlfn.ANCHORARRAY($CM$11))),NA())</f>
        <v>#N/A</v>
      </c>
      <c r="CO302" t="e">
        <f t="shared" si="122"/>
        <v>#N/A</v>
      </c>
      <c r="CQ302" t="e">
        <f t="shared" si="123"/>
        <v>#N/A</v>
      </c>
      <c r="CR302" t="e">
        <f t="shared" si="124"/>
        <v>#N/A</v>
      </c>
      <c r="CT302" t="e">
        <v>#N/A</v>
      </c>
      <c r="CU302" t="e">
        <v>#N/A</v>
      </c>
      <c r="CY302" t="e">
        <f t="shared" si="125"/>
        <v>#N/A</v>
      </c>
      <c r="CZ302" t="e">
        <v>#N/A</v>
      </c>
      <c r="DA302" t="e" cm="1">
        <f t="array" ref="DA302">IF(ISNUMBER(CZ302),AF302/COUNT(IF(ISNUMBER(_xlfn.ANCHORARRAY($CZ$11)),_xlfn.ANCHORARRAY($CZ$11))),NA())</f>
        <v>#N/A</v>
      </c>
      <c r="DB302" t="e">
        <f t="shared" si="126"/>
        <v>#N/A</v>
      </c>
      <c r="DD302" t="e">
        <f t="shared" si="127"/>
        <v>#N/A</v>
      </c>
      <c r="DE302" t="e">
        <f t="shared" si="128"/>
        <v>#N/A</v>
      </c>
      <c r="DG302" t="e">
        <v>#N/A</v>
      </c>
      <c r="DH302" t="e">
        <v>#N/A</v>
      </c>
    </row>
    <row r="303" spans="32:112">
      <c r="AF303">
        <v>293</v>
      </c>
      <c r="AG303" s="401">
        <f>'Lab test'!N296</f>
        <v>125</v>
      </c>
      <c r="AH303" s="401">
        <f>'Lab test'!M296</f>
        <v>2</v>
      </c>
      <c r="AI303">
        <f>IF('Lab test'!O296&gt;0,'Lab test'!O296,NA())</f>
        <v>750</v>
      </c>
      <c r="AJ303">
        <f>'Lab test'!Q296</f>
        <v>62.5</v>
      </c>
      <c r="AK303" s="401">
        <f>IF('Lab test'!V296&gt;0,'Lab test'!V296,NA())</f>
        <v>188000</v>
      </c>
      <c r="AL303" s="7">
        <f>IF(MAX('Lab test'!W296,'Lab test'!X296)&gt;0,MAX('Lab test'!W296,'Lab test'!X296),NA())</f>
        <v>190</v>
      </c>
      <c r="AM303" s="401">
        <f>IF('Lab test'!P296&gt;0,'Lab test'!P296,NA())</f>
        <v>0.75894663844041099</v>
      </c>
      <c r="AN303" s="401" t="e">
        <f>IF('Lab test'!AU296&gt;0,'Lab test'!AU296,NA())</f>
        <v>#N/A</v>
      </c>
      <c r="AO303" s="401" t="e">
        <f>IF('Lab test'!AT296&gt;0,'Lab test'!AT296,NA())</f>
        <v>#N/A</v>
      </c>
      <c r="AP303" t="e">
        <f t="shared" si="129"/>
        <v>#N/A</v>
      </c>
      <c r="AQ303" s="401">
        <f>'Lab test'!AZ296</f>
        <v>2016</v>
      </c>
      <c r="AR303" t="str">
        <f>'Lab test'!AC296</f>
        <v>LTWb</v>
      </c>
      <c r="AS303" t="str">
        <f>'Lab test'!T296</f>
        <v>Steel</v>
      </c>
      <c r="AX303" t="e">
        <f t="shared" si="114"/>
        <v>#N/A</v>
      </c>
      <c r="AY303" t="e">
        <f t="shared" si="130"/>
        <v>#N/A</v>
      </c>
      <c r="AZ303" t="e">
        <f t="shared" si="111"/>
        <v>#N/A</v>
      </c>
      <c r="BA303" t="e">
        <f t="shared" si="111"/>
        <v>#N/A</v>
      </c>
      <c r="BB303" t="e">
        <f t="shared" si="111"/>
        <v>#N/A</v>
      </c>
      <c r="BC303" t="e">
        <f t="shared" si="111"/>
        <v>#N/A</v>
      </c>
      <c r="BD303" t="e">
        <f t="shared" si="111"/>
        <v>#N/A</v>
      </c>
      <c r="BG303" t="e">
        <f t="shared" si="115"/>
        <v>#N/A</v>
      </c>
      <c r="BH303" t="e">
        <f t="shared" si="131"/>
        <v>#N/A</v>
      </c>
      <c r="BI303" t="e">
        <f t="shared" si="112"/>
        <v>#N/A</v>
      </c>
      <c r="BJ303" t="e">
        <f t="shared" si="112"/>
        <v>#N/A</v>
      </c>
      <c r="BK303" t="e">
        <f t="shared" si="112"/>
        <v>#N/A</v>
      </c>
      <c r="BL303" t="e">
        <f t="shared" si="112"/>
        <v>#N/A</v>
      </c>
      <c r="BM303" t="e">
        <f t="shared" si="112"/>
        <v>#N/A</v>
      </c>
      <c r="BP303" t="e">
        <f t="shared" si="116"/>
        <v>#N/A</v>
      </c>
      <c r="BQ303" t="e">
        <f t="shared" si="132"/>
        <v>#N/A</v>
      </c>
      <c r="BR303" t="e">
        <f t="shared" si="113"/>
        <v>#N/A</v>
      </c>
      <c r="BS303" t="e">
        <f t="shared" si="113"/>
        <v>#N/A</v>
      </c>
      <c r="BT303" t="e">
        <f t="shared" si="113"/>
        <v>#N/A</v>
      </c>
      <c r="BU303" t="e">
        <f t="shared" si="113"/>
        <v>#N/A</v>
      </c>
      <c r="BV303" t="e">
        <f t="shared" si="113"/>
        <v>#N/A</v>
      </c>
      <c r="BY303" t="e">
        <f t="shared" si="117"/>
        <v>#N/A</v>
      </c>
      <c r="BZ303" t="e">
        <v>#N/A</v>
      </c>
      <c r="CA303" t="e" cm="1">
        <f t="array" ref="CA303">IF(ISNUMBER(BZ303),AF303/COUNT(IF(ISNUMBER(_xlfn.ANCHORARRAY($BZ$11)),_xlfn.ANCHORARRAY($BZ$11))),NA())</f>
        <v>#N/A</v>
      </c>
      <c r="CB303" t="e">
        <f t="shared" si="118"/>
        <v>#N/A</v>
      </c>
      <c r="CD303" t="e">
        <f t="shared" si="119"/>
        <v>#N/A</v>
      </c>
      <c r="CE303" t="e">
        <f t="shared" si="120"/>
        <v>#N/A</v>
      </c>
      <c r="CG303" t="e">
        <v>#N/A</v>
      </c>
      <c r="CH303" t="e">
        <v>#N/A</v>
      </c>
      <c r="CL303" t="e">
        <f t="shared" si="121"/>
        <v>#N/A</v>
      </c>
      <c r="CM303" t="e">
        <v>#N/A</v>
      </c>
      <c r="CN303" t="e" cm="1">
        <f t="array" ref="CN303">IF(ISNUMBER(CM303),AF303/COUNT(IF(ISNUMBER(_xlfn.ANCHORARRAY($CM$11)),_xlfn.ANCHORARRAY($CM$11))),NA())</f>
        <v>#N/A</v>
      </c>
      <c r="CO303" t="e">
        <f t="shared" si="122"/>
        <v>#N/A</v>
      </c>
      <c r="CQ303" t="e">
        <f t="shared" si="123"/>
        <v>#N/A</v>
      </c>
      <c r="CR303" t="e">
        <f t="shared" si="124"/>
        <v>#N/A</v>
      </c>
      <c r="CT303" t="e">
        <v>#N/A</v>
      </c>
      <c r="CU303" t="e">
        <v>#N/A</v>
      </c>
      <c r="CY303" t="e">
        <f t="shared" si="125"/>
        <v>#N/A</v>
      </c>
      <c r="CZ303" t="e">
        <v>#N/A</v>
      </c>
      <c r="DA303" t="e" cm="1">
        <f t="array" ref="DA303">IF(ISNUMBER(CZ303),AF303/COUNT(IF(ISNUMBER(_xlfn.ANCHORARRAY($CZ$11)),_xlfn.ANCHORARRAY($CZ$11))),NA())</f>
        <v>#N/A</v>
      </c>
      <c r="DB303" t="e">
        <f t="shared" si="126"/>
        <v>#N/A</v>
      </c>
      <c r="DD303" t="e">
        <f t="shared" si="127"/>
        <v>#N/A</v>
      </c>
      <c r="DE303" t="e">
        <f t="shared" si="128"/>
        <v>#N/A</v>
      </c>
      <c r="DG303" t="e">
        <v>#N/A</v>
      </c>
      <c r="DH303" t="e">
        <v>#N/A</v>
      </c>
    </row>
    <row r="304" spans="32:112">
      <c r="AF304">
        <v>294</v>
      </c>
      <c r="AG304" s="401">
        <f>'Lab test'!N297</f>
        <v>125</v>
      </c>
      <c r="AH304" s="401">
        <f>'Lab test'!M297</f>
        <v>2</v>
      </c>
      <c r="AI304">
        <f>IF('Lab test'!O297&gt;0,'Lab test'!O297,NA())</f>
        <v>750</v>
      </c>
      <c r="AJ304">
        <f>'Lab test'!Q297</f>
        <v>62.5</v>
      </c>
      <c r="AK304" s="401">
        <f>IF('Lab test'!V297&gt;0,'Lab test'!V297,NA())</f>
        <v>188000</v>
      </c>
      <c r="AL304" s="7">
        <f>IF(MAX('Lab test'!W297,'Lab test'!X297)&gt;0,MAX('Lab test'!W297,'Lab test'!X297),NA())</f>
        <v>190</v>
      </c>
      <c r="AM304" s="401">
        <f>IF('Lab test'!P297&gt;0,'Lab test'!P297,NA())</f>
        <v>0.75894663844041099</v>
      </c>
      <c r="AN304" s="401" t="e">
        <f>IF('Lab test'!AU297&gt;0,'Lab test'!AU297,NA())</f>
        <v>#N/A</v>
      </c>
      <c r="AO304" s="401" t="e">
        <f>IF('Lab test'!AT297&gt;0,'Lab test'!AT297,NA())</f>
        <v>#N/A</v>
      </c>
      <c r="AP304" t="e">
        <f t="shared" si="129"/>
        <v>#N/A</v>
      </c>
      <c r="AQ304" s="401">
        <f>'Lab test'!AZ297</f>
        <v>2016</v>
      </c>
      <c r="AR304" t="str">
        <f>'Lab test'!AC297</f>
        <v>LTWb</v>
      </c>
      <c r="AS304" t="str">
        <f>'Lab test'!T297</f>
        <v>Steel</v>
      </c>
      <c r="AX304" t="e">
        <f t="shared" si="114"/>
        <v>#N/A</v>
      </c>
      <c r="AY304" t="e">
        <f t="shared" si="130"/>
        <v>#N/A</v>
      </c>
      <c r="AZ304" t="e">
        <f t="shared" si="111"/>
        <v>#N/A</v>
      </c>
      <c r="BA304" t="e">
        <f t="shared" si="111"/>
        <v>#N/A</v>
      </c>
      <c r="BB304" t="e">
        <f t="shared" si="111"/>
        <v>#N/A</v>
      </c>
      <c r="BC304" t="e">
        <f t="shared" si="111"/>
        <v>#N/A</v>
      </c>
      <c r="BD304" t="e">
        <f t="shared" si="111"/>
        <v>#N/A</v>
      </c>
      <c r="BG304" t="e">
        <f t="shared" si="115"/>
        <v>#N/A</v>
      </c>
      <c r="BH304" t="e">
        <f t="shared" si="131"/>
        <v>#N/A</v>
      </c>
      <c r="BI304" t="e">
        <f t="shared" si="112"/>
        <v>#N/A</v>
      </c>
      <c r="BJ304" t="e">
        <f t="shared" si="112"/>
        <v>#N/A</v>
      </c>
      <c r="BK304" t="e">
        <f t="shared" si="112"/>
        <v>#N/A</v>
      </c>
      <c r="BL304" t="e">
        <f t="shared" si="112"/>
        <v>#N/A</v>
      </c>
      <c r="BM304" t="e">
        <f t="shared" si="112"/>
        <v>#N/A</v>
      </c>
      <c r="BP304" t="e">
        <f t="shared" si="116"/>
        <v>#N/A</v>
      </c>
      <c r="BQ304" t="e">
        <f t="shared" si="132"/>
        <v>#N/A</v>
      </c>
      <c r="BR304" t="e">
        <f t="shared" si="113"/>
        <v>#N/A</v>
      </c>
      <c r="BS304" t="e">
        <f t="shared" si="113"/>
        <v>#N/A</v>
      </c>
      <c r="BT304" t="e">
        <f t="shared" si="113"/>
        <v>#N/A</v>
      </c>
      <c r="BU304" t="e">
        <f t="shared" si="113"/>
        <v>#N/A</v>
      </c>
      <c r="BV304" t="e">
        <f t="shared" si="113"/>
        <v>#N/A</v>
      </c>
      <c r="BY304" t="e">
        <f t="shared" si="117"/>
        <v>#N/A</v>
      </c>
      <c r="BZ304" t="e">
        <v>#N/A</v>
      </c>
      <c r="CA304" t="e" cm="1">
        <f t="array" ref="CA304">IF(ISNUMBER(BZ304),AF304/COUNT(IF(ISNUMBER(_xlfn.ANCHORARRAY($BZ$11)),_xlfn.ANCHORARRAY($BZ$11))),NA())</f>
        <v>#N/A</v>
      </c>
      <c r="CB304" t="e">
        <f t="shared" si="118"/>
        <v>#N/A</v>
      </c>
      <c r="CD304" t="e">
        <f t="shared" si="119"/>
        <v>#N/A</v>
      </c>
      <c r="CE304" t="e">
        <f t="shared" si="120"/>
        <v>#N/A</v>
      </c>
      <c r="CG304" t="e">
        <v>#N/A</v>
      </c>
      <c r="CH304" t="e">
        <v>#N/A</v>
      </c>
      <c r="CL304" t="e">
        <f t="shared" si="121"/>
        <v>#N/A</v>
      </c>
      <c r="CM304" t="e">
        <v>#N/A</v>
      </c>
      <c r="CN304" t="e" cm="1">
        <f t="array" ref="CN304">IF(ISNUMBER(CM304),AF304/COUNT(IF(ISNUMBER(_xlfn.ANCHORARRAY($CM$11)),_xlfn.ANCHORARRAY($CM$11))),NA())</f>
        <v>#N/A</v>
      </c>
      <c r="CO304" t="e">
        <f t="shared" si="122"/>
        <v>#N/A</v>
      </c>
      <c r="CQ304" t="e">
        <f t="shared" si="123"/>
        <v>#N/A</v>
      </c>
      <c r="CR304" t="e">
        <f t="shared" si="124"/>
        <v>#N/A</v>
      </c>
      <c r="CT304" t="e">
        <v>#N/A</v>
      </c>
      <c r="CU304" t="e">
        <v>#N/A</v>
      </c>
      <c r="CY304" t="e">
        <f t="shared" si="125"/>
        <v>#N/A</v>
      </c>
      <c r="CZ304" t="e">
        <v>#N/A</v>
      </c>
      <c r="DA304" t="e" cm="1">
        <f t="array" ref="DA304">IF(ISNUMBER(CZ304),AF304/COUNT(IF(ISNUMBER(_xlfn.ANCHORARRAY($CZ$11)),_xlfn.ANCHORARRAY($CZ$11))),NA())</f>
        <v>#N/A</v>
      </c>
      <c r="DB304" t="e">
        <f t="shared" si="126"/>
        <v>#N/A</v>
      </c>
      <c r="DD304" t="e">
        <f t="shared" si="127"/>
        <v>#N/A</v>
      </c>
      <c r="DE304" t="e">
        <f t="shared" si="128"/>
        <v>#N/A</v>
      </c>
      <c r="DG304" t="e">
        <v>#N/A</v>
      </c>
      <c r="DH304" t="e">
        <v>#N/A</v>
      </c>
    </row>
    <row r="305" spans="32:112">
      <c r="AF305">
        <v>295</v>
      </c>
      <c r="AG305" s="401">
        <f>'Lab test'!N298</f>
        <v>125</v>
      </c>
      <c r="AH305" s="401">
        <f>'Lab test'!M298</f>
        <v>2</v>
      </c>
      <c r="AI305">
        <f>IF('Lab test'!O298&gt;0,'Lab test'!O298,NA())</f>
        <v>750</v>
      </c>
      <c r="AJ305">
        <f>'Lab test'!Q298</f>
        <v>62.5</v>
      </c>
      <c r="AK305" s="401">
        <f>IF('Lab test'!V298&gt;0,'Lab test'!V298,NA())</f>
        <v>188000</v>
      </c>
      <c r="AL305" s="7">
        <f>IF(MAX('Lab test'!W298,'Lab test'!X298)&gt;0,MAX('Lab test'!W298,'Lab test'!X298),NA())</f>
        <v>190</v>
      </c>
      <c r="AM305" s="401">
        <f>IF('Lab test'!P298&gt;0,'Lab test'!P298,NA())</f>
        <v>0.75894663844041099</v>
      </c>
      <c r="AN305" s="401" t="e">
        <f>IF('Lab test'!AU298&gt;0,'Lab test'!AU298,NA())</f>
        <v>#N/A</v>
      </c>
      <c r="AO305" s="401" t="e">
        <f>IF('Lab test'!AT298&gt;0,'Lab test'!AT298,NA())</f>
        <v>#N/A</v>
      </c>
      <c r="AP305" t="e">
        <f t="shared" si="129"/>
        <v>#N/A</v>
      </c>
      <c r="AQ305" s="401">
        <f>'Lab test'!AZ298</f>
        <v>2016</v>
      </c>
      <c r="AR305" t="str">
        <f>'Lab test'!AC298</f>
        <v>LTWb</v>
      </c>
      <c r="AS305" t="str">
        <f>'Lab test'!T298</f>
        <v>Steel</v>
      </c>
      <c r="AX305" t="e">
        <f t="shared" si="114"/>
        <v>#N/A</v>
      </c>
      <c r="AY305" t="e">
        <f t="shared" si="130"/>
        <v>#N/A</v>
      </c>
      <c r="AZ305" t="e">
        <f t="shared" si="111"/>
        <v>#N/A</v>
      </c>
      <c r="BA305" t="e">
        <f t="shared" si="111"/>
        <v>#N/A</v>
      </c>
      <c r="BB305" t="e">
        <f t="shared" si="111"/>
        <v>#N/A</v>
      </c>
      <c r="BC305" t="e">
        <f t="shared" si="111"/>
        <v>#N/A</v>
      </c>
      <c r="BD305" t="e">
        <f t="shared" si="111"/>
        <v>#N/A</v>
      </c>
      <c r="BG305" t="e">
        <f t="shared" si="115"/>
        <v>#N/A</v>
      </c>
      <c r="BH305" t="e">
        <f t="shared" si="131"/>
        <v>#N/A</v>
      </c>
      <c r="BI305" t="e">
        <f t="shared" si="112"/>
        <v>#N/A</v>
      </c>
      <c r="BJ305" t="e">
        <f t="shared" si="112"/>
        <v>#N/A</v>
      </c>
      <c r="BK305" t="e">
        <f t="shared" si="112"/>
        <v>#N/A</v>
      </c>
      <c r="BL305" t="e">
        <f t="shared" si="112"/>
        <v>#N/A</v>
      </c>
      <c r="BM305" t="e">
        <f t="shared" si="112"/>
        <v>#N/A</v>
      </c>
      <c r="BP305" t="e">
        <f t="shared" si="116"/>
        <v>#N/A</v>
      </c>
      <c r="BQ305" t="e">
        <f t="shared" si="132"/>
        <v>#N/A</v>
      </c>
      <c r="BR305" t="e">
        <f t="shared" si="113"/>
        <v>#N/A</v>
      </c>
      <c r="BS305" t="e">
        <f t="shared" si="113"/>
        <v>#N/A</v>
      </c>
      <c r="BT305" t="e">
        <f t="shared" si="113"/>
        <v>#N/A</v>
      </c>
      <c r="BU305" t="e">
        <f t="shared" si="113"/>
        <v>#N/A</v>
      </c>
      <c r="BV305" t="e">
        <f t="shared" si="113"/>
        <v>#N/A</v>
      </c>
      <c r="BY305" t="e">
        <f t="shared" si="117"/>
        <v>#N/A</v>
      </c>
      <c r="BZ305" t="e">
        <v>#N/A</v>
      </c>
      <c r="CA305" t="e" cm="1">
        <f t="array" ref="CA305">IF(ISNUMBER(BZ305),AF305/COUNT(IF(ISNUMBER(_xlfn.ANCHORARRAY($BZ$11)),_xlfn.ANCHORARRAY($BZ$11))),NA())</f>
        <v>#N/A</v>
      </c>
      <c r="CB305" t="e">
        <f t="shared" si="118"/>
        <v>#N/A</v>
      </c>
      <c r="CD305" t="e">
        <f t="shared" si="119"/>
        <v>#N/A</v>
      </c>
      <c r="CE305" t="e">
        <f t="shared" si="120"/>
        <v>#N/A</v>
      </c>
      <c r="CG305" t="e">
        <v>#N/A</v>
      </c>
      <c r="CH305" t="e">
        <v>#N/A</v>
      </c>
      <c r="CL305" t="e">
        <f t="shared" si="121"/>
        <v>#N/A</v>
      </c>
      <c r="CM305" t="e">
        <v>#N/A</v>
      </c>
      <c r="CN305" t="e" cm="1">
        <f t="array" ref="CN305">IF(ISNUMBER(CM305),AF305/COUNT(IF(ISNUMBER(_xlfn.ANCHORARRAY($CM$11)),_xlfn.ANCHORARRAY($CM$11))),NA())</f>
        <v>#N/A</v>
      </c>
      <c r="CO305" t="e">
        <f t="shared" si="122"/>
        <v>#N/A</v>
      </c>
      <c r="CQ305" t="e">
        <f t="shared" si="123"/>
        <v>#N/A</v>
      </c>
      <c r="CR305" t="e">
        <f t="shared" si="124"/>
        <v>#N/A</v>
      </c>
      <c r="CT305" t="e">
        <v>#N/A</v>
      </c>
      <c r="CU305" t="e">
        <v>#N/A</v>
      </c>
      <c r="CY305" t="e">
        <f t="shared" si="125"/>
        <v>#N/A</v>
      </c>
      <c r="CZ305" t="e">
        <v>#N/A</v>
      </c>
      <c r="DA305" t="e" cm="1">
        <f t="array" ref="DA305">IF(ISNUMBER(CZ305),AF305/COUNT(IF(ISNUMBER(_xlfn.ANCHORARRAY($CZ$11)),_xlfn.ANCHORARRAY($CZ$11))),NA())</f>
        <v>#N/A</v>
      </c>
      <c r="DB305" t="e">
        <f t="shared" si="126"/>
        <v>#N/A</v>
      </c>
      <c r="DD305" t="e">
        <f t="shared" si="127"/>
        <v>#N/A</v>
      </c>
      <c r="DE305" t="e">
        <f t="shared" si="128"/>
        <v>#N/A</v>
      </c>
      <c r="DG305" t="e">
        <v>#N/A</v>
      </c>
      <c r="DH305" t="e">
        <v>#N/A</v>
      </c>
    </row>
    <row r="306" spans="32:112">
      <c r="AF306">
        <v>296</v>
      </c>
      <c r="AG306" s="401">
        <f>'Lab test'!N299</f>
        <v>150</v>
      </c>
      <c r="AH306" s="401">
        <f>'Lab test'!M299</f>
        <v>2</v>
      </c>
      <c r="AI306">
        <f>IF('Lab test'!O299&gt;0,'Lab test'!O299,NA())</f>
        <v>900</v>
      </c>
      <c r="AJ306">
        <f>'Lab test'!Q299</f>
        <v>75</v>
      </c>
      <c r="AK306" s="401">
        <f>IF('Lab test'!V299&gt;0,'Lab test'!V299,NA())</f>
        <v>188000</v>
      </c>
      <c r="AL306" s="7">
        <f>IF(MAX('Lab test'!W299,'Lab test'!X299)&gt;0,MAX('Lab test'!W299,'Lab test'!X299),NA())</f>
        <v>190</v>
      </c>
      <c r="AM306" s="401">
        <f>IF('Lab test'!P299&gt;0,'Lab test'!P299,NA())</f>
        <v>0.69282032302755092</v>
      </c>
      <c r="AN306" s="401" t="e">
        <f>IF('Lab test'!AU299&gt;0,'Lab test'!AU299,NA())</f>
        <v>#N/A</v>
      </c>
      <c r="AO306" s="401" t="e">
        <f>IF('Lab test'!AT299&gt;0,'Lab test'!AT299,NA())</f>
        <v>#N/A</v>
      </c>
      <c r="AP306" t="e">
        <f t="shared" si="129"/>
        <v>#N/A</v>
      </c>
      <c r="AQ306" s="401">
        <f>'Lab test'!AZ299</f>
        <v>2016</v>
      </c>
      <c r="AR306" t="str">
        <f>'Lab test'!AC299</f>
        <v>LTWb</v>
      </c>
      <c r="AS306" t="str">
        <f>'Lab test'!T299</f>
        <v>Steel</v>
      </c>
      <c r="AX306" t="e">
        <f t="shared" si="114"/>
        <v>#N/A</v>
      </c>
      <c r="AY306" t="e">
        <f t="shared" si="130"/>
        <v>#N/A</v>
      </c>
      <c r="AZ306" t="e">
        <f t="shared" si="111"/>
        <v>#N/A</v>
      </c>
      <c r="BA306" t="e">
        <f t="shared" si="111"/>
        <v>#N/A</v>
      </c>
      <c r="BB306" t="e">
        <f t="shared" si="111"/>
        <v>#N/A</v>
      </c>
      <c r="BC306" t="e">
        <f t="shared" si="111"/>
        <v>#N/A</v>
      </c>
      <c r="BD306" t="e">
        <f t="shared" si="111"/>
        <v>#N/A</v>
      </c>
      <c r="BG306" t="e">
        <f t="shared" si="115"/>
        <v>#N/A</v>
      </c>
      <c r="BH306" t="e">
        <f t="shared" si="131"/>
        <v>#N/A</v>
      </c>
      <c r="BI306" t="e">
        <f t="shared" si="112"/>
        <v>#N/A</v>
      </c>
      <c r="BJ306" t="e">
        <f t="shared" si="112"/>
        <v>#N/A</v>
      </c>
      <c r="BK306" t="e">
        <f t="shared" si="112"/>
        <v>#N/A</v>
      </c>
      <c r="BL306" t="e">
        <f t="shared" si="112"/>
        <v>#N/A</v>
      </c>
      <c r="BM306" t="e">
        <f t="shared" si="112"/>
        <v>#N/A</v>
      </c>
      <c r="BP306" t="e">
        <f t="shared" si="116"/>
        <v>#N/A</v>
      </c>
      <c r="BQ306" t="e">
        <f t="shared" si="132"/>
        <v>#N/A</v>
      </c>
      <c r="BR306" t="e">
        <f t="shared" si="113"/>
        <v>#N/A</v>
      </c>
      <c r="BS306" t="e">
        <f t="shared" si="113"/>
        <v>#N/A</v>
      </c>
      <c r="BT306" t="e">
        <f t="shared" si="113"/>
        <v>#N/A</v>
      </c>
      <c r="BU306" t="e">
        <f t="shared" si="113"/>
        <v>#N/A</v>
      </c>
      <c r="BV306" t="e">
        <f t="shared" si="113"/>
        <v>#N/A</v>
      </c>
      <c r="BY306" t="e">
        <f t="shared" si="117"/>
        <v>#N/A</v>
      </c>
      <c r="BZ306" t="e">
        <v>#N/A</v>
      </c>
      <c r="CA306" t="e" cm="1">
        <f t="array" ref="CA306">IF(ISNUMBER(BZ306),AF306/COUNT(IF(ISNUMBER(_xlfn.ANCHORARRAY($BZ$11)),_xlfn.ANCHORARRAY($BZ$11))),NA())</f>
        <v>#N/A</v>
      </c>
      <c r="CB306" t="e">
        <f t="shared" si="118"/>
        <v>#N/A</v>
      </c>
      <c r="CD306" t="e">
        <f t="shared" si="119"/>
        <v>#N/A</v>
      </c>
      <c r="CE306" t="e">
        <f t="shared" si="120"/>
        <v>#N/A</v>
      </c>
      <c r="CG306" t="e">
        <v>#N/A</v>
      </c>
      <c r="CH306" t="e">
        <v>#N/A</v>
      </c>
      <c r="CL306" t="e">
        <f t="shared" si="121"/>
        <v>#N/A</v>
      </c>
      <c r="CM306" t="e">
        <v>#N/A</v>
      </c>
      <c r="CN306" t="e" cm="1">
        <f t="array" ref="CN306">IF(ISNUMBER(CM306),AF306/COUNT(IF(ISNUMBER(_xlfn.ANCHORARRAY($CM$11)),_xlfn.ANCHORARRAY($CM$11))),NA())</f>
        <v>#N/A</v>
      </c>
      <c r="CO306" t="e">
        <f t="shared" si="122"/>
        <v>#N/A</v>
      </c>
      <c r="CQ306" t="e">
        <f t="shared" si="123"/>
        <v>#N/A</v>
      </c>
      <c r="CR306" t="e">
        <f t="shared" si="124"/>
        <v>#N/A</v>
      </c>
      <c r="CT306" t="e">
        <v>#N/A</v>
      </c>
      <c r="CU306" t="e">
        <v>#N/A</v>
      </c>
      <c r="CY306" t="e">
        <f t="shared" si="125"/>
        <v>#N/A</v>
      </c>
      <c r="CZ306" t="e">
        <v>#N/A</v>
      </c>
      <c r="DA306" t="e" cm="1">
        <f t="array" ref="DA306">IF(ISNUMBER(CZ306),AF306/COUNT(IF(ISNUMBER(_xlfn.ANCHORARRAY($CZ$11)),_xlfn.ANCHORARRAY($CZ$11))),NA())</f>
        <v>#N/A</v>
      </c>
      <c r="DB306" t="e">
        <f t="shared" si="126"/>
        <v>#N/A</v>
      </c>
      <c r="DD306" t="e">
        <f t="shared" si="127"/>
        <v>#N/A</v>
      </c>
      <c r="DE306" t="e">
        <f t="shared" si="128"/>
        <v>#N/A</v>
      </c>
      <c r="DG306" t="e">
        <v>#N/A</v>
      </c>
      <c r="DH306" t="e">
        <v>#N/A</v>
      </c>
    </row>
    <row r="307" spans="32:112">
      <c r="AF307">
        <v>297</v>
      </c>
      <c r="AG307" s="401">
        <f>'Lab test'!N300</f>
        <v>150</v>
      </c>
      <c r="AH307" s="401">
        <f>'Lab test'!M300</f>
        <v>2</v>
      </c>
      <c r="AI307">
        <f>IF('Lab test'!O300&gt;0,'Lab test'!O300,NA())</f>
        <v>900</v>
      </c>
      <c r="AJ307">
        <f>'Lab test'!Q300</f>
        <v>75</v>
      </c>
      <c r="AK307" s="401">
        <f>IF('Lab test'!V300&gt;0,'Lab test'!V300,NA())</f>
        <v>188000</v>
      </c>
      <c r="AL307" s="7">
        <f>IF(MAX('Lab test'!W300,'Lab test'!X300)&gt;0,MAX('Lab test'!W300,'Lab test'!X300),NA())</f>
        <v>190</v>
      </c>
      <c r="AM307" s="401">
        <f>IF('Lab test'!P300&gt;0,'Lab test'!P300,NA())</f>
        <v>0.69282032302755092</v>
      </c>
      <c r="AN307" s="401" t="e">
        <f>IF('Lab test'!AU300&gt;0,'Lab test'!AU300,NA())</f>
        <v>#N/A</v>
      </c>
      <c r="AO307" s="401" t="e">
        <f>IF('Lab test'!AT300&gt;0,'Lab test'!AT300,NA())</f>
        <v>#N/A</v>
      </c>
      <c r="AP307" t="e">
        <f t="shared" si="129"/>
        <v>#N/A</v>
      </c>
      <c r="AQ307" s="401">
        <f>'Lab test'!AZ300</f>
        <v>2016</v>
      </c>
      <c r="AR307" t="str">
        <f>'Lab test'!AC300</f>
        <v>LTWb</v>
      </c>
      <c r="AS307" t="str">
        <f>'Lab test'!T300</f>
        <v>Steel</v>
      </c>
      <c r="AX307" t="e">
        <f t="shared" si="114"/>
        <v>#N/A</v>
      </c>
      <c r="AY307" t="e">
        <f t="shared" si="130"/>
        <v>#N/A</v>
      </c>
      <c r="AZ307" t="e">
        <f t="shared" si="111"/>
        <v>#N/A</v>
      </c>
      <c r="BA307" t="e">
        <f t="shared" si="111"/>
        <v>#N/A</v>
      </c>
      <c r="BB307" t="e">
        <f t="shared" si="111"/>
        <v>#N/A</v>
      </c>
      <c r="BC307" t="e">
        <f t="shared" si="111"/>
        <v>#N/A</v>
      </c>
      <c r="BD307" t="e">
        <f t="shared" si="111"/>
        <v>#N/A</v>
      </c>
      <c r="BG307" t="e">
        <f t="shared" si="115"/>
        <v>#N/A</v>
      </c>
      <c r="BH307" t="e">
        <f t="shared" si="131"/>
        <v>#N/A</v>
      </c>
      <c r="BI307" t="e">
        <f t="shared" si="112"/>
        <v>#N/A</v>
      </c>
      <c r="BJ307" t="e">
        <f t="shared" si="112"/>
        <v>#N/A</v>
      </c>
      <c r="BK307" t="e">
        <f t="shared" si="112"/>
        <v>#N/A</v>
      </c>
      <c r="BL307" t="e">
        <f t="shared" si="112"/>
        <v>#N/A</v>
      </c>
      <c r="BM307" t="e">
        <f t="shared" si="112"/>
        <v>#N/A</v>
      </c>
      <c r="BP307" t="e">
        <f t="shared" si="116"/>
        <v>#N/A</v>
      </c>
      <c r="BQ307" t="e">
        <f t="shared" si="132"/>
        <v>#N/A</v>
      </c>
      <c r="BR307" t="e">
        <f t="shared" si="113"/>
        <v>#N/A</v>
      </c>
      <c r="BS307" t="e">
        <f t="shared" si="113"/>
        <v>#N/A</v>
      </c>
      <c r="BT307" t="e">
        <f t="shared" si="113"/>
        <v>#N/A</v>
      </c>
      <c r="BU307" t="e">
        <f t="shared" si="113"/>
        <v>#N/A</v>
      </c>
      <c r="BV307" t="e">
        <f t="shared" si="113"/>
        <v>#N/A</v>
      </c>
      <c r="BY307" t="e">
        <f t="shared" si="117"/>
        <v>#N/A</v>
      </c>
      <c r="BZ307" t="e">
        <v>#N/A</v>
      </c>
      <c r="CA307" t="e" cm="1">
        <f t="array" ref="CA307">IF(ISNUMBER(BZ307),AF307/COUNT(IF(ISNUMBER(_xlfn.ANCHORARRAY($BZ$11)),_xlfn.ANCHORARRAY($BZ$11))),NA())</f>
        <v>#N/A</v>
      </c>
      <c r="CB307" t="e">
        <f t="shared" si="118"/>
        <v>#N/A</v>
      </c>
      <c r="CD307" t="e">
        <f t="shared" si="119"/>
        <v>#N/A</v>
      </c>
      <c r="CE307" t="e">
        <f t="shared" si="120"/>
        <v>#N/A</v>
      </c>
      <c r="CG307" t="e">
        <v>#N/A</v>
      </c>
      <c r="CH307" t="e">
        <v>#N/A</v>
      </c>
      <c r="CL307" t="e">
        <f t="shared" si="121"/>
        <v>#N/A</v>
      </c>
      <c r="CM307" t="e">
        <v>#N/A</v>
      </c>
      <c r="CN307" t="e" cm="1">
        <f t="array" ref="CN307">IF(ISNUMBER(CM307),AF307/COUNT(IF(ISNUMBER(_xlfn.ANCHORARRAY($CM$11)),_xlfn.ANCHORARRAY($CM$11))),NA())</f>
        <v>#N/A</v>
      </c>
      <c r="CO307" t="e">
        <f t="shared" si="122"/>
        <v>#N/A</v>
      </c>
      <c r="CQ307" t="e">
        <f t="shared" si="123"/>
        <v>#N/A</v>
      </c>
      <c r="CR307" t="e">
        <f t="shared" si="124"/>
        <v>#N/A</v>
      </c>
      <c r="CT307" t="e">
        <v>#N/A</v>
      </c>
      <c r="CU307" t="e">
        <v>#N/A</v>
      </c>
      <c r="CY307" t="e">
        <f t="shared" si="125"/>
        <v>#N/A</v>
      </c>
      <c r="CZ307" t="e">
        <v>#N/A</v>
      </c>
      <c r="DA307" t="e" cm="1">
        <f t="array" ref="DA307">IF(ISNUMBER(CZ307),AF307/COUNT(IF(ISNUMBER(_xlfn.ANCHORARRAY($CZ$11)),_xlfn.ANCHORARRAY($CZ$11))),NA())</f>
        <v>#N/A</v>
      </c>
      <c r="DB307" t="e">
        <f t="shared" si="126"/>
        <v>#N/A</v>
      </c>
      <c r="DD307" t="e">
        <f t="shared" si="127"/>
        <v>#N/A</v>
      </c>
      <c r="DE307" t="e">
        <f t="shared" si="128"/>
        <v>#N/A</v>
      </c>
      <c r="DG307" t="e">
        <v>#N/A</v>
      </c>
      <c r="DH307" t="e">
        <v>#N/A</v>
      </c>
    </row>
    <row r="308" spans="32:112">
      <c r="AF308">
        <v>298</v>
      </c>
      <c r="AG308" s="401">
        <f>'Lab test'!N301</f>
        <v>150</v>
      </c>
      <c r="AH308" s="401">
        <f>'Lab test'!M301</f>
        <v>2</v>
      </c>
      <c r="AI308">
        <f>IF('Lab test'!O301&gt;0,'Lab test'!O301,NA())</f>
        <v>900</v>
      </c>
      <c r="AJ308">
        <f>'Lab test'!Q301</f>
        <v>75</v>
      </c>
      <c r="AK308" s="401">
        <f>IF('Lab test'!V301&gt;0,'Lab test'!V301,NA())</f>
        <v>188000</v>
      </c>
      <c r="AL308" s="7">
        <f>IF(MAX('Lab test'!W301,'Lab test'!X301)&gt;0,MAX('Lab test'!W301,'Lab test'!X301),NA())</f>
        <v>190</v>
      </c>
      <c r="AM308" s="401">
        <f>IF('Lab test'!P301&gt;0,'Lab test'!P301,NA())</f>
        <v>0.69282032302755092</v>
      </c>
      <c r="AN308" s="401" t="e">
        <f>IF('Lab test'!AU301&gt;0,'Lab test'!AU301,NA())</f>
        <v>#N/A</v>
      </c>
      <c r="AO308" s="401" t="e">
        <f>IF('Lab test'!AT301&gt;0,'Lab test'!AT301,NA())</f>
        <v>#N/A</v>
      </c>
      <c r="AP308" t="e">
        <f t="shared" si="129"/>
        <v>#N/A</v>
      </c>
      <c r="AQ308" s="401">
        <f>'Lab test'!AZ301</f>
        <v>2016</v>
      </c>
      <c r="AR308" t="str">
        <f>'Lab test'!AC301</f>
        <v>LTWb</v>
      </c>
      <c r="AS308" t="str">
        <f>'Lab test'!T301</f>
        <v>Steel</v>
      </c>
      <c r="AX308" t="e">
        <f t="shared" si="114"/>
        <v>#N/A</v>
      </c>
      <c r="AY308" t="e">
        <f t="shared" si="130"/>
        <v>#N/A</v>
      </c>
      <c r="AZ308" t="e">
        <f t="shared" si="111"/>
        <v>#N/A</v>
      </c>
      <c r="BA308" t="e">
        <f t="shared" si="111"/>
        <v>#N/A</v>
      </c>
      <c r="BB308" t="e">
        <f t="shared" si="111"/>
        <v>#N/A</v>
      </c>
      <c r="BC308" t="e">
        <f t="shared" si="111"/>
        <v>#N/A</v>
      </c>
      <c r="BD308" t="e">
        <f t="shared" si="111"/>
        <v>#N/A</v>
      </c>
      <c r="BG308" t="e">
        <f t="shared" si="115"/>
        <v>#N/A</v>
      </c>
      <c r="BH308" t="e">
        <f t="shared" si="131"/>
        <v>#N/A</v>
      </c>
      <c r="BI308" t="e">
        <f t="shared" si="112"/>
        <v>#N/A</v>
      </c>
      <c r="BJ308" t="e">
        <f t="shared" si="112"/>
        <v>#N/A</v>
      </c>
      <c r="BK308" t="e">
        <f t="shared" si="112"/>
        <v>#N/A</v>
      </c>
      <c r="BL308" t="e">
        <f t="shared" si="112"/>
        <v>#N/A</v>
      </c>
      <c r="BM308" t="e">
        <f t="shared" si="112"/>
        <v>#N/A</v>
      </c>
      <c r="BP308" t="e">
        <f t="shared" si="116"/>
        <v>#N/A</v>
      </c>
      <c r="BQ308" t="e">
        <f t="shared" si="132"/>
        <v>#N/A</v>
      </c>
      <c r="BR308" t="e">
        <f t="shared" si="113"/>
        <v>#N/A</v>
      </c>
      <c r="BS308" t="e">
        <f t="shared" si="113"/>
        <v>#N/A</v>
      </c>
      <c r="BT308" t="e">
        <f t="shared" si="113"/>
        <v>#N/A</v>
      </c>
      <c r="BU308" t="e">
        <f t="shared" si="113"/>
        <v>#N/A</v>
      </c>
      <c r="BV308" t="e">
        <f t="shared" si="113"/>
        <v>#N/A</v>
      </c>
      <c r="BY308" t="e">
        <f t="shared" si="117"/>
        <v>#N/A</v>
      </c>
      <c r="BZ308" t="e">
        <v>#N/A</v>
      </c>
      <c r="CA308" t="e" cm="1">
        <f t="array" ref="CA308">IF(ISNUMBER(BZ308),AF308/COUNT(IF(ISNUMBER(_xlfn.ANCHORARRAY($BZ$11)),_xlfn.ANCHORARRAY($BZ$11))),NA())</f>
        <v>#N/A</v>
      </c>
      <c r="CB308" t="e">
        <f t="shared" si="118"/>
        <v>#N/A</v>
      </c>
      <c r="CD308" t="e">
        <f t="shared" si="119"/>
        <v>#N/A</v>
      </c>
      <c r="CE308" t="e">
        <f t="shared" si="120"/>
        <v>#N/A</v>
      </c>
      <c r="CG308" t="e">
        <v>#N/A</v>
      </c>
      <c r="CH308" t="e">
        <v>#N/A</v>
      </c>
      <c r="CL308" t="e">
        <f t="shared" si="121"/>
        <v>#N/A</v>
      </c>
      <c r="CM308" t="e">
        <v>#N/A</v>
      </c>
      <c r="CN308" t="e" cm="1">
        <f t="array" ref="CN308">IF(ISNUMBER(CM308),AF308/COUNT(IF(ISNUMBER(_xlfn.ANCHORARRAY($CM$11)),_xlfn.ANCHORARRAY($CM$11))),NA())</f>
        <v>#N/A</v>
      </c>
      <c r="CO308" t="e">
        <f t="shared" si="122"/>
        <v>#N/A</v>
      </c>
      <c r="CQ308" t="e">
        <f t="shared" si="123"/>
        <v>#N/A</v>
      </c>
      <c r="CR308" t="e">
        <f t="shared" si="124"/>
        <v>#N/A</v>
      </c>
      <c r="CT308" t="e">
        <v>#N/A</v>
      </c>
      <c r="CU308" t="e">
        <v>#N/A</v>
      </c>
      <c r="CY308" t="e">
        <f t="shared" si="125"/>
        <v>#N/A</v>
      </c>
      <c r="CZ308" t="e">
        <v>#N/A</v>
      </c>
      <c r="DA308" t="e" cm="1">
        <f t="array" ref="DA308">IF(ISNUMBER(CZ308),AF308/COUNT(IF(ISNUMBER(_xlfn.ANCHORARRAY($CZ$11)),_xlfn.ANCHORARRAY($CZ$11))),NA())</f>
        <v>#N/A</v>
      </c>
      <c r="DB308" t="e">
        <f t="shared" si="126"/>
        <v>#N/A</v>
      </c>
      <c r="DD308" t="e">
        <f t="shared" si="127"/>
        <v>#N/A</v>
      </c>
      <c r="DE308" t="e">
        <f t="shared" si="128"/>
        <v>#N/A</v>
      </c>
      <c r="DG308" t="e">
        <v>#N/A</v>
      </c>
      <c r="DH308" t="e">
        <v>#N/A</v>
      </c>
    </row>
    <row r="309" spans="32:112">
      <c r="AF309">
        <v>299</v>
      </c>
      <c r="AG309" s="401">
        <f>'Lab test'!N302</f>
        <v>200</v>
      </c>
      <c r="AH309" s="401">
        <f>'Lab test'!M302</f>
        <v>2</v>
      </c>
      <c r="AI309">
        <f>IF('Lab test'!O302&gt;0,'Lab test'!O302,NA())</f>
        <v>1200</v>
      </c>
      <c r="AJ309">
        <f>'Lab test'!Q302</f>
        <v>100</v>
      </c>
      <c r="AK309" s="401">
        <f>IF('Lab test'!V302&gt;0,'Lab test'!V302,NA())</f>
        <v>188000</v>
      </c>
      <c r="AL309" s="7">
        <f>IF(MAX('Lab test'!W302,'Lab test'!X302)&gt;0,MAX('Lab test'!W302,'Lab test'!X302),NA())</f>
        <v>190</v>
      </c>
      <c r="AM309" s="401">
        <f>IF('Lab test'!P302&gt;0,'Lab test'!P302,NA())</f>
        <v>0.60000000000000009</v>
      </c>
      <c r="AN309" s="401">
        <f>IF('Lab test'!AU302&gt;0,'Lab test'!AU302,NA())</f>
        <v>0.75421052631578955</v>
      </c>
      <c r="AO309" s="401">
        <f>IF('Lab test'!AT302&gt;0,'Lab test'!AT302,NA())</f>
        <v>0.12594173288714336</v>
      </c>
      <c r="AP309">
        <f t="shared" si="129"/>
        <v>1</v>
      </c>
      <c r="AQ309" s="401">
        <f>'Lab test'!AZ302</f>
        <v>2016</v>
      </c>
      <c r="AR309" t="str">
        <f>'Lab test'!AC302</f>
        <v>CLTW</v>
      </c>
      <c r="AS309" t="str">
        <f>'Lab test'!T302</f>
        <v>Steel</v>
      </c>
      <c r="AX309" t="e">
        <f t="shared" si="114"/>
        <v>#N/A</v>
      </c>
      <c r="AY309" t="e">
        <f t="shared" si="130"/>
        <v>#N/A</v>
      </c>
      <c r="AZ309" t="e">
        <f t="shared" si="111"/>
        <v>#N/A</v>
      </c>
      <c r="BA309" t="e">
        <f t="shared" si="111"/>
        <v>#N/A</v>
      </c>
      <c r="BB309" t="e">
        <f t="shared" si="111"/>
        <v>#N/A</v>
      </c>
      <c r="BC309" t="e">
        <f t="shared" si="111"/>
        <v>#N/A</v>
      </c>
      <c r="BD309" t="e">
        <f t="shared" si="111"/>
        <v>#N/A</v>
      </c>
      <c r="BG309" t="e">
        <f t="shared" si="115"/>
        <v>#N/A</v>
      </c>
      <c r="BH309" t="e">
        <f t="shared" si="131"/>
        <v>#N/A</v>
      </c>
      <c r="BI309" t="e">
        <f t="shared" si="112"/>
        <v>#N/A</v>
      </c>
      <c r="BJ309" t="e">
        <f t="shared" si="112"/>
        <v>#N/A</v>
      </c>
      <c r="BK309" t="e">
        <f t="shared" si="112"/>
        <v>#N/A</v>
      </c>
      <c r="BL309" t="e">
        <f t="shared" si="112"/>
        <v>#N/A</v>
      </c>
      <c r="BM309" t="e">
        <f t="shared" si="112"/>
        <v>#N/A</v>
      </c>
      <c r="BP309" t="e">
        <f t="shared" si="116"/>
        <v>#N/A</v>
      </c>
      <c r="BQ309" t="e">
        <f t="shared" si="132"/>
        <v>#N/A</v>
      </c>
      <c r="BR309" t="e">
        <f t="shared" si="113"/>
        <v>#N/A</v>
      </c>
      <c r="BS309" t="e">
        <f t="shared" si="113"/>
        <v>#N/A</v>
      </c>
      <c r="BT309" t="e">
        <f t="shared" si="113"/>
        <v>#N/A</v>
      </c>
      <c r="BU309" t="e">
        <f t="shared" si="113"/>
        <v>#N/A</v>
      </c>
      <c r="BV309" t="e">
        <f t="shared" si="113"/>
        <v>#N/A</v>
      </c>
      <c r="BY309" t="e">
        <f t="shared" si="117"/>
        <v>#N/A</v>
      </c>
      <c r="BZ309" t="e">
        <v>#N/A</v>
      </c>
      <c r="CA309" t="e" cm="1">
        <f t="array" ref="CA309">IF(ISNUMBER(BZ309),AF309/COUNT(IF(ISNUMBER(_xlfn.ANCHORARRAY($BZ$11)),_xlfn.ANCHORARRAY($BZ$11))),NA())</f>
        <v>#N/A</v>
      </c>
      <c r="CB309" t="e">
        <f t="shared" si="118"/>
        <v>#N/A</v>
      </c>
      <c r="CD309" t="e">
        <f t="shared" si="119"/>
        <v>#N/A</v>
      </c>
      <c r="CE309" t="e">
        <f t="shared" si="120"/>
        <v>#N/A</v>
      </c>
      <c r="CG309" t="e">
        <v>#N/A</v>
      </c>
      <c r="CH309" t="e">
        <v>#N/A</v>
      </c>
      <c r="CL309" t="e">
        <f t="shared" si="121"/>
        <v>#N/A</v>
      </c>
      <c r="CM309" t="e">
        <v>#N/A</v>
      </c>
      <c r="CN309" t="e" cm="1">
        <f t="array" ref="CN309">IF(ISNUMBER(CM309),AF309/COUNT(IF(ISNUMBER(_xlfn.ANCHORARRAY($CM$11)),_xlfn.ANCHORARRAY($CM$11))),NA())</f>
        <v>#N/A</v>
      </c>
      <c r="CO309" t="e">
        <f t="shared" si="122"/>
        <v>#N/A</v>
      </c>
      <c r="CQ309" t="e">
        <f t="shared" si="123"/>
        <v>#N/A</v>
      </c>
      <c r="CR309" t="e">
        <f t="shared" si="124"/>
        <v>#N/A</v>
      </c>
      <c r="CT309" t="e">
        <v>#N/A</v>
      </c>
      <c r="CU309" t="e">
        <v>#N/A</v>
      </c>
      <c r="CY309" t="e">
        <f t="shared" si="125"/>
        <v>#N/A</v>
      </c>
      <c r="CZ309" t="e">
        <v>#N/A</v>
      </c>
      <c r="DA309" t="e" cm="1">
        <f t="array" ref="DA309">IF(ISNUMBER(CZ309),AF309/COUNT(IF(ISNUMBER(_xlfn.ANCHORARRAY($CZ$11)),_xlfn.ANCHORARRAY($CZ$11))),NA())</f>
        <v>#N/A</v>
      </c>
      <c r="DB309" t="e">
        <f t="shared" si="126"/>
        <v>#N/A</v>
      </c>
      <c r="DD309" t="e">
        <f t="shared" si="127"/>
        <v>#N/A</v>
      </c>
      <c r="DE309" t="e">
        <f t="shared" si="128"/>
        <v>#N/A</v>
      </c>
      <c r="DG309" t="e">
        <v>#N/A</v>
      </c>
      <c r="DH309" t="e">
        <v>#N/A</v>
      </c>
    </row>
    <row r="310" spans="32:112">
      <c r="AF310">
        <v>300</v>
      </c>
      <c r="AG310" s="401">
        <f>'Lab test'!N303</f>
        <v>200</v>
      </c>
      <c r="AH310" s="401">
        <f>'Lab test'!M303</f>
        <v>2</v>
      </c>
      <c r="AI310">
        <f>IF('Lab test'!O303&gt;0,'Lab test'!O303,NA())</f>
        <v>1200</v>
      </c>
      <c r="AJ310">
        <f>'Lab test'!Q303</f>
        <v>100</v>
      </c>
      <c r="AK310" s="401">
        <f>IF('Lab test'!V303&gt;0,'Lab test'!V303,NA())</f>
        <v>188000</v>
      </c>
      <c r="AL310" s="7">
        <f>IF(MAX('Lab test'!W303,'Lab test'!X303)&gt;0,MAX('Lab test'!W303,'Lab test'!X303),NA())</f>
        <v>190</v>
      </c>
      <c r="AM310" s="401">
        <f>IF('Lab test'!P303&gt;0,'Lab test'!P303,NA())</f>
        <v>0.60000000000000009</v>
      </c>
      <c r="AN310" s="401" t="e">
        <f>IF('Lab test'!AU303&gt;0,'Lab test'!AU303,NA())</f>
        <v>#N/A</v>
      </c>
      <c r="AO310" s="401" t="e">
        <f>IF('Lab test'!AT303&gt;0,'Lab test'!AT303,NA())</f>
        <v>#N/A</v>
      </c>
      <c r="AP310" t="e">
        <f t="shared" si="129"/>
        <v>#N/A</v>
      </c>
      <c r="AQ310" s="401">
        <f>'Lab test'!AZ303</f>
        <v>2016</v>
      </c>
      <c r="AR310" t="str">
        <f>'Lab test'!AC303</f>
        <v>CLTW</v>
      </c>
      <c r="AS310" t="str">
        <f>'Lab test'!T303</f>
        <v>Steel</v>
      </c>
      <c r="AX310" t="e">
        <f t="shared" si="114"/>
        <v>#N/A</v>
      </c>
      <c r="AY310" t="e">
        <f t="shared" si="130"/>
        <v>#N/A</v>
      </c>
      <c r="AZ310" t="e">
        <f t="shared" si="111"/>
        <v>#N/A</v>
      </c>
      <c r="BA310" t="e">
        <f t="shared" si="111"/>
        <v>#N/A</v>
      </c>
      <c r="BB310" t="e">
        <f t="shared" si="111"/>
        <v>#N/A</v>
      </c>
      <c r="BC310" t="e">
        <f t="shared" si="111"/>
        <v>#N/A</v>
      </c>
      <c r="BD310" t="e">
        <f t="shared" si="111"/>
        <v>#N/A</v>
      </c>
      <c r="BG310" t="e">
        <f t="shared" si="115"/>
        <v>#N/A</v>
      </c>
      <c r="BH310" t="e">
        <f t="shared" si="131"/>
        <v>#N/A</v>
      </c>
      <c r="BI310" t="e">
        <f t="shared" si="112"/>
        <v>#N/A</v>
      </c>
      <c r="BJ310" t="e">
        <f t="shared" si="112"/>
        <v>#N/A</v>
      </c>
      <c r="BK310" t="e">
        <f t="shared" si="112"/>
        <v>#N/A</v>
      </c>
      <c r="BL310" t="e">
        <f t="shared" si="112"/>
        <v>#N/A</v>
      </c>
      <c r="BM310" t="e">
        <f t="shared" si="112"/>
        <v>#N/A</v>
      </c>
      <c r="BP310" t="e">
        <f t="shared" si="116"/>
        <v>#N/A</v>
      </c>
      <c r="BQ310" t="e">
        <f t="shared" si="132"/>
        <v>#N/A</v>
      </c>
      <c r="BR310" t="e">
        <f t="shared" si="113"/>
        <v>#N/A</v>
      </c>
      <c r="BS310" t="e">
        <f t="shared" si="113"/>
        <v>#N/A</v>
      </c>
      <c r="BT310" t="e">
        <f t="shared" si="113"/>
        <v>#N/A</v>
      </c>
      <c r="BU310" t="e">
        <f t="shared" si="113"/>
        <v>#N/A</v>
      </c>
      <c r="BV310" t="e">
        <f t="shared" si="113"/>
        <v>#N/A</v>
      </c>
      <c r="BY310" t="e">
        <f t="shared" si="117"/>
        <v>#N/A</v>
      </c>
      <c r="BZ310" t="e">
        <v>#N/A</v>
      </c>
      <c r="CA310" t="e" cm="1">
        <f t="array" ref="CA310">IF(ISNUMBER(BZ310),AF310/COUNT(IF(ISNUMBER(_xlfn.ANCHORARRAY($BZ$11)),_xlfn.ANCHORARRAY($BZ$11))),NA())</f>
        <v>#N/A</v>
      </c>
      <c r="CB310" t="e">
        <f t="shared" si="118"/>
        <v>#N/A</v>
      </c>
      <c r="CD310" t="e">
        <f t="shared" si="119"/>
        <v>#N/A</v>
      </c>
      <c r="CE310" t="e">
        <f t="shared" si="120"/>
        <v>#N/A</v>
      </c>
      <c r="CG310" t="e">
        <v>#N/A</v>
      </c>
      <c r="CH310" t="e">
        <v>#N/A</v>
      </c>
      <c r="CL310" t="e">
        <f t="shared" si="121"/>
        <v>#N/A</v>
      </c>
      <c r="CM310" t="e">
        <v>#N/A</v>
      </c>
      <c r="CN310" t="e" cm="1">
        <f t="array" ref="CN310">IF(ISNUMBER(CM310),AF310/COUNT(IF(ISNUMBER(_xlfn.ANCHORARRAY($CM$11)),_xlfn.ANCHORARRAY($CM$11))),NA())</f>
        <v>#N/A</v>
      </c>
      <c r="CO310" t="e">
        <f t="shared" si="122"/>
        <v>#N/A</v>
      </c>
      <c r="CQ310" t="e">
        <f t="shared" si="123"/>
        <v>#N/A</v>
      </c>
      <c r="CR310" t="e">
        <f t="shared" si="124"/>
        <v>#N/A</v>
      </c>
      <c r="CT310" t="e">
        <v>#N/A</v>
      </c>
      <c r="CU310" t="e">
        <v>#N/A</v>
      </c>
      <c r="CY310" t="e">
        <f t="shared" si="125"/>
        <v>#N/A</v>
      </c>
      <c r="CZ310" t="e">
        <v>#N/A</v>
      </c>
      <c r="DA310" t="e" cm="1">
        <f t="array" ref="DA310">IF(ISNUMBER(CZ310),AF310/COUNT(IF(ISNUMBER(_xlfn.ANCHORARRAY($CZ$11)),_xlfn.ANCHORARRAY($CZ$11))),NA())</f>
        <v>#N/A</v>
      </c>
      <c r="DB310" t="e">
        <f t="shared" si="126"/>
        <v>#N/A</v>
      </c>
      <c r="DD310" t="e">
        <f t="shared" si="127"/>
        <v>#N/A</v>
      </c>
      <c r="DE310" t="e">
        <f t="shared" si="128"/>
        <v>#N/A</v>
      </c>
      <c r="DG310" t="e">
        <v>#N/A</v>
      </c>
      <c r="DH310" t="e">
        <v>#N/A</v>
      </c>
    </row>
    <row r="311" spans="32:112">
      <c r="AF311">
        <v>301</v>
      </c>
      <c r="AG311" s="401">
        <f>'Lab test'!N304</f>
        <v>300</v>
      </c>
      <c r="AH311" s="401">
        <f>'Lab test'!M304</f>
        <v>2</v>
      </c>
      <c r="AI311">
        <f>IF('Lab test'!O304&gt;0,'Lab test'!O304,NA())</f>
        <v>1800</v>
      </c>
      <c r="AJ311">
        <f>'Lab test'!Q304</f>
        <v>150</v>
      </c>
      <c r="AK311" s="401">
        <f>IF('Lab test'!V304&gt;0,'Lab test'!V304,NA())</f>
        <v>188000</v>
      </c>
      <c r="AL311" s="7">
        <f>IF(MAX('Lab test'!W304,'Lab test'!X304)&gt;0,MAX('Lab test'!W304,'Lab test'!X304),NA())</f>
        <v>190</v>
      </c>
      <c r="AM311" s="401">
        <f>IF('Lab test'!P304&gt;0,'Lab test'!P304,NA())</f>
        <v>0.48989794855663565</v>
      </c>
      <c r="AN311" s="401">
        <f>IF('Lab test'!AU304&gt;0,'Lab test'!AU304,NA())</f>
        <v>0.58684210526315794</v>
      </c>
      <c r="AO311" s="401">
        <f>IF('Lab test'!AT304&gt;0,'Lab test'!AT304,NA())</f>
        <v>0.14699061287770221</v>
      </c>
      <c r="AP311">
        <f t="shared" si="129"/>
        <v>1</v>
      </c>
      <c r="AQ311" s="401">
        <f>'Lab test'!AZ304</f>
        <v>2016</v>
      </c>
      <c r="AR311" t="str">
        <f>'Lab test'!AC304</f>
        <v>CLTW</v>
      </c>
      <c r="AS311" t="str">
        <f>'Lab test'!T304</f>
        <v>Steel</v>
      </c>
      <c r="AX311" t="e">
        <f t="shared" si="114"/>
        <v>#N/A</v>
      </c>
      <c r="AY311" t="e">
        <f t="shared" si="130"/>
        <v>#N/A</v>
      </c>
      <c r="AZ311" t="e">
        <f t="shared" si="111"/>
        <v>#N/A</v>
      </c>
      <c r="BA311" t="e">
        <f t="shared" si="111"/>
        <v>#N/A</v>
      </c>
      <c r="BB311" t="e">
        <f t="shared" si="111"/>
        <v>#N/A</v>
      </c>
      <c r="BC311" t="e">
        <f t="shared" si="111"/>
        <v>#N/A</v>
      </c>
      <c r="BD311" t="e">
        <f t="shared" si="111"/>
        <v>#N/A</v>
      </c>
      <c r="BG311" t="e">
        <f t="shared" si="115"/>
        <v>#N/A</v>
      </c>
      <c r="BH311" t="e">
        <f t="shared" si="131"/>
        <v>#N/A</v>
      </c>
      <c r="BI311" t="e">
        <f t="shared" si="112"/>
        <v>#N/A</v>
      </c>
      <c r="BJ311" t="e">
        <f t="shared" si="112"/>
        <v>#N/A</v>
      </c>
      <c r="BK311" t="e">
        <f t="shared" si="112"/>
        <v>#N/A</v>
      </c>
      <c r="BL311" t="e">
        <f t="shared" si="112"/>
        <v>#N/A</v>
      </c>
      <c r="BM311" t="e">
        <f t="shared" si="112"/>
        <v>#N/A</v>
      </c>
      <c r="BP311" t="e">
        <f t="shared" si="116"/>
        <v>#N/A</v>
      </c>
      <c r="BQ311" t="e">
        <f t="shared" si="132"/>
        <v>#N/A</v>
      </c>
      <c r="BR311" t="e">
        <f t="shared" si="113"/>
        <v>#N/A</v>
      </c>
      <c r="BS311" t="e">
        <f t="shared" si="113"/>
        <v>#N/A</v>
      </c>
      <c r="BT311" t="e">
        <f t="shared" si="113"/>
        <v>#N/A</v>
      </c>
      <c r="BU311" t="e">
        <f t="shared" si="113"/>
        <v>#N/A</v>
      </c>
      <c r="BV311" t="e">
        <f t="shared" si="113"/>
        <v>#N/A</v>
      </c>
      <c r="BY311" t="e">
        <f t="shared" si="117"/>
        <v>#N/A</v>
      </c>
      <c r="BZ311" t="e">
        <v>#N/A</v>
      </c>
      <c r="CA311" t="e" cm="1">
        <f t="array" ref="CA311">IF(ISNUMBER(BZ311),AF311/COUNT(IF(ISNUMBER(_xlfn.ANCHORARRAY($BZ$11)),_xlfn.ANCHORARRAY($BZ$11))),NA())</f>
        <v>#N/A</v>
      </c>
      <c r="CB311" t="e">
        <f t="shared" si="118"/>
        <v>#N/A</v>
      </c>
      <c r="CD311" t="e">
        <f t="shared" si="119"/>
        <v>#N/A</v>
      </c>
      <c r="CE311" t="e">
        <f t="shared" si="120"/>
        <v>#N/A</v>
      </c>
      <c r="CG311" t="e">
        <v>#N/A</v>
      </c>
      <c r="CH311" t="e">
        <v>#N/A</v>
      </c>
      <c r="CL311" t="e">
        <f t="shared" si="121"/>
        <v>#N/A</v>
      </c>
      <c r="CM311" t="e">
        <v>#N/A</v>
      </c>
      <c r="CN311" t="e" cm="1">
        <f t="array" ref="CN311">IF(ISNUMBER(CM311),AF311/COUNT(IF(ISNUMBER(_xlfn.ANCHORARRAY($CM$11)),_xlfn.ANCHORARRAY($CM$11))),NA())</f>
        <v>#N/A</v>
      </c>
      <c r="CO311" t="e">
        <f t="shared" si="122"/>
        <v>#N/A</v>
      </c>
      <c r="CQ311" t="e">
        <f t="shared" si="123"/>
        <v>#N/A</v>
      </c>
      <c r="CR311" t="e">
        <f t="shared" si="124"/>
        <v>#N/A</v>
      </c>
      <c r="CT311" t="e">
        <v>#N/A</v>
      </c>
      <c r="CU311" t="e">
        <v>#N/A</v>
      </c>
      <c r="CY311" t="e">
        <f t="shared" si="125"/>
        <v>#N/A</v>
      </c>
      <c r="CZ311" t="e">
        <v>#N/A</v>
      </c>
      <c r="DA311" t="e" cm="1">
        <f t="array" ref="DA311">IF(ISNUMBER(CZ311),AF311/COUNT(IF(ISNUMBER(_xlfn.ANCHORARRAY($CZ$11)),_xlfn.ANCHORARRAY($CZ$11))),NA())</f>
        <v>#N/A</v>
      </c>
      <c r="DB311" t="e">
        <f t="shared" si="126"/>
        <v>#N/A</v>
      </c>
      <c r="DD311" t="e">
        <f t="shared" si="127"/>
        <v>#N/A</v>
      </c>
      <c r="DE311" t="e">
        <f t="shared" si="128"/>
        <v>#N/A</v>
      </c>
      <c r="DG311" t="e">
        <v>#N/A</v>
      </c>
      <c r="DH311" t="e">
        <v>#N/A</v>
      </c>
    </row>
    <row r="312" spans="32:112">
      <c r="AF312">
        <v>302</v>
      </c>
      <c r="AG312" s="401">
        <f>'Lab test'!N305</f>
        <v>300</v>
      </c>
      <c r="AH312" s="401">
        <f>'Lab test'!M305</f>
        <v>2</v>
      </c>
      <c r="AI312">
        <f>IF('Lab test'!O305&gt;0,'Lab test'!O305,NA())</f>
        <v>1800</v>
      </c>
      <c r="AJ312">
        <f>'Lab test'!Q305</f>
        <v>150</v>
      </c>
      <c r="AK312" s="401">
        <f>IF('Lab test'!V305&gt;0,'Lab test'!V305,NA())</f>
        <v>188000</v>
      </c>
      <c r="AL312" s="7">
        <f>IF(MAX('Lab test'!W305,'Lab test'!X305)&gt;0,MAX('Lab test'!W305,'Lab test'!X305),NA())</f>
        <v>190</v>
      </c>
      <c r="AM312" s="401">
        <f>IF('Lab test'!P305&gt;0,'Lab test'!P305,NA())</f>
        <v>0.48989794855663565</v>
      </c>
      <c r="AN312" s="401" t="e">
        <f>IF('Lab test'!AU305&gt;0,'Lab test'!AU305,NA())</f>
        <v>#N/A</v>
      </c>
      <c r="AO312" s="401" t="e">
        <f>IF('Lab test'!AT305&gt;0,'Lab test'!AT305,NA())</f>
        <v>#N/A</v>
      </c>
      <c r="AP312" t="e">
        <f t="shared" si="129"/>
        <v>#N/A</v>
      </c>
      <c r="AQ312" s="401">
        <f>'Lab test'!AZ305</f>
        <v>2016</v>
      </c>
      <c r="AR312" t="str">
        <f>'Lab test'!AC305</f>
        <v>CLTW</v>
      </c>
      <c r="AS312" t="str">
        <f>'Lab test'!T305</f>
        <v>Steel</v>
      </c>
      <c r="AX312" t="e">
        <f t="shared" si="114"/>
        <v>#N/A</v>
      </c>
      <c r="AY312" t="e">
        <f t="shared" si="130"/>
        <v>#N/A</v>
      </c>
      <c r="AZ312" t="e">
        <f t="shared" si="111"/>
        <v>#N/A</v>
      </c>
      <c r="BA312" t="e">
        <f t="shared" si="111"/>
        <v>#N/A</v>
      </c>
      <c r="BB312" t="e">
        <f t="shared" si="111"/>
        <v>#N/A</v>
      </c>
      <c r="BC312" t="e">
        <f t="shared" si="111"/>
        <v>#N/A</v>
      </c>
      <c r="BD312" t="e">
        <f t="shared" si="111"/>
        <v>#N/A</v>
      </c>
      <c r="BG312" t="e">
        <f t="shared" si="115"/>
        <v>#N/A</v>
      </c>
      <c r="BH312" t="e">
        <f t="shared" si="131"/>
        <v>#N/A</v>
      </c>
      <c r="BI312" t="e">
        <f t="shared" si="112"/>
        <v>#N/A</v>
      </c>
      <c r="BJ312" t="e">
        <f t="shared" si="112"/>
        <v>#N/A</v>
      </c>
      <c r="BK312" t="e">
        <f t="shared" si="112"/>
        <v>#N/A</v>
      </c>
      <c r="BL312" t="e">
        <f t="shared" si="112"/>
        <v>#N/A</v>
      </c>
      <c r="BM312" t="e">
        <f t="shared" si="112"/>
        <v>#N/A</v>
      </c>
      <c r="BP312" t="e">
        <f t="shared" si="116"/>
        <v>#N/A</v>
      </c>
      <c r="BQ312" t="e">
        <f t="shared" si="132"/>
        <v>#N/A</v>
      </c>
      <c r="BR312" t="e">
        <f t="shared" si="113"/>
        <v>#N/A</v>
      </c>
      <c r="BS312" t="e">
        <f t="shared" si="113"/>
        <v>#N/A</v>
      </c>
      <c r="BT312" t="e">
        <f t="shared" si="113"/>
        <v>#N/A</v>
      </c>
      <c r="BU312" t="e">
        <f t="shared" si="113"/>
        <v>#N/A</v>
      </c>
      <c r="BV312" t="e">
        <f t="shared" si="113"/>
        <v>#N/A</v>
      </c>
      <c r="BY312" t="e">
        <f t="shared" si="117"/>
        <v>#N/A</v>
      </c>
      <c r="BZ312" t="e">
        <v>#N/A</v>
      </c>
      <c r="CA312" t="e" cm="1">
        <f t="array" ref="CA312">IF(ISNUMBER(BZ312),AF312/COUNT(IF(ISNUMBER(_xlfn.ANCHORARRAY($BZ$11)),_xlfn.ANCHORARRAY($BZ$11))),NA())</f>
        <v>#N/A</v>
      </c>
      <c r="CB312" t="e">
        <f t="shared" si="118"/>
        <v>#N/A</v>
      </c>
      <c r="CD312" t="e">
        <f t="shared" si="119"/>
        <v>#N/A</v>
      </c>
      <c r="CE312" t="e">
        <f t="shared" si="120"/>
        <v>#N/A</v>
      </c>
      <c r="CG312" t="e">
        <v>#N/A</v>
      </c>
      <c r="CH312" t="e">
        <v>#N/A</v>
      </c>
      <c r="CL312" t="e">
        <f t="shared" si="121"/>
        <v>#N/A</v>
      </c>
      <c r="CM312" t="e">
        <v>#N/A</v>
      </c>
      <c r="CN312" t="e" cm="1">
        <f t="array" ref="CN312">IF(ISNUMBER(CM312),AF312/COUNT(IF(ISNUMBER(_xlfn.ANCHORARRAY($CM$11)),_xlfn.ANCHORARRAY($CM$11))),NA())</f>
        <v>#N/A</v>
      </c>
      <c r="CO312" t="e">
        <f t="shared" si="122"/>
        <v>#N/A</v>
      </c>
      <c r="CQ312" t="e">
        <f t="shared" si="123"/>
        <v>#N/A</v>
      </c>
      <c r="CR312" t="e">
        <f t="shared" si="124"/>
        <v>#N/A</v>
      </c>
      <c r="CT312" t="e">
        <v>#N/A</v>
      </c>
      <c r="CU312" t="e">
        <v>#N/A</v>
      </c>
      <c r="CY312" t="e">
        <f t="shared" si="125"/>
        <v>#N/A</v>
      </c>
      <c r="CZ312" t="e">
        <v>#N/A</v>
      </c>
      <c r="DA312" t="e" cm="1">
        <f t="array" ref="DA312">IF(ISNUMBER(CZ312),AF312/COUNT(IF(ISNUMBER(_xlfn.ANCHORARRAY($CZ$11)),_xlfn.ANCHORARRAY($CZ$11))),NA())</f>
        <v>#N/A</v>
      </c>
      <c r="DB312" t="e">
        <f t="shared" si="126"/>
        <v>#N/A</v>
      </c>
      <c r="DD312" t="e">
        <f t="shared" si="127"/>
        <v>#N/A</v>
      </c>
      <c r="DE312" t="e">
        <f t="shared" si="128"/>
        <v>#N/A</v>
      </c>
      <c r="DG312" t="e">
        <v>#N/A</v>
      </c>
      <c r="DH312" t="e">
        <v>#N/A</v>
      </c>
    </row>
    <row r="313" spans="32:112">
      <c r="AF313">
        <v>303</v>
      </c>
      <c r="AG313" s="401">
        <f>'Lab test'!N306</f>
        <v>28.81</v>
      </c>
      <c r="AH313" s="401">
        <f>'Lab test'!M306</f>
        <v>2.78</v>
      </c>
      <c r="AI313">
        <f>IF('Lab test'!O306&gt;0,'Lab test'!O306,NA())</f>
        <v>200.2</v>
      </c>
      <c r="AJ313">
        <f>'Lab test'!Q306</f>
        <v>10.36331</v>
      </c>
      <c r="AK313" s="401">
        <f>IF('Lab test'!V306&gt;0,'Lab test'!V306,NA())</f>
        <v>190000</v>
      </c>
      <c r="AL313" s="7">
        <f>IF(MAX('Lab test'!W306,'Lab test'!X306)&gt;0,MAX('Lab test'!W306,'Lab test'!X306),NA())</f>
        <v>355</v>
      </c>
      <c r="AM313" s="401">
        <f>IF('Lab test'!P306&gt;0,'Lab test'!P306,NA())</f>
        <v>2.158597072246673</v>
      </c>
      <c r="AN313" s="401">
        <f>IF('Lab test'!AU306&gt;0,'Lab test'!AU306,NA())</f>
        <v>1.5874861716202324</v>
      </c>
      <c r="AO313" s="401">
        <f>IF('Lab test'!AT306&gt;0,'Lab test'!AT306,NA())</f>
        <v>5.0788395033448272E-2</v>
      </c>
      <c r="AP313">
        <f t="shared" si="129"/>
        <v>1</v>
      </c>
      <c r="AQ313" s="401">
        <f>'Lab test'!AZ306</f>
        <v>2016</v>
      </c>
      <c r="AR313" t="str">
        <f>'Lab test'!AC306</f>
        <v>Tubes</v>
      </c>
      <c r="AS313" t="str">
        <f>'Lab test'!T306</f>
        <v>Steel</v>
      </c>
      <c r="AX313" t="e">
        <f t="shared" si="114"/>
        <v>#N/A</v>
      </c>
      <c r="AY313" t="e">
        <f t="shared" si="130"/>
        <v>#N/A</v>
      </c>
      <c r="AZ313" t="e">
        <f t="shared" si="111"/>
        <v>#N/A</v>
      </c>
      <c r="BA313" t="e">
        <f t="shared" si="111"/>
        <v>#N/A</v>
      </c>
      <c r="BB313" t="e">
        <f t="shared" ref="AZ313:BD364" si="133">IF(ISNUMBER($AJ313),IF(ISNUMBER($AP313),IF($AJ313&gt;BB$9,IF($AJ313&lt;=BB$10,IF($AR313=$AW$2,IF($AS313=$AW$6,$AK313,NA()),NA()),NA()),NA()),NA()),NA())</f>
        <v>#N/A</v>
      </c>
      <c r="BC313" t="e">
        <f t="shared" si="133"/>
        <v>#N/A</v>
      </c>
      <c r="BD313" t="e">
        <f t="shared" si="133"/>
        <v>#N/A</v>
      </c>
      <c r="BG313" t="e">
        <f t="shared" si="115"/>
        <v>#N/A</v>
      </c>
      <c r="BH313" t="e">
        <f t="shared" si="131"/>
        <v>#N/A</v>
      </c>
      <c r="BI313" t="e">
        <f t="shared" si="112"/>
        <v>#N/A</v>
      </c>
      <c r="BJ313" t="e">
        <f t="shared" si="112"/>
        <v>#N/A</v>
      </c>
      <c r="BK313" t="e">
        <f t="shared" ref="BI313:BM364" si="134">IF(ISNUMBER($AJ313),IF(ISNUMBER($AP313),IF($AJ313&gt;BK$9,IF($AJ313&lt;=BK$10,IF($AR313=$AW$2,IF($AS313=$BF$6,$AK313,NA()),NA()),NA()),NA()),NA()),NA())</f>
        <v>#N/A</v>
      </c>
      <c r="BL313" t="e">
        <f t="shared" si="134"/>
        <v>#N/A</v>
      </c>
      <c r="BM313" t="e">
        <f t="shared" si="134"/>
        <v>#N/A</v>
      </c>
      <c r="BP313" t="e">
        <f t="shared" si="116"/>
        <v>#N/A</v>
      </c>
      <c r="BQ313" t="e">
        <f t="shared" si="132"/>
        <v>#N/A</v>
      </c>
      <c r="BR313" t="e">
        <f t="shared" si="113"/>
        <v>#N/A</v>
      </c>
      <c r="BS313" t="e">
        <f t="shared" si="113"/>
        <v>#N/A</v>
      </c>
      <c r="BT313" t="e">
        <f t="shared" ref="BR313:BV364" si="135">IF(ISNUMBER($AJ313),IF(ISNUMBER($AP313),IF($AJ313&gt;BT$9,IF($AJ313&lt;=BT$10,IF($AR313=$AW$2,IF($AS313=$BO$6,$AK313,NA()),NA()),NA()),NA()),NA()),NA())</f>
        <v>#N/A</v>
      </c>
      <c r="BU313" t="e">
        <f t="shared" si="135"/>
        <v>#N/A</v>
      </c>
      <c r="BV313" t="e">
        <f t="shared" si="135"/>
        <v>#N/A</v>
      </c>
      <c r="BY313" t="e">
        <f t="shared" si="117"/>
        <v>#N/A</v>
      </c>
      <c r="BZ313" t="e">
        <v>#N/A</v>
      </c>
      <c r="CA313" t="e" cm="1">
        <f t="array" ref="CA313">IF(ISNUMBER(BZ313),AF313/COUNT(IF(ISNUMBER(_xlfn.ANCHORARRAY($BZ$11)),_xlfn.ANCHORARRAY($BZ$11))),NA())</f>
        <v>#N/A</v>
      </c>
      <c r="CB313" t="e">
        <f t="shared" si="118"/>
        <v>#N/A</v>
      </c>
      <c r="CD313" t="e">
        <f t="shared" si="119"/>
        <v>#N/A</v>
      </c>
      <c r="CE313" t="e">
        <f t="shared" si="120"/>
        <v>#N/A</v>
      </c>
      <c r="CG313" t="e">
        <v>#N/A</v>
      </c>
      <c r="CH313" t="e">
        <v>#N/A</v>
      </c>
      <c r="CL313" t="e">
        <f t="shared" si="121"/>
        <v>#N/A</v>
      </c>
      <c r="CM313" t="e">
        <v>#N/A</v>
      </c>
      <c r="CN313" t="e" cm="1">
        <f t="array" ref="CN313">IF(ISNUMBER(CM313),AF313/COUNT(IF(ISNUMBER(_xlfn.ANCHORARRAY($CM$11)),_xlfn.ANCHORARRAY($CM$11))),NA())</f>
        <v>#N/A</v>
      </c>
      <c r="CO313" t="e">
        <f t="shared" si="122"/>
        <v>#N/A</v>
      </c>
      <c r="CQ313" t="e">
        <f t="shared" si="123"/>
        <v>#N/A</v>
      </c>
      <c r="CR313" t="e">
        <f t="shared" si="124"/>
        <v>#N/A</v>
      </c>
      <c r="CT313" t="e">
        <v>#N/A</v>
      </c>
      <c r="CU313" t="e">
        <v>#N/A</v>
      </c>
      <c r="CY313" t="e">
        <f t="shared" si="125"/>
        <v>#N/A</v>
      </c>
      <c r="CZ313" t="e">
        <v>#N/A</v>
      </c>
      <c r="DA313" t="e" cm="1">
        <f t="array" ref="DA313">IF(ISNUMBER(CZ313),AF313/COUNT(IF(ISNUMBER(_xlfn.ANCHORARRAY($CZ$11)),_xlfn.ANCHORARRAY($CZ$11))),NA())</f>
        <v>#N/A</v>
      </c>
      <c r="DB313" t="e">
        <f t="shared" si="126"/>
        <v>#N/A</v>
      </c>
      <c r="DD313" t="e">
        <f t="shared" si="127"/>
        <v>#N/A</v>
      </c>
      <c r="DE313" t="e">
        <f t="shared" si="128"/>
        <v>#N/A</v>
      </c>
      <c r="DG313" t="e">
        <v>#N/A</v>
      </c>
      <c r="DH313" t="e">
        <v>#N/A</v>
      </c>
    </row>
    <row r="314" spans="32:112">
      <c r="AF314">
        <v>304</v>
      </c>
      <c r="AG314" s="401">
        <f>'Lab test'!N307</f>
        <v>36.72</v>
      </c>
      <c r="AH314" s="401">
        <f>'Lab test'!M307</f>
        <v>2.98</v>
      </c>
      <c r="AI314">
        <f>IF('Lab test'!O307&gt;0,'Lab test'!O307,NA())</f>
        <v>240</v>
      </c>
      <c r="AJ314">
        <f>'Lab test'!Q307</f>
        <v>12.322150000000001</v>
      </c>
      <c r="AK314" s="401">
        <f>IF('Lab test'!V307&gt;0,'Lab test'!V307,NA())</f>
        <v>195000</v>
      </c>
      <c r="AL314" s="7">
        <f>IF(MAX('Lab test'!W307,'Lab test'!X307)&gt;0,MAX('Lab test'!W307,'Lab test'!X307),NA())</f>
        <v>302</v>
      </c>
      <c r="AM314" s="401">
        <f>IF('Lab test'!P307&gt;0,'Lab test'!P307,NA())</f>
        <v>1.8619386408814995</v>
      </c>
      <c r="AN314" s="401">
        <f>IF('Lab test'!AU307&gt;0,'Lab test'!AU307,NA())</f>
        <v>1.5869004051105828</v>
      </c>
      <c r="AO314" s="401">
        <f>IF('Lab test'!AT307&gt;0,'Lab test'!AT307,NA())</f>
        <v>5.0036823857674308E-2</v>
      </c>
      <c r="AP314">
        <f t="shared" si="129"/>
        <v>1</v>
      </c>
      <c r="AQ314" s="401">
        <f>'Lab test'!AZ307</f>
        <v>2016</v>
      </c>
      <c r="AR314" t="str">
        <f>'Lab test'!AC307</f>
        <v>Tubes</v>
      </c>
      <c r="AS314" t="str">
        <f>'Lab test'!T307</f>
        <v>Steel</v>
      </c>
      <c r="AX314" t="e">
        <f t="shared" si="114"/>
        <v>#N/A</v>
      </c>
      <c r="AY314" t="e">
        <f t="shared" si="130"/>
        <v>#N/A</v>
      </c>
      <c r="AZ314" t="e">
        <f t="shared" si="133"/>
        <v>#N/A</v>
      </c>
      <c r="BA314" t="e">
        <f t="shared" si="133"/>
        <v>#N/A</v>
      </c>
      <c r="BB314" t="e">
        <f t="shared" si="133"/>
        <v>#N/A</v>
      </c>
      <c r="BC314" t="e">
        <f t="shared" si="133"/>
        <v>#N/A</v>
      </c>
      <c r="BD314" t="e">
        <f t="shared" si="133"/>
        <v>#N/A</v>
      </c>
      <c r="BG314" t="e">
        <f t="shared" si="115"/>
        <v>#N/A</v>
      </c>
      <c r="BH314" t="e">
        <f t="shared" si="131"/>
        <v>#N/A</v>
      </c>
      <c r="BI314" t="e">
        <f t="shared" si="134"/>
        <v>#N/A</v>
      </c>
      <c r="BJ314" t="e">
        <f t="shared" si="134"/>
        <v>#N/A</v>
      </c>
      <c r="BK314" t="e">
        <f t="shared" si="134"/>
        <v>#N/A</v>
      </c>
      <c r="BL314" t="e">
        <f t="shared" si="134"/>
        <v>#N/A</v>
      </c>
      <c r="BM314" t="e">
        <f t="shared" si="134"/>
        <v>#N/A</v>
      </c>
      <c r="BP314" t="e">
        <f t="shared" si="116"/>
        <v>#N/A</v>
      </c>
      <c r="BQ314" t="e">
        <f t="shared" si="132"/>
        <v>#N/A</v>
      </c>
      <c r="BR314" t="e">
        <f t="shared" si="135"/>
        <v>#N/A</v>
      </c>
      <c r="BS314" t="e">
        <f t="shared" si="135"/>
        <v>#N/A</v>
      </c>
      <c r="BT314" t="e">
        <f t="shared" si="135"/>
        <v>#N/A</v>
      </c>
      <c r="BU314" t="e">
        <f t="shared" si="135"/>
        <v>#N/A</v>
      </c>
      <c r="BV314" t="e">
        <f t="shared" si="135"/>
        <v>#N/A</v>
      </c>
      <c r="BY314" t="e">
        <f t="shared" si="117"/>
        <v>#N/A</v>
      </c>
      <c r="BZ314" t="e">
        <v>#N/A</v>
      </c>
      <c r="CA314" t="e" cm="1">
        <f t="array" ref="CA314">IF(ISNUMBER(BZ314),AF314/COUNT(IF(ISNUMBER(_xlfn.ANCHORARRAY($BZ$11)),_xlfn.ANCHORARRAY($BZ$11))),NA())</f>
        <v>#N/A</v>
      </c>
      <c r="CB314" t="e">
        <f t="shared" si="118"/>
        <v>#N/A</v>
      </c>
      <c r="CD314" t="e">
        <f t="shared" si="119"/>
        <v>#N/A</v>
      </c>
      <c r="CE314" t="e">
        <f t="shared" si="120"/>
        <v>#N/A</v>
      </c>
      <c r="CG314" t="e">
        <v>#N/A</v>
      </c>
      <c r="CH314" t="e">
        <v>#N/A</v>
      </c>
      <c r="CL314" t="e">
        <f t="shared" si="121"/>
        <v>#N/A</v>
      </c>
      <c r="CM314" t="e">
        <v>#N/A</v>
      </c>
      <c r="CN314" t="e" cm="1">
        <f t="array" ref="CN314">IF(ISNUMBER(CM314),AF314/COUNT(IF(ISNUMBER(_xlfn.ANCHORARRAY($CM$11)),_xlfn.ANCHORARRAY($CM$11))),NA())</f>
        <v>#N/A</v>
      </c>
      <c r="CO314" t="e">
        <f t="shared" si="122"/>
        <v>#N/A</v>
      </c>
      <c r="CQ314" t="e">
        <f t="shared" si="123"/>
        <v>#N/A</v>
      </c>
      <c r="CR314" t="e">
        <f t="shared" si="124"/>
        <v>#N/A</v>
      </c>
      <c r="CT314" t="e">
        <v>#N/A</v>
      </c>
      <c r="CU314" t="e">
        <v>#N/A</v>
      </c>
      <c r="CY314" t="e">
        <f t="shared" si="125"/>
        <v>#N/A</v>
      </c>
      <c r="CZ314" t="e">
        <v>#N/A</v>
      </c>
      <c r="DA314" t="e" cm="1">
        <f t="array" ref="DA314">IF(ISNUMBER(CZ314),AF314/COUNT(IF(ISNUMBER(_xlfn.ANCHORARRAY($CZ$11)),_xlfn.ANCHORARRAY($CZ$11))),NA())</f>
        <v>#N/A</v>
      </c>
      <c r="DB314" t="e">
        <f t="shared" si="126"/>
        <v>#N/A</v>
      </c>
      <c r="DD314" t="e">
        <f t="shared" si="127"/>
        <v>#N/A</v>
      </c>
      <c r="DE314" t="e">
        <f t="shared" si="128"/>
        <v>#N/A</v>
      </c>
      <c r="DG314" t="e">
        <v>#N/A</v>
      </c>
      <c r="DH314" t="e">
        <v>#N/A</v>
      </c>
    </row>
    <row r="315" spans="32:112">
      <c r="AF315">
        <v>305</v>
      </c>
      <c r="AG315" s="401">
        <f>'Lab test'!N308</f>
        <v>55.814999999999998</v>
      </c>
      <c r="AH315" s="401">
        <f>'Lab test'!M308</f>
        <v>2.89</v>
      </c>
      <c r="AI315">
        <f>IF('Lab test'!O308&gt;0,'Lab test'!O308,NA())</f>
        <v>360.1</v>
      </c>
      <c r="AJ315">
        <f>'Lab test'!Q308</f>
        <v>19.31315</v>
      </c>
      <c r="AK315" s="401">
        <f>IF('Lab test'!V308&gt;0,'Lab test'!V308,NA())</f>
        <v>187000</v>
      </c>
      <c r="AL315" s="7">
        <f>IF(MAX('Lab test'!W308,'Lab test'!X308)&gt;0,MAX('Lab test'!W308,'Lab test'!X308),NA())</f>
        <v>290</v>
      </c>
      <c r="AM315" s="401">
        <f>IF('Lab test'!P308&gt;0,'Lab test'!P308,NA())</f>
        <v>1.4680662315245949</v>
      </c>
      <c r="AN315" s="401">
        <f>IF('Lab test'!AU308&gt;0,'Lab test'!AU308,NA())</f>
        <v>1.3020624788107931</v>
      </c>
      <c r="AO315" s="401">
        <f>IF('Lab test'!AT308&gt;0,'Lab test'!AT308,NA())</f>
        <v>6.4435117578470175E-2</v>
      </c>
      <c r="AP315">
        <f t="shared" si="129"/>
        <v>1</v>
      </c>
      <c r="AQ315" s="401">
        <f>'Lab test'!AZ308</f>
        <v>2016</v>
      </c>
      <c r="AR315" t="str">
        <f>'Lab test'!AC308</f>
        <v>Tubes</v>
      </c>
      <c r="AS315" t="str">
        <f>'Lab test'!T308</f>
        <v>Steel</v>
      </c>
      <c r="AX315" t="e">
        <f t="shared" si="114"/>
        <v>#N/A</v>
      </c>
      <c r="AY315" t="e">
        <f t="shared" si="130"/>
        <v>#N/A</v>
      </c>
      <c r="AZ315" t="e">
        <f t="shared" si="133"/>
        <v>#N/A</v>
      </c>
      <c r="BA315" t="e">
        <f t="shared" si="133"/>
        <v>#N/A</v>
      </c>
      <c r="BB315" t="e">
        <f t="shared" si="133"/>
        <v>#N/A</v>
      </c>
      <c r="BC315" t="e">
        <f t="shared" si="133"/>
        <v>#N/A</v>
      </c>
      <c r="BD315" t="e">
        <f t="shared" si="133"/>
        <v>#N/A</v>
      </c>
      <c r="BG315" t="e">
        <f t="shared" si="115"/>
        <v>#N/A</v>
      </c>
      <c r="BH315" t="e">
        <f t="shared" si="131"/>
        <v>#N/A</v>
      </c>
      <c r="BI315" t="e">
        <f t="shared" si="134"/>
        <v>#N/A</v>
      </c>
      <c r="BJ315" t="e">
        <f t="shared" si="134"/>
        <v>#N/A</v>
      </c>
      <c r="BK315" t="e">
        <f t="shared" si="134"/>
        <v>#N/A</v>
      </c>
      <c r="BL315" t="e">
        <f t="shared" si="134"/>
        <v>#N/A</v>
      </c>
      <c r="BM315" t="e">
        <f t="shared" si="134"/>
        <v>#N/A</v>
      </c>
      <c r="BP315" t="e">
        <f t="shared" si="116"/>
        <v>#N/A</v>
      </c>
      <c r="BQ315" t="e">
        <f t="shared" si="132"/>
        <v>#N/A</v>
      </c>
      <c r="BR315" t="e">
        <f t="shared" si="135"/>
        <v>#N/A</v>
      </c>
      <c r="BS315" t="e">
        <f t="shared" si="135"/>
        <v>#N/A</v>
      </c>
      <c r="BT315" t="e">
        <f t="shared" si="135"/>
        <v>#N/A</v>
      </c>
      <c r="BU315" t="e">
        <f t="shared" si="135"/>
        <v>#N/A</v>
      </c>
      <c r="BV315" t="e">
        <f t="shared" si="135"/>
        <v>#N/A</v>
      </c>
      <c r="BY315" t="e">
        <f t="shared" si="117"/>
        <v>#N/A</v>
      </c>
      <c r="BZ315" t="e">
        <v>#N/A</v>
      </c>
      <c r="CA315" t="e" cm="1">
        <f t="array" ref="CA315">IF(ISNUMBER(BZ315),AF315/COUNT(IF(ISNUMBER(_xlfn.ANCHORARRAY($BZ$11)),_xlfn.ANCHORARRAY($BZ$11))),NA())</f>
        <v>#N/A</v>
      </c>
      <c r="CB315" t="e">
        <f t="shared" si="118"/>
        <v>#N/A</v>
      </c>
      <c r="CD315" t="e">
        <f t="shared" si="119"/>
        <v>#N/A</v>
      </c>
      <c r="CE315" t="e">
        <f t="shared" si="120"/>
        <v>#N/A</v>
      </c>
      <c r="CG315" t="e">
        <v>#N/A</v>
      </c>
      <c r="CH315" t="e">
        <v>#N/A</v>
      </c>
      <c r="CL315" t="e">
        <f t="shared" si="121"/>
        <v>#N/A</v>
      </c>
      <c r="CM315" t="e">
        <v>#N/A</v>
      </c>
      <c r="CN315" t="e" cm="1">
        <f t="array" ref="CN315">IF(ISNUMBER(CM315),AF315/COUNT(IF(ISNUMBER(_xlfn.ANCHORARRAY($CM$11)),_xlfn.ANCHORARRAY($CM$11))),NA())</f>
        <v>#N/A</v>
      </c>
      <c r="CO315" t="e">
        <f t="shared" si="122"/>
        <v>#N/A</v>
      </c>
      <c r="CQ315" t="e">
        <f t="shared" si="123"/>
        <v>#N/A</v>
      </c>
      <c r="CR315" t="e">
        <f t="shared" si="124"/>
        <v>#N/A</v>
      </c>
      <c r="CT315" t="e">
        <v>#N/A</v>
      </c>
      <c r="CU315" t="e">
        <v>#N/A</v>
      </c>
      <c r="CY315" t="e">
        <f t="shared" si="125"/>
        <v>#N/A</v>
      </c>
      <c r="CZ315" t="e">
        <v>#N/A</v>
      </c>
      <c r="DA315" t="e" cm="1">
        <f t="array" ref="DA315">IF(ISNUMBER(CZ315),AF315/COUNT(IF(ISNUMBER(_xlfn.ANCHORARRAY($CZ$11)),_xlfn.ANCHORARRAY($CZ$11))),NA())</f>
        <v>#N/A</v>
      </c>
      <c r="DB315" t="e">
        <f t="shared" si="126"/>
        <v>#N/A</v>
      </c>
      <c r="DD315" t="e">
        <f t="shared" si="127"/>
        <v>#N/A</v>
      </c>
      <c r="DE315" t="e">
        <f t="shared" si="128"/>
        <v>#N/A</v>
      </c>
      <c r="DG315" t="e">
        <v>#N/A</v>
      </c>
      <c r="DH315" t="e">
        <v>#N/A</v>
      </c>
    </row>
    <row r="316" spans="32:112">
      <c r="AF316">
        <v>306</v>
      </c>
      <c r="AG316" s="401">
        <f>'Lab test'!N309</f>
        <v>68.44</v>
      </c>
      <c r="AH316" s="401">
        <f>'Lab test'!M309</f>
        <v>2.92</v>
      </c>
      <c r="AI316">
        <f>IF('Lab test'!O309&gt;0,'Lab test'!O309,NA())</f>
        <v>434.8</v>
      </c>
      <c r="AJ316">
        <f>'Lab test'!Q309</f>
        <v>23.438359999999999</v>
      </c>
      <c r="AK316" s="401">
        <f>IF('Lab test'!V309&gt;0,'Lab test'!V309,NA())</f>
        <v>188000</v>
      </c>
      <c r="AL316" s="7">
        <f>IF(MAX('Lab test'!W309,'Lab test'!X309)&gt;0,MAX('Lab test'!W309,'Lab test'!X309),NA())</f>
        <v>323</v>
      </c>
      <c r="AM316" s="401">
        <f>IF('Lab test'!P309&gt;0,'Lab test'!P309,NA())</f>
        <v>1.3122481217790849</v>
      </c>
      <c r="AN316" s="401">
        <f>IF('Lab test'!AU309&gt;0,'Lab test'!AU309,NA())</f>
        <v>1.1250588124005259</v>
      </c>
      <c r="AO316" s="401">
        <f>IF('Lab test'!AT309&gt;0,'Lab test'!AT309,NA())</f>
        <v>7.4856302549148837E-2</v>
      </c>
      <c r="AP316">
        <f t="shared" si="129"/>
        <v>1</v>
      </c>
      <c r="AQ316" s="401">
        <f>'Lab test'!AZ309</f>
        <v>2016</v>
      </c>
      <c r="AR316" t="str">
        <f>'Lab test'!AC309</f>
        <v>Tubes</v>
      </c>
      <c r="AS316" t="str">
        <f>'Lab test'!T309</f>
        <v>Steel</v>
      </c>
      <c r="AX316" t="e">
        <f t="shared" si="114"/>
        <v>#N/A</v>
      </c>
      <c r="AY316" t="e">
        <f t="shared" si="130"/>
        <v>#N/A</v>
      </c>
      <c r="AZ316" t="e">
        <f t="shared" si="133"/>
        <v>#N/A</v>
      </c>
      <c r="BA316" t="e">
        <f t="shared" si="133"/>
        <v>#N/A</v>
      </c>
      <c r="BB316" t="e">
        <f t="shared" si="133"/>
        <v>#N/A</v>
      </c>
      <c r="BC316" t="e">
        <f t="shared" si="133"/>
        <v>#N/A</v>
      </c>
      <c r="BD316" t="e">
        <f t="shared" si="133"/>
        <v>#N/A</v>
      </c>
      <c r="BG316" t="e">
        <f t="shared" si="115"/>
        <v>#N/A</v>
      </c>
      <c r="BH316" t="e">
        <f t="shared" si="131"/>
        <v>#N/A</v>
      </c>
      <c r="BI316" t="e">
        <f t="shared" si="134"/>
        <v>#N/A</v>
      </c>
      <c r="BJ316" t="e">
        <f t="shared" si="134"/>
        <v>#N/A</v>
      </c>
      <c r="BK316" t="e">
        <f t="shared" si="134"/>
        <v>#N/A</v>
      </c>
      <c r="BL316" t="e">
        <f t="shared" si="134"/>
        <v>#N/A</v>
      </c>
      <c r="BM316" t="e">
        <f t="shared" si="134"/>
        <v>#N/A</v>
      </c>
      <c r="BP316" t="e">
        <f t="shared" si="116"/>
        <v>#N/A</v>
      </c>
      <c r="BQ316" t="e">
        <f t="shared" si="132"/>
        <v>#N/A</v>
      </c>
      <c r="BR316" t="e">
        <f t="shared" si="135"/>
        <v>#N/A</v>
      </c>
      <c r="BS316" t="e">
        <f t="shared" si="135"/>
        <v>#N/A</v>
      </c>
      <c r="BT316" t="e">
        <f t="shared" si="135"/>
        <v>#N/A</v>
      </c>
      <c r="BU316" t="e">
        <f t="shared" si="135"/>
        <v>#N/A</v>
      </c>
      <c r="BV316" t="e">
        <f t="shared" si="135"/>
        <v>#N/A</v>
      </c>
      <c r="BY316" t="e">
        <f t="shared" si="117"/>
        <v>#N/A</v>
      </c>
      <c r="BZ316" t="e">
        <v>#N/A</v>
      </c>
      <c r="CA316" t="e" cm="1">
        <f t="array" ref="CA316">IF(ISNUMBER(BZ316),AF316/COUNT(IF(ISNUMBER(_xlfn.ANCHORARRAY($BZ$11)),_xlfn.ANCHORARRAY($BZ$11))),NA())</f>
        <v>#N/A</v>
      </c>
      <c r="CB316" t="e">
        <f t="shared" si="118"/>
        <v>#N/A</v>
      </c>
      <c r="CD316" t="e">
        <f t="shared" si="119"/>
        <v>#N/A</v>
      </c>
      <c r="CE316" t="e">
        <f t="shared" si="120"/>
        <v>#N/A</v>
      </c>
      <c r="CG316" t="e">
        <v>#N/A</v>
      </c>
      <c r="CH316" t="e">
        <v>#N/A</v>
      </c>
      <c r="CL316" t="e">
        <f t="shared" si="121"/>
        <v>#N/A</v>
      </c>
      <c r="CM316" t="e">
        <v>#N/A</v>
      </c>
      <c r="CN316" t="e" cm="1">
        <f t="array" ref="CN316">IF(ISNUMBER(CM316),AF316/COUNT(IF(ISNUMBER(_xlfn.ANCHORARRAY($CM$11)),_xlfn.ANCHORARRAY($CM$11))),NA())</f>
        <v>#N/A</v>
      </c>
      <c r="CO316" t="e">
        <f t="shared" si="122"/>
        <v>#N/A</v>
      </c>
      <c r="CQ316" t="e">
        <f t="shared" si="123"/>
        <v>#N/A</v>
      </c>
      <c r="CR316" t="e">
        <f t="shared" si="124"/>
        <v>#N/A</v>
      </c>
      <c r="CT316" t="e">
        <v>#N/A</v>
      </c>
      <c r="CU316" t="e">
        <v>#N/A</v>
      </c>
      <c r="CY316" t="e">
        <f t="shared" si="125"/>
        <v>#N/A</v>
      </c>
      <c r="CZ316" t="e">
        <v>#N/A</v>
      </c>
      <c r="DA316" t="e" cm="1">
        <f t="array" ref="DA316">IF(ISNUMBER(CZ316),AF316/COUNT(IF(ISNUMBER(_xlfn.ANCHORARRAY($CZ$11)),_xlfn.ANCHORARRAY($CZ$11))),NA())</f>
        <v>#N/A</v>
      </c>
      <c r="DB316" t="e">
        <f t="shared" si="126"/>
        <v>#N/A</v>
      </c>
      <c r="DD316" t="e">
        <f t="shared" si="127"/>
        <v>#N/A</v>
      </c>
      <c r="DE316" t="e">
        <f t="shared" si="128"/>
        <v>#N/A</v>
      </c>
      <c r="DG316" t="e">
        <v>#N/A</v>
      </c>
      <c r="DH316" t="e">
        <v>#N/A</v>
      </c>
    </row>
    <row r="317" spans="32:112">
      <c r="AF317">
        <v>307</v>
      </c>
      <c r="AG317" s="401">
        <f>'Lab test'!N310</f>
        <v>51.5</v>
      </c>
      <c r="AH317" s="401">
        <f>'Lab test'!M310</f>
        <v>1.7</v>
      </c>
      <c r="AI317">
        <f>IF('Lab test'!O310&gt;0,'Lab test'!O310,NA())</f>
        <v>306</v>
      </c>
      <c r="AJ317">
        <f>'Lab test'!Q310</f>
        <v>30.294117647058826</v>
      </c>
      <c r="AK317" s="401">
        <f>IF('Lab test'!V310&gt;0,'Lab test'!V310,NA())</f>
        <v>195500</v>
      </c>
      <c r="AL317" s="7" t="e">
        <f>IF(MAX('Lab test'!W310,'Lab test'!X310)&gt;0,MAX('Lab test'!W310,'Lab test'!X310),NA())</f>
        <v>#N/A</v>
      </c>
      <c r="AM317" s="401">
        <f>IF('Lab test'!P310&gt;0,'Lab test'!P310,NA())</f>
        <v>1.0795308147740004</v>
      </c>
      <c r="AN317" s="401" t="e">
        <f>IF('Lab test'!AU310&gt;0,'Lab test'!AU310,NA())</f>
        <v>#N/A</v>
      </c>
      <c r="AO317" s="401">
        <f>IF('Lab test'!AT310&gt;0,'Lab test'!AT310,NA())</f>
        <v>7.4469224855689145E-2</v>
      </c>
      <c r="AP317" t="e">
        <f t="shared" si="129"/>
        <v>#N/A</v>
      </c>
      <c r="AQ317" s="401">
        <f>'Lab test'!AZ310</f>
        <v>2019</v>
      </c>
      <c r="AR317" t="str">
        <f>'Lab test'!AC310</f>
        <v>Miscellaneous</v>
      </c>
      <c r="AS317" t="str">
        <f>'Lab test'!T310</f>
        <v>Steel</v>
      </c>
      <c r="AX317" t="e">
        <f t="shared" si="114"/>
        <v>#N/A</v>
      </c>
      <c r="AY317" t="e">
        <f t="shared" si="130"/>
        <v>#N/A</v>
      </c>
      <c r="AZ317" t="e">
        <f t="shared" si="133"/>
        <v>#N/A</v>
      </c>
      <c r="BA317" t="e">
        <f t="shared" si="133"/>
        <v>#N/A</v>
      </c>
      <c r="BB317" t="e">
        <f t="shared" si="133"/>
        <v>#N/A</v>
      </c>
      <c r="BC317" t="e">
        <f t="shared" si="133"/>
        <v>#N/A</v>
      </c>
      <c r="BD317" t="e">
        <f t="shared" si="133"/>
        <v>#N/A</v>
      </c>
      <c r="BG317" t="e">
        <f t="shared" si="115"/>
        <v>#N/A</v>
      </c>
      <c r="BH317" t="e">
        <f t="shared" si="131"/>
        <v>#N/A</v>
      </c>
      <c r="BI317" t="e">
        <f t="shared" si="134"/>
        <v>#N/A</v>
      </c>
      <c r="BJ317" t="e">
        <f t="shared" si="134"/>
        <v>#N/A</v>
      </c>
      <c r="BK317" t="e">
        <f t="shared" si="134"/>
        <v>#N/A</v>
      </c>
      <c r="BL317" t="e">
        <f t="shared" si="134"/>
        <v>#N/A</v>
      </c>
      <c r="BM317" t="e">
        <f t="shared" si="134"/>
        <v>#N/A</v>
      </c>
      <c r="BP317" t="e">
        <f t="shared" si="116"/>
        <v>#N/A</v>
      </c>
      <c r="BQ317" t="e">
        <f t="shared" si="132"/>
        <v>#N/A</v>
      </c>
      <c r="BR317" t="e">
        <f t="shared" si="135"/>
        <v>#N/A</v>
      </c>
      <c r="BS317" t="e">
        <f t="shared" si="135"/>
        <v>#N/A</v>
      </c>
      <c r="BT317" t="e">
        <f t="shared" si="135"/>
        <v>#N/A</v>
      </c>
      <c r="BU317" t="e">
        <f t="shared" si="135"/>
        <v>#N/A</v>
      </c>
      <c r="BV317" t="e">
        <f t="shared" si="135"/>
        <v>#N/A</v>
      </c>
      <c r="BY317" t="e">
        <f t="shared" si="117"/>
        <v>#N/A</v>
      </c>
      <c r="BZ317" t="e">
        <v>#N/A</v>
      </c>
      <c r="CA317" t="e" cm="1">
        <f t="array" ref="CA317">IF(ISNUMBER(BZ317),AF317/COUNT(IF(ISNUMBER(_xlfn.ANCHORARRAY($BZ$11)),_xlfn.ANCHORARRAY($BZ$11))),NA())</f>
        <v>#N/A</v>
      </c>
      <c r="CB317" t="e">
        <f t="shared" si="118"/>
        <v>#N/A</v>
      </c>
      <c r="CD317" t="e">
        <f t="shared" si="119"/>
        <v>#N/A</v>
      </c>
      <c r="CE317" t="e">
        <f t="shared" si="120"/>
        <v>#N/A</v>
      </c>
      <c r="CG317" t="e">
        <v>#N/A</v>
      </c>
      <c r="CH317" t="e">
        <v>#N/A</v>
      </c>
      <c r="CL317" t="e">
        <f t="shared" si="121"/>
        <v>#N/A</v>
      </c>
      <c r="CM317" t="e">
        <v>#N/A</v>
      </c>
      <c r="CN317" t="e" cm="1">
        <f t="array" ref="CN317">IF(ISNUMBER(CM317),AF317/COUNT(IF(ISNUMBER(_xlfn.ANCHORARRAY($CM$11)),_xlfn.ANCHORARRAY($CM$11))),NA())</f>
        <v>#N/A</v>
      </c>
      <c r="CO317" t="e">
        <f t="shared" si="122"/>
        <v>#N/A</v>
      </c>
      <c r="CQ317" t="e">
        <f t="shared" si="123"/>
        <v>#N/A</v>
      </c>
      <c r="CR317" t="e">
        <f t="shared" si="124"/>
        <v>#N/A</v>
      </c>
      <c r="CT317" t="e">
        <v>#N/A</v>
      </c>
      <c r="CU317" t="e">
        <v>#N/A</v>
      </c>
      <c r="CY317" t="e">
        <f t="shared" si="125"/>
        <v>#N/A</v>
      </c>
      <c r="CZ317" t="e">
        <v>#N/A</v>
      </c>
      <c r="DA317" t="e" cm="1">
        <f t="array" ref="DA317">IF(ISNUMBER(CZ317),AF317/COUNT(IF(ISNUMBER(_xlfn.ANCHORARRAY($CZ$11)),_xlfn.ANCHORARRAY($CZ$11))),NA())</f>
        <v>#N/A</v>
      </c>
      <c r="DB317" t="e">
        <f t="shared" si="126"/>
        <v>#N/A</v>
      </c>
      <c r="DD317" t="e">
        <f t="shared" si="127"/>
        <v>#N/A</v>
      </c>
      <c r="DE317" t="e">
        <f t="shared" si="128"/>
        <v>#N/A</v>
      </c>
      <c r="DG317" t="e">
        <v>#N/A</v>
      </c>
      <c r="DH317" t="e">
        <v>#N/A</v>
      </c>
    </row>
    <row r="318" spans="32:112">
      <c r="AF318">
        <v>308</v>
      </c>
      <c r="AG318" s="401">
        <f>'Lab test'!N311</f>
        <v>51.5</v>
      </c>
      <c r="AH318" s="401">
        <f>'Lab test'!M311</f>
        <v>1.5</v>
      </c>
      <c r="AI318">
        <f>IF('Lab test'!O311&gt;0,'Lab test'!O311,NA())</f>
        <v>1020</v>
      </c>
      <c r="AJ318">
        <f>'Lab test'!Q311</f>
        <v>34.333333333333336</v>
      </c>
      <c r="AK318" s="401">
        <f>IF('Lab test'!V311&gt;0,'Lab test'!V311,NA())</f>
        <v>195500</v>
      </c>
      <c r="AL318" s="7" t="e">
        <f>IF(MAX('Lab test'!W311,'Lab test'!X311)&gt;0,MAX('Lab test'!W311,'Lab test'!X311),NA())</f>
        <v>#N/A</v>
      </c>
      <c r="AM318" s="401">
        <f>IF('Lab test'!P311&gt;0,'Lab test'!P311,NA())</f>
        <v>3.3801420959321113</v>
      </c>
      <c r="AN318" s="401" t="e">
        <f>IF('Lab test'!AU311&gt;0,'Lab test'!AU311,NA())</f>
        <v>#N/A</v>
      </c>
      <c r="AO318" s="401">
        <f>IF('Lab test'!AT311&gt;0,'Lab test'!AT311,NA())</f>
        <v>8.9075535875300829E-2</v>
      </c>
      <c r="AP318" t="e">
        <f t="shared" si="129"/>
        <v>#N/A</v>
      </c>
      <c r="AQ318" s="401">
        <f>'Lab test'!AZ311</f>
        <v>2019</v>
      </c>
      <c r="AR318" t="str">
        <f>'Lab test'!AC311</f>
        <v>Miscellaneous</v>
      </c>
      <c r="AS318" t="str">
        <f>'Lab test'!T311</f>
        <v>Steel</v>
      </c>
      <c r="AX318" t="e">
        <f t="shared" si="114"/>
        <v>#N/A</v>
      </c>
      <c r="AY318" t="e">
        <f t="shared" si="130"/>
        <v>#N/A</v>
      </c>
      <c r="AZ318" t="e">
        <f t="shared" si="133"/>
        <v>#N/A</v>
      </c>
      <c r="BA318" t="e">
        <f t="shared" si="133"/>
        <v>#N/A</v>
      </c>
      <c r="BB318" t="e">
        <f t="shared" si="133"/>
        <v>#N/A</v>
      </c>
      <c r="BC318" t="e">
        <f t="shared" si="133"/>
        <v>#N/A</v>
      </c>
      <c r="BD318" t="e">
        <f t="shared" si="133"/>
        <v>#N/A</v>
      </c>
      <c r="BG318" t="e">
        <f t="shared" si="115"/>
        <v>#N/A</v>
      </c>
      <c r="BH318" t="e">
        <f t="shared" si="131"/>
        <v>#N/A</v>
      </c>
      <c r="BI318" t="e">
        <f t="shared" si="134"/>
        <v>#N/A</v>
      </c>
      <c r="BJ318" t="e">
        <f t="shared" si="134"/>
        <v>#N/A</v>
      </c>
      <c r="BK318" t="e">
        <f t="shared" si="134"/>
        <v>#N/A</v>
      </c>
      <c r="BL318" t="e">
        <f t="shared" si="134"/>
        <v>#N/A</v>
      </c>
      <c r="BM318" t="e">
        <f t="shared" si="134"/>
        <v>#N/A</v>
      </c>
      <c r="BP318" t="e">
        <f t="shared" si="116"/>
        <v>#N/A</v>
      </c>
      <c r="BQ318" t="e">
        <f t="shared" si="132"/>
        <v>#N/A</v>
      </c>
      <c r="BR318" t="e">
        <f t="shared" si="135"/>
        <v>#N/A</v>
      </c>
      <c r="BS318" t="e">
        <f t="shared" si="135"/>
        <v>#N/A</v>
      </c>
      <c r="BT318" t="e">
        <f t="shared" si="135"/>
        <v>#N/A</v>
      </c>
      <c r="BU318" t="e">
        <f t="shared" si="135"/>
        <v>#N/A</v>
      </c>
      <c r="BV318" t="e">
        <f t="shared" si="135"/>
        <v>#N/A</v>
      </c>
      <c r="BY318" t="e">
        <f t="shared" si="117"/>
        <v>#N/A</v>
      </c>
      <c r="BZ318" t="e">
        <v>#N/A</v>
      </c>
      <c r="CA318" t="e" cm="1">
        <f t="array" ref="CA318">IF(ISNUMBER(BZ318),AF318/COUNT(IF(ISNUMBER(_xlfn.ANCHORARRAY($BZ$11)),_xlfn.ANCHORARRAY($BZ$11))),NA())</f>
        <v>#N/A</v>
      </c>
      <c r="CB318" t="e">
        <f t="shared" si="118"/>
        <v>#N/A</v>
      </c>
      <c r="CD318" t="e">
        <f t="shared" si="119"/>
        <v>#N/A</v>
      </c>
      <c r="CE318" t="e">
        <f t="shared" si="120"/>
        <v>#N/A</v>
      </c>
      <c r="CG318" t="e">
        <v>#N/A</v>
      </c>
      <c r="CH318" t="e">
        <v>#N/A</v>
      </c>
      <c r="CL318" t="e">
        <f t="shared" si="121"/>
        <v>#N/A</v>
      </c>
      <c r="CM318" t="e">
        <v>#N/A</v>
      </c>
      <c r="CN318" t="e" cm="1">
        <f t="array" ref="CN318">IF(ISNUMBER(CM318),AF318/COUNT(IF(ISNUMBER(_xlfn.ANCHORARRAY($CM$11)),_xlfn.ANCHORARRAY($CM$11))),NA())</f>
        <v>#N/A</v>
      </c>
      <c r="CO318" t="e">
        <f t="shared" si="122"/>
        <v>#N/A</v>
      </c>
      <c r="CQ318" t="e">
        <f t="shared" si="123"/>
        <v>#N/A</v>
      </c>
      <c r="CR318" t="e">
        <f t="shared" si="124"/>
        <v>#N/A</v>
      </c>
      <c r="CT318" t="e">
        <v>#N/A</v>
      </c>
      <c r="CU318" t="e">
        <v>#N/A</v>
      </c>
      <c r="CY318" t="e">
        <f t="shared" si="125"/>
        <v>#N/A</v>
      </c>
      <c r="CZ318" t="e">
        <v>#N/A</v>
      </c>
      <c r="DA318" t="e" cm="1">
        <f t="array" ref="DA318">IF(ISNUMBER(CZ318),AF318/COUNT(IF(ISNUMBER(_xlfn.ANCHORARRAY($CZ$11)),_xlfn.ANCHORARRAY($CZ$11))),NA())</f>
        <v>#N/A</v>
      </c>
      <c r="DB318" t="e">
        <f t="shared" si="126"/>
        <v>#N/A</v>
      </c>
      <c r="DD318" t="e">
        <f t="shared" si="127"/>
        <v>#N/A</v>
      </c>
      <c r="DE318" t="e">
        <f t="shared" si="128"/>
        <v>#N/A</v>
      </c>
      <c r="DG318" t="e">
        <v>#N/A</v>
      </c>
      <c r="DH318" t="e">
        <v>#N/A</v>
      </c>
    </row>
    <row r="319" spans="32:112">
      <c r="AF319">
        <v>309</v>
      </c>
      <c r="AG319" s="401">
        <f>'Lab test'!N312</f>
        <v>76.5</v>
      </c>
      <c r="AH319" s="401">
        <f>'Lab test'!M312</f>
        <v>2.1</v>
      </c>
      <c r="AI319">
        <f>IF('Lab test'!O312&gt;0,'Lab test'!O312,NA())</f>
        <v>456</v>
      </c>
      <c r="AJ319">
        <f>'Lab test'!Q312</f>
        <v>36.428571428571423</v>
      </c>
      <c r="AK319" s="401">
        <f>IF('Lab test'!V312&gt;0,'Lab test'!V312,NA())</f>
        <v>180500</v>
      </c>
      <c r="AL319" s="7" t="e">
        <f>IF(MAX('Lab test'!W312,'Lab test'!X312)&gt;0,MAX('Lab test'!W312,'Lab test'!X312),NA())</f>
        <v>#N/A</v>
      </c>
      <c r="AM319" s="401">
        <f>IF('Lab test'!P312&gt;0,'Lab test'!P312,NA())</f>
        <v>0.98760285628302846</v>
      </c>
      <c r="AN319" s="401" t="e">
        <f>IF('Lab test'!AU312&gt;0,'Lab test'!AU312,NA())</f>
        <v>#N/A</v>
      </c>
      <c r="AO319" s="401">
        <f>IF('Lab test'!AT312&gt;0,'Lab test'!AT312,NA())</f>
        <v>0.12553628027610716</v>
      </c>
      <c r="AP319" t="e">
        <f t="shared" si="129"/>
        <v>#N/A</v>
      </c>
      <c r="AQ319" s="401">
        <f>'Lab test'!AZ312</f>
        <v>2019</v>
      </c>
      <c r="AR319" t="str">
        <f>'Lab test'!AC312</f>
        <v>Miscellaneous</v>
      </c>
      <c r="AS319" t="str">
        <f>'Lab test'!T312</f>
        <v>Steel</v>
      </c>
      <c r="AX319" t="e">
        <f t="shared" si="114"/>
        <v>#N/A</v>
      </c>
      <c r="AY319" t="e">
        <f t="shared" si="130"/>
        <v>#N/A</v>
      </c>
      <c r="AZ319" t="e">
        <f t="shared" si="133"/>
        <v>#N/A</v>
      </c>
      <c r="BA319" t="e">
        <f t="shared" si="133"/>
        <v>#N/A</v>
      </c>
      <c r="BB319" t="e">
        <f t="shared" si="133"/>
        <v>#N/A</v>
      </c>
      <c r="BC319" t="e">
        <f t="shared" si="133"/>
        <v>#N/A</v>
      </c>
      <c r="BD319" t="e">
        <f t="shared" si="133"/>
        <v>#N/A</v>
      </c>
      <c r="BG319" t="e">
        <f t="shared" si="115"/>
        <v>#N/A</v>
      </c>
      <c r="BH319" t="e">
        <f t="shared" si="131"/>
        <v>#N/A</v>
      </c>
      <c r="BI319" t="e">
        <f t="shared" si="134"/>
        <v>#N/A</v>
      </c>
      <c r="BJ319" t="e">
        <f t="shared" si="134"/>
        <v>#N/A</v>
      </c>
      <c r="BK319" t="e">
        <f t="shared" si="134"/>
        <v>#N/A</v>
      </c>
      <c r="BL319" t="e">
        <f t="shared" si="134"/>
        <v>#N/A</v>
      </c>
      <c r="BM319" t="e">
        <f t="shared" si="134"/>
        <v>#N/A</v>
      </c>
      <c r="BP319" t="e">
        <f t="shared" si="116"/>
        <v>#N/A</v>
      </c>
      <c r="BQ319" t="e">
        <f t="shared" si="132"/>
        <v>#N/A</v>
      </c>
      <c r="BR319" t="e">
        <f t="shared" si="135"/>
        <v>#N/A</v>
      </c>
      <c r="BS319" t="e">
        <f t="shared" si="135"/>
        <v>#N/A</v>
      </c>
      <c r="BT319" t="e">
        <f t="shared" si="135"/>
        <v>#N/A</v>
      </c>
      <c r="BU319" t="e">
        <f t="shared" si="135"/>
        <v>#N/A</v>
      </c>
      <c r="BV319" t="e">
        <f t="shared" si="135"/>
        <v>#N/A</v>
      </c>
      <c r="BY319" t="e">
        <f t="shared" si="117"/>
        <v>#N/A</v>
      </c>
      <c r="BZ319" t="e">
        <v>#N/A</v>
      </c>
      <c r="CA319" t="e" cm="1">
        <f t="array" ref="CA319">IF(ISNUMBER(BZ319),AF319/COUNT(IF(ISNUMBER(_xlfn.ANCHORARRAY($BZ$11)),_xlfn.ANCHORARRAY($BZ$11))),NA())</f>
        <v>#N/A</v>
      </c>
      <c r="CB319" t="e">
        <f t="shared" si="118"/>
        <v>#N/A</v>
      </c>
      <c r="CD319" t="e">
        <f t="shared" si="119"/>
        <v>#N/A</v>
      </c>
      <c r="CE319" t="e">
        <f t="shared" si="120"/>
        <v>#N/A</v>
      </c>
      <c r="CG319" t="e">
        <v>#N/A</v>
      </c>
      <c r="CH319" t="e">
        <v>#N/A</v>
      </c>
      <c r="CL319" t="e">
        <f t="shared" si="121"/>
        <v>#N/A</v>
      </c>
      <c r="CM319" t="e">
        <v>#N/A</v>
      </c>
      <c r="CN319" t="e" cm="1">
        <f t="array" ref="CN319">IF(ISNUMBER(CM319),AF319/COUNT(IF(ISNUMBER(_xlfn.ANCHORARRAY($CM$11)),_xlfn.ANCHORARRAY($CM$11))),NA())</f>
        <v>#N/A</v>
      </c>
      <c r="CO319" t="e">
        <f t="shared" si="122"/>
        <v>#N/A</v>
      </c>
      <c r="CQ319" t="e">
        <f t="shared" si="123"/>
        <v>#N/A</v>
      </c>
      <c r="CR319" t="e">
        <f t="shared" si="124"/>
        <v>#N/A</v>
      </c>
      <c r="CT319" t="e">
        <v>#N/A</v>
      </c>
      <c r="CU319" t="e">
        <v>#N/A</v>
      </c>
      <c r="CY319" t="e">
        <f t="shared" si="125"/>
        <v>#N/A</v>
      </c>
      <c r="CZ319" t="e">
        <v>#N/A</v>
      </c>
      <c r="DA319" t="e" cm="1">
        <f t="array" ref="DA319">IF(ISNUMBER(CZ319),AF319/COUNT(IF(ISNUMBER(_xlfn.ANCHORARRAY($CZ$11)),_xlfn.ANCHORARRAY($CZ$11))),NA())</f>
        <v>#N/A</v>
      </c>
      <c r="DB319" t="e">
        <f t="shared" si="126"/>
        <v>#N/A</v>
      </c>
      <c r="DD319" t="e">
        <f t="shared" si="127"/>
        <v>#N/A</v>
      </c>
      <c r="DE319" t="e">
        <f t="shared" si="128"/>
        <v>#N/A</v>
      </c>
      <c r="DG319" t="e">
        <v>#N/A</v>
      </c>
      <c r="DH319" t="e">
        <v>#N/A</v>
      </c>
    </row>
    <row r="320" spans="32:112">
      <c r="AF320">
        <v>310</v>
      </c>
      <c r="AG320" s="401">
        <f>'Lab test'!N313</f>
        <v>77</v>
      </c>
      <c r="AH320" s="401">
        <f>'Lab test'!M313</f>
        <v>2.1</v>
      </c>
      <c r="AI320">
        <f>IF('Lab test'!O313&gt;0,'Lab test'!O313,NA())</f>
        <v>1522</v>
      </c>
      <c r="AJ320">
        <f>'Lab test'!Q313</f>
        <v>36.666666666666664</v>
      </c>
      <c r="AK320" s="401">
        <f>IF('Lab test'!V313&gt;0,'Lab test'!V313,NA())</f>
        <v>180500</v>
      </c>
      <c r="AL320" s="7" t="e">
        <f>IF(MAX('Lab test'!W313,'Lab test'!X313)&gt;0,MAX('Lab test'!W313,'Lab test'!X313),NA())</f>
        <v>#N/A</v>
      </c>
      <c r="AM320" s="401">
        <f>IF('Lab test'!P313&gt;0,'Lab test'!P313,NA())</f>
        <v>3.2642860724460796</v>
      </c>
      <c r="AN320" s="401" t="e">
        <f>IF('Lab test'!AU313&gt;0,'Lab test'!AU313,NA())</f>
        <v>#N/A</v>
      </c>
      <c r="AO320" s="401">
        <f>IF('Lab test'!AT313&gt;0,'Lab test'!AT313,NA())</f>
        <v>9.0518265251719382E-2</v>
      </c>
      <c r="AP320" t="e">
        <f t="shared" si="129"/>
        <v>#N/A</v>
      </c>
      <c r="AQ320" s="401">
        <f>'Lab test'!AZ313</f>
        <v>2019</v>
      </c>
      <c r="AR320" t="str">
        <f>'Lab test'!AC313</f>
        <v>Miscellaneous</v>
      </c>
      <c r="AS320" t="str">
        <f>'Lab test'!T313</f>
        <v>Steel</v>
      </c>
      <c r="AX320" t="e">
        <f t="shared" si="114"/>
        <v>#N/A</v>
      </c>
      <c r="AY320" t="e">
        <f t="shared" si="130"/>
        <v>#N/A</v>
      </c>
      <c r="AZ320" t="e">
        <f t="shared" si="133"/>
        <v>#N/A</v>
      </c>
      <c r="BA320" t="e">
        <f t="shared" si="133"/>
        <v>#N/A</v>
      </c>
      <c r="BB320" t="e">
        <f t="shared" si="133"/>
        <v>#N/A</v>
      </c>
      <c r="BC320" t="e">
        <f t="shared" si="133"/>
        <v>#N/A</v>
      </c>
      <c r="BD320" t="e">
        <f t="shared" si="133"/>
        <v>#N/A</v>
      </c>
      <c r="BG320" t="e">
        <f t="shared" si="115"/>
        <v>#N/A</v>
      </c>
      <c r="BH320" t="e">
        <f t="shared" si="131"/>
        <v>#N/A</v>
      </c>
      <c r="BI320" t="e">
        <f t="shared" si="134"/>
        <v>#N/A</v>
      </c>
      <c r="BJ320" t="e">
        <f t="shared" si="134"/>
        <v>#N/A</v>
      </c>
      <c r="BK320" t="e">
        <f t="shared" si="134"/>
        <v>#N/A</v>
      </c>
      <c r="BL320" t="e">
        <f t="shared" si="134"/>
        <v>#N/A</v>
      </c>
      <c r="BM320" t="e">
        <f t="shared" si="134"/>
        <v>#N/A</v>
      </c>
      <c r="BP320" t="e">
        <f t="shared" si="116"/>
        <v>#N/A</v>
      </c>
      <c r="BQ320" t="e">
        <f t="shared" si="132"/>
        <v>#N/A</v>
      </c>
      <c r="BR320" t="e">
        <f t="shared" si="135"/>
        <v>#N/A</v>
      </c>
      <c r="BS320" t="e">
        <f t="shared" si="135"/>
        <v>#N/A</v>
      </c>
      <c r="BT320" t="e">
        <f t="shared" si="135"/>
        <v>#N/A</v>
      </c>
      <c r="BU320" t="e">
        <f t="shared" si="135"/>
        <v>#N/A</v>
      </c>
      <c r="BV320" t="e">
        <f t="shared" si="135"/>
        <v>#N/A</v>
      </c>
      <c r="BY320" t="e">
        <f t="shared" si="117"/>
        <v>#N/A</v>
      </c>
      <c r="BZ320" t="e">
        <v>#N/A</v>
      </c>
      <c r="CA320" t="e" cm="1">
        <f t="array" ref="CA320">IF(ISNUMBER(BZ320),AF320/COUNT(IF(ISNUMBER(_xlfn.ANCHORARRAY($BZ$11)),_xlfn.ANCHORARRAY($BZ$11))),NA())</f>
        <v>#N/A</v>
      </c>
      <c r="CB320" t="e">
        <f t="shared" si="118"/>
        <v>#N/A</v>
      </c>
      <c r="CD320" t="e">
        <f t="shared" si="119"/>
        <v>#N/A</v>
      </c>
      <c r="CE320" t="e">
        <f t="shared" si="120"/>
        <v>#N/A</v>
      </c>
      <c r="CG320" t="e">
        <v>#N/A</v>
      </c>
      <c r="CH320" t="e">
        <v>#N/A</v>
      </c>
      <c r="CL320" t="e">
        <f t="shared" si="121"/>
        <v>#N/A</v>
      </c>
      <c r="CM320" t="e">
        <v>#N/A</v>
      </c>
      <c r="CN320" t="e" cm="1">
        <f t="array" ref="CN320">IF(ISNUMBER(CM320),AF320/COUNT(IF(ISNUMBER(_xlfn.ANCHORARRAY($CM$11)),_xlfn.ANCHORARRAY($CM$11))),NA())</f>
        <v>#N/A</v>
      </c>
      <c r="CO320" t="e">
        <f t="shared" si="122"/>
        <v>#N/A</v>
      </c>
      <c r="CQ320" t="e">
        <f t="shared" si="123"/>
        <v>#N/A</v>
      </c>
      <c r="CR320" t="e">
        <f t="shared" si="124"/>
        <v>#N/A</v>
      </c>
      <c r="CT320" t="e">
        <v>#N/A</v>
      </c>
      <c r="CU320" t="e">
        <v>#N/A</v>
      </c>
      <c r="CY320" t="e">
        <f t="shared" si="125"/>
        <v>#N/A</v>
      </c>
      <c r="CZ320" t="e">
        <v>#N/A</v>
      </c>
      <c r="DA320" t="e" cm="1">
        <f t="array" ref="DA320">IF(ISNUMBER(CZ320),AF320/COUNT(IF(ISNUMBER(_xlfn.ANCHORARRAY($CZ$11)),_xlfn.ANCHORARRAY($CZ$11))),NA())</f>
        <v>#N/A</v>
      </c>
      <c r="DB320" t="e">
        <f t="shared" si="126"/>
        <v>#N/A</v>
      </c>
      <c r="DD320" t="e">
        <f t="shared" si="127"/>
        <v>#N/A</v>
      </c>
      <c r="DE320" t="e">
        <f t="shared" si="128"/>
        <v>#N/A</v>
      </c>
      <c r="DG320" t="e">
        <v>#N/A</v>
      </c>
      <c r="DH320" t="e">
        <v>#N/A</v>
      </c>
    </row>
    <row r="321" spans="32:112">
      <c r="AF321">
        <v>311</v>
      </c>
      <c r="AG321" s="401">
        <f>'Lab test'!N314</f>
        <v>101.5</v>
      </c>
      <c r="AH321" s="401">
        <f>'Lab test'!M314</f>
        <v>2.1</v>
      </c>
      <c r="AI321">
        <f>IF('Lab test'!O314&gt;0,'Lab test'!O314,NA())</f>
        <v>608</v>
      </c>
      <c r="AJ321">
        <f>'Lab test'!Q314</f>
        <v>48.333333333333329</v>
      </c>
      <c r="AK321" s="401">
        <f>IF('Lab test'!V314&gt;0,'Lab test'!V314,NA())</f>
        <v>180500</v>
      </c>
      <c r="AL321" s="7" t="e">
        <f>IF(MAX('Lab test'!W314,'Lab test'!X314)&gt;0,MAX('Lab test'!W314,'Lab test'!X314),NA())</f>
        <v>#N/A</v>
      </c>
      <c r="AM321" s="401">
        <f>IF('Lab test'!P314&gt;0,'Lab test'!P314,NA())</f>
        <v>0.86161680976289712</v>
      </c>
      <c r="AN321" s="401" t="e">
        <f>IF('Lab test'!AU314&gt;0,'Lab test'!AU314,NA())</f>
        <v>#N/A</v>
      </c>
      <c r="AO321" s="401">
        <f>IF('Lab test'!AT314&gt;0,'Lab test'!AT314,NA())</f>
        <v>0.10967906592544101</v>
      </c>
      <c r="AP321" t="e">
        <f t="shared" si="129"/>
        <v>#N/A</v>
      </c>
      <c r="AQ321" s="401">
        <f>'Lab test'!AZ314</f>
        <v>2019</v>
      </c>
      <c r="AR321" t="str">
        <f>'Lab test'!AC314</f>
        <v>Miscellaneous</v>
      </c>
      <c r="AS321" t="str">
        <f>'Lab test'!T314</f>
        <v>Steel</v>
      </c>
      <c r="AX321" t="e">
        <f t="shared" si="114"/>
        <v>#N/A</v>
      </c>
      <c r="AY321" t="e">
        <f t="shared" si="130"/>
        <v>#N/A</v>
      </c>
      <c r="AZ321" t="e">
        <f t="shared" si="133"/>
        <v>#N/A</v>
      </c>
      <c r="BA321" t="e">
        <f t="shared" si="133"/>
        <v>#N/A</v>
      </c>
      <c r="BB321" t="e">
        <f t="shared" si="133"/>
        <v>#N/A</v>
      </c>
      <c r="BC321" t="e">
        <f t="shared" si="133"/>
        <v>#N/A</v>
      </c>
      <c r="BD321" t="e">
        <f t="shared" si="133"/>
        <v>#N/A</v>
      </c>
      <c r="BG321" t="e">
        <f t="shared" si="115"/>
        <v>#N/A</v>
      </c>
      <c r="BH321" t="e">
        <f t="shared" si="131"/>
        <v>#N/A</v>
      </c>
      <c r="BI321" t="e">
        <f t="shared" si="134"/>
        <v>#N/A</v>
      </c>
      <c r="BJ321" t="e">
        <f t="shared" si="134"/>
        <v>#N/A</v>
      </c>
      <c r="BK321" t="e">
        <f t="shared" si="134"/>
        <v>#N/A</v>
      </c>
      <c r="BL321" t="e">
        <f t="shared" si="134"/>
        <v>#N/A</v>
      </c>
      <c r="BM321" t="e">
        <f t="shared" si="134"/>
        <v>#N/A</v>
      </c>
      <c r="BP321" t="e">
        <f t="shared" si="116"/>
        <v>#N/A</v>
      </c>
      <c r="BQ321" t="e">
        <f t="shared" si="132"/>
        <v>#N/A</v>
      </c>
      <c r="BR321" t="e">
        <f t="shared" si="135"/>
        <v>#N/A</v>
      </c>
      <c r="BS321" t="e">
        <f t="shared" si="135"/>
        <v>#N/A</v>
      </c>
      <c r="BT321" t="e">
        <f t="shared" si="135"/>
        <v>#N/A</v>
      </c>
      <c r="BU321" t="e">
        <f t="shared" si="135"/>
        <v>#N/A</v>
      </c>
      <c r="BV321" t="e">
        <f t="shared" si="135"/>
        <v>#N/A</v>
      </c>
      <c r="BY321" t="e">
        <f t="shared" si="117"/>
        <v>#N/A</v>
      </c>
      <c r="BZ321" t="e">
        <v>#N/A</v>
      </c>
      <c r="CA321" t="e" cm="1">
        <f t="array" ref="CA321">IF(ISNUMBER(BZ321),AF321/COUNT(IF(ISNUMBER(_xlfn.ANCHORARRAY($BZ$11)),_xlfn.ANCHORARRAY($BZ$11))),NA())</f>
        <v>#N/A</v>
      </c>
      <c r="CB321" t="e">
        <f t="shared" si="118"/>
        <v>#N/A</v>
      </c>
      <c r="CD321" t="e">
        <f t="shared" si="119"/>
        <v>#N/A</v>
      </c>
      <c r="CE321" t="e">
        <f t="shared" si="120"/>
        <v>#N/A</v>
      </c>
      <c r="CG321" t="e">
        <v>#N/A</v>
      </c>
      <c r="CH321" t="e">
        <v>#N/A</v>
      </c>
      <c r="CL321" t="e">
        <f t="shared" si="121"/>
        <v>#N/A</v>
      </c>
      <c r="CM321" t="e">
        <v>#N/A</v>
      </c>
      <c r="CN321" t="e" cm="1">
        <f t="array" ref="CN321">IF(ISNUMBER(CM321),AF321/COUNT(IF(ISNUMBER(_xlfn.ANCHORARRAY($CM$11)),_xlfn.ANCHORARRAY($CM$11))),NA())</f>
        <v>#N/A</v>
      </c>
      <c r="CO321" t="e">
        <f t="shared" si="122"/>
        <v>#N/A</v>
      </c>
      <c r="CQ321" t="e">
        <f t="shared" si="123"/>
        <v>#N/A</v>
      </c>
      <c r="CR321" t="e">
        <f t="shared" si="124"/>
        <v>#N/A</v>
      </c>
      <c r="CT321" t="e">
        <v>#N/A</v>
      </c>
      <c r="CU321" t="e">
        <v>#N/A</v>
      </c>
      <c r="CY321" t="e">
        <f t="shared" si="125"/>
        <v>#N/A</v>
      </c>
      <c r="CZ321" t="e">
        <v>#N/A</v>
      </c>
      <c r="DA321" t="e" cm="1">
        <f t="array" ref="DA321">IF(ISNUMBER(CZ321),AF321/COUNT(IF(ISNUMBER(_xlfn.ANCHORARRAY($CZ$11)),_xlfn.ANCHORARRAY($CZ$11))),NA())</f>
        <v>#N/A</v>
      </c>
      <c r="DB321" t="e">
        <f t="shared" si="126"/>
        <v>#N/A</v>
      </c>
      <c r="DD321" t="e">
        <f t="shared" si="127"/>
        <v>#N/A</v>
      </c>
      <c r="DE321" t="e">
        <f t="shared" si="128"/>
        <v>#N/A</v>
      </c>
      <c r="DG321" t="e">
        <v>#N/A</v>
      </c>
      <c r="DH321" t="e">
        <v>#N/A</v>
      </c>
    </row>
    <row r="322" spans="32:112">
      <c r="AF322">
        <v>312</v>
      </c>
      <c r="AG322" s="401">
        <f>'Lab test'!N315</f>
        <v>101.5</v>
      </c>
      <c r="AH322" s="401">
        <f>'Lab test'!M315</f>
        <v>2.1</v>
      </c>
      <c r="AI322">
        <f>IF('Lab test'!O315&gt;0,'Lab test'!O315,NA())</f>
        <v>2030</v>
      </c>
      <c r="AJ322">
        <f>'Lab test'!Q315</f>
        <v>48.333333333333329</v>
      </c>
      <c r="AK322" s="401">
        <f>IF('Lab test'!V315&gt;0,'Lab test'!V315,NA())</f>
        <v>180500</v>
      </c>
      <c r="AL322" s="7" t="e">
        <f>IF(MAX('Lab test'!W315,'Lab test'!X315)&gt;0,MAX('Lab test'!W315,'Lab test'!X315),NA())</f>
        <v>#N/A</v>
      </c>
      <c r="AM322" s="401">
        <f>IF('Lab test'!P315&gt;0,'Lab test'!P315,NA())</f>
        <v>2.8767798089123047</v>
      </c>
      <c r="AN322" s="401" t="e">
        <f>IF('Lab test'!AU315&gt;0,'Lab test'!AU315,NA())</f>
        <v>#N/A</v>
      </c>
      <c r="AO322" s="401">
        <f>IF('Lab test'!AT315&gt;0,'Lab test'!AT315,NA())</f>
        <v>0.11562552130694083</v>
      </c>
      <c r="AP322" t="e">
        <f t="shared" si="129"/>
        <v>#N/A</v>
      </c>
      <c r="AQ322" s="401">
        <f>'Lab test'!AZ315</f>
        <v>2019</v>
      </c>
      <c r="AR322" t="str">
        <f>'Lab test'!AC315</f>
        <v>Miscellaneous</v>
      </c>
      <c r="AS322" t="str">
        <f>'Lab test'!T315</f>
        <v>Steel</v>
      </c>
      <c r="AX322" t="e">
        <f t="shared" si="114"/>
        <v>#N/A</v>
      </c>
      <c r="AY322" t="e">
        <f t="shared" si="130"/>
        <v>#N/A</v>
      </c>
      <c r="AZ322" t="e">
        <f t="shared" si="133"/>
        <v>#N/A</v>
      </c>
      <c r="BA322" t="e">
        <f t="shared" si="133"/>
        <v>#N/A</v>
      </c>
      <c r="BB322" t="e">
        <f t="shared" si="133"/>
        <v>#N/A</v>
      </c>
      <c r="BC322" t="e">
        <f t="shared" si="133"/>
        <v>#N/A</v>
      </c>
      <c r="BD322" t="e">
        <f t="shared" si="133"/>
        <v>#N/A</v>
      </c>
      <c r="BG322" t="e">
        <f t="shared" si="115"/>
        <v>#N/A</v>
      </c>
      <c r="BH322" t="e">
        <f t="shared" si="131"/>
        <v>#N/A</v>
      </c>
      <c r="BI322" t="e">
        <f t="shared" si="134"/>
        <v>#N/A</v>
      </c>
      <c r="BJ322" t="e">
        <f t="shared" si="134"/>
        <v>#N/A</v>
      </c>
      <c r="BK322" t="e">
        <f t="shared" si="134"/>
        <v>#N/A</v>
      </c>
      <c r="BL322" t="e">
        <f t="shared" si="134"/>
        <v>#N/A</v>
      </c>
      <c r="BM322" t="e">
        <f t="shared" si="134"/>
        <v>#N/A</v>
      </c>
      <c r="BP322" t="e">
        <f t="shared" si="116"/>
        <v>#N/A</v>
      </c>
      <c r="BQ322" t="e">
        <f t="shared" si="132"/>
        <v>#N/A</v>
      </c>
      <c r="BR322" t="e">
        <f t="shared" si="135"/>
        <v>#N/A</v>
      </c>
      <c r="BS322" t="e">
        <f t="shared" si="135"/>
        <v>#N/A</v>
      </c>
      <c r="BT322" t="e">
        <f t="shared" si="135"/>
        <v>#N/A</v>
      </c>
      <c r="BU322" t="e">
        <f t="shared" si="135"/>
        <v>#N/A</v>
      </c>
      <c r="BV322" t="e">
        <f t="shared" si="135"/>
        <v>#N/A</v>
      </c>
      <c r="BY322" t="e">
        <f t="shared" si="117"/>
        <v>#N/A</v>
      </c>
      <c r="BZ322" t="e">
        <v>#N/A</v>
      </c>
      <c r="CA322" t="e" cm="1">
        <f t="array" ref="CA322">IF(ISNUMBER(BZ322),AF322/COUNT(IF(ISNUMBER(_xlfn.ANCHORARRAY($BZ$11)),_xlfn.ANCHORARRAY($BZ$11))),NA())</f>
        <v>#N/A</v>
      </c>
      <c r="CB322" t="e">
        <f t="shared" si="118"/>
        <v>#N/A</v>
      </c>
      <c r="CD322" t="e">
        <f t="shared" si="119"/>
        <v>#N/A</v>
      </c>
      <c r="CE322" t="e">
        <f t="shared" si="120"/>
        <v>#N/A</v>
      </c>
      <c r="CG322" t="e">
        <v>#N/A</v>
      </c>
      <c r="CH322" t="e">
        <v>#N/A</v>
      </c>
      <c r="CL322" t="e">
        <f t="shared" si="121"/>
        <v>#N/A</v>
      </c>
      <c r="CM322" t="e">
        <v>#N/A</v>
      </c>
      <c r="CN322" t="e" cm="1">
        <f t="array" ref="CN322">IF(ISNUMBER(CM322),AF322/COUNT(IF(ISNUMBER(_xlfn.ANCHORARRAY($CM$11)),_xlfn.ANCHORARRAY($CM$11))),NA())</f>
        <v>#N/A</v>
      </c>
      <c r="CO322" t="e">
        <f t="shared" si="122"/>
        <v>#N/A</v>
      </c>
      <c r="CQ322" t="e">
        <f t="shared" si="123"/>
        <v>#N/A</v>
      </c>
      <c r="CR322" t="e">
        <f t="shared" si="124"/>
        <v>#N/A</v>
      </c>
      <c r="CT322" t="e">
        <v>#N/A</v>
      </c>
      <c r="CU322" t="e">
        <v>#N/A</v>
      </c>
      <c r="CY322" t="e">
        <f t="shared" si="125"/>
        <v>#N/A</v>
      </c>
      <c r="CZ322" t="e">
        <v>#N/A</v>
      </c>
      <c r="DA322" t="e" cm="1">
        <f t="array" ref="DA322">IF(ISNUMBER(CZ322),AF322/COUNT(IF(ISNUMBER(_xlfn.ANCHORARRAY($CZ$11)),_xlfn.ANCHORARRAY($CZ$11))),NA())</f>
        <v>#N/A</v>
      </c>
      <c r="DB322" t="e">
        <f t="shared" si="126"/>
        <v>#N/A</v>
      </c>
      <c r="DD322" t="e">
        <f t="shared" si="127"/>
        <v>#N/A</v>
      </c>
      <c r="DE322" t="e">
        <f t="shared" si="128"/>
        <v>#N/A</v>
      </c>
      <c r="DG322" t="e">
        <v>#N/A</v>
      </c>
      <c r="DH322" t="e">
        <v>#N/A</v>
      </c>
    </row>
    <row r="323" spans="32:112">
      <c r="AF323">
        <v>313</v>
      </c>
      <c r="AG323" s="401">
        <f>'Lab test'!N316</f>
        <v>127</v>
      </c>
      <c r="AH323" s="401">
        <f>'Lab test'!M316</f>
        <v>2.1</v>
      </c>
      <c r="AI323">
        <f>IF('Lab test'!O316&gt;0,'Lab test'!O316,NA())</f>
        <v>762</v>
      </c>
      <c r="AJ323">
        <f>'Lab test'!Q316</f>
        <v>60.476190476190474</v>
      </c>
      <c r="AK323" s="401">
        <f>IF('Lab test'!V316&gt;0,'Lab test'!V316,NA())</f>
        <v>180500</v>
      </c>
      <c r="AL323" s="7" t="e">
        <f>IF(MAX('Lab test'!W316,'Lab test'!X316)&gt;0,MAX('Lab test'!W316,'Lab test'!X316),NA())</f>
        <v>#N/A</v>
      </c>
      <c r="AM323" s="401">
        <f>IF('Lab test'!P316&gt;0,'Lab test'!P316,NA())</f>
        <v>0.77154104916795008</v>
      </c>
      <c r="AN323" s="401" t="e">
        <f>IF('Lab test'!AU316&gt;0,'Lab test'!AU316,NA())</f>
        <v>#N/A</v>
      </c>
      <c r="AO323" s="401">
        <f>IF('Lab test'!AT316&gt;0,'Lab test'!AT316,NA())</f>
        <v>0.13379524608374582</v>
      </c>
      <c r="AP323" t="e">
        <f t="shared" si="129"/>
        <v>#N/A</v>
      </c>
      <c r="AQ323" s="401">
        <f>'Lab test'!AZ316</f>
        <v>2019</v>
      </c>
      <c r="AR323" t="str">
        <f>'Lab test'!AC316</f>
        <v>Miscellaneous</v>
      </c>
      <c r="AS323" t="str">
        <f>'Lab test'!T316</f>
        <v>Steel</v>
      </c>
      <c r="AX323" t="e">
        <f t="shared" si="114"/>
        <v>#N/A</v>
      </c>
      <c r="AY323" t="e">
        <f t="shared" si="130"/>
        <v>#N/A</v>
      </c>
      <c r="AZ323" t="e">
        <f t="shared" si="133"/>
        <v>#N/A</v>
      </c>
      <c r="BA323" t="e">
        <f t="shared" si="133"/>
        <v>#N/A</v>
      </c>
      <c r="BB323" t="e">
        <f t="shared" si="133"/>
        <v>#N/A</v>
      </c>
      <c r="BC323" t="e">
        <f t="shared" si="133"/>
        <v>#N/A</v>
      </c>
      <c r="BD323" t="e">
        <f t="shared" si="133"/>
        <v>#N/A</v>
      </c>
      <c r="BG323" t="e">
        <f t="shared" si="115"/>
        <v>#N/A</v>
      </c>
      <c r="BH323" t="e">
        <f t="shared" si="131"/>
        <v>#N/A</v>
      </c>
      <c r="BI323" t="e">
        <f t="shared" si="134"/>
        <v>#N/A</v>
      </c>
      <c r="BJ323" t="e">
        <f t="shared" si="134"/>
        <v>#N/A</v>
      </c>
      <c r="BK323" t="e">
        <f t="shared" si="134"/>
        <v>#N/A</v>
      </c>
      <c r="BL323" t="e">
        <f t="shared" si="134"/>
        <v>#N/A</v>
      </c>
      <c r="BM323" t="e">
        <f t="shared" si="134"/>
        <v>#N/A</v>
      </c>
      <c r="BP323" t="e">
        <f t="shared" si="116"/>
        <v>#N/A</v>
      </c>
      <c r="BQ323" t="e">
        <f t="shared" si="132"/>
        <v>#N/A</v>
      </c>
      <c r="BR323" t="e">
        <f t="shared" si="135"/>
        <v>#N/A</v>
      </c>
      <c r="BS323" t="e">
        <f t="shared" si="135"/>
        <v>#N/A</v>
      </c>
      <c r="BT323" t="e">
        <f t="shared" si="135"/>
        <v>#N/A</v>
      </c>
      <c r="BU323" t="e">
        <f t="shared" si="135"/>
        <v>#N/A</v>
      </c>
      <c r="BV323" t="e">
        <f t="shared" si="135"/>
        <v>#N/A</v>
      </c>
      <c r="BY323" t="e">
        <f t="shared" si="117"/>
        <v>#N/A</v>
      </c>
      <c r="BZ323" t="e">
        <v>#N/A</v>
      </c>
      <c r="CA323" t="e" cm="1">
        <f t="array" ref="CA323">IF(ISNUMBER(BZ323),AF323/COUNT(IF(ISNUMBER(_xlfn.ANCHORARRAY($BZ$11)),_xlfn.ANCHORARRAY($BZ$11))),NA())</f>
        <v>#N/A</v>
      </c>
      <c r="CB323" t="e">
        <f t="shared" si="118"/>
        <v>#N/A</v>
      </c>
      <c r="CD323" t="e">
        <f t="shared" si="119"/>
        <v>#N/A</v>
      </c>
      <c r="CE323" t="e">
        <f t="shared" si="120"/>
        <v>#N/A</v>
      </c>
      <c r="CG323" t="e">
        <v>#N/A</v>
      </c>
      <c r="CH323" t="e">
        <v>#N/A</v>
      </c>
      <c r="CL323" t="e">
        <f t="shared" si="121"/>
        <v>#N/A</v>
      </c>
      <c r="CM323" t="e">
        <v>#N/A</v>
      </c>
      <c r="CN323" t="e" cm="1">
        <f t="array" ref="CN323">IF(ISNUMBER(CM323),AF323/COUNT(IF(ISNUMBER(_xlfn.ANCHORARRAY($CM$11)),_xlfn.ANCHORARRAY($CM$11))),NA())</f>
        <v>#N/A</v>
      </c>
      <c r="CO323" t="e">
        <f t="shared" si="122"/>
        <v>#N/A</v>
      </c>
      <c r="CQ323" t="e">
        <f t="shared" si="123"/>
        <v>#N/A</v>
      </c>
      <c r="CR323" t="e">
        <f t="shared" si="124"/>
        <v>#N/A</v>
      </c>
      <c r="CT323" t="e">
        <v>#N/A</v>
      </c>
      <c r="CU323" t="e">
        <v>#N/A</v>
      </c>
      <c r="CY323" t="e">
        <f t="shared" si="125"/>
        <v>#N/A</v>
      </c>
      <c r="CZ323" t="e">
        <v>#N/A</v>
      </c>
      <c r="DA323" t="e" cm="1">
        <f t="array" ref="DA323">IF(ISNUMBER(CZ323),AF323/COUNT(IF(ISNUMBER(_xlfn.ANCHORARRAY($CZ$11)),_xlfn.ANCHORARRAY($CZ$11))),NA())</f>
        <v>#N/A</v>
      </c>
      <c r="DB323" t="e">
        <f t="shared" si="126"/>
        <v>#N/A</v>
      </c>
      <c r="DD323" t="e">
        <f t="shared" si="127"/>
        <v>#N/A</v>
      </c>
      <c r="DE323" t="e">
        <f t="shared" si="128"/>
        <v>#N/A</v>
      </c>
      <c r="DG323" t="e">
        <v>#N/A</v>
      </c>
      <c r="DH323" t="e">
        <v>#N/A</v>
      </c>
    </row>
    <row r="324" spans="32:112">
      <c r="AF324">
        <v>314</v>
      </c>
      <c r="AG324" s="401">
        <f>'Lab test'!N317</f>
        <v>127</v>
      </c>
      <c r="AH324" s="401">
        <f>'Lab test'!M317</f>
        <v>2.1</v>
      </c>
      <c r="AI324">
        <f>IF('Lab test'!O317&gt;0,'Lab test'!O317,NA())</f>
        <v>2537</v>
      </c>
      <c r="AJ324">
        <f>'Lab test'!Q317</f>
        <v>60.476190476190474</v>
      </c>
      <c r="AK324" s="401">
        <f>IF('Lab test'!V317&gt;0,'Lab test'!V317,NA())</f>
        <v>180500</v>
      </c>
      <c r="AL324" s="7" t="e">
        <f>IF(MAX('Lab test'!W317,'Lab test'!X317)&gt;0,MAX('Lab test'!W317,'Lab test'!X317),NA())</f>
        <v>#N/A</v>
      </c>
      <c r="AM324" s="401">
        <f>IF('Lab test'!P317&gt;0,'Lab test'!P317,NA())</f>
        <v>2.5687659340407993</v>
      </c>
      <c r="AN324" s="401" t="e">
        <f>IF('Lab test'!AU317&gt;0,'Lab test'!AU317,NA())</f>
        <v>#N/A</v>
      </c>
      <c r="AO324" s="401">
        <f>IF('Lab test'!AT317&gt;0,'Lab test'!AT317,NA())</f>
        <v>0.13049165976069035</v>
      </c>
      <c r="AP324" t="e">
        <f t="shared" si="129"/>
        <v>#N/A</v>
      </c>
      <c r="AQ324" s="401">
        <f>'Lab test'!AZ317</f>
        <v>2019</v>
      </c>
      <c r="AR324" t="str">
        <f>'Lab test'!AC317</f>
        <v>Miscellaneous</v>
      </c>
      <c r="AS324" t="str">
        <f>'Lab test'!T317</f>
        <v>Steel</v>
      </c>
      <c r="AX324" t="e">
        <f t="shared" si="114"/>
        <v>#N/A</v>
      </c>
      <c r="AY324" t="e">
        <f t="shared" si="130"/>
        <v>#N/A</v>
      </c>
      <c r="AZ324" t="e">
        <f t="shared" si="133"/>
        <v>#N/A</v>
      </c>
      <c r="BA324" t="e">
        <f t="shared" si="133"/>
        <v>#N/A</v>
      </c>
      <c r="BB324" t="e">
        <f t="shared" si="133"/>
        <v>#N/A</v>
      </c>
      <c r="BC324" t="e">
        <f t="shared" si="133"/>
        <v>#N/A</v>
      </c>
      <c r="BD324" t="e">
        <f t="shared" si="133"/>
        <v>#N/A</v>
      </c>
      <c r="BG324" t="e">
        <f t="shared" si="115"/>
        <v>#N/A</v>
      </c>
      <c r="BH324" t="e">
        <f t="shared" si="131"/>
        <v>#N/A</v>
      </c>
      <c r="BI324" t="e">
        <f t="shared" si="134"/>
        <v>#N/A</v>
      </c>
      <c r="BJ324" t="e">
        <f t="shared" si="134"/>
        <v>#N/A</v>
      </c>
      <c r="BK324" t="e">
        <f t="shared" si="134"/>
        <v>#N/A</v>
      </c>
      <c r="BL324" t="e">
        <f t="shared" si="134"/>
        <v>#N/A</v>
      </c>
      <c r="BM324" t="e">
        <f t="shared" si="134"/>
        <v>#N/A</v>
      </c>
      <c r="BP324" t="e">
        <f t="shared" si="116"/>
        <v>#N/A</v>
      </c>
      <c r="BQ324" t="e">
        <f t="shared" si="132"/>
        <v>#N/A</v>
      </c>
      <c r="BR324" t="e">
        <f t="shared" si="135"/>
        <v>#N/A</v>
      </c>
      <c r="BS324" t="e">
        <f t="shared" si="135"/>
        <v>#N/A</v>
      </c>
      <c r="BT324" t="e">
        <f t="shared" si="135"/>
        <v>#N/A</v>
      </c>
      <c r="BU324" t="e">
        <f t="shared" si="135"/>
        <v>#N/A</v>
      </c>
      <c r="BV324" t="e">
        <f t="shared" si="135"/>
        <v>#N/A</v>
      </c>
      <c r="BY324" t="e">
        <f t="shared" si="117"/>
        <v>#N/A</v>
      </c>
      <c r="BZ324" t="e">
        <v>#N/A</v>
      </c>
      <c r="CA324" t="e" cm="1">
        <f t="array" ref="CA324">IF(ISNUMBER(BZ324),AF324/COUNT(IF(ISNUMBER(_xlfn.ANCHORARRAY($BZ$11)),_xlfn.ANCHORARRAY($BZ$11))),NA())</f>
        <v>#N/A</v>
      </c>
      <c r="CB324" t="e">
        <f t="shared" si="118"/>
        <v>#N/A</v>
      </c>
      <c r="CD324" t="e">
        <f t="shared" si="119"/>
        <v>#N/A</v>
      </c>
      <c r="CE324" t="e">
        <f t="shared" si="120"/>
        <v>#N/A</v>
      </c>
      <c r="CG324" t="e">
        <v>#N/A</v>
      </c>
      <c r="CH324" t="e">
        <v>#N/A</v>
      </c>
      <c r="CL324" t="e">
        <f t="shared" si="121"/>
        <v>#N/A</v>
      </c>
      <c r="CM324" t="e">
        <v>#N/A</v>
      </c>
      <c r="CN324" t="e" cm="1">
        <f t="array" ref="CN324">IF(ISNUMBER(CM324),AF324/COUNT(IF(ISNUMBER(_xlfn.ANCHORARRAY($CM$11)),_xlfn.ANCHORARRAY($CM$11))),NA())</f>
        <v>#N/A</v>
      </c>
      <c r="CO324" t="e">
        <f t="shared" si="122"/>
        <v>#N/A</v>
      </c>
      <c r="CQ324" t="e">
        <f t="shared" si="123"/>
        <v>#N/A</v>
      </c>
      <c r="CR324" t="e">
        <f t="shared" si="124"/>
        <v>#N/A</v>
      </c>
      <c r="CT324" t="e">
        <v>#N/A</v>
      </c>
      <c r="CU324" t="e">
        <v>#N/A</v>
      </c>
      <c r="CY324" t="e">
        <f t="shared" si="125"/>
        <v>#N/A</v>
      </c>
      <c r="CZ324" t="e">
        <v>#N/A</v>
      </c>
      <c r="DA324" t="e" cm="1">
        <f t="array" ref="DA324">IF(ISNUMBER(CZ324),AF324/COUNT(IF(ISNUMBER(_xlfn.ANCHORARRAY($CZ$11)),_xlfn.ANCHORARRAY($CZ$11))),NA())</f>
        <v>#N/A</v>
      </c>
      <c r="DB324" t="e">
        <f t="shared" si="126"/>
        <v>#N/A</v>
      </c>
      <c r="DD324" t="e">
        <f t="shared" si="127"/>
        <v>#N/A</v>
      </c>
      <c r="DE324" t="e">
        <f t="shared" si="128"/>
        <v>#N/A</v>
      </c>
      <c r="DG324" t="e">
        <v>#N/A</v>
      </c>
      <c r="DH324" t="e">
        <v>#N/A</v>
      </c>
    </row>
    <row r="325" spans="32:112">
      <c r="AF325">
        <v>315</v>
      </c>
      <c r="AG325" s="401">
        <f>'Lab test'!N318</f>
        <v>154.30500000000001</v>
      </c>
      <c r="AH325" s="401">
        <f>'Lab test'!M318</f>
        <v>3.0226000000000002</v>
      </c>
      <c r="AI325">
        <f>IF('Lab test'!O318&gt;0,'Lab test'!O318,NA())</f>
        <v>9144</v>
      </c>
      <c r="AJ325">
        <f>'Lab test'!Q318</f>
        <v>51.050420000000003</v>
      </c>
      <c r="AK325" s="401">
        <f>IF('Lab test'!V318&gt;0,'Lab test'!V318,NA())</f>
        <v>197123.02584555556</v>
      </c>
      <c r="AL325" s="7">
        <f>IF(MAX('Lab test'!W318,'Lab test'!X318)&gt;0,MAX('Lab test'!W318,'Lab test'!X318),NA())</f>
        <v>239.9376</v>
      </c>
      <c r="AM325" s="401">
        <f>IF('Lab test'!P318&gt;0,'Lab test'!P318,NA())</f>
        <v>8.2938572851319332</v>
      </c>
      <c r="AN325" s="401">
        <f>IF('Lab test'!AU318&gt;0,'Lab test'!AU318,NA())</f>
        <v>0.85632181033735433</v>
      </c>
      <c r="AO325" s="401">
        <f>IF('Lab test'!AT318&gt;0,'Lab test'!AT318,NA())</f>
        <v>8.7918162649678389E-2</v>
      </c>
      <c r="AP325">
        <f t="shared" si="129"/>
        <v>1</v>
      </c>
      <c r="AQ325" s="401">
        <f>'Lab test'!AZ318</f>
        <v>1937</v>
      </c>
      <c r="AR325" t="str">
        <f>'Lab test'!AC318</f>
        <v>CLTW</v>
      </c>
      <c r="AS325" t="str">
        <f>'Lab test'!T318</f>
        <v>Steel</v>
      </c>
      <c r="AX325" t="e">
        <f t="shared" si="114"/>
        <v>#N/A</v>
      </c>
      <c r="AY325" t="e">
        <f t="shared" si="130"/>
        <v>#N/A</v>
      </c>
      <c r="AZ325" t="e">
        <f t="shared" si="133"/>
        <v>#N/A</v>
      </c>
      <c r="BA325" t="e">
        <f t="shared" si="133"/>
        <v>#N/A</v>
      </c>
      <c r="BB325" t="e">
        <f t="shared" si="133"/>
        <v>#N/A</v>
      </c>
      <c r="BC325" t="e">
        <f t="shared" si="133"/>
        <v>#N/A</v>
      </c>
      <c r="BD325" t="e">
        <f t="shared" si="133"/>
        <v>#N/A</v>
      </c>
      <c r="BG325" t="e">
        <f t="shared" si="115"/>
        <v>#N/A</v>
      </c>
      <c r="BH325" t="e">
        <f t="shared" si="131"/>
        <v>#N/A</v>
      </c>
      <c r="BI325" t="e">
        <f t="shared" si="134"/>
        <v>#N/A</v>
      </c>
      <c r="BJ325" t="e">
        <f t="shared" si="134"/>
        <v>#N/A</v>
      </c>
      <c r="BK325" t="e">
        <f t="shared" si="134"/>
        <v>#N/A</v>
      </c>
      <c r="BL325" t="e">
        <f t="shared" si="134"/>
        <v>#N/A</v>
      </c>
      <c r="BM325" t="e">
        <f t="shared" si="134"/>
        <v>#N/A</v>
      </c>
      <c r="BP325" t="e">
        <f t="shared" si="116"/>
        <v>#N/A</v>
      </c>
      <c r="BQ325" t="e">
        <f t="shared" si="132"/>
        <v>#N/A</v>
      </c>
      <c r="BR325" t="e">
        <f t="shared" si="135"/>
        <v>#N/A</v>
      </c>
      <c r="BS325" t="e">
        <f t="shared" si="135"/>
        <v>#N/A</v>
      </c>
      <c r="BT325" t="e">
        <f t="shared" si="135"/>
        <v>#N/A</v>
      </c>
      <c r="BU325" t="e">
        <f t="shared" si="135"/>
        <v>#N/A</v>
      </c>
      <c r="BV325" t="e">
        <f t="shared" si="135"/>
        <v>#N/A</v>
      </c>
      <c r="BY325" t="e">
        <f t="shared" si="117"/>
        <v>#N/A</v>
      </c>
      <c r="BZ325" t="e">
        <v>#N/A</v>
      </c>
      <c r="CA325" t="e" cm="1">
        <f t="array" ref="CA325">IF(ISNUMBER(BZ325),AF325/COUNT(IF(ISNUMBER(_xlfn.ANCHORARRAY($BZ$11)),_xlfn.ANCHORARRAY($BZ$11))),NA())</f>
        <v>#N/A</v>
      </c>
      <c r="CB325" t="e">
        <f t="shared" si="118"/>
        <v>#N/A</v>
      </c>
      <c r="CD325" t="e">
        <f t="shared" si="119"/>
        <v>#N/A</v>
      </c>
      <c r="CE325" t="e">
        <f t="shared" si="120"/>
        <v>#N/A</v>
      </c>
      <c r="CG325" t="e">
        <v>#N/A</v>
      </c>
      <c r="CH325" t="e">
        <v>#N/A</v>
      </c>
      <c r="CL325" t="e">
        <f t="shared" si="121"/>
        <v>#N/A</v>
      </c>
      <c r="CM325" t="e">
        <v>#N/A</v>
      </c>
      <c r="CN325" t="e" cm="1">
        <f t="array" ref="CN325">IF(ISNUMBER(CM325),AF325/COUNT(IF(ISNUMBER(_xlfn.ANCHORARRAY($CM$11)),_xlfn.ANCHORARRAY($CM$11))),NA())</f>
        <v>#N/A</v>
      </c>
      <c r="CO325" t="e">
        <f t="shared" si="122"/>
        <v>#N/A</v>
      </c>
      <c r="CQ325" t="e">
        <f t="shared" si="123"/>
        <v>#N/A</v>
      </c>
      <c r="CR325" t="e">
        <f t="shared" si="124"/>
        <v>#N/A</v>
      </c>
      <c r="CT325" t="e">
        <v>#N/A</v>
      </c>
      <c r="CU325" t="e">
        <v>#N/A</v>
      </c>
      <c r="CY325" t="e">
        <f t="shared" si="125"/>
        <v>#N/A</v>
      </c>
      <c r="CZ325" t="e">
        <v>#N/A</v>
      </c>
      <c r="DA325" t="e" cm="1">
        <f t="array" ref="DA325">IF(ISNUMBER(CZ325),AF325/COUNT(IF(ISNUMBER(_xlfn.ANCHORARRAY($CZ$11)),_xlfn.ANCHORARRAY($CZ$11))),NA())</f>
        <v>#N/A</v>
      </c>
      <c r="DB325" t="e">
        <f t="shared" si="126"/>
        <v>#N/A</v>
      </c>
      <c r="DD325" t="e">
        <f t="shared" si="127"/>
        <v>#N/A</v>
      </c>
      <c r="DE325" t="e">
        <f t="shared" si="128"/>
        <v>#N/A</v>
      </c>
      <c r="DG325" t="e">
        <v>#N/A</v>
      </c>
      <c r="DH325" t="e">
        <v>#N/A</v>
      </c>
    </row>
    <row r="326" spans="32:112">
      <c r="AF326">
        <v>316</v>
      </c>
      <c r="AG326" s="401">
        <f>'Lab test'!N319</f>
        <v>153.92400000000001</v>
      </c>
      <c r="AH326" s="401">
        <f>'Lab test'!M319</f>
        <v>2.9971999999999999</v>
      </c>
      <c r="AI326">
        <f>IF('Lab test'!O319&gt;0,'Lab test'!O319,NA())</f>
        <v>9144</v>
      </c>
      <c r="AJ326">
        <f>'Lab test'!Q319</f>
        <v>51.355930000000001</v>
      </c>
      <c r="AK326" s="401">
        <f>IF('Lab test'!V319&gt;0,'Lab test'!V319,NA())</f>
        <v>197123.02584555556</v>
      </c>
      <c r="AL326" s="7">
        <f>IF(MAX('Lab test'!W319,'Lab test'!X319)&gt;0,MAX('Lab test'!W319,'Lab test'!X319),NA())</f>
        <v>234.42169999999999</v>
      </c>
      <c r="AM326" s="401">
        <f>IF('Lab test'!P319&gt;0,'Lab test'!P319,NA())</f>
        <v>8.2896189582680577</v>
      </c>
      <c r="AN326" s="401">
        <f>IF('Lab test'!AU319&gt;0,'Lab test'!AU319,NA())</f>
        <v>0.72647071495514282</v>
      </c>
      <c r="AO326" s="401">
        <f>IF('Lab test'!AT319&gt;0,'Lab test'!AT319,NA())</f>
        <v>7.3307854036667397E-2</v>
      </c>
      <c r="AP326">
        <f t="shared" si="129"/>
        <v>1</v>
      </c>
      <c r="AQ326" s="401">
        <f>'Lab test'!AZ319</f>
        <v>1937</v>
      </c>
      <c r="AR326" t="str">
        <f>'Lab test'!AC319</f>
        <v>CLTW</v>
      </c>
      <c r="AS326" t="str">
        <f>'Lab test'!T319</f>
        <v>Steel</v>
      </c>
      <c r="AX326" t="e">
        <f t="shared" si="114"/>
        <v>#N/A</v>
      </c>
      <c r="AY326" t="e">
        <f t="shared" si="130"/>
        <v>#N/A</v>
      </c>
      <c r="AZ326" t="e">
        <f t="shared" si="133"/>
        <v>#N/A</v>
      </c>
      <c r="BA326" t="e">
        <f t="shared" si="133"/>
        <v>#N/A</v>
      </c>
      <c r="BB326" t="e">
        <f t="shared" si="133"/>
        <v>#N/A</v>
      </c>
      <c r="BC326" t="e">
        <f t="shared" si="133"/>
        <v>#N/A</v>
      </c>
      <c r="BD326" t="e">
        <f t="shared" si="133"/>
        <v>#N/A</v>
      </c>
      <c r="BG326" t="e">
        <f t="shared" si="115"/>
        <v>#N/A</v>
      </c>
      <c r="BH326" t="e">
        <f t="shared" si="131"/>
        <v>#N/A</v>
      </c>
      <c r="BI326" t="e">
        <f t="shared" si="134"/>
        <v>#N/A</v>
      </c>
      <c r="BJ326" t="e">
        <f t="shared" si="134"/>
        <v>#N/A</v>
      </c>
      <c r="BK326" t="e">
        <f t="shared" si="134"/>
        <v>#N/A</v>
      </c>
      <c r="BL326" t="e">
        <f t="shared" si="134"/>
        <v>#N/A</v>
      </c>
      <c r="BM326" t="e">
        <f t="shared" si="134"/>
        <v>#N/A</v>
      </c>
      <c r="BP326" t="e">
        <f t="shared" si="116"/>
        <v>#N/A</v>
      </c>
      <c r="BQ326" t="e">
        <f t="shared" si="132"/>
        <v>#N/A</v>
      </c>
      <c r="BR326" t="e">
        <f t="shared" si="135"/>
        <v>#N/A</v>
      </c>
      <c r="BS326" t="e">
        <f t="shared" si="135"/>
        <v>#N/A</v>
      </c>
      <c r="BT326" t="e">
        <f t="shared" si="135"/>
        <v>#N/A</v>
      </c>
      <c r="BU326" t="e">
        <f t="shared" si="135"/>
        <v>#N/A</v>
      </c>
      <c r="BV326" t="e">
        <f t="shared" si="135"/>
        <v>#N/A</v>
      </c>
      <c r="BY326" t="e">
        <f t="shared" si="117"/>
        <v>#N/A</v>
      </c>
      <c r="BZ326" t="e">
        <v>#N/A</v>
      </c>
      <c r="CA326" t="e" cm="1">
        <f t="array" ref="CA326">IF(ISNUMBER(BZ326),AF326/COUNT(IF(ISNUMBER(_xlfn.ANCHORARRAY($BZ$11)),_xlfn.ANCHORARRAY($BZ$11))),NA())</f>
        <v>#N/A</v>
      </c>
      <c r="CB326" t="e">
        <f t="shared" si="118"/>
        <v>#N/A</v>
      </c>
      <c r="CD326" t="e">
        <f t="shared" si="119"/>
        <v>#N/A</v>
      </c>
      <c r="CE326" t="e">
        <f t="shared" si="120"/>
        <v>#N/A</v>
      </c>
      <c r="CG326" t="e">
        <v>#N/A</v>
      </c>
      <c r="CH326" t="e">
        <v>#N/A</v>
      </c>
      <c r="CL326" t="e">
        <f t="shared" si="121"/>
        <v>#N/A</v>
      </c>
      <c r="CM326" t="e">
        <v>#N/A</v>
      </c>
      <c r="CN326" t="e" cm="1">
        <f t="array" ref="CN326">IF(ISNUMBER(CM326),AF326/COUNT(IF(ISNUMBER(_xlfn.ANCHORARRAY($CM$11)),_xlfn.ANCHORARRAY($CM$11))),NA())</f>
        <v>#N/A</v>
      </c>
      <c r="CO326" t="e">
        <f t="shared" si="122"/>
        <v>#N/A</v>
      </c>
      <c r="CQ326" t="e">
        <f t="shared" si="123"/>
        <v>#N/A</v>
      </c>
      <c r="CR326" t="e">
        <f t="shared" si="124"/>
        <v>#N/A</v>
      </c>
      <c r="CT326" t="e">
        <v>#N/A</v>
      </c>
      <c r="CU326" t="e">
        <v>#N/A</v>
      </c>
      <c r="CY326" t="e">
        <f t="shared" si="125"/>
        <v>#N/A</v>
      </c>
      <c r="CZ326" t="e">
        <v>#N/A</v>
      </c>
      <c r="DA326" t="e" cm="1">
        <f t="array" ref="DA326">IF(ISNUMBER(CZ326),AF326/COUNT(IF(ISNUMBER(_xlfn.ANCHORARRAY($CZ$11)),_xlfn.ANCHORARRAY($CZ$11))),NA())</f>
        <v>#N/A</v>
      </c>
      <c r="DB326" t="e">
        <f t="shared" si="126"/>
        <v>#N/A</v>
      </c>
      <c r="DD326" t="e">
        <f t="shared" si="127"/>
        <v>#N/A</v>
      </c>
      <c r="DE326" t="e">
        <f t="shared" si="128"/>
        <v>#N/A</v>
      </c>
      <c r="DG326" t="e">
        <v>#N/A</v>
      </c>
      <c r="DH326" t="e">
        <v>#N/A</v>
      </c>
    </row>
    <row r="327" spans="32:112">
      <c r="AF327">
        <v>317</v>
      </c>
      <c r="AG327" s="401">
        <f>'Lab test'!N320</f>
        <v>153.92400000000001</v>
      </c>
      <c r="AH327" s="401">
        <f>'Lab test'!M320</f>
        <v>2.794</v>
      </c>
      <c r="AI327">
        <f>IF('Lab test'!O320&gt;0,'Lab test'!O320,NA())</f>
        <v>9144</v>
      </c>
      <c r="AJ327">
        <f>'Lab test'!Q320</f>
        <v>55.090910000000001</v>
      </c>
      <c r="AK327" s="401">
        <f>IF('Lab test'!V320&gt;0,'Lab test'!V320,NA())</f>
        <v>197485.54780571428</v>
      </c>
      <c r="AL327" s="7">
        <f>IF(MAX('Lab test'!W320,'Lab test'!X320)&gt;0,MAX('Lab test'!W320,'Lab test'!X320),NA())</f>
        <v>268.89550000000003</v>
      </c>
      <c r="AM327" s="401">
        <f>IF('Lab test'!P320&gt;0,'Lab test'!P320,NA())</f>
        <v>8.0036835121851571</v>
      </c>
      <c r="AN327" s="401">
        <f>IF('Lab test'!AU320&gt;0,'Lab test'!AU320,NA())</f>
        <v>0.72307718054039571</v>
      </c>
      <c r="AO327" s="401">
        <f>IF('Lab test'!AT320&gt;0,'Lab test'!AT320,NA())</f>
        <v>8.9617770164284072E-2</v>
      </c>
      <c r="AP327">
        <f t="shared" si="129"/>
        <v>1</v>
      </c>
      <c r="AQ327" s="401">
        <f>'Lab test'!AZ320</f>
        <v>1937</v>
      </c>
      <c r="AR327" t="str">
        <f>'Lab test'!AC320</f>
        <v>CLTW</v>
      </c>
      <c r="AS327" t="str">
        <f>'Lab test'!T320</f>
        <v>Steel</v>
      </c>
      <c r="AX327" t="e">
        <f t="shared" si="114"/>
        <v>#N/A</v>
      </c>
      <c r="AY327" t="e">
        <f t="shared" si="130"/>
        <v>#N/A</v>
      </c>
      <c r="AZ327" t="e">
        <f t="shared" si="133"/>
        <v>#N/A</v>
      </c>
      <c r="BA327" t="e">
        <f t="shared" si="133"/>
        <v>#N/A</v>
      </c>
      <c r="BB327" t="e">
        <f t="shared" si="133"/>
        <v>#N/A</v>
      </c>
      <c r="BC327" t="e">
        <f t="shared" si="133"/>
        <v>#N/A</v>
      </c>
      <c r="BD327" t="e">
        <f t="shared" si="133"/>
        <v>#N/A</v>
      </c>
      <c r="BG327" t="e">
        <f t="shared" si="115"/>
        <v>#N/A</v>
      </c>
      <c r="BH327" t="e">
        <f t="shared" si="131"/>
        <v>#N/A</v>
      </c>
      <c r="BI327" t="e">
        <f t="shared" si="134"/>
        <v>#N/A</v>
      </c>
      <c r="BJ327" t="e">
        <f t="shared" si="134"/>
        <v>#N/A</v>
      </c>
      <c r="BK327" t="e">
        <f t="shared" si="134"/>
        <v>#N/A</v>
      </c>
      <c r="BL327" t="e">
        <f t="shared" si="134"/>
        <v>#N/A</v>
      </c>
      <c r="BM327" t="e">
        <f t="shared" si="134"/>
        <v>#N/A</v>
      </c>
      <c r="BP327" t="e">
        <f t="shared" si="116"/>
        <v>#N/A</v>
      </c>
      <c r="BQ327" t="e">
        <f t="shared" si="132"/>
        <v>#N/A</v>
      </c>
      <c r="BR327" t="e">
        <f t="shared" si="135"/>
        <v>#N/A</v>
      </c>
      <c r="BS327" t="e">
        <f t="shared" si="135"/>
        <v>#N/A</v>
      </c>
      <c r="BT327" t="e">
        <f t="shared" si="135"/>
        <v>#N/A</v>
      </c>
      <c r="BU327" t="e">
        <f t="shared" si="135"/>
        <v>#N/A</v>
      </c>
      <c r="BV327" t="e">
        <f t="shared" si="135"/>
        <v>#N/A</v>
      </c>
      <c r="BY327" t="e">
        <f t="shared" si="117"/>
        <v>#N/A</v>
      </c>
      <c r="BZ327" t="e">
        <v>#N/A</v>
      </c>
      <c r="CA327" t="e" cm="1">
        <f t="array" ref="CA327">IF(ISNUMBER(BZ327),AF327/COUNT(IF(ISNUMBER(_xlfn.ANCHORARRAY($BZ$11)),_xlfn.ANCHORARRAY($BZ$11))),NA())</f>
        <v>#N/A</v>
      </c>
      <c r="CB327" t="e">
        <f t="shared" si="118"/>
        <v>#N/A</v>
      </c>
      <c r="CD327" t="e">
        <f t="shared" si="119"/>
        <v>#N/A</v>
      </c>
      <c r="CE327" t="e">
        <f t="shared" si="120"/>
        <v>#N/A</v>
      </c>
      <c r="CG327" t="e">
        <v>#N/A</v>
      </c>
      <c r="CH327" t="e">
        <v>#N/A</v>
      </c>
      <c r="CL327" t="e">
        <f t="shared" si="121"/>
        <v>#N/A</v>
      </c>
      <c r="CM327" t="e">
        <v>#N/A</v>
      </c>
      <c r="CN327" t="e" cm="1">
        <f t="array" ref="CN327">IF(ISNUMBER(CM327),AF327/COUNT(IF(ISNUMBER(_xlfn.ANCHORARRAY($CM$11)),_xlfn.ANCHORARRAY($CM$11))),NA())</f>
        <v>#N/A</v>
      </c>
      <c r="CO327" t="e">
        <f t="shared" si="122"/>
        <v>#N/A</v>
      </c>
      <c r="CQ327" t="e">
        <f t="shared" si="123"/>
        <v>#N/A</v>
      </c>
      <c r="CR327" t="e">
        <f t="shared" si="124"/>
        <v>#N/A</v>
      </c>
      <c r="CT327" t="e">
        <v>#N/A</v>
      </c>
      <c r="CU327" t="e">
        <v>#N/A</v>
      </c>
      <c r="CY327" t="e">
        <f t="shared" si="125"/>
        <v>#N/A</v>
      </c>
      <c r="CZ327" t="e">
        <v>#N/A</v>
      </c>
      <c r="DA327" t="e" cm="1">
        <f t="array" ref="DA327">IF(ISNUMBER(CZ327),AF327/COUNT(IF(ISNUMBER(_xlfn.ANCHORARRAY($CZ$11)),_xlfn.ANCHORARRAY($CZ$11))),NA())</f>
        <v>#N/A</v>
      </c>
      <c r="DB327" t="e">
        <f t="shared" si="126"/>
        <v>#N/A</v>
      </c>
      <c r="DD327" t="e">
        <f t="shared" si="127"/>
        <v>#N/A</v>
      </c>
      <c r="DE327" t="e">
        <f t="shared" si="128"/>
        <v>#N/A</v>
      </c>
      <c r="DG327" t="e">
        <v>#N/A</v>
      </c>
      <c r="DH327" t="e">
        <v>#N/A</v>
      </c>
    </row>
    <row r="328" spans="32:112">
      <c r="AF328">
        <v>318</v>
      </c>
      <c r="AG328" s="401">
        <f>'Lab test'!N321</f>
        <v>154.81299999999999</v>
      </c>
      <c r="AH328" s="401">
        <f>'Lab test'!M321</f>
        <v>2.6924000000000001</v>
      </c>
      <c r="AI328">
        <f>IF('Lab test'!O321&gt;0,'Lab test'!O321,NA())</f>
        <v>9144</v>
      </c>
      <c r="AJ328">
        <f>'Lab test'!Q321</f>
        <v>57.5</v>
      </c>
      <c r="AK328" s="401">
        <f>IF('Lab test'!V321&gt;0,'Lab test'!V321,NA())</f>
        <v>197485.54780571428</v>
      </c>
      <c r="AL328" s="7">
        <f>IF(MAX('Lab test'!W321,'Lab test'!X321)&gt;0,MAX('Lab test'!W321,'Lab test'!X321),NA())</f>
        <v>262.00080000000003</v>
      </c>
      <c r="AM328" s="401">
        <f>IF('Lab test'!P321&gt;0,'Lab test'!P321,NA())</f>
        <v>7.7892361090232445</v>
      </c>
      <c r="AN328" s="401">
        <f>IF('Lab test'!AU321&gt;0,'Lab test'!AU321,NA())</f>
        <v>0.70263144234674091</v>
      </c>
      <c r="AO328" s="401">
        <f>IF('Lab test'!AT321&gt;0,'Lab test'!AT321,NA())</f>
        <v>8.8561313041331746E-2</v>
      </c>
      <c r="AP328">
        <f t="shared" si="129"/>
        <v>1</v>
      </c>
      <c r="AQ328" s="401">
        <f>'Lab test'!AZ321</f>
        <v>1937</v>
      </c>
      <c r="AR328" t="str">
        <f>'Lab test'!AC321</f>
        <v>CLTW</v>
      </c>
      <c r="AS328" t="str">
        <f>'Lab test'!T321</f>
        <v>Steel</v>
      </c>
      <c r="AX328" t="e">
        <f t="shared" si="114"/>
        <v>#N/A</v>
      </c>
      <c r="AY328" t="e">
        <f t="shared" si="130"/>
        <v>#N/A</v>
      </c>
      <c r="AZ328" t="e">
        <f t="shared" si="133"/>
        <v>#N/A</v>
      </c>
      <c r="BA328" t="e">
        <f t="shared" si="133"/>
        <v>#N/A</v>
      </c>
      <c r="BB328" t="e">
        <f t="shared" si="133"/>
        <v>#N/A</v>
      </c>
      <c r="BC328" t="e">
        <f t="shared" si="133"/>
        <v>#N/A</v>
      </c>
      <c r="BD328" t="e">
        <f t="shared" si="133"/>
        <v>#N/A</v>
      </c>
      <c r="BG328" t="e">
        <f t="shared" si="115"/>
        <v>#N/A</v>
      </c>
      <c r="BH328" t="e">
        <f t="shared" si="131"/>
        <v>#N/A</v>
      </c>
      <c r="BI328" t="e">
        <f t="shared" si="134"/>
        <v>#N/A</v>
      </c>
      <c r="BJ328" t="e">
        <f t="shared" si="134"/>
        <v>#N/A</v>
      </c>
      <c r="BK328" t="e">
        <f t="shared" si="134"/>
        <v>#N/A</v>
      </c>
      <c r="BL328" t="e">
        <f t="shared" si="134"/>
        <v>#N/A</v>
      </c>
      <c r="BM328" t="e">
        <f t="shared" si="134"/>
        <v>#N/A</v>
      </c>
      <c r="BP328" t="e">
        <f t="shared" si="116"/>
        <v>#N/A</v>
      </c>
      <c r="BQ328" t="e">
        <f t="shared" si="132"/>
        <v>#N/A</v>
      </c>
      <c r="BR328" t="e">
        <f t="shared" si="135"/>
        <v>#N/A</v>
      </c>
      <c r="BS328" t="e">
        <f t="shared" si="135"/>
        <v>#N/A</v>
      </c>
      <c r="BT328" t="e">
        <f t="shared" si="135"/>
        <v>#N/A</v>
      </c>
      <c r="BU328" t="e">
        <f t="shared" si="135"/>
        <v>#N/A</v>
      </c>
      <c r="BV328" t="e">
        <f t="shared" si="135"/>
        <v>#N/A</v>
      </c>
      <c r="BY328" t="e">
        <f t="shared" si="117"/>
        <v>#N/A</v>
      </c>
      <c r="BZ328" t="e">
        <v>#N/A</v>
      </c>
      <c r="CA328" t="e" cm="1">
        <f t="array" ref="CA328">IF(ISNUMBER(BZ328),AF328/COUNT(IF(ISNUMBER(_xlfn.ANCHORARRAY($BZ$11)),_xlfn.ANCHORARRAY($BZ$11))),NA())</f>
        <v>#N/A</v>
      </c>
      <c r="CB328" t="e">
        <f t="shared" si="118"/>
        <v>#N/A</v>
      </c>
      <c r="CD328" t="e">
        <f t="shared" si="119"/>
        <v>#N/A</v>
      </c>
      <c r="CE328" t="e">
        <f t="shared" si="120"/>
        <v>#N/A</v>
      </c>
      <c r="CG328" t="e">
        <v>#N/A</v>
      </c>
      <c r="CH328" t="e">
        <v>#N/A</v>
      </c>
      <c r="CL328" t="e">
        <f t="shared" si="121"/>
        <v>#N/A</v>
      </c>
      <c r="CM328" t="e">
        <v>#N/A</v>
      </c>
      <c r="CN328" t="e" cm="1">
        <f t="array" ref="CN328">IF(ISNUMBER(CM328),AF328/COUNT(IF(ISNUMBER(_xlfn.ANCHORARRAY($CM$11)),_xlfn.ANCHORARRAY($CM$11))),NA())</f>
        <v>#N/A</v>
      </c>
      <c r="CO328" t="e">
        <f t="shared" si="122"/>
        <v>#N/A</v>
      </c>
      <c r="CQ328" t="e">
        <f t="shared" si="123"/>
        <v>#N/A</v>
      </c>
      <c r="CR328" t="e">
        <f t="shared" si="124"/>
        <v>#N/A</v>
      </c>
      <c r="CT328" t="e">
        <v>#N/A</v>
      </c>
      <c r="CU328" t="e">
        <v>#N/A</v>
      </c>
      <c r="CY328" t="e">
        <f t="shared" si="125"/>
        <v>#N/A</v>
      </c>
      <c r="CZ328" t="e">
        <v>#N/A</v>
      </c>
      <c r="DA328" t="e" cm="1">
        <f t="array" ref="DA328">IF(ISNUMBER(CZ328),AF328/COUNT(IF(ISNUMBER(_xlfn.ANCHORARRAY($CZ$11)),_xlfn.ANCHORARRAY($CZ$11))),NA())</f>
        <v>#N/A</v>
      </c>
      <c r="DB328" t="e">
        <f t="shared" si="126"/>
        <v>#N/A</v>
      </c>
      <c r="DD328" t="e">
        <f t="shared" si="127"/>
        <v>#N/A</v>
      </c>
      <c r="DE328" t="e">
        <f t="shared" si="128"/>
        <v>#N/A</v>
      </c>
      <c r="DG328" t="e">
        <v>#N/A</v>
      </c>
      <c r="DH328" t="e">
        <v>#N/A</v>
      </c>
    </row>
    <row r="329" spans="32:112">
      <c r="AF329">
        <v>319</v>
      </c>
      <c r="AG329" s="401">
        <f>'Lab test'!N322</f>
        <v>153.16200000000001</v>
      </c>
      <c r="AH329" s="401">
        <f>'Lab test'!M322</f>
        <v>1.5748</v>
      </c>
      <c r="AI329">
        <f>IF('Lab test'!O322&gt;0,'Lab test'!O322,NA())</f>
        <v>9144</v>
      </c>
      <c r="AJ329">
        <f>'Lab test'!Q322</f>
        <v>97.25806</v>
      </c>
      <c r="AK329" s="401">
        <f>IF('Lab test'!V322&gt;0,'Lab test'!V322,NA())</f>
        <v>198655.19413000002</v>
      </c>
      <c r="AL329" s="7">
        <f>IF(MAX('Lab test'!W322,'Lab test'!X322)&gt;0,MAX('Lab test'!W322,'Lab test'!X322),NA())</f>
        <v>275.7903</v>
      </c>
      <c r="AM329" s="401">
        <f>IF('Lab test'!P322&gt;0,'Lab test'!P322,NA())</f>
        <v>6.0537206614052579</v>
      </c>
      <c r="AN329" s="401">
        <f>IF('Lab test'!AU322&gt;0,'Lab test'!AU322,NA())</f>
        <v>0.53499996192759491</v>
      </c>
      <c r="AO329" s="401">
        <f>IF('Lab test'!AT322&gt;0,'Lab test'!AT322,NA())</f>
        <v>0.11935476436873577</v>
      </c>
      <c r="AP329">
        <f t="shared" si="129"/>
        <v>1</v>
      </c>
      <c r="AQ329" s="401">
        <f>'Lab test'!AZ322</f>
        <v>1937</v>
      </c>
      <c r="AR329" t="str">
        <f>'Lab test'!AC322</f>
        <v>CLTW</v>
      </c>
      <c r="AS329" t="str">
        <f>'Lab test'!T322</f>
        <v>Steel</v>
      </c>
      <c r="AX329" t="e">
        <f t="shared" si="114"/>
        <v>#N/A</v>
      </c>
      <c r="AY329" t="e">
        <f t="shared" si="130"/>
        <v>#N/A</v>
      </c>
      <c r="AZ329" t="e">
        <f t="shared" si="133"/>
        <v>#N/A</v>
      </c>
      <c r="BA329" t="e">
        <f t="shared" si="133"/>
        <v>#N/A</v>
      </c>
      <c r="BB329" t="e">
        <f t="shared" si="133"/>
        <v>#N/A</v>
      </c>
      <c r="BC329" t="e">
        <f t="shared" si="133"/>
        <v>#N/A</v>
      </c>
      <c r="BD329" t="e">
        <f t="shared" si="133"/>
        <v>#N/A</v>
      </c>
      <c r="BG329" t="e">
        <f t="shared" si="115"/>
        <v>#N/A</v>
      </c>
      <c r="BH329" t="e">
        <f t="shared" si="131"/>
        <v>#N/A</v>
      </c>
      <c r="BI329" t="e">
        <f t="shared" si="134"/>
        <v>#N/A</v>
      </c>
      <c r="BJ329" t="e">
        <f t="shared" si="134"/>
        <v>#N/A</v>
      </c>
      <c r="BK329" t="e">
        <f t="shared" si="134"/>
        <v>#N/A</v>
      </c>
      <c r="BL329" t="e">
        <f t="shared" si="134"/>
        <v>#N/A</v>
      </c>
      <c r="BM329" t="e">
        <f t="shared" si="134"/>
        <v>#N/A</v>
      </c>
      <c r="BP329" t="e">
        <f t="shared" si="116"/>
        <v>#N/A</v>
      </c>
      <c r="BQ329" t="e">
        <f t="shared" si="132"/>
        <v>#N/A</v>
      </c>
      <c r="BR329" t="e">
        <f t="shared" si="135"/>
        <v>#N/A</v>
      </c>
      <c r="BS329" t="e">
        <f t="shared" si="135"/>
        <v>#N/A</v>
      </c>
      <c r="BT329" t="e">
        <f t="shared" si="135"/>
        <v>#N/A</v>
      </c>
      <c r="BU329" t="e">
        <f t="shared" si="135"/>
        <v>#N/A</v>
      </c>
      <c r="BV329" t="e">
        <f t="shared" si="135"/>
        <v>#N/A</v>
      </c>
      <c r="BY329" t="e">
        <f t="shared" si="117"/>
        <v>#N/A</v>
      </c>
      <c r="BZ329" t="e">
        <v>#N/A</v>
      </c>
      <c r="CA329" t="e" cm="1">
        <f t="array" ref="CA329">IF(ISNUMBER(BZ329),AF329/COUNT(IF(ISNUMBER(_xlfn.ANCHORARRAY($BZ$11)),_xlfn.ANCHORARRAY($BZ$11))),NA())</f>
        <v>#N/A</v>
      </c>
      <c r="CB329" t="e">
        <f t="shared" si="118"/>
        <v>#N/A</v>
      </c>
      <c r="CD329" t="e">
        <f t="shared" si="119"/>
        <v>#N/A</v>
      </c>
      <c r="CE329" t="e">
        <f t="shared" si="120"/>
        <v>#N/A</v>
      </c>
      <c r="CG329" t="e">
        <v>#N/A</v>
      </c>
      <c r="CH329" t="e">
        <v>#N/A</v>
      </c>
      <c r="CL329" t="e">
        <f t="shared" si="121"/>
        <v>#N/A</v>
      </c>
      <c r="CM329" t="e">
        <v>#N/A</v>
      </c>
      <c r="CN329" t="e" cm="1">
        <f t="array" ref="CN329">IF(ISNUMBER(CM329),AF329/COUNT(IF(ISNUMBER(_xlfn.ANCHORARRAY($CM$11)),_xlfn.ANCHORARRAY($CM$11))),NA())</f>
        <v>#N/A</v>
      </c>
      <c r="CO329" t="e">
        <f t="shared" si="122"/>
        <v>#N/A</v>
      </c>
      <c r="CQ329" t="e">
        <f t="shared" si="123"/>
        <v>#N/A</v>
      </c>
      <c r="CR329" t="e">
        <f t="shared" si="124"/>
        <v>#N/A</v>
      </c>
      <c r="CT329" t="e">
        <v>#N/A</v>
      </c>
      <c r="CU329" t="e">
        <v>#N/A</v>
      </c>
      <c r="CY329" t="e">
        <f t="shared" si="125"/>
        <v>#N/A</v>
      </c>
      <c r="CZ329" t="e">
        <v>#N/A</v>
      </c>
      <c r="DA329" t="e" cm="1">
        <f t="array" ref="DA329">IF(ISNUMBER(CZ329),AF329/COUNT(IF(ISNUMBER(_xlfn.ANCHORARRAY($CZ$11)),_xlfn.ANCHORARRAY($CZ$11))),NA())</f>
        <v>#N/A</v>
      </c>
      <c r="DB329" t="e">
        <f t="shared" si="126"/>
        <v>#N/A</v>
      </c>
      <c r="DD329" t="e">
        <f t="shared" si="127"/>
        <v>#N/A</v>
      </c>
      <c r="DE329" t="e">
        <f t="shared" si="128"/>
        <v>#N/A</v>
      </c>
      <c r="DG329" t="e">
        <v>#N/A</v>
      </c>
      <c r="DH329" t="e">
        <v>#N/A</v>
      </c>
    </row>
    <row r="330" spans="32:112">
      <c r="AF330">
        <v>320</v>
      </c>
      <c r="AG330" s="401">
        <f>'Lab test'!N323</f>
        <v>153.92400000000001</v>
      </c>
      <c r="AH330" s="401">
        <f>'Lab test'!M323</f>
        <v>1.6002000000000001</v>
      </c>
      <c r="AI330">
        <f>IF('Lab test'!O323&gt;0,'Lab test'!O323,NA())</f>
        <v>9144</v>
      </c>
      <c r="AJ330">
        <f>'Lab test'!Q323</f>
        <v>96.190479999999994</v>
      </c>
      <c r="AK330" s="401">
        <f>IF('Lab test'!V323&gt;0,'Lab test'!V323,NA())</f>
        <v>198655.19413000002</v>
      </c>
      <c r="AL330" s="7">
        <f>IF(MAX('Lab test'!W323,'Lab test'!X323)&gt;0,MAX('Lab test'!W323,'Lab test'!X323),NA())</f>
        <v>275.7903</v>
      </c>
      <c r="AM330" s="401">
        <f>IF('Lab test'!P323&gt;0,'Lab test'!P323,NA())</f>
        <v>6.0570873851765556</v>
      </c>
      <c r="AN330" s="401">
        <f>IF('Lab test'!AU323&gt;0,'Lab test'!AU323,NA())</f>
        <v>0.54499995104976495</v>
      </c>
      <c r="AO330" s="401">
        <f>IF('Lab test'!AT323&gt;0,'Lab test'!AT323,NA())</f>
        <v>0.12025106294422178</v>
      </c>
      <c r="AP330">
        <f t="shared" si="129"/>
        <v>1</v>
      </c>
      <c r="AQ330" s="401">
        <f>'Lab test'!AZ323</f>
        <v>1937</v>
      </c>
      <c r="AR330" t="str">
        <f>'Lab test'!AC323</f>
        <v>CLTW</v>
      </c>
      <c r="AS330" t="str">
        <f>'Lab test'!T323</f>
        <v>Steel</v>
      </c>
      <c r="AX330" t="e">
        <f t="shared" si="114"/>
        <v>#N/A</v>
      </c>
      <c r="AY330" t="e">
        <f t="shared" si="130"/>
        <v>#N/A</v>
      </c>
      <c r="AZ330" t="e">
        <f t="shared" si="133"/>
        <v>#N/A</v>
      </c>
      <c r="BA330" t="e">
        <f t="shared" si="133"/>
        <v>#N/A</v>
      </c>
      <c r="BB330" t="e">
        <f t="shared" si="133"/>
        <v>#N/A</v>
      </c>
      <c r="BC330" t="e">
        <f t="shared" si="133"/>
        <v>#N/A</v>
      </c>
      <c r="BD330" t="e">
        <f t="shared" si="133"/>
        <v>#N/A</v>
      </c>
      <c r="BG330" t="e">
        <f t="shared" si="115"/>
        <v>#N/A</v>
      </c>
      <c r="BH330" t="e">
        <f t="shared" si="131"/>
        <v>#N/A</v>
      </c>
      <c r="BI330" t="e">
        <f t="shared" si="134"/>
        <v>#N/A</v>
      </c>
      <c r="BJ330" t="e">
        <f t="shared" si="134"/>
        <v>#N/A</v>
      </c>
      <c r="BK330" t="e">
        <f t="shared" si="134"/>
        <v>#N/A</v>
      </c>
      <c r="BL330" t="e">
        <f t="shared" si="134"/>
        <v>#N/A</v>
      </c>
      <c r="BM330" t="e">
        <f t="shared" si="134"/>
        <v>#N/A</v>
      </c>
      <c r="BP330" t="e">
        <f t="shared" si="116"/>
        <v>#N/A</v>
      </c>
      <c r="BQ330" t="e">
        <f t="shared" si="132"/>
        <v>#N/A</v>
      </c>
      <c r="BR330" t="e">
        <f t="shared" si="135"/>
        <v>#N/A</v>
      </c>
      <c r="BS330" t="e">
        <f t="shared" si="135"/>
        <v>#N/A</v>
      </c>
      <c r="BT330" t="e">
        <f t="shared" si="135"/>
        <v>#N/A</v>
      </c>
      <c r="BU330" t="e">
        <f t="shared" si="135"/>
        <v>#N/A</v>
      </c>
      <c r="BV330" t="e">
        <f t="shared" si="135"/>
        <v>#N/A</v>
      </c>
      <c r="BY330" t="e">
        <f t="shared" si="117"/>
        <v>#N/A</v>
      </c>
      <c r="BZ330" t="e">
        <v>#N/A</v>
      </c>
      <c r="CA330" t="e" cm="1">
        <f t="array" ref="CA330">IF(ISNUMBER(BZ330),AF330/COUNT(IF(ISNUMBER(_xlfn.ANCHORARRAY($BZ$11)),_xlfn.ANCHORARRAY($BZ$11))),NA())</f>
        <v>#N/A</v>
      </c>
      <c r="CB330" t="e">
        <f t="shared" si="118"/>
        <v>#N/A</v>
      </c>
      <c r="CD330" t="e">
        <f t="shared" si="119"/>
        <v>#N/A</v>
      </c>
      <c r="CE330" t="e">
        <f t="shared" si="120"/>
        <v>#N/A</v>
      </c>
      <c r="CG330" t="e">
        <v>#N/A</v>
      </c>
      <c r="CH330" t="e">
        <v>#N/A</v>
      </c>
      <c r="CL330" t="e">
        <f t="shared" si="121"/>
        <v>#N/A</v>
      </c>
      <c r="CM330" t="e">
        <v>#N/A</v>
      </c>
      <c r="CN330" t="e" cm="1">
        <f t="array" ref="CN330">IF(ISNUMBER(CM330),AF330/COUNT(IF(ISNUMBER(_xlfn.ANCHORARRAY($CM$11)),_xlfn.ANCHORARRAY($CM$11))),NA())</f>
        <v>#N/A</v>
      </c>
      <c r="CO330" t="e">
        <f t="shared" si="122"/>
        <v>#N/A</v>
      </c>
      <c r="CQ330" t="e">
        <f t="shared" si="123"/>
        <v>#N/A</v>
      </c>
      <c r="CR330" t="e">
        <f t="shared" si="124"/>
        <v>#N/A</v>
      </c>
      <c r="CT330" t="e">
        <v>#N/A</v>
      </c>
      <c r="CU330" t="e">
        <v>#N/A</v>
      </c>
      <c r="CY330" t="e">
        <f t="shared" si="125"/>
        <v>#N/A</v>
      </c>
      <c r="CZ330" t="e">
        <v>#N/A</v>
      </c>
      <c r="DA330" t="e" cm="1">
        <f t="array" ref="DA330">IF(ISNUMBER(CZ330),AF330/COUNT(IF(ISNUMBER(_xlfn.ANCHORARRAY($CZ$11)),_xlfn.ANCHORARRAY($CZ$11))),NA())</f>
        <v>#N/A</v>
      </c>
      <c r="DB330" t="e">
        <f t="shared" si="126"/>
        <v>#N/A</v>
      </c>
      <c r="DD330" t="e">
        <f t="shared" si="127"/>
        <v>#N/A</v>
      </c>
      <c r="DE330" t="e">
        <f t="shared" si="128"/>
        <v>#N/A</v>
      </c>
      <c r="DG330" t="e">
        <v>#N/A</v>
      </c>
      <c r="DH330" t="e">
        <v>#N/A</v>
      </c>
    </row>
    <row r="331" spans="32:112">
      <c r="AF331">
        <v>321</v>
      </c>
      <c r="AG331" s="401">
        <f>'Lab test'!N324</f>
        <v>609.6</v>
      </c>
      <c r="AH331" s="401">
        <f>'Lab test'!M324</f>
        <v>12.547599999999999</v>
      </c>
      <c r="AI331">
        <f>IF('Lab test'!O324&gt;0,'Lab test'!O324,NA())</f>
        <v>9144</v>
      </c>
      <c r="AJ331">
        <f>'Lab test'!Q324</f>
        <v>48.582999999999998</v>
      </c>
      <c r="AK331" s="401">
        <f>IF('Lab test'!V324&gt;0,'Lab test'!V324,NA())</f>
        <v>215461.16500000001</v>
      </c>
      <c r="AL331" s="7">
        <f>IF(MAX('Lab test'!W324,'Lab test'!X324)&gt;0,MAX('Lab test'!W324,'Lab test'!X324),NA())</f>
        <v>237.8691</v>
      </c>
      <c r="AM331" s="401">
        <f>IF('Lab test'!P324&gt;0,'Lab test'!P324,NA())</f>
        <v>2.1520339216657343</v>
      </c>
      <c r="AN331" s="401">
        <f>IF('Lab test'!AU324&gt;0,'Lab test'!AU324,NA())</f>
        <v>0.97101473037061137</v>
      </c>
      <c r="AO331" s="401">
        <f>IF('Lab test'!AT324&gt;0,'Lab test'!AT324,NA())</f>
        <v>8.6051899270541202E-2</v>
      </c>
      <c r="AP331">
        <f t="shared" si="129"/>
        <v>1</v>
      </c>
      <c r="AQ331" s="401">
        <f>'Lab test'!AZ324</f>
        <v>1937</v>
      </c>
      <c r="AR331" t="str">
        <f>'Lab test'!AC324</f>
        <v>CLTW</v>
      </c>
      <c r="AS331" t="str">
        <f>'Lab test'!T324</f>
        <v>Steel</v>
      </c>
      <c r="AX331" t="e">
        <f t="shared" si="114"/>
        <v>#N/A</v>
      </c>
      <c r="AY331" t="e">
        <f t="shared" si="130"/>
        <v>#N/A</v>
      </c>
      <c r="AZ331" t="e">
        <f t="shared" si="133"/>
        <v>#N/A</v>
      </c>
      <c r="BA331" t="e">
        <f t="shared" si="133"/>
        <v>#N/A</v>
      </c>
      <c r="BB331" t="e">
        <f t="shared" si="133"/>
        <v>#N/A</v>
      </c>
      <c r="BC331" t="e">
        <f t="shared" si="133"/>
        <v>#N/A</v>
      </c>
      <c r="BD331" t="e">
        <f t="shared" si="133"/>
        <v>#N/A</v>
      </c>
      <c r="BG331" t="e">
        <f t="shared" si="115"/>
        <v>#N/A</v>
      </c>
      <c r="BH331" t="e">
        <f t="shared" si="131"/>
        <v>#N/A</v>
      </c>
      <c r="BI331" t="e">
        <f t="shared" si="134"/>
        <v>#N/A</v>
      </c>
      <c r="BJ331" t="e">
        <f t="shared" si="134"/>
        <v>#N/A</v>
      </c>
      <c r="BK331" t="e">
        <f t="shared" si="134"/>
        <v>#N/A</v>
      </c>
      <c r="BL331" t="e">
        <f t="shared" si="134"/>
        <v>#N/A</v>
      </c>
      <c r="BM331" t="e">
        <f t="shared" si="134"/>
        <v>#N/A</v>
      </c>
      <c r="BP331" t="e">
        <f t="shared" si="116"/>
        <v>#N/A</v>
      </c>
      <c r="BQ331" t="e">
        <f t="shared" si="132"/>
        <v>#N/A</v>
      </c>
      <c r="BR331" t="e">
        <f t="shared" si="135"/>
        <v>#N/A</v>
      </c>
      <c r="BS331" t="e">
        <f t="shared" si="135"/>
        <v>#N/A</v>
      </c>
      <c r="BT331" t="e">
        <f t="shared" si="135"/>
        <v>#N/A</v>
      </c>
      <c r="BU331" t="e">
        <f t="shared" si="135"/>
        <v>#N/A</v>
      </c>
      <c r="BV331" t="e">
        <f t="shared" si="135"/>
        <v>#N/A</v>
      </c>
      <c r="BY331" t="e">
        <f t="shared" si="117"/>
        <v>#N/A</v>
      </c>
      <c r="BZ331" t="e">
        <v>#N/A</v>
      </c>
      <c r="CA331" t="e" cm="1">
        <f t="array" ref="CA331">IF(ISNUMBER(BZ331),AF331/COUNT(IF(ISNUMBER(_xlfn.ANCHORARRAY($BZ$11)),_xlfn.ANCHORARRAY($BZ$11))),NA())</f>
        <v>#N/A</v>
      </c>
      <c r="CB331" t="e">
        <f t="shared" si="118"/>
        <v>#N/A</v>
      </c>
      <c r="CD331" t="e">
        <f t="shared" si="119"/>
        <v>#N/A</v>
      </c>
      <c r="CE331" t="e">
        <f t="shared" si="120"/>
        <v>#N/A</v>
      </c>
      <c r="CG331" t="e">
        <v>#N/A</v>
      </c>
      <c r="CH331" t="e">
        <v>#N/A</v>
      </c>
      <c r="CL331" t="e">
        <f t="shared" si="121"/>
        <v>#N/A</v>
      </c>
      <c r="CM331" t="e">
        <v>#N/A</v>
      </c>
      <c r="CN331" t="e" cm="1">
        <f t="array" ref="CN331">IF(ISNUMBER(CM331),AF331/COUNT(IF(ISNUMBER(_xlfn.ANCHORARRAY($CM$11)),_xlfn.ANCHORARRAY($CM$11))),NA())</f>
        <v>#N/A</v>
      </c>
      <c r="CO331" t="e">
        <f t="shared" si="122"/>
        <v>#N/A</v>
      </c>
      <c r="CQ331" t="e">
        <f t="shared" si="123"/>
        <v>#N/A</v>
      </c>
      <c r="CR331" t="e">
        <f t="shared" si="124"/>
        <v>#N/A</v>
      </c>
      <c r="CT331" t="e">
        <v>#N/A</v>
      </c>
      <c r="CU331" t="e">
        <v>#N/A</v>
      </c>
      <c r="CY331" t="e">
        <f t="shared" si="125"/>
        <v>#N/A</v>
      </c>
      <c r="CZ331" t="e">
        <v>#N/A</v>
      </c>
      <c r="DA331" t="e" cm="1">
        <f t="array" ref="DA331">IF(ISNUMBER(CZ331),AF331/COUNT(IF(ISNUMBER(_xlfn.ANCHORARRAY($CZ$11)),_xlfn.ANCHORARRAY($CZ$11))),NA())</f>
        <v>#N/A</v>
      </c>
      <c r="DB331" t="e">
        <f t="shared" si="126"/>
        <v>#N/A</v>
      </c>
      <c r="DD331" t="e">
        <f t="shared" si="127"/>
        <v>#N/A</v>
      </c>
      <c r="DE331" t="e">
        <f t="shared" si="128"/>
        <v>#N/A</v>
      </c>
      <c r="DG331" t="e">
        <v>#N/A</v>
      </c>
      <c r="DH331" t="e">
        <v>#N/A</v>
      </c>
    </row>
    <row r="332" spans="32:112">
      <c r="AF332">
        <v>322</v>
      </c>
      <c r="AG332" s="401">
        <f>'Lab test'!N325</f>
        <v>609.6</v>
      </c>
      <c r="AH332" s="401">
        <f>'Lab test'!M325</f>
        <v>12.5222</v>
      </c>
      <c r="AI332">
        <f>IF('Lab test'!O325&gt;0,'Lab test'!O325,NA())</f>
        <v>9144</v>
      </c>
      <c r="AJ332">
        <f>'Lab test'!Q325</f>
        <v>48.681539999999998</v>
      </c>
      <c r="AK332" s="401">
        <f>IF('Lab test'!V325&gt;0,'Lab test'!V325,NA())</f>
        <v>215461.16500000001</v>
      </c>
      <c r="AL332" s="7">
        <f>IF(MAX('Lab test'!W325,'Lab test'!X325)&gt;0,MAX('Lab test'!W325,'Lab test'!X325),NA())</f>
        <v>234.42169999999999</v>
      </c>
      <c r="AM332" s="401">
        <f>IF('Lab test'!P325&gt;0,'Lab test'!P325,NA())</f>
        <v>2.1498546462493691</v>
      </c>
      <c r="AN332" s="401">
        <f>IF('Lab test'!AU325&gt;0,'Lab test'!AU325,NA())</f>
        <v>0.9088237138456039</v>
      </c>
      <c r="AO332" s="401">
        <f>IF('Lab test'!AT325&gt;0,'Lab test'!AT325,NA())</f>
        <v>7.953423419951508E-2</v>
      </c>
      <c r="AP332">
        <f t="shared" si="129"/>
        <v>1</v>
      </c>
      <c r="AQ332" s="401">
        <f>'Lab test'!AZ325</f>
        <v>1937</v>
      </c>
      <c r="AR332" t="str">
        <f>'Lab test'!AC325</f>
        <v>CLTW</v>
      </c>
      <c r="AS332" t="str">
        <f>'Lab test'!T325</f>
        <v>Steel</v>
      </c>
      <c r="AX332" t="e">
        <f t="shared" ref="AX332:AX395" si="136">IF(ISNUMBER($AJ332),IF(ISNUMBER($AP332),IF($AJ332&gt;=AX$9,IF($AJ332&lt;=AX$10,IF($AR332=$AW$2,IF($AS332=$AW$6,$AK332,NA()),NA()),NA()),NA()),NA()),NA())</f>
        <v>#N/A</v>
      </c>
      <c r="AY332" t="e">
        <f t="shared" si="130"/>
        <v>#N/A</v>
      </c>
      <c r="AZ332" t="e">
        <f t="shared" si="133"/>
        <v>#N/A</v>
      </c>
      <c r="BA332" t="e">
        <f t="shared" si="133"/>
        <v>#N/A</v>
      </c>
      <c r="BB332" t="e">
        <f t="shared" si="133"/>
        <v>#N/A</v>
      </c>
      <c r="BC332" t="e">
        <f t="shared" si="133"/>
        <v>#N/A</v>
      </c>
      <c r="BD332" t="e">
        <f t="shared" si="133"/>
        <v>#N/A</v>
      </c>
      <c r="BG332" t="e">
        <f t="shared" ref="BG332:BG395" si="137">IF(ISNUMBER($AJ332),IF(ISNUMBER($AP332),IF($AJ332&gt;=BG$9,IF($AJ332&lt;=BG$10,IF($AR332=$AW$2,IF($AS332=$BF$6,$AK332,NA()),NA()),NA()),NA()),NA()),NA())</f>
        <v>#N/A</v>
      </c>
      <c r="BH332" t="e">
        <f t="shared" si="131"/>
        <v>#N/A</v>
      </c>
      <c r="BI332" t="e">
        <f t="shared" si="134"/>
        <v>#N/A</v>
      </c>
      <c r="BJ332" t="e">
        <f t="shared" si="134"/>
        <v>#N/A</v>
      </c>
      <c r="BK332" t="e">
        <f t="shared" si="134"/>
        <v>#N/A</v>
      </c>
      <c r="BL332" t="e">
        <f t="shared" si="134"/>
        <v>#N/A</v>
      </c>
      <c r="BM332" t="e">
        <f t="shared" si="134"/>
        <v>#N/A</v>
      </c>
      <c r="BP332" t="e">
        <f t="shared" ref="BP332:BP395" si="138">IF(ISNUMBER($AJ332),IF(ISNUMBER($AP332),IF($AJ332&gt;=BP$9,IF($AJ332&lt;=BP$10,IF($AR332=$AW$2,IF($AS332=$BO$6,$AK332,NA()),NA()),NA()),NA()),NA()),NA())</f>
        <v>#N/A</v>
      </c>
      <c r="BQ332" t="e">
        <f t="shared" si="132"/>
        <v>#N/A</v>
      </c>
      <c r="BR332" t="e">
        <f t="shared" si="135"/>
        <v>#N/A</v>
      </c>
      <c r="BS332" t="e">
        <f t="shared" si="135"/>
        <v>#N/A</v>
      </c>
      <c r="BT332" t="e">
        <f t="shared" si="135"/>
        <v>#N/A</v>
      </c>
      <c r="BU332" t="e">
        <f t="shared" si="135"/>
        <v>#N/A</v>
      </c>
      <c r="BV332" t="e">
        <f t="shared" si="135"/>
        <v>#N/A</v>
      </c>
      <c r="BY332" t="e">
        <f t="shared" ref="BY332:BY395" si="139">IF(ISNUMBER(AP332),IF($AR332=$AW$2,IF($AS332=$AW$6,$AK332,NA()),NA()),NA())</f>
        <v>#N/A</v>
      </c>
      <c r="BZ332" t="e">
        <v>#N/A</v>
      </c>
      <c r="CA332" t="e" cm="1">
        <f t="array" ref="CA332">IF(ISNUMBER(BZ332),AF332/COUNT(IF(ISNUMBER(_xlfn.ANCHORARRAY($BZ$11)),_xlfn.ANCHORARRAY($BZ$11))),NA())</f>
        <v>#N/A</v>
      </c>
      <c r="CB332" t="e">
        <f t="shared" ref="CB332:CB395" si="140">IF(BZ332=BZ333,NA(),CA332)</f>
        <v>#N/A</v>
      </c>
      <c r="CD332" t="e">
        <f t="shared" ref="CD332:CD395" si="141">CB332</f>
        <v>#N/A</v>
      </c>
      <c r="CE332" t="e">
        <f t="shared" ref="CE332:CE395" si="142">BZ332</f>
        <v>#N/A</v>
      </c>
      <c r="CG332" t="e">
        <v>#N/A</v>
      </c>
      <c r="CH332" t="e">
        <v>#N/A</v>
      </c>
      <c r="CL332" t="e">
        <f t="shared" ref="CL332:CL395" si="143">IF(ISNUMBER(AP332),IF($AR332=$AW$2,IF($AS332=$BF$6,$AK332,NA()),NA()),NA())</f>
        <v>#N/A</v>
      </c>
      <c r="CM332" t="e">
        <v>#N/A</v>
      </c>
      <c r="CN332" t="e" cm="1">
        <f t="array" ref="CN332">IF(ISNUMBER(CM332),AF332/COUNT(IF(ISNUMBER(_xlfn.ANCHORARRAY($CM$11)),_xlfn.ANCHORARRAY($CM$11))),NA())</f>
        <v>#N/A</v>
      </c>
      <c r="CO332" t="e">
        <f t="shared" ref="CO332:CO395" si="144">IF(CM332=CM333,NA(),CN332)</f>
        <v>#N/A</v>
      </c>
      <c r="CQ332" t="e">
        <f t="shared" ref="CQ332:CQ395" si="145">CO332</f>
        <v>#N/A</v>
      </c>
      <c r="CR332" t="e">
        <f t="shared" ref="CR332:CR395" si="146">CM332</f>
        <v>#N/A</v>
      </c>
      <c r="CT332" t="e">
        <v>#N/A</v>
      </c>
      <c r="CU332" t="e">
        <v>#N/A</v>
      </c>
      <c r="CY332" t="e">
        <f t="shared" ref="CY332:CY395" si="147">IF(ISNUMBER(AP332),IF($AR332=$AW$2,IF($AS332=$BO$6,$AK332,NA()),NA()),NA())</f>
        <v>#N/A</v>
      </c>
      <c r="CZ332" t="e">
        <v>#N/A</v>
      </c>
      <c r="DA332" t="e" cm="1">
        <f t="array" ref="DA332">IF(ISNUMBER(CZ332),AF332/COUNT(IF(ISNUMBER(_xlfn.ANCHORARRAY($CZ$11)),_xlfn.ANCHORARRAY($CZ$11))),NA())</f>
        <v>#N/A</v>
      </c>
      <c r="DB332" t="e">
        <f t="shared" ref="DB332:DB395" si="148">IF(CZ332=CZ333,NA(),DA332)</f>
        <v>#N/A</v>
      </c>
      <c r="DD332" t="e">
        <f t="shared" ref="DD332:DD395" si="149">DB332</f>
        <v>#N/A</v>
      </c>
      <c r="DE332" t="e">
        <f t="shared" ref="DE332:DE395" si="150">CZ332</f>
        <v>#N/A</v>
      </c>
      <c r="DG332" t="e">
        <v>#N/A</v>
      </c>
      <c r="DH332" t="e">
        <v>#N/A</v>
      </c>
    </row>
    <row r="333" spans="32:112">
      <c r="AF333">
        <v>323</v>
      </c>
      <c r="AG333" s="401">
        <f>'Lab test'!N326</f>
        <v>154.81299999999999</v>
      </c>
      <c r="AH333" s="401">
        <f>'Lab test'!M326</f>
        <v>2.9464000000000001</v>
      </c>
      <c r="AI333">
        <f>IF('Lab test'!O326&gt;0,'Lab test'!O326,NA())</f>
        <v>2286</v>
      </c>
      <c r="AJ333">
        <f>'Lab test'!Q326</f>
        <v>52.543100000000003</v>
      </c>
      <c r="AK333" s="401">
        <f>IF('Lab test'!V326&gt;0,'Lab test'!V326,NA())</f>
        <v>193709.84739047621</v>
      </c>
      <c r="AL333" s="7">
        <f>IF(MAX('Lab test'!W326,'Lab test'!X326)&gt;0,MAX('Lab test'!W326,'Lab test'!X326),NA())</f>
        <v>220.63220000000001</v>
      </c>
      <c r="AM333" s="401">
        <f>IF('Lab test'!P326&gt;0,'Lab test'!P326,NA())</f>
        <v>2.0370933878920425</v>
      </c>
      <c r="AN333" s="401">
        <f>IF('Lab test'!AU326&gt;0,'Lab test'!AU326,NA())</f>
        <v>0.77187509348136851</v>
      </c>
      <c r="AO333" s="401">
        <f>IF('Lab test'!AT326&gt;0,'Lab test'!AT326,NA())</f>
        <v>7.632402556224846E-2</v>
      </c>
      <c r="AP333">
        <f t="shared" si="129"/>
        <v>1</v>
      </c>
      <c r="AQ333" s="401">
        <f>'Lab test'!AZ326</f>
        <v>1937</v>
      </c>
      <c r="AR333" t="str">
        <f>'Lab test'!AC326</f>
        <v>CLTW</v>
      </c>
      <c r="AS333" t="str">
        <f>'Lab test'!T326</f>
        <v>Steel</v>
      </c>
      <c r="AX333" t="e">
        <f t="shared" si="136"/>
        <v>#N/A</v>
      </c>
      <c r="AY333" t="e">
        <f t="shared" si="130"/>
        <v>#N/A</v>
      </c>
      <c r="AZ333" t="e">
        <f t="shared" si="133"/>
        <v>#N/A</v>
      </c>
      <c r="BA333" t="e">
        <f t="shared" si="133"/>
        <v>#N/A</v>
      </c>
      <c r="BB333" t="e">
        <f t="shared" si="133"/>
        <v>#N/A</v>
      </c>
      <c r="BC333" t="e">
        <f t="shared" si="133"/>
        <v>#N/A</v>
      </c>
      <c r="BD333" t="e">
        <f t="shared" si="133"/>
        <v>#N/A</v>
      </c>
      <c r="BG333" t="e">
        <f t="shared" si="137"/>
        <v>#N/A</v>
      </c>
      <c r="BH333" t="e">
        <f t="shared" si="131"/>
        <v>#N/A</v>
      </c>
      <c r="BI333" t="e">
        <f t="shared" si="134"/>
        <v>#N/A</v>
      </c>
      <c r="BJ333" t="e">
        <f t="shared" si="134"/>
        <v>#N/A</v>
      </c>
      <c r="BK333" t="e">
        <f t="shared" si="134"/>
        <v>#N/A</v>
      </c>
      <c r="BL333" t="e">
        <f t="shared" si="134"/>
        <v>#N/A</v>
      </c>
      <c r="BM333" t="e">
        <f t="shared" si="134"/>
        <v>#N/A</v>
      </c>
      <c r="BP333" t="e">
        <f t="shared" si="138"/>
        <v>#N/A</v>
      </c>
      <c r="BQ333" t="e">
        <f t="shared" si="132"/>
        <v>#N/A</v>
      </c>
      <c r="BR333" t="e">
        <f t="shared" si="135"/>
        <v>#N/A</v>
      </c>
      <c r="BS333" t="e">
        <f t="shared" si="135"/>
        <v>#N/A</v>
      </c>
      <c r="BT333" t="e">
        <f t="shared" si="135"/>
        <v>#N/A</v>
      </c>
      <c r="BU333" t="e">
        <f t="shared" si="135"/>
        <v>#N/A</v>
      </c>
      <c r="BV333" t="e">
        <f t="shared" si="135"/>
        <v>#N/A</v>
      </c>
      <c r="BY333" t="e">
        <f t="shared" si="139"/>
        <v>#N/A</v>
      </c>
      <c r="BZ333" t="e">
        <v>#N/A</v>
      </c>
      <c r="CA333" t="e" cm="1">
        <f t="array" ref="CA333">IF(ISNUMBER(BZ333),AF333/COUNT(IF(ISNUMBER(_xlfn.ANCHORARRAY($BZ$11)),_xlfn.ANCHORARRAY($BZ$11))),NA())</f>
        <v>#N/A</v>
      </c>
      <c r="CB333" t="e">
        <f t="shared" si="140"/>
        <v>#N/A</v>
      </c>
      <c r="CD333" t="e">
        <f t="shared" si="141"/>
        <v>#N/A</v>
      </c>
      <c r="CE333" t="e">
        <f t="shared" si="142"/>
        <v>#N/A</v>
      </c>
      <c r="CG333" t="e">
        <v>#N/A</v>
      </c>
      <c r="CH333" t="e">
        <v>#N/A</v>
      </c>
      <c r="CL333" t="e">
        <f t="shared" si="143"/>
        <v>#N/A</v>
      </c>
      <c r="CM333" t="e">
        <v>#N/A</v>
      </c>
      <c r="CN333" t="e" cm="1">
        <f t="array" ref="CN333">IF(ISNUMBER(CM333),AF333/COUNT(IF(ISNUMBER(_xlfn.ANCHORARRAY($CM$11)),_xlfn.ANCHORARRAY($CM$11))),NA())</f>
        <v>#N/A</v>
      </c>
      <c r="CO333" t="e">
        <f t="shared" si="144"/>
        <v>#N/A</v>
      </c>
      <c r="CQ333" t="e">
        <f t="shared" si="145"/>
        <v>#N/A</v>
      </c>
      <c r="CR333" t="e">
        <f t="shared" si="146"/>
        <v>#N/A</v>
      </c>
      <c r="CT333" t="e">
        <v>#N/A</v>
      </c>
      <c r="CU333" t="e">
        <v>#N/A</v>
      </c>
      <c r="CY333" t="e">
        <f t="shared" si="147"/>
        <v>#N/A</v>
      </c>
      <c r="CZ333" t="e">
        <v>#N/A</v>
      </c>
      <c r="DA333" t="e" cm="1">
        <f t="array" ref="DA333">IF(ISNUMBER(CZ333),AF333/COUNT(IF(ISNUMBER(_xlfn.ANCHORARRAY($CZ$11)),_xlfn.ANCHORARRAY($CZ$11))),NA())</f>
        <v>#N/A</v>
      </c>
      <c r="DB333" t="e">
        <f t="shared" si="148"/>
        <v>#N/A</v>
      </c>
      <c r="DD333" t="e">
        <f t="shared" si="149"/>
        <v>#N/A</v>
      </c>
      <c r="DE333" t="e">
        <f t="shared" si="150"/>
        <v>#N/A</v>
      </c>
      <c r="DG333" t="e">
        <v>#N/A</v>
      </c>
      <c r="DH333" t="e">
        <v>#N/A</v>
      </c>
    </row>
    <row r="334" spans="32:112">
      <c r="AF334">
        <v>324</v>
      </c>
      <c r="AG334" s="401">
        <f>'Lab test'!N327</f>
        <v>154.81299999999999</v>
      </c>
      <c r="AH334" s="401">
        <f>'Lab test'!M327</f>
        <v>2.9464000000000001</v>
      </c>
      <c r="AI334">
        <f>IF('Lab test'!O327&gt;0,'Lab test'!O327,NA())</f>
        <v>2286</v>
      </c>
      <c r="AJ334">
        <f>'Lab test'!Q327</f>
        <v>52.543100000000003</v>
      </c>
      <c r="AK334" s="401">
        <f>IF('Lab test'!V327&gt;0,'Lab test'!V327,NA())</f>
        <v>193709.84739047621</v>
      </c>
      <c r="AL334" s="7">
        <f>IF(MAX('Lab test'!W327,'Lab test'!X327)&gt;0,MAX('Lab test'!W327,'Lab test'!X327),NA())</f>
        <v>234.42169999999999</v>
      </c>
      <c r="AM334" s="401">
        <f>IF('Lab test'!P327&gt;0,'Lab test'!P327,NA())</f>
        <v>2.0370933878920425</v>
      </c>
      <c r="AN334" s="401">
        <f>IF('Lab test'!AU327&gt;0,'Lab test'!AU327,NA())</f>
        <v>0.72941199556184444</v>
      </c>
      <c r="AO334" s="401">
        <f>IF('Lab test'!AT327&gt;0,'Lab test'!AT327,NA())</f>
        <v>7.6633040601107247E-2</v>
      </c>
      <c r="AP334">
        <f t="shared" si="129"/>
        <v>1</v>
      </c>
      <c r="AQ334" s="401">
        <f>'Lab test'!AZ327</f>
        <v>1937</v>
      </c>
      <c r="AR334" t="str">
        <f>'Lab test'!AC327</f>
        <v>CLTW</v>
      </c>
      <c r="AS334" t="str">
        <f>'Lab test'!T327</f>
        <v>Steel</v>
      </c>
      <c r="AX334" t="e">
        <f t="shared" si="136"/>
        <v>#N/A</v>
      </c>
      <c r="AY334" t="e">
        <f t="shared" si="130"/>
        <v>#N/A</v>
      </c>
      <c r="AZ334" t="e">
        <f t="shared" si="133"/>
        <v>#N/A</v>
      </c>
      <c r="BA334" t="e">
        <f t="shared" si="133"/>
        <v>#N/A</v>
      </c>
      <c r="BB334" t="e">
        <f t="shared" si="133"/>
        <v>#N/A</v>
      </c>
      <c r="BC334" t="e">
        <f t="shared" si="133"/>
        <v>#N/A</v>
      </c>
      <c r="BD334" t="e">
        <f t="shared" si="133"/>
        <v>#N/A</v>
      </c>
      <c r="BG334" t="e">
        <f t="shared" si="137"/>
        <v>#N/A</v>
      </c>
      <c r="BH334" t="e">
        <f t="shared" si="131"/>
        <v>#N/A</v>
      </c>
      <c r="BI334" t="e">
        <f t="shared" si="134"/>
        <v>#N/A</v>
      </c>
      <c r="BJ334" t="e">
        <f t="shared" si="134"/>
        <v>#N/A</v>
      </c>
      <c r="BK334" t="e">
        <f t="shared" si="134"/>
        <v>#N/A</v>
      </c>
      <c r="BL334" t="e">
        <f t="shared" si="134"/>
        <v>#N/A</v>
      </c>
      <c r="BM334" t="e">
        <f t="shared" si="134"/>
        <v>#N/A</v>
      </c>
      <c r="BP334" t="e">
        <f t="shared" si="138"/>
        <v>#N/A</v>
      </c>
      <c r="BQ334" t="e">
        <f t="shared" si="132"/>
        <v>#N/A</v>
      </c>
      <c r="BR334" t="e">
        <f t="shared" si="135"/>
        <v>#N/A</v>
      </c>
      <c r="BS334" t="e">
        <f t="shared" si="135"/>
        <v>#N/A</v>
      </c>
      <c r="BT334" t="e">
        <f t="shared" si="135"/>
        <v>#N/A</v>
      </c>
      <c r="BU334" t="e">
        <f t="shared" si="135"/>
        <v>#N/A</v>
      </c>
      <c r="BV334" t="e">
        <f t="shared" si="135"/>
        <v>#N/A</v>
      </c>
      <c r="BY334" t="e">
        <f t="shared" si="139"/>
        <v>#N/A</v>
      </c>
      <c r="BZ334" t="e">
        <v>#N/A</v>
      </c>
      <c r="CA334" t="e" cm="1">
        <f t="array" ref="CA334">IF(ISNUMBER(BZ334),AF334/COUNT(IF(ISNUMBER(_xlfn.ANCHORARRAY($BZ$11)),_xlfn.ANCHORARRAY($BZ$11))),NA())</f>
        <v>#N/A</v>
      </c>
      <c r="CB334" t="e">
        <f t="shared" si="140"/>
        <v>#N/A</v>
      </c>
      <c r="CD334" t="e">
        <f t="shared" si="141"/>
        <v>#N/A</v>
      </c>
      <c r="CE334" t="e">
        <f t="shared" si="142"/>
        <v>#N/A</v>
      </c>
      <c r="CG334" t="e">
        <v>#N/A</v>
      </c>
      <c r="CH334" t="e">
        <v>#N/A</v>
      </c>
      <c r="CL334" t="e">
        <f t="shared" si="143"/>
        <v>#N/A</v>
      </c>
      <c r="CM334" t="e">
        <v>#N/A</v>
      </c>
      <c r="CN334" t="e" cm="1">
        <f t="array" ref="CN334">IF(ISNUMBER(CM334),AF334/COUNT(IF(ISNUMBER(_xlfn.ANCHORARRAY($CM$11)),_xlfn.ANCHORARRAY($CM$11))),NA())</f>
        <v>#N/A</v>
      </c>
      <c r="CO334" t="e">
        <f t="shared" si="144"/>
        <v>#N/A</v>
      </c>
      <c r="CQ334" t="e">
        <f t="shared" si="145"/>
        <v>#N/A</v>
      </c>
      <c r="CR334" t="e">
        <f t="shared" si="146"/>
        <v>#N/A</v>
      </c>
      <c r="CT334" t="e">
        <v>#N/A</v>
      </c>
      <c r="CU334" t="e">
        <v>#N/A</v>
      </c>
      <c r="CY334" t="e">
        <f t="shared" si="147"/>
        <v>#N/A</v>
      </c>
      <c r="CZ334" t="e">
        <v>#N/A</v>
      </c>
      <c r="DA334" t="e" cm="1">
        <f t="array" ref="DA334">IF(ISNUMBER(CZ334),AF334/COUNT(IF(ISNUMBER(_xlfn.ANCHORARRAY($CZ$11)),_xlfn.ANCHORARRAY($CZ$11))),NA())</f>
        <v>#N/A</v>
      </c>
      <c r="DB334" t="e">
        <f t="shared" si="148"/>
        <v>#N/A</v>
      </c>
      <c r="DD334" t="e">
        <f t="shared" si="149"/>
        <v>#N/A</v>
      </c>
      <c r="DE334" t="e">
        <f t="shared" si="150"/>
        <v>#N/A</v>
      </c>
      <c r="DG334" t="e">
        <v>#N/A</v>
      </c>
      <c r="DH334" t="e">
        <v>#N/A</v>
      </c>
    </row>
    <row r="335" spans="32:112">
      <c r="AF335">
        <v>325</v>
      </c>
      <c r="AG335" s="401">
        <f>'Lab test'!N328</f>
        <v>431.8</v>
      </c>
      <c r="AH335" s="401">
        <f>'Lab test'!M328</f>
        <v>12.2936</v>
      </c>
      <c r="AI335">
        <f>IF('Lab test'!O328&gt;0,'Lab test'!O328,NA())</f>
        <v>9144</v>
      </c>
      <c r="AJ335">
        <f>'Lab test'!Q328</f>
        <v>35.12397</v>
      </c>
      <c r="AK335" s="401">
        <f>IF('Lab test'!V328&gt;0,'Lab test'!V328,NA())</f>
        <v>184407.39709206353</v>
      </c>
      <c r="AL335" s="7">
        <f>IF(MAX('Lab test'!W328,'Lab test'!X328)&gt;0,MAX('Lab test'!W328,'Lab test'!X328),NA())</f>
        <v>220.63220000000001</v>
      </c>
      <c r="AM335" s="401">
        <f>IF('Lab test'!P328&gt;0,'Lab test'!P328,NA())</f>
        <v>3.5731545362771611</v>
      </c>
      <c r="AN335" s="401">
        <f>IF('Lab test'!AU328&gt;0,'Lab test'!AU328,NA())</f>
        <v>1.0859375920649841</v>
      </c>
      <c r="AO335" s="401">
        <f>IF('Lab test'!AT328&gt;0,'Lab test'!AT328,NA())</f>
        <v>7.5401556039258216E-2</v>
      </c>
      <c r="AP335">
        <f t="shared" si="129"/>
        <v>1</v>
      </c>
      <c r="AQ335" s="401">
        <f>'Lab test'!AZ328</f>
        <v>1937</v>
      </c>
      <c r="AR335" t="str">
        <f>'Lab test'!AC328</f>
        <v>CLTW</v>
      </c>
      <c r="AS335" t="str">
        <f>'Lab test'!T328</f>
        <v>Steel</v>
      </c>
      <c r="AX335" t="e">
        <f t="shared" si="136"/>
        <v>#N/A</v>
      </c>
      <c r="AY335" t="e">
        <f t="shared" si="130"/>
        <v>#N/A</v>
      </c>
      <c r="AZ335" t="e">
        <f t="shared" si="133"/>
        <v>#N/A</v>
      </c>
      <c r="BA335" t="e">
        <f t="shared" si="133"/>
        <v>#N/A</v>
      </c>
      <c r="BB335" t="e">
        <f t="shared" si="133"/>
        <v>#N/A</v>
      </c>
      <c r="BC335" t="e">
        <f t="shared" si="133"/>
        <v>#N/A</v>
      </c>
      <c r="BD335" t="e">
        <f t="shared" si="133"/>
        <v>#N/A</v>
      </c>
      <c r="BG335" t="e">
        <f t="shared" si="137"/>
        <v>#N/A</v>
      </c>
      <c r="BH335" t="e">
        <f t="shared" si="131"/>
        <v>#N/A</v>
      </c>
      <c r="BI335" t="e">
        <f t="shared" si="134"/>
        <v>#N/A</v>
      </c>
      <c r="BJ335" t="e">
        <f t="shared" si="134"/>
        <v>#N/A</v>
      </c>
      <c r="BK335" t="e">
        <f t="shared" si="134"/>
        <v>#N/A</v>
      </c>
      <c r="BL335" t="e">
        <f t="shared" si="134"/>
        <v>#N/A</v>
      </c>
      <c r="BM335" t="e">
        <f t="shared" si="134"/>
        <v>#N/A</v>
      </c>
      <c r="BP335" t="e">
        <f t="shared" si="138"/>
        <v>#N/A</v>
      </c>
      <c r="BQ335" t="e">
        <f t="shared" si="132"/>
        <v>#N/A</v>
      </c>
      <c r="BR335" t="e">
        <f t="shared" si="135"/>
        <v>#N/A</v>
      </c>
      <c r="BS335" t="e">
        <f t="shared" si="135"/>
        <v>#N/A</v>
      </c>
      <c r="BT335" t="e">
        <f t="shared" si="135"/>
        <v>#N/A</v>
      </c>
      <c r="BU335" t="e">
        <f t="shared" si="135"/>
        <v>#N/A</v>
      </c>
      <c r="BV335" t="e">
        <f t="shared" si="135"/>
        <v>#N/A</v>
      </c>
      <c r="BY335" t="e">
        <f t="shared" si="139"/>
        <v>#N/A</v>
      </c>
      <c r="BZ335" t="e">
        <v>#N/A</v>
      </c>
      <c r="CA335" t="e" cm="1">
        <f t="array" ref="CA335">IF(ISNUMBER(BZ335),AF335/COUNT(IF(ISNUMBER(_xlfn.ANCHORARRAY($BZ$11)),_xlfn.ANCHORARRAY($BZ$11))),NA())</f>
        <v>#N/A</v>
      </c>
      <c r="CB335" t="e">
        <f t="shared" si="140"/>
        <v>#N/A</v>
      </c>
      <c r="CD335" t="e">
        <f t="shared" si="141"/>
        <v>#N/A</v>
      </c>
      <c r="CE335" t="e">
        <f t="shared" si="142"/>
        <v>#N/A</v>
      </c>
      <c r="CG335" t="e">
        <v>#N/A</v>
      </c>
      <c r="CH335" t="e">
        <v>#N/A</v>
      </c>
      <c r="CL335" t="e">
        <f t="shared" si="143"/>
        <v>#N/A</v>
      </c>
      <c r="CM335" t="e">
        <v>#N/A</v>
      </c>
      <c r="CN335" t="e" cm="1">
        <f t="array" ref="CN335">IF(ISNUMBER(CM335),AF335/COUNT(IF(ISNUMBER(_xlfn.ANCHORARRAY($CM$11)),_xlfn.ANCHORARRAY($CM$11))),NA())</f>
        <v>#N/A</v>
      </c>
      <c r="CO335" t="e">
        <f t="shared" si="144"/>
        <v>#N/A</v>
      </c>
      <c r="CQ335" t="e">
        <f t="shared" si="145"/>
        <v>#N/A</v>
      </c>
      <c r="CR335" t="e">
        <f t="shared" si="146"/>
        <v>#N/A</v>
      </c>
      <c r="CT335" t="e">
        <v>#N/A</v>
      </c>
      <c r="CU335" t="e">
        <v>#N/A</v>
      </c>
      <c r="CY335" t="e">
        <f t="shared" si="147"/>
        <v>#N/A</v>
      </c>
      <c r="CZ335" t="e">
        <v>#N/A</v>
      </c>
      <c r="DA335" t="e" cm="1">
        <f t="array" ref="DA335">IF(ISNUMBER(CZ335),AF335/COUNT(IF(ISNUMBER(_xlfn.ANCHORARRAY($CZ$11)),_xlfn.ANCHORARRAY($CZ$11))),NA())</f>
        <v>#N/A</v>
      </c>
      <c r="DB335" t="e">
        <f t="shared" si="148"/>
        <v>#N/A</v>
      </c>
      <c r="DD335" t="e">
        <f t="shared" si="149"/>
        <v>#N/A</v>
      </c>
      <c r="DE335" t="e">
        <f t="shared" si="150"/>
        <v>#N/A</v>
      </c>
      <c r="DG335" t="e">
        <v>#N/A</v>
      </c>
      <c r="DH335" t="e">
        <v>#N/A</v>
      </c>
    </row>
    <row r="336" spans="32:112">
      <c r="AF336">
        <v>326</v>
      </c>
      <c r="AG336" s="401">
        <f>'Lab test'!N329</f>
        <v>431.8</v>
      </c>
      <c r="AH336" s="401">
        <f>'Lab test'!M329</f>
        <v>12.471399999999999</v>
      </c>
      <c r="AI336">
        <f>IF('Lab test'!O329&gt;0,'Lab test'!O329,NA())</f>
        <v>9144</v>
      </c>
      <c r="AJ336">
        <f>'Lab test'!Q329</f>
        <v>34.623220000000003</v>
      </c>
      <c r="AK336" s="401">
        <f>IF('Lab test'!V329&gt;0,'Lab test'!V329,NA())</f>
        <v>184407.39709206353</v>
      </c>
      <c r="AL336" s="7">
        <f>IF(MAX('Lab test'!W329,'Lab test'!X329)&gt;0,MAX('Lab test'!W329,'Lab test'!X329),NA())</f>
        <v>224.0796</v>
      </c>
      <c r="AM336" s="401">
        <f>IF('Lab test'!P329&gt;0,'Lab test'!P329,NA())</f>
        <v>3.5989007073895056</v>
      </c>
      <c r="AN336" s="401">
        <f>IF('Lab test'!AU329&gt;0,'Lab test'!AU329,NA())</f>
        <v>1.1243076121164086</v>
      </c>
      <c r="AO336" s="401">
        <f>IF('Lab test'!AT329&gt;0,'Lab test'!AT329,NA())</f>
        <v>7.8155201402365912E-2</v>
      </c>
      <c r="AP336">
        <f t="shared" si="129"/>
        <v>1</v>
      </c>
      <c r="AQ336" s="401">
        <f>'Lab test'!AZ329</f>
        <v>1937</v>
      </c>
      <c r="AR336" t="str">
        <f>'Lab test'!AC329</f>
        <v>CLTW</v>
      </c>
      <c r="AS336" t="str">
        <f>'Lab test'!T329</f>
        <v>Steel</v>
      </c>
      <c r="AX336" t="e">
        <f t="shared" si="136"/>
        <v>#N/A</v>
      </c>
      <c r="AY336" t="e">
        <f t="shared" si="130"/>
        <v>#N/A</v>
      </c>
      <c r="AZ336" t="e">
        <f t="shared" si="133"/>
        <v>#N/A</v>
      </c>
      <c r="BA336" t="e">
        <f t="shared" si="133"/>
        <v>#N/A</v>
      </c>
      <c r="BB336" t="e">
        <f t="shared" si="133"/>
        <v>#N/A</v>
      </c>
      <c r="BC336" t="e">
        <f t="shared" si="133"/>
        <v>#N/A</v>
      </c>
      <c r="BD336" t="e">
        <f t="shared" si="133"/>
        <v>#N/A</v>
      </c>
      <c r="BG336" t="e">
        <f t="shared" si="137"/>
        <v>#N/A</v>
      </c>
      <c r="BH336" t="e">
        <f t="shared" si="131"/>
        <v>#N/A</v>
      </c>
      <c r="BI336" t="e">
        <f t="shared" si="134"/>
        <v>#N/A</v>
      </c>
      <c r="BJ336" t="e">
        <f t="shared" si="134"/>
        <v>#N/A</v>
      </c>
      <c r="BK336" t="e">
        <f t="shared" si="134"/>
        <v>#N/A</v>
      </c>
      <c r="BL336" t="e">
        <f t="shared" si="134"/>
        <v>#N/A</v>
      </c>
      <c r="BM336" t="e">
        <f t="shared" si="134"/>
        <v>#N/A</v>
      </c>
      <c r="BP336" t="e">
        <f t="shared" si="138"/>
        <v>#N/A</v>
      </c>
      <c r="BQ336" t="e">
        <f t="shared" si="132"/>
        <v>#N/A</v>
      </c>
      <c r="BR336" t="e">
        <f t="shared" si="135"/>
        <v>#N/A</v>
      </c>
      <c r="BS336" t="e">
        <f t="shared" si="135"/>
        <v>#N/A</v>
      </c>
      <c r="BT336" t="e">
        <f t="shared" si="135"/>
        <v>#N/A</v>
      </c>
      <c r="BU336" t="e">
        <f t="shared" si="135"/>
        <v>#N/A</v>
      </c>
      <c r="BV336" t="e">
        <f t="shared" si="135"/>
        <v>#N/A</v>
      </c>
      <c r="BY336" t="e">
        <f t="shared" si="139"/>
        <v>#N/A</v>
      </c>
      <c r="BZ336" t="e">
        <v>#N/A</v>
      </c>
      <c r="CA336" t="e" cm="1">
        <f t="array" ref="CA336">IF(ISNUMBER(BZ336),AF336/COUNT(IF(ISNUMBER(_xlfn.ANCHORARRAY($BZ$11)),_xlfn.ANCHORARRAY($BZ$11))),NA())</f>
        <v>#N/A</v>
      </c>
      <c r="CB336" t="e">
        <f t="shared" si="140"/>
        <v>#N/A</v>
      </c>
      <c r="CD336" t="e">
        <f t="shared" si="141"/>
        <v>#N/A</v>
      </c>
      <c r="CE336" t="e">
        <f t="shared" si="142"/>
        <v>#N/A</v>
      </c>
      <c r="CG336" t="e">
        <v>#N/A</v>
      </c>
      <c r="CH336" t="e">
        <v>#N/A</v>
      </c>
      <c r="CL336" t="e">
        <f t="shared" si="143"/>
        <v>#N/A</v>
      </c>
      <c r="CM336" t="e">
        <v>#N/A</v>
      </c>
      <c r="CN336" t="e" cm="1">
        <f t="array" ref="CN336">IF(ISNUMBER(CM336),AF336/COUNT(IF(ISNUMBER(_xlfn.ANCHORARRAY($CM$11)),_xlfn.ANCHORARRAY($CM$11))),NA())</f>
        <v>#N/A</v>
      </c>
      <c r="CO336" t="e">
        <f t="shared" si="144"/>
        <v>#N/A</v>
      </c>
      <c r="CQ336" t="e">
        <f t="shared" si="145"/>
        <v>#N/A</v>
      </c>
      <c r="CR336" t="e">
        <f t="shared" si="146"/>
        <v>#N/A</v>
      </c>
      <c r="CT336" t="e">
        <v>#N/A</v>
      </c>
      <c r="CU336" t="e">
        <v>#N/A</v>
      </c>
      <c r="CY336" t="e">
        <f t="shared" si="147"/>
        <v>#N/A</v>
      </c>
      <c r="CZ336" t="e">
        <v>#N/A</v>
      </c>
      <c r="DA336" t="e" cm="1">
        <f t="array" ref="DA336">IF(ISNUMBER(CZ336),AF336/COUNT(IF(ISNUMBER(_xlfn.ANCHORARRAY($CZ$11)),_xlfn.ANCHORARRAY($CZ$11))),NA())</f>
        <v>#N/A</v>
      </c>
      <c r="DB336" t="e">
        <f t="shared" si="148"/>
        <v>#N/A</v>
      </c>
      <c r="DD336" t="e">
        <f t="shared" si="149"/>
        <v>#N/A</v>
      </c>
      <c r="DE336" t="e">
        <f t="shared" si="150"/>
        <v>#N/A</v>
      </c>
      <c r="DG336" t="e">
        <v>#N/A</v>
      </c>
      <c r="DH336" t="e">
        <v>#N/A</v>
      </c>
    </row>
    <row r="337" spans="32:112">
      <c r="AF337">
        <v>327</v>
      </c>
      <c r="AG337" s="401">
        <f>'Lab test'!N330</f>
        <v>609.6</v>
      </c>
      <c r="AH337" s="401">
        <f>'Lab test'!M330</f>
        <v>9.3726000000000003</v>
      </c>
      <c r="AI337">
        <f>IF('Lab test'!O330&gt;0,'Lab test'!O330,NA())</f>
        <v>9144</v>
      </c>
      <c r="AJ337">
        <f>'Lab test'!Q330</f>
        <v>65.040649999999999</v>
      </c>
      <c r="AK337" s="401">
        <f>IF('Lab test'!V330&gt;0,'Lab test'!V330,NA())</f>
        <v>179838.25238666666</v>
      </c>
      <c r="AL337" s="7">
        <f>IF(MAX('Lab test'!W330,'Lab test'!X330)&gt;0,MAX('Lab test'!W330,'Lab test'!X330),NA())</f>
        <v>220.63220000000001</v>
      </c>
      <c r="AM337" s="401">
        <f>IF('Lab test'!P330&gt;0,'Lab test'!P330,NA())</f>
        <v>1.8599395151455866</v>
      </c>
      <c r="AN337" s="401">
        <f>IF('Lab test'!AU330&gt;0,'Lab test'!AU330,NA())</f>
        <v>0.95593752861096426</v>
      </c>
      <c r="AO337" s="401">
        <f>IF('Lab test'!AT330&gt;0,'Lab test'!AT330,NA())</f>
        <v>0.12603249466126315</v>
      </c>
      <c r="AP337">
        <f t="shared" si="129"/>
        <v>1</v>
      </c>
      <c r="AQ337" s="401">
        <f>'Lab test'!AZ330</f>
        <v>1937</v>
      </c>
      <c r="AR337" t="str">
        <f>'Lab test'!AC330</f>
        <v>CLTW</v>
      </c>
      <c r="AS337" t="str">
        <f>'Lab test'!T330</f>
        <v>Steel</v>
      </c>
      <c r="AX337" t="e">
        <f t="shared" si="136"/>
        <v>#N/A</v>
      </c>
      <c r="AY337" t="e">
        <f t="shared" si="130"/>
        <v>#N/A</v>
      </c>
      <c r="AZ337" t="e">
        <f t="shared" si="133"/>
        <v>#N/A</v>
      </c>
      <c r="BA337" t="e">
        <f t="shared" si="133"/>
        <v>#N/A</v>
      </c>
      <c r="BB337" t="e">
        <f t="shared" si="133"/>
        <v>#N/A</v>
      </c>
      <c r="BC337" t="e">
        <f t="shared" si="133"/>
        <v>#N/A</v>
      </c>
      <c r="BD337" t="e">
        <f t="shared" si="133"/>
        <v>#N/A</v>
      </c>
      <c r="BG337" t="e">
        <f t="shared" si="137"/>
        <v>#N/A</v>
      </c>
      <c r="BH337" t="e">
        <f t="shared" si="131"/>
        <v>#N/A</v>
      </c>
      <c r="BI337" t="e">
        <f t="shared" si="134"/>
        <v>#N/A</v>
      </c>
      <c r="BJ337" t="e">
        <f t="shared" si="134"/>
        <v>#N/A</v>
      </c>
      <c r="BK337" t="e">
        <f t="shared" si="134"/>
        <v>#N/A</v>
      </c>
      <c r="BL337" t="e">
        <f t="shared" si="134"/>
        <v>#N/A</v>
      </c>
      <c r="BM337" t="e">
        <f t="shared" si="134"/>
        <v>#N/A</v>
      </c>
      <c r="BP337" t="e">
        <f t="shared" si="138"/>
        <v>#N/A</v>
      </c>
      <c r="BQ337" t="e">
        <f t="shared" si="132"/>
        <v>#N/A</v>
      </c>
      <c r="BR337" t="e">
        <f t="shared" si="135"/>
        <v>#N/A</v>
      </c>
      <c r="BS337" t="e">
        <f t="shared" si="135"/>
        <v>#N/A</v>
      </c>
      <c r="BT337" t="e">
        <f t="shared" si="135"/>
        <v>#N/A</v>
      </c>
      <c r="BU337" t="e">
        <f t="shared" si="135"/>
        <v>#N/A</v>
      </c>
      <c r="BV337" t="e">
        <f t="shared" si="135"/>
        <v>#N/A</v>
      </c>
      <c r="BY337" t="e">
        <f t="shared" si="139"/>
        <v>#N/A</v>
      </c>
      <c r="BZ337" t="e">
        <v>#N/A</v>
      </c>
      <c r="CA337" t="e" cm="1">
        <f t="array" ref="CA337">IF(ISNUMBER(BZ337),AF337/COUNT(IF(ISNUMBER(_xlfn.ANCHORARRAY($BZ$11)),_xlfn.ANCHORARRAY($BZ$11))),NA())</f>
        <v>#N/A</v>
      </c>
      <c r="CB337" t="e">
        <f t="shared" si="140"/>
        <v>#N/A</v>
      </c>
      <c r="CD337" t="e">
        <f t="shared" si="141"/>
        <v>#N/A</v>
      </c>
      <c r="CE337" t="e">
        <f t="shared" si="142"/>
        <v>#N/A</v>
      </c>
      <c r="CG337" t="e">
        <v>#N/A</v>
      </c>
      <c r="CH337" t="e">
        <v>#N/A</v>
      </c>
      <c r="CL337" t="e">
        <f t="shared" si="143"/>
        <v>#N/A</v>
      </c>
      <c r="CM337" t="e">
        <v>#N/A</v>
      </c>
      <c r="CN337" t="e" cm="1">
        <f t="array" ref="CN337">IF(ISNUMBER(CM337),AF337/COUNT(IF(ISNUMBER(_xlfn.ANCHORARRAY($CM$11)),_xlfn.ANCHORARRAY($CM$11))),NA())</f>
        <v>#N/A</v>
      </c>
      <c r="CO337" t="e">
        <f t="shared" si="144"/>
        <v>#N/A</v>
      </c>
      <c r="CQ337" t="e">
        <f t="shared" si="145"/>
        <v>#N/A</v>
      </c>
      <c r="CR337" t="e">
        <f t="shared" si="146"/>
        <v>#N/A</v>
      </c>
      <c r="CT337" t="e">
        <v>#N/A</v>
      </c>
      <c r="CU337" t="e">
        <v>#N/A</v>
      </c>
      <c r="CY337" t="e">
        <f t="shared" si="147"/>
        <v>#N/A</v>
      </c>
      <c r="CZ337" t="e">
        <v>#N/A</v>
      </c>
      <c r="DA337" t="e" cm="1">
        <f t="array" ref="DA337">IF(ISNUMBER(CZ337),AF337/COUNT(IF(ISNUMBER(_xlfn.ANCHORARRAY($CZ$11)),_xlfn.ANCHORARRAY($CZ$11))),NA())</f>
        <v>#N/A</v>
      </c>
      <c r="DB337" t="e">
        <f t="shared" si="148"/>
        <v>#N/A</v>
      </c>
      <c r="DD337" t="e">
        <f t="shared" si="149"/>
        <v>#N/A</v>
      </c>
      <c r="DE337" t="e">
        <f t="shared" si="150"/>
        <v>#N/A</v>
      </c>
      <c r="DG337" t="e">
        <v>#N/A</v>
      </c>
      <c r="DH337" t="e">
        <v>#N/A</v>
      </c>
    </row>
    <row r="338" spans="32:112">
      <c r="AF338">
        <v>328</v>
      </c>
      <c r="AG338" s="401">
        <f>'Lab test'!N331</f>
        <v>609.6</v>
      </c>
      <c r="AH338" s="401">
        <f>'Lab test'!M331</f>
        <v>9.3217999999999996</v>
      </c>
      <c r="AI338">
        <f>IF('Lab test'!O331&gt;0,'Lab test'!O331,NA())</f>
        <v>9144</v>
      </c>
      <c r="AJ338">
        <f>'Lab test'!Q331</f>
        <v>65.395099999999999</v>
      </c>
      <c r="AK338" s="401">
        <f>IF('Lab test'!V331&gt;0,'Lab test'!V331,NA())</f>
        <v>179838.25238666666</v>
      </c>
      <c r="AL338" s="7">
        <f>IF(MAX('Lab test'!W331,'Lab test'!X331)&gt;0,MAX('Lab test'!W331,'Lab test'!X331),NA())</f>
        <v>227.52699999999999</v>
      </c>
      <c r="AM338" s="401">
        <f>IF('Lab test'!P331&gt;0,'Lab test'!P331,NA())</f>
        <v>1.8548921801549545</v>
      </c>
      <c r="AN338" s="401">
        <f>IF('Lab test'!AU331&gt;0,'Lab test'!AU331,NA())</f>
        <v>0.95484843557028409</v>
      </c>
      <c r="AO338" s="401">
        <f>IF('Lab test'!AT331&gt;0,'Lab test'!AT331,NA())</f>
        <v>0.13053044207686629</v>
      </c>
      <c r="AP338">
        <f t="shared" si="129"/>
        <v>1</v>
      </c>
      <c r="AQ338" s="401">
        <f>'Lab test'!AZ331</f>
        <v>1937</v>
      </c>
      <c r="AR338" t="str">
        <f>'Lab test'!AC331</f>
        <v>CLTW</v>
      </c>
      <c r="AS338" t="str">
        <f>'Lab test'!T331</f>
        <v>Steel</v>
      </c>
      <c r="AX338" t="e">
        <f t="shared" si="136"/>
        <v>#N/A</v>
      </c>
      <c r="AY338" t="e">
        <f t="shared" si="130"/>
        <v>#N/A</v>
      </c>
      <c r="AZ338" t="e">
        <f t="shared" si="133"/>
        <v>#N/A</v>
      </c>
      <c r="BA338" t="e">
        <f t="shared" si="133"/>
        <v>#N/A</v>
      </c>
      <c r="BB338" t="e">
        <f t="shared" si="133"/>
        <v>#N/A</v>
      </c>
      <c r="BC338" t="e">
        <f t="shared" si="133"/>
        <v>#N/A</v>
      </c>
      <c r="BD338" t="e">
        <f t="shared" si="133"/>
        <v>#N/A</v>
      </c>
      <c r="BG338" t="e">
        <f t="shared" si="137"/>
        <v>#N/A</v>
      </c>
      <c r="BH338" t="e">
        <f t="shared" si="131"/>
        <v>#N/A</v>
      </c>
      <c r="BI338" t="e">
        <f t="shared" si="134"/>
        <v>#N/A</v>
      </c>
      <c r="BJ338" t="e">
        <f t="shared" si="134"/>
        <v>#N/A</v>
      </c>
      <c r="BK338" t="e">
        <f t="shared" si="134"/>
        <v>#N/A</v>
      </c>
      <c r="BL338" t="e">
        <f t="shared" si="134"/>
        <v>#N/A</v>
      </c>
      <c r="BM338" t="e">
        <f t="shared" si="134"/>
        <v>#N/A</v>
      </c>
      <c r="BP338" t="e">
        <f t="shared" si="138"/>
        <v>#N/A</v>
      </c>
      <c r="BQ338" t="e">
        <f t="shared" si="132"/>
        <v>#N/A</v>
      </c>
      <c r="BR338" t="e">
        <f t="shared" si="135"/>
        <v>#N/A</v>
      </c>
      <c r="BS338" t="e">
        <f t="shared" si="135"/>
        <v>#N/A</v>
      </c>
      <c r="BT338" t="e">
        <f t="shared" si="135"/>
        <v>#N/A</v>
      </c>
      <c r="BU338" t="e">
        <f t="shared" si="135"/>
        <v>#N/A</v>
      </c>
      <c r="BV338" t="e">
        <f t="shared" si="135"/>
        <v>#N/A</v>
      </c>
      <c r="BY338" t="e">
        <f t="shared" si="139"/>
        <v>#N/A</v>
      </c>
      <c r="BZ338" t="e">
        <v>#N/A</v>
      </c>
      <c r="CA338" t="e" cm="1">
        <f t="array" ref="CA338">IF(ISNUMBER(BZ338),AF338/COUNT(IF(ISNUMBER(_xlfn.ANCHORARRAY($BZ$11)),_xlfn.ANCHORARRAY($BZ$11))),NA())</f>
        <v>#N/A</v>
      </c>
      <c r="CB338" t="e">
        <f t="shared" si="140"/>
        <v>#N/A</v>
      </c>
      <c r="CD338" t="e">
        <f t="shared" si="141"/>
        <v>#N/A</v>
      </c>
      <c r="CE338" t="e">
        <f t="shared" si="142"/>
        <v>#N/A</v>
      </c>
      <c r="CG338" t="e">
        <v>#N/A</v>
      </c>
      <c r="CH338" t="e">
        <v>#N/A</v>
      </c>
      <c r="CL338" t="e">
        <f t="shared" si="143"/>
        <v>#N/A</v>
      </c>
      <c r="CM338" t="e">
        <v>#N/A</v>
      </c>
      <c r="CN338" t="e" cm="1">
        <f t="array" ref="CN338">IF(ISNUMBER(CM338),AF338/COUNT(IF(ISNUMBER(_xlfn.ANCHORARRAY($CM$11)),_xlfn.ANCHORARRAY($CM$11))),NA())</f>
        <v>#N/A</v>
      </c>
      <c r="CO338" t="e">
        <f t="shared" si="144"/>
        <v>#N/A</v>
      </c>
      <c r="CQ338" t="e">
        <f t="shared" si="145"/>
        <v>#N/A</v>
      </c>
      <c r="CR338" t="e">
        <f t="shared" si="146"/>
        <v>#N/A</v>
      </c>
      <c r="CT338" t="e">
        <v>#N/A</v>
      </c>
      <c r="CU338" t="e">
        <v>#N/A</v>
      </c>
      <c r="CY338" t="e">
        <f t="shared" si="147"/>
        <v>#N/A</v>
      </c>
      <c r="CZ338" t="e">
        <v>#N/A</v>
      </c>
      <c r="DA338" t="e" cm="1">
        <f t="array" ref="DA338">IF(ISNUMBER(CZ338),AF338/COUNT(IF(ISNUMBER(_xlfn.ANCHORARRAY($CZ$11)),_xlfn.ANCHORARRAY($CZ$11))),NA())</f>
        <v>#N/A</v>
      </c>
      <c r="DB338" t="e">
        <f t="shared" si="148"/>
        <v>#N/A</v>
      </c>
      <c r="DD338" t="e">
        <f t="shared" si="149"/>
        <v>#N/A</v>
      </c>
      <c r="DE338" t="e">
        <f t="shared" si="150"/>
        <v>#N/A</v>
      </c>
      <c r="DG338" t="e">
        <v>#N/A</v>
      </c>
      <c r="DH338" t="e">
        <v>#N/A</v>
      </c>
    </row>
    <row r="339" spans="32:112">
      <c r="AF339">
        <v>329</v>
      </c>
      <c r="AG339" s="401">
        <f>'Lab test'!N332</f>
        <v>609.6</v>
      </c>
      <c r="AH339" s="401">
        <f>'Lab test'!M332</f>
        <v>6.2484000000000002</v>
      </c>
      <c r="AI339">
        <f>IF('Lab test'!O332&gt;0,'Lab test'!O332,NA())</f>
        <v>9144</v>
      </c>
      <c r="AJ339">
        <f>'Lab test'!Q332</f>
        <v>97.560980000000001</v>
      </c>
      <c r="AK339" s="401">
        <f>IF('Lab test'!V332&gt;0,'Lab test'!V332,NA())</f>
        <v>211439.22325333333</v>
      </c>
      <c r="AL339" s="7">
        <f>IF(MAX('Lab test'!W332,'Lab test'!X332)&gt;0,MAX('Lab test'!W332,'Lab test'!X332),NA())</f>
        <v>279.23770000000002</v>
      </c>
      <c r="AM339" s="401">
        <f>IF('Lab test'!P332&gt;0,'Lab test'!P332,NA())</f>
        <v>1.5186342548487441</v>
      </c>
      <c r="AN339" s="401">
        <f>IF('Lab test'!AU332&gt;0,'Lab test'!AU332,NA())</f>
        <v>0.72765425298947806</v>
      </c>
      <c r="AO339" s="401">
        <f>IF('Lab test'!AT332&gt;0,'Lab test'!AT332,NA())</f>
        <v>0.15490699443535211</v>
      </c>
      <c r="AP339">
        <f t="shared" si="129"/>
        <v>1</v>
      </c>
      <c r="AQ339" s="401">
        <f>'Lab test'!AZ332</f>
        <v>1937</v>
      </c>
      <c r="AR339" t="str">
        <f>'Lab test'!AC332</f>
        <v>CLTW</v>
      </c>
      <c r="AS339" t="str">
        <f>'Lab test'!T332</f>
        <v>Steel</v>
      </c>
      <c r="AX339" t="e">
        <f t="shared" si="136"/>
        <v>#N/A</v>
      </c>
      <c r="AY339" t="e">
        <f t="shared" si="130"/>
        <v>#N/A</v>
      </c>
      <c r="AZ339" t="e">
        <f t="shared" si="133"/>
        <v>#N/A</v>
      </c>
      <c r="BA339" t="e">
        <f t="shared" si="133"/>
        <v>#N/A</v>
      </c>
      <c r="BB339" t="e">
        <f t="shared" si="133"/>
        <v>#N/A</v>
      </c>
      <c r="BC339" t="e">
        <f t="shared" si="133"/>
        <v>#N/A</v>
      </c>
      <c r="BD339" t="e">
        <f t="shared" si="133"/>
        <v>#N/A</v>
      </c>
      <c r="BG339" t="e">
        <f t="shared" si="137"/>
        <v>#N/A</v>
      </c>
      <c r="BH339" t="e">
        <f t="shared" si="131"/>
        <v>#N/A</v>
      </c>
      <c r="BI339" t="e">
        <f t="shared" si="134"/>
        <v>#N/A</v>
      </c>
      <c r="BJ339" t="e">
        <f t="shared" si="134"/>
        <v>#N/A</v>
      </c>
      <c r="BK339" t="e">
        <f t="shared" si="134"/>
        <v>#N/A</v>
      </c>
      <c r="BL339" t="e">
        <f t="shared" si="134"/>
        <v>#N/A</v>
      </c>
      <c r="BM339" t="e">
        <f t="shared" si="134"/>
        <v>#N/A</v>
      </c>
      <c r="BP339" t="e">
        <f t="shared" si="138"/>
        <v>#N/A</v>
      </c>
      <c r="BQ339" t="e">
        <f t="shared" si="132"/>
        <v>#N/A</v>
      </c>
      <c r="BR339" t="e">
        <f t="shared" si="135"/>
        <v>#N/A</v>
      </c>
      <c r="BS339" t="e">
        <f t="shared" si="135"/>
        <v>#N/A</v>
      </c>
      <c r="BT339" t="e">
        <f t="shared" si="135"/>
        <v>#N/A</v>
      </c>
      <c r="BU339" t="e">
        <f t="shared" si="135"/>
        <v>#N/A</v>
      </c>
      <c r="BV339" t="e">
        <f t="shared" si="135"/>
        <v>#N/A</v>
      </c>
      <c r="BY339" t="e">
        <f t="shared" si="139"/>
        <v>#N/A</v>
      </c>
      <c r="BZ339" t="e">
        <v>#N/A</v>
      </c>
      <c r="CA339" t="e" cm="1">
        <f t="array" ref="CA339">IF(ISNUMBER(BZ339),AF339/COUNT(IF(ISNUMBER(_xlfn.ANCHORARRAY($BZ$11)),_xlfn.ANCHORARRAY($BZ$11))),NA())</f>
        <v>#N/A</v>
      </c>
      <c r="CB339" t="e">
        <f t="shared" si="140"/>
        <v>#N/A</v>
      </c>
      <c r="CD339" t="e">
        <f t="shared" si="141"/>
        <v>#N/A</v>
      </c>
      <c r="CE339" t="e">
        <f t="shared" si="142"/>
        <v>#N/A</v>
      </c>
      <c r="CG339" t="e">
        <v>#N/A</v>
      </c>
      <c r="CH339" t="e">
        <v>#N/A</v>
      </c>
      <c r="CL339" t="e">
        <f t="shared" si="143"/>
        <v>#N/A</v>
      </c>
      <c r="CM339" t="e">
        <v>#N/A</v>
      </c>
      <c r="CN339" t="e" cm="1">
        <f t="array" ref="CN339">IF(ISNUMBER(CM339),AF339/COUNT(IF(ISNUMBER(_xlfn.ANCHORARRAY($CM$11)),_xlfn.ANCHORARRAY($CM$11))),NA())</f>
        <v>#N/A</v>
      </c>
      <c r="CO339" t="e">
        <f t="shared" si="144"/>
        <v>#N/A</v>
      </c>
      <c r="CQ339" t="e">
        <f t="shared" si="145"/>
        <v>#N/A</v>
      </c>
      <c r="CR339" t="e">
        <f t="shared" si="146"/>
        <v>#N/A</v>
      </c>
      <c r="CT339" t="e">
        <v>#N/A</v>
      </c>
      <c r="CU339" t="e">
        <v>#N/A</v>
      </c>
      <c r="CY339" t="e">
        <f t="shared" si="147"/>
        <v>#N/A</v>
      </c>
      <c r="CZ339" t="e">
        <v>#N/A</v>
      </c>
      <c r="DA339" t="e" cm="1">
        <f t="array" ref="DA339">IF(ISNUMBER(CZ339),AF339/COUNT(IF(ISNUMBER(_xlfn.ANCHORARRAY($CZ$11)),_xlfn.ANCHORARRAY($CZ$11))),NA())</f>
        <v>#N/A</v>
      </c>
      <c r="DB339" t="e">
        <f t="shared" si="148"/>
        <v>#N/A</v>
      </c>
      <c r="DD339" t="e">
        <f t="shared" si="149"/>
        <v>#N/A</v>
      </c>
      <c r="DE339" t="e">
        <f t="shared" si="150"/>
        <v>#N/A</v>
      </c>
      <c r="DG339" t="e">
        <v>#N/A</v>
      </c>
      <c r="DH339" t="e">
        <v>#N/A</v>
      </c>
    </row>
    <row r="340" spans="32:112">
      <c r="AF340">
        <v>330</v>
      </c>
      <c r="AG340" s="401">
        <f>'Lab test'!N333</f>
        <v>609.6</v>
      </c>
      <c r="AH340" s="401">
        <f>'Lab test'!M333</f>
        <v>6.35</v>
      </c>
      <c r="AI340">
        <f>IF('Lab test'!O333&gt;0,'Lab test'!O333,NA())</f>
        <v>9144</v>
      </c>
      <c r="AJ340">
        <f>'Lab test'!Q333</f>
        <v>96</v>
      </c>
      <c r="AK340" s="401">
        <f>IF('Lab test'!V333&gt;0,'Lab test'!V333,NA())</f>
        <v>211439.22325333333</v>
      </c>
      <c r="AL340" s="7">
        <f>IF(MAX('Lab test'!W333,'Lab test'!X333)&gt;0,MAX('Lab test'!W333,'Lab test'!X333),NA())</f>
        <v>273.0324</v>
      </c>
      <c r="AM340" s="401">
        <f>IF('Lab test'!P333&gt;0,'Lab test'!P333,NA())</f>
        <v>1.5309310892394863</v>
      </c>
      <c r="AN340" s="401">
        <f>IF('Lab test'!AU333&gt;0,'Lab test'!AU333,NA())</f>
        <v>0.79898979022269889</v>
      </c>
      <c r="AO340" s="401">
        <f>IF('Lab test'!AT333&gt;0,'Lab test'!AT333,NA())</f>
        <v>0.16365241490312282</v>
      </c>
      <c r="AP340">
        <f t="shared" si="129"/>
        <v>1</v>
      </c>
      <c r="AQ340" s="401">
        <f>'Lab test'!AZ333</f>
        <v>1937</v>
      </c>
      <c r="AR340" t="str">
        <f>'Lab test'!AC333</f>
        <v>CLTW</v>
      </c>
      <c r="AS340" t="str">
        <f>'Lab test'!T333</f>
        <v>Steel</v>
      </c>
      <c r="AX340" t="e">
        <f t="shared" si="136"/>
        <v>#N/A</v>
      </c>
      <c r="AY340" t="e">
        <f t="shared" si="130"/>
        <v>#N/A</v>
      </c>
      <c r="AZ340" t="e">
        <f t="shared" si="133"/>
        <v>#N/A</v>
      </c>
      <c r="BA340" t="e">
        <f t="shared" si="133"/>
        <v>#N/A</v>
      </c>
      <c r="BB340" t="e">
        <f t="shared" si="133"/>
        <v>#N/A</v>
      </c>
      <c r="BC340" t="e">
        <f t="shared" si="133"/>
        <v>#N/A</v>
      </c>
      <c r="BD340" t="e">
        <f t="shared" si="133"/>
        <v>#N/A</v>
      </c>
      <c r="BG340" t="e">
        <f t="shared" si="137"/>
        <v>#N/A</v>
      </c>
      <c r="BH340" t="e">
        <f t="shared" si="131"/>
        <v>#N/A</v>
      </c>
      <c r="BI340" t="e">
        <f t="shared" si="134"/>
        <v>#N/A</v>
      </c>
      <c r="BJ340" t="e">
        <f t="shared" si="134"/>
        <v>#N/A</v>
      </c>
      <c r="BK340" t="e">
        <f t="shared" si="134"/>
        <v>#N/A</v>
      </c>
      <c r="BL340" t="e">
        <f t="shared" si="134"/>
        <v>#N/A</v>
      </c>
      <c r="BM340" t="e">
        <f t="shared" si="134"/>
        <v>#N/A</v>
      </c>
      <c r="BP340" t="e">
        <f t="shared" si="138"/>
        <v>#N/A</v>
      </c>
      <c r="BQ340" t="e">
        <f t="shared" si="132"/>
        <v>#N/A</v>
      </c>
      <c r="BR340" t="e">
        <f t="shared" si="135"/>
        <v>#N/A</v>
      </c>
      <c r="BS340" t="e">
        <f t="shared" si="135"/>
        <v>#N/A</v>
      </c>
      <c r="BT340" t="e">
        <f t="shared" si="135"/>
        <v>#N/A</v>
      </c>
      <c r="BU340" t="e">
        <f t="shared" si="135"/>
        <v>#N/A</v>
      </c>
      <c r="BV340" t="e">
        <f t="shared" si="135"/>
        <v>#N/A</v>
      </c>
      <c r="BY340" t="e">
        <f t="shared" si="139"/>
        <v>#N/A</v>
      </c>
      <c r="BZ340" t="e">
        <v>#N/A</v>
      </c>
      <c r="CA340" t="e" cm="1">
        <f t="array" ref="CA340">IF(ISNUMBER(BZ340),AF340/COUNT(IF(ISNUMBER(_xlfn.ANCHORARRAY($BZ$11)),_xlfn.ANCHORARRAY($BZ$11))),NA())</f>
        <v>#N/A</v>
      </c>
      <c r="CB340" t="e">
        <f t="shared" si="140"/>
        <v>#N/A</v>
      </c>
      <c r="CD340" t="e">
        <f t="shared" si="141"/>
        <v>#N/A</v>
      </c>
      <c r="CE340" t="e">
        <f t="shared" si="142"/>
        <v>#N/A</v>
      </c>
      <c r="CG340" t="e">
        <v>#N/A</v>
      </c>
      <c r="CH340" t="e">
        <v>#N/A</v>
      </c>
      <c r="CL340" t="e">
        <f t="shared" si="143"/>
        <v>#N/A</v>
      </c>
      <c r="CM340" t="e">
        <v>#N/A</v>
      </c>
      <c r="CN340" t="e" cm="1">
        <f t="array" ref="CN340">IF(ISNUMBER(CM340),AF340/COUNT(IF(ISNUMBER(_xlfn.ANCHORARRAY($CM$11)),_xlfn.ANCHORARRAY($CM$11))),NA())</f>
        <v>#N/A</v>
      </c>
      <c r="CO340" t="e">
        <f t="shared" si="144"/>
        <v>#N/A</v>
      </c>
      <c r="CQ340" t="e">
        <f t="shared" si="145"/>
        <v>#N/A</v>
      </c>
      <c r="CR340" t="e">
        <f t="shared" si="146"/>
        <v>#N/A</v>
      </c>
      <c r="CT340" t="e">
        <v>#N/A</v>
      </c>
      <c r="CU340" t="e">
        <v>#N/A</v>
      </c>
      <c r="CY340" t="e">
        <f t="shared" si="147"/>
        <v>#N/A</v>
      </c>
      <c r="CZ340" t="e">
        <v>#N/A</v>
      </c>
      <c r="DA340" t="e" cm="1">
        <f t="array" ref="DA340">IF(ISNUMBER(CZ340),AF340/COUNT(IF(ISNUMBER(_xlfn.ANCHORARRAY($CZ$11)),_xlfn.ANCHORARRAY($CZ$11))),NA())</f>
        <v>#N/A</v>
      </c>
      <c r="DB340" t="e">
        <f t="shared" si="148"/>
        <v>#N/A</v>
      </c>
      <c r="DD340" t="e">
        <f t="shared" si="149"/>
        <v>#N/A</v>
      </c>
      <c r="DE340" t="e">
        <f t="shared" si="150"/>
        <v>#N/A</v>
      </c>
      <c r="DG340" t="e">
        <v>#N/A</v>
      </c>
      <c r="DH340" t="e">
        <v>#N/A</v>
      </c>
    </row>
    <row r="341" spans="32:112">
      <c r="AF341">
        <v>331</v>
      </c>
      <c r="AG341" s="401">
        <f>'Lab test'!N334</f>
        <v>381</v>
      </c>
      <c r="AH341" s="401">
        <f>'Lab test'!M334</f>
        <v>0.29436135826333432</v>
      </c>
      <c r="AI341">
        <f>IF('Lab test'!O334&gt;0,'Lab test'!O334,NA())</f>
        <v>95.25</v>
      </c>
      <c r="AJ341">
        <f>'Lab test'!Q334</f>
        <v>1294.3274968148473</v>
      </c>
      <c r="AK341" s="401">
        <f>IF('Lab test'!V334&gt;0,'Lab test'!V334,NA())</f>
        <v>72705.215656460379</v>
      </c>
      <c r="AL341" s="7">
        <f>IF(MAX('Lab test'!W334,'Lab test'!X334)&gt;0,MAX('Lab test'!W334,'Lab test'!X334),NA())</f>
        <v>253.72706838859571</v>
      </c>
      <c r="AM341" s="401">
        <f>IF('Lab test'!P334&gt;0,'Lab test'!P334,NA())</f>
        <v>6.9489297296079994E-3</v>
      </c>
      <c r="AN341" s="401">
        <f>IF('Lab test'!AU334&gt;0,'Lab test'!AU334,NA())</f>
        <v>5.730978260869566E-2</v>
      </c>
      <c r="AO341" s="401">
        <f>IF('Lab test'!AT334&gt;0,'Lab test'!AT334,NA())</f>
        <v>0.42771599999999999</v>
      </c>
      <c r="AP341">
        <f t="shared" si="129"/>
        <v>1</v>
      </c>
      <c r="AQ341" s="401">
        <f>'Lab test'!AZ334</f>
        <v>1933</v>
      </c>
      <c r="AR341" t="str">
        <f>'Lab test'!AC334</f>
        <v>LTWb</v>
      </c>
      <c r="AS341" t="str">
        <f>'Lab test'!T334</f>
        <v>Aluminium</v>
      </c>
      <c r="AX341" t="e">
        <f t="shared" si="136"/>
        <v>#N/A</v>
      </c>
      <c r="AY341" t="e">
        <f t="shared" si="130"/>
        <v>#N/A</v>
      </c>
      <c r="AZ341" t="e">
        <f t="shared" si="133"/>
        <v>#N/A</v>
      </c>
      <c r="BA341" t="e">
        <f t="shared" si="133"/>
        <v>#N/A</v>
      </c>
      <c r="BB341" t="e">
        <f t="shared" si="133"/>
        <v>#N/A</v>
      </c>
      <c r="BC341" t="e">
        <f t="shared" si="133"/>
        <v>#N/A</v>
      </c>
      <c r="BD341" t="e">
        <f t="shared" si="133"/>
        <v>#N/A</v>
      </c>
      <c r="BG341" t="e">
        <f t="shared" si="137"/>
        <v>#N/A</v>
      </c>
      <c r="BH341" t="e">
        <f t="shared" si="131"/>
        <v>#N/A</v>
      </c>
      <c r="BI341" t="e">
        <f t="shared" si="134"/>
        <v>#N/A</v>
      </c>
      <c r="BJ341" t="e">
        <f t="shared" si="134"/>
        <v>#N/A</v>
      </c>
      <c r="BK341" t="e">
        <f t="shared" si="134"/>
        <v>#N/A</v>
      </c>
      <c r="BL341" t="e">
        <f t="shared" si="134"/>
        <v>#N/A</v>
      </c>
      <c r="BM341">
        <f t="shared" si="134"/>
        <v>72705.215656460379</v>
      </c>
      <c r="BP341" t="e">
        <f t="shared" si="138"/>
        <v>#N/A</v>
      </c>
      <c r="BQ341" t="e">
        <f t="shared" si="132"/>
        <v>#N/A</v>
      </c>
      <c r="BR341" t="e">
        <f t="shared" si="135"/>
        <v>#N/A</v>
      </c>
      <c r="BS341" t="e">
        <f t="shared" si="135"/>
        <v>#N/A</v>
      </c>
      <c r="BT341" t="e">
        <f t="shared" si="135"/>
        <v>#N/A</v>
      </c>
      <c r="BU341" t="e">
        <f t="shared" si="135"/>
        <v>#N/A</v>
      </c>
      <c r="BV341" t="e">
        <f t="shared" si="135"/>
        <v>#N/A</v>
      </c>
      <c r="BY341" t="e">
        <f t="shared" si="139"/>
        <v>#N/A</v>
      </c>
      <c r="BZ341" t="e">
        <v>#N/A</v>
      </c>
      <c r="CA341" t="e" cm="1">
        <f t="array" ref="CA341">IF(ISNUMBER(BZ341),AF341/COUNT(IF(ISNUMBER(_xlfn.ANCHORARRAY($BZ$11)),_xlfn.ANCHORARRAY($BZ$11))),NA())</f>
        <v>#N/A</v>
      </c>
      <c r="CB341" t="e">
        <f t="shared" si="140"/>
        <v>#N/A</v>
      </c>
      <c r="CD341" t="e">
        <f t="shared" si="141"/>
        <v>#N/A</v>
      </c>
      <c r="CE341" t="e">
        <f t="shared" si="142"/>
        <v>#N/A</v>
      </c>
      <c r="CG341" t="e">
        <v>#N/A</v>
      </c>
      <c r="CH341" t="e">
        <v>#N/A</v>
      </c>
      <c r="CL341">
        <f t="shared" si="143"/>
        <v>72705.215656460379</v>
      </c>
      <c r="CM341" t="e">
        <v>#N/A</v>
      </c>
      <c r="CN341" t="e" cm="1">
        <f t="array" ref="CN341">IF(ISNUMBER(CM341),AF341/COUNT(IF(ISNUMBER(_xlfn.ANCHORARRAY($CM$11)),_xlfn.ANCHORARRAY($CM$11))),NA())</f>
        <v>#N/A</v>
      </c>
      <c r="CO341" t="e">
        <f t="shared" si="144"/>
        <v>#N/A</v>
      </c>
      <c r="CQ341" t="e">
        <f t="shared" si="145"/>
        <v>#N/A</v>
      </c>
      <c r="CR341" t="e">
        <f t="shared" si="146"/>
        <v>#N/A</v>
      </c>
      <c r="CT341" t="e">
        <v>#N/A</v>
      </c>
      <c r="CU341" t="e">
        <v>#N/A</v>
      </c>
      <c r="CY341" t="e">
        <f t="shared" si="147"/>
        <v>#N/A</v>
      </c>
      <c r="CZ341" t="e">
        <v>#N/A</v>
      </c>
      <c r="DA341" t="e" cm="1">
        <f t="array" ref="DA341">IF(ISNUMBER(CZ341),AF341/COUNT(IF(ISNUMBER(_xlfn.ANCHORARRAY($CZ$11)),_xlfn.ANCHORARRAY($CZ$11))),NA())</f>
        <v>#N/A</v>
      </c>
      <c r="DB341" t="e">
        <f t="shared" si="148"/>
        <v>#N/A</v>
      </c>
      <c r="DD341" t="e">
        <f t="shared" si="149"/>
        <v>#N/A</v>
      </c>
      <c r="DE341" t="e">
        <f t="shared" si="150"/>
        <v>#N/A</v>
      </c>
      <c r="DG341" t="e">
        <v>#N/A</v>
      </c>
      <c r="DH341" t="e">
        <v>#N/A</v>
      </c>
    </row>
    <row r="342" spans="32:112">
      <c r="AF342">
        <v>332</v>
      </c>
      <c r="AG342" s="401">
        <f>'Lab test'!N335</f>
        <v>381</v>
      </c>
      <c r="AH342" s="401">
        <f>'Lab test'!M335</f>
        <v>0.29436135826333432</v>
      </c>
      <c r="AI342">
        <f>IF('Lab test'!O335&gt;0,'Lab test'!O335,NA())</f>
        <v>190.5</v>
      </c>
      <c r="AJ342">
        <f>'Lab test'!Q335</f>
        <v>1294.3274968148473</v>
      </c>
      <c r="AK342" s="401">
        <f>IF('Lab test'!V335&gt;0,'Lab test'!V335,NA())</f>
        <v>72705.215656460379</v>
      </c>
      <c r="AL342" s="7">
        <f>IF(MAX('Lab test'!W335,'Lab test'!X335)&gt;0,MAX('Lab test'!W335,'Lab test'!X335),NA())</f>
        <v>253.72706838859571</v>
      </c>
      <c r="AM342" s="401">
        <f>IF('Lab test'!P335&gt;0,'Lab test'!P335,NA())</f>
        <v>1.3897859459215999E-2</v>
      </c>
      <c r="AN342" s="401">
        <f>IF('Lab test'!AU335&gt;0,'Lab test'!AU335,NA())</f>
        <v>3.6363057065217391E-2</v>
      </c>
      <c r="AO342" s="401">
        <f>IF('Lab test'!AT335&gt;0,'Lab test'!AT335,NA())</f>
        <v>0.27138580199999995</v>
      </c>
      <c r="AP342">
        <f t="shared" si="129"/>
        <v>1</v>
      </c>
      <c r="AQ342" s="401">
        <f>'Lab test'!AZ335</f>
        <v>1933</v>
      </c>
      <c r="AR342" t="str">
        <f>'Lab test'!AC335</f>
        <v>LTWb</v>
      </c>
      <c r="AS342" t="str">
        <f>'Lab test'!T335</f>
        <v>Aluminium</v>
      </c>
      <c r="AX342" t="e">
        <f t="shared" si="136"/>
        <v>#N/A</v>
      </c>
      <c r="AY342" t="e">
        <f t="shared" si="130"/>
        <v>#N/A</v>
      </c>
      <c r="AZ342" t="e">
        <f t="shared" si="133"/>
        <v>#N/A</v>
      </c>
      <c r="BA342" t="e">
        <f t="shared" si="133"/>
        <v>#N/A</v>
      </c>
      <c r="BB342" t="e">
        <f t="shared" si="133"/>
        <v>#N/A</v>
      </c>
      <c r="BC342" t="e">
        <f t="shared" si="133"/>
        <v>#N/A</v>
      </c>
      <c r="BD342" t="e">
        <f t="shared" si="133"/>
        <v>#N/A</v>
      </c>
      <c r="BG342" t="e">
        <f t="shared" si="137"/>
        <v>#N/A</v>
      </c>
      <c r="BH342" t="e">
        <f t="shared" si="131"/>
        <v>#N/A</v>
      </c>
      <c r="BI342" t="e">
        <f t="shared" si="134"/>
        <v>#N/A</v>
      </c>
      <c r="BJ342" t="e">
        <f t="shared" si="134"/>
        <v>#N/A</v>
      </c>
      <c r="BK342" t="e">
        <f t="shared" si="134"/>
        <v>#N/A</v>
      </c>
      <c r="BL342" t="e">
        <f t="shared" si="134"/>
        <v>#N/A</v>
      </c>
      <c r="BM342">
        <f t="shared" si="134"/>
        <v>72705.215656460379</v>
      </c>
      <c r="BP342" t="e">
        <f t="shared" si="138"/>
        <v>#N/A</v>
      </c>
      <c r="BQ342" t="e">
        <f t="shared" si="132"/>
        <v>#N/A</v>
      </c>
      <c r="BR342" t="e">
        <f t="shared" si="135"/>
        <v>#N/A</v>
      </c>
      <c r="BS342" t="e">
        <f t="shared" si="135"/>
        <v>#N/A</v>
      </c>
      <c r="BT342" t="e">
        <f t="shared" si="135"/>
        <v>#N/A</v>
      </c>
      <c r="BU342" t="e">
        <f t="shared" si="135"/>
        <v>#N/A</v>
      </c>
      <c r="BV342" t="e">
        <f t="shared" si="135"/>
        <v>#N/A</v>
      </c>
      <c r="BY342" t="e">
        <f t="shared" si="139"/>
        <v>#N/A</v>
      </c>
      <c r="BZ342" t="e">
        <v>#N/A</v>
      </c>
      <c r="CA342" t="e" cm="1">
        <f t="array" ref="CA342">IF(ISNUMBER(BZ342),AF342/COUNT(IF(ISNUMBER(_xlfn.ANCHORARRAY($BZ$11)),_xlfn.ANCHORARRAY($BZ$11))),NA())</f>
        <v>#N/A</v>
      </c>
      <c r="CB342" t="e">
        <f t="shared" si="140"/>
        <v>#N/A</v>
      </c>
      <c r="CD342" t="e">
        <f t="shared" si="141"/>
        <v>#N/A</v>
      </c>
      <c r="CE342" t="e">
        <f t="shared" si="142"/>
        <v>#N/A</v>
      </c>
      <c r="CG342" t="e">
        <v>#N/A</v>
      </c>
      <c r="CH342" t="e">
        <v>#N/A</v>
      </c>
      <c r="CL342">
        <f t="shared" si="143"/>
        <v>72705.215656460379</v>
      </c>
      <c r="CM342" t="e">
        <v>#N/A</v>
      </c>
      <c r="CN342" t="e" cm="1">
        <f t="array" ref="CN342">IF(ISNUMBER(CM342),AF342/COUNT(IF(ISNUMBER(_xlfn.ANCHORARRAY($CM$11)),_xlfn.ANCHORARRAY($CM$11))),NA())</f>
        <v>#N/A</v>
      </c>
      <c r="CO342" t="e">
        <f t="shared" si="144"/>
        <v>#N/A</v>
      </c>
      <c r="CQ342" t="e">
        <f t="shared" si="145"/>
        <v>#N/A</v>
      </c>
      <c r="CR342" t="e">
        <f t="shared" si="146"/>
        <v>#N/A</v>
      </c>
      <c r="CT342" t="e">
        <v>#N/A</v>
      </c>
      <c r="CU342" t="e">
        <v>#N/A</v>
      </c>
      <c r="CY342" t="e">
        <f t="shared" si="147"/>
        <v>#N/A</v>
      </c>
      <c r="CZ342" t="e">
        <v>#N/A</v>
      </c>
      <c r="DA342" t="e" cm="1">
        <f t="array" ref="DA342">IF(ISNUMBER(CZ342),AF342/COUNT(IF(ISNUMBER(_xlfn.ANCHORARRAY($CZ$11)),_xlfn.ANCHORARRAY($CZ$11))),NA())</f>
        <v>#N/A</v>
      </c>
      <c r="DB342" t="e">
        <f t="shared" si="148"/>
        <v>#N/A</v>
      </c>
      <c r="DD342" t="e">
        <f t="shared" si="149"/>
        <v>#N/A</v>
      </c>
      <c r="DE342" t="e">
        <f t="shared" si="150"/>
        <v>#N/A</v>
      </c>
      <c r="DG342" t="e">
        <v>#N/A</v>
      </c>
      <c r="DH342" t="e">
        <v>#N/A</v>
      </c>
    </row>
    <row r="343" spans="32:112">
      <c r="AF343">
        <v>333</v>
      </c>
      <c r="AG343" s="401">
        <f>'Lab test'!N336</f>
        <v>381</v>
      </c>
      <c r="AH343" s="401">
        <f>'Lab test'!M336</f>
        <v>0.2644466765615634</v>
      </c>
      <c r="AI343">
        <f>IF('Lab test'!O336&gt;0,'Lab test'!O336,NA())</f>
        <v>190.5</v>
      </c>
      <c r="AJ343">
        <f>'Lab test'!Q336</f>
        <v>1440.7441415180838</v>
      </c>
      <c r="AK343" s="401">
        <f>IF('Lab test'!V336&gt;0,'Lab test'!V336,NA())</f>
        <v>72705.215656460379</v>
      </c>
      <c r="AL343" s="7">
        <f>IF(MAX('Lab test'!W336,'Lab test'!X336)&gt;0,MAX('Lab test'!W336,'Lab test'!X336),NA())</f>
        <v>253.72706838859571</v>
      </c>
      <c r="AM343" s="401">
        <f>IF('Lab test'!P336&gt;0,'Lab test'!P336,NA())</f>
        <v>1.3172753748300384E-2</v>
      </c>
      <c r="AN343" s="401">
        <f>IF('Lab test'!AU336&gt;0,'Lab test'!AU336,NA())</f>
        <v>3.5130896739130439E-2</v>
      </c>
      <c r="AO343" s="401">
        <f>IF('Lab test'!AT336&gt;0,'Lab test'!AT336,NA())</f>
        <v>0.29184929999999987</v>
      </c>
      <c r="AP343">
        <f t="shared" ref="AP343:AP406" si="151">IF(AND(OR(ISNUMBER(AN343),ISNUMBER(AO343)),ISNUMBER(AK343),ISNUMBER(AL343)),1,NA())</f>
        <v>1</v>
      </c>
      <c r="AQ343" s="401">
        <f>'Lab test'!AZ336</f>
        <v>1933</v>
      </c>
      <c r="AR343" t="str">
        <f>'Lab test'!AC336</f>
        <v>LTWb</v>
      </c>
      <c r="AS343" t="str">
        <f>'Lab test'!T336</f>
        <v>Aluminium</v>
      </c>
      <c r="AX343" t="e">
        <f t="shared" si="136"/>
        <v>#N/A</v>
      </c>
      <c r="AY343" t="e">
        <f t="shared" si="130"/>
        <v>#N/A</v>
      </c>
      <c r="AZ343" t="e">
        <f t="shared" si="133"/>
        <v>#N/A</v>
      </c>
      <c r="BA343" t="e">
        <f t="shared" si="133"/>
        <v>#N/A</v>
      </c>
      <c r="BB343" t="e">
        <f t="shared" si="133"/>
        <v>#N/A</v>
      </c>
      <c r="BC343" t="e">
        <f t="shared" si="133"/>
        <v>#N/A</v>
      </c>
      <c r="BD343" t="e">
        <f t="shared" si="133"/>
        <v>#N/A</v>
      </c>
      <c r="BG343" t="e">
        <f t="shared" si="137"/>
        <v>#N/A</v>
      </c>
      <c r="BH343" t="e">
        <f t="shared" si="131"/>
        <v>#N/A</v>
      </c>
      <c r="BI343" t="e">
        <f t="shared" si="134"/>
        <v>#N/A</v>
      </c>
      <c r="BJ343" t="e">
        <f t="shared" si="134"/>
        <v>#N/A</v>
      </c>
      <c r="BK343" t="e">
        <f t="shared" si="134"/>
        <v>#N/A</v>
      </c>
      <c r="BL343" t="e">
        <f t="shared" si="134"/>
        <v>#N/A</v>
      </c>
      <c r="BM343">
        <f t="shared" si="134"/>
        <v>72705.215656460379</v>
      </c>
      <c r="BP343" t="e">
        <f t="shared" si="138"/>
        <v>#N/A</v>
      </c>
      <c r="BQ343" t="e">
        <f t="shared" si="132"/>
        <v>#N/A</v>
      </c>
      <c r="BR343" t="e">
        <f t="shared" si="135"/>
        <v>#N/A</v>
      </c>
      <c r="BS343" t="e">
        <f t="shared" si="135"/>
        <v>#N/A</v>
      </c>
      <c r="BT343" t="e">
        <f t="shared" si="135"/>
        <v>#N/A</v>
      </c>
      <c r="BU343" t="e">
        <f t="shared" si="135"/>
        <v>#N/A</v>
      </c>
      <c r="BV343" t="e">
        <f t="shared" si="135"/>
        <v>#N/A</v>
      </c>
      <c r="BY343" t="e">
        <f t="shared" si="139"/>
        <v>#N/A</v>
      </c>
      <c r="BZ343" t="e">
        <v>#N/A</v>
      </c>
      <c r="CA343" t="e" cm="1">
        <f t="array" ref="CA343">IF(ISNUMBER(BZ343),AF343/COUNT(IF(ISNUMBER(_xlfn.ANCHORARRAY($BZ$11)),_xlfn.ANCHORARRAY($BZ$11))),NA())</f>
        <v>#N/A</v>
      </c>
      <c r="CB343" t="e">
        <f t="shared" si="140"/>
        <v>#N/A</v>
      </c>
      <c r="CD343" t="e">
        <f t="shared" si="141"/>
        <v>#N/A</v>
      </c>
      <c r="CE343" t="e">
        <f t="shared" si="142"/>
        <v>#N/A</v>
      </c>
      <c r="CG343" t="e">
        <v>#N/A</v>
      </c>
      <c r="CH343" t="e">
        <v>#N/A</v>
      </c>
      <c r="CL343">
        <f t="shared" si="143"/>
        <v>72705.215656460379</v>
      </c>
      <c r="CM343" t="e">
        <v>#N/A</v>
      </c>
      <c r="CN343" t="e" cm="1">
        <f t="array" ref="CN343">IF(ISNUMBER(CM343),AF343/COUNT(IF(ISNUMBER(_xlfn.ANCHORARRAY($CM$11)),_xlfn.ANCHORARRAY($CM$11))),NA())</f>
        <v>#N/A</v>
      </c>
      <c r="CO343" t="e">
        <f t="shared" si="144"/>
        <v>#N/A</v>
      </c>
      <c r="CQ343" t="e">
        <f t="shared" si="145"/>
        <v>#N/A</v>
      </c>
      <c r="CR343" t="e">
        <f t="shared" si="146"/>
        <v>#N/A</v>
      </c>
      <c r="CT343" t="e">
        <v>#N/A</v>
      </c>
      <c r="CU343" t="e">
        <v>#N/A</v>
      </c>
      <c r="CY343" t="e">
        <f t="shared" si="147"/>
        <v>#N/A</v>
      </c>
      <c r="CZ343" t="e">
        <v>#N/A</v>
      </c>
      <c r="DA343" t="e" cm="1">
        <f t="array" ref="DA343">IF(ISNUMBER(CZ343),AF343/COUNT(IF(ISNUMBER(_xlfn.ANCHORARRAY($CZ$11)),_xlfn.ANCHORARRAY($CZ$11))),NA())</f>
        <v>#N/A</v>
      </c>
      <c r="DB343" t="e">
        <f t="shared" si="148"/>
        <v>#N/A</v>
      </c>
      <c r="DD343" t="e">
        <f t="shared" si="149"/>
        <v>#N/A</v>
      </c>
      <c r="DE343" t="e">
        <f t="shared" si="150"/>
        <v>#N/A</v>
      </c>
      <c r="DG343" t="e">
        <v>#N/A</v>
      </c>
      <c r="DH343" t="e">
        <v>#N/A</v>
      </c>
    </row>
    <row r="344" spans="32:112">
      <c r="AF344">
        <v>334</v>
      </c>
      <c r="AG344" s="401">
        <f>'Lab test'!N337</f>
        <v>381</v>
      </c>
      <c r="AH344" s="401">
        <f>'Lab test'!M337</f>
        <v>0.2644466765615634</v>
      </c>
      <c r="AI344">
        <f>IF('Lab test'!O337&gt;0,'Lab test'!O337,NA())</f>
        <v>247.65</v>
      </c>
      <c r="AJ344">
        <f>'Lab test'!Q337</f>
        <v>1440.7441415180838</v>
      </c>
      <c r="AK344" s="401">
        <f>IF('Lab test'!V337&gt;0,'Lab test'!V337,NA())</f>
        <v>72705.215656460379</v>
      </c>
      <c r="AL344" s="7">
        <f>IF(MAX('Lab test'!W337,'Lab test'!X337)&gt;0,MAX('Lab test'!W337,'Lab test'!X337),NA())</f>
        <v>253.72706838859571</v>
      </c>
      <c r="AM344" s="401">
        <f>IF('Lab test'!P337&gt;0,'Lab test'!P337,NA())</f>
        <v>1.71245798727905E-2</v>
      </c>
      <c r="AN344" s="401">
        <f>IF('Lab test'!AU337&gt;0,'Lab test'!AU337,NA())</f>
        <v>2.8872668478260873E-2</v>
      </c>
      <c r="AO344" s="401">
        <f>IF('Lab test'!AT337&gt;0,'Lab test'!AT337,NA())</f>
        <v>0.23985917999999989</v>
      </c>
      <c r="AP344">
        <f t="shared" si="151"/>
        <v>1</v>
      </c>
      <c r="AQ344" s="401">
        <f>'Lab test'!AZ337</f>
        <v>1933</v>
      </c>
      <c r="AR344" t="str">
        <f>'Lab test'!AC337</f>
        <v>LTWb</v>
      </c>
      <c r="AS344" t="str">
        <f>'Lab test'!T337</f>
        <v>Aluminium</v>
      </c>
      <c r="AX344" t="e">
        <f t="shared" si="136"/>
        <v>#N/A</v>
      </c>
      <c r="AY344" t="e">
        <f t="shared" si="130"/>
        <v>#N/A</v>
      </c>
      <c r="AZ344" t="e">
        <f t="shared" si="133"/>
        <v>#N/A</v>
      </c>
      <c r="BA344" t="e">
        <f t="shared" si="133"/>
        <v>#N/A</v>
      </c>
      <c r="BB344" t="e">
        <f t="shared" si="133"/>
        <v>#N/A</v>
      </c>
      <c r="BC344" t="e">
        <f t="shared" si="133"/>
        <v>#N/A</v>
      </c>
      <c r="BD344" t="e">
        <f t="shared" si="133"/>
        <v>#N/A</v>
      </c>
      <c r="BG344" t="e">
        <f t="shared" si="137"/>
        <v>#N/A</v>
      </c>
      <c r="BH344" t="e">
        <f t="shared" si="131"/>
        <v>#N/A</v>
      </c>
      <c r="BI344" t="e">
        <f t="shared" si="134"/>
        <v>#N/A</v>
      </c>
      <c r="BJ344" t="e">
        <f t="shared" si="134"/>
        <v>#N/A</v>
      </c>
      <c r="BK344" t="e">
        <f t="shared" si="134"/>
        <v>#N/A</v>
      </c>
      <c r="BL344" t="e">
        <f t="shared" si="134"/>
        <v>#N/A</v>
      </c>
      <c r="BM344">
        <f t="shared" si="134"/>
        <v>72705.215656460379</v>
      </c>
      <c r="BP344" t="e">
        <f t="shared" si="138"/>
        <v>#N/A</v>
      </c>
      <c r="BQ344" t="e">
        <f t="shared" si="132"/>
        <v>#N/A</v>
      </c>
      <c r="BR344" t="e">
        <f t="shared" si="135"/>
        <v>#N/A</v>
      </c>
      <c r="BS344" t="e">
        <f t="shared" si="135"/>
        <v>#N/A</v>
      </c>
      <c r="BT344" t="e">
        <f t="shared" si="135"/>
        <v>#N/A</v>
      </c>
      <c r="BU344" t="e">
        <f t="shared" si="135"/>
        <v>#N/A</v>
      </c>
      <c r="BV344" t="e">
        <f t="shared" si="135"/>
        <v>#N/A</v>
      </c>
      <c r="BY344" t="e">
        <f t="shared" si="139"/>
        <v>#N/A</v>
      </c>
      <c r="BZ344" t="e">
        <v>#N/A</v>
      </c>
      <c r="CA344" t="e" cm="1">
        <f t="array" ref="CA344">IF(ISNUMBER(BZ344),AF344/COUNT(IF(ISNUMBER(_xlfn.ANCHORARRAY($BZ$11)),_xlfn.ANCHORARRAY($BZ$11))),NA())</f>
        <v>#N/A</v>
      </c>
      <c r="CB344" t="e">
        <f t="shared" si="140"/>
        <v>#N/A</v>
      </c>
      <c r="CD344" t="e">
        <f t="shared" si="141"/>
        <v>#N/A</v>
      </c>
      <c r="CE344" t="e">
        <f t="shared" si="142"/>
        <v>#N/A</v>
      </c>
      <c r="CG344" t="e">
        <v>#N/A</v>
      </c>
      <c r="CH344" t="e">
        <v>#N/A</v>
      </c>
      <c r="CL344">
        <f t="shared" si="143"/>
        <v>72705.215656460379</v>
      </c>
      <c r="CM344" t="e">
        <v>#N/A</v>
      </c>
      <c r="CN344" t="e" cm="1">
        <f t="array" ref="CN344">IF(ISNUMBER(CM344),AF344/COUNT(IF(ISNUMBER(_xlfn.ANCHORARRAY($CM$11)),_xlfn.ANCHORARRAY($CM$11))),NA())</f>
        <v>#N/A</v>
      </c>
      <c r="CO344" t="e">
        <f t="shared" si="144"/>
        <v>#N/A</v>
      </c>
      <c r="CQ344" t="e">
        <f t="shared" si="145"/>
        <v>#N/A</v>
      </c>
      <c r="CR344" t="e">
        <f t="shared" si="146"/>
        <v>#N/A</v>
      </c>
      <c r="CT344" t="e">
        <v>#N/A</v>
      </c>
      <c r="CU344" t="e">
        <v>#N/A</v>
      </c>
      <c r="CY344" t="e">
        <f t="shared" si="147"/>
        <v>#N/A</v>
      </c>
      <c r="CZ344" t="e">
        <v>#N/A</v>
      </c>
      <c r="DA344" t="e" cm="1">
        <f t="array" ref="DA344">IF(ISNUMBER(CZ344),AF344/COUNT(IF(ISNUMBER(_xlfn.ANCHORARRAY($CZ$11)),_xlfn.ANCHORARRAY($CZ$11))),NA())</f>
        <v>#N/A</v>
      </c>
      <c r="DB344" t="e">
        <f t="shared" si="148"/>
        <v>#N/A</v>
      </c>
      <c r="DD344" t="e">
        <f t="shared" si="149"/>
        <v>#N/A</v>
      </c>
      <c r="DE344" t="e">
        <f t="shared" si="150"/>
        <v>#N/A</v>
      </c>
      <c r="DG344" t="e">
        <v>#N/A</v>
      </c>
      <c r="DH344" t="e">
        <v>#N/A</v>
      </c>
    </row>
    <row r="345" spans="32:112">
      <c r="AF345">
        <v>335</v>
      </c>
      <c r="AG345" s="401">
        <f>'Lab test'!N338</f>
        <v>381</v>
      </c>
      <c r="AH345" s="401">
        <f>'Lab test'!M338</f>
        <v>0.26910644025289893</v>
      </c>
      <c r="AI345">
        <f>IF('Lab test'!O338&gt;0,'Lab test'!O338,NA())</f>
        <v>381</v>
      </c>
      <c r="AJ345">
        <f>'Lab test'!Q338</f>
        <v>1415.7966626214763</v>
      </c>
      <c r="AK345" s="401">
        <f>IF('Lab test'!V338&gt;0,'Lab test'!V338,NA())</f>
        <v>72705.215656460379</v>
      </c>
      <c r="AL345" s="7">
        <f>IF(MAX('Lab test'!W338,'Lab test'!X338)&gt;0,MAX('Lab test'!W338,'Lab test'!X338),NA())</f>
        <v>253.72706838859571</v>
      </c>
      <c r="AM345" s="401">
        <f>IF('Lab test'!P338&gt;0,'Lab test'!P338,NA())</f>
        <v>2.6576608439553402E-2</v>
      </c>
      <c r="AN345" s="401">
        <f>IF('Lab test'!AU338&gt;0,'Lab test'!AU338,NA())</f>
        <v>2.8874244497282611E-2</v>
      </c>
      <c r="AO345" s="401">
        <f>IF('Lab test'!AT338&gt;0,'Lab test'!AT338,NA())</f>
        <v>0.23571871884000001</v>
      </c>
      <c r="AP345">
        <f t="shared" si="151"/>
        <v>1</v>
      </c>
      <c r="AQ345" s="401">
        <f>'Lab test'!AZ338</f>
        <v>1933</v>
      </c>
      <c r="AR345" t="str">
        <f>'Lab test'!AC338</f>
        <v>LTWb</v>
      </c>
      <c r="AS345" t="str">
        <f>'Lab test'!T338</f>
        <v>Aluminium</v>
      </c>
      <c r="AX345" t="e">
        <f t="shared" si="136"/>
        <v>#N/A</v>
      </c>
      <c r="AY345" t="e">
        <f t="shared" si="130"/>
        <v>#N/A</v>
      </c>
      <c r="AZ345" t="e">
        <f t="shared" si="133"/>
        <v>#N/A</v>
      </c>
      <c r="BA345" t="e">
        <f t="shared" si="133"/>
        <v>#N/A</v>
      </c>
      <c r="BB345" t="e">
        <f t="shared" si="133"/>
        <v>#N/A</v>
      </c>
      <c r="BC345" t="e">
        <f t="shared" si="133"/>
        <v>#N/A</v>
      </c>
      <c r="BD345" t="e">
        <f t="shared" si="133"/>
        <v>#N/A</v>
      </c>
      <c r="BG345" t="e">
        <f t="shared" si="137"/>
        <v>#N/A</v>
      </c>
      <c r="BH345" t="e">
        <f t="shared" si="131"/>
        <v>#N/A</v>
      </c>
      <c r="BI345" t="e">
        <f t="shared" si="134"/>
        <v>#N/A</v>
      </c>
      <c r="BJ345" t="e">
        <f t="shared" si="134"/>
        <v>#N/A</v>
      </c>
      <c r="BK345" t="e">
        <f t="shared" si="134"/>
        <v>#N/A</v>
      </c>
      <c r="BL345" t="e">
        <f t="shared" si="134"/>
        <v>#N/A</v>
      </c>
      <c r="BM345">
        <f t="shared" si="134"/>
        <v>72705.215656460379</v>
      </c>
      <c r="BP345" t="e">
        <f t="shared" si="138"/>
        <v>#N/A</v>
      </c>
      <c r="BQ345" t="e">
        <f t="shared" si="132"/>
        <v>#N/A</v>
      </c>
      <c r="BR345" t="e">
        <f t="shared" si="135"/>
        <v>#N/A</v>
      </c>
      <c r="BS345" t="e">
        <f t="shared" si="135"/>
        <v>#N/A</v>
      </c>
      <c r="BT345" t="e">
        <f t="shared" si="135"/>
        <v>#N/A</v>
      </c>
      <c r="BU345" t="e">
        <f t="shared" si="135"/>
        <v>#N/A</v>
      </c>
      <c r="BV345" t="e">
        <f t="shared" si="135"/>
        <v>#N/A</v>
      </c>
      <c r="BY345" t="e">
        <f t="shared" si="139"/>
        <v>#N/A</v>
      </c>
      <c r="BZ345" t="e">
        <v>#N/A</v>
      </c>
      <c r="CA345" t="e" cm="1">
        <f t="array" ref="CA345">IF(ISNUMBER(BZ345),AF345/COUNT(IF(ISNUMBER(_xlfn.ANCHORARRAY($BZ$11)),_xlfn.ANCHORARRAY($BZ$11))),NA())</f>
        <v>#N/A</v>
      </c>
      <c r="CB345" t="e">
        <f t="shared" si="140"/>
        <v>#N/A</v>
      </c>
      <c r="CD345" t="e">
        <f t="shared" si="141"/>
        <v>#N/A</v>
      </c>
      <c r="CE345" t="e">
        <f t="shared" si="142"/>
        <v>#N/A</v>
      </c>
      <c r="CG345" t="e">
        <v>#N/A</v>
      </c>
      <c r="CH345" t="e">
        <v>#N/A</v>
      </c>
      <c r="CL345">
        <f t="shared" si="143"/>
        <v>72705.215656460379</v>
      </c>
      <c r="CM345" t="e">
        <v>#N/A</v>
      </c>
      <c r="CN345" t="e" cm="1">
        <f t="array" ref="CN345">IF(ISNUMBER(CM345),AF345/COUNT(IF(ISNUMBER(_xlfn.ANCHORARRAY($CM$11)),_xlfn.ANCHORARRAY($CM$11))),NA())</f>
        <v>#N/A</v>
      </c>
      <c r="CO345" t="e">
        <f t="shared" si="144"/>
        <v>#N/A</v>
      </c>
      <c r="CQ345" t="e">
        <f t="shared" si="145"/>
        <v>#N/A</v>
      </c>
      <c r="CR345" t="e">
        <f t="shared" si="146"/>
        <v>#N/A</v>
      </c>
      <c r="CT345" t="e">
        <v>#N/A</v>
      </c>
      <c r="CU345" t="e">
        <v>#N/A</v>
      </c>
      <c r="CY345" t="e">
        <f t="shared" si="147"/>
        <v>#N/A</v>
      </c>
      <c r="CZ345" t="e">
        <v>#N/A</v>
      </c>
      <c r="DA345" t="e" cm="1">
        <f t="array" ref="DA345">IF(ISNUMBER(CZ345),AF345/COUNT(IF(ISNUMBER(_xlfn.ANCHORARRAY($CZ$11)),_xlfn.ANCHORARRAY($CZ$11))),NA())</f>
        <v>#N/A</v>
      </c>
      <c r="DB345" t="e">
        <f t="shared" si="148"/>
        <v>#N/A</v>
      </c>
      <c r="DD345" t="e">
        <f t="shared" si="149"/>
        <v>#N/A</v>
      </c>
      <c r="DE345" t="e">
        <f t="shared" si="150"/>
        <v>#N/A</v>
      </c>
      <c r="DG345" t="e">
        <v>#N/A</v>
      </c>
      <c r="DH345" t="e">
        <v>#N/A</v>
      </c>
    </row>
    <row r="346" spans="32:112">
      <c r="AF346">
        <v>336</v>
      </c>
      <c r="AG346" s="401">
        <f>'Lab test'!N339</f>
        <v>381</v>
      </c>
      <c r="AH346" s="401">
        <f>'Lab test'!M339</f>
        <v>0.26598639194953422</v>
      </c>
      <c r="AI346">
        <f>IF('Lab test'!O339&gt;0,'Lab test'!O339,NA())</f>
        <v>381</v>
      </c>
      <c r="AJ346">
        <f>'Lab test'!Q339</f>
        <v>1432.4041061179078</v>
      </c>
      <c r="AK346" s="401">
        <f>IF('Lab test'!V339&gt;0,'Lab test'!V339,NA())</f>
        <v>72705.215656460379</v>
      </c>
      <c r="AL346" s="7">
        <f>IF(MAX('Lab test'!W339,'Lab test'!X339)&gt;0,MAX('Lab test'!W339,'Lab test'!X339),NA())</f>
        <v>253.72706838859571</v>
      </c>
      <c r="AM346" s="401">
        <f>IF('Lab test'!P339&gt;0,'Lab test'!P339,NA())</f>
        <v>2.6422093274207165E-2</v>
      </c>
      <c r="AN346" s="401">
        <f>IF('Lab test'!AU339&gt;0,'Lab test'!AU339,NA())</f>
        <v>2.9468117119565217E-2</v>
      </c>
      <c r="AO346" s="401">
        <f>IF('Lab test'!AT339&gt;0,'Lab test'!AT339,NA())</f>
        <v>0.24338875135999993</v>
      </c>
      <c r="AP346">
        <f t="shared" si="151"/>
        <v>1</v>
      </c>
      <c r="AQ346" s="401">
        <f>'Lab test'!AZ339</f>
        <v>1933</v>
      </c>
      <c r="AR346" t="str">
        <f>'Lab test'!AC339</f>
        <v>LTWb</v>
      </c>
      <c r="AS346" t="str">
        <f>'Lab test'!T339</f>
        <v>Aluminium</v>
      </c>
      <c r="AX346" t="e">
        <f t="shared" si="136"/>
        <v>#N/A</v>
      </c>
      <c r="AY346" t="e">
        <f t="shared" si="130"/>
        <v>#N/A</v>
      </c>
      <c r="AZ346" t="e">
        <f t="shared" si="133"/>
        <v>#N/A</v>
      </c>
      <c r="BA346" t="e">
        <f t="shared" si="133"/>
        <v>#N/A</v>
      </c>
      <c r="BB346" t="e">
        <f t="shared" si="133"/>
        <v>#N/A</v>
      </c>
      <c r="BC346" t="e">
        <f t="shared" si="133"/>
        <v>#N/A</v>
      </c>
      <c r="BD346" t="e">
        <f t="shared" si="133"/>
        <v>#N/A</v>
      </c>
      <c r="BG346" t="e">
        <f t="shared" si="137"/>
        <v>#N/A</v>
      </c>
      <c r="BH346" t="e">
        <f t="shared" si="131"/>
        <v>#N/A</v>
      </c>
      <c r="BI346" t="e">
        <f t="shared" si="134"/>
        <v>#N/A</v>
      </c>
      <c r="BJ346" t="e">
        <f t="shared" si="134"/>
        <v>#N/A</v>
      </c>
      <c r="BK346" t="e">
        <f t="shared" si="134"/>
        <v>#N/A</v>
      </c>
      <c r="BL346" t="e">
        <f t="shared" si="134"/>
        <v>#N/A</v>
      </c>
      <c r="BM346">
        <f t="shared" si="134"/>
        <v>72705.215656460379</v>
      </c>
      <c r="BP346" t="e">
        <f t="shared" si="138"/>
        <v>#N/A</v>
      </c>
      <c r="BQ346" t="e">
        <f t="shared" si="132"/>
        <v>#N/A</v>
      </c>
      <c r="BR346" t="e">
        <f t="shared" si="135"/>
        <v>#N/A</v>
      </c>
      <c r="BS346" t="e">
        <f t="shared" si="135"/>
        <v>#N/A</v>
      </c>
      <c r="BT346" t="e">
        <f t="shared" si="135"/>
        <v>#N/A</v>
      </c>
      <c r="BU346" t="e">
        <f t="shared" si="135"/>
        <v>#N/A</v>
      </c>
      <c r="BV346" t="e">
        <f t="shared" si="135"/>
        <v>#N/A</v>
      </c>
      <c r="BY346" t="e">
        <f t="shared" si="139"/>
        <v>#N/A</v>
      </c>
      <c r="BZ346" t="e">
        <v>#N/A</v>
      </c>
      <c r="CA346" t="e" cm="1">
        <f t="array" ref="CA346">IF(ISNUMBER(BZ346),AF346/COUNT(IF(ISNUMBER(_xlfn.ANCHORARRAY($BZ$11)),_xlfn.ANCHORARRAY($BZ$11))),NA())</f>
        <v>#N/A</v>
      </c>
      <c r="CB346" t="e">
        <f t="shared" si="140"/>
        <v>#N/A</v>
      </c>
      <c r="CD346" t="e">
        <f t="shared" si="141"/>
        <v>#N/A</v>
      </c>
      <c r="CE346" t="e">
        <f t="shared" si="142"/>
        <v>#N/A</v>
      </c>
      <c r="CG346" t="e">
        <v>#N/A</v>
      </c>
      <c r="CH346" t="e">
        <v>#N/A</v>
      </c>
      <c r="CL346">
        <f t="shared" si="143"/>
        <v>72705.215656460379</v>
      </c>
      <c r="CM346" t="e">
        <v>#N/A</v>
      </c>
      <c r="CN346" t="e" cm="1">
        <f t="array" ref="CN346">IF(ISNUMBER(CM346),AF346/COUNT(IF(ISNUMBER(_xlfn.ANCHORARRAY($CM$11)),_xlfn.ANCHORARRAY($CM$11))),NA())</f>
        <v>#N/A</v>
      </c>
      <c r="CO346" t="e">
        <f t="shared" si="144"/>
        <v>#N/A</v>
      </c>
      <c r="CQ346" t="e">
        <f t="shared" si="145"/>
        <v>#N/A</v>
      </c>
      <c r="CR346" t="e">
        <f t="shared" si="146"/>
        <v>#N/A</v>
      </c>
      <c r="CT346" t="e">
        <v>#N/A</v>
      </c>
      <c r="CU346" t="e">
        <v>#N/A</v>
      </c>
      <c r="CY346" t="e">
        <f t="shared" si="147"/>
        <v>#N/A</v>
      </c>
      <c r="CZ346" t="e">
        <v>#N/A</v>
      </c>
      <c r="DA346" t="e" cm="1">
        <f t="array" ref="DA346">IF(ISNUMBER(CZ346),AF346/COUNT(IF(ISNUMBER(_xlfn.ANCHORARRAY($CZ$11)),_xlfn.ANCHORARRAY($CZ$11))),NA())</f>
        <v>#N/A</v>
      </c>
      <c r="DB346" t="e">
        <f t="shared" si="148"/>
        <v>#N/A</v>
      </c>
      <c r="DD346" t="e">
        <f t="shared" si="149"/>
        <v>#N/A</v>
      </c>
      <c r="DE346" t="e">
        <f t="shared" si="150"/>
        <v>#N/A</v>
      </c>
      <c r="DG346" t="e">
        <v>#N/A</v>
      </c>
      <c r="DH346" t="e">
        <v>#N/A</v>
      </c>
    </row>
    <row r="347" spans="32:112">
      <c r="AF347">
        <v>337</v>
      </c>
      <c r="AG347" s="401">
        <f>'Lab test'!N340</f>
        <v>381</v>
      </c>
      <c r="AH347" s="401">
        <f>'Lab test'!M340</f>
        <v>0.41620847177176967</v>
      </c>
      <c r="AI347">
        <f>IF('Lab test'!O340&gt;0,'Lab test'!O340,NA())</f>
        <v>381</v>
      </c>
      <c r="AJ347">
        <f>'Lab test'!Q340</f>
        <v>915.40664316156347</v>
      </c>
      <c r="AK347" s="401">
        <f>IF('Lab test'!V340&gt;0,'Lab test'!V340,NA())</f>
        <v>71412.448663991308</v>
      </c>
      <c r="AL347" s="7">
        <f>IF(MAX('Lab test'!W340,'Lab test'!X340)&gt;0,MAX('Lab test'!W340,'Lab test'!X340),NA())</f>
        <v>249.76258294502389</v>
      </c>
      <c r="AM347" s="401">
        <f>IF('Lab test'!P340&gt;0,'Lab test'!P340,NA())</f>
        <v>3.3051636677553689E-2</v>
      </c>
      <c r="AN347" s="401">
        <f>IF('Lab test'!AU340&gt;0,'Lab test'!AU340,NA())</f>
        <v>6.5055107246376823E-2</v>
      </c>
      <c r="AO347" s="401">
        <f>IF('Lab test'!AT340&gt;0,'Lab test'!AT340,NA())</f>
        <v>0.34413609999999989</v>
      </c>
      <c r="AP347">
        <f t="shared" si="151"/>
        <v>1</v>
      </c>
      <c r="AQ347" s="401">
        <f>'Lab test'!AZ340</f>
        <v>1933</v>
      </c>
      <c r="AR347" t="str">
        <f>'Lab test'!AC340</f>
        <v>LTWb</v>
      </c>
      <c r="AS347" t="str">
        <f>'Lab test'!T340</f>
        <v>Aluminium</v>
      </c>
      <c r="AX347" t="e">
        <f t="shared" si="136"/>
        <v>#N/A</v>
      </c>
      <c r="AY347" t="e">
        <f t="shared" si="130"/>
        <v>#N/A</v>
      </c>
      <c r="AZ347" t="e">
        <f t="shared" si="133"/>
        <v>#N/A</v>
      </c>
      <c r="BA347" t="e">
        <f t="shared" si="133"/>
        <v>#N/A</v>
      </c>
      <c r="BB347" t="e">
        <f t="shared" si="133"/>
        <v>#N/A</v>
      </c>
      <c r="BC347" t="e">
        <f t="shared" si="133"/>
        <v>#N/A</v>
      </c>
      <c r="BD347" t="e">
        <f t="shared" si="133"/>
        <v>#N/A</v>
      </c>
      <c r="BG347" t="e">
        <f t="shared" si="137"/>
        <v>#N/A</v>
      </c>
      <c r="BH347" t="e">
        <f t="shared" si="131"/>
        <v>#N/A</v>
      </c>
      <c r="BI347" t="e">
        <f t="shared" si="134"/>
        <v>#N/A</v>
      </c>
      <c r="BJ347" t="e">
        <f t="shared" si="134"/>
        <v>#N/A</v>
      </c>
      <c r="BK347">
        <f t="shared" si="134"/>
        <v>71412.448663991308</v>
      </c>
      <c r="BL347" t="e">
        <f t="shared" si="134"/>
        <v>#N/A</v>
      </c>
      <c r="BM347" t="e">
        <f t="shared" si="134"/>
        <v>#N/A</v>
      </c>
      <c r="BP347" t="e">
        <f t="shared" si="138"/>
        <v>#N/A</v>
      </c>
      <c r="BQ347" t="e">
        <f t="shared" si="132"/>
        <v>#N/A</v>
      </c>
      <c r="BR347" t="e">
        <f t="shared" si="135"/>
        <v>#N/A</v>
      </c>
      <c r="BS347" t="e">
        <f t="shared" si="135"/>
        <v>#N/A</v>
      </c>
      <c r="BT347" t="e">
        <f t="shared" si="135"/>
        <v>#N/A</v>
      </c>
      <c r="BU347" t="e">
        <f t="shared" si="135"/>
        <v>#N/A</v>
      </c>
      <c r="BV347" t="e">
        <f t="shared" si="135"/>
        <v>#N/A</v>
      </c>
      <c r="BY347" t="e">
        <f t="shared" si="139"/>
        <v>#N/A</v>
      </c>
      <c r="BZ347" t="e">
        <v>#N/A</v>
      </c>
      <c r="CA347" t="e" cm="1">
        <f t="array" ref="CA347">IF(ISNUMBER(BZ347),AF347/COUNT(IF(ISNUMBER(_xlfn.ANCHORARRAY($BZ$11)),_xlfn.ANCHORARRAY($BZ$11))),NA())</f>
        <v>#N/A</v>
      </c>
      <c r="CB347" t="e">
        <f t="shared" si="140"/>
        <v>#N/A</v>
      </c>
      <c r="CD347" t="e">
        <f t="shared" si="141"/>
        <v>#N/A</v>
      </c>
      <c r="CE347" t="e">
        <f t="shared" si="142"/>
        <v>#N/A</v>
      </c>
      <c r="CG347" t="e">
        <v>#N/A</v>
      </c>
      <c r="CH347" t="e">
        <v>#N/A</v>
      </c>
      <c r="CL347">
        <f t="shared" si="143"/>
        <v>71412.448663991308</v>
      </c>
      <c r="CM347" t="e">
        <v>#N/A</v>
      </c>
      <c r="CN347" t="e" cm="1">
        <f t="array" ref="CN347">IF(ISNUMBER(CM347),AF347/COUNT(IF(ISNUMBER(_xlfn.ANCHORARRAY($CM$11)),_xlfn.ANCHORARRAY($CM$11))),NA())</f>
        <v>#N/A</v>
      </c>
      <c r="CO347" t="e">
        <f t="shared" si="144"/>
        <v>#N/A</v>
      </c>
      <c r="CQ347" t="e">
        <f t="shared" si="145"/>
        <v>#N/A</v>
      </c>
      <c r="CR347" t="e">
        <f t="shared" si="146"/>
        <v>#N/A</v>
      </c>
      <c r="CT347" t="e">
        <v>#N/A</v>
      </c>
      <c r="CU347" t="e">
        <v>#N/A</v>
      </c>
      <c r="CY347" t="e">
        <f t="shared" si="147"/>
        <v>#N/A</v>
      </c>
      <c r="CZ347" t="e">
        <v>#N/A</v>
      </c>
      <c r="DA347" t="e" cm="1">
        <f t="array" ref="DA347">IF(ISNUMBER(CZ347),AF347/COUNT(IF(ISNUMBER(_xlfn.ANCHORARRAY($CZ$11)),_xlfn.ANCHORARRAY($CZ$11))),NA())</f>
        <v>#N/A</v>
      </c>
      <c r="DB347" t="e">
        <f t="shared" si="148"/>
        <v>#N/A</v>
      </c>
      <c r="DD347" t="e">
        <f t="shared" si="149"/>
        <v>#N/A</v>
      </c>
      <c r="DE347" t="e">
        <f t="shared" si="150"/>
        <v>#N/A</v>
      </c>
      <c r="DG347" t="e">
        <v>#N/A</v>
      </c>
      <c r="DH347" t="e">
        <v>#N/A</v>
      </c>
    </row>
    <row r="348" spans="32:112">
      <c r="AF348">
        <v>338</v>
      </c>
      <c r="AG348" s="401">
        <f>'Lab test'!N341</f>
        <v>381</v>
      </c>
      <c r="AH348" s="401">
        <f>'Lab test'!M341</f>
        <v>0.41021993871600149</v>
      </c>
      <c r="AI348">
        <f>IF('Lab test'!O341&gt;0,'Lab test'!O341,NA())</f>
        <v>381</v>
      </c>
      <c r="AJ348">
        <f>'Lab test'!Q341</f>
        <v>928.77006708289071</v>
      </c>
      <c r="AK348" s="401">
        <f>IF('Lab test'!V341&gt;0,'Lab test'!V341,NA())</f>
        <v>71412.448663991308</v>
      </c>
      <c r="AL348" s="7">
        <f>IF(MAX('Lab test'!W341,'Lab test'!X341)&gt;0,MAX('Lab test'!W341,'Lab test'!X341),NA())</f>
        <v>249.76258294502389</v>
      </c>
      <c r="AM348" s="401">
        <f>IF('Lab test'!P341&gt;0,'Lab test'!P341,NA())</f>
        <v>3.2812996701542467E-2</v>
      </c>
      <c r="AN348" s="401">
        <f>IF('Lab test'!AU341&gt;0,'Lab test'!AU341,NA())</f>
        <v>5.9557412008281581E-2</v>
      </c>
      <c r="AO348" s="401">
        <f>IF('Lab test'!AT341&gt;0,'Lab test'!AT341,NA())</f>
        <v>0.3196530139999999</v>
      </c>
      <c r="AP348">
        <f t="shared" si="151"/>
        <v>1</v>
      </c>
      <c r="AQ348" s="401">
        <f>'Lab test'!AZ341</f>
        <v>1933</v>
      </c>
      <c r="AR348" t="str">
        <f>'Lab test'!AC341</f>
        <v>LTWb</v>
      </c>
      <c r="AS348" t="str">
        <f>'Lab test'!T341</f>
        <v>Aluminium</v>
      </c>
      <c r="AX348" t="e">
        <f t="shared" si="136"/>
        <v>#N/A</v>
      </c>
      <c r="AY348" t="e">
        <f t="shared" si="130"/>
        <v>#N/A</v>
      </c>
      <c r="AZ348" t="e">
        <f t="shared" si="133"/>
        <v>#N/A</v>
      </c>
      <c r="BA348" t="e">
        <f t="shared" si="133"/>
        <v>#N/A</v>
      </c>
      <c r="BB348" t="e">
        <f t="shared" si="133"/>
        <v>#N/A</v>
      </c>
      <c r="BC348" t="e">
        <f t="shared" si="133"/>
        <v>#N/A</v>
      </c>
      <c r="BD348" t="e">
        <f t="shared" si="133"/>
        <v>#N/A</v>
      </c>
      <c r="BG348" t="e">
        <f t="shared" si="137"/>
        <v>#N/A</v>
      </c>
      <c r="BH348" t="e">
        <f t="shared" si="131"/>
        <v>#N/A</v>
      </c>
      <c r="BI348" t="e">
        <f t="shared" si="134"/>
        <v>#N/A</v>
      </c>
      <c r="BJ348" t="e">
        <f t="shared" si="134"/>
        <v>#N/A</v>
      </c>
      <c r="BK348">
        <f t="shared" si="134"/>
        <v>71412.448663991308</v>
      </c>
      <c r="BL348" t="e">
        <f t="shared" si="134"/>
        <v>#N/A</v>
      </c>
      <c r="BM348" t="e">
        <f t="shared" si="134"/>
        <v>#N/A</v>
      </c>
      <c r="BP348" t="e">
        <f t="shared" si="138"/>
        <v>#N/A</v>
      </c>
      <c r="BQ348" t="e">
        <f t="shared" si="132"/>
        <v>#N/A</v>
      </c>
      <c r="BR348" t="e">
        <f t="shared" si="135"/>
        <v>#N/A</v>
      </c>
      <c r="BS348" t="e">
        <f t="shared" si="135"/>
        <v>#N/A</v>
      </c>
      <c r="BT348" t="e">
        <f t="shared" si="135"/>
        <v>#N/A</v>
      </c>
      <c r="BU348" t="e">
        <f t="shared" si="135"/>
        <v>#N/A</v>
      </c>
      <c r="BV348" t="e">
        <f t="shared" si="135"/>
        <v>#N/A</v>
      </c>
      <c r="BY348" t="e">
        <f t="shared" si="139"/>
        <v>#N/A</v>
      </c>
      <c r="BZ348" t="e">
        <v>#N/A</v>
      </c>
      <c r="CA348" t="e" cm="1">
        <f t="array" ref="CA348">IF(ISNUMBER(BZ348),AF348/COUNT(IF(ISNUMBER(_xlfn.ANCHORARRAY($BZ$11)),_xlfn.ANCHORARRAY($BZ$11))),NA())</f>
        <v>#N/A</v>
      </c>
      <c r="CB348" t="e">
        <f t="shared" si="140"/>
        <v>#N/A</v>
      </c>
      <c r="CD348" t="e">
        <f t="shared" si="141"/>
        <v>#N/A</v>
      </c>
      <c r="CE348" t="e">
        <f t="shared" si="142"/>
        <v>#N/A</v>
      </c>
      <c r="CG348" t="e">
        <v>#N/A</v>
      </c>
      <c r="CH348" t="e">
        <v>#N/A</v>
      </c>
      <c r="CL348">
        <f t="shared" si="143"/>
        <v>71412.448663991308</v>
      </c>
      <c r="CM348" t="e">
        <v>#N/A</v>
      </c>
      <c r="CN348" t="e" cm="1">
        <f t="array" ref="CN348">IF(ISNUMBER(CM348),AF348/COUNT(IF(ISNUMBER(_xlfn.ANCHORARRAY($CM$11)),_xlfn.ANCHORARRAY($CM$11))),NA())</f>
        <v>#N/A</v>
      </c>
      <c r="CO348" t="e">
        <f t="shared" si="144"/>
        <v>#N/A</v>
      </c>
      <c r="CQ348" t="e">
        <f t="shared" si="145"/>
        <v>#N/A</v>
      </c>
      <c r="CR348" t="e">
        <f t="shared" si="146"/>
        <v>#N/A</v>
      </c>
      <c r="CT348" t="e">
        <v>#N/A</v>
      </c>
      <c r="CU348" t="e">
        <v>#N/A</v>
      </c>
      <c r="CY348" t="e">
        <f t="shared" si="147"/>
        <v>#N/A</v>
      </c>
      <c r="CZ348" t="e">
        <v>#N/A</v>
      </c>
      <c r="DA348" t="e" cm="1">
        <f t="array" ref="DA348">IF(ISNUMBER(CZ348),AF348/COUNT(IF(ISNUMBER(_xlfn.ANCHORARRAY($CZ$11)),_xlfn.ANCHORARRAY($CZ$11))),NA())</f>
        <v>#N/A</v>
      </c>
      <c r="DB348" t="e">
        <f t="shared" si="148"/>
        <v>#N/A</v>
      </c>
      <c r="DD348" t="e">
        <f t="shared" si="149"/>
        <v>#N/A</v>
      </c>
      <c r="DE348" t="e">
        <f t="shared" si="150"/>
        <v>#N/A</v>
      </c>
      <c r="DG348" t="e">
        <v>#N/A</v>
      </c>
      <c r="DH348" t="e">
        <v>#N/A</v>
      </c>
    </row>
    <row r="349" spans="32:112">
      <c r="AF349">
        <v>339</v>
      </c>
      <c r="AG349" s="401">
        <f>'Lab test'!N342</f>
        <v>381</v>
      </c>
      <c r="AH349" s="401">
        <f>'Lab test'!M342</f>
        <v>0.52868458878225066</v>
      </c>
      <c r="AI349">
        <f>IF('Lab test'!O342&gt;0,'Lab test'!O342,NA())</f>
        <v>190.5</v>
      </c>
      <c r="AJ349">
        <f>'Lab test'!Q342</f>
        <v>720.65652769939629</v>
      </c>
      <c r="AK349" s="401">
        <f>IF('Lab test'!V342&gt;0,'Lab test'!V342,NA())</f>
        <v>70050.734098590561</v>
      </c>
      <c r="AL349" s="7">
        <f>IF(MAX('Lab test'!W342,'Lab test'!X342)&gt;0,MAX('Lab test'!W342,'Lab test'!X342),NA())</f>
        <v>262.62130529678291</v>
      </c>
      <c r="AM349" s="401">
        <f>IF('Lab test'!P342&gt;0,'Lab test'!P342,NA())</f>
        <v>1.8625410012965703E-2</v>
      </c>
      <c r="AN349" s="401">
        <f>IF('Lab test'!AU342&gt;0,'Lab test'!AU342,NA())</f>
        <v>0.11408327645051196</v>
      </c>
      <c r="AO349" s="401">
        <f>IF('Lab test'!AT342&gt;0,'Lab test'!AT342,NA())</f>
        <v>0.50927094399999995</v>
      </c>
      <c r="AP349">
        <f t="shared" si="151"/>
        <v>1</v>
      </c>
      <c r="AQ349" s="401">
        <f>'Lab test'!AZ342</f>
        <v>1933</v>
      </c>
      <c r="AR349" t="str">
        <f>'Lab test'!AC342</f>
        <v>LTWb</v>
      </c>
      <c r="AS349" t="str">
        <f>'Lab test'!T342</f>
        <v>Aluminium</v>
      </c>
      <c r="AX349" t="e">
        <f t="shared" si="136"/>
        <v>#N/A</v>
      </c>
      <c r="AY349" t="e">
        <f t="shared" si="130"/>
        <v>#N/A</v>
      </c>
      <c r="AZ349" t="e">
        <f t="shared" si="133"/>
        <v>#N/A</v>
      </c>
      <c r="BA349" t="e">
        <f t="shared" si="133"/>
        <v>#N/A</v>
      </c>
      <c r="BB349" t="e">
        <f t="shared" si="133"/>
        <v>#N/A</v>
      </c>
      <c r="BC349" t="e">
        <f t="shared" si="133"/>
        <v>#N/A</v>
      </c>
      <c r="BD349" t="e">
        <f t="shared" si="133"/>
        <v>#N/A</v>
      </c>
      <c r="BG349" t="e">
        <f t="shared" si="137"/>
        <v>#N/A</v>
      </c>
      <c r="BH349" t="e">
        <f t="shared" si="131"/>
        <v>#N/A</v>
      </c>
      <c r="BI349" t="e">
        <f t="shared" si="134"/>
        <v>#N/A</v>
      </c>
      <c r="BJ349">
        <f t="shared" si="134"/>
        <v>70050.734098590561</v>
      </c>
      <c r="BK349" t="e">
        <f t="shared" si="134"/>
        <v>#N/A</v>
      </c>
      <c r="BL349" t="e">
        <f t="shared" si="134"/>
        <v>#N/A</v>
      </c>
      <c r="BM349" t="e">
        <f t="shared" si="134"/>
        <v>#N/A</v>
      </c>
      <c r="BP349" t="e">
        <f t="shared" si="138"/>
        <v>#N/A</v>
      </c>
      <c r="BQ349" t="e">
        <f t="shared" si="132"/>
        <v>#N/A</v>
      </c>
      <c r="BR349" t="e">
        <f t="shared" si="135"/>
        <v>#N/A</v>
      </c>
      <c r="BS349" t="e">
        <f t="shared" si="135"/>
        <v>#N/A</v>
      </c>
      <c r="BT349" t="e">
        <f t="shared" si="135"/>
        <v>#N/A</v>
      </c>
      <c r="BU349" t="e">
        <f t="shared" si="135"/>
        <v>#N/A</v>
      </c>
      <c r="BV349" t="e">
        <f t="shared" si="135"/>
        <v>#N/A</v>
      </c>
      <c r="BY349" t="e">
        <f t="shared" si="139"/>
        <v>#N/A</v>
      </c>
      <c r="BZ349" t="e">
        <v>#N/A</v>
      </c>
      <c r="CA349" t="e" cm="1">
        <f t="array" ref="CA349">IF(ISNUMBER(BZ349),AF349/COUNT(IF(ISNUMBER(_xlfn.ANCHORARRAY($BZ$11)),_xlfn.ANCHORARRAY($BZ$11))),NA())</f>
        <v>#N/A</v>
      </c>
      <c r="CB349" t="e">
        <f t="shared" si="140"/>
        <v>#N/A</v>
      </c>
      <c r="CD349" t="e">
        <f t="shared" si="141"/>
        <v>#N/A</v>
      </c>
      <c r="CE349" t="e">
        <f t="shared" si="142"/>
        <v>#N/A</v>
      </c>
      <c r="CG349" t="e">
        <v>#N/A</v>
      </c>
      <c r="CH349" t="e">
        <v>#N/A</v>
      </c>
      <c r="CL349">
        <f t="shared" si="143"/>
        <v>70050.734098590561</v>
      </c>
      <c r="CM349" t="e">
        <v>#N/A</v>
      </c>
      <c r="CN349" t="e" cm="1">
        <f t="array" ref="CN349">IF(ISNUMBER(CM349),AF349/COUNT(IF(ISNUMBER(_xlfn.ANCHORARRAY($CM$11)),_xlfn.ANCHORARRAY($CM$11))),NA())</f>
        <v>#N/A</v>
      </c>
      <c r="CO349" t="e">
        <f t="shared" si="144"/>
        <v>#N/A</v>
      </c>
      <c r="CQ349" t="e">
        <f t="shared" si="145"/>
        <v>#N/A</v>
      </c>
      <c r="CR349" t="e">
        <f t="shared" si="146"/>
        <v>#N/A</v>
      </c>
      <c r="CT349" t="e">
        <v>#N/A</v>
      </c>
      <c r="CU349" t="e">
        <v>#N/A</v>
      </c>
      <c r="CY349" t="e">
        <f t="shared" si="147"/>
        <v>#N/A</v>
      </c>
      <c r="CZ349" t="e">
        <v>#N/A</v>
      </c>
      <c r="DA349" t="e" cm="1">
        <f t="array" ref="DA349">IF(ISNUMBER(CZ349),AF349/COUNT(IF(ISNUMBER(_xlfn.ANCHORARRAY($CZ$11)),_xlfn.ANCHORARRAY($CZ$11))),NA())</f>
        <v>#N/A</v>
      </c>
      <c r="DB349" t="e">
        <f t="shared" si="148"/>
        <v>#N/A</v>
      </c>
      <c r="DD349" t="e">
        <f t="shared" si="149"/>
        <v>#N/A</v>
      </c>
      <c r="DE349" t="e">
        <f t="shared" si="150"/>
        <v>#N/A</v>
      </c>
      <c r="DG349" t="e">
        <v>#N/A</v>
      </c>
      <c r="DH349" t="e">
        <v>#N/A</v>
      </c>
    </row>
    <row r="350" spans="32:112">
      <c r="AF350">
        <v>340</v>
      </c>
      <c r="AG350" s="401">
        <f>'Lab test'!N343</f>
        <v>381</v>
      </c>
      <c r="AH350" s="401">
        <f>'Lab test'!M343</f>
        <v>0.49565012720049251</v>
      </c>
      <c r="AI350">
        <f>IF('Lab test'!O343&gt;0,'Lab test'!O343,NA())</f>
        <v>190.5</v>
      </c>
      <c r="AJ350">
        <f>'Lab test'!Q343</f>
        <v>768.68738469199252</v>
      </c>
      <c r="AK350" s="401">
        <f>IF('Lab test'!V343&gt;0,'Lab test'!V343,NA())</f>
        <v>70050.734098590561</v>
      </c>
      <c r="AL350" s="7">
        <f>IF(MAX('Lab test'!W343,'Lab test'!X343)&gt;0,MAX('Lab test'!W343,'Lab test'!X343),NA())</f>
        <v>262.62130529678291</v>
      </c>
      <c r="AM350" s="401">
        <f>IF('Lab test'!P343&gt;0,'Lab test'!P343,NA())</f>
        <v>1.8034127155411236E-2</v>
      </c>
      <c r="AN350" s="401">
        <f>IF('Lab test'!AU343&gt;0,'Lab test'!AU343,NA())</f>
        <v>9.0578440535573651E-2</v>
      </c>
      <c r="AO350" s="401">
        <f>IF('Lab test'!AT343&gt;0,'Lab test'!AT343,NA())</f>
        <v>0.4312937664</v>
      </c>
      <c r="AP350">
        <f t="shared" si="151"/>
        <v>1</v>
      </c>
      <c r="AQ350" s="401">
        <f>'Lab test'!AZ343</f>
        <v>1933</v>
      </c>
      <c r="AR350" t="str">
        <f>'Lab test'!AC343</f>
        <v>LTWb</v>
      </c>
      <c r="AS350" t="str">
        <f>'Lab test'!T343</f>
        <v>Aluminium</v>
      </c>
      <c r="AX350" t="e">
        <f t="shared" si="136"/>
        <v>#N/A</v>
      </c>
      <c r="AY350" t="e">
        <f t="shared" si="130"/>
        <v>#N/A</v>
      </c>
      <c r="AZ350" t="e">
        <f t="shared" si="133"/>
        <v>#N/A</v>
      </c>
      <c r="BA350" t="e">
        <f t="shared" si="133"/>
        <v>#N/A</v>
      </c>
      <c r="BB350" t="e">
        <f t="shared" si="133"/>
        <v>#N/A</v>
      </c>
      <c r="BC350" t="e">
        <f t="shared" si="133"/>
        <v>#N/A</v>
      </c>
      <c r="BD350" t="e">
        <f t="shared" si="133"/>
        <v>#N/A</v>
      </c>
      <c r="BG350" t="e">
        <f t="shared" si="137"/>
        <v>#N/A</v>
      </c>
      <c r="BH350" t="e">
        <f t="shared" si="131"/>
        <v>#N/A</v>
      </c>
      <c r="BI350" t="e">
        <f t="shared" si="134"/>
        <v>#N/A</v>
      </c>
      <c r="BJ350">
        <f t="shared" si="134"/>
        <v>70050.734098590561</v>
      </c>
      <c r="BK350" t="e">
        <f t="shared" si="134"/>
        <v>#N/A</v>
      </c>
      <c r="BL350" t="e">
        <f t="shared" si="134"/>
        <v>#N/A</v>
      </c>
      <c r="BM350" t="e">
        <f t="shared" si="134"/>
        <v>#N/A</v>
      </c>
      <c r="BP350" t="e">
        <f t="shared" si="138"/>
        <v>#N/A</v>
      </c>
      <c r="BQ350" t="e">
        <f t="shared" si="132"/>
        <v>#N/A</v>
      </c>
      <c r="BR350" t="e">
        <f t="shared" si="135"/>
        <v>#N/A</v>
      </c>
      <c r="BS350" t="e">
        <f t="shared" si="135"/>
        <v>#N/A</v>
      </c>
      <c r="BT350" t="e">
        <f t="shared" si="135"/>
        <v>#N/A</v>
      </c>
      <c r="BU350" t="e">
        <f t="shared" si="135"/>
        <v>#N/A</v>
      </c>
      <c r="BV350" t="e">
        <f t="shared" si="135"/>
        <v>#N/A</v>
      </c>
      <c r="BY350" t="e">
        <f t="shared" si="139"/>
        <v>#N/A</v>
      </c>
      <c r="BZ350" t="e">
        <v>#N/A</v>
      </c>
      <c r="CA350" t="e" cm="1">
        <f t="array" ref="CA350">IF(ISNUMBER(BZ350),AF350/COUNT(IF(ISNUMBER(_xlfn.ANCHORARRAY($BZ$11)),_xlfn.ANCHORARRAY($BZ$11))),NA())</f>
        <v>#N/A</v>
      </c>
      <c r="CB350" t="e">
        <f t="shared" si="140"/>
        <v>#N/A</v>
      </c>
      <c r="CD350" t="e">
        <f t="shared" si="141"/>
        <v>#N/A</v>
      </c>
      <c r="CE350" t="e">
        <f t="shared" si="142"/>
        <v>#N/A</v>
      </c>
      <c r="CG350" t="e">
        <v>#N/A</v>
      </c>
      <c r="CH350" t="e">
        <v>#N/A</v>
      </c>
      <c r="CL350">
        <f t="shared" si="143"/>
        <v>70050.734098590561</v>
      </c>
      <c r="CM350" t="e">
        <v>#N/A</v>
      </c>
      <c r="CN350" t="e" cm="1">
        <f t="array" ref="CN350">IF(ISNUMBER(CM350),AF350/COUNT(IF(ISNUMBER(_xlfn.ANCHORARRAY($CM$11)),_xlfn.ANCHORARRAY($CM$11))),NA())</f>
        <v>#N/A</v>
      </c>
      <c r="CO350" t="e">
        <f t="shared" si="144"/>
        <v>#N/A</v>
      </c>
      <c r="CQ350" t="e">
        <f t="shared" si="145"/>
        <v>#N/A</v>
      </c>
      <c r="CR350" t="e">
        <f t="shared" si="146"/>
        <v>#N/A</v>
      </c>
      <c r="CT350" t="e">
        <v>#N/A</v>
      </c>
      <c r="CU350" t="e">
        <v>#N/A</v>
      </c>
      <c r="CY350" t="e">
        <f t="shared" si="147"/>
        <v>#N/A</v>
      </c>
      <c r="CZ350" t="e">
        <v>#N/A</v>
      </c>
      <c r="DA350" t="e" cm="1">
        <f t="array" ref="DA350">IF(ISNUMBER(CZ350),AF350/COUNT(IF(ISNUMBER(_xlfn.ANCHORARRAY($CZ$11)),_xlfn.ANCHORARRAY($CZ$11))),NA())</f>
        <v>#N/A</v>
      </c>
      <c r="DB350" t="e">
        <f t="shared" si="148"/>
        <v>#N/A</v>
      </c>
      <c r="DD350" t="e">
        <f t="shared" si="149"/>
        <v>#N/A</v>
      </c>
      <c r="DE350" t="e">
        <f t="shared" si="150"/>
        <v>#N/A</v>
      </c>
      <c r="DG350" t="e">
        <v>#N/A</v>
      </c>
      <c r="DH350" t="e">
        <v>#N/A</v>
      </c>
    </row>
    <row r="351" spans="32:112">
      <c r="AF351">
        <v>341</v>
      </c>
      <c r="AG351" s="401">
        <f>'Lab test'!N344</f>
        <v>381</v>
      </c>
      <c r="AH351" s="401">
        <f>'Lab test'!M344</f>
        <v>0.5036122508438412</v>
      </c>
      <c r="AI351">
        <f>IF('Lab test'!O344&gt;0,'Lab test'!O344,NA())</f>
        <v>190.5</v>
      </c>
      <c r="AJ351">
        <f>'Lab test'!Q344</f>
        <v>756.53441583600295</v>
      </c>
      <c r="AK351" s="401">
        <f>IF('Lab test'!V344&gt;0,'Lab test'!V344,NA())</f>
        <v>70050.734098590561</v>
      </c>
      <c r="AL351" s="7">
        <f>IF(MAX('Lab test'!W344,'Lab test'!X344)&gt;0,MAX('Lab test'!W344,'Lab test'!X344),NA())</f>
        <v>262.62130529678291</v>
      </c>
      <c r="AM351" s="401">
        <f>IF('Lab test'!P344&gt;0,'Lab test'!P344,NA())</f>
        <v>1.8178400172654527E-2</v>
      </c>
      <c r="AN351" s="401">
        <f>IF('Lab test'!AU344&gt;0,'Lab test'!AU344,NA())</f>
        <v>0.11178934103439224</v>
      </c>
      <c r="AO351" s="401">
        <f>IF('Lab test'!AT344&gt;0,'Lab test'!AT344,NA())</f>
        <v>0.52387499999999998</v>
      </c>
      <c r="AP351">
        <f t="shared" si="151"/>
        <v>1</v>
      </c>
      <c r="AQ351" s="401">
        <f>'Lab test'!AZ344</f>
        <v>1933</v>
      </c>
      <c r="AR351" t="str">
        <f>'Lab test'!AC344</f>
        <v>LTWb</v>
      </c>
      <c r="AS351" t="str">
        <f>'Lab test'!T344</f>
        <v>Aluminium</v>
      </c>
      <c r="AX351" t="e">
        <f t="shared" si="136"/>
        <v>#N/A</v>
      </c>
      <c r="AY351" t="e">
        <f t="shared" si="130"/>
        <v>#N/A</v>
      </c>
      <c r="AZ351" t="e">
        <f t="shared" si="133"/>
        <v>#N/A</v>
      </c>
      <c r="BA351" t="e">
        <f t="shared" si="133"/>
        <v>#N/A</v>
      </c>
      <c r="BB351" t="e">
        <f t="shared" si="133"/>
        <v>#N/A</v>
      </c>
      <c r="BC351" t="e">
        <f t="shared" si="133"/>
        <v>#N/A</v>
      </c>
      <c r="BD351" t="e">
        <f t="shared" si="133"/>
        <v>#N/A</v>
      </c>
      <c r="BG351" t="e">
        <f t="shared" si="137"/>
        <v>#N/A</v>
      </c>
      <c r="BH351" t="e">
        <f t="shared" si="131"/>
        <v>#N/A</v>
      </c>
      <c r="BI351" t="e">
        <f t="shared" si="134"/>
        <v>#N/A</v>
      </c>
      <c r="BJ351">
        <f t="shared" si="134"/>
        <v>70050.734098590561</v>
      </c>
      <c r="BK351" t="e">
        <f t="shared" si="134"/>
        <v>#N/A</v>
      </c>
      <c r="BL351" t="e">
        <f t="shared" si="134"/>
        <v>#N/A</v>
      </c>
      <c r="BM351" t="e">
        <f t="shared" si="134"/>
        <v>#N/A</v>
      </c>
      <c r="BP351" t="e">
        <f t="shared" si="138"/>
        <v>#N/A</v>
      </c>
      <c r="BQ351" t="e">
        <f t="shared" si="132"/>
        <v>#N/A</v>
      </c>
      <c r="BR351" t="e">
        <f t="shared" si="135"/>
        <v>#N/A</v>
      </c>
      <c r="BS351" t="e">
        <f t="shared" si="135"/>
        <v>#N/A</v>
      </c>
      <c r="BT351" t="e">
        <f t="shared" si="135"/>
        <v>#N/A</v>
      </c>
      <c r="BU351" t="e">
        <f t="shared" si="135"/>
        <v>#N/A</v>
      </c>
      <c r="BV351" t="e">
        <f t="shared" si="135"/>
        <v>#N/A</v>
      </c>
      <c r="BY351" t="e">
        <f t="shared" si="139"/>
        <v>#N/A</v>
      </c>
      <c r="BZ351" t="e">
        <v>#N/A</v>
      </c>
      <c r="CA351" t="e" cm="1">
        <f t="array" ref="CA351">IF(ISNUMBER(BZ351),AF351/COUNT(IF(ISNUMBER(_xlfn.ANCHORARRAY($BZ$11)),_xlfn.ANCHORARRAY($BZ$11))),NA())</f>
        <v>#N/A</v>
      </c>
      <c r="CB351" t="e">
        <f t="shared" si="140"/>
        <v>#N/A</v>
      </c>
      <c r="CD351" t="e">
        <f t="shared" si="141"/>
        <v>#N/A</v>
      </c>
      <c r="CE351" t="e">
        <f t="shared" si="142"/>
        <v>#N/A</v>
      </c>
      <c r="CG351" t="e">
        <v>#N/A</v>
      </c>
      <c r="CH351" t="e">
        <v>#N/A</v>
      </c>
      <c r="CL351">
        <f t="shared" si="143"/>
        <v>70050.734098590561</v>
      </c>
      <c r="CM351" t="e">
        <v>#N/A</v>
      </c>
      <c r="CN351" t="e" cm="1">
        <f t="array" ref="CN351">IF(ISNUMBER(CM351),AF351/COUNT(IF(ISNUMBER(_xlfn.ANCHORARRAY($CM$11)),_xlfn.ANCHORARRAY($CM$11))),NA())</f>
        <v>#N/A</v>
      </c>
      <c r="CO351" t="e">
        <f t="shared" si="144"/>
        <v>#N/A</v>
      </c>
      <c r="CQ351" t="e">
        <f t="shared" si="145"/>
        <v>#N/A</v>
      </c>
      <c r="CR351" t="e">
        <f t="shared" si="146"/>
        <v>#N/A</v>
      </c>
      <c r="CT351" t="e">
        <v>#N/A</v>
      </c>
      <c r="CU351" t="e">
        <v>#N/A</v>
      </c>
      <c r="CY351" t="e">
        <f t="shared" si="147"/>
        <v>#N/A</v>
      </c>
      <c r="CZ351" t="e">
        <v>#N/A</v>
      </c>
      <c r="DA351" t="e" cm="1">
        <f t="array" ref="DA351">IF(ISNUMBER(CZ351),AF351/COUNT(IF(ISNUMBER(_xlfn.ANCHORARRAY($CZ$11)),_xlfn.ANCHORARRAY($CZ$11))),NA())</f>
        <v>#N/A</v>
      </c>
      <c r="DB351" t="e">
        <f t="shared" si="148"/>
        <v>#N/A</v>
      </c>
      <c r="DD351" t="e">
        <f t="shared" si="149"/>
        <v>#N/A</v>
      </c>
      <c r="DE351" t="e">
        <f t="shared" si="150"/>
        <v>#N/A</v>
      </c>
      <c r="DG351" t="e">
        <v>#N/A</v>
      </c>
      <c r="DH351" t="e">
        <v>#N/A</v>
      </c>
    </row>
    <row r="352" spans="32:112">
      <c r="AF352">
        <v>342</v>
      </c>
      <c r="AG352" s="401">
        <f>'Lab test'!N345</f>
        <v>381</v>
      </c>
      <c r="AH352" s="401">
        <f>'Lab test'!M345</f>
        <v>0.56513512061440796</v>
      </c>
      <c r="AI352">
        <f>IF('Lab test'!O345&gt;0,'Lab test'!O345,NA())</f>
        <v>381</v>
      </c>
      <c r="AJ352">
        <f>'Lab test'!Q345</f>
        <v>674.17505319043255</v>
      </c>
      <c r="AK352" s="401">
        <f>IF('Lab test'!V345&gt;0,'Lab test'!V345,NA())</f>
        <v>70050.734098590561</v>
      </c>
      <c r="AL352" s="7">
        <f>IF(MAX('Lab test'!W345,'Lab test'!X345)&gt;0,MAX('Lab test'!W345,'Lab test'!X345),NA())</f>
        <v>262.62130529678291</v>
      </c>
      <c r="AM352" s="401">
        <f>IF('Lab test'!P345&gt;0,'Lab test'!P345,NA())</f>
        <v>3.8513559687827381E-2</v>
      </c>
      <c r="AN352" s="401">
        <f>IF('Lab test'!AU345&gt;0,'Lab test'!AU345,NA())</f>
        <v>0.10952207928590181</v>
      </c>
      <c r="AO352" s="401">
        <f>IF('Lab test'!AT345&gt;0,'Lab test'!AT345,NA())</f>
        <v>0.45737555200000007</v>
      </c>
      <c r="AP352">
        <f t="shared" si="151"/>
        <v>1</v>
      </c>
      <c r="AQ352" s="401">
        <f>'Lab test'!AZ345</f>
        <v>1933</v>
      </c>
      <c r="AR352" t="str">
        <f>'Lab test'!AC345</f>
        <v>LTWb</v>
      </c>
      <c r="AS352" t="str">
        <f>'Lab test'!T345</f>
        <v>Aluminium</v>
      </c>
      <c r="AX352" t="e">
        <f t="shared" si="136"/>
        <v>#N/A</v>
      </c>
      <c r="AY352" t="e">
        <f t="shared" si="130"/>
        <v>#N/A</v>
      </c>
      <c r="AZ352" t="e">
        <f t="shared" si="133"/>
        <v>#N/A</v>
      </c>
      <c r="BA352" t="e">
        <f t="shared" si="133"/>
        <v>#N/A</v>
      </c>
      <c r="BB352" t="e">
        <f t="shared" si="133"/>
        <v>#N/A</v>
      </c>
      <c r="BC352" t="e">
        <f t="shared" si="133"/>
        <v>#N/A</v>
      </c>
      <c r="BD352" t="e">
        <f t="shared" si="133"/>
        <v>#N/A</v>
      </c>
      <c r="BG352" t="e">
        <f t="shared" si="137"/>
        <v>#N/A</v>
      </c>
      <c r="BH352" t="e">
        <f t="shared" si="131"/>
        <v>#N/A</v>
      </c>
      <c r="BI352" t="e">
        <f t="shared" si="134"/>
        <v>#N/A</v>
      </c>
      <c r="BJ352">
        <f t="shared" si="134"/>
        <v>70050.734098590561</v>
      </c>
      <c r="BK352" t="e">
        <f t="shared" si="134"/>
        <v>#N/A</v>
      </c>
      <c r="BL352" t="e">
        <f t="shared" si="134"/>
        <v>#N/A</v>
      </c>
      <c r="BM352" t="e">
        <f t="shared" si="134"/>
        <v>#N/A</v>
      </c>
      <c r="BP352" t="e">
        <f t="shared" si="138"/>
        <v>#N/A</v>
      </c>
      <c r="BQ352" t="e">
        <f t="shared" si="132"/>
        <v>#N/A</v>
      </c>
      <c r="BR352" t="e">
        <f t="shared" si="135"/>
        <v>#N/A</v>
      </c>
      <c r="BS352" t="e">
        <f t="shared" si="135"/>
        <v>#N/A</v>
      </c>
      <c r="BT352" t="e">
        <f t="shared" si="135"/>
        <v>#N/A</v>
      </c>
      <c r="BU352" t="e">
        <f t="shared" si="135"/>
        <v>#N/A</v>
      </c>
      <c r="BV352" t="e">
        <f t="shared" si="135"/>
        <v>#N/A</v>
      </c>
      <c r="BY352" t="e">
        <f t="shared" si="139"/>
        <v>#N/A</v>
      </c>
      <c r="BZ352" t="e">
        <v>#N/A</v>
      </c>
      <c r="CA352" t="e" cm="1">
        <f t="array" ref="CA352">IF(ISNUMBER(BZ352),AF352/COUNT(IF(ISNUMBER(_xlfn.ANCHORARRAY($BZ$11)),_xlfn.ANCHORARRAY($BZ$11))),NA())</f>
        <v>#N/A</v>
      </c>
      <c r="CB352" t="e">
        <f t="shared" si="140"/>
        <v>#N/A</v>
      </c>
      <c r="CD352" t="e">
        <f t="shared" si="141"/>
        <v>#N/A</v>
      </c>
      <c r="CE352" t="e">
        <f t="shared" si="142"/>
        <v>#N/A</v>
      </c>
      <c r="CG352" t="e">
        <v>#N/A</v>
      </c>
      <c r="CH352" t="e">
        <v>#N/A</v>
      </c>
      <c r="CL352">
        <f t="shared" si="143"/>
        <v>70050.734098590561</v>
      </c>
      <c r="CM352" t="e">
        <v>#N/A</v>
      </c>
      <c r="CN352" t="e" cm="1">
        <f t="array" ref="CN352">IF(ISNUMBER(CM352),AF352/COUNT(IF(ISNUMBER(_xlfn.ANCHORARRAY($CM$11)),_xlfn.ANCHORARRAY($CM$11))),NA())</f>
        <v>#N/A</v>
      </c>
      <c r="CO352" t="e">
        <f t="shared" si="144"/>
        <v>#N/A</v>
      </c>
      <c r="CQ352" t="e">
        <f t="shared" si="145"/>
        <v>#N/A</v>
      </c>
      <c r="CR352" t="e">
        <f t="shared" si="146"/>
        <v>#N/A</v>
      </c>
      <c r="CT352" t="e">
        <v>#N/A</v>
      </c>
      <c r="CU352" t="e">
        <v>#N/A</v>
      </c>
      <c r="CY352" t="e">
        <f t="shared" si="147"/>
        <v>#N/A</v>
      </c>
      <c r="CZ352" t="e">
        <v>#N/A</v>
      </c>
      <c r="DA352" t="e" cm="1">
        <f t="array" ref="DA352">IF(ISNUMBER(CZ352),AF352/COUNT(IF(ISNUMBER(_xlfn.ANCHORARRAY($CZ$11)),_xlfn.ANCHORARRAY($CZ$11))),NA())</f>
        <v>#N/A</v>
      </c>
      <c r="DB352" t="e">
        <f t="shared" si="148"/>
        <v>#N/A</v>
      </c>
      <c r="DD352" t="e">
        <f t="shared" si="149"/>
        <v>#N/A</v>
      </c>
      <c r="DE352" t="e">
        <f t="shared" si="150"/>
        <v>#N/A</v>
      </c>
      <c r="DG352" t="e">
        <v>#N/A</v>
      </c>
      <c r="DH352" t="e">
        <v>#N/A</v>
      </c>
    </row>
    <row r="353" spans="32:112">
      <c r="AF353">
        <v>343</v>
      </c>
      <c r="AG353" s="401">
        <f>'Lab test'!N346</f>
        <v>381</v>
      </c>
      <c r="AH353" s="401">
        <f>'Lab test'!M346</f>
        <v>0.55103667088706576</v>
      </c>
      <c r="AI353">
        <f>IF('Lab test'!O346&gt;0,'Lab test'!O346,NA())</f>
        <v>381</v>
      </c>
      <c r="AJ353">
        <f>'Lab test'!Q346</f>
        <v>691.42403787149306</v>
      </c>
      <c r="AK353" s="401">
        <f>IF('Lab test'!V346&gt;0,'Lab test'!V346,NA())</f>
        <v>70050.734098590561</v>
      </c>
      <c r="AL353" s="7">
        <f>IF(MAX('Lab test'!W346,'Lab test'!X346)&gt;0,MAX('Lab test'!W346,'Lab test'!X346),NA())</f>
        <v>262.62130529678291</v>
      </c>
      <c r="AM353" s="401">
        <f>IF('Lab test'!P346&gt;0,'Lab test'!P346,NA())</f>
        <v>3.8030125884214498E-2</v>
      </c>
      <c r="AN353" s="401">
        <f>IF('Lab test'!AU346&gt;0,'Lab test'!AU346,NA())</f>
        <v>0.10234953006038332</v>
      </c>
      <c r="AO353" s="401">
        <f>IF('Lab test'!AT346&gt;0,'Lab test'!AT346,NA())</f>
        <v>0.43835797819999983</v>
      </c>
      <c r="AP353">
        <f t="shared" si="151"/>
        <v>1</v>
      </c>
      <c r="AQ353" s="401">
        <f>'Lab test'!AZ346</f>
        <v>1933</v>
      </c>
      <c r="AR353" t="str">
        <f>'Lab test'!AC346</f>
        <v>LTWb</v>
      </c>
      <c r="AS353" t="str">
        <f>'Lab test'!T346</f>
        <v>Aluminium</v>
      </c>
      <c r="AX353" t="e">
        <f t="shared" si="136"/>
        <v>#N/A</v>
      </c>
      <c r="AY353" t="e">
        <f t="shared" si="130"/>
        <v>#N/A</v>
      </c>
      <c r="AZ353" t="e">
        <f t="shared" si="133"/>
        <v>#N/A</v>
      </c>
      <c r="BA353" t="e">
        <f t="shared" si="133"/>
        <v>#N/A</v>
      </c>
      <c r="BB353" t="e">
        <f t="shared" si="133"/>
        <v>#N/A</v>
      </c>
      <c r="BC353" t="e">
        <f t="shared" si="133"/>
        <v>#N/A</v>
      </c>
      <c r="BD353" t="e">
        <f t="shared" si="133"/>
        <v>#N/A</v>
      </c>
      <c r="BG353" t="e">
        <f t="shared" si="137"/>
        <v>#N/A</v>
      </c>
      <c r="BH353" t="e">
        <f t="shared" si="131"/>
        <v>#N/A</v>
      </c>
      <c r="BI353" t="e">
        <f t="shared" si="134"/>
        <v>#N/A</v>
      </c>
      <c r="BJ353">
        <f t="shared" si="134"/>
        <v>70050.734098590561</v>
      </c>
      <c r="BK353" t="e">
        <f t="shared" si="134"/>
        <v>#N/A</v>
      </c>
      <c r="BL353" t="e">
        <f t="shared" si="134"/>
        <v>#N/A</v>
      </c>
      <c r="BM353" t="e">
        <f t="shared" si="134"/>
        <v>#N/A</v>
      </c>
      <c r="BP353" t="e">
        <f t="shared" si="138"/>
        <v>#N/A</v>
      </c>
      <c r="BQ353" t="e">
        <f t="shared" si="132"/>
        <v>#N/A</v>
      </c>
      <c r="BR353" t="e">
        <f t="shared" si="135"/>
        <v>#N/A</v>
      </c>
      <c r="BS353" t="e">
        <f t="shared" si="135"/>
        <v>#N/A</v>
      </c>
      <c r="BT353" t="e">
        <f t="shared" si="135"/>
        <v>#N/A</v>
      </c>
      <c r="BU353" t="e">
        <f t="shared" si="135"/>
        <v>#N/A</v>
      </c>
      <c r="BV353" t="e">
        <f t="shared" si="135"/>
        <v>#N/A</v>
      </c>
      <c r="BY353" t="e">
        <f t="shared" si="139"/>
        <v>#N/A</v>
      </c>
      <c r="BZ353" t="e">
        <v>#N/A</v>
      </c>
      <c r="CA353" t="e" cm="1">
        <f t="array" ref="CA353">IF(ISNUMBER(BZ353),AF353/COUNT(IF(ISNUMBER(_xlfn.ANCHORARRAY($BZ$11)),_xlfn.ANCHORARRAY($BZ$11))),NA())</f>
        <v>#N/A</v>
      </c>
      <c r="CB353" t="e">
        <f t="shared" si="140"/>
        <v>#N/A</v>
      </c>
      <c r="CD353" t="e">
        <f t="shared" si="141"/>
        <v>#N/A</v>
      </c>
      <c r="CE353" t="e">
        <f t="shared" si="142"/>
        <v>#N/A</v>
      </c>
      <c r="CG353" t="e">
        <v>#N/A</v>
      </c>
      <c r="CH353" t="e">
        <v>#N/A</v>
      </c>
      <c r="CL353">
        <f t="shared" si="143"/>
        <v>70050.734098590561</v>
      </c>
      <c r="CM353" t="e">
        <v>#N/A</v>
      </c>
      <c r="CN353" t="e" cm="1">
        <f t="array" ref="CN353">IF(ISNUMBER(CM353),AF353/COUNT(IF(ISNUMBER(_xlfn.ANCHORARRAY($CM$11)),_xlfn.ANCHORARRAY($CM$11))),NA())</f>
        <v>#N/A</v>
      </c>
      <c r="CO353" t="e">
        <f t="shared" si="144"/>
        <v>#N/A</v>
      </c>
      <c r="CQ353" t="e">
        <f t="shared" si="145"/>
        <v>#N/A</v>
      </c>
      <c r="CR353" t="e">
        <f t="shared" si="146"/>
        <v>#N/A</v>
      </c>
      <c r="CT353" t="e">
        <v>#N/A</v>
      </c>
      <c r="CU353" t="e">
        <v>#N/A</v>
      </c>
      <c r="CY353" t="e">
        <f t="shared" si="147"/>
        <v>#N/A</v>
      </c>
      <c r="CZ353" t="e">
        <v>#N/A</v>
      </c>
      <c r="DA353" t="e" cm="1">
        <f t="array" ref="DA353">IF(ISNUMBER(CZ353),AF353/COUNT(IF(ISNUMBER(_xlfn.ANCHORARRAY($CZ$11)),_xlfn.ANCHORARRAY($CZ$11))),NA())</f>
        <v>#N/A</v>
      </c>
      <c r="DB353" t="e">
        <f t="shared" si="148"/>
        <v>#N/A</v>
      </c>
      <c r="DD353" t="e">
        <f t="shared" si="149"/>
        <v>#N/A</v>
      </c>
      <c r="DE353" t="e">
        <f t="shared" si="150"/>
        <v>#N/A</v>
      </c>
      <c r="DG353" t="e">
        <v>#N/A</v>
      </c>
      <c r="DH353" t="e">
        <v>#N/A</v>
      </c>
    </row>
    <row r="354" spans="32:112">
      <c r="AF354">
        <v>344</v>
      </c>
      <c r="AG354" s="401">
        <f>'Lab test'!N347</f>
        <v>381</v>
      </c>
      <c r="AH354" s="401">
        <f>'Lab test'!M347</f>
        <v>0.55567695921439297</v>
      </c>
      <c r="AI354">
        <f>IF('Lab test'!O347&gt;0,'Lab test'!O347,NA())</f>
        <v>571.5</v>
      </c>
      <c r="AJ354">
        <f>'Lab test'!Q347</f>
        <v>685.65016720983283</v>
      </c>
      <c r="AK354" s="401">
        <f>IF('Lab test'!V347&gt;0,'Lab test'!V347,NA())</f>
        <v>70050.734098590561</v>
      </c>
      <c r="AL354" s="7">
        <f>IF(MAX('Lab test'!W347,'Lab test'!X347)&gt;0,MAX('Lab test'!W347,'Lab test'!X347),NA())</f>
        <v>262.62130529678291</v>
      </c>
      <c r="AM354" s="401">
        <f>IF('Lab test'!P347&gt;0,'Lab test'!P347,NA())</f>
        <v>5.7284874493659224E-2</v>
      </c>
      <c r="AN354" s="401">
        <f>IF('Lab test'!AU347&gt;0,'Lab test'!AU347,NA())</f>
        <v>0.11255220792859019</v>
      </c>
      <c r="AO354" s="401">
        <f>IF('Lab test'!AT347&gt;0,'Lab test'!AT347,NA())</f>
        <v>0.47803004479999994</v>
      </c>
      <c r="AP354">
        <f t="shared" si="151"/>
        <v>1</v>
      </c>
      <c r="AQ354" s="401">
        <f>'Lab test'!AZ347</f>
        <v>1933</v>
      </c>
      <c r="AR354" t="str">
        <f>'Lab test'!AC347</f>
        <v>LTWb</v>
      </c>
      <c r="AS354" t="str">
        <f>'Lab test'!T347</f>
        <v>Aluminium</v>
      </c>
      <c r="AX354" t="e">
        <f t="shared" si="136"/>
        <v>#N/A</v>
      </c>
      <c r="AY354" t="e">
        <f t="shared" si="130"/>
        <v>#N/A</v>
      </c>
      <c r="AZ354" t="e">
        <f t="shared" si="133"/>
        <v>#N/A</v>
      </c>
      <c r="BA354" t="e">
        <f t="shared" si="133"/>
        <v>#N/A</v>
      </c>
      <c r="BB354" t="e">
        <f t="shared" si="133"/>
        <v>#N/A</v>
      </c>
      <c r="BC354" t="e">
        <f t="shared" si="133"/>
        <v>#N/A</v>
      </c>
      <c r="BD354" t="e">
        <f t="shared" si="133"/>
        <v>#N/A</v>
      </c>
      <c r="BG354" t="e">
        <f t="shared" si="137"/>
        <v>#N/A</v>
      </c>
      <c r="BH354" t="e">
        <f t="shared" si="131"/>
        <v>#N/A</v>
      </c>
      <c r="BI354" t="e">
        <f t="shared" si="134"/>
        <v>#N/A</v>
      </c>
      <c r="BJ354">
        <f t="shared" si="134"/>
        <v>70050.734098590561</v>
      </c>
      <c r="BK354" t="e">
        <f t="shared" si="134"/>
        <v>#N/A</v>
      </c>
      <c r="BL354" t="e">
        <f t="shared" si="134"/>
        <v>#N/A</v>
      </c>
      <c r="BM354" t="e">
        <f t="shared" si="134"/>
        <v>#N/A</v>
      </c>
      <c r="BP354" t="e">
        <f t="shared" si="138"/>
        <v>#N/A</v>
      </c>
      <c r="BQ354" t="e">
        <f t="shared" si="132"/>
        <v>#N/A</v>
      </c>
      <c r="BR354" t="e">
        <f t="shared" si="135"/>
        <v>#N/A</v>
      </c>
      <c r="BS354" t="e">
        <f t="shared" si="135"/>
        <v>#N/A</v>
      </c>
      <c r="BT354" t="e">
        <f t="shared" si="135"/>
        <v>#N/A</v>
      </c>
      <c r="BU354" t="e">
        <f t="shared" si="135"/>
        <v>#N/A</v>
      </c>
      <c r="BV354" t="e">
        <f t="shared" si="135"/>
        <v>#N/A</v>
      </c>
      <c r="BY354" t="e">
        <f t="shared" si="139"/>
        <v>#N/A</v>
      </c>
      <c r="BZ354" t="e">
        <v>#N/A</v>
      </c>
      <c r="CA354" t="e" cm="1">
        <f t="array" ref="CA354">IF(ISNUMBER(BZ354),AF354/COUNT(IF(ISNUMBER(_xlfn.ANCHORARRAY($BZ$11)),_xlfn.ANCHORARRAY($BZ$11))),NA())</f>
        <v>#N/A</v>
      </c>
      <c r="CB354" t="e">
        <f t="shared" si="140"/>
        <v>#N/A</v>
      </c>
      <c r="CD354" t="e">
        <f t="shared" si="141"/>
        <v>#N/A</v>
      </c>
      <c r="CE354" t="e">
        <f t="shared" si="142"/>
        <v>#N/A</v>
      </c>
      <c r="CG354" t="e">
        <v>#N/A</v>
      </c>
      <c r="CH354" t="e">
        <v>#N/A</v>
      </c>
      <c r="CL354">
        <f t="shared" si="143"/>
        <v>70050.734098590561</v>
      </c>
      <c r="CM354" t="e">
        <v>#N/A</v>
      </c>
      <c r="CN354" t="e" cm="1">
        <f t="array" ref="CN354">IF(ISNUMBER(CM354),AF354/COUNT(IF(ISNUMBER(_xlfn.ANCHORARRAY($CM$11)),_xlfn.ANCHORARRAY($CM$11))),NA())</f>
        <v>#N/A</v>
      </c>
      <c r="CO354" t="e">
        <f t="shared" si="144"/>
        <v>#N/A</v>
      </c>
      <c r="CQ354" t="e">
        <f t="shared" si="145"/>
        <v>#N/A</v>
      </c>
      <c r="CR354" t="e">
        <f t="shared" si="146"/>
        <v>#N/A</v>
      </c>
      <c r="CT354" t="e">
        <v>#N/A</v>
      </c>
      <c r="CU354" t="e">
        <v>#N/A</v>
      </c>
      <c r="CY354" t="e">
        <f t="shared" si="147"/>
        <v>#N/A</v>
      </c>
      <c r="CZ354" t="e">
        <v>#N/A</v>
      </c>
      <c r="DA354" t="e" cm="1">
        <f t="array" ref="DA354">IF(ISNUMBER(CZ354),AF354/COUNT(IF(ISNUMBER(_xlfn.ANCHORARRAY($CZ$11)),_xlfn.ANCHORARRAY($CZ$11))),NA())</f>
        <v>#N/A</v>
      </c>
      <c r="DB354" t="e">
        <f t="shared" si="148"/>
        <v>#N/A</v>
      </c>
      <c r="DD354" t="e">
        <f t="shared" si="149"/>
        <v>#N/A</v>
      </c>
      <c r="DE354" t="e">
        <f t="shared" si="150"/>
        <v>#N/A</v>
      </c>
      <c r="DG354" t="e">
        <v>#N/A</v>
      </c>
      <c r="DH354" t="e">
        <v>#N/A</v>
      </c>
    </row>
    <row r="355" spans="32:112">
      <c r="AF355">
        <v>345</v>
      </c>
      <c r="AG355" s="401">
        <f>'Lab test'!N348</f>
        <v>381</v>
      </c>
      <c r="AH355" s="401">
        <f>'Lab test'!M348</f>
        <v>0.55567695921439297</v>
      </c>
      <c r="AI355">
        <f>IF('Lab test'!O348&gt;0,'Lab test'!O348,NA())</f>
        <v>571.5</v>
      </c>
      <c r="AJ355">
        <f>'Lab test'!Q348</f>
        <v>685.65016720983283</v>
      </c>
      <c r="AK355" s="401">
        <f>IF('Lab test'!V348&gt;0,'Lab test'!V348,NA())</f>
        <v>70050.734098590561</v>
      </c>
      <c r="AL355" s="7">
        <f>IF(MAX('Lab test'!W348,'Lab test'!X348)&gt;0,MAX('Lab test'!W348,'Lab test'!X348),NA())</f>
        <v>262.62130529678291</v>
      </c>
      <c r="AM355" s="401">
        <f>IF('Lab test'!P348&gt;0,'Lab test'!P348,NA())</f>
        <v>5.7284874493659224E-2</v>
      </c>
      <c r="AN355" s="401">
        <f>IF('Lab test'!AU348&gt;0,'Lab test'!AU348,NA())</f>
        <v>0.12546493042793386</v>
      </c>
      <c r="AO355" s="401">
        <f>IF('Lab test'!AT348&gt;0,'Lab test'!AT348,NA())</f>
        <v>0.53287276559999996</v>
      </c>
      <c r="AP355">
        <f t="shared" si="151"/>
        <v>1</v>
      </c>
      <c r="AQ355" s="401">
        <f>'Lab test'!AZ348</f>
        <v>1933</v>
      </c>
      <c r="AR355" t="str">
        <f>'Lab test'!AC348</f>
        <v>LTWb</v>
      </c>
      <c r="AS355" t="str">
        <f>'Lab test'!T348</f>
        <v>Aluminium</v>
      </c>
      <c r="AX355" t="e">
        <f t="shared" si="136"/>
        <v>#N/A</v>
      </c>
      <c r="AY355" t="e">
        <f t="shared" si="130"/>
        <v>#N/A</v>
      </c>
      <c r="AZ355" t="e">
        <f t="shared" si="133"/>
        <v>#N/A</v>
      </c>
      <c r="BA355" t="e">
        <f t="shared" si="133"/>
        <v>#N/A</v>
      </c>
      <c r="BB355" t="e">
        <f t="shared" si="133"/>
        <v>#N/A</v>
      </c>
      <c r="BC355" t="e">
        <f t="shared" si="133"/>
        <v>#N/A</v>
      </c>
      <c r="BD355" t="e">
        <f t="shared" si="133"/>
        <v>#N/A</v>
      </c>
      <c r="BG355" t="e">
        <f t="shared" si="137"/>
        <v>#N/A</v>
      </c>
      <c r="BH355" t="e">
        <f t="shared" si="131"/>
        <v>#N/A</v>
      </c>
      <c r="BI355" t="e">
        <f t="shared" si="134"/>
        <v>#N/A</v>
      </c>
      <c r="BJ355">
        <f t="shared" si="134"/>
        <v>70050.734098590561</v>
      </c>
      <c r="BK355" t="e">
        <f t="shared" si="134"/>
        <v>#N/A</v>
      </c>
      <c r="BL355" t="e">
        <f t="shared" si="134"/>
        <v>#N/A</v>
      </c>
      <c r="BM355" t="e">
        <f t="shared" si="134"/>
        <v>#N/A</v>
      </c>
      <c r="BP355" t="e">
        <f t="shared" si="138"/>
        <v>#N/A</v>
      </c>
      <c r="BQ355" t="e">
        <f t="shared" si="132"/>
        <v>#N/A</v>
      </c>
      <c r="BR355" t="e">
        <f t="shared" si="135"/>
        <v>#N/A</v>
      </c>
      <c r="BS355" t="e">
        <f t="shared" si="135"/>
        <v>#N/A</v>
      </c>
      <c r="BT355" t="e">
        <f t="shared" si="135"/>
        <v>#N/A</v>
      </c>
      <c r="BU355" t="e">
        <f t="shared" si="135"/>
        <v>#N/A</v>
      </c>
      <c r="BV355" t="e">
        <f t="shared" si="135"/>
        <v>#N/A</v>
      </c>
      <c r="BY355" t="e">
        <f t="shared" si="139"/>
        <v>#N/A</v>
      </c>
      <c r="BZ355" t="e">
        <v>#N/A</v>
      </c>
      <c r="CA355" t="e" cm="1">
        <f t="array" ref="CA355">IF(ISNUMBER(BZ355),AF355/COUNT(IF(ISNUMBER(_xlfn.ANCHORARRAY($BZ$11)),_xlfn.ANCHORARRAY($BZ$11))),NA())</f>
        <v>#N/A</v>
      </c>
      <c r="CB355" t="e">
        <f t="shared" si="140"/>
        <v>#N/A</v>
      </c>
      <c r="CD355" t="e">
        <f t="shared" si="141"/>
        <v>#N/A</v>
      </c>
      <c r="CE355" t="e">
        <f t="shared" si="142"/>
        <v>#N/A</v>
      </c>
      <c r="CG355" t="e">
        <v>#N/A</v>
      </c>
      <c r="CH355" t="e">
        <v>#N/A</v>
      </c>
      <c r="CL355">
        <f t="shared" si="143"/>
        <v>70050.734098590561</v>
      </c>
      <c r="CM355" t="e">
        <v>#N/A</v>
      </c>
      <c r="CN355" t="e" cm="1">
        <f t="array" ref="CN355">IF(ISNUMBER(CM355),AF355/COUNT(IF(ISNUMBER(_xlfn.ANCHORARRAY($CM$11)),_xlfn.ANCHORARRAY($CM$11))),NA())</f>
        <v>#N/A</v>
      </c>
      <c r="CO355" t="e">
        <f t="shared" si="144"/>
        <v>#N/A</v>
      </c>
      <c r="CQ355" t="e">
        <f t="shared" si="145"/>
        <v>#N/A</v>
      </c>
      <c r="CR355" t="e">
        <f t="shared" si="146"/>
        <v>#N/A</v>
      </c>
      <c r="CT355" t="e">
        <v>#N/A</v>
      </c>
      <c r="CU355" t="e">
        <v>#N/A</v>
      </c>
      <c r="CY355" t="e">
        <f t="shared" si="147"/>
        <v>#N/A</v>
      </c>
      <c r="CZ355" t="e">
        <v>#N/A</v>
      </c>
      <c r="DA355" t="e" cm="1">
        <f t="array" ref="DA355">IF(ISNUMBER(CZ355),AF355/COUNT(IF(ISNUMBER(_xlfn.ANCHORARRAY($CZ$11)),_xlfn.ANCHORARRAY($CZ$11))),NA())</f>
        <v>#N/A</v>
      </c>
      <c r="DB355" t="e">
        <f t="shared" si="148"/>
        <v>#N/A</v>
      </c>
      <c r="DD355" t="e">
        <f t="shared" si="149"/>
        <v>#N/A</v>
      </c>
      <c r="DE355" t="e">
        <f t="shared" si="150"/>
        <v>#N/A</v>
      </c>
      <c r="DG355" t="e">
        <v>#N/A</v>
      </c>
      <c r="DH355" t="e">
        <v>#N/A</v>
      </c>
    </row>
    <row r="356" spans="32:112">
      <c r="AF356">
        <v>346</v>
      </c>
      <c r="AG356" s="401">
        <f>'Lab test'!N349</f>
        <v>190.5</v>
      </c>
      <c r="AH356" s="401">
        <f>'Lab test'!M349</f>
        <v>0.29239526677448796</v>
      </c>
      <c r="AI356">
        <f>IF('Lab test'!O349&gt;0,'Lab test'!O349,NA())</f>
        <v>95.25</v>
      </c>
      <c r="AJ356">
        <f>'Lab test'!Q349</f>
        <v>651.51533436731233</v>
      </c>
      <c r="AK356" s="401">
        <f>IF('Lab test'!V349&gt;0,'Lab test'!V349,NA())</f>
        <v>72705.215656460379</v>
      </c>
      <c r="AL356" s="7">
        <f>IF(MAX('Lab test'!W349,'Lab test'!X349)&gt;0,MAX('Lab test'!W349,'Lab test'!X349),NA())</f>
        <v>253.72706838859571</v>
      </c>
      <c r="AM356" s="401">
        <f>IF('Lab test'!P349&gt;0,'Lab test'!P349,NA())</f>
        <v>1.9588793289498415E-2</v>
      </c>
      <c r="AN356" s="401">
        <f>IF('Lab test'!AU349&gt;0,'Lab test'!AU349,NA())</f>
        <v>0.1641036970108696</v>
      </c>
      <c r="AO356" s="401">
        <f>IF('Lab test'!AT349&gt;0,'Lab test'!AT349,NA())</f>
        <v>0.61648933120000005</v>
      </c>
      <c r="AP356">
        <f t="shared" si="151"/>
        <v>1</v>
      </c>
      <c r="AQ356" s="401">
        <f>'Lab test'!AZ349</f>
        <v>1933</v>
      </c>
      <c r="AR356" t="str">
        <f>'Lab test'!AC349</f>
        <v>LTWb</v>
      </c>
      <c r="AS356" t="str">
        <f>'Lab test'!T349</f>
        <v>Aluminium</v>
      </c>
      <c r="AX356" t="e">
        <f t="shared" si="136"/>
        <v>#N/A</v>
      </c>
      <c r="AY356" t="e">
        <f t="shared" si="130"/>
        <v>#N/A</v>
      </c>
      <c r="AZ356" t="e">
        <f t="shared" si="133"/>
        <v>#N/A</v>
      </c>
      <c r="BA356" t="e">
        <f t="shared" si="133"/>
        <v>#N/A</v>
      </c>
      <c r="BB356" t="e">
        <f t="shared" si="133"/>
        <v>#N/A</v>
      </c>
      <c r="BC356" t="e">
        <f t="shared" si="133"/>
        <v>#N/A</v>
      </c>
      <c r="BD356" t="e">
        <f t="shared" si="133"/>
        <v>#N/A</v>
      </c>
      <c r="BG356" t="e">
        <f t="shared" si="137"/>
        <v>#N/A</v>
      </c>
      <c r="BH356" t="e">
        <f t="shared" si="131"/>
        <v>#N/A</v>
      </c>
      <c r="BI356" t="e">
        <f t="shared" si="134"/>
        <v>#N/A</v>
      </c>
      <c r="BJ356">
        <f t="shared" si="134"/>
        <v>72705.215656460379</v>
      </c>
      <c r="BK356" t="e">
        <f t="shared" si="134"/>
        <v>#N/A</v>
      </c>
      <c r="BL356" t="e">
        <f t="shared" si="134"/>
        <v>#N/A</v>
      </c>
      <c r="BM356" t="e">
        <f t="shared" si="134"/>
        <v>#N/A</v>
      </c>
      <c r="BP356" t="e">
        <f t="shared" si="138"/>
        <v>#N/A</v>
      </c>
      <c r="BQ356" t="e">
        <f t="shared" si="132"/>
        <v>#N/A</v>
      </c>
      <c r="BR356" t="e">
        <f t="shared" si="135"/>
        <v>#N/A</v>
      </c>
      <c r="BS356" t="e">
        <f t="shared" si="135"/>
        <v>#N/A</v>
      </c>
      <c r="BT356" t="e">
        <f t="shared" si="135"/>
        <v>#N/A</v>
      </c>
      <c r="BU356" t="e">
        <f t="shared" si="135"/>
        <v>#N/A</v>
      </c>
      <c r="BV356" t="e">
        <f t="shared" si="135"/>
        <v>#N/A</v>
      </c>
      <c r="BY356" t="e">
        <f t="shared" si="139"/>
        <v>#N/A</v>
      </c>
      <c r="BZ356" t="e">
        <v>#N/A</v>
      </c>
      <c r="CA356" t="e" cm="1">
        <f t="array" ref="CA356">IF(ISNUMBER(BZ356),AF356/COUNT(IF(ISNUMBER(_xlfn.ANCHORARRAY($BZ$11)),_xlfn.ANCHORARRAY($BZ$11))),NA())</f>
        <v>#N/A</v>
      </c>
      <c r="CB356" t="e">
        <f t="shared" si="140"/>
        <v>#N/A</v>
      </c>
      <c r="CD356" t="e">
        <f t="shared" si="141"/>
        <v>#N/A</v>
      </c>
      <c r="CE356" t="e">
        <f t="shared" si="142"/>
        <v>#N/A</v>
      </c>
      <c r="CG356" t="e">
        <v>#N/A</v>
      </c>
      <c r="CH356" t="e">
        <v>#N/A</v>
      </c>
      <c r="CL356">
        <f t="shared" si="143"/>
        <v>72705.215656460379</v>
      </c>
      <c r="CM356" t="e">
        <v>#N/A</v>
      </c>
      <c r="CN356" t="e" cm="1">
        <f t="array" ref="CN356">IF(ISNUMBER(CM356),AF356/COUNT(IF(ISNUMBER(_xlfn.ANCHORARRAY($CM$11)),_xlfn.ANCHORARRAY($CM$11))),NA())</f>
        <v>#N/A</v>
      </c>
      <c r="CO356" t="e">
        <f t="shared" si="144"/>
        <v>#N/A</v>
      </c>
      <c r="CQ356" t="e">
        <f t="shared" si="145"/>
        <v>#N/A</v>
      </c>
      <c r="CR356" t="e">
        <f t="shared" si="146"/>
        <v>#N/A</v>
      </c>
      <c r="CT356" t="e">
        <v>#N/A</v>
      </c>
      <c r="CU356" t="e">
        <v>#N/A</v>
      </c>
      <c r="CY356" t="e">
        <f t="shared" si="147"/>
        <v>#N/A</v>
      </c>
      <c r="CZ356" t="e">
        <v>#N/A</v>
      </c>
      <c r="DA356" t="e" cm="1">
        <f t="array" ref="DA356">IF(ISNUMBER(CZ356),AF356/COUNT(IF(ISNUMBER(_xlfn.ANCHORARRAY($CZ$11)),_xlfn.ANCHORARRAY($CZ$11))),NA())</f>
        <v>#N/A</v>
      </c>
      <c r="DB356" t="e">
        <f t="shared" si="148"/>
        <v>#N/A</v>
      </c>
      <c r="DD356" t="e">
        <f t="shared" si="149"/>
        <v>#N/A</v>
      </c>
      <c r="DE356" t="e">
        <f t="shared" si="150"/>
        <v>#N/A</v>
      </c>
      <c r="DG356" t="e">
        <v>#N/A</v>
      </c>
      <c r="DH356" t="e">
        <v>#N/A</v>
      </c>
    </row>
    <row r="357" spans="32:112">
      <c r="AF357">
        <v>347</v>
      </c>
      <c r="AG357" s="401">
        <f>'Lab test'!N350</f>
        <v>190.5</v>
      </c>
      <c r="AH357" s="401">
        <f>'Lab test'!M350</f>
        <v>0.28989082206100752</v>
      </c>
      <c r="AI357">
        <f>IF('Lab test'!O350&gt;0,'Lab test'!O350,NA())</f>
        <v>95.25</v>
      </c>
      <c r="AJ357">
        <f>'Lab test'!Q350</f>
        <v>657.14395042113222</v>
      </c>
      <c r="AK357" s="401">
        <f>IF('Lab test'!V350&gt;0,'Lab test'!V350,NA())</f>
        <v>72705.215656460379</v>
      </c>
      <c r="AL357" s="7">
        <f>IF(MAX('Lab test'!W350,'Lab test'!X350)&gt;0,MAX('Lab test'!W350,'Lab test'!X350),NA())</f>
        <v>253.72706838859571</v>
      </c>
      <c r="AM357" s="401">
        <f>IF('Lab test'!P350&gt;0,'Lab test'!P350,NA())</f>
        <v>1.9504721215294556E-2</v>
      </c>
      <c r="AN357" s="401">
        <f>IF('Lab test'!AU350&gt;0,'Lab test'!AU350,NA())</f>
        <v>0.1492295160326087</v>
      </c>
      <c r="AO357" s="401">
        <f>IF('Lab test'!AT350&gt;0,'Lab test'!AT350,NA())</f>
        <v>0.56545467995999987</v>
      </c>
      <c r="AP357">
        <f t="shared" si="151"/>
        <v>1</v>
      </c>
      <c r="AQ357" s="401">
        <f>'Lab test'!AZ350</f>
        <v>1933</v>
      </c>
      <c r="AR357" t="str">
        <f>'Lab test'!AC350</f>
        <v>LTWb</v>
      </c>
      <c r="AS357" t="str">
        <f>'Lab test'!T350</f>
        <v>Aluminium</v>
      </c>
      <c r="AX357" t="e">
        <f t="shared" si="136"/>
        <v>#N/A</v>
      </c>
      <c r="AY357" t="e">
        <f t="shared" si="130"/>
        <v>#N/A</v>
      </c>
      <c r="AZ357" t="e">
        <f t="shared" si="133"/>
        <v>#N/A</v>
      </c>
      <c r="BA357" t="e">
        <f t="shared" si="133"/>
        <v>#N/A</v>
      </c>
      <c r="BB357" t="e">
        <f t="shared" si="133"/>
        <v>#N/A</v>
      </c>
      <c r="BC357" t="e">
        <f t="shared" si="133"/>
        <v>#N/A</v>
      </c>
      <c r="BD357" t="e">
        <f t="shared" si="133"/>
        <v>#N/A</v>
      </c>
      <c r="BG357" t="e">
        <f t="shared" si="137"/>
        <v>#N/A</v>
      </c>
      <c r="BH357" t="e">
        <f t="shared" si="131"/>
        <v>#N/A</v>
      </c>
      <c r="BI357" t="e">
        <f t="shared" si="134"/>
        <v>#N/A</v>
      </c>
      <c r="BJ357">
        <f t="shared" si="134"/>
        <v>72705.215656460379</v>
      </c>
      <c r="BK357" t="e">
        <f t="shared" si="134"/>
        <v>#N/A</v>
      </c>
      <c r="BL357" t="e">
        <f t="shared" si="134"/>
        <v>#N/A</v>
      </c>
      <c r="BM357" t="e">
        <f t="shared" si="134"/>
        <v>#N/A</v>
      </c>
      <c r="BP357" t="e">
        <f t="shared" si="138"/>
        <v>#N/A</v>
      </c>
      <c r="BQ357" t="e">
        <f t="shared" si="132"/>
        <v>#N/A</v>
      </c>
      <c r="BR357" t="e">
        <f t="shared" si="135"/>
        <v>#N/A</v>
      </c>
      <c r="BS357" t="e">
        <f t="shared" si="135"/>
        <v>#N/A</v>
      </c>
      <c r="BT357" t="e">
        <f t="shared" si="135"/>
        <v>#N/A</v>
      </c>
      <c r="BU357" t="e">
        <f t="shared" si="135"/>
        <v>#N/A</v>
      </c>
      <c r="BV357" t="e">
        <f t="shared" si="135"/>
        <v>#N/A</v>
      </c>
      <c r="BY357" t="e">
        <f t="shared" si="139"/>
        <v>#N/A</v>
      </c>
      <c r="BZ357" t="e">
        <v>#N/A</v>
      </c>
      <c r="CA357" t="e" cm="1">
        <f t="array" ref="CA357">IF(ISNUMBER(BZ357),AF357/COUNT(IF(ISNUMBER(_xlfn.ANCHORARRAY($BZ$11)),_xlfn.ANCHORARRAY($BZ$11))),NA())</f>
        <v>#N/A</v>
      </c>
      <c r="CB357" t="e">
        <f t="shared" si="140"/>
        <v>#N/A</v>
      </c>
      <c r="CD357" t="e">
        <f t="shared" si="141"/>
        <v>#N/A</v>
      </c>
      <c r="CE357" t="e">
        <f t="shared" si="142"/>
        <v>#N/A</v>
      </c>
      <c r="CG357" t="e">
        <v>#N/A</v>
      </c>
      <c r="CH357" t="e">
        <v>#N/A</v>
      </c>
      <c r="CL357">
        <f t="shared" si="143"/>
        <v>72705.215656460379</v>
      </c>
      <c r="CM357" t="e">
        <v>#N/A</v>
      </c>
      <c r="CN357" t="e" cm="1">
        <f t="array" ref="CN357">IF(ISNUMBER(CM357),AF357/COUNT(IF(ISNUMBER(_xlfn.ANCHORARRAY($CM$11)),_xlfn.ANCHORARRAY($CM$11))),NA())</f>
        <v>#N/A</v>
      </c>
      <c r="CO357" t="e">
        <f t="shared" si="144"/>
        <v>#N/A</v>
      </c>
      <c r="CQ357" t="e">
        <f t="shared" si="145"/>
        <v>#N/A</v>
      </c>
      <c r="CR357" t="e">
        <f t="shared" si="146"/>
        <v>#N/A</v>
      </c>
      <c r="CT357" t="e">
        <v>#N/A</v>
      </c>
      <c r="CU357" t="e">
        <v>#N/A</v>
      </c>
      <c r="CY357" t="e">
        <f t="shared" si="147"/>
        <v>#N/A</v>
      </c>
      <c r="CZ357" t="e">
        <v>#N/A</v>
      </c>
      <c r="DA357" t="e" cm="1">
        <f t="array" ref="DA357">IF(ISNUMBER(CZ357),AF357/COUNT(IF(ISNUMBER(_xlfn.ANCHORARRAY($CZ$11)),_xlfn.ANCHORARRAY($CZ$11))),NA())</f>
        <v>#N/A</v>
      </c>
      <c r="DB357" t="e">
        <f t="shared" si="148"/>
        <v>#N/A</v>
      </c>
      <c r="DD357" t="e">
        <f t="shared" si="149"/>
        <v>#N/A</v>
      </c>
      <c r="DE357" t="e">
        <f t="shared" si="150"/>
        <v>#N/A</v>
      </c>
      <c r="DG357" t="e">
        <v>#N/A</v>
      </c>
      <c r="DH357" t="e">
        <v>#N/A</v>
      </c>
    </row>
    <row r="358" spans="32:112">
      <c r="AF358">
        <v>348</v>
      </c>
      <c r="AG358" s="401">
        <f>'Lab test'!N351</f>
        <v>190.5</v>
      </c>
      <c r="AH358" s="401">
        <f>'Lab test'!M351</f>
        <v>0.27551833544353288</v>
      </c>
      <c r="AI358">
        <f>IF('Lab test'!O351&gt;0,'Lab test'!O351,NA())</f>
        <v>95.25</v>
      </c>
      <c r="AJ358">
        <f>'Lab test'!Q351</f>
        <v>691.42403787149306</v>
      </c>
      <c r="AK358" s="401">
        <f>IF('Lab test'!V351&gt;0,'Lab test'!V351,NA())</f>
        <v>72705.215656460379</v>
      </c>
      <c r="AL358" s="7">
        <f>IF(MAX('Lab test'!W351,'Lab test'!X351)&gt;0,MAX('Lab test'!W351,'Lab test'!X351),NA())</f>
        <v>253.72706838859571</v>
      </c>
      <c r="AM358" s="401">
        <f>IF('Lab test'!P351&gt;0,'Lab test'!P351,NA())</f>
        <v>1.9015062942107249E-2</v>
      </c>
      <c r="AN358" s="401">
        <f>IF('Lab test'!AU351&gt;0,'Lab test'!AU351,NA())</f>
        <v>9.4701550271739141E-2</v>
      </c>
      <c r="AO358" s="401">
        <f>IF('Lab test'!AT351&gt;0,'Lab test'!AT351,NA())</f>
        <v>0.3775583857999999</v>
      </c>
      <c r="AP358">
        <f t="shared" si="151"/>
        <v>1</v>
      </c>
      <c r="AQ358" s="401">
        <f>'Lab test'!AZ351</f>
        <v>1933</v>
      </c>
      <c r="AR358" t="str">
        <f>'Lab test'!AC351</f>
        <v>LTWb</v>
      </c>
      <c r="AS358" t="str">
        <f>'Lab test'!T351</f>
        <v>Aluminium</v>
      </c>
      <c r="AX358" t="e">
        <f t="shared" si="136"/>
        <v>#N/A</v>
      </c>
      <c r="AY358" t="e">
        <f t="shared" si="130"/>
        <v>#N/A</v>
      </c>
      <c r="AZ358" t="e">
        <f t="shared" si="133"/>
        <v>#N/A</v>
      </c>
      <c r="BA358" t="e">
        <f t="shared" si="133"/>
        <v>#N/A</v>
      </c>
      <c r="BB358" t="e">
        <f t="shared" si="133"/>
        <v>#N/A</v>
      </c>
      <c r="BC358" t="e">
        <f t="shared" si="133"/>
        <v>#N/A</v>
      </c>
      <c r="BD358" t="e">
        <f t="shared" si="133"/>
        <v>#N/A</v>
      </c>
      <c r="BG358" t="e">
        <f t="shared" si="137"/>
        <v>#N/A</v>
      </c>
      <c r="BH358" t="e">
        <f t="shared" si="131"/>
        <v>#N/A</v>
      </c>
      <c r="BI358" t="e">
        <f t="shared" si="134"/>
        <v>#N/A</v>
      </c>
      <c r="BJ358">
        <f t="shared" si="134"/>
        <v>72705.215656460379</v>
      </c>
      <c r="BK358" t="e">
        <f t="shared" si="134"/>
        <v>#N/A</v>
      </c>
      <c r="BL358" t="e">
        <f t="shared" si="134"/>
        <v>#N/A</v>
      </c>
      <c r="BM358" t="e">
        <f t="shared" si="134"/>
        <v>#N/A</v>
      </c>
      <c r="BP358" t="e">
        <f t="shared" si="138"/>
        <v>#N/A</v>
      </c>
      <c r="BQ358" t="e">
        <f t="shared" si="132"/>
        <v>#N/A</v>
      </c>
      <c r="BR358" t="e">
        <f t="shared" si="135"/>
        <v>#N/A</v>
      </c>
      <c r="BS358" t="e">
        <f t="shared" si="135"/>
        <v>#N/A</v>
      </c>
      <c r="BT358" t="e">
        <f t="shared" si="135"/>
        <v>#N/A</v>
      </c>
      <c r="BU358" t="e">
        <f t="shared" si="135"/>
        <v>#N/A</v>
      </c>
      <c r="BV358" t="e">
        <f t="shared" si="135"/>
        <v>#N/A</v>
      </c>
      <c r="BY358" t="e">
        <f t="shared" si="139"/>
        <v>#N/A</v>
      </c>
      <c r="BZ358" t="e">
        <v>#N/A</v>
      </c>
      <c r="CA358" t="e" cm="1">
        <f t="array" ref="CA358">IF(ISNUMBER(BZ358),AF358/COUNT(IF(ISNUMBER(_xlfn.ANCHORARRAY($BZ$11)),_xlfn.ANCHORARRAY($BZ$11))),NA())</f>
        <v>#N/A</v>
      </c>
      <c r="CB358" t="e">
        <f t="shared" si="140"/>
        <v>#N/A</v>
      </c>
      <c r="CD358" t="e">
        <f t="shared" si="141"/>
        <v>#N/A</v>
      </c>
      <c r="CE358" t="e">
        <f t="shared" si="142"/>
        <v>#N/A</v>
      </c>
      <c r="CG358" t="e">
        <v>#N/A</v>
      </c>
      <c r="CH358" t="e">
        <v>#N/A</v>
      </c>
      <c r="CL358">
        <f t="shared" si="143"/>
        <v>72705.215656460379</v>
      </c>
      <c r="CM358" t="e">
        <v>#N/A</v>
      </c>
      <c r="CN358" t="e" cm="1">
        <f t="array" ref="CN358">IF(ISNUMBER(CM358),AF358/COUNT(IF(ISNUMBER(_xlfn.ANCHORARRAY($CM$11)),_xlfn.ANCHORARRAY($CM$11))),NA())</f>
        <v>#N/A</v>
      </c>
      <c r="CO358" t="e">
        <f t="shared" si="144"/>
        <v>#N/A</v>
      </c>
      <c r="CQ358" t="e">
        <f t="shared" si="145"/>
        <v>#N/A</v>
      </c>
      <c r="CR358" t="e">
        <f t="shared" si="146"/>
        <v>#N/A</v>
      </c>
      <c r="CT358" t="e">
        <v>#N/A</v>
      </c>
      <c r="CU358" t="e">
        <v>#N/A</v>
      </c>
      <c r="CY358" t="e">
        <f t="shared" si="147"/>
        <v>#N/A</v>
      </c>
      <c r="CZ358" t="e">
        <v>#N/A</v>
      </c>
      <c r="DA358" t="e" cm="1">
        <f t="array" ref="DA358">IF(ISNUMBER(CZ358),AF358/COUNT(IF(ISNUMBER(_xlfn.ANCHORARRAY($CZ$11)),_xlfn.ANCHORARRAY($CZ$11))),NA())</f>
        <v>#N/A</v>
      </c>
      <c r="DB358" t="e">
        <f t="shared" si="148"/>
        <v>#N/A</v>
      </c>
      <c r="DD358" t="e">
        <f t="shared" si="149"/>
        <v>#N/A</v>
      </c>
      <c r="DE358" t="e">
        <f t="shared" si="150"/>
        <v>#N/A</v>
      </c>
      <c r="DG358" t="e">
        <v>#N/A</v>
      </c>
      <c r="DH358" t="e">
        <v>#N/A</v>
      </c>
    </row>
    <row r="359" spans="32:112">
      <c r="AF359">
        <v>349</v>
      </c>
      <c r="AG359" s="401">
        <f>'Lab test'!N352</f>
        <v>190.5</v>
      </c>
      <c r="AH359" s="401">
        <f>'Lab test'!M352</f>
        <v>0.30274474528451134</v>
      </c>
      <c r="AI359">
        <f>IF('Lab test'!O352&gt;0,'Lab test'!O352,NA())</f>
        <v>95.25</v>
      </c>
      <c r="AJ359">
        <f>'Lab test'!Q352</f>
        <v>629.2429611651005</v>
      </c>
      <c r="AK359" s="401">
        <f>IF('Lab test'!V352&gt;0,'Lab test'!V352,NA())</f>
        <v>72705.215656460379</v>
      </c>
      <c r="AL359" s="7">
        <f>IF(MAX('Lab test'!W352,'Lab test'!X352)&gt;0,MAX('Lab test'!W352,'Lab test'!X352),NA())</f>
        <v>253.72706838859571</v>
      </c>
      <c r="AM359" s="401">
        <f>IF('Lab test'!P352&gt;0,'Lab test'!P352,NA())</f>
        <v>1.9932456329665053E-2</v>
      </c>
      <c r="AN359" s="401">
        <f>IF('Lab test'!AU352&gt;0,'Lab test'!AU352,NA())</f>
        <v>0.15542986141304346</v>
      </c>
      <c r="AO359" s="401">
        <f>IF('Lab test'!AT352&gt;0,'Lab test'!AT352,NA())</f>
        <v>0.56394322559999988</v>
      </c>
      <c r="AP359">
        <f t="shared" si="151"/>
        <v>1</v>
      </c>
      <c r="AQ359" s="401">
        <f>'Lab test'!AZ352</f>
        <v>1933</v>
      </c>
      <c r="AR359" t="str">
        <f>'Lab test'!AC352</f>
        <v>LTWb</v>
      </c>
      <c r="AS359" t="str">
        <f>'Lab test'!T352</f>
        <v>Aluminium</v>
      </c>
      <c r="AX359" t="e">
        <f t="shared" si="136"/>
        <v>#N/A</v>
      </c>
      <c r="AY359" t="e">
        <f t="shared" si="130"/>
        <v>#N/A</v>
      </c>
      <c r="AZ359" t="e">
        <f t="shared" si="133"/>
        <v>#N/A</v>
      </c>
      <c r="BA359" t="e">
        <f t="shared" si="133"/>
        <v>#N/A</v>
      </c>
      <c r="BB359" t="e">
        <f t="shared" si="133"/>
        <v>#N/A</v>
      </c>
      <c r="BC359" t="e">
        <f t="shared" si="133"/>
        <v>#N/A</v>
      </c>
      <c r="BD359" t="e">
        <f t="shared" si="133"/>
        <v>#N/A</v>
      </c>
      <c r="BG359" t="e">
        <f t="shared" si="137"/>
        <v>#N/A</v>
      </c>
      <c r="BH359" t="e">
        <f t="shared" si="131"/>
        <v>#N/A</v>
      </c>
      <c r="BI359">
        <f t="shared" si="134"/>
        <v>72705.215656460379</v>
      </c>
      <c r="BJ359" t="e">
        <f t="shared" si="134"/>
        <v>#N/A</v>
      </c>
      <c r="BK359" t="e">
        <f t="shared" si="134"/>
        <v>#N/A</v>
      </c>
      <c r="BL359" t="e">
        <f t="shared" si="134"/>
        <v>#N/A</v>
      </c>
      <c r="BM359" t="e">
        <f t="shared" si="134"/>
        <v>#N/A</v>
      </c>
      <c r="BP359" t="e">
        <f t="shared" si="138"/>
        <v>#N/A</v>
      </c>
      <c r="BQ359" t="e">
        <f t="shared" si="132"/>
        <v>#N/A</v>
      </c>
      <c r="BR359" t="e">
        <f t="shared" si="135"/>
        <v>#N/A</v>
      </c>
      <c r="BS359" t="e">
        <f t="shared" si="135"/>
        <v>#N/A</v>
      </c>
      <c r="BT359" t="e">
        <f t="shared" si="135"/>
        <v>#N/A</v>
      </c>
      <c r="BU359" t="e">
        <f t="shared" si="135"/>
        <v>#N/A</v>
      </c>
      <c r="BV359" t="e">
        <f t="shared" si="135"/>
        <v>#N/A</v>
      </c>
      <c r="BY359" t="e">
        <f t="shared" si="139"/>
        <v>#N/A</v>
      </c>
      <c r="BZ359" t="e">
        <v>#N/A</v>
      </c>
      <c r="CA359" t="e" cm="1">
        <f t="array" ref="CA359">IF(ISNUMBER(BZ359),AF359/COUNT(IF(ISNUMBER(_xlfn.ANCHORARRAY($BZ$11)),_xlfn.ANCHORARRAY($BZ$11))),NA())</f>
        <v>#N/A</v>
      </c>
      <c r="CB359" t="e">
        <f t="shared" si="140"/>
        <v>#N/A</v>
      </c>
      <c r="CD359" t="e">
        <f t="shared" si="141"/>
        <v>#N/A</v>
      </c>
      <c r="CE359" t="e">
        <f t="shared" si="142"/>
        <v>#N/A</v>
      </c>
      <c r="CG359" t="e">
        <v>#N/A</v>
      </c>
      <c r="CH359" t="e">
        <v>#N/A</v>
      </c>
      <c r="CL359">
        <f t="shared" si="143"/>
        <v>72705.215656460379</v>
      </c>
      <c r="CM359" t="e">
        <v>#N/A</v>
      </c>
      <c r="CN359" t="e" cm="1">
        <f t="array" ref="CN359">IF(ISNUMBER(CM359),AF359/COUNT(IF(ISNUMBER(_xlfn.ANCHORARRAY($CM$11)),_xlfn.ANCHORARRAY($CM$11))),NA())</f>
        <v>#N/A</v>
      </c>
      <c r="CO359" t="e">
        <f t="shared" si="144"/>
        <v>#N/A</v>
      </c>
      <c r="CQ359" t="e">
        <f t="shared" si="145"/>
        <v>#N/A</v>
      </c>
      <c r="CR359" t="e">
        <f t="shared" si="146"/>
        <v>#N/A</v>
      </c>
      <c r="CT359" t="e">
        <v>#N/A</v>
      </c>
      <c r="CU359" t="e">
        <v>#N/A</v>
      </c>
      <c r="CY359" t="e">
        <f t="shared" si="147"/>
        <v>#N/A</v>
      </c>
      <c r="CZ359" t="e">
        <v>#N/A</v>
      </c>
      <c r="DA359" t="e" cm="1">
        <f t="array" ref="DA359">IF(ISNUMBER(CZ359),AF359/COUNT(IF(ISNUMBER(_xlfn.ANCHORARRAY($CZ$11)),_xlfn.ANCHORARRAY($CZ$11))),NA())</f>
        <v>#N/A</v>
      </c>
      <c r="DB359" t="e">
        <f t="shared" si="148"/>
        <v>#N/A</v>
      </c>
      <c r="DD359" t="e">
        <f t="shared" si="149"/>
        <v>#N/A</v>
      </c>
      <c r="DE359" t="e">
        <f t="shared" si="150"/>
        <v>#N/A</v>
      </c>
      <c r="DG359" t="e">
        <v>#N/A</v>
      </c>
      <c r="DH359" t="e">
        <v>#N/A</v>
      </c>
    </row>
    <row r="360" spans="32:112">
      <c r="AF360">
        <v>350</v>
      </c>
      <c r="AG360" s="401">
        <f>'Lab test'!N353</f>
        <v>190.5</v>
      </c>
      <c r="AH360" s="401">
        <f>'Lab test'!M353</f>
        <v>0.28741841695649861</v>
      </c>
      <c r="AI360">
        <f>IF('Lab test'!O353&gt;0,'Lab test'!O353,NA())</f>
        <v>123.825</v>
      </c>
      <c r="AJ360">
        <f>'Lab test'!Q353</f>
        <v>662.79677557625882</v>
      </c>
      <c r="AK360" s="401">
        <f>IF('Lab test'!V353&gt;0,'Lab test'!V353,NA())</f>
        <v>72705.215656460379</v>
      </c>
      <c r="AL360" s="7">
        <f>IF(MAX('Lab test'!W353,'Lab test'!X353)&gt;0,MAX('Lab test'!W353,'Lab test'!X353),NA())</f>
        <v>253.72706838859571</v>
      </c>
      <c r="AM360" s="401">
        <f>IF('Lab test'!P353&gt;0,'Lab test'!P353,NA())</f>
        <v>2.5247778017575731E-2</v>
      </c>
      <c r="AN360" s="401">
        <f>IF('Lab test'!AU353&gt;0,'Lab test'!AU353,NA())</f>
        <v>0.11069957608695653</v>
      </c>
      <c r="AO360" s="401">
        <f>IF('Lab test'!AT353&gt;0,'Lab test'!AT353,NA())</f>
        <v>0.42306675839999996</v>
      </c>
      <c r="AP360">
        <f t="shared" si="151"/>
        <v>1</v>
      </c>
      <c r="AQ360" s="401">
        <f>'Lab test'!AZ353</f>
        <v>1933</v>
      </c>
      <c r="AR360" t="str">
        <f>'Lab test'!AC353</f>
        <v>LTWb</v>
      </c>
      <c r="AS360" t="str">
        <f>'Lab test'!T353</f>
        <v>Aluminium</v>
      </c>
      <c r="AX360" t="e">
        <f t="shared" si="136"/>
        <v>#N/A</v>
      </c>
      <c r="AY360" t="e">
        <f t="shared" si="130"/>
        <v>#N/A</v>
      </c>
      <c r="AZ360" t="e">
        <f t="shared" si="133"/>
        <v>#N/A</v>
      </c>
      <c r="BA360" t="e">
        <f t="shared" si="133"/>
        <v>#N/A</v>
      </c>
      <c r="BB360" t="e">
        <f t="shared" si="133"/>
        <v>#N/A</v>
      </c>
      <c r="BC360" t="e">
        <f t="shared" si="133"/>
        <v>#N/A</v>
      </c>
      <c r="BD360" t="e">
        <f t="shared" si="133"/>
        <v>#N/A</v>
      </c>
      <c r="BG360" t="e">
        <f t="shared" si="137"/>
        <v>#N/A</v>
      </c>
      <c r="BH360" t="e">
        <f t="shared" si="131"/>
        <v>#N/A</v>
      </c>
      <c r="BI360" t="e">
        <f t="shared" si="134"/>
        <v>#N/A</v>
      </c>
      <c r="BJ360">
        <f t="shared" si="134"/>
        <v>72705.215656460379</v>
      </c>
      <c r="BK360" t="e">
        <f t="shared" si="134"/>
        <v>#N/A</v>
      </c>
      <c r="BL360" t="e">
        <f t="shared" si="134"/>
        <v>#N/A</v>
      </c>
      <c r="BM360" t="e">
        <f t="shared" si="134"/>
        <v>#N/A</v>
      </c>
      <c r="BP360" t="e">
        <f t="shared" si="138"/>
        <v>#N/A</v>
      </c>
      <c r="BQ360" t="e">
        <f t="shared" si="132"/>
        <v>#N/A</v>
      </c>
      <c r="BR360" t="e">
        <f t="shared" si="135"/>
        <v>#N/A</v>
      </c>
      <c r="BS360" t="e">
        <f t="shared" si="135"/>
        <v>#N/A</v>
      </c>
      <c r="BT360" t="e">
        <f t="shared" si="135"/>
        <v>#N/A</v>
      </c>
      <c r="BU360" t="e">
        <f t="shared" si="135"/>
        <v>#N/A</v>
      </c>
      <c r="BV360" t="e">
        <f t="shared" si="135"/>
        <v>#N/A</v>
      </c>
      <c r="BY360" t="e">
        <f t="shared" si="139"/>
        <v>#N/A</v>
      </c>
      <c r="BZ360" t="e">
        <v>#N/A</v>
      </c>
      <c r="CA360" t="e" cm="1">
        <f t="array" ref="CA360">IF(ISNUMBER(BZ360),AF360/COUNT(IF(ISNUMBER(_xlfn.ANCHORARRAY($BZ$11)),_xlfn.ANCHORARRAY($BZ$11))),NA())</f>
        <v>#N/A</v>
      </c>
      <c r="CB360" t="e">
        <f t="shared" si="140"/>
        <v>#N/A</v>
      </c>
      <c r="CD360" t="e">
        <f t="shared" si="141"/>
        <v>#N/A</v>
      </c>
      <c r="CE360" t="e">
        <f t="shared" si="142"/>
        <v>#N/A</v>
      </c>
      <c r="CG360" t="e">
        <v>#N/A</v>
      </c>
      <c r="CH360" t="e">
        <v>#N/A</v>
      </c>
      <c r="CL360">
        <f t="shared" si="143"/>
        <v>72705.215656460379</v>
      </c>
      <c r="CM360" t="e">
        <v>#N/A</v>
      </c>
      <c r="CN360" t="e" cm="1">
        <f t="array" ref="CN360">IF(ISNUMBER(CM360),AF360/COUNT(IF(ISNUMBER(_xlfn.ANCHORARRAY($CM$11)),_xlfn.ANCHORARRAY($CM$11))),NA())</f>
        <v>#N/A</v>
      </c>
      <c r="CO360" t="e">
        <f t="shared" si="144"/>
        <v>#N/A</v>
      </c>
      <c r="CQ360" t="e">
        <f t="shared" si="145"/>
        <v>#N/A</v>
      </c>
      <c r="CR360" t="e">
        <f t="shared" si="146"/>
        <v>#N/A</v>
      </c>
      <c r="CT360" t="e">
        <v>#N/A</v>
      </c>
      <c r="CU360" t="e">
        <v>#N/A</v>
      </c>
      <c r="CY360" t="e">
        <f t="shared" si="147"/>
        <v>#N/A</v>
      </c>
      <c r="CZ360" t="e">
        <v>#N/A</v>
      </c>
      <c r="DA360" t="e" cm="1">
        <f t="array" ref="DA360">IF(ISNUMBER(CZ360),AF360/COUNT(IF(ISNUMBER(_xlfn.ANCHORARRAY($CZ$11)),_xlfn.ANCHORARRAY($CZ$11))),NA())</f>
        <v>#N/A</v>
      </c>
      <c r="DB360" t="e">
        <f t="shared" si="148"/>
        <v>#N/A</v>
      </c>
      <c r="DD360" t="e">
        <f t="shared" si="149"/>
        <v>#N/A</v>
      </c>
      <c r="DE360" t="e">
        <f t="shared" si="150"/>
        <v>#N/A</v>
      </c>
      <c r="DG360" t="e">
        <v>#N/A</v>
      </c>
      <c r="DH360" t="e">
        <v>#N/A</v>
      </c>
    </row>
    <row r="361" spans="32:112">
      <c r="AF361">
        <v>351</v>
      </c>
      <c r="AG361" s="401">
        <f>'Lab test'!N354</f>
        <v>190.5</v>
      </c>
      <c r="AH361" s="401">
        <f>'Lab test'!M354</f>
        <v>0.28741841695649861</v>
      </c>
      <c r="AI361">
        <f>IF('Lab test'!O354&gt;0,'Lab test'!O354,NA())</f>
        <v>123.825</v>
      </c>
      <c r="AJ361">
        <f>'Lab test'!Q354</f>
        <v>662.79677557625882</v>
      </c>
      <c r="AK361" s="401">
        <f>IF('Lab test'!V354&gt;0,'Lab test'!V354,NA())</f>
        <v>72705.215656460379</v>
      </c>
      <c r="AL361" s="7">
        <f>IF(MAX('Lab test'!W354,'Lab test'!X354)&gt;0,MAX('Lab test'!W354,'Lab test'!X354),NA())</f>
        <v>253.72706838859571</v>
      </c>
      <c r="AM361" s="401">
        <f>IF('Lab test'!P354&gt;0,'Lab test'!P354,NA())</f>
        <v>2.5247778017575731E-2</v>
      </c>
      <c r="AN361" s="401">
        <f>IF('Lab test'!AU354&gt;0,'Lab test'!AU354,NA())</f>
        <v>0.16189274290760869</v>
      </c>
      <c r="AO361" s="401">
        <f>IF('Lab test'!AT354&gt;0,'Lab test'!AT354,NA())</f>
        <v>0.61871454590399988</v>
      </c>
      <c r="AP361">
        <f t="shared" si="151"/>
        <v>1</v>
      </c>
      <c r="AQ361" s="401">
        <f>'Lab test'!AZ354</f>
        <v>1933</v>
      </c>
      <c r="AR361" t="str">
        <f>'Lab test'!AC354</f>
        <v>LTWb</v>
      </c>
      <c r="AS361" t="str">
        <f>'Lab test'!T354</f>
        <v>Aluminium</v>
      </c>
      <c r="AX361" t="e">
        <f t="shared" si="136"/>
        <v>#N/A</v>
      </c>
      <c r="AY361" t="e">
        <f t="shared" si="130"/>
        <v>#N/A</v>
      </c>
      <c r="AZ361" t="e">
        <f t="shared" si="133"/>
        <v>#N/A</v>
      </c>
      <c r="BA361" t="e">
        <f t="shared" si="133"/>
        <v>#N/A</v>
      </c>
      <c r="BB361" t="e">
        <f t="shared" si="133"/>
        <v>#N/A</v>
      </c>
      <c r="BC361" t="e">
        <f t="shared" si="133"/>
        <v>#N/A</v>
      </c>
      <c r="BD361" t="e">
        <f t="shared" si="133"/>
        <v>#N/A</v>
      </c>
      <c r="BG361" t="e">
        <f t="shared" si="137"/>
        <v>#N/A</v>
      </c>
      <c r="BH361" t="e">
        <f t="shared" si="131"/>
        <v>#N/A</v>
      </c>
      <c r="BI361" t="e">
        <f t="shared" si="134"/>
        <v>#N/A</v>
      </c>
      <c r="BJ361">
        <f t="shared" si="134"/>
        <v>72705.215656460379</v>
      </c>
      <c r="BK361" t="e">
        <f t="shared" si="134"/>
        <v>#N/A</v>
      </c>
      <c r="BL361" t="e">
        <f t="shared" si="134"/>
        <v>#N/A</v>
      </c>
      <c r="BM361" t="e">
        <f t="shared" si="134"/>
        <v>#N/A</v>
      </c>
      <c r="BP361" t="e">
        <f t="shared" si="138"/>
        <v>#N/A</v>
      </c>
      <c r="BQ361" t="e">
        <f t="shared" si="132"/>
        <v>#N/A</v>
      </c>
      <c r="BR361" t="e">
        <f t="shared" si="135"/>
        <v>#N/A</v>
      </c>
      <c r="BS361" t="e">
        <f t="shared" si="135"/>
        <v>#N/A</v>
      </c>
      <c r="BT361" t="e">
        <f t="shared" si="135"/>
        <v>#N/A</v>
      </c>
      <c r="BU361" t="e">
        <f t="shared" si="135"/>
        <v>#N/A</v>
      </c>
      <c r="BV361" t="e">
        <f t="shared" si="135"/>
        <v>#N/A</v>
      </c>
      <c r="BY361" t="e">
        <f t="shared" si="139"/>
        <v>#N/A</v>
      </c>
      <c r="BZ361" t="e">
        <v>#N/A</v>
      </c>
      <c r="CA361" t="e" cm="1">
        <f t="array" ref="CA361">IF(ISNUMBER(BZ361),AF361/COUNT(IF(ISNUMBER(_xlfn.ANCHORARRAY($BZ$11)),_xlfn.ANCHORARRAY($BZ$11))),NA())</f>
        <v>#N/A</v>
      </c>
      <c r="CB361" t="e">
        <f t="shared" si="140"/>
        <v>#N/A</v>
      </c>
      <c r="CD361" t="e">
        <f t="shared" si="141"/>
        <v>#N/A</v>
      </c>
      <c r="CE361" t="e">
        <f t="shared" si="142"/>
        <v>#N/A</v>
      </c>
      <c r="CG361" t="e">
        <v>#N/A</v>
      </c>
      <c r="CH361" t="e">
        <v>#N/A</v>
      </c>
      <c r="CL361">
        <f t="shared" si="143"/>
        <v>72705.215656460379</v>
      </c>
      <c r="CM361" t="e">
        <v>#N/A</v>
      </c>
      <c r="CN361" t="e" cm="1">
        <f t="array" ref="CN361">IF(ISNUMBER(CM361),AF361/COUNT(IF(ISNUMBER(_xlfn.ANCHORARRAY($CM$11)),_xlfn.ANCHORARRAY($CM$11))),NA())</f>
        <v>#N/A</v>
      </c>
      <c r="CO361" t="e">
        <f t="shared" si="144"/>
        <v>#N/A</v>
      </c>
      <c r="CQ361" t="e">
        <f t="shared" si="145"/>
        <v>#N/A</v>
      </c>
      <c r="CR361" t="e">
        <f t="shared" si="146"/>
        <v>#N/A</v>
      </c>
      <c r="CT361" t="e">
        <v>#N/A</v>
      </c>
      <c r="CU361" t="e">
        <v>#N/A</v>
      </c>
      <c r="CY361" t="e">
        <f t="shared" si="147"/>
        <v>#N/A</v>
      </c>
      <c r="CZ361" t="e">
        <v>#N/A</v>
      </c>
      <c r="DA361" t="e" cm="1">
        <f t="array" ref="DA361">IF(ISNUMBER(CZ361),AF361/COUNT(IF(ISNUMBER(_xlfn.ANCHORARRAY($CZ$11)),_xlfn.ANCHORARRAY($CZ$11))),NA())</f>
        <v>#N/A</v>
      </c>
      <c r="DB361" t="e">
        <f t="shared" si="148"/>
        <v>#N/A</v>
      </c>
      <c r="DD361" t="e">
        <f t="shared" si="149"/>
        <v>#N/A</v>
      </c>
      <c r="DE361" t="e">
        <f t="shared" si="150"/>
        <v>#N/A</v>
      </c>
      <c r="DG361" t="e">
        <v>#N/A</v>
      </c>
      <c r="DH361" t="e">
        <v>#N/A</v>
      </c>
    </row>
    <row r="362" spans="32:112">
      <c r="AF362">
        <v>352</v>
      </c>
      <c r="AG362" s="401">
        <f>'Lab test'!N355</f>
        <v>190.5</v>
      </c>
      <c r="AH362" s="401">
        <f>'Lab test'!M355</f>
        <v>0.28497750726790472</v>
      </c>
      <c r="AI362">
        <f>IF('Lab test'!O355&gt;0,'Lab test'!O355,NA())</f>
        <v>123.825</v>
      </c>
      <c r="AJ362">
        <f>'Lab test'!Q355</f>
        <v>668.47380983269215</v>
      </c>
      <c r="AK362" s="401">
        <f>IF('Lab test'!V355&gt;0,'Lab test'!V355,NA())</f>
        <v>72705.215656460379</v>
      </c>
      <c r="AL362" s="7">
        <f>IF(MAX('Lab test'!W355,'Lab test'!X355)&gt;0,MAX('Lab test'!W355,'Lab test'!X355),NA())</f>
        <v>253.72706838859571</v>
      </c>
      <c r="AM362" s="401">
        <f>IF('Lab test'!P355&gt;0,'Lab test'!P355,NA())</f>
        <v>2.5140340664309455E-2</v>
      </c>
      <c r="AN362" s="401">
        <f>IF('Lab test'!AU355&gt;0,'Lab test'!AU355,NA())</f>
        <v>0.11297763994565219</v>
      </c>
      <c r="AO362" s="401">
        <f>IF('Lab test'!AT355&gt;0,'Lab test'!AT355,NA())</f>
        <v>0.43547121499999997</v>
      </c>
      <c r="AP362">
        <f t="shared" si="151"/>
        <v>1</v>
      </c>
      <c r="AQ362" s="401">
        <f>'Lab test'!AZ355</f>
        <v>1933</v>
      </c>
      <c r="AR362" t="str">
        <f>'Lab test'!AC355</f>
        <v>LTWb</v>
      </c>
      <c r="AS362" t="str">
        <f>'Lab test'!T355</f>
        <v>Aluminium</v>
      </c>
      <c r="AX362" t="e">
        <f t="shared" si="136"/>
        <v>#N/A</v>
      </c>
      <c r="AY362" t="e">
        <f t="shared" si="130"/>
        <v>#N/A</v>
      </c>
      <c r="AZ362" t="e">
        <f t="shared" si="133"/>
        <v>#N/A</v>
      </c>
      <c r="BA362" t="e">
        <f t="shared" si="133"/>
        <v>#N/A</v>
      </c>
      <c r="BB362" t="e">
        <f t="shared" si="133"/>
        <v>#N/A</v>
      </c>
      <c r="BC362" t="e">
        <f t="shared" si="133"/>
        <v>#N/A</v>
      </c>
      <c r="BD362" t="e">
        <f t="shared" si="133"/>
        <v>#N/A</v>
      </c>
      <c r="BG362" t="e">
        <f t="shared" si="137"/>
        <v>#N/A</v>
      </c>
      <c r="BH362" t="e">
        <f t="shared" si="131"/>
        <v>#N/A</v>
      </c>
      <c r="BI362" t="e">
        <f t="shared" si="134"/>
        <v>#N/A</v>
      </c>
      <c r="BJ362">
        <f t="shared" si="134"/>
        <v>72705.215656460379</v>
      </c>
      <c r="BK362" t="e">
        <f t="shared" si="134"/>
        <v>#N/A</v>
      </c>
      <c r="BL362" t="e">
        <f t="shared" si="134"/>
        <v>#N/A</v>
      </c>
      <c r="BM362" t="e">
        <f t="shared" si="134"/>
        <v>#N/A</v>
      </c>
      <c r="BP362" t="e">
        <f t="shared" si="138"/>
        <v>#N/A</v>
      </c>
      <c r="BQ362" t="e">
        <f t="shared" si="132"/>
        <v>#N/A</v>
      </c>
      <c r="BR362" t="e">
        <f t="shared" si="135"/>
        <v>#N/A</v>
      </c>
      <c r="BS362" t="e">
        <f t="shared" si="135"/>
        <v>#N/A</v>
      </c>
      <c r="BT362" t="e">
        <f t="shared" si="135"/>
        <v>#N/A</v>
      </c>
      <c r="BU362" t="e">
        <f t="shared" si="135"/>
        <v>#N/A</v>
      </c>
      <c r="BV362" t="e">
        <f t="shared" si="135"/>
        <v>#N/A</v>
      </c>
      <c r="BY362" t="e">
        <f t="shared" si="139"/>
        <v>#N/A</v>
      </c>
      <c r="BZ362" t="e">
        <v>#N/A</v>
      </c>
      <c r="CA362" t="e" cm="1">
        <f t="array" ref="CA362">IF(ISNUMBER(BZ362),AF362/COUNT(IF(ISNUMBER(_xlfn.ANCHORARRAY($BZ$11)),_xlfn.ANCHORARRAY($BZ$11))),NA())</f>
        <v>#N/A</v>
      </c>
      <c r="CB362" t="e">
        <f t="shared" si="140"/>
        <v>#N/A</v>
      </c>
      <c r="CD362" t="e">
        <f t="shared" si="141"/>
        <v>#N/A</v>
      </c>
      <c r="CE362" t="e">
        <f t="shared" si="142"/>
        <v>#N/A</v>
      </c>
      <c r="CG362" t="e">
        <v>#N/A</v>
      </c>
      <c r="CH362" t="e">
        <v>#N/A</v>
      </c>
      <c r="CL362">
        <f t="shared" si="143"/>
        <v>72705.215656460379</v>
      </c>
      <c r="CM362" t="e">
        <v>#N/A</v>
      </c>
      <c r="CN362" t="e" cm="1">
        <f t="array" ref="CN362">IF(ISNUMBER(CM362),AF362/COUNT(IF(ISNUMBER(_xlfn.ANCHORARRAY($CM$11)),_xlfn.ANCHORARRAY($CM$11))),NA())</f>
        <v>#N/A</v>
      </c>
      <c r="CO362" t="e">
        <f t="shared" si="144"/>
        <v>#N/A</v>
      </c>
      <c r="CQ362" t="e">
        <f t="shared" si="145"/>
        <v>#N/A</v>
      </c>
      <c r="CR362" t="e">
        <f t="shared" si="146"/>
        <v>#N/A</v>
      </c>
      <c r="CT362" t="e">
        <v>#N/A</v>
      </c>
      <c r="CU362" t="e">
        <v>#N/A</v>
      </c>
      <c r="CY362" t="e">
        <f t="shared" si="147"/>
        <v>#N/A</v>
      </c>
      <c r="CZ362" t="e">
        <v>#N/A</v>
      </c>
      <c r="DA362" t="e" cm="1">
        <f t="array" ref="DA362">IF(ISNUMBER(CZ362),AF362/COUNT(IF(ISNUMBER(_xlfn.ANCHORARRAY($CZ$11)),_xlfn.ANCHORARRAY($CZ$11))),NA())</f>
        <v>#N/A</v>
      </c>
      <c r="DB362" t="e">
        <f t="shared" si="148"/>
        <v>#N/A</v>
      </c>
      <c r="DD362" t="e">
        <f t="shared" si="149"/>
        <v>#N/A</v>
      </c>
      <c r="DE362" t="e">
        <f t="shared" si="150"/>
        <v>#N/A</v>
      </c>
      <c r="DG362" t="e">
        <v>#N/A</v>
      </c>
      <c r="DH362" t="e">
        <v>#N/A</v>
      </c>
    </row>
    <row r="363" spans="32:112">
      <c r="AF363">
        <v>353</v>
      </c>
      <c r="AG363" s="401">
        <f>'Lab test'!N356</f>
        <v>190.5</v>
      </c>
      <c r="AH363" s="401">
        <f>'Lab test'!M356</f>
        <v>0.26434229439112533</v>
      </c>
      <c r="AI363">
        <f>IF('Lab test'!O356&gt;0,'Lab test'!O356,NA())</f>
        <v>190.5</v>
      </c>
      <c r="AJ363">
        <f>'Lab test'!Q356</f>
        <v>720.65652769939629</v>
      </c>
      <c r="AK363" s="401">
        <f>IF('Lab test'!V356&gt;0,'Lab test'!V356,NA())</f>
        <v>72705.215656460379</v>
      </c>
      <c r="AL363" s="7">
        <f>IF(MAX('Lab test'!W356,'Lab test'!X356)&gt;0,MAX('Lab test'!W356,'Lab test'!X356),NA())</f>
        <v>253.72706838859571</v>
      </c>
      <c r="AM363" s="401">
        <f>IF('Lab test'!P356&gt;0,'Lab test'!P356,NA())</f>
        <v>3.7250820025931407E-2</v>
      </c>
      <c r="AN363" s="401">
        <f>IF('Lab test'!AU356&gt;0,'Lab test'!AU356,NA())</f>
        <v>0.11069957608695653</v>
      </c>
      <c r="AO363" s="401">
        <f>IF('Lab test'!AT356&gt;0,'Lab test'!AT356,NA())</f>
        <v>0.4599989504</v>
      </c>
      <c r="AP363">
        <f t="shared" si="151"/>
        <v>1</v>
      </c>
      <c r="AQ363" s="401">
        <f>'Lab test'!AZ356</f>
        <v>1933</v>
      </c>
      <c r="AR363" t="str">
        <f>'Lab test'!AC356</f>
        <v>LTWb</v>
      </c>
      <c r="AS363" t="str">
        <f>'Lab test'!T356</f>
        <v>Aluminium</v>
      </c>
      <c r="AX363" t="e">
        <f t="shared" si="136"/>
        <v>#N/A</v>
      </c>
      <c r="AY363" t="e">
        <f t="shared" si="130"/>
        <v>#N/A</v>
      </c>
      <c r="AZ363" t="e">
        <f t="shared" si="133"/>
        <v>#N/A</v>
      </c>
      <c r="BA363" t="e">
        <f t="shared" si="133"/>
        <v>#N/A</v>
      </c>
      <c r="BB363" t="e">
        <f t="shared" si="133"/>
        <v>#N/A</v>
      </c>
      <c r="BC363" t="e">
        <f t="shared" si="133"/>
        <v>#N/A</v>
      </c>
      <c r="BD363" t="e">
        <f t="shared" si="133"/>
        <v>#N/A</v>
      </c>
      <c r="BG363" t="e">
        <f t="shared" si="137"/>
        <v>#N/A</v>
      </c>
      <c r="BH363" t="e">
        <f t="shared" si="131"/>
        <v>#N/A</v>
      </c>
      <c r="BI363" t="e">
        <f t="shared" si="134"/>
        <v>#N/A</v>
      </c>
      <c r="BJ363">
        <f t="shared" si="134"/>
        <v>72705.215656460379</v>
      </c>
      <c r="BK363" t="e">
        <f t="shared" si="134"/>
        <v>#N/A</v>
      </c>
      <c r="BL363" t="e">
        <f t="shared" si="134"/>
        <v>#N/A</v>
      </c>
      <c r="BM363" t="e">
        <f t="shared" si="134"/>
        <v>#N/A</v>
      </c>
      <c r="BP363" t="e">
        <f t="shared" si="138"/>
        <v>#N/A</v>
      </c>
      <c r="BQ363" t="e">
        <f t="shared" si="132"/>
        <v>#N/A</v>
      </c>
      <c r="BR363" t="e">
        <f t="shared" si="135"/>
        <v>#N/A</v>
      </c>
      <c r="BS363" t="e">
        <f t="shared" si="135"/>
        <v>#N/A</v>
      </c>
      <c r="BT363" t="e">
        <f t="shared" si="135"/>
        <v>#N/A</v>
      </c>
      <c r="BU363" t="e">
        <f t="shared" si="135"/>
        <v>#N/A</v>
      </c>
      <c r="BV363" t="e">
        <f t="shared" si="135"/>
        <v>#N/A</v>
      </c>
      <c r="BY363" t="e">
        <f t="shared" si="139"/>
        <v>#N/A</v>
      </c>
      <c r="BZ363" t="e">
        <v>#N/A</v>
      </c>
      <c r="CA363" t="e" cm="1">
        <f t="array" ref="CA363">IF(ISNUMBER(BZ363),AF363/COUNT(IF(ISNUMBER(_xlfn.ANCHORARRAY($BZ$11)),_xlfn.ANCHORARRAY($BZ$11))),NA())</f>
        <v>#N/A</v>
      </c>
      <c r="CB363" t="e">
        <f t="shared" si="140"/>
        <v>#N/A</v>
      </c>
      <c r="CD363" t="e">
        <f t="shared" si="141"/>
        <v>#N/A</v>
      </c>
      <c r="CE363" t="e">
        <f t="shared" si="142"/>
        <v>#N/A</v>
      </c>
      <c r="CG363" t="e">
        <v>#N/A</v>
      </c>
      <c r="CH363" t="e">
        <v>#N/A</v>
      </c>
      <c r="CL363">
        <f t="shared" si="143"/>
        <v>72705.215656460379</v>
      </c>
      <c r="CM363" t="e">
        <v>#N/A</v>
      </c>
      <c r="CN363" t="e" cm="1">
        <f t="array" ref="CN363">IF(ISNUMBER(CM363),AF363/COUNT(IF(ISNUMBER(_xlfn.ANCHORARRAY($CM$11)),_xlfn.ANCHORARRAY($CM$11))),NA())</f>
        <v>#N/A</v>
      </c>
      <c r="CO363" t="e">
        <f t="shared" si="144"/>
        <v>#N/A</v>
      </c>
      <c r="CQ363" t="e">
        <f t="shared" si="145"/>
        <v>#N/A</v>
      </c>
      <c r="CR363" t="e">
        <f t="shared" si="146"/>
        <v>#N/A</v>
      </c>
      <c r="CT363" t="e">
        <v>#N/A</v>
      </c>
      <c r="CU363" t="e">
        <v>#N/A</v>
      </c>
      <c r="CY363" t="e">
        <f t="shared" si="147"/>
        <v>#N/A</v>
      </c>
      <c r="CZ363" t="e">
        <v>#N/A</v>
      </c>
      <c r="DA363" t="e" cm="1">
        <f t="array" ref="DA363">IF(ISNUMBER(CZ363),AF363/COUNT(IF(ISNUMBER(_xlfn.ANCHORARRAY($CZ$11)),_xlfn.ANCHORARRAY($CZ$11))),NA())</f>
        <v>#N/A</v>
      </c>
      <c r="DB363" t="e">
        <f t="shared" si="148"/>
        <v>#N/A</v>
      </c>
      <c r="DD363" t="e">
        <f t="shared" si="149"/>
        <v>#N/A</v>
      </c>
      <c r="DE363" t="e">
        <f t="shared" si="150"/>
        <v>#N/A</v>
      </c>
      <c r="DG363" t="e">
        <v>#N/A</v>
      </c>
      <c r="DH363" t="e">
        <v>#N/A</v>
      </c>
    </row>
    <row r="364" spans="32:112">
      <c r="AF364">
        <v>354</v>
      </c>
      <c r="AG364" s="401">
        <f>'Lab test'!N357</f>
        <v>190.5</v>
      </c>
      <c r="AH364" s="401">
        <f>'Lab test'!M357</f>
        <v>0.28497750726790472</v>
      </c>
      <c r="AI364">
        <f>IF('Lab test'!O357&gt;0,'Lab test'!O357,NA())</f>
        <v>190.5</v>
      </c>
      <c r="AJ364">
        <f>'Lab test'!Q357</f>
        <v>668.47380983269215</v>
      </c>
      <c r="AK364" s="401">
        <f>IF('Lab test'!V357&gt;0,'Lab test'!V357,NA())</f>
        <v>72705.215656460379</v>
      </c>
      <c r="AL364" s="7">
        <f>IF(MAX('Lab test'!W357,'Lab test'!X357)&gt;0,MAX('Lab test'!W357,'Lab test'!X357),NA())</f>
        <v>253.72706838859571</v>
      </c>
      <c r="AM364" s="401">
        <f>IF('Lab test'!P357&gt;0,'Lab test'!P357,NA())</f>
        <v>3.8677447175860698E-2</v>
      </c>
      <c r="AN364" s="401">
        <f>IF('Lab test'!AU357&gt;0,'Lab test'!AU357,NA())</f>
        <v>9.5334823369565225E-2</v>
      </c>
      <c r="AO364" s="401">
        <f>IF('Lab test'!AT357&gt;0,'Lab test'!AT357,NA())</f>
        <v>0.36746714999999996</v>
      </c>
      <c r="AP364">
        <f t="shared" si="151"/>
        <v>1</v>
      </c>
      <c r="AQ364" s="401">
        <f>'Lab test'!AZ357</f>
        <v>1933</v>
      </c>
      <c r="AR364" t="str">
        <f>'Lab test'!AC357</f>
        <v>LTWb</v>
      </c>
      <c r="AS364" t="str">
        <f>'Lab test'!T357</f>
        <v>Aluminium</v>
      </c>
      <c r="AX364" t="e">
        <f t="shared" si="136"/>
        <v>#N/A</v>
      </c>
      <c r="AY364" t="e">
        <f t="shared" si="130"/>
        <v>#N/A</v>
      </c>
      <c r="AZ364" t="e">
        <f t="shared" si="133"/>
        <v>#N/A</v>
      </c>
      <c r="BA364" t="e">
        <f t="shared" si="133"/>
        <v>#N/A</v>
      </c>
      <c r="BB364" t="e">
        <f t="shared" ref="AZ364:BD415" si="152">IF(ISNUMBER($AJ364),IF(ISNUMBER($AP364),IF($AJ364&gt;BB$9,IF($AJ364&lt;=BB$10,IF($AR364=$AW$2,IF($AS364=$AW$6,$AK364,NA()),NA()),NA()),NA()),NA()),NA())</f>
        <v>#N/A</v>
      </c>
      <c r="BC364" t="e">
        <f t="shared" si="152"/>
        <v>#N/A</v>
      </c>
      <c r="BD364" t="e">
        <f t="shared" si="152"/>
        <v>#N/A</v>
      </c>
      <c r="BG364" t="e">
        <f t="shared" si="137"/>
        <v>#N/A</v>
      </c>
      <c r="BH364" t="e">
        <f t="shared" si="131"/>
        <v>#N/A</v>
      </c>
      <c r="BI364" t="e">
        <f t="shared" si="134"/>
        <v>#N/A</v>
      </c>
      <c r="BJ364">
        <f t="shared" si="134"/>
        <v>72705.215656460379</v>
      </c>
      <c r="BK364" t="e">
        <f t="shared" ref="BI364:BM415" si="153">IF(ISNUMBER($AJ364),IF(ISNUMBER($AP364),IF($AJ364&gt;BK$9,IF($AJ364&lt;=BK$10,IF($AR364=$AW$2,IF($AS364=$BF$6,$AK364,NA()),NA()),NA()),NA()),NA()),NA())</f>
        <v>#N/A</v>
      </c>
      <c r="BL364" t="e">
        <f t="shared" si="153"/>
        <v>#N/A</v>
      </c>
      <c r="BM364" t="e">
        <f t="shared" si="153"/>
        <v>#N/A</v>
      </c>
      <c r="BP364" t="e">
        <f t="shared" si="138"/>
        <v>#N/A</v>
      </c>
      <c r="BQ364" t="e">
        <f t="shared" si="132"/>
        <v>#N/A</v>
      </c>
      <c r="BR364" t="e">
        <f t="shared" si="135"/>
        <v>#N/A</v>
      </c>
      <c r="BS364" t="e">
        <f t="shared" si="135"/>
        <v>#N/A</v>
      </c>
      <c r="BT364" t="e">
        <f t="shared" ref="BR364:BV415" si="154">IF(ISNUMBER($AJ364),IF(ISNUMBER($AP364),IF($AJ364&gt;BT$9,IF($AJ364&lt;=BT$10,IF($AR364=$AW$2,IF($AS364=$BO$6,$AK364,NA()),NA()),NA()),NA()),NA()),NA())</f>
        <v>#N/A</v>
      </c>
      <c r="BU364" t="e">
        <f t="shared" si="154"/>
        <v>#N/A</v>
      </c>
      <c r="BV364" t="e">
        <f t="shared" si="154"/>
        <v>#N/A</v>
      </c>
      <c r="BY364" t="e">
        <f t="shared" si="139"/>
        <v>#N/A</v>
      </c>
      <c r="BZ364" t="e">
        <v>#N/A</v>
      </c>
      <c r="CA364" t="e" cm="1">
        <f t="array" ref="CA364">IF(ISNUMBER(BZ364),AF364/COUNT(IF(ISNUMBER(_xlfn.ANCHORARRAY($BZ$11)),_xlfn.ANCHORARRAY($BZ$11))),NA())</f>
        <v>#N/A</v>
      </c>
      <c r="CB364" t="e">
        <f t="shared" si="140"/>
        <v>#N/A</v>
      </c>
      <c r="CD364" t="e">
        <f t="shared" si="141"/>
        <v>#N/A</v>
      </c>
      <c r="CE364" t="e">
        <f t="shared" si="142"/>
        <v>#N/A</v>
      </c>
      <c r="CG364" t="e">
        <v>#N/A</v>
      </c>
      <c r="CH364" t="e">
        <v>#N/A</v>
      </c>
      <c r="CL364">
        <f t="shared" si="143"/>
        <v>72705.215656460379</v>
      </c>
      <c r="CM364" t="e">
        <v>#N/A</v>
      </c>
      <c r="CN364" t="e" cm="1">
        <f t="array" ref="CN364">IF(ISNUMBER(CM364),AF364/COUNT(IF(ISNUMBER(_xlfn.ANCHORARRAY($CM$11)),_xlfn.ANCHORARRAY($CM$11))),NA())</f>
        <v>#N/A</v>
      </c>
      <c r="CO364" t="e">
        <f t="shared" si="144"/>
        <v>#N/A</v>
      </c>
      <c r="CQ364" t="e">
        <f t="shared" si="145"/>
        <v>#N/A</v>
      </c>
      <c r="CR364" t="e">
        <f t="shared" si="146"/>
        <v>#N/A</v>
      </c>
      <c r="CT364" t="e">
        <v>#N/A</v>
      </c>
      <c r="CU364" t="e">
        <v>#N/A</v>
      </c>
      <c r="CY364" t="e">
        <f t="shared" si="147"/>
        <v>#N/A</v>
      </c>
      <c r="CZ364" t="e">
        <v>#N/A</v>
      </c>
      <c r="DA364" t="e" cm="1">
        <f t="array" ref="DA364">IF(ISNUMBER(CZ364),AF364/COUNT(IF(ISNUMBER(_xlfn.ANCHORARRAY($CZ$11)),_xlfn.ANCHORARRAY($CZ$11))),NA())</f>
        <v>#N/A</v>
      </c>
      <c r="DB364" t="e">
        <f t="shared" si="148"/>
        <v>#N/A</v>
      </c>
      <c r="DD364" t="e">
        <f t="shared" si="149"/>
        <v>#N/A</v>
      </c>
      <c r="DE364" t="e">
        <f t="shared" si="150"/>
        <v>#N/A</v>
      </c>
      <c r="DG364" t="e">
        <v>#N/A</v>
      </c>
      <c r="DH364" t="e">
        <v>#N/A</v>
      </c>
    </row>
    <row r="365" spans="32:112">
      <c r="AF365">
        <v>355</v>
      </c>
      <c r="AG365" s="401">
        <f>'Lab test'!N358</f>
        <v>190.5</v>
      </c>
      <c r="AH365" s="401">
        <f>'Lab test'!M358</f>
        <v>0.29239526677448796</v>
      </c>
      <c r="AI365">
        <f>IF('Lab test'!O358&gt;0,'Lab test'!O358,NA())</f>
        <v>190.5</v>
      </c>
      <c r="AJ365">
        <f>'Lab test'!Q358</f>
        <v>651.51533436731233</v>
      </c>
      <c r="AK365" s="401">
        <f>IF('Lab test'!V358&gt;0,'Lab test'!V358,NA())</f>
        <v>72705.215656460379</v>
      </c>
      <c r="AL365" s="7">
        <f>IF(MAX('Lab test'!W358,'Lab test'!X358)&gt;0,MAX('Lab test'!W358,'Lab test'!X358),NA())</f>
        <v>253.72706838859571</v>
      </c>
      <c r="AM365" s="401">
        <f>IF('Lab test'!P358&gt;0,'Lab test'!P358,NA())</f>
        <v>3.917758657899683E-2</v>
      </c>
      <c r="AN365" s="401">
        <f>IF('Lab test'!AU358&gt;0,'Lab test'!AU358,NA())</f>
        <v>0.15126914254076088</v>
      </c>
      <c r="AO365" s="401">
        <f>IF('Lab test'!AT358&gt;0,'Lab test'!AT358,NA())</f>
        <v>0.56827368435199987</v>
      </c>
      <c r="AP365">
        <f t="shared" si="151"/>
        <v>1</v>
      </c>
      <c r="AQ365" s="401">
        <f>'Lab test'!AZ358</f>
        <v>1933</v>
      </c>
      <c r="AR365" t="str">
        <f>'Lab test'!AC358</f>
        <v>LTWb</v>
      </c>
      <c r="AS365" t="str">
        <f>'Lab test'!T358</f>
        <v>Aluminium</v>
      </c>
      <c r="AX365" t="e">
        <f t="shared" si="136"/>
        <v>#N/A</v>
      </c>
      <c r="AY365" t="e">
        <f t="shared" si="130"/>
        <v>#N/A</v>
      </c>
      <c r="AZ365" t="e">
        <f t="shared" si="152"/>
        <v>#N/A</v>
      </c>
      <c r="BA365" t="e">
        <f t="shared" si="152"/>
        <v>#N/A</v>
      </c>
      <c r="BB365" t="e">
        <f t="shared" si="152"/>
        <v>#N/A</v>
      </c>
      <c r="BC365" t="e">
        <f t="shared" si="152"/>
        <v>#N/A</v>
      </c>
      <c r="BD365" t="e">
        <f t="shared" si="152"/>
        <v>#N/A</v>
      </c>
      <c r="BG365" t="e">
        <f t="shared" si="137"/>
        <v>#N/A</v>
      </c>
      <c r="BH365" t="e">
        <f t="shared" si="131"/>
        <v>#N/A</v>
      </c>
      <c r="BI365" t="e">
        <f t="shared" si="153"/>
        <v>#N/A</v>
      </c>
      <c r="BJ365">
        <f t="shared" si="153"/>
        <v>72705.215656460379</v>
      </c>
      <c r="BK365" t="e">
        <f t="shared" si="153"/>
        <v>#N/A</v>
      </c>
      <c r="BL365" t="e">
        <f t="shared" si="153"/>
        <v>#N/A</v>
      </c>
      <c r="BM365" t="e">
        <f t="shared" si="153"/>
        <v>#N/A</v>
      </c>
      <c r="BP365" t="e">
        <f t="shared" si="138"/>
        <v>#N/A</v>
      </c>
      <c r="BQ365" t="e">
        <f t="shared" si="132"/>
        <v>#N/A</v>
      </c>
      <c r="BR365" t="e">
        <f t="shared" si="154"/>
        <v>#N/A</v>
      </c>
      <c r="BS365" t="e">
        <f t="shared" si="154"/>
        <v>#N/A</v>
      </c>
      <c r="BT365" t="e">
        <f t="shared" si="154"/>
        <v>#N/A</v>
      </c>
      <c r="BU365" t="e">
        <f t="shared" si="154"/>
        <v>#N/A</v>
      </c>
      <c r="BV365" t="e">
        <f t="shared" si="154"/>
        <v>#N/A</v>
      </c>
      <c r="BY365" t="e">
        <f t="shared" si="139"/>
        <v>#N/A</v>
      </c>
      <c r="BZ365" t="e">
        <v>#N/A</v>
      </c>
      <c r="CA365" t="e" cm="1">
        <f t="array" ref="CA365">IF(ISNUMBER(BZ365),AF365/COUNT(IF(ISNUMBER(_xlfn.ANCHORARRAY($BZ$11)),_xlfn.ANCHORARRAY($BZ$11))),NA())</f>
        <v>#N/A</v>
      </c>
      <c r="CB365" t="e">
        <f t="shared" si="140"/>
        <v>#N/A</v>
      </c>
      <c r="CD365" t="e">
        <f t="shared" si="141"/>
        <v>#N/A</v>
      </c>
      <c r="CE365" t="e">
        <f t="shared" si="142"/>
        <v>#N/A</v>
      </c>
      <c r="CG365" t="e">
        <v>#N/A</v>
      </c>
      <c r="CH365" t="e">
        <v>#N/A</v>
      </c>
      <c r="CL365">
        <f t="shared" si="143"/>
        <v>72705.215656460379</v>
      </c>
      <c r="CM365" t="e">
        <v>#N/A</v>
      </c>
      <c r="CN365" t="e" cm="1">
        <f t="array" ref="CN365">IF(ISNUMBER(CM365),AF365/COUNT(IF(ISNUMBER(_xlfn.ANCHORARRAY($CM$11)),_xlfn.ANCHORARRAY($CM$11))),NA())</f>
        <v>#N/A</v>
      </c>
      <c r="CO365" t="e">
        <f t="shared" si="144"/>
        <v>#N/A</v>
      </c>
      <c r="CQ365" t="e">
        <f t="shared" si="145"/>
        <v>#N/A</v>
      </c>
      <c r="CR365" t="e">
        <f t="shared" si="146"/>
        <v>#N/A</v>
      </c>
      <c r="CT365" t="e">
        <v>#N/A</v>
      </c>
      <c r="CU365" t="e">
        <v>#N/A</v>
      </c>
      <c r="CY365" t="e">
        <f t="shared" si="147"/>
        <v>#N/A</v>
      </c>
      <c r="CZ365" t="e">
        <v>#N/A</v>
      </c>
      <c r="DA365" t="e" cm="1">
        <f t="array" ref="DA365">IF(ISNUMBER(CZ365),AF365/COUNT(IF(ISNUMBER(_xlfn.ANCHORARRAY($CZ$11)),_xlfn.ANCHORARRAY($CZ$11))),NA())</f>
        <v>#N/A</v>
      </c>
      <c r="DB365" t="e">
        <f t="shared" si="148"/>
        <v>#N/A</v>
      </c>
      <c r="DD365" t="e">
        <f t="shared" si="149"/>
        <v>#N/A</v>
      </c>
      <c r="DE365" t="e">
        <f t="shared" si="150"/>
        <v>#N/A</v>
      </c>
      <c r="DG365" t="e">
        <v>#N/A</v>
      </c>
      <c r="DH365" t="e">
        <v>#N/A</v>
      </c>
    </row>
    <row r="366" spans="32:112">
      <c r="AF366">
        <v>356</v>
      </c>
      <c r="AG366" s="401">
        <f>'Lab test'!N359</f>
        <v>190.5</v>
      </c>
      <c r="AH366" s="401">
        <f>'Lab test'!M359</f>
        <v>0.29239526677448796</v>
      </c>
      <c r="AI366">
        <f>IF('Lab test'!O359&gt;0,'Lab test'!O359,NA())</f>
        <v>190.5</v>
      </c>
      <c r="AJ366">
        <f>'Lab test'!Q359</f>
        <v>651.51533436731233</v>
      </c>
      <c r="AK366" s="401">
        <f>IF('Lab test'!V359&gt;0,'Lab test'!V359,NA())</f>
        <v>72705.215656460379</v>
      </c>
      <c r="AL366" s="7">
        <f>IF(MAX('Lab test'!W359,'Lab test'!X359)&gt;0,MAX('Lab test'!W359,'Lab test'!X359),NA())</f>
        <v>253.72706838859571</v>
      </c>
      <c r="AM366" s="401">
        <f>IF('Lab test'!P359&gt;0,'Lab test'!P359,NA())</f>
        <v>3.917758657899683E-2</v>
      </c>
      <c r="AN366" s="401">
        <f>IF('Lab test'!AU359&gt;0,'Lab test'!AU359,NA())</f>
        <v>0.13478401222826086</v>
      </c>
      <c r="AO366" s="401">
        <f>IF('Lab test'!AT359&gt;0,'Lab test'!AT359,NA())</f>
        <v>0.50634389759999987</v>
      </c>
      <c r="AP366">
        <f t="shared" si="151"/>
        <v>1</v>
      </c>
      <c r="AQ366" s="401">
        <f>'Lab test'!AZ359</f>
        <v>1933</v>
      </c>
      <c r="AR366" t="str">
        <f>'Lab test'!AC359</f>
        <v>LTWb</v>
      </c>
      <c r="AS366" t="str">
        <f>'Lab test'!T359</f>
        <v>Aluminium</v>
      </c>
      <c r="AX366" t="e">
        <f t="shared" si="136"/>
        <v>#N/A</v>
      </c>
      <c r="AY366" t="e">
        <f t="shared" ref="AY366:AY429" si="155">IF(ISNUMBER($AJ366),IF(ISNUMBER($AP366),IF($AJ366&gt;AY$9,IF($AJ366&lt;=AY$10,IF($AR366=$AW$2,IF($AS366=$AW$6,$AK366,NA()),NA()),NA()),NA()),NA()),NA())</f>
        <v>#N/A</v>
      </c>
      <c r="AZ366" t="e">
        <f t="shared" si="152"/>
        <v>#N/A</v>
      </c>
      <c r="BA366" t="e">
        <f t="shared" si="152"/>
        <v>#N/A</v>
      </c>
      <c r="BB366" t="e">
        <f t="shared" si="152"/>
        <v>#N/A</v>
      </c>
      <c r="BC366" t="e">
        <f t="shared" si="152"/>
        <v>#N/A</v>
      </c>
      <c r="BD366" t="e">
        <f t="shared" si="152"/>
        <v>#N/A</v>
      </c>
      <c r="BG366" t="e">
        <f t="shared" si="137"/>
        <v>#N/A</v>
      </c>
      <c r="BH366" t="e">
        <f t="shared" ref="BH366:BH429" si="156">IF(ISNUMBER($AJ366),IF(ISNUMBER($AP366),IF($AJ366&gt;BH$9,IF($AJ366&lt;=BH$10,IF($AR366=$AW$2,IF($AS366=$BF$6,$AK366,NA()),NA()),NA()),NA()),NA()),NA())</f>
        <v>#N/A</v>
      </c>
      <c r="BI366" t="e">
        <f t="shared" si="153"/>
        <v>#N/A</v>
      </c>
      <c r="BJ366">
        <f t="shared" si="153"/>
        <v>72705.215656460379</v>
      </c>
      <c r="BK366" t="e">
        <f t="shared" si="153"/>
        <v>#N/A</v>
      </c>
      <c r="BL366" t="e">
        <f t="shared" si="153"/>
        <v>#N/A</v>
      </c>
      <c r="BM366" t="e">
        <f t="shared" si="153"/>
        <v>#N/A</v>
      </c>
      <c r="BP366" t="e">
        <f t="shared" si="138"/>
        <v>#N/A</v>
      </c>
      <c r="BQ366" t="e">
        <f t="shared" ref="BQ366:BQ429" si="157">IF(ISNUMBER($AJ366),IF(ISNUMBER($AP366),IF($AJ366&gt;BQ$9,IF($AJ366&lt;=BQ$10,IF($AR366=$AW$2,IF($AS366=$BO$6,$AK366,NA()),NA()),NA()),NA()),NA()),NA())</f>
        <v>#N/A</v>
      </c>
      <c r="BR366" t="e">
        <f t="shared" si="154"/>
        <v>#N/A</v>
      </c>
      <c r="BS366" t="e">
        <f t="shared" si="154"/>
        <v>#N/A</v>
      </c>
      <c r="BT366" t="e">
        <f t="shared" si="154"/>
        <v>#N/A</v>
      </c>
      <c r="BU366" t="e">
        <f t="shared" si="154"/>
        <v>#N/A</v>
      </c>
      <c r="BV366" t="e">
        <f t="shared" si="154"/>
        <v>#N/A</v>
      </c>
      <c r="BY366" t="e">
        <f t="shared" si="139"/>
        <v>#N/A</v>
      </c>
      <c r="BZ366" t="e">
        <v>#N/A</v>
      </c>
      <c r="CA366" t="e" cm="1">
        <f t="array" ref="CA366">IF(ISNUMBER(BZ366),AF366/COUNT(IF(ISNUMBER(_xlfn.ANCHORARRAY($BZ$11)),_xlfn.ANCHORARRAY($BZ$11))),NA())</f>
        <v>#N/A</v>
      </c>
      <c r="CB366" t="e">
        <f t="shared" si="140"/>
        <v>#N/A</v>
      </c>
      <c r="CD366" t="e">
        <f t="shared" si="141"/>
        <v>#N/A</v>
      </c>
      <c r="CE366" t="e">
        <f t="shared" si="142"/>
        <v>#N/A</v>
      </c>
      <c r="CG366" t="e">
        <v>#N/A</v>
      </c>
      <c r="CH366" t="e">
        <v>#N/A</v>
      </c>
      <c r="CL366">
        <f t="shared" si="143"/>
        <v>72705.215656460379</v>
      </c>
      <c r="CM366" t="e">
        <v>#N/A</v>
      </c>
      <c r="CN366" t="e" cm="1">
        <f t="array" ref="CN366">IF(ISNUMBER(CM366),AF366/COUNT(IF(ISNUMBER(_xlfn.ANCHORARRAY($CM$11)),_xlfn.ANCHORARRAY($CM$11))),NA())</f>
        <v>#N/A</v>
      </c>
      <c r="CO366" t="e">
        <f t="shared" si="144"/>
        <v>#N/A</v>
      </c>
      <c r="CQ366" t="e">
        <f t="shared" si="145"/>
        <v>#N/A</v>
      </c>
      <c r="CR366" t="e">
        <f t="shared" si="146"/>
        <v>#N/A</v>
      </c>
      <c r="CT366" t="e">
        <v>#N/A</v>
      </c>
      <c r="CU366" t="e">
        <v>#N/A</v>
      </c>
      <c r="CY366" t="e">
        <f t="shared" si="147"/>
        <v>#N/A</v>
      </c>
      <c r="CZ366" t="e">
        <v>#N/A</v>
      </c>
      <c r="DA366" t="e" cm="1">
        <f t="array" ref="DA366">IF(ISNUMBER(CZ366),AF366/COUNT(IF(ISNUMBER(_xlfn.ANCHORARRAY($CZ$11)),_xlfn.ANCHORARRAY($CZ$11))),NA())</f>
        <v>#N/A</v>
      </c>
      <c r="DB366" t="e">
        <f t="shared" si="148"/>
        <v>#N/A</v>
      </c>
      <c r="DD366" t="e">
        <f t="shared" si="149"/>
        <v>#N/A</v>
      </c>
      <c r="DE366" t="e">
        <f t="shared" si="150"/>
        <v>#N/A</v>
      </c>
      <c r="DG366" t="e">
        <v>#N/A</v>
      </c>
      <c r="DH366" t="e">
        <v>#N/A</v>
      </c>
    </row>
    <row r="367" spans="32:112">
      <c r="AF367">
        <v>357</v>
      </c>
      <c r="AG367" s="401">
        <f>'Lab test'!N360</f>
        <v>190.5</v>
      </c>
      <c r="AH367" s="401">
        <f>'Lab test'!M360</f>
        <v>0.27783847960719649</v>
      </c>
      <c r="AI367">
        <f>IF('Lab test'!O360&gt;0,'Lab test'!O360,NA())</f>
        <v>285.75</v>
      </c>
      <c r="AJ367">
        <f>'Lab test'!Q360</f>
        <v>685.65016720983283</v>
      </c>
      <c r="AK367" s="401">
        <f>IF('Lab test'!V360&gt;0,'Lab test'!V360,NA())</f>
        <v>72705.215656460379</v>
      </c>
      <c r="AL367" s="7">
        <f>IF(MAX('Lab test'!W360,'Lab test'!X360)&gt;0,MAX('Lab test'!W360,'Lab test'!X360),NA())</f>
        <v>253.72706838859571</v>
      </c>
      <c r="AM367" s="401">
        <f>IF('Lab test'!P360&gt;0,'Lab test'!P360,NA())</f>
        <v>5.7284874493659224E-2</v>
      </c>
      <c r="AN367" s="401">
        <f>IF('Lab test'!AU360&gt;0,'Lab test'!AU360,NA())</f>
        <v>8.5534850543478272E-2</v>
      </c>
      <c r="AO367" s="401">
        <f>IF('Lab test'!AT360&gt;0,'Lab test'!AT360,NA())</f>
        <v>0.33816467999999994</v>
      </c>
      <c r="AP367">
        <f t="shared" si="151"/>
        <v>1</v>
      </c>
      <c r="AQ367" s="401">
        <f>'Lab test'!AZ360</f>
        <v>1933</v>
      </c>
      <c r="AR367" t="str">
        <f>'Lab test'!AC360</f>
        <v>LTWb</v>
      </c>
      <c r="AS367" t="str">
        <f>'Lab test'!T360</f>
        <v>Aluminium</v>
      </c>
      <c r="AX367" t="e">
        <f t="shared" si="136"/>
        <v>#N/A</v>
      </c>
      <c r="AY367" t="e">
        <f t="shared" si="155"/>
        <v>#N/A</v>
      </c>
      <c r="AZ367" t="e">
        <f t="shared" si="152"/>
        <v>#N/A</v>
      </c>
      <c r="BA367" t="e">
        <f t="shared" si="152"/>
        <v>#N/A</v>
      </c>
      <c r="BB367" t="e">
        <f t="shared" si="152"/>
        <v>#N/A</v>
      </c>
      <c r="BC367" t="e">
        <f t="shared" si="152"/>
        <v>#N/A</v>
      </c>
      <c r="BD367" t="e">
        <f t="shared" si="152"/>
        <v>#N/A</v>
      </c>
      <c r="BG367" t="e">
        <f t="shared" si="137"/>
        <v>#N/A</v>
      </c>
      <c r="BH367" t="e">
        <f t="shared" si="156"/>
        <v>#N/A</v>
      </c>
      <c r="BI367" t="e">
        <f t="shared" si="153"/>
        <v>#N/A</v>
      </c>
      <c r="BJ367">
        <f t="shared" si="153"/>
        <v>72705.215656460379</v>
      </c>
      <c r="BK367" t="e">
        <f t="shared" si="153"/>
        <v>#N/A</v>
      </c>
      <c r="BL367" t="e">
        <f t="shared" si="153"/>
        <v>#N/A</v>
      </c>
      <c r="BM367" t="e">
        <f t="shared" si="153"/>
        <v>#N/A</v>
      </c>
      <c r="BP367" t="e">
        <f t="shared" si="138"/>
        <v>#N/A</v>
      </c>
      <c r="BQ367" t="e">
        <f t="shared" si="157"/>
        <v>#N/A</v>
      </c>
      <c r="BR367" t="e">
        <f t="shared" si="154"/>
        <v>#N/A</v>
      </c>
      <c r="BS367" t="e">
        <f t="shared" si="154"/>
        <v>#N/A</v>
      </c>
      <c r="BT367" t="e">
        <f t="shared" si="154"/>
        <v>#N/A</v>
      </c>
      <c r="BU367" t="e">
        <f t="shared" si="154"/>
        <v>#N/A</v>
      </c>
      <c r="BV367" t="e">
        <f t="shared" si="154"/>
        <v>#N/A</v>
      </c>
      <c r="BY367" t="e">
        <f t="shared" si="139"/>
        <v>#N/A</v>
      </c>
      <c r="BZ367" t="e">
        <v>#N/A</v>
      </c>
      <c r="CA367" t="e" cm="1">
        <f t="array" ref="CA367">IF(ISNUMBER(BZ367),AF367/COUNT(IF(ISNUMBER(_xlfn.ANCHORARRAY($BZ$11)),_xlfn.ANCHORARRAY($BZ$11))),NA())</f>
        <v>#N/A</v>
      </c>
      <c r="CB367" t="e">
        <f t="shared" si="140"/>
        <v>#N/A</v>
      </c>
      <c r="CD367" t="e">
        <f t="shared" si="141"/>
        <v>#N/A</v>
      </c>
      <c r="CE367" t="e">
        <f t="shared" si="142"/>
        <v>#N/A</v>
      </c>
      <c r="CG367" t="e">
        <v>#N/A</v>
      </c>
      <c r="CH367" t="e">
        <v>#N/A</v>
      </c>
      <c r="CL367">
        <f t="shared" si="143"/>
        <v>72705.215656460379</v>
      </c>
      <c r="CM367" t="e">
        <v>#N/A</v>
      </c>
      <c r="CN367" t="e" cm="1">
        <f t="array" ref="CN367">IF(ISNUMBER(CM367),AF367/COUNT(IF(ISNUMBER(_xlfn.ANCHORARRAY($CM$11)),_xlfn.ANCHORARRAY($CM$11))),NA())</f>
        <v>#N/A</v>
      </c>
      <c r="CO367" t="e">
        <f t="shared" si="144"/>
        <v>#N/A</v>
      </c>
      <c r="CQ367" t="e">
        <f t="shared" si="145"/>
        <v>#N/A</v>
      </c>
      <c r="CR367" t="e">
        <f t="shared" si="146"/>
        <v>#N/A</v>
      </c>
      <c r="CT367" t="e">
        <v>#N/A</v>
      </c>
      <c r="CU367" t="e">
        <v>#N/A</v>
      </c>
      <c r="CY367" t="e">
        <f t="shared" si="147"/>
        <v>#N/A</v>
      </c>
      <c r="CZ367" t="e">
        <v>#N/A</v>
      </c>
      <c r="DA367" t="e" cm="1">
        <f t="array" ref="DA367">IF(ISNUMBER(CZ367),AF367/COUNT(IF(ISNUMBER(_xlfn.ANCHORARRAY($CZ$11)),_xlfn.ANCHORARRAY($CZ$11))),NA())</f>
        <v>#N/A</v>
      </c>
      <c r="DB367" t="e">
        <f t="shared" si="148"/>
        <v>#N/A</v>
      </c>
      <c r="DD367" t="e">
        <f t="shared" si="149"/>
        <v>#N/A</v>
      </c>
      <c r="DE367" t="e">
        <f t="shared" si="150"/>
        <v>#N/A</v>
      </c>
      <c r="DG367" t="e">
        <v>#N/A</v>
      </c>
      <c r="DH367" t="e">
        <v>#N/A</v>
      </c>
    </row>
    <row r="368" spans="32:112">
      <c r="AF368">
        <v>358</v>
      </c>
      <c r="AG368" s="401">
        <f>'Lab test'!N361</f>
        <v>190.5</v>
      </c>
      <c r="AH368" s="401">
        <f>'Lab test'!M361</f>
        <v>0.29493230709450785</v>
      </c>
      <c r="AI368">
        <f>IF('Lab test'!O361&gt;0,'Lab test'!O361,NA())</f>
        <v>285.75</v>
      </c>
      <c r="AJ368">
        <f>'Lab test'!Q361</f>
        <v>645.9109274147994</v>
      </c>
      <c r="AK368" s="401">
        <f>IF('Lab test'!V361&gt;0,'Lab test'!V361,NA())</f>
        <v>72705.215656460379</v>
      </c>
      <c r="AL368" s="7">
        <f>IF(MAX('Lab test'!W361,'Lab test'!X361)&gt;0,MAX('Lab test'!W361,'Lab test'!X361),NA())</f>
        <v>253.72706838859571</v>
      </c>
      <c r="AM368" s="401">
        <f>IF('Lab test'!P361&gt;0,'Lab test'!P361,NA())</f>
        <v>5.9020779781345858E-2</v>
      </c>
      <c r="AN368" s="401">
        <f>IF('Lab test'!AU361&gt;0,'Lab test'!AU361,NA())</f>
        <v>0.12940548913043479</v>
      </c>
      <c r="AO368" s="401">
        <f>IF('Lab test'!AT361&gt;0,'Lab test'!AT361,NA())</f>
        <v>0.48195655200000015</v>
      </c>
      <c r="AP368">
        <f t="shared" si="151"/>
        <v>1</v>
      </c>
      <c r="AQ368" s="401">
        <f>'Lab test'!AZ361</f>
        <v>1933</v>
      </c>
      <c r="AR368" t="str">
        <f>'Lab test'!AC361</f>
        <v>LTWb</v>
      </c>
      <c r="AS368" t="str">
        <f>'Lab test'!T361</f>
        <v>Aluminium</v>
      </c>
      <c r="AX368" t="e">
        <f t="shared" si="136"/>
        <v>#N/A</v>
      </c>
      <c r="AY368" t="e">
        <f t="shared" si="155"/>
        <v>#N/A</v>
      </c>
      <c r="AZ368" t="e">
        <f t="shared" si="152"/>
        <v>#N/A</v>
      </c>
      <c r="BA368" t="e">
        <f t="shared" si="152"/>
        <v>#N/A</v>
      </c>
      <c r="BB368" t="e">
        <f t="shared" si="152"/>
        <v>#N/A</v>
      </c>
      <c r="BC368" t="e">
        <f t="shared" si="152"/>
        <v>#N/A</v>
      </c>
      <c r="BD368" t="e">
        <f t="shared" si="152"/>
        <v>#N/A</v>
      </c>
      <c r="BG368" t="e">
        <f t="shared" si="137"/>
        <v>#N/A</v>
      </c>
      <c r="BH368" t="e">
        <f t="shared" si="156"/>
        <v>#N/A</v>
      </c>
      <c r="BI368">
        <f t="shared" si="153"/>
        <v>72705.215656460379</v>
      </c>
      <c r="BJ368" t="e">
        <f t="shared" si="153"/>
        <v>#N/A</v>
      </c>
      <c r="BK368" t="e">
        <f t="shared" si="153"/>
        <v>#N/A</v>
      </c>
      <c r="BL368" t="e">
        <f t="shared" si="153"/>
        <v>#N/A</v>
      </c>
      <c r="BM368" t="e">
        <f t="shared" si="153"/>
        <v>#N/A</v>
      </c>
      <c r="BP368" t="e">
        <f t="shared" si="138"/>
        <v>#N/A</v>
      </c>
      <c r="BQ368" t="e">
        <f t="shared" si="157"/>
        <v>#N/A</v>
      </c>
      <c r="BR368" t="e">
        <f t="shared" si="154"/>
        <v>#N/A</v>
      </c>
      <c r="BS368" t="e">
        <f t="shared" si="154"/>
        <v>#N/A</v>
      </c>
      <c r="BT368" t="e">
        <f t="shared" si="154"/>
        <v>#N/A</v>
      </c>
      <c r="BU368" t="e">
        <f t="shared" si="154"/>
        <v>#N/A</v>
      </c>
      <c r="BV368" t="e">
        <f t="shared" si="154"/>
        <v>#N/A</v>
      </c>
      <c r="BY368" t="e">
        <f t="shared" si="139"/>
        <v>#N/A</v>
      </c>
      <c r="BZ368" t="e">
        <v>#N/A</v>
      </c>
      <c r="CA368" t="e" cm="1">
        <f t="array" ref="CA368">IF(ISNUMBER(BZ368),AF368/COUNT(IF(ISNUMBER(_xlfn.ANCHORARRAY($BZ$11)),_xlfn.ANCHORARRAY($BZ$11))),NA())</f>
        <v>#N/A</v>
      </c>
      <c r="CB368" t="e">
        <f t="shared" si="140"/>
        <v>#N/A</v>
      </c>
      <c r="CD368" t="e">
        <f t="shared" si="141"/>
        <v>#N/A</v>
      </c>
      <c r="CE368" t="e">
        <f t="shared" si="142"/>
        <v>#N/A</v>
      </c>
      <c r="CG368" t="e">
        <v>#N/A</v>
      </c>
      <c r="CH368" t="e">
        <v>#N/A</v>
      </c>
      <c r="CL368">
        <f t="shared" si="143"/>
        <v>72705.215656460379</v>
      </c>
      <c r="CM368" t="e">
        <v>#N/A</v>
      </c>
      <c r="CN368" t="e" cm="1">
        <f t="array" ref="CN368">IF(ISNUMBER(CM368),AF368/COUNT(IF(ISNUMBER(_xlfn.ANCHORARRAY($CM$11)),_xlfn.ANCHORARRAY($CM$11))),NA())</f>
        <v>#N/A</v>
      </c>
      <c r="CO368" t="e">
        <f t="shared" si="144"/>
        <v>#N/A</v>
      </c>
      <c r="CQ368" t="e">
        <f t="shared" si="145"/>
        <v>#N/A</v>
      </c>
      <c r="CR368" t="e">
        <f t="shared" si="146"/>
        <v>#N/A</v>
      </c>
      <c r="CT368" t="e">
        <v>#N/A</v>
      </c>
      <c r="CU368" t="e">
        <v>#N/A</v>
      </c>
      <c r="CY368" t="e">
        <f t="shared" si="147"/>
        <v>#N/A</v>
      </c>
      <c r="CZ368" t="e">
        <v>#N/A</v>
      </c>
      <c r="DA368" t="e" cm="1">
        <f t="array" ref="DA368">IF(ISNUMBER(CZ368),AF368/COUNT(IF(ISNUMBER(_xlfn.ANCHORARRAY($CZ$11)),_xlfn.ANCHORARRAY($CZ$11))),NA())</f>
        <v>#N/A</v>
      </c>
      <c r="DB368" t="e">
        <f t="shared" si="148"/>
        <v>#N/A</v>
      </c>
      <c r="DD368" t="e">
        <f t="shared" si="149"/>
        <v>#N/A</v>
      </c>
      <c r="DE368" t="e">
        <f t="shared" si="150"/>
        <v>#N/A</v>
      </c>
      <c r="DG368" t="e">
        <v>#N/A</v>
      </c>
      <c r="DH368" t="e">
        <v>#N/A</v>
      </c>
    </row>
    <row r="369" spans="32:112">
      <c r="AF369">
        <v>359</v>
      </c>
      <c r="AG369" s="401">
        <f>'Lab test'!N362</f>
        <v>190.5</v>
      </c>
      <c r="AH369" s="401">
        <f>'Lab test'!M362</f>
        <v>0.2975025111317588</v>
      </c>
      <c r="AI369">
        <f>IF('Lab test'!O362&gt;0,'Lab test'!O362,NA())</f>
        <v>285.75</v>
      </c>
      <c r="AJ369">
        <f>'Lab test'!Q362</f>
        <v>640.33072956359285</v>
      </c>
      <c r="AK369" s="401">
        <f>IF('Lab test'!V362&gt;0,'Lab test'!V362,NA())</f>
        <v>72705.215656460379</v>
      </c>
      <c r="AL369" s="7">
        <f>IF(MAX('Lab test'!W362,'Lab test'!X362)&gt;0,MAX('Lab test'!W362,'Lab test'!X362),NA())</f>
        <v>253.72706838859571</v>
      </c>
      <c r="AM369" s="401">
        <f>IF('Lab test'!P362&gt;0,'Lab test'!P362,NA())</f>
        <v>5.9277391867351717E-2</v>
      </c>
      <c r="AN369" s="401">
        <f>IF('Lab test'!AU362&gt;0,'Lab test'!AU362,NA())</f>
        <v>0.1452229891304348</v>
      </c>
      <c r="AO369" s="401">
        <f>IF('Lab test'!AT362&gt;0,'Lab test'!AT362,NA())</f>
        <v>0.53619439999999985</v>
      </c>
      <c r="AP369">
        <f t="shared" si="151"/>
        <v>1</v>
      </c>
      <c r="AQ369" s="401">
        <f>'Lab test'!AZ362</f>
        <v>1933</v>
      </c>
      <c r="AR369" t="str">
        <f>'Lab test'!AC362</f>
        <v>LTWb</v>
      </c>
      <c r="AS369" t="str">
        <f>'Lab test'!T362</f>
        <v>Aluminium</v>
      </c>
      <c r="AX369" t="e">
        <f t="shared" si="136"/>
        <v>#N/A</v>
      </c>
      <c r="AY369" t="e">
        <f t="shared" si="155"/>
        <v>#N/A</v>
      </c>
      <c r="AZ369" t="e">
        <f t="shared" si="152"/>
        <v>#N/A</v>
      </c>
      <c r="BA369" t="e">
        <f t="shared" si="152"/>
        <v>#N/A</v>
      </c>
      <c r="BB369" t="e">
        <f t="shared" si="152"/>
        <v>#N/A</v>
      </c>
      <c r="BC369" t="e">
        <f t="shared" si="152"/>
        <v>#N/A</v>
      </c>
      <c r="BD369" t="e">
        <f t="shared" si="152"/>
        <v>#N/A</v>
      </c>
      <c r="BG369" t="e">
        <f t="shared" si="137"/>
        <v>#N/A</v>
      </c>
      <c r="BH369" t="e">
        <f t="shared" si="156"/>
        <v>#N/A</v>
      </c>
      <c r="BI369">
        <f t="shared" si="153"/>
        <v>72705.215656460379</v>
      </c>
      <c r="BJ369" t="e">
        <f t="shared" si="153"/>
        <v>#N/A</v>
      </c>
      <c r="BK369" t="e">
        <f t="shared" si="153"/>
        <v>#N/A</v>
      </c>
      <c r="BL369" t="e">
        <f t="shared" si="153"/>
        <v>#N/A</v>
      </c>
      <c r="BM369" t="e">
        <f t="shared" si="153"/>
        <v>#N/A</v>
      </c>
      <c r="BP369" t="e">
        <f t="shared" si="138"/>
        <v>#N/A</v>
      </c>
      <c r="BQ369" t="e">
        <f t="shared" si="157"/>
        <v>#N/A</v>
      </c>
      <c r="BR369" t="e">
        <f t="shared" si="154"/>
        <v>#N/A</v>
      </c>
      <c r="BS369" t="e">
        <f t="shared" si="154"/>
        <v>#N/A</v>
      </c>
      <c r="BT369" t="e">
        <f t="shared" si="154"/>
        <v>#N/A</v>
      </c>
      <c r="BU369" t="e">
        <f t="shared" si="154"/>
        <v>#N/A</v>
      </c>
      <c r="BV369" t="e">
        <f t="shared" si="154"/>
        <v>#N/A</v>
      </c>
      <c r="BY369" t="e">
        <f t="shared" si="139"/>
        <v>#N/A</v>
      </c>
      <c r="BZ369" t="e">
        <v>#N/A</v>
      </c>
      <c r="CA369" t="e" cm="1">
        <f t="array" ref="CA369">IF(ISNUMBER(BZ369),AF369/COUNT(IF(ISNUMBER(_xlfn.ANCHORARRAY($BZ$11)),_xlfn.ANCHORARRAY($BZ$11))),NA())</f>
        <v>#N/A</v>
      </c>
      <c r="CB369" t="e">
        <f t="shared" si="140"/>
        <v>#N/A</v>
      </c>
      <c r="CD369" t="e">
        <f t="shared" si="141"/>
        <v>#N/A</v>
      </c>
      <c r="CE369" t="e">
        <f t="shared" si="142"/>
        <v>#N/A</v>
      </c>
      <c r="CG369" t="e">
        <v>#N/A</v>
      </c>
      <c r="CH369" t="e">
        <v>#N/A</v>
      </c>
      <c r="CL369">
        <f t="shared" si="143"/>
        <v>72705.215656460379</v>
      </c>
      <c r="CM369" t="e">
        <v>#N/A</v>
      </c>
      <c r="CN369" t="e" cm="1">
        <f t="array" ref="CN369">IF(ISNUMBER(CM369),AF369/COUNT(IF(ISNUMBER(_xlfn.ANCHORARRAY($CM$11)),_xlfn.ANCHORARRAY($CM$11))),NA())</f>
        <v>#N/A</v>
      </c>
      <c r="CO369" t="e">
        <f t="shared" si="144"/>
        <v>#N/A</v>
      </c>
      <c r="CQ369" t="e">
        <f t="shared" si="145"/>
        <v>#N/A</v>
      </c>
      <c r="CR369" t="e">
        <f t="shared" si="146"/>
        <v>#N/A</v>
      </c>
      <c r="CT369" t="e">
        <v>#N/A</v>
      </c>
      <c r="CU369" t="e">
        <v>#N/A</v>
      </c>
      <c r="CY369" t="e">
        <f t="shared" si="147"/>
        <v>#N/A</v>
      </c>
      <c r="CZ369" t="e">
        <v>#N/A</v>
      </c>
      <c r="DA369" t="e" cm="1">
        <f t="array" ref="DA369">IF(ISNUMBER(CZ369),AF369/COUNT(IF(ISNUMBER(_xlfn.ANCHORARRAY($CZ$11)),_xlfn.ANCHORARRAY($CZ$11))),NA())</f>
        <v>#N/A</v>
      </c>
      <c r="DB369" t="e">
        <f t="shared" si="148"/>
        <v>#N/A</v>
      </c>
      <c r="DD369" t="e">
        <f t="shared" si="149"/>
        <v>#N/A</v>
      </c>
      <c r="DE369" t="e">
        <f t="shared" si="150"/>
        <v>#N/A</v>
      </c>
      <c r="DG369" t="e">
        <v>#N/A</v>
      </c>
      <c r="DH369" t="e">
        <v>#N/A</v>
      </c>
    </row>
    <row r="370" spans="32:112">
      <c r="AF370">
        <v>360</v>
      </c>
      <c r="AG370" s="401">
        <f>'Lab test'!N363</f>
        <v>190.5</v>
      </c>
      <c r="AH370" s="401">
        <f>'Lab test'!M363</f>
        <v>0.2975025111317588</v>
      </c>
      <c r="AI370">
        <f>IF('Lab test'!O363&gt;0,'Lab test'!O363,NA())</f>
        <v>285.75</v>
      </c>
      <c r="AJ370">
        <f>'Lab test'!Q363</f>
        <v>640.33072956359285</v>
      </c>
      <c r="AK370" s="401">
        <f>IF('Lab test'!V363&gt;0,'Lab test'!V363,NA())</f>
        <v>72705.215656460379</v>
      </c>
      <c r="AL370" s="7">
        <f>IF(MAX('Lab test'!W363,'Lab test'!X363)&gt;0,MAX('Lab test'!W363,'Lab test'!X363),NA())</f>
        <v>253.72706838859571</v>
      </c>
      <c r="AM370" s="401">
        <f>IF('Lab test'!P363&gt;0,'Lab test'!P363,NA())</f>
        <v>5.9277391867351717E-2</v>
      </c>
      <c r="AN370" s="401">
        <f>IF('Lab test'!AU363&gt;0,'Lab test'!AU363,NA())</f>
        <v>0.11145606521739131</v>
      </c>
      <c r="AO370" s="401">
        <f>IF('Lab test'!AT363&gt;0,'Lab test'!AT363,NA())</f>
        <v>0.41151967999999983</v>
      </c>
      <c r="AP370">
        <f t="shared" si="151"/>
        <v>1</v>
      </c>
      <c r="AQ370" s="401">
        <f>'Lab test'!AZ363</f>
        <v>1933</v>
      </c>
      <c r="AR370" t="str">
        <f>'Lab test'!AC363</f>
        <v>LTWb</v>
      </c>
      <c r="AS370" t="str">
        <f>'Lab test'!T363</f>
        <v>Aluminium</v>
      </c>
      <c r="AX370" t="e">
        <f t="shared" si="136"/>
        <v>#N/A</v>
      </c>
      <c r="AY370" t="e">
        <f t="shared" si="155"/>
        <v>#N/A</v>
      </c>
      <c r="AZ370" t="e">
        <f t="shared" si="152"/>
        <v>#N/A</v>
      </c>
      <c r="BA370" t="e">
        <f t="shared" si="152"/>
        <v>#N/A</v>
      </c>
      <c r="BB370" t="e">
        <f t="shared" si="152"/>
        <v>#N/A</v>
      </c>
      <c r="BC370" t="e">
        <f t="shared" si="152"/>
        <v>#N/A</v>
      </c>
      <c r="BD370" t="e">
        <f t="shared" si="152"/>
        <v>#N/A</v>
      </c>
      <c r="BG370" t="e">
        <f t="shared" si="137"/>
        <v>#N/A</v>
      </c>
      <c r="BH370" t="e">
        <f t="shared" si="156"/>
        <v>#N/A</v>
      </c>
      <c r="BI370">
        <f t="shared" si="153"/>
        <v>72705.215656460379</v>
      </c>
      <c r="BJ370" t="e">
        <f t="shared" si="153"/>
        <v>#N/A</v>
      </c>
      <c r="BK370" t="e">
        <f t="shared" si="153"/>
        <v>#N/A</v>
      </c>
      <c r="BL370" t="e">
        <f t="shared" si="153"/>
        <v>#N/A</v>
      </c>
      <c r="BM370" t="e">
        <f t="shared" si="153"/>
        <v>#N/A</v>
      </c>
      <c r="BP370" t="e">
        <f t="shared" si="138"/>
        <v>#N/A</v>
      </c>
      <c r="BQ370" t="e">
        <f t="shared" si="157"/>
        <v>#N/A</v>
      </c>
      <c r="BR370" t="e">
        <f t="shared" si="154"/>
        <v>#N/A</v>
      </c>
      <c r="BS370" t="e">
        <f t="shared" si="154"/>
        <v>#N/A</v>
      </c>
      <c r="BT370" t="e">
        <f t="shared" si="154"/>
        <v>#N/A</v>
      </c>
      <c r="BU370" t="e">
        <f t="shared" si="154"/>
        <v>#N/A</v>
      </c>
      <c r="BV370" t="e">
        <f t="shared" si="154"/>
        <v>#N/A</v>
      </c>
      <c r="BY370" t="e">
        <f t="shared" si="139"/>
        <v>#N/A</v>
      </c>
      <c r="BZ370" t="e">
        <v>#N/A</v>
      </c>
      <c r="CA370" t="e" cm="1">
        <f t="array" ref="CA370">IF(ISNUMBER(BZ370),AF370/COUNT(IF(ISNUMBER(_xlfn.ANCHORARRAY($BZ$11)),_xlfn.ANCHORARRAY($BZ$11))),NA())</f>
        <v>#N/A</v>
      </c>
      <c r="CB370" t="e">
        <f t="shared" si="140"/>
        <v>#N/A</v>
      </c>
      <c r="CD370" t="e">
        <f t="shared" si="141"/>
        <v>#N/A</v>
      </c>
      <c r="CE370" t="e">
        <f t="shared" si="142"/>
        <v>#N/A</v>
      </c>
      <c r="CG370" t="e">
        <v>#N/A</v>
      </c>
      <c r="CH370" t="e">
        <v>#N/A</v>
      </c>
      <c r="CL370">
        <f t="shared" si="143"/>
        <v>72705.215656460379</v>
      </c>
      <c r="CM370" t="e">
        <v>#N/A</v>
      </c>
      <c r="CN370" t="e" cm="1">
        <f t="array" ref="CN370">IF(ISNUMBER(CM370),AF370/COUNT(IF(ISNUMBER(_xlfn.ANCHORARRAY($CM$11)),_xlfn.ANCHORARRAY($CM$11))),NA())</f>
        <v>#N/A</v>
      </c>
      <c r="CO370" t="e">
        <f t="shared" si="144"/>
        <v>#N/A</v>
      </c>
      <c r="CQ370" t="e">
        <f t="shared" si="145"/>
        <v>#N/A</v>
      </c>
      <c r="CR370" t="e">
        <f t="shared" si="146"/>
        <v>#N/A</v>
      </c>
      <c r="CT370" t="e">
        <v>#N/A</v>
      </c>
      <c r="CU370" t="e">
        <v>#N/A</v>
      </c>
      <c r="CY370" t="e">
        <f t="shared" si="147"/>
        <v>#N/A</v>
      </c>
      <c r="CZ370" t="e">
        <v>#N/A</v>
      </c>
      <c r="DA370" t="e" cm="1">
        <f t="array" ref="DA370">IF(ISNUMBER(CZ370),AF370/COUNT(IF(ISNUMBER(_xlfn.ANCHORARRAY($CZ$11)),_xlfn.ANCHORARRAY($CZ$11))),NA())</f>
        <v>#N/A</v>
      </c>
      <c r="DB370" t="e">
        <f t="shared" si="148"/>
        <v>#N/A</v>
      </c>
      <c r="DD370" t="e">
        <f t="shared" si="149"/>
        <v>#N/A</v>
      </c>
      <c r="DE370" t="e">
        <f t="shared" si="150"/>
        <v>#N/A</v>
      </c>
      <c r="DG370" t="e">
        <v>#N/A</v>
      </c>
      <c r="DH370" t="e">
        <v>#N/A</v>
      </c>
    </row>
    <row r="371" spans="32:112">
      <c r="AF371">
        <v>361</v>
      </c>
      <c r="AG371" s="401">
        <f>'Lab test'!N364</f>
        <v>190.5</v>
      </c>
      <c r="AH371" s="401">
        <f>'Lab test'!M364</f>
        <v>0.28741841695649861</v>
      </c>
      <c r="AI371">
        <f>IF('Lab test'!O364&gt;0,'Lab test'!O364,NA())</f>
        <v>381</v>
      </c>
      <c r="AJ371">
        <f>'Lab test'!Q364</f>
        <v>662.79677557625882</v>
      </c>
      <c r="AK371" s="401">
        <f>IF('Lab test'!V364&gt;0,'Lab test'!V364,NA())</f>
        <v>72705.215656460379</v>
      </c>
      <c r="AL371" s="7">
        <f>IF(MAX('Lab test'!W364,'Lab test'!X364)&gt;0,MAX('Lab test'!W364,'Lab test'!X364),NA())</f>
        <v>253.72706838859571</v>
      </c>
      <c r="AM371" s="401">
        <f>IF('Lab test'!P364&gt;0,'Lab test'!P364,NA())</f>
        <v>7.7685470823309941E-2</v>
      </c>
      <c r="AN371" s="401">
        <f>IF('Lab test'!AU364&gt;0,'Lab test'!AU364,NA())</f>
        <v>0.13028519429347829</v>
      </c>
      <c r="AO371" s="401">
        <f>IF('Lab test'!AT364&gt;0,'Lab test'!AT364,NA())</f>
        <v>0.49791821040000001</v>
      </c>
      <c r="AP371">
        <f t="shared" si="151"/>
        <v>1</v>
      </c>
      <c r="AQ371" s="401">
        <f>'Lab test'!AZ364</f>
        <v>1933</v>
      </c>
      <c r="AR371" t="str">
        <f>'Lab test'!AC364</f>
        <v>LTWb</v>
      </c>
      <c r="AS371" t="str">
        <f>'Lab test'!T364</f>
        <v>Aluminium</v>
      </c>
      <c r="AX371" t="e">
        <f t="shared" si="136"/>
        <v>#N/A</v>
      </c>
      <c r="AY371" t="e">
        <f t="shared" si="155"/>
        <v>#N/A</v>
      </c>
      <c r="AZ371" t="e">
        <f t="shared" si="152"/>
        <v>#N/A</v>
      </c>
      <c r="BA371" t="e">
        <f t="shared" si="152"/>
        <v>#N/A</v>
      </c>
      <c r="BB371" t="e">
        <f t="shared" si="152"/>
        <v>#N/A</v>
      </c>
      <c r="BC371" t="e">
        <f t="shared" si="152"/>
        <v>#N/A</v>
      </c>
      <c r="BD371" t="e">
        <f t="shared" si="152"/>
        <v>#N/A</v>
      </c>
      <c r="BG371" t="e">
        <f t="shared" si="137"/>
        <v>#N/A</v>
      </c>
      <c r="BH371" t="e">
        <f t="shared" si="156"/>
        <v>#N/A</v>
      </c>
      <c r="BI371" t="e">
        <f t="shared" si="153"/>
        <v>#N/A</v>
      </c>
      <c r="BJ371">
        <f t="shared" si="153"/>
        <v>72705.215656460379</v>
      </c>
      <c r="BK371" t="e">
        <f t="shared" si="153"/>
        <v>#N/A</v>
      </c>
      <c r="BL371" t="e">
        <f t="shared" si="153"/>
        <v>#N/A</v>
      </c>
      <c r="BM371" t="e">
        <f t="shared" si="153"/>
        <v>#N/A</v>
      </c>
      <c r="BP371" t="e">
        <f t="shared" si="138"/>
        <v>#N/A</v>
      </c>
      <c r="BQ371" t="e">
        <f t="shared" si="157"/>
        <v>#N/A</v>
      </c>
      <c r="BR371" t="e">
        <f t="shared" si="154"/>
        <v>#N/A</v>
      </c>
      <c r="BS371" t="e">
        <f t="shared" si="154"/>
        <v>#N/A</v>
      </c>
      <c r="BT371" t="e">
        <f t="shared" si="154"/>
        <v>#N/A</v>
      </c>
      <c r="BU371" t="e">
        <f t="shared" si="154"/>
        <v>#N/A</v>
      </c>
      <c r="BV371" t="e">
        <f t="shared" si="154"/>
        <v>#N/A</v>
      </c>
      <c r="BY371" t="e">
        <f t="shared" si="139"/>
        <v>#N/A</v>
      </c>
      <c r="BZ371" t="e">
        <v>#N/A</v>
      </c>
      <c r="CA371" t="e" cm="1">
        <f t="array" ref="CA371">IF(ISNUMBER(BZ371),AF371/COUNT(IF(ISNUMBER(_xlfn.ANCHORARRAY($BZ$11)),_xlfn.ANCHORARRAY($BZ$11))),NA())</f>
        <v>#N/A</v>
      </c>
      <c r="CB371" t="e">
        <f t="shared" si="140"/>
        <v>#N/A</v>
      </c>
      <c r="CD371" t="e">
        <f t="shared" si="141"/>
        <v>#N/A</v>
      </c>
      <c r="CE371" t="e">
        <f t="shared" si="142"/>
        <v>#N/A</v>
      </c>
      <c r="CG371" t="e">
        <v>#N/A</v>
      </c>
      <c r="CH371" t="e">
        <v>#N/A</v>
      </c>
      <c r="CL371">
        <f t="shared" si="143"/>
        <v>72705.215656460379</v>
      </c>
      <c r="CM371" t="e">
        <v>#N/A</v>
      </c>
      <c r="CN371" t="e" cm="1">
        <f t="array" ref="CN371">IF(ISNUMBER(CM371),AF371/COUNT(IF(ISNUMBER(_xlfn.ANCHORARRAY($CM$11)),_xlfn.ANCHORARRAY($CM$11))),NA())</f>
        <v>#N/A</v>
      </c>
      <c r="CO371" t="e">
        <f t="shared" si="144"/>
        <v>#N/A</v>
      </c>
      <c r="CQ371" t="e">
        <f t="shared" si="145"/>
        <v>#N/A</v>
      </c>
      <c r="CR371" t="e">
        <f t="shared" si="146"/>
        <v>#N/A</v>
      </c>
      <c r="CT371" t="e">
        <v>#N/A</v>
      </c>
      <c r="CU371" t="e">
        <v>#N/A</v>
      </c>
      <c r="CY371" t="e">
        <f t="shared" si="147"/>
        <v>#N/A</v>
      </c>
      <c r="CZ371" t="e">
        <v>#N/A</v>
      </c>
      <c r="DA371" t="e" cm="1">
        <f t="array" ref="DA371">IF(ISNUMBER(CZ371),AF371/COUNT(IF(ISNUMBER(_xlfn.ANCHORARRAY($CZ$11)),_xlfn.ANCHORARRAY($CZ$11))),NA())</f>
        <v>#N/A</v>
      </c>
      <c r="DB371" t="e">
        <f t="shared" si="148"/>
        <v>#N/A</v>
      </c>
      <c r="DD371" t="e">
        <f t="shared" si="149"/>
        <v>#N/A</v>
      </c>
      <c r="DE371" t="e">
        <f t="shared" si="150"/>
        <v>#N/A</v>
      </c>
      <c r="DG371" t="e">
        <v>#N/A</v>
      </c>
      <c r="DH371" t="e">
        <v>#N/A</v>
      </c>
    </row>
    <row r="372" spans="32:112">
      <c r="AF372">
        <v>362</v>
      </c>
      <c r="AG372" s="401">
        <f>'Lab test'!N365</f>
        <v>190.5</v>
      </c>
      <c r="AH372" s="401">
        <f>'Lab test'!M365</f>
        <v>0.28256756030720398</v>
      </c>
      <c r="AI372">
        <f>IF('Lab test'!O365&gt;0,'Lab test'!O365,NA())</f>
        <v>381</v>
      </c>
      <c r="AJ372">
        <f>'Lab test'!Q365</f>
        <v>674.17505319043255</v>
      </c>
      <c r="AK372" s="401">
        <f>IF('Lab test'!V365&gt;0,'Lab test'!V365,NA())</f>
        <v>72705.215656460379</v>
      </c>
      <c r="AL372" s="7">
        <f>IF(MAX('Lab test'!W365,'Lab test'!X365)&gt;0,MAX('Lab test'!W365,'Lab test'!X365),NA())</f>
        <v>253.72706838859571</v>
      </c>
      <c r="AM372" s="401">
        <f>IF('Lab test'!P365&gt;0,'Lab test'!P365,NA())</f>
        <v>7.7027119375654762E-2</v>
      </c>
      <c r="AN372" s="401">
        <f>IF('Lab test'!AU365&gt;0,'Lab test'!AU365,NA())</f>
        <v>0.11450494565217392</v>
      </c>
      <c r="AO372" s="401">
        <f>IF('Lab test'!AT365&gt;0,'Lab test'!AT365,NA())</f>
        <v>0.44512243200000001</v>
      </c>
      <c r="AP372">
        <f t="shared" si="151"/>
        <v>1</v>
      </c>
      <c r="AQ372" s="401">
        <f>'Lab test'!AZ365</f>
        <v>1933</v>
      </c>
      <c r="AR372" t="str">
        <f>'Lab test'!AC365</f>
        <v>LTWb</v>
      </c>
      <c r="AS372" t="str">
        <f>'Lab test'!T365</f>
        <v>Aluminium</v>
      </c>
      <c r="AX372" t="e">
        <f t="shared" si="136"/>
        <v>#N/A</v>
      </c>
      <c r="AY372" t="e">
        <f t="shared" si="155"/>
        <v>#N/A</v>
      </c>
      <c r="AZ372" t="e">
        <f t="shared" si="152"/>
        <v>#N/A</v>
      </c>
      <c r="BA372" t="e">
        <f t="shared" si="152"/>
        <v>#N/A</v>
      </c>
      <c r="BB372" t="e">
        <f t="shared" si="152"/>
        <v>#N/A</v>
      </c>
      <c r="BC372" t="e">
        <f t="shared" si="152"/>
        <v>#N/A</v>
      </c>
      <c r="BD372" t="e">
        <f t="shared" si="152"/>
        <v>#N/A</v>
      </c>
      <c r="BG372" t="e">
        <f t="shared" si="137"/>
        <v>#N/A</v>
      </c>
      <c r="BH372" t="e">
        <f t="shared" si="156"/>
        <v>#N/A</v>
      </c>
      <c r="BI372" t="e">
        <f t="shared" si="153"/>
        <v>#N/A</v>
      </c>
      <c r="BJ372">
        <f t="shared" si="153"/>
        <v>72705.215656460379</v>
      </c>
      <c r="BK372" t="e">
        <f t="shared" si="153"/>
        <v>#N/A</v>
      </c>
      <c r="BL372" t="e">
        <f t="shared" si="153"/>
        <v>#N/A</v>
      </c>
      <c r="BM372" t="e">
        <f t="shared" si="153"/>
        <v>#N/A</v>
      </c>
      <c r="BP372" t="e">
        <f t="shared" si="138"/>
        <v>#N/A</v>
      </c>
      <c r="BQ372" t="e">
        <f t="shared" si="157"/>
        <v>#N/A</v>
      </c>
      <c r="BR372" t="e">
        <f t="shared" si="154"/>
        <v>#N/A</v>
      </c>
      <c r="BS372" t="e">
        <f t="shared" si="154"/>
        <v>#N/A</v>
      </c>
      <c r="BT372" t="e">
        <f t="shared" si="154"/>
        <v>#N/A</v>
      </c>
      <c r="BU372" t="e">
        <f t="shared" si="154"/>
        <v>#N/A</v>
      </c>
      <c r="BV372" t="e">
        <f t="shared" si="154"/>
        <v>#N/A</v>
      </c>
      <c r="BY372" t="e">
        <f t="shared" si="139"/>
        <v>#N/A</v>
      </c>
      <c r="BZ372" t="e">
        <v>#N/A</v>
      </c>
      <c r="CA372" t="e" cm="1">
        <f t="array" ref="CA372">IF(ISNUMBER(BZ372),AF372/COUNT(IF(ISNUMBER(_xlfn.ANCHORARRAY($BZ$11)),_xlfn.ANCHORARRAY($BZ$11))),NA())</f>
        <v>#N/A</v>
      </c>
      <c r="CB372" t="e">
        <f t="shared" si="140"/>
        <v>#N/A</v>
      </c>
      <c r="CD372" t="e">
        <f t="shared" si="141"/>
        <v>#N/A</v>
      </c>
      <c r="CE372" t="e">
        <f t="shared" si="142"/>
        <v>#N/A</v>
      </c>
      <c r="CG372" t="e">
        <v>#N/A</v>
      </c>
      <c r="CH372" t="e">
        <v>#N/A</v>
      </c>
      <c r="CL372">
        <f t="shared" si="143"/>
        <v>72705.215656460379</v>
      </c>
      <c r="CM372" t="e">
        <v>#N/A</v>
      </c>
      <c r="CN372" t="e" cm="1">
        <f t="array" ref="CN372">IF(ISNUMBER(CM372),AF372/COUNT(IF(ISNUMBER(_xlfn.ANCHORARRAY($CM$11)),_xlfn.ANCHORARRAY($CM$11))),NA())</f>
        <v>#N/A</v>
      </c>
      <c r="CO372" t="e">
        <f t="shared" si="144"/>
        <v>#N/A</v>
      </c>
      <c r="CQ372" t="e">
        <f t="shared" si="145"/>
        <v>#N/A</v>
      </c>
      <c r="CR372" t="e">
        <f t="shared" si="146"/>
        <v>#N/A</v>
      </c>
      <c r="CT372" t="e">
        <v>#N/A</v>
      </c>
      <c r="CU372" t="e">
        <v>#N/A</v>
      </c>
      <c r="CY372" t="e">
        <f t="shared" si="147"/>
        <v>#N/A</v>
      </c>
      <c r="CZ372" t="e">
        <v>#N/A</v>
      </c>
      <c r="DA372" t="e" cm="1">
        <f t="array" ref="DA372">IF(ISNUMBER(CZ372),AF372/COUNT(IF(ISNUMBER(_xlfn.ANCHORARRAY($CZ$11)),_xlfn.ANCHORARRAY($CZ$11))),NA())</f>
        <v>#N/A</v>
      </c>
      <c r="DB372" t="e">
        <f t="shared" si="148"/>
        <v>#N/A</v>
      </c>
      <c r="DD372" t="e">
        <f t="shared" si="149"/>
        <v>#N/A</v>
      </c>
      <c r="DE372" t="e">
        <f t="shared" si="150"/>
        <v>#N/A</v>
      </c>
      <c r="DG372" t="e">
        <v>#N/A</v>
      </c>
      <c r="DH372" t="e">
        <v>#N/A</v>
      </c>
    </row>
    <row r="373" spans="32:112">
      <c r="AF373">
        <v>363</v>
      </c>
      <c r="AG373" s="401">
        <f>'Lab test'!N366</f>
        <v>190.5</v>
      </c>
      <c r="AH373" s="401">
        <f>'Lab test'!M366</f>
        <v>0.30274474528451134</v>
      </c>
      <c r="AI373">
        <f>IF('Lab test'!O366&gt;0,'Lab test'!O366,NA())</f>
        <v>381</v>
      </c>
      <c r="AJ373">
        <f>'Lab test'!Q366</f>
        <v>629.2429611651005</v>
      </c>
      <c r="AK373" s="401">
        <f>IF('Lab test'!V366&gt;0,'Lab test'!V366,NA())</f>
        <v>72705.215656460379</v>
      </c>
      <c r="AL373" s="7">
        <f>IF(MAX('Lab test'!W366,'Lab test'!X366)&gt;0,MAX('Lab test'!W366,'Lab test'!X366),NA())</f>
        <v>253.72706838859571</v>
      </c>
      <c r="AM373" s="401">
        <f>IF('Lab test'!P366&gt;0,'Lab test'!P366,NA())</f>
        <v>7.9729825318660213E-2</v>
      </c>
      <c r="AN373" s="401">
        <f>IF('Lab test'!AU366&gt;0,'Lab test'!AU366,NA())</f>
        <v>0.12852864945652173</v>
      </c>
      <c r="AO373" s="401">
        <f>IF('Lab test'!AT366&gt;0,'Lab test'!AT366,NA())</f>
        <v>0.46633806719999993</v>
      </c>
      <c r="AP373">
        <f t="shared" si="151"/>
        <v>1</v>
      </c>
      <c r="AQ373" s="401">
        <f>'Lab test'!AZ366</f>
        <v>1933</v>
      </c>
      <c r="AR373" t="str">
        <f>'Lab test'!AC366</f>
        <v>LTWb</v>
      </c>
      <c r="AS373" t="str">
        <f>'Lab test'!T366</f>
        <v>Aluminium</v>
      </c>
      <c r="AX373" t="e">
        <f t="shared" si="136"/>
        <v>#N/A</v>
      </c>
      <c r="AY373" t="e">
        <f t="shared" si="155"/>
        <v>#N/A</v>
      </c>
      <c r="AZ373" t="e">
        <f t="shared" si="152"/>
        <v>#N/A</v>
      </c>
      <c r="BA373" t="e">
        <f t="shared" si="152"/>
        <v>#N/A</v>
      </c>
      <c r="BB373" t="e">
        <f t="shared" si="152"/>
        <v>#N/A</v>
      </c>
      <c r="BC373" t="e">
        <f t="shared" si="152"/>
        <v>#N/A</v>
      </c>
      <c r="BD373" t="e">
        <f t="shared" si="152"/>
        <v>#N/A</v>
      </c>
      <c r="BG373" t="e">
        <f t="shared" si="137"/>
        <v>#N/A</v>
      </c>
      <c r="BH373" t="e">
        <f t="shared" si="156"/>
        <v>#N/A</v>
      </c>
      <c r="BI373">
        <f t="shared" si="153"/>
        <v>72705.215656460379</v>
      </c>
      <c r="BJ373" t="e">
        <f t="shared" si="153"/>
        <v>#N/A</v>
      </c>
      <c r="BK373" t="e">
        <f t="shared" si="153"/>
        <v>#N/A</v>
      </c>
      <c r="BL373" t="e">
        <f t="shared" si="153"/>
        <v>#N/A</v>
      </c>
      <c r="BM373" t="e">
        <f t="shared" si="153"/>
        <v>#N/A</v>
      </c>
      <c r="BP373" t="e">
        <f t="shared" si="138"/>
        <v>#N/A</v>
      </c>
      <c r="BQ373" t="e">
        <f t="shared" si="157"/>
        <v>#N/A</v>
      </c>
      <c r="BR373" t="e">
        <f t="shared" si="154"/>
        <v>#N/A</v>
      </c>
      <c r="BS373" t="e">
        <f t="shared" si="154"/>
        <v>#N/A</v>
      </c>
      <c r="BT373" t="e">
        <f t="shared" si="154"/>
        <v>#N/A</v>
      </c>
      <c r="BU373" t="e">
        <f t="shared" si="154"/>
        <v>#N/A</v>
      </c>
      <c r="BV373" t="e">
        <f t="shared" si="154"/>
        <v>#N/A</v>
      </c>
      <c r="BY373" t="e">
        <f t="shared" si="139"/>
        <v>#N/A</v>
      </c>
      <c r="BZ373" t="e">
        <v>#N/A</v>
      </c>
      <c r="CA373" t="e" cm="1">
        <f t="array" ref="CA373">IF(ISNUMBER(BZ373),AF373/COUNT(IF(ISNUMBER(_xlfn.ANCHORARRAY($BZ$11)),_xlfn.ANCHORARRAY($BZ$11))),NA())</f>
        <v>#N/A</v>
      </c>
      <c r="CB373" t="e">
        <f t="shared" si="140"/>
        <v>#N/A</v>
      </c>
      <c r="CD373" t="e">
        <f t="shared" si="141"/>
        <v>#N/A</v>
      </c>
      <c r="CE373" t="e">
        <f t="shared" si="142"/>
        <v>#N/A</v>
      </c>
      <c r="CG373" t="e">
        <v>#N/A</v>
      </c>
      <c r="CH373" t="e">
        <v>#N/A</v>
      </c>
      <c r="CL373">
        <f t="shared" si="143"/>
        <v>72705.215656460379</v>
      </c>
      <c r="CM373" t="e">
        <v>#N/A</v>
      </c>
      <c r="CN373" t="e" cm="1">
        <f t="array" ref="CN373">IF(ISNUMBER(CM373),AF373/COUNT(IF(ISNUMBER(_xlfn.ANCHORARRAY($CM$11)),_xlfn.ANCHORARRAY($CM$11))),NA())</f>
        <v>#N/A</v>
      </c>
      <c r="CO373" t="e">
        <f t="shared" si="144"/>
        <v>#N/A</v>
      </c>
      <c r="CQ373" t="e">
        <f t="shared" si="145"/>
        <v>#N/A</v>
      </c>
      <c r="CR373" t="e">
        <f t="shared" si="146"/>
        <v>#N/A</v>
      </c>
      <c r="CT373" t="e">
        <v>#N/A</v>
      </c>
      <c r="CU373" t="e">
        <v>#N/A</v>
      </c>
      <c r="CY373" t="e">
        <f t="shared" si="147"/>
        <v>#N/A</v>
      </c>
      <c r="CZ373" t="e">
        <v>#N/A</v>
      </c>
      <c r="DA373" t="e" cm="1">
        <f t="array" ref="DA373">IF(ISNUMBER(CZ373),AF373/COUNT(IF(ISNUMBER(_xlfn.ANCHORARRAY($CZ$11)),_xlfn.ANCHORARRAY($CZ$11))),NA())</f>
        <v>#N/A</v>
      </c>
      <c r="DB373" t="e">
        <f t="shared" si="148"/>
        <v>#N/A</v>
      </c>
      <c r="DD373" t="e">
        <f t="shared" si="149"/>
        <v>#N/A</v>
      </c>
      <c r="DE373" t="e">
        <f t="shared" si="150"/>
        <v>#N/A</v>
      </c>
      <c r="DG373" t="e">
        <v>#N/A</v>
      </c>
      <c r="DH373" t="e">
        <v>#N/A</v>
      </c>
    </row>
    <row r="374" spans="32:112">
      <c r="AF374">
        <v>364</v>
      </c>
      <c r="AG374" s="401">
        <f>'Lab test'!N367</f>
        <v>190.5</v>
      </c>
      <c r="AH374" s="401">
        <f>'Lab test'!M367</f>
        <v>0.30010645942812003</v>
      </c>
      <c r="AI374">
        <f>IF('Lab test'!O367&gt;0,'Lab test'!O367,NA())</f>
        <v>476.25</v>
      </c>
      <c r="AJ374">
        <f>'Lab test'!Q367</f>
        <v>634.77474081369314</v>
      </c>
      <c r="AK374" s="401">
        <f>IF('Lab test'!V367&gt;0,'Lab test'!V367,NA())</f>
        <v>72705.215656460379</v>
      </c>
      <c r="AL374" s="7">
        <f>IF(MAX('Lab test'!W367,'Lab test'!X367)&gt;0,MAX('Lab test'!W367,'Lab test'!X367),NA())</f>
        <v>253.72706838859571</v>
      </c>
      <c r="AM374" s="401">
        <f>IF('Lab test'!P367&gt;0,'Lab test'!P367,NA())</f>
        <v>9.922707517824525E-2</v>
      </c>
      <c r="AN374" s="401">
        <f>IF('Lab test'!AU367&gt;0,'Lab test'!AU367,NA())</f>
        <v>0.11374845652173914</v>
      </c>
      <c r="AO374" s="401">
        <f>IF('Lab test'!AT367&gt;0,'Lab test'!AT367,NA())</f>
        <v>0.41633958719999981</v>
      </c>
      <c r="AP374">
        <f t="shared" si="151"/>
        <v>1</v>
      </c>
      <c r="AQ374" s="401">
        <f>'Lab test'!AZ367</f>
        <v>1933</v>
      </c>
      <c r="AR374" t="str">
        <f>'Lab test'!AC367</f>
        <v>LTWb</v>
      </c>
      <c r="AS374" t="str">
        <f>'Lab test'!T367</f>
        <v>Aluminium</v>
      </c>
      <c r="AX374" t="e">
        <f t="shared" si="136"/>
        <v>#N/A</v>
      </c>
      <c r="AY374" t="e">
        <f t="shared" si="155"/>
        <v>#N/A</v>
      </c>
      <c r="AZ374" t="e">
        <f t="shared" si="152"/>
        <v>#N/A</v>
      </c>
      <c r="BA374" t="e">
        <f t="shared" si="152"/>
        <v>#N/A</v>
      </c>
      <c r="BB374" t="e">
        <f t="shared" si="152"/>
        <v>#N/A</v>
      </c>
      <c r="BC374" t="e">
        <f t="shared" si="152"/>
        <v>#N/A</v>
      </c>
      <c r="BD374" t="e">
        <f t="shared" si="152"/>
        <v>#N/A</v>
      </c>
      <c r="BG374" t="e">
        <f t="shared" si="137"/>
        <v>#N/A</v>
      </c>
      <c r="BH374" t="e">
        <f t="shared" si="156"/>
        <v>#N/A</v>
      </c>
      <c r="BI374">
        <f t="shared" si="153"/>
        <v>72705.215656460379</v>
      </c>
      <c r="BJ374" t="e">
        <f t="shared" si="153"/>
        <v>#N/A</v>
      </c>
      <c r="BK374" t="e">
        <f t="shared" si="153"/>
        <v>#N/A</v>
      </c>
      <c r="BL374" t="e">
        <f t="shared" si="153"/>
        <v>#N/A</v>
      </c>
      <c r="BM374" t="e">
        <f t="shared" si="153"/>
        <v>#N/A</v>
      </c>
      <c r="BP374" t="e">
        <f t="shared" si="138"/>
        <v>#N/A</v>
      </c>
      <c r="BQ374" t="e">
        <f t="shared" si="157"/>
        <v>#N/A</v>
      </c>
      <c r="BR374" t="e">
        <f t="shared" si="154"/>
        <v>#N/A</v>
      </c>
      <c r="BS374" t="e">
        <f t="shared" si="154"/>
        <v>#N/A</v>
      </c>
      <c r="BT374" t="e">
        <f t="shared" si="154"/>
        <v>#N/A</v>
      </c>
      <c r="BU374" t="e">
        <f t="shared" si="154"/>
        <v>#N/A</v>
      </c>
      <c r="BV374" t="e">
        <f t="shared" si="154"/>
        <v>#N/A</v>
      </c>
      <c r="BY374" t="e">
        <f t="shared" si="139"/>
        <v>#N/A</v>
      </c>
      <c r="BZ374" t="e">
        <v>#N/A</v>
      </c>
      <c r="CA374" t="e" cm="1">
        <f t="array" ref="CA374">IF(ISNUMBER(BZ374),AF374/COUNT(IF(ISNUMBER(_xlfn.ANCHORARRAY($BZ$11)),_xlfn.ANCHORARRAY($BZ$11))),NA())</f>
        <v>#N/A</v>
      </c>
      <c r="CB374" t="e">
        <f t="shared" si="140"/>
        <v>#N/A</v>
      </c>
      <c r="CD374" t="e">
        <f t="shared" si="141"/>
        <v>#N/A</v>
      </c>
      <c r="CE374" t="e">
        <f t="shared" si="142"/>
        <v>#N/A</v>
      </c>
      <c r="CG374" t="e">
        <v>#N/A</v>
      </c>
      <c r="CH374" t="e">
        <v>#N/A</v>
      </c>
      <c r="CL374">
        <f t="shared" si="143"/>
        <v>72705.215656460379</v>
      </c>
      <c r="CM374" t="e">
        <v>#N/A</v>
      </c>
      <c r="CN374" t="e" cm="1">
        <f t="array" ref="CN374">IF(ISNUMBER(CM374),AF374/COUNT(IF(ISNUMBER(_xlfn.ANCHORARRAY($CM$11)),_xlfn.ANCHORARRAY($CM$11))),NA())</f>
        <v>#N/A</v>
      </c>
      <c r="CO374" t="e">
        <f t="shared" si="144"/>
        <v>#N/A</v>
      </c>
      <c r="CQ374" t="e">
        <f t="shared" si="145"/>
        <v>#N/A</v>
      </c>
      <c r="CR374" t="e">
        <f t="shared" si="146"/>
        <v>#N/A</v>
      </c>
      <c r="CT374" t="e">
        <v>#N/A</v>
      </c>
      <c r="CU374" t="e">
        <v>#N/A</v>
      </c>
      <c r="CY374" t="e">
        <f t="shared" si="147"/>
        <v>#N/A</v>
      </c>
      <c r="CZ374" t="e">
        <v>#N/A</v>
      </c>
      <c r="DA374" t="e" cm="1">
        <f t="array" ref="DA374">IF(ISNUMBER(CZ374),AF374/COUNT(IF(ISNUMBER(_xlfn.ANCHORARRAY($CZ$11)),_xlfn.ANCHORARRAY($CZ$11))),NA())</f>
        <v>#N/A</v>
      </c>
      <c r="DB374" t="e">
        <f t="shared" si="148"/>
        <v>#N/A</v>
      </c>
      <c r="DD374" t="e">
        <f t="shared" si="149"/>
        <v>#N/A</v>
      </c>
      <c r="DE374" t="e">
        <f t="shared" si="150"/>
        <v>#N/A</v>
      </c>
      <c r="DG374" t="e">
        <v>#N/A</v>
      </c>
      <c r="DH374" t="e">
        <v>#N/A</v>
      </c>
    </row>
    <row r="375" spans="32:112">
      <c r="AF375">
        <v>365</v>
      </c>
      <c r="AG375" s="401">
        <f>'Lab test'!N368</f>
        <v>190.5</v>
      </c>
      <c r="AH375" s="401">
        <f>'Lab test'!M368</f>
        <v>0.29239526677448796</v>
      </c>
      <c r="AI375">
        <f>IF('Lab test'!O368&gt;0,'Lab test'!O368,NA())</f>
        <v>476.25</v>
      </c>
      <c r="AJ375">
        <f>'Lab test'!Q368</f>
        <v>651.51533436731233</v>
      </c>
      <c r="AK375" s="401">
        <f>IF('Lab test'!V368&gt;0,'Lab test'!V368,NA())</f>
        <v>72705.215656460379</v>
      </c>
      <c r="AL375" s="7">
        <f>IF(MAX('Lab test'!W368,'Lab test'!X368)&gt;0,MAX('Lab test'!W368,'Lab test'!X368),NA())</f>
        <v>253.72706838859571</v>
      </c>
      <c r="AM375" s="401">
        <f>IF('Lab test'!P368&gt;0,'Lab test'!P368,NA())</f>
        <v>9.7943966447492078E-2</v>
      </c>
      <c r="AN375" s="401">
        <f>IF('Lab test'!AU368&gt;0,'Lab test'!AU368,NA())</f>
        <v>0.13028519429347829</v>
      </c>
      <c r="AO375" s="401">
        <f>IF('Lab test'!AT368&gt;0,'Lab test'!AT368,NA())</f>
        <v>0.48944316159999995</v>
      </c>
      <c r="AP375">
        <f t="shared" si="151"/>
        <v>1</v>
      </c>
      <c r="AQ375" s="401">
        <f>'Lab test'!AZ368</f>
        <v>1933</v>
      </c>
      <c r="AR375" t="str">
        <f>'Lab test'!AC368</f>
        <v>LTWb</v>
      </c>
      <c r="AS375" t="str">
        <f>'Lab test'!T368</f>
        <v>Aluminium</v>
      </c>
      <c r="AX375" t="e">
        <f t="shared" si="136"/>
        <v>#N/A</v>
      </c>
      <c r="AY375" t="e">
        <f t="shared" si="155"/>
        <v>#N/A</v>
      </c>
      <c r="AZ375" t="e">
        <f t="shared" si="152"/>
        <v>#N/A</v>
      </c>
      <c r="BA375" t="e">
        <f t="shared" si="152"/>
        <v>#N/A</v>
      </c>
      <c r="BB375" t="e">
        <f t="shared" si="152"/>
        <v>#N/A</v>
      </c>
      <c r="BC375" t="e">
        <f t="shared" si="152"/>
        <v>#N/A</v>
      </c>
      <c r="BD375" t="e">
        <f t="shared" si="152"/>
        <v>#N/A</v>
      </c>
      <c r="BG375" t="e">
        <f t="shared" si="137"/>
        <v>#N/A</v>
      </c>
      <c r="BH375" t="e">
        <f t="shared" si="156"/>
        <v>#N/A</v>
      </c>
      <c r="BI375" t="e">
        <f t="shared" si="153"/>
        <v>#N/A</v>
      </c>
      <c r="BJ375">
        <f t="shared" si="153"/>
        <v>72705.215656460379</v>
      </c>
      <c r="BK375" t="e">
        <f t="shared" si="153"/>
        <v>#N/A</v>
      </c>
      <c r="BL375" t="e">
        <f t="shared" si="153"/>
        <v>#N/A</v>
      </c>
      <c r="BM375" t="e">
        <f t="shared" si="153"/>
        <v>#N/A</v>
      </c>
      <c r="BP375" t="e">
        <f t="shared" si="138"/>
        <v>#N/A</v>
      </c>
      <c r="BQ375" t="e">
        <f t="shared" si="157"/>
        <v>#N/A</v>
      </c>
      <c r="BR375" t="e">
        <f t="shared" si="154"/>
        <v>#N/A</v>
      </c>
      <c r="BS375" t="e">
        <f t="shared" si="154"/>
        <v>#N/A</v>
      </c>
      <c r="BT375" t="e">
        <f t="shared" si="154"/>
        <v>#N/A</v>
      </c>
      <c r="BU375" t="e">
        <f t="shared" si="154"/>
        <v>#N/A</v>
      </c>
      <c r="BV375" t="e">
        <f t="shared" si="154"/>
        <v>#N/A</v>
      </c>
      <c r="BY375" t="e">
        <f t="shared" si="139"/>
        <v>#N/A</v>
      </c>
      <c r="BZ375" t="e">
        <v>#N/A</v>
      </c>
      <c r="CA375" t="e" cm="1">
        <f t="array" ref="CA375">IF(ISNUMBER(BZ375),AF375/COUNT(IF(ISNUMBER(_xlfn.ANCHORARRAY($BZ$11)),_xlfn.ANCHORARRAY($BZ$11))),NA())</f>
        <v>#N/A</v>
      </c>
      <c r="CB375" t="e">
        <f t="shared" si="140"/>
        <v>#N/A</v>
      </c>
      <c r="CD375" t="e">
        <f t="shared" si="141"/>
        <v>#N/A</v>
      </c>
      <c r="CE375" t="e">
        <f t="shared" si="142"/>
        <v>#N/A</v>
      </c>
      <c r="CG375" t="e">
        <v>#N/A</v>
      </c>
      <c r="CH375" t="e">
        <v>#N/A</v>
      </c>
      <c r="CL375">
        <f t="shared" si="143"/>
        <v>72705.215656460379</v>
      </c>
      <c r="CM375" t="e">
        <v>#N/A</v>
      </c>
      <c r="CN375" t="e" cm="1">
        <f t="array" ref="CN375">IF(ISNUMBER(CM375),AF375/COUNT(IF(ISNUMBER(_xlfn.ANCHORARRAY($CM$11)),_xlfn.ANCHORARRAY($CM$11))),NA())</f>
        <v>#N/A</v>
      </c>
      <c r="CO375" t="e">
        <f t="shared" si="144"/>
        <v>#N/A</v>
      </c>
      <c r="CQ375" t="e">
        <f t="shared" si="145"/>
        <v>#N/A</v>
      </c>
      <c r="CR375" t="e">
        <f t="shared" si="146"/>
        <v>#N/A</v>
      </c>
      <c r="CT375" t="e">
        <v>#N/A</v>
      </c>
      <c r="CU375" t="e">
        <v>#N/A</v>
      </c>
      <c r="CY375" t="e">
        <f t="shared" si="147"/>
        <v>#N/A</v>
      </c>
      <c r="CZ375" t="e">
        <v>#N/A</v>
      </c>
      <c r="DA375" t="e" cm="1">
        <f t="array" ref="DA375">IF(ISNUMBER(CZ375),AF375/COUNT(IF(ISNUMBER(_xlfn.ANCHORARRAY($CZ$11)),_xlfn.ANCHORARRAY($CZ$11))),NA())</f>
        <v>#N/A</v>
      </c>
      <c r="DB375" t="e">
        <f t="shared" si="148"/>
        <v>#N/A</v>
      </c>
      <c r="DD375" t="e">
        <f t="shared" si="149"/>
        <v>#N/A</v>
      </c>
      <c r="DE375" t="e">
        <f t="shared" si="150"/>
        <v>#N/A</v>
      </c>
      <c r="DG375" t="e">
        <v>#N/A</v>
      </c>
      <c r="DH375" t="e">
        <v>#N/A</v>
      </c>
    </row>
    <row r="376" spans="32:112">
      <c r="AF376">
        <v>366</v>
      </c>
      <c r="AG376" s="401">
        <f>'Lab test'!N369</f>
        <v>190.5</v>
      </c>
      <c r="AH376" s="401">
        <f>'Lab test'!M369</f>
        <v>0.2975025111317588</v>
      </c>
      <c r="AI376">
        <f>IF('Lab test'!O369&gt;0,'Lab test'!O369,NA())</f>
        <v>571.5</v>
      </c>
      <c r="AJ376">
        <f>'Lab test'!Q369</f>
        <v>640.33072956359285</v>
      </c>
      <c r="AK376" s="401">
        <f>IF('Lab test'!V369&gt;0,'Lab test'!V369,NA())</f>
        <v>72705.215656460379</v>
      </c>
      <c r="AL376" s="7">
        <f>IF(MAX('Lab test'!W369,'Lab test'!X369)&gt;0,MAX('Lab test'!W369,'Lab test'!X369),NA())</f>
        <v>253.72706838859571</v>
      </c>
      <c r="AM376" s="401">
        <f>IF('Lab test'!P369&gt;0,'Lab test'!P369,NA())</f>
        <v>0.11855478373470343</v>
      </c>
      <c r="AN376" s="401">
        <f>IF('Lab test'!AU369&gt;0,'Lab test'!AU369,NA())</f>
        <v>0.1384919551630435</v>
      </c>
      <c r="AO376" s="401">
        <f>IF('Lab test'!AT369&gt;0,'Lab test'!AT369,NA())</f>
        <v>0.51134197999999986</v>
      </c>
      <c r="AP376">
        <f t="shared" si="151"/>
        <v>1</v>
      </c>
      <c r="AQ376" s="401">
        <f>'Lab test'!AZ369</f>
        <v>1933</v>
      </c>
      <c r="AR376" t="str">
        <f>'Lab test'!AC369</f>
        <v>LTWb</v>
      </c>
      <c r="AS376" t="str">
        <f>'Lab test'!T369</f>
        <v>Aluminium</v>
      </c>
      <c r="AX376" t="e">
        <f t="shared" si="136"/>
        <v>#N/A</v>
      </c>
      <c r="AY376" t="e">
        <f t="shared" si="155"/>
        <v>#N/A</v>
      </c>
      <c r="AZ376" t="e">
        <f t="shared" si="152"/>
        <v>#N/A</v>
      </c>
      <c r="BA376" t="e">
        <f t="shared" si="152"/>
        <v>#N/A</v>
      </c>
      <c r="BB376" t="e">
        <f t="shared" si="152"/>
        <v>#N/A</v>
      </c>
      <c r="BC376" t="e">
        <f t="shared" si="152"/>
        <v>#N/A</v>
      </c>
      <c r="BD376" t="e">
        <f t="shared" si="152"/>
        <v>#N/A</v>
      </c>
      <c r="BG376" t="e">
        <f t="shared" si="137"/>
        <v>#N/A</v>
      </c>
      <c r="BH376" t="e">
        <f t="shared" si="156"/>
        <v>#N/A</v>
      </c>
      <c r="BI376">
        <f t="shared" si="153"/>
        <v>72705.215656460379</v>
      </c>
      <c r="BJ376" t="e">
        <f t="shared" si="153"/>
        <v>#N/A</v>
      </c>
      <c r="BK376" t="e">
        <f t="shared" si="153"/>
        <v>#N/A</v>
      </c>
      <c r="BL376" t="e">
        <f t="shared" si="153"/>
        <v>#N/A</v>
      </c>
      <c r="BM376" t="e">
        <f t="shared" si="153"/>
        <v>#N/A</v>
      </c>
      <c r="BP376" t="e">
        <f t="shared" si="138"/>
        <v>#N/A</v>
      </c>
      <c r="BQ376" t="e">
        <f t="shared" si="157"/>
        <v>#N/A</v>
      </c>
      <c r="BR376" t="e">
        <f t="shared" si="154"/>
        <v>#N/A</v>
      </c>
      <c r="BS376" t="e">
        <f t="shared" si="154"/>
        <v>#N/A</v>
      </c>
      <c r="BT376" t="e">
        <f t="shared" si="154"/>
        <v>#N/A</v>
      </c>
      <c r="BU376" t="e">
        <f t="shared" si="154"/>
        <v>#N/A</v>
      </c>
      <c r="BV376" t="e">
        <f t="shared" si="154"/>
        <v>#N/A</v>
      </c>
      <c r="BY376" t="e">
        <f t="shared" si="139"/>
        <v>#N/A</v>
      </c>
      <c r="BZ376" t="e">
        <v>#N/A</v>
      </c>
      <c r="CA376" t="e" cm="1">
        <f t="array" ref="CA376">IF(ISNUMBER(BZ376),AF376/COUNT(IF(ISNUMBER(_xlfn.ANCHORARRAY($BZ$11)),_xlfn.ANCHORARRAY($BZ$11))),NA())</f>
        <v>#N/A</v>
      </c>
      <c r="CB376" t="e">
        <f t="shared" si="140"/>
        <v>#N/A</v>
      </c>
      <c r="CD376" t="e">
        <f t="shared" si="141"/>
        <v>#N/A</v>
      </c>
      <c r="CE376" t="e">
        <f t="shared" si="142"/>
        <v>#N/A</v>
      </c>
      <c r="CG376" t="e">
        <v>#N/A</v>
      </c>
      <c r="CH376" t="e">
        <v>#N/A</v>
      </c>
      <c r="CL376">
        <f t="shared" si="143"/>
        <v>72705.215656460379</v>
      </c>
      <c r="CM376" t="e">
        <v>#N/A</v>
      </c>
      <c r="CN376" t="e" cm="1">
        <f t="array" ref="CN376">IF(ISNUMBER(CM376),AF376/COUNT(IF(ISNUMBER(_xlfn.ANCHORARRAY($CM$11)),_xlfn.ANCHORARRAY($CM$11))),NA())</f>
        <v>#N/A</v>
      </c>
      <c r="CO376" t="e">
        <f t="shared" si="144"/>
        <v>#N/A</v>
      </c>
      <c r="CQ376" t="e">
        <f t="shared" si="145"/>
        <v>#N/A</v>
      </c>
      <c r="CR376" t="e">
        <f t="shared" si="146"/>
        <v>#N/A</v>
      </c>
      <c r="CT376" t="e">
        <v>#N/A</v>
      </c>
      <c r="CU376" t="e">
        <v>#N/A</v>
      </c>
      <c r="CY376" t="e">
        <f t="shared" si="147"/>
        <v>#N/A</v>
      </c>
      <c r="CZ376" t="e">
        <v>#N/A</v>
      </c>
      <c r="DA376" t="e" cm="1">
        <f t="array" ref="DA376">IF(ISNUMBER(CZ376),AF376/COUNT(IF(ISNUMBER(_xlfn.ANCHORARRAY($CZ$11)),_xlfn.ANCHORARRAY($CZ$11))),NA())</f>
        <v>#N/A</v>
      </c>
      <c r="DB376" t="e">
        <f t="shared" si="148"/>
        <v>#N/A</v>
      </c>
      <c r="DD376" t="e">
        <f t="shared" si="149"/>
        <v>#N/A</v>
      </c>
      <c r="DE376" t="e">
        <f t="shared" si="150"/>
        <v>#N/A</v>
      </c>
      <c r="DG376" t="e">
        <v>#N/A</v>
      </c>
      <c r="DH376" t="e">
        <v>#N/A</v>
      </c>
    </row>
    <row r="377" spans="32:112">
      <c r="AF377">
        <v>367</v>
      </c>
      <c r="AG377" s="401">
        <f>'Lab test'!N370</f>
        <v>190.5</v>
      </c>
      <c r="AH377" s="401">
        <f>'Lab test'!M370</f>
        <v>0.41388252041735801</v>
      </c>
      <c r="AI377">
        <f>IF('Lab test'!O370&gt;0,'Lab test'!O370,NA())</f>
        <v>190.5</v>
      </c>
      <c r="AJ377">
        <f>'Lab test'!Q370</f>
        <v>460.27553859462421</v>
      </c>
      <c r="AK377" s="401">
        <f>IF('Lab test'!V370&gt;0,'Lab test'!V370,NA())</f>
        <v>71412.448663991308</v>
      </c>
      <c r="AL377" s="7">
        <f>IF(MAX('Lab test'!W370,'Lab test'!X370)&gt;0,MAX('Lab test'!W370,'Lab test'!X370),NA())</f>
        <v>249.76258294502389</v>
      </c>
      <c r="AM377" s="401">
        <f>IF('Lab test'!P370&gt;0,'Lab test'!P370,NA())</f>
        <v>4.6611282493985967E-2</v>
      </c>
      <c r="AN377" s="401">
        <f>IF('Lab test'!AU370&gt;0,'Lab test'!AU370,NA())</f>
        <v>0.20765322153209109</v>
      </c>
      <c r="AO377" s="401">
        <f>IF('Lab test'!AT370&gt;0,'Lab test'!AT370,NA())</f>
        <v>0.55232072999999982</v>
      </c>
      <c r="AP377">
        <f t="shared" si="151"/>
        <v>1</v>
      </c>
      <c r="AQ377" s="401">
        <f>'Lab test'!AZ370</f>
        <v>1933</v>
      </c>
      <c r="AR377" t="str">
        <f>'Lab test'!AC370</f>
        <v>LTWb</v>
      </c>
      <c r="AS377" t="str">
        <f>'Lab test'!T370</f>
        <v>Aluminium</v>
      </c>
      <c r="AX377" t="e">
        <f t="shared" si="136"/>
        <v>#N/A</v>
      </c>
      <c r="AY377" t="e">
        <f t="shared" si="155"/>
        <v>#N/A</v>
      </c>
      <c r="AZ377" t="e">
        <f t="shared" si="152"/>
        <v>#N/A</v>
      </c>
      <c r="BA377" t="e">
        <f t="shared" si="152"/>
        <v>#N/A</v>
      </c>
      <c r="BB377" t="e">
        <f t="shared" si="152"/>
        <v>#N/A</v>
      </c>
      <c r="BC377" t="e">
        <f t="shared" si="152"/>
        <v>#N/A</v>
      </c>
      <c r="BD377" t="e">
        <f t="shared" si="152"/>
        <v>#N/A</v>
      </c>
      <c r="BG377" t="e">
        <f t="shared" si="137"/>
        <v>#N/A</v>
      </c>
      <c r="BH377" t="e">
        <f t="shared" si="156"/>
        <v>#N/A</v>
      </c>
      <c r="BI377">
        <f t="shared" si="153"/>
        <v>71412.448663991308</v>
      </c>
      <c r="BJ377" t="e">
        <f t="shared" si="153"/>
        <v>#N/A</v>
      </c>
      <c r="BK377" t="e">
        <f t="shared" si="153"/>
        <v>#N/A</v>
      </c>
      <c r="BL377" t="e">
        <f t="shared" si="153"/>
        <v>#N/A</v>
      </c>
      <c r="BM377" t="e">
        <f t="shared" si="153"/>
        <v>#N/A</v>
      </c>
      <c r="BP377" t="e">
        <f t="shared" si="138"/>
        <v>#N/A</v>
      </c>
      <c r="BQ377" t="e">
        <f t="shared" si="157"/>
        <v>#N/A</v>
      </c>
      <c r="BR377" t="e">
        <f t="shared" si="154"/>
        <v>#N/A</v>
      </c>
      <c r="BS377" t="e">
        <f t="shared" si="154"/>
        <v>#N/A</v>
      </c>
      <c r="BT377" t="e">
        <f t="shared" si="154"/>
        <v>#N/A</v>
      </c>
      <c r="BU377" t="e">
        <f t="shared" si="154"/>
        <v>#N/A</v>
      </c>
      <c r="BV377" t="e">
        <f t="shared" si="154"/>
        <v>#N/A</v>
      </c>
      <c r="BY377" t="e">
        <f t="shared" si="139"/>
        <v>#N/A</v>
      </c>
      <c r="BZ377" t="e">
        <v>#N/A</v>
      </c>
      <c r="CA377" t="e" cm="1">
        <f t="array" ref="CA377">IF(ISNUMBER(BZ377),AF377/COUNT(IF(ISNUMBER(_xlfn.ANCHORARRAY($BZ$11)),_xlfn.ANCHORARRAY($BZ$11))),NA())</f>
        <v>#N/A</v>
      </c>
      <c r="CB377" t="e">
        <f t="shared" si="140"/>
        <v>#N/A</v>
      </c>
      <c r="CD377" t="e">
        <f t="shared" si="141"/>
        <v>#N/A</v>
      </c>
      <c r="CE377" t="e">
        <f t="shared" si="142"/>
        <v>#N/A</v>
      </c>
      <c r="CG377" t="e">
        <v>#N/A</v>
      </c>
      <c r="CH377" t="e">
        <v>#N/A</v>
      </c>
      <c r="CL377">
        <f t="shared" si="143"/>
        <v>71412.448663991308</v>
      </c>
      <c r="CM377" t="e">
        <v>#N/A</v>
      </c>
      <c r="CN377" t="e" cm="1">
        <f t="array" ref="CN377">IF(ISNUMBER(CM377),AF377/COUNT(IF(ISNUMBER(_xlfn.ANCHORARRAY($CM$11)),_xlfn.ANCHORARRAY($CM$11))),NA())</f>
        <v>#N/A</v>
      </c>
      <c r="CO377" t="e">
        <f t="shared" si="144"/>
        <v>#N/A</v>
      </c>
      <c r="CQ377" t="e">
        <f t="shared" si="145"/>
        <v>#N/A</v>
      </c>
      <c r="CR377" t="e">
        <f t="shared" si="146"/>
        <v>#N/A</v>
      </c>
      <c r="CT377" t="e">
        <v>#N/A</v>
      </c>
      <c r="CU377" t="e">
        <v>#N/A</v>
      </c>
      <c r="CY377" t="e">
        <f t="shared" si="147"/>
        <v>#N/A</v>
      </c>
      <c r="CZ377" t="e">
        <v>#N/A</v>
      </c>
      <c r="DA377" t="e" cm="1">
        <f t="array" ref="DA377">IF(ISNUMBER(CZ377),AF377/COUNT(IF(ISNUMBER(_xlfn.ANCHORARRAY($CZ$11)),_xlfn.ANCHORARRAY($CZ$11))),NA())</f>
        <v>#N/A</v>
      </c>
      <c r="DB377" t="e">
        <f t="shared" si="148"/>
        <v>#N/A</v>
      </c>
      <c r="DD377" t="e">
        <f t="shared" si="149"/>
        <v>#N/A</v>
      </c>
      <c r="DE377" t="e">
        <f t="shared" si="150"/>
        <v>#N/A</v>
      </c>
      <c r="DG377" t="e">
        <v>#N/A</v>
      </c>
      <c r="DH377" t="e">
        <v>#N/A</v>
      </c>
    </row>
    <row r="378" spans="32:112">
      <c r="AF378">
        <v>368</v>
      </c>
      <c r="AG378" s="401">
        <f>'Lab test'!N371</f>
        <v>190.5</v>
      </c>
      <c r="AH378" s="401">
        <f>'Lab test'!M371</f>
        <v>0.41388252041735801</v>
      </c>
      <c r="AI378">
        <f>IF('Lab test'!O371&gt;0,'Lab test'!O371,NA())</f>
        <v>190.5</v>
      </c>
      <c r="AJ378">
        <f>'Lab test'!Q371</f>
        <v>460.27553859462421</v>
      </c>
      <c r="AK378" s="401">
        <f>IF('Lab test'!V371&gt;0,'Lab test'!V371,NA())</f>
        <v>71412.448663991308</v>
      </c>
      <c r="AL378" s="7">
        <f>IF(MAX('Lab test'!W371,'Lab test'!X371)&gt;0,MAX('Lab test'!W371,'Lab test'!X371),NA())</f>
        <v>249.76258294502389</v>
      </c>
      <c r="AM378" s="401">
        <f>IF('Lab test'!P371&gt;0,'Lab test'!P371,NA())</f>
        <v>4.6611282493985967E-2</v>
      </c>
      <c r="AN378" s="401">
        <f>IF('Lab test'!AU371&gt;0,'Lab test'!AU371,NA())</f>
        <v>0.19011652298136647</v>
      </c>
      <c r="AO378" s="401">
        <f>IF('Lab test'!AT371&gt;0,'Lab test'!AT371,NA())</f>
        <v>0.50567622299999992</v>
      </c>
      <c r="AP378">
        <f t="shared" si="151"/>
        <v>1</v>
      </c>
      <c r="AQ378" s="401">
        <f>'Lab test'!AZ371</f>
        <v>1933</v>
      </c>
      <c r="AR378" t="str">
        <f>'Lab test'!AC371</f>
        <v>LTWb</v>
      </c>
      <c r="AS378" t="str">
        <f>'Lab test'!T371</f>
        <v>Aluminium</v>
      </c>
      <c r="AX378" t="e">
        <f t="shared" si="136"/>
        <v>#N/A</v>
      </c>
      <c r="AY378" t="e">
        <f t="shared" si="155"/>
        <v>#N/A</v>
      </c>
      <c r="AZ378" t="e">
        <f t="shared" si="152"/>
        <v>#N/A</v>
      </c>
      <c r="BA378" t="e">
        <f t="shared" si="152"/>
        <v>#N/A</v>
      </c>
      <c r="BB378" t="e">
        <f t="shared" si="152"/>
        <v>#N/A</v>
      </c>
      <c r="BC378" t="e">
        <f t="shared" si="152"/>
        <v>#N/A</v>
      </c>
      <c r="BD378" t="e">
        <f t="shared" si="152"/>
        <v>#N/A</v>
      </c>
      <c r="BG378" t="e">
        <f t="shared" si="137"/>
        <v>#N/A</v>
      </c>
      <c r="BH378" t="e">
        <f t="shared" si="156"/>
        <v>#N/A</v>
      </c>
      <c r="BI378">
        <f t="shared" si="153"/>
        <v>71412.448663991308</v>
      </c>
      <c r="BJ378" t="e">
        <f t="shared" si="153"/>
        <v>#N/A</v>
      </c>
      <c r="BK378" t="e">
        <f t="shared" si="153"/>
        <v>#N/A</v>
      </c>
      <c r="BL378" t="e">
        <f t="shared" si="153"/>
        <v>#N/A</v>
      </c>
      <c r="BM378" t="e">
        <f t="shared" si="153"/>
        <v>#N/A</v>
      </c>
      <c r="BP378" t="e">
        <f t="shared" si="138"/>
        <v>#N/A</v>
      </c>
      <c r="BQ378" t="e">
        <f t="shared" si="157"/>
        <v>#N/A</v>
      </c>
      <c r="BR378" t="e">
        <f t="shared" si="154"/>
        <v>#N/A</v>
      </c>
      <c r="BS378" t="e">
        <f t="shared" si="154"/>
        <v>#N/A</v>
      </c>
      <c r="BT378" t="e">
        <f t="shared" si="154"/>
        <v>#N/A</v>
      </c>
      <c r="BU378" t="e">
        <f t="shared" si="154"/>
        <v>#N/A</v>
      </c>
      <c r="BV378" t="e">
        <f t="shared" si="154"/>
        <v>#N/A</v>
      </c>
      <c r="BY378" t="e">
        <f t="shared" si="139"/>
        <v>#N/A</v>
      </c>
      <c r="BZ378" t="e">
        <v>#N/A</v>
      </c>
      <c r="CA378" t="e" cm="1">
        <f t="array" ref="CA378">IF(ISNUMBER(BZ378),AF378/COUNT(IF(ISNUMBER(_xlfn.ANCHORARRAY($BZ$11)),_xlfn.ANCHORARRAY($BZ$11))),NA())</f>
        <v>#N/A</v>
      </c>
      <c r="CB378" t="e">
        <f t="shared" si="140"/>
        <v>#N/A</v>
      </c>
      <c r="CD378" t="e">
        <f t="shared" si="141"/>
        <v>#N/A</v>
      </c>
      <c r="CE378" t="e">
        <f t="shared" si="142"/>
        <v>#N/A</v>
      </c>
      <c r="CG378" t="e">
        <v>#N/A</v>
      </c>
      <c r="CH378" t="e">
        <v>#N/A</v>
      </c>
      <c r="CL378">
        <f t="shared" si="143"/>
        <v>71412.448663991308</v>
      </c>
      <c r="CM378" t="e">
        <v>#N/A</v>
      </c>
      <c r="CN378" t="e" cm="1">
        <f t="array" ref="CN378">IF(ISNUMBER(CM378),AF378/COUNT(IF(ISNUMBER(_xlfn.ANCHORARRAY($CM$11)),_xlfn.ANCHORARRAY($CM$11))),NA())</f>
        <v>#N/A</v>
      </c>
      <c r="CO378" t="e">
        <f t="shared" si="144"/>
        <v>#N/A</v>
      </c>
      <c r="CQ378" t="e">
        <f t="shared" si="145"/>
        <v>#N/A</v>
      </c>
      <c r="CR378" t="e">
        <f t="shared" si="146"/>
        <v>#N/A</v>
      </c>
      <c r="CT378" t="e">
        <v>#N/A</v>
      </c>
      <c r="CU378" t="e">
        <v>#N/A</v>
      </c>
      <c r="CY378" t="e">
        <f t="shared" si="147"/>
        <v>#N/A</v>
      </c>
      <c r="CZ378" t="e">
        <v>#N/A</v>
      </c>
      <c r="DA378" t="e" cm="1">
        <f t="array" ref="DA378">IF(ISNUMBER(CZ378),AF378/COUNT(IF(ISNUMBER(_xlfn.ANCHORARRAY($CZ$11)),_xlfn.ANCHORARRAY($CZ$11))),NA())</f>
        <v>#N/A</v>
      </c>
      <c r="DB378" t="e">
        <f t="shared" si="148"/>
        <v>#N/A</v>
      </c>
      <c r="DD378" t="e">
        <f t="shared" si="149"/>
        <v>#N/A</v>
      </c>
      <c r="DE378" t="e">
        <f t="shared" si="150"/>
        <v>#N/A</v>
      </c>
      <c r="DG378" t="e">
        <v>#N/A</v>
      </c>
      <c r="DH378" t="e">
        <v>#N/A</v>
      </c>
    </row>
    <row r="379" spans="32:112">
      <c r="AF379">
        <v>369</v>
      </c>
      <c r="AG379" s="401">
        <f>'Lab test'!N372</f>
        <v>190.5</v>
      </c>
      <c r="AH379" s="401">
        <f>'Lab test'!M372</f>
        <v>0.41388252041735801</v>
      </c>
      <c r="AI379">
        <f>IF('Lab test'!O372&gt;0,'Lab test'!O372,NA())</f>
        <v>190.5</v>
      </c>
      <c r="AJ379">
        <f>'Lab test'!Q372</f>
        <v>460.27553859462421</v>
      </c>
      <c r="AK379" s="401">
        <f>IF('Lab test'!V372&gt;0,'Lab test'!V372,NA())</f>
        <v>71412.448663991308</v>
      </c>
      <c r="AL379" s="7">
        <f>IF(MAX('Lab test'!W372,'Lab test'!X372)&gt;0,MAX('Lab test'!W372,'Lab test'!X372),NA())</f>
        <v>249.76258294502389</v>
      </c>
      <c r="AM379" s="401">
        <f>IF('Lab test'!P372&gt;0,'Lab test'!P372,NA())</f>
        <v>4.6611282493985967E-2</v>
      </c>
      <c r="AN379" s="401">
        <f>IF('Lab test'!AU372&gt;0,'Lab test'!AU372,NA())</f>
        <v>0.16597732919254657</v>
      </c>
      <c r="AO379" s="401">
        <f>IF('Lab test'!AT372&gt;0,'Lab test'!AT372,NA())</f>
        <v>0.44147024999999984</v>
      </c>
      <c r="AP379">
        <f t="shared" si="151"/>
        <v>1</v>
      </c>
      <c r="AQ379" s="401">
        <f>'Lab test'!AZ372</f>
        <v>1933</v>
      </c>
      <c r="AR379" t="str">
        <f>'Lab test'!AC372</f>
        <v>LTWb</v>
      </c>
      <c r="AS379" t="str">
        <f>'Lab test'!T372</f>
        <v>Aluminium</v>
      </c>
      <c r="AX379" t="e">
        <f t="shared" si="136"/>
        <v>#N/A</v>
      </c>
      <c r="AY379" t="e">
        <f t="shared" si="155"/>
        <v>#N/A</v>
      </c>
      <c r="AZ379" t="e">
        <f t="shared" si="152"/>
        <v>#N/A</v>
      </c>
      <c r="BA379" t="e">
        <f t="shared" si="152"/>
        <v>#N/A</v>
      </c>
      <c r="BB379" t="e">
        <f t="shared" si="152"/>
        <v>#N/A</v>
      </c>
      <c r="BC379" t="e">
        <f t="shared" si="152"/>
        <v>#N/A</v>
      </c>
      <c r="BD379" t="e">
        <f t="shared" si="152"/>
        <v>#N/A</v>
      </c>
      <c r="BG379" t="e">
        <f t="shared" si="137"/>
        <v>#N/A</v>
      </c>
      <c r="BH379" t="e">
        <f t="shared" si="156"/>
        <v>#N/A</v>
      </c>
      <c r="BI379">
        <f t="shared" si="153"/>
        <v>71412.448663991308</v>
      </c>
      <c r="BJ379" t="e">
        <f t="shared" si="153"/>
        <v>#N/A</v>
      </c>
      <c r="BK379" t="e">
        <f t="shared" si="153"/>
        <v>#N/A</v>
      </c>
      <c r="BL379" t="e">
        <f t="shared" si="153"/>
        <v>#N/A</v>
      </c>
      <c r="BM379" t="e">
        <f t="shared" si="153"/>
        <v>#N/A</v>
      </c>
      <c r="BP379" t="e">
        <f t="shared" si="138"/>
        <v>#N/A</v>
      </c>
      <c r="BQ379" t="e">
        <f t="shared" si="157"/>
        <v>#N/A</v>
      </c>
      <c r="BR379" t="e">
        <f t="shared" si="154"/>
        <v>#N/A</v>
      </c>
      <c r="BS379" t="e">
        <f t="shared" si="154"/>
        <v>#N/A</v>
      </c>
      <c r="BT379" t="e">
        <f t="shared" si="154"/>
        <v>#N/A</v>
      </c>
      <c r="BU379" t="e">
        <f t="shared" si="154"/>
        <v>#N/A</v>
      </c>
      <c r="BV379" t="e">
        <f t="shared" si="154"/>
        <v>#N/A</v>
      </c>
      <c r="BY379" t="e">
        <f t="shared" si="139"/>
        <v>#N/A</v>
      </c>
      <c r="BZ379" t="e">
        <v>#N/A</v>
      </c>
      <c r="CA379" t="e" cm="1">
        <f t="array" ref="CA379">IF(ISNUMBER(BZ379),AF379/COUNT(IF(ISNUMBER(_xlfn.ANCHORARRAY($BZ$11)),_xlfn.ANCHORARRAY($BZ$11))),NA())</f>
        <v>#N/A</v>
      </c>
      <c r="CB379" t="e">
        <f t="shared" si="140"/>
        <v>#N/A</v>
      </c>
      <c r="CD379" t="e">
        <f t="shared" si="141"/>
        <v>#N/A</v>
      </c>
      <c r="CE379" t="e">
        <f t="shared" si="142"/>
        <v>#N/A</v>
      </c>
      <c r="CG379" t="e">
        <v>#N/A</v>
      </c>
      <c r="CH379" t="e">
        <v>#N/A</v>
      </c>
      <c r="CL379">
        <f t="shared" si="143"/>
        <v>71412.448663991308</v>
      </c>
      <c r="CM379" t="e">
        <v>#N/A</v>
      </c>
      <c r="CN379" t="e" cm="1">
        <f t="array" ref="CN379">IF(ISNUMBER(CM379),AF379/COUNT(IF(ISNUMBER(_xlfn.ANCHORARRAY($CM$11)),_xlfn.ANCHORARRAY($CM$11))),NA())</f>
        <v>#N/A</v>
      </c>
      <c r="CO379" t="e">
        <f t="shared" si="144"/>
        <v>#N/A</v>
      </c>
      <c r="CQ379" t="e">
        <f t="shared" si="145"/>
        <v>#N/A</v>
      </c>
      <c r="CR379" t="e">
        <f t="shared" si="146"/>
        <v>#N/A</v>
      </c>
      <c r="CT379" t="e">
        <v>#N/A</v>
      </c>
      <c r="CU379" t="e">
        <v>#N/A</v>
      </c>
      <c r="CY379" t="e">
        <f t="shared" si="147"/>
        <v>#N/A</v>
      </c>
      <c r="CZ379" t="e">
        <v>#N/A</v>
      </c>
      <c r="DA379" t="e" cm="1">
        <f t="array" ref="DA379">IF(ISNUMBER(CZ379),AF379/COUNT(IF(ISNUMBER(_xlfn.ANCHORARRAY($CZ$11)),_xlfn.ANCHORARRAY($CZ$11))),NA())</f>
        <v>#N/A</v>
      </c>
      <c r="DB379" t="e">
        <f t="shared" si="148"/>
        <v>#N/A</v>
      </c>
      <c r="DD379" t="e">
        <f t="shared" si="149"/>
        <v>#N/A</v>
      </c>
      <c r="DE379" t="e">
        <f t="shared" si="150"/>
        <v>#N/A</v>
      </c>
      <c r="DG379" t="e">
        <v>#N/A</v>
      </c>
      <c r="DH379" t="e">
        <v>#N/A</v>
      </c>
    </row>
    <row r="380" spans="32:112">
      <c r="AF380">
        <v>370</v>
      </c>
      <c r="AG380" s="401">
        <f>'Lab test'!N373</f>
        <v>190.5</v>
      </c>
      <c r="AH380" s="401">
        <f>'Lab test'!M373</f>
        <v>0.41816034750956643</v>
      </c>
      <c r="AI380">
        <f>IF('Lab test'!O373&gt;0,'Lab test'!O373,NA())</f>
        <v>190.5</v>
      </c>
      <c r="AJ380">
        <f>'Lab test'!Q373</f>
        <v>455.5668683904608</v>
      </c>
      <c r="AK380" s="401">
        <f>IF('Lab test'!V373&gt;0,'Lab test'!V373,NA())</f>
        <v>71412.448663991308</v>
      </c>
      <c r="AL380" s="7">
        <f>IF(MAX('Lab test'!W373,'Lab test'!X373)&gt;0,MAX('Lab test'!W373,'Lab test'!X373),NA())</f>
        <v>249.76258294502389</v>
      </c>
      <c r="AM380" s="401">
        <f>IF('Lab test'!P373&gt;0,'Lab test'!P373,NA())</f>
        <v>4.6851546836738478E-2</v>
      </c>
      <c r="AN380" s="401">
        <f>IF('Lab test'!AU373&gt;0,'Lab test'!AU373,NA())</f>
        <v>0.1615369710144928</v>
      </c>
      <c r="AO380" s="401">
        <f>IF('Lab test'!AT373&gt;0,'Lab test'!AT373,NA())</f>
        <v>0.42526421839999989</v>
      </c>
      <c r="AP380">
        <f t="shared" si="151"/>
        <v>1</v>
      </c>
      <c r="AQ380" s="401">
        <f>'Lab test'!AZ373</f>
        <v>1933</v>
      </c>
      <c r="AR380" t="str">
        <f>'Lab test'!AC373</f>
        <v>LTWb</v>
      </c>
      <c r="AS380" t="str">
        <f>'Lab test'!T373</f>
        <v>Aluminium</v>
      </c>
      <c r="AX380" t="e">
        <f t="shared" si="136"/>
        <v>#N/A</v>
      </c>
      <c r="AY380" t="e">
        <f t="shared" si="155"/>
        <v>#N/A</v>
      </c>
      <c r="AZ380" t="e">
        <f t="shared" si="152"/>
        <v>#N/A</v>
      </c>
      <c r="BA380" t="e">
        <f t="shared" si="152"/>
        <v>#N/A</v>
      </c>
      <c r="BB380" t="e">
        <f t="shared" si="152"/>
        <v>#N/A</v>
      </c>
      <c r="BC380" t="e">
        <f t="shared" si="152"/>
        <v>#N/A</v>
      </c>
      <c r="BD380" t="e">
        <f t="shared" si="152"/>
        <v>#N/A</v>
      </c>
      <c r="BG380" t="e">
        <f t="shared" si="137"/>
        <v>#N/A</v>
      </c>
      <c r="BH380" t="e">
        <f t="shared" si="156"/>
        <v>#N/A</v>
      </c>
      <c r="BI380">
        <f t="shared" si="153"/>
        <v>71412.448663991308</v>
      </c>
      <c r="BJ380" t="e">
        <f t="shared" si="153"/>
        <v>#N/A</v>
      </c>
      <c r="BK380" t="e">
        <f t="shared" si="153"/>
        <v>#N/A</v>
      </c>
      <c r="BL380" t="e">
        <f t="shared" si="153"/>
        <v>#N/A</v>
      </c>
      <c r="BM380" t="e">
        <f t="shared" si="153"/>
        <v>#N/A</v>
      </c>
      <c r="BP380" t="e">
        <f t="shared" si="138"/>
        <v>#N/A</v>
      </c>
      <c r="BQ380" t="e">
        <f t="shared" si="157"/>
        <v>#N/A</v>
      </c>
      <c r="BR380" t="e">
        <f t="shared" si="154"/>
        <v>#N/A</v>
      </c>
      <c r="BS380" t="e">
        <f t="shared" si="154"/>
        <v>#N/A</v>
      </c>
      <c r="BT380" t="e">
        <f t="shared" si="154"/>
        <v>#N/A</v>
      </c>
      <c r="BU380" t="e">
        <f t="shared" si="154"/>
        <v>#N/A</v>
      </c>
      <c r="BV380" t="e">
        <f t="shared" si="154"/>
        <v>#N/A</v>
      </c>
      <c r="BY380" t="e">
        <f t="shared" si="139"/>
        <v>#N/A</v>
      </c>
      <c r="BZ380" t="e">
        <v>#N/A</v>
      </c>
      <c r="CA380" t="e" cm="1">
        <f t="array" ref="CA380">IF(ISNUMBER(BZ380),AF380/COUNT(IF(ISNUMBER(_xlfn.ANCHORARRAY($BZ$11)),_xlfn.ANCHORARRAY($BZ$11))),NA())</f>
        <v>#N/A</v>
      </c>
      <c r="CB380" t="e">
        <f t="shared" si="140"/>
        <v>#N/A</v>
      </c>
      <c r="CD380" t="e">
        <f t="shared" si="141"/>
        <v>#N/A</v>
      </c>
      <c r="CE380" t="e">
        <f t="shared" si="142"/>
        <v>#N/A</v>
      </c>
      <c r="CG380" t="e">
        <v>#N/A</v>
      </c>
      <c r="CH380" t="e">
        <v>#N/A</v>
      </c>
      <c r="CL380">
        <f t="shared" si="143"/>
        <v>71412.448663991308</v>
      </c>
      <c r="CM380" t="e">
        <v>#N/A</v>
      </c>
      <c r="CN380" t="e" cm="1">
        <f t="array" ref="CN380">IF(ISNUMBER(CM380),AF380/COUNT(IF(ISNUMBER(_xlfn.ANCHORARRAY($CM$11)),_xlfn.ANCHORARRAY($CM$11))),NA())</f>
        <v>#N/A</v>
      </c>
      <c r="CO380" t="e">
        <f t="shared" si="144"/>
        <v>#N/A</v>
      </c>
      <c r="CQ380" t="e">
        <f t="shared" si="145"/>
        <v>#N/A</v>
      </c>
      <c r="CR380" t="e">
        <f t="shared" si="146"/>
        <v>#N/A</v>
      </c>
      <c r="CT380" t="e">
        <v>#N/A</v>
      </c>
      <c r="CU380" t="e">
        <v>#N/A</v>
      </c>
      <c r="CY380" t="e">
        <f t="shared" si="147"/>
        <v>#N/A</v>
      </c>
      <c r="CZ380" t="e">
        <v>#N/A</v>
      </c>
      <c r="DA380" t="e" cm="1">
        <f t="array" ref="DA380">IF(ISNUMBER(CZ380),AF380/COUNT(IF(ISNUMBER(_xlfn.ANCHORARRAY($CZ$11)),_xlfn.ANCHORARRAY($CZ$11))),NA())</f>
        <v>#N/A</v>
      </c>
      <c r="DB380" t="e">
        <f t="shared" si="148"/>
        <v>#N/A</v>
      </c>
      <c r="DD380" t="e">
        <f t="shared" si="149"/>
        <v>#N/A</v>
      </c>
      <c r="DE380" t="e">
        <f t="shared" si="150"/>
        <v>#N/A</v>
      </c>
      <c r="DG380" t="e">
        <v>#N/A</v>
      </c>
      <c r="DH380" t="e">
        <v>#N/A</v>
      </c>
    </row>
    <row r="381" spans="32:112">
      <c r="AF381">
        <v>371</v>
      </c>
      <c r="AG381" s="401">
        <f>'Lab test'!N374</f>
        <v>190.5</v>
      </c>
      <c r="AH381" s="401">
        <f>'Lab test'!M374</f>
        <v>0.53197278389906844</v>
      </c>
      <c r="AI381">
        <f>IF('Lab test'!O374&gt;0,'Lab test'!O374,NA())</f>
        <v>95.25</v>
      </c>
      <c r="AJ381">
        <f>'Lab test'!Q374</f>
        <v>358.10102652947694</v>
      </c>
      <c r="AK381" s="401">
        <f>IF('Lab test'!V374&gt;0,'Lab test'!V374,NA())</f>
        <v>70050.734098590561</v>
      </c>
      <c r="AL381" s="7">
        <f>IF(MAX('Lab test'!W374,'Lab test'!X374)&gt;0,MAX('Lab test'!W374,'Lab test'!X374),NA())</f>
        <v>262.62130529678291</v>
      </c>
      <c r="AM381" s="401">
        <f>IF('Lab test'!P374&gt;0,'Lab test'!P374,NA())</f>
        <v>2.6422093274207165E-2</v>
      </c>
      <c r="AN381" s="401">
        <f>IF('Lab test'!AU374&gt;0,'Lab test'!AU374,NA())</f>
        <v>0.24235425003938041</v>
      </c>
      <c r="AO381" s="401">
        <f>IF('Lab test'!AT374&gt;0,'Lab test'!AT374,NA())</f>
        <v>0.53759447203199984</v>
      </c>
      <c r="AP381">
        <f t="shared" si="151"/>
        <v>1</v>
      </c>
      <c r="AQ381" s="401">
        <f>'Lab test'!AZ374</f>
        <v>1933</v>
      </c>
      <c r="AR381" t="str">
        <f>'Lab test'!AC374</f>
        <v>LTWb</v>
      </c>
      <c r="AS381" t="str">
        <f>'Lab test'!T374</f>
        <v>Aluminium</v>
      </c>
      <c r="AX381" t="e">
        <f t="shared" si="136"/>
        <v>#N/A</v>
      </c>
      <c r="AY381" t="e">
        <f t="shared" si="155"/>
        <v>#N/A</v>
      </c>
      <c r="AZ381" t="e">
        <f t="shared" si="152"/>
        <v>#N/A</v>
      </c>
      <c r="BA381" t="e">
        <f t="shared" si="152"/>
        <v>#N/A</v>
      </c>
      <c r="BB381" t="e">
        <f t="shared" si="152"/>
        <v>#N/A</v>
      </c>
      <c r="BC381" t="e">
        <f t="shared" si="152"/>
        <v>#N/A</v>
      </c>
      <c r="BD381" t="e">
        <f t="shared" si="152"/>
        <v>#N/A</v>
      </c>
      <c r="BG381" t="e">
        <f t="shared" si="137"/>
        <v>#N/A</v>
      </c>
      <c r="BH381">
        <f t="shared" si="156"/>
        <v>70050.734098590561</v>
      </c>
      <c r="BI381" t="e">
        <f t="shared" si="153"/>
        <v>#N/A</v>
      </c>
      <c r="BJ381" t="e">
        <f t="shared" si="153"/>
        <v>#N/A</v>
      </c>
      <c r="BK381" t="e">
        <f t="shared" si="153"/>
        <v>#N/A</v>
      </c>
      <c r="BL381" t="e">
        <f t="shared" si="153"/>
        <v>#N/A</v>
      </c>
      <c r="BM381" t="e">
        <f t="shared" si="153"/>
        <v>#N/A</v>
      </c>
      <c r="BP381" t="e">
        <f t="shared" si="138"/>
        <v>#N/A</v>
      </c>
      <c r="BQ381" t="e">
        <f t="shared" si="157"/>
        <v>#N/A</v>
      </c>
      <c r="BR381" t="e">
        <f t="shared" si="154"/>
        <v>#N/A</v>
      </c>
      <c r="BS381" t="e">
        <f t="shared" si="154"/>
        <v>#N/A</v>
      </c>
      <c r="BT381" t="e">
        <f t="shared" si="154"/>
        <v>#N/A</v>
      </c>
      <c r="BU381" t="e">
        <f t="shared" si="154"/>
        <v>#N/A</v>
      </c>
      <c r="BV381" t="e">
        <f t="shared" si="154"/>
        <v>#N/A</v>
      </c>
      <c r="BY381" t="e">
        <f t="shared" si="139"/>
        <v>#N/A</v>
      </c>
      <c r="BZ381" t="e">
        <v>#N/A</v>
      </c>
      <c r="CA381" t="e" cm="1">
        <f t="array" ref="CA381">IF(ISNUMBER(BZ381),AF381/COUNT(IF(ISNUMBER(_xlfn.ANCHORARRAY($BZ$11)),_xlfn.ANCHORARRAY($BZ$11))),NA())</f>
        <v>#N/A</v>
      </c>
      <c r="CB381" t="e">
        <f t="shared" si="140"/>
        <v>#N/A</v>
      </c>
      <c r="CD381" t="e">
        <f t="shared" si="141"/>
        <v>#N/A</v>
      </c>
      <c r="CE381" t="e">
        <f t="shared" si="142"/>
        <v>#N/A</v>
      </c>
      <c r="CG381" t="e">
        <v>#N/A</v>
      </c>
      <c r="CH381" t="e">
        <v>#N/A</v>
      </c>
      <c r="CL381">
        <f t="shared" si="143"/>
        <v>70050.734098590561</v>
      </c>
      <c r="CM381" t="e">
        <v>#N/A</v>
      </c>
      <c r="CN381" t="e" cm="1">
        <f t="array" ref="CN381">IF(ISNUMBER(CM381),AF381/COUNT(IF(ISNUMBER(_xlfn.ANCHORARRAY($CM$11)),_xlfn.ANCHORARRAY($CM$11))),NA())</f>
        <v>#N/A</v>
      </c>
      <c r="CO381" t="e">
        <f t="shared" si="144"/>
        <v>#N/A</v>
      </c>
      <c r="CQ381" t="e">
        <f t="shared" si="145"/>
        <v>#N/A</v>
      </c>
      <c r="CR381" t="e">
        <f t="shared" si="146"/>
        <v>#N/A</v>
      </c>
      <c r="CT381" t="e">
        <v>#N/A</v>
      </c>
      <c r="CU381" t="e">
        <v>#N/A</v>
      </c>
      <c r="CY381" t="e">
        <f t="shared" si="147"/>
        <v>#N/A</v>
      </c>
      <c r="CZ381" t="e">
        <v>#N/A</v>
      </c>
      <c r="DA381" t="e" cm="1">
        <f t="array" ref="DA381">IF(ISNUMBER(CZ381),AF381/COUNT(IF(ISNUMBER(_xlfn.ANCHORARRAY($CZ$11)),_xlfn.ANCHORARRAY($CZ$11))),NA())</f>
        <v>#N/A</v>
      </c>
      <c r="DB381" t="e">
        <f t="shared" si="148"/>
        <v>#N/A</v>
      </c>
      <c r="DD381" t="e">
        <f t="shared" si="149"/>
        <v>#N/A</v>
      </c>
      <c r="DE381" t="e">
        <f t="shared" si="150"/>
        <v>#N/A</v>
      </c>
      <c r="DG381" t="e">
        <v>#N/A</v>
      </c>
      <c r="DH381" t="e">
        <v>#N/A</v>
      </c>
    </row>
    <row r="382" spans="32:112">
      <c r="AF382">
        <v>372</v>
      </c>
      <c r="AG382" s="401">
        <f>'Lab test'!N375</f>
        <v>190.5</v>
      </c>
      <c r="AH382" s="401">
        <f>'Lab test'!M375</f>
        <v>0.55102702422429328</v>
      </c>
      <c r="AI382">
        <f>IF('Lab test'!O375&gt;0,'Lab test'!O375,NA())</f>
        <v>190.5</v>
      </c>
      <c r="AJ382">
        <f>'Lab test'!Q375</f>
        <v>345.71807121107321</v>
      </c>
      <c r="AK382" s="401">
        <f>IF('Lab test'!V375&gt;0,'Lab test'!V375,NA())</f>
        <v>70050.734098590561</v>
      </c>
      <c r="AL382" s="7">
        <f>IF(MAX('Lab test'!W375,'Lab test'!X375)&gt;0,MAX('Lab test'!W375,'Lab test'!X375),NA())</f>
        <v>262.62130529678291</v>
      </c>
      <c r="AM382" s="401">
        <f>IF('Lab test'!P375&gt;0,'Lab test'!P375,NA())</f>
        <v>5.3782249031522275E-2</v>
      </c>
      <c r="AN382" s="401">
        <f>IF('Lab test'!AU375&gt;0,'Lab test'!AU375,NA())</f>
        <v>0.22339196639537937</v>
      </c>
      <c r="AO382" s="401">
        <f>IF('Lab test'!AT375&gt;0,'Lab test'!AT375,NA())</f>
        <v>0.47839674999999982</v>
      </c>
      <c r="AP382">
        <f t="shared" si="151"/>
        <v>1</v>
      </c>
      <c r="AQ382" s="401">
        <f>'Lab test'!AZ375</f>
        <v>1933</v>
      </c>
      <c r="AR382" t="str">
        <f>'Lab test'!AC375</f>
        <v>LTWb</v>
      </c>
      <c r="AS382" t="str">
        <f>'Lab test'!T375</f>
        <v>Aluminium</v>
      </c>
      <c r="AX382" t="e">
        <f t="shared" si="136"/>
        <v>#N/A</v>
      </c>
      <c r="AY382" t="e">
        <f t="shared" si="155"/>
        <v>#N/A</v>
      </c>
      <c r="AZ382" t="e">
        <f t="shared" si="152"/>
        <v>#N/A</v>
      </c>
      <c r="BA382" t="e">
        <f t="shared" si="152"/>
        <v>#N/A</v>
      </c>
      <c r="BB382" t="e">
        <f t="shared" si="152"/>
        <v>#N/A</v>
      </c>
      <c r="BC382" t="e">
        <f t="shared" si="152"/>
        <v>#N/A</v>
      </c>
      <c r="BD382" t="e">
        <f t="shared" si="152"/>
        <v>#N/A</v>
      </c>
      <c r="BG382" t="e">
        <f t="shared" si="137"/>
        <v>#N/A</v>
      </c>
      <c r="BH382">
        <f t="shared" si="156"/>
        <v>70050.734098590561</v>
      </c>
      <c r="BI382" t="e">
        <f t="shared" si="153"/>
        <v>#N/A</v>
      </c>
      <c r="BJ382" t="e">
        <f t="shared" si="153"/>
        <v>#N/A</v>
      </c>
      <c r="BK382" t="e">
        <f t="shared" si="153"/>
        <v>#N/A</v>
      </c>
      <c r="BL382" t="e">
        <f t="shared" si="153"/>
        <v>#N/A</v>
      </c>
      <c r="BM382" t="e">
        <f t="shared" si="153"/>
        <v>#N/A</v>
      </c>
      <c r="BP382" t="e">
        <f t="shared" si="138"/>
        <v>#N/A</v>
      </c>
      <c r="BQ382" t="e">
        <f t="shared" si="157"/>
        <v>#N/A</v>
      </c>
      <c r="BR382" t="e">
        <f t="shared" si="154"/>
        <v>#N/A</v>
      </c>
      <c r="BS382" t="e">
        <f t="shared" si="154"/>
        <v>#N/A</v>
      </c>
      <c r="BT382" t="e">
        <f t="shared" si="154"/>
        <v>#N/A</v>
      </c>
      <c r="BU382" t="e">
        <f t="shared" si="154"/>
        <v>#N/A</v>
      </c>
      <c r="BV382" t="e">
        <f t="shared" si="154"/>
        <v>#N/A</v>
      </c>
      <c r="BY382" t="e">
        <f t="shared" si="139"/>
        <v>#N/A</v>
      </c>
      <c r="BZ382" t="e">
        <v>#N/A</v>
      </c>
      <c r="CA382" t="e" cm="1">
        <f t="array" ref="CA382">IF(ISNUMBER(BZ382),AF382/COUNT(IF(ISNUMBER(_xlfn.ANCHORARRAY($BZ$11)),_xlfn.ANCHORARRAY($BZ$11))),NA())</f>
        <v>#N/A</v>
      </c>
      <c r="CB382" t="e">
        <f t="shared" si="140"/>
        <v>#N/A</v>
      </c>
      <c r="CD382" t="e">
        <f t="shared" si="141"/>
        <v>#N/A</v>
      </c>
      <c r="CE382" t="e">
        <f t="shared" si="142"/>
        <v>#N/A</v>
      </c>
      <c r="CG382" t="e">
        <v>#N/A</v>
      </c>
      <c r="CH382" t="e">
        <v>#N/A</v>
      </c>
      <c r="CL382">
        <f t="shared" si="143"/>
        <v>70050.734098590561</v>
      </c>
      <c r="CM382" t="e">
        <v>#N/A</v>
      </c>
      <c r="CN382" t="e" cm="1">
        <f t="array" ref="CN382">IF(ISNUMBER(CM382),AF382/COUNT(IF(ISNUMBER(_xlfn.ANCHORARRAY($CM$11)),_xlfn.ANCHORARRAY($CM$11))),NA())</f>
        <v>#N/A</v>
      </c>
      <c r="CO382" t="e">
        <f t="shared" si="144"/>
        <v>#N/A</v>
      </c>
      <c r="CQ382" t="e">
        <f t="shared" si="145"/>
        <v>#N/A</v>
      </c>
      <c r="CR382" t="e">
        <f t="shared" si="146"/>
        <v>#N/A</v>
      </c>
      <c r="CT382" t="e">
        <v>#N/A</v>
      </c>
      <c r="CU382" t="e">
        <v>#N/A</v>
      </c>
      <c r="CY382" t="e">
        <f t="shared" si="147"/>
        <v>#N/A</v>
      </c>
      <c r="CZ382" t="e">
        <v>#N/A</v>
      </c>
      <c r="DA382" t="e" cm="1">
        <f t="array" ref="DA382">IF(ISNUMBER(CZ382),AF382/COUNT(IF(ISNUMBER(_xlfn.ANCHORARRAY($CZ$11)),_xlfn.ANCHORARRAY($CZ$11))),NA())</f>
        <v>#N/A</v>
      </c>
      <c r="DB382" t="e">
        <f t="shared" si="148"/>
        <v>#N/A</v>
      </c>
      <c r="DD382" t="e">
        <f t="shared" si="149"/>
        <v>#N/A</v>
      </c>
      <c r="DE382" t="e">
        <f t="shared" si="150"/>
        <v>#N/A</v>
      </c>
      <c r="DG382" t="e">
        <v>#N/A</v>
      </c>
      <c r="DH382" t="e">
        <v>#N/A</v>
      </c>
    </row>
    <row r="383" spans="32:112">
      <c r="AF383">
        <v>373</v>
      </c>
      <c r="AG383" s="401">
        <f>'Lab test'!N376</f>
        <v>190.5</v>
      </c>
      <c r="AH383" s="401">
        <f>'Lab test'!M376</f>
        <v>0.53197278389906844</v>
      </c>
      <c r="AI383">
        <f>IF('Lab test'!O376&gt;0,'Lab test'!O376,NA())</f>
        <v>190.5</v>
      </c>
      <c r="AJ383">
        <f>'Lab test'!Q376</f>
        <v>358.10102652947694</v>
      </c>
      <c r="AK383" s="401">
        <f>IF('Lab test'!V376&gt;0,'Lab test'!V376,NA())</f>
        <v>70050.734098590561</v>
      </c>
      <c r="AL383" s="7">
        <f>IF(MAX('Lab test'!W376,'Lab test'!X376)&gt;0,MAX('Lab test'!W376,'Lab test'!X376),NA())</f>
        <v>262.62130529678291</v>
      </c>
      <c r="AM383" s="401">
        <f>IF('Lab test'!P376&gt;0,'Lab test'!P376,NA())</f>
        <v>5.2844186548414329E-2</v>
      </c>
      <c r="AN383" s="401">
        <f>IF('Lab test'!AU376&gt;0,'Lab test'!AU376,NA())</f>
        <v>0.20177029141506961</v>
      </c>
      <c r="AO383" s="401">
        <f>IF('Lab test'!AT376&gt;0,'Lab test'!AT376,NA())</f>
        <v>0.4475704191999999</v>
      </c>
      <c r="AP383">
        <f t="shared" si="151"/>
        <v>1</v>
      </c>
      <c r="AQ383" s="401">
        <f>'Lab test'!AZ376</f>
        <v>1933</v>
      </c>
      <c r="AR383" t="str">
        <f>'Lab test'!AC376</f>
        <v>LTWb</v>
      </c>
      <c r="AS383" t="str">
        <f>'Lab test'!T376</f>
        <v>Aluminium</v>
      </c>
      <c r="AX383" t="e">
        <f t="shared" si="136"/>
        <v>#N/A</v>
      </c>
      <c r="AY383" t="e">
        <f t="shared" si="155"/>
        <v>#N/A</v>
      </c>
      <c r="AZ383" t="e">
        <f t="shared" si="152"/>
        <v>#N/A</v>
      </c>
      <c r="BA383" t="e">
        <f t="shared" si="152"/>
        <v>#N/A</v>
      </c>
      <c r="BB383" t="e">
        <f t="shared" si="152"/>
        <v>#N/A</v>
      </c>
      <c r="BC383" t="e">
        <f t="shared" si="152"/>
        <v>#N/A</v>
      </c>
      <c r="BD383" t="e">
        <f t="shared" si="152"/>
        <v>#N/A</v>
      </c>
      <c r="BG383" t="e">
        <f t="shared" si="137"/>
        <v>#N/A</v>
      </c>
      <c r="BH383">
        <f t="shared" si="156"/>
        <v>70050.734098590561</v>
      </c>
      <c r="BI383" t="e">
        <f t="shared" si="153"/>
        <v>#N/A</v>
      </c>
      <c r="BJ383" t="e">
        <f t="shared" si="153"/>
        <v>#N/A</v>
      </c>
      <c r="BK383" t="e">
        <f t="shared" si="153"/>
        <v>#N/A</v>
      </c>
      <c r="BL383" t="e">
        <f t="shared" si="153"/>
        <v>#N/A</v>
      </c>
      <c r="BM383" t="e">
        <f t="shared" si="153"/>
        <v>#N/A</v>
      </c>
      <c r="BP383" t="e">
        <f t="shared" si="138"/>
        <v>#N/A</v>
      </c>
      <c r="BQ383" t="e">
        <f t="shared" si="157"/>
        <v>#N/A</v>
      </c>
      <c r="BR383" t="e">
        <f t="shared" si="154"/>
        <v>#N/A</v>
      </c>
      <c r="BS383" t="e">
        <f t="shared" si="154"/>
        <v>#N/A</v>
      </c>
      <c r="BT383" t="e">
        <f t="shared" si="154"/>
        <v>#N/A</v>
      </c>
      <c r="BU383" t="e">
        <f t="shared" si="154"/>
        <v>#N/A</v>
      </c>
      <c r="BV383" t="e">
        <f t="shared" si="154"/>
        <v>#N/A</v>
      </c>
      <c r="BY383" t="e">
        <f t="shared" si="139"/>
        <v>#N/A</v>
      </c>
      <c r="BZ383" t="e">
        <v>#N/A</v>
      </c>
      <c r="CA383" t="e" cm="1">
        <f t="array" ref="CA383">IF(ISNUMBER(BZ383),AF383/COUNT(IF(ISNUMBER(_xlfn.ANCHORARRAY($BZ$11)),_xlfn.ANCHORARRAY($BZ$11))),NA())</f>
        <v>#N/A</v>
      </c>
      <c r="CB383" t="e">
        <f t="shared" si="140"/>
        <v>#N/A</v>
      </c>
      <c r="CD383" t="e">
        <f t="shared" si="141"/>
        <v>#N/A</v>
      </c>
      <c r="CE383" t="e">
        <f t="shared" si="142"/>
        <v>#N/A</v>
      </c>
      <c r="CG383" t="e">
        <v>#N/A</v>
      </c>
      <c r="CH383" t="e">
        <v>#N/A</v>
      </c>
      <c r="CL383">
        <f t="shared" si="143"/>
        <v>70050.734098590561</v>
      </c>
      <c r="CM383" t="e">
        <v>#N/A</v>
      </c>
      <c r="CN383" t="e" cm="1">
        <f t="array" ref="CN383">IF(ISNUMBER(CM383),AF383/COUNT(IF(ISNUMBER(_xlfn.ANCHORARRAY($CM$11)),_xlfn.ANCHORARRAY($CM$11))),NA())</f>
        <v>#N/A</v>
      </c>
      <c r="CO383" t="e">
        <f t="shared" si="144"/>
        <v>#N/A</v>
      </c>
      <c r="CQ383" t="e">
        <f t="shared" si="145"/>
        <v>#N/A</v>
      </c>
      <c r="CR383" t="e">
        <f t="shared" si="146"/>
        <v>#N/A</v>
      </c>
      <c r="CT383" t="e">
        <v>#N/A</v>
      </c>
      <c r="CU383" t="e">
        <v>#N/A</v>
      </c>
      <c r="CY383" t="e">
        <f t="shared" si="147"/>
        <v>#N/A</v>
      </c>
      <c r="CZ383" t="e">
        <v>#N/A</v>
      </c>
      <c r="DA383" t="e" cm="1">
        <f t="array" ref="DA383">IF(ISNUMBER(CZ383),AF383/COUNT(IF(ISNUMBER(_xlfn.ANCHORARRAY($CZ$11)),_xlfn.ANCHORARRAY($CZ$11))),NA())</f>
        <v>#N/A</v>
      </c>
      <c r="DB383" t="e">
        <f t="shared" si="148"/>
        <v>#N/A</v>
      </c>
      <c r="DD383" t="e">
        <f t="shared" si="149"/>
        <v>#N/A</v>
      </c>
      <c r="DE383" t="e">
        <f t="shared" si="150"/>
        <v>#N/A</v>
      </c>
      <c r="DG383" t="e">
        <v>#N/A</v>
      </c>
      <c r="DH383" t="e">
        <v>#N/A</v>
      </c>
    </row>
    <row r="384" spans="32:112">
      <c r="AF384">
        <v>374</v>
      </c>
      <c r="AG384" s="401">
        <f>'Lab test'!N377</f>
        <v>190.5</v>
      </c>
      <c r="AH384" s="401">
        <f>'Lab test'!M377</f>
        <v>0.52584058401116085</v>
      </c>
      <c r="AI384">
        <f>IF('Lab test'!O377&gt;0,'Lab test'!O377,NA())</f>
        <v>190.5</v>
      </c>
      <c r="AJ384">
        <f>'Lab test'!Q377</f>
        <v>362.2770965048918</v>
      </c>
      <c r="AK384" s="401">
        <f>IF('Lab test'!V377&gt;0,'Lab test'!V377,NA())</f>
        <v>70050.734098590561</v>
      </c>
      <c r="AL384" s="7">
        <f>IF(MAX('Lab test'!W377,'Lab test'!X377)&gt;0,MAX('Lab test'!W377,'Lab test'!X377),NA())</f>
        <v>262.62130529678291</v>
      </c>
      <c r="AM384" s="401">
        <f>IF('Lab test'!P377&gt;0,'Lab test'!P377,NA())</f>
        <v>5.2538728822700942E-2</v>
      </c>
      <c r="AN384" s="401">
        <f>IF('Lab test'!AU377&gt;0,'Lab test'!AU377,NA())</f>
        <v>0.22644876870569705</v>
      </c>
      <c r="AO384" s="401">
        <f>IF('Lab test'!AT377&gt;0,'Lab test'!AT377,NA())</f>
        <v>0.50817047680000005</v>
      </c>
      <c r="AP384">
        <f t="shared" si="151"/>
        <v>1</v>
      </c>
      <c r="AQ384" s="401">
        <f>'Lab test'!AZ377</f>
        <v>1933</v>
      </c>
      <c r="AR384" t="str">
        <f>'Lab test'!AC377</f>
        <v>LTWb</v>
      </c>
      <c r="AS384" t="str">
        <f>'Lab test'!T377</f>
        <v>Aluminium</v>
      </c>
      <c r="AX384" t="e">
        <f t="shared" si="136"/>
        <v>#N/A</v>
      </c>
      <c r="AY384" t="e">
        <f t="shared" si="155"/>
        <v>#N/A</v>
      </c>
      <c r="AZ384" t="e">
        <f t="shared" si="152"/>
        <v>#N/A</v>
      </c>
      <c r="BA384" t="e">
        <f t="shared" si="152"/>
        <v>#N/A</v>
      </c>
      <c r="BB384" t="e">
        <f t="shared" si="152"/>
        <v>#N/A</v>
      </c>
      <c r="BC384" t="e">
        <f t="shared" si="152"/>
        <v>#N/A</v>
      </c>
      <c r="BD384" t="e">
        <f t="shared" si="152"/>
        <v>#N/A</v>
      </c>
      <c r="BG384" t="e">
        <f t="shared" si="137"/>
        <v>#N/A</v>
      </c>
      <c r="BH384">
        <f t="shared" si="156"/>
        <v>70050.734098590561</v>
      </c>
      <c r="BI384" t="e">
        <f t="shared" si="153"/>
        <v>#N/A</v>
      </c>
      <c r="BJ384" t="e">
        <f t="shared" si="153"/>
        <v>#N/A</v>
      </c>
      <c r="BK384" t="e">
        <f t="shared" si="153"/>
        <v>#N/A</v>
      </c>
      <c r="BL384" t="e">
        <f t="shared" si="153"/>
        <v>#N/A</v>
      </c>
      <c r="BM384" t="e">
        <f t="shared" si="153"/>
        <v>#N/A</v>
      </c>
      <c r="BP384" t="e">
        <f t="shared" si="138"/>
        <v>#N/A</v>
      </c>
      <c r="BQ384" t="e">
        <f t="shared" si="157"/>
        <v>#N/A</v>
      </c>
      <c r="BR384" t="e">
        <f t="shared" si="154"/>
        <v>#N/A</v>
      </c>
      <c r="BS384" t="e">
        <f t="shared" si="154"/>
        <v>#N/A</v>
      </c>
      <c r="BT384" t="e">
        <f t="shared" si="154"/>
        <v>#N/A</v>
      </c>
      <c r="BU384" t="e">
        <f t="shared" si="154"/>
        <v>#N/A</v>
      </c>
      <c r="BV384" t="e">
        <f t="shared" si="154"/>
        <v>#N/A</v>
      </c>
      <c r="BY384" t="e">
        <f t="shared" si="139"/>
        <v>#N/A</v>
      </c>
      <c r="BZ384" t="e">
        <v>#N/A</v>
      </c>
      <c r="CA384" t="e" cm="1">
        <f t="array" ref="CA384">IF(ISNUMBER(BZ384),AF384/COUNT(IF(ISNUMBER(_xlfn.ANCHORARRAY($BZ$11)),_xlfn.ANCHORARRAY($BZ$11))),NA())</f>
        <v>#N/A</v>
      </c>
      <c r="CB384" t="e">
        <f t="shared" si="140"/>
        <v>#N/A</v>
      </c>
      <c r="CD384" t="e">
        <f t="shared" si="141"/>
        <v>#N/A</v>
      </c>
      <c r="CE384" t="e">
        <f t="shared" si="142"/>
        <v>#N/A</v>
      </c>
      <c r="CG384" t="e">
        <v>#N/A</v>
      </c>
      <c r="CH384" t="e">
        <v>#N/A</v>
      </c>
      <c r="CL384">
        <f t="shared" si="143"/>
        <v>70050.734098590561</v>
      </c>
      <c r="CM384" t="e">
        <v>#N/A</v>
      </c>
      <c r="CN384" t="e" cm="1">
        <f t="array" ref="CN384">IF(ISNUMBER(CM384),AF384/COUNT(IF(ISNUMBER(_xlfn.ANCHORARRAY($CM$11)),_xlfn.ANCHORARRAY($CM$11))),NA())</f>
        <v>#N/A</v>
      </c>
      <c r="CO384" t="e">
        <f t="shared" si="144"/>
        <v>#N/A</v>
      </c>
      <c r="CQ384" t="e">
        <f t="shared" si="145"/>
        <v>#N/A</v>
      </c>
      <c r="CR384" t="e">
        <f t="shared" si="146"/>
        <v>#N/A</v>
      </c>
      <c r="CT384" t="e">
        <v>#N/A</v>
      </c>
      <c r="CU384" t="e">
        <v>#N/A</v>
      </c>
      <c r="CY384" t="e">
        <f t="shared" si="147"/>
        <v>#N/A</v>
      </c>
      <c r="CZ384" t="e">
        <v>#N/A</v>
      </c>
      <c r="DA384" t="e" cm="1">
        <f t="array" ref="DA384">IF(ISNUMBER(CZ384),AF384/COUNT(IF(ISNUMBER(_xlfn.ANCHORARRAY($CZ$11)),_xlfn.ANCHORARRAY($CZ$11))),NA())</f>
        <v>#N/A</v>
      </c>
      <c r="DB384" t="e">
        <f t="shared" si="148"/>
        <v>#N/A</v>
      </c>
      <c r="DD384" t="e">
        <f t="shared" si="149"/>
        <v>#N/A</v>
      </c>
      <c r="DE384" t="e">
        <f t="shared" si="150"/>
        <v>#N/A</v>
      </c>
      <c r="DG384" t="e">
        <v>#N/A</v>
      </c>
      <c r="DH384" t="e">
        <v>#N/A</v>
      </c>
    </row>
    <row r="385" spans="32:112">
      <c r="AF385">
        <v>375</v>
      </c>
      <c r="AG385" s="401">
        <f>'Lab test'!N378</f>
        <v>190.5</v>
      </c>
      <c r="AH385" s="401">
        <f>'Lab test'!M378</f>
        <v>0.52584058401116085</v>
      </c>
      <c r="AI385">
        <f>IF('Lab test'!O378&gt;0,'Lab test'!O378,NA())</f>
        <v>190.5</v>
      </c>
      <c r="AJ385">
        <f>'Lab test'!Q378</f>
        <v>362.2770965048918</v>
      </c>
      <c r="AK385" s="401">
        <f>IF('Lab test'!V378&gt;0,'Lab test'!V378,NA())</f>
        <v>70050.734098590561</v>
      </c>
      <c r="AL385" s="7">
        <f>IF(MAX('Lab test'!W378,'Lab test'!X378)&gt;0,MAX('Lab test'!W378,'Lab test'!X378),NA())</f>
        <v>262.62130529678291</v>
      </c>
      <c r="AM385" s="401">
        <f>IF('Lab test'!P378&gt;0,'Lab test'!P378,NA())</f>
        <v>5.2538728822700942E-2</v>
      </c>
      <c r="AN385" s="401">
        <f>IF('Lab test'!AU378&gt;0,'Lab test'!AU378,NA())</f>
        <v>0.24400270937253873</v>
      </c>
      <c r="AO385" s="401">
        <f>IF('Lab test'!AT378&gt;0,'Lab test'!AT378,NA())</f>
        <v>0.54756302660000011</v>
      </c>
      <c r="AP385">
        <f t="shared" si="151"/>
        <v>1</v>
      </c>
      <c r="AQ385" s="401">
        <f>'Lab test'!AZ378</f>
        <v>1933</v>
      </c>
      <c r="AR385" t="str">
        <f>'Lab test'!AC378</f>
        <v>LTWb</v>
      </c>
      <c r="AS385" t="str">
        <f>'Lab test'!T378</f>
        <v>Aluminium</v>
      </c>
      <c r="AX385" t="e">
        <f t="shared" si="136"/>
        <v>#N/A</v>
      </c>
      <c r="AY385" t="e">
        <f t="shared" si="155"/>
        <v>#N/A</v>
      </c>
      <c r="AZ385" t="e">
        <f t="shared" si="152"/>
        <v>#N/A</v>
      </c>
      <c r="BA385" t="e">
        <f t="shared" si="152"/>
        <v>#N/A</v>
      </c>
      <c r="BB385" t="e">
        <f t="shared" si="152"/>
        <v>#N/A</v>
      </c>
      <c r="BC385" t="e">
        <f t="shared" si="152"/>
        <v>#N/A</v>
      </c>
      <c r="BD385" t="e">
        <f t="shared" si="152"/>
        <v>#N/A</v>
      </c>
      <c r="BG385" t="e">
        <f t="shared" si="137"/>
        <v>#N/A</v>
      </c>
      <c r="BH385">
        <f t="shared" si="156"/>
        <v>70050.734098590561</v>
      </c>
      <c r="BI385" t="e">
        <f t="shared" si="153"/>
        <v>#N/A</v>
      </c>
      <c r="BJ385" t="e">
        <f t="shared" si="153"/>
        <v>#N/A</v>
      </c>
      <c r="BK385" t="e">
        <f t="shared" si="153"/>
        <v>#N/A</v>
      </c>
      <c r="BL385" t="e">
        <f t="shared" si="153"/>
        <v>#N/A</v>
      </c>
      <c r="BM385" t="e">
        <f t="shared" si="153"/>
        <v>#N/A</v>
      </c>
      <c r="BP385" t="e">
        <f t="shared" si="138"/>
        <v>#N/A</v>
      </c>
      <c r="BQ385" t="e">
        <f t="shared" si="157"/>
        <v>#N/A</v>
      </c>
      <c r="BR385" t="e">
        <f t="shared" si="154"/>
        <v>#N/A</v>
      </c>
      <c r="BS385" t="e">
        <f t="shared" si="154"/>
        <v>#N/A</v>
      </c>
      <c r="BT385" t="e">
        <f t="shared" si="154"/>
        <v>#N/A</v>
      </c>
      <c r="BU385" t="e">
        <f t="shared" si="154"/>
        <v>#N/A</v>
      </c>
      <c r="BV385" t="e">
        <f t="shared" si="154"/>
        <v>#N/A</v>
      </c>
      <c r="BY385" t="e">
        <f t="shared" si="139"/>
        <v>#N/A</v>
      </c>
      <c r="BZ385" t="e">
        <v>#N/A</v>
      </c>
      <c r="CA385" t="e" cm="1">
        <f t="array" ref="CA385">IF(ISNUMBER(BZ385),AF385/COUNT(IF(ISNUMBER(_xlfn.ANCHORARRAY($BZ$11)),_xlfn.ANCHORARRAY($BZ$11))),NA())</f>
        <v>#N/A</v>
      </c>
      <c r="CB385" t="e">
        <f t="shared" si="140"/>
        <v>#N/A</v>
      </c>
      <c r="CD385" t="e">
        <f t="shared" si="141"/>
        <v>#N/A</v>
      </c>
      <c r="CE385" t="e">
        <f t="shared" si="142"/>
        <v>#N/A</v>
      </c>
      <c r="CG385" t="e">
        <v>#N/A</v>
      </c>
      <c r="CH385" t="e">
        <v>#N/A</v>
      </c>
      <c r="CL385">
        <f t="shared" si="143"/>
        <v>70050.734098590561</v>
      </c>
      <c r="CM385" t="e">
        <v>#N/A</v>
      </c>
      <c r="CN385" t="e" cm="1">
        <f t="array" ref="CN385">IF(ISNUMBER(CM385),AF385/COUNT(IF(ISNUMBER(_xlfn.ANCHORARRAY($CM$11)),_xlfn.ANCHORARRAY($CM$11))),NA())</f>
        <v>#N/A</v>
      </c>
      <c r="CO385" t="e">
        <f t="shared" si="144"/>
        <v>#N/A</v>
      </c>
      <c r="CQ385" t="e">
        <f t="shared" si="145"/>
        <v>#N/A</v>
      </c>
      <c r="CR385" t="e">
        <f t="shared" si="146"/>
        <v>#N/A</v>
      </c>
      <c r="CT385" t="e">
        <v>#N/A</v>
      </c>
      <c r="CU385" t="e">
        <v>#N/A</v>
      </c>
      <c r="CY385" t="e">
        <f t="shared" si="147"/>
        <v>#N/A</v>
      </c>
      <c r="CZ385" t="e">
        <v>#N/A</v>
      </c>
      <c r="DA385" t="e" cm="1">
        <f t="array" ref="DA385">IF(ISNUMBER(CZ385),AF385/COUNT(IF(ISNUMBER(_xlfn.ANCHORARRAY($CZ$11)),_xlfn.ANCHORARRAY($CZ$11))),NA())</f>
        <v>#N/A</v>
      </c>
      <c r="DB385" t="e">
        <f t="shared" si="148"/>
        <v>#N/A</v>
      </c>
      <c r="DD385" t="e">
        <f t="shared" si="149"/>
        <v>#N/A</v>
      </c>
      <c r="DE385" t="e">
        <f t="shared" si="150"/>
        <v>#N/A</v>
      </c>
      <c r="DG385" t="e">
        <v>#N/A</v>
      </c>
      <c r="DH385" t="e">
        <v>#N/A</v>
      </c>
    </row>
    <row r="386" spans="32:112">
      <c r="AF386">
        <v>376</v>
      </c>
      <c r="AG386" s="401">
        <f>'Lab test'!N379</f>
        <v>190</v>
      </c>
      <c r="AH386" s="401">
        <f>'Lab test'!M379</f>
        <v>7.916666666666667</v>
      </c>
      <c r="AI386">
        <f>IF('Lab test'!O379&gt;0,'Lab test'!O379,NA())</f>
        <v>5500</v>
      </c>
      <c r="AJ386">
        <f>'Lab test'!Q379</f>
        <v>24</v>
      </c>
      <c r="AK386" s="401">
        <f>IF('Lab test'!V379&gt;0,'Lab test'!V379,NA())</f>
        <v>212500</v>
      </c>
      <c r="AL386" s="7">
        <f>IF(MAX('Lab test'!W379,'Lab test'!X379)&gt;0,MAX('Lab test'!W379,'Lab test'!X379),NA())</f>
        <v>271</v>
      </c>
      <c r="AM386" s="401">
        <f>IF('Lab test'!P379&gt;0,'Lab test'!P379,NA())</f>
        <v>5.908856835661175</v>
      </c>
      <c r="AN386" s="401">
        <f>IF('Lab test'!AU379&gt;0,'Lab test'!AU379,NA())</f>
        <v>0.9667307232158302</v>
      </c>
      <c r="AO386" s="401">
        <f>IF('Lab test'!AT379&gt;0,'Lab test'!AT379,NA())</f>
        <v>4.8888694771544478E-2</v>
      </c>
      <c r="AP386">
        <f t="shared" si="151"/>
        <v>1</v>
      </c>
      <c r="AQ386" s="401">
        <f>'Lab test'!AZ379</f>
        <v>1977</v>
      </c>
      <c r="AR386" t="str">
        <f>'Lab test'!AC379</f>
        <v>CLTW</v>
      </c>
      <c r="AS386" t="str">
        <f>'Lab test'!T379</f>
        <v>Steel</v>
      </c>
      <c r="AX386" t="e">
        <f t="shared" si="136"/>
        <v>#N/A</v>
      </c>
      <c r="AY386" t="e">
        <f t="shared" si="155"/>
        <v>#N/A</v>
      </c>
      <c r="AZ386" t="e">
        <f t="shared" si="152"/>
        <v>#N/A</v>
      </c>
      <c r="BA386" t="e">
        <f t="shared" si="152"/>
        <v>#N/A</v>
      </c>
      <c r="BB386" t="e">
        <f t="shared" si="152"/>
        <v>#N/A</v>
      </c>
      <c r="BC386" t="e">
        <f t="shared" si="152"/>
        <v>#N/A</v>
      </c>
      <c r="BD386" t="e">
        <f t="shared" si="152"/>
        <v>#N/A</v>
      </c>
      <c r="BG386" t="e">
        <f t="shared" si="137"/>
        <v>#N/A</v>
      </c>
      <c r="BH386" t="e">
        <f t="shared" si="156"/>
        <v>#N/A</v>
      </c>
      <c r="BI386" t="e">
        <f t="shared" si="153"/>
        <v>#N/A</v>
      </c>
      <c r="BJ386" t="e">
        <f t="shared" si="153"/>
        <v>#N/A</v>
      </c>
      <c r="BK386" t="e">
        <f t="shared" si="153"/>
        <v>#N/A</v>
      </c>
      <c r="BL386" t="e">
        <f t="shared" si="153"/>
        <v>#N/A</v>
      </c>
      <c r="BM386" t="e">
        <f t="shared" si="153"/>
        <v>#N/A</v>
      </c>
      <c r="BP386" t="e">
        <f t="shared" si="138"/>
        <v>#N/A</v>
      </c>
      <c r="BQ386" t="e">
        <f t="shared" si="157"/>
        <v>#N/A</v>
      </c>
      <c r="BR386" t="e">
        <f t="shared" si="154"/>
        <v>#N/A</v>
      </c>
      <c r="BS386" t="e">
        <f t="shared" si="154"/>
        <v>#N/A</v>
      </c>
      <c r="BT386" t="e">
        <f t="shared" si="154"/>
        <v>#N/A</v>
      </c>
      <c r="BU386" t="e">
        <f t="shared" si="154"/>
        <v>#N/A</v>
      </c>
      <c r="BV386" t="e">
        <f t="shared" si="154"/>
        <v>#N/A</v>
      </c>
      <c r="BY386" t="e">
        <f t="shared" si="139"/>
        <v>#N/A</v>
      </c>
      <c r="BZ386" t="e">
        <v>#N/A</v>
      </c>
      <c r="CA386" t="e" cm="1">
        <f t="array" ref="CA386">IF(ISNUMBER(BZ386),AF386/COUNT(IF(ISNUMBER(_xlfn.ANCHORARRAY($BZ$11)),_xlfn.ANCHORARRAY($BZ$11))),NA())</f>
        <v>#N/A</v>
      </c>
      <c r="CB386" t="e">
        <f t="shared" si="140"/>
        <v>#N/A</v>
      </c>
      <c r="CD386" t="e">
        <f t="shared" si="141"/>
        <v>#N/A</v>
      </c>
      <c r="CE386" t="e">
        <f t="shared" si="142"/>
        <v>#N/A</v>
      </c>
      <c r="CG386" t="e">
        <v>#N/A</v>
      </c>
      <c r="CH386" t="e">
        <v>#N/A</v>
      </c>
      <c r="CL386" t="e">
        <f t="shared" si="143"/>
        <v>#N/A</v>
      </c>
      <c r="CM386" t="e">
        <v>#N/A</v>
      </c>
      <c r="CN386" t="e" cm="1">
        <f t="array" ref="CN386">IF(ISNUMBER(CM386),AF386/COUNT(IF(ISNUMBER(_xlfn.ANCHORARRAY($CM$11)),_xlfn.ANCHORARRAY($CM$11))),NA())</f>
        <v>#N/A</v>
      </c>
      <c r="CO386" t="e">
        <f t="shared" si="144"/>
        <v>#N/A</v>
      </c>
      <c r="CQ386" t="e">
        <f t="shared" si="145"/>
        <v>#N/A</v>
      </c>
      <c r="CR386" t="e">
        <f t="shared" si="146"/>
        <v>#N/A</v>
      </c>
      <c r="CT386" t="e">
        <v>#N/A</v>
      </c>
      <c r="CU386" t="e">
        <v>#N/A</v>
      </c>
      <c r="CY386" t="e">
        <f t="shared" si="147"/>
        <v>#N/A</v>
      </c>
      <c r="CZ386" t="e">
        <v>#N/A</v>
      </c>
      <c r="DA386" t="e" cm="1">
        <f t="array" ref="DA386">IF(ISNUMBER(CZ386),AF386/COUNT(IF(ISNUMBER(_xlfn.ANCHORARRAY($CZ$11)),_xlfn.ANCHORARRAY($CZ$11))),NA())</f>
        <v>#N/A</v>
      </c>
      <c r="DB386" t="e">
        <f t="shared" si="148"/>
        <v>#N/A</v>
      </c>
      <c r="DD386" t="e">
        <f t="shared" si="149"/>
        <v>#N/A</v>
      </c>
      <c r="DE386" t="e">
        <f t="shared" si="150"/>
        <v>#N/A</v>
      </c>
      <c r="DG386" t="e">
        <v>#N/A</v>
      </c>
      <c r="DH386" t="e">
        <v>#N/A</v>
      </c>
    </row>
    <row r="387" spans="32:112">
      <c r="AF387">
        <v>377</v>
      </c>
      <c r="AG387" s="401">
        <f>'Lab test'!N380</f>
        <v>190</v>
      </c>
      <c r="AH387" s="401">
        <f>'Lab test'!M380</f>
        <v>7.916666666666667</v>
      </c>
      <c r="AI387">
        <f>IF('Lab test'!O380&gt;0,'Lab test'!O380,NA())</f>
        <v>5500</v>
      </c>
      <c r="AJ387">
        <f>'Lab test'!Q380</f>
        <v>24</v>
      </c>
      <c r="AK387" s="401">
        <f>IF('Lab test'!V380&gt;0,'Lab test'!V380,NA())</f>
        <v>212500</v>
      </c>
      <c r="AL387" s="7">
        <f>IF(MAX('Lab test'!W380,'Lab test'!X380)&gt;0,MAX('Lab test'!W380,'Lab test'!X380),NA())</f>
        <v>271</v>
      </c>
      <c r="AM387" s="401">
        <f>IF('Lab test'!P380&gt;0,'Lab test'!P380,NA())</f>
        <v>5.908856835661175</v>
      </c>
      <c r="AN387" s="401">
        <f>IF('Lab test'!AU380&gt;0,'Lab test'!AU380,NA())</f>
        <v>0.97297777150801645</v>
      </c>
      <c r="AO387" s="401">
        <f>IF('Lab test'!AT380&gt;0,'Lab test'!AT380,NA())</f>
        <v>4.9204615254720849E-2</v>
      </c>
      <c r="AP387">
        <f t="shared" si="151"/>
        <v>1</v>
      </c>
      <c r="AQ387" s="401">
        <f>'Lab test'!AZ380</f>
        <v>1977</v>
      </c>
      <c r="AR387" t="str">
        <f>'Lab test'!AC380</f>
        <v>CLTW</v>
      </c>
      <c r="AS387" t="str">
        <f>'Lab test'!T380</f>
        <v>Steel</v>
      </c>
      <c r="AX387" t="e">
        <f t="shared" si="136"/>
        <v>#N/A</v>
      </c>
      <c r="AY387" t="e">
        <f t="shared" si="155"/>
        <v>#N/A</v>
      </c>
      <c r="AZ387" t="e">
        <f t="shared" si="152"/>
        <v>#N/A</v>
      </c>
      <c r="BA387" t="e">
        <f t="shared" si="152"/>
        <v>#N/A</v>
      </c>
      <c r="BB387" t="e">
        <f t="shared" si="152"/>
        <v>#N/A</v>
      </c>
      <c r="BC387" t="e">
        <f t="shared" si="152"/>
        <v>#N/A</v>
      </c>
      <c r="BD387" t="e">
        <f t="shared" si="152"/>
        <v>#N/A</v>
      </c>
      <c r="BG387" t="e">
        <f t="shared" si="137"/>
        <v>#N/A</v>
      </c>
      <c r="BH387" t="e">
        <f t="shared" si="156"/>
        <v>#N/A</v>
      </c>
      <c r="BI387" t="e">
        <f t="shared" si="153"/>
        <v>#N/A</v>
      </c>
      <c r="BJ387" t="e">
        <f t="shared" si="153"/>
        <v>#N/A</v>
      </c>
      <c r="BK387" t="e">
        <f t="shared" si="153"/>
        <v>#N/A</v>
      </c>
      <c r="BL387" t="e">
        <f t="shared" si="153"/>
        <v>#N/A</v>
      </c>
      <c r="BM387" t="e">
        <f t="shared" si="153"/>
        <v>#N/A</v>
      </c>
      <c r="BP387" t="e">
        <f t="shared" si="138"/>
        <v>#N/A</v>
      </c>
      <c r="BQ387" t="e">
        <f t="shared" si="157"/>
        <v>#N/A</v>
      </c>
      <c r="BR387" t="e">
        <f t="shared" si="154"/>
        <v>#N/A</v>
      </c>
      <c r="BS387" t="e">
        <f t="shared" si="154"/>
        <v>#N/A</v>
      </c>
      <c r="BT387" t="e">
        <f t="shared" si="154"/>
        <v>#N/A</v>
      </c>
      <c r="BU387" t="e">
        <f t="shared" si="154"/>
        <v>#N/A</v>
      </c>
      <c r="BV387" t="e">
        <f t="shared" si="154"/>
        <v>#N/A</v>
      </c>
      <c r="BY387" t="e">
        <f t="shared" si="139"/>
        <v>#N/A</v>
      </c>
      <c r="BZ387" t="e">
        <v>#N/A</v>
      </c>
      <c r="CA387" t="e" cm="1">
        <f t="array" ref="CA387">IF(ISNUMBER(BZ387),AF387/COUNT(IF(ISNUMBER(_xlfn.ANCHORARRAY($BZ$11)),_xlfn.ANCHORARRAY($BZ$11))),NA())</f>
        <v>#N/A</v>
      </c>
      <c r="CB387" t="e">
        <f t="shared" si="140"/>
        <v>#N/A</v>
      </c>
      <c r="CD387" t="e">
        <f t="shared" si="141"/>
        <v>#N/A</v>
      </c>
      <c r="CE387" t="e">
        <f t="shared" si="142"/>
        <v>#N/A</v>
      </c>
      <c r="CG387" t="e">
        <v>#N/A</v>
      </c>
      <c r="CH387" t="e">
        <v>#N/A</v>
      </c>
      <c r="CL387" t="e">
        <f t="shared" si="143"/>
        <v>#N/A</v>
      </c>
      <c r="CM387" t="e">
        <v>#N/A</v>
      </c>
      <c r="CN387" t="e" cm="1">
        <f t="array" ref="CN387">IF(ISNUMBER(CM387),AF387/COUNT(IF(ISNUMBER(_xlfn.ANCHORARRAY($CM$11)),_xlfn.ANCHORARRAY($CM$11))),NA())</f>
        <v>#N/A</v>
      </c>
      <c r="CO387" t="e">
        <f t="shared" si="144"/>
        <v>#N/A</v>
      </c>
      <c r="CQ387" t="e">
        <f t="shared" si="145"/>
        <v>#N/A</v>
      </c>
      <c r="CR387" t="e">
        <f t="shared" si="146"/>
        <v>#N/A</v>
      </c>
      <c r="CT387" t="e">
        <v>#N/A</v>
      </c>
      <c r="CU387" t="e">
        <v>#N/A</v>
      </c>
      <c r="CY387" t="e">
        <f t="shared" si="147"/>
        <v>#N/A</v>
      </c>
      <c r="CZ387" t="e">
        <v>#N/A</v>
      </c>
      <c r="DA387" t="e" cm="1">
        <f t="array" ref="DA387">IF(ISNUMBER(CZ387),AF387/COUNT(IF(ISNUMBER(_xlfn.ANCHORARRAY($CZ$11)),_xlfn.ANCHORARRAY($CZ$11))),NA())</f>
        <v>#N/A</v>
      </c>
      <c r="DB387" t="e">
        <f t="shared" si="148"/>
        <v>#N/A</v>
      </c>
      <c r="DD387" t="e">
        <f t="shared" si="149"/>
        <v>#N/A</v>
      </c>
      <c r="DE387" t="e">
        <f t="shared" si="150"/>
        <v>#N/A</v>
      </c>
      <c r="DG387" t="e">
        <v>#N/A</v>
      </c>
      <c r="DH387" t="e">
        <v>#N/A</v>
      </c>
    </row>
    <row r="388" spans="32:112">
      <c r="AF388">
        <v>378</v>
      </c>
      <c r="AG388" s="401">
        <f>'Lab test'!N381</f>
        <v>190</v>
      </c>
      <c r="AH388" s="401">
        <f>'Lab test'!M381</f>
        <v>7.916666666666667</v>
      </c>
      <c r="AI388">
        <f>IF('Lab test'!O381&gt;0,'Lab test'!O381,NA())</f>
        <v>7600</v>
      </c>
      <c r="AJ388">
        <f>'Lab test'!Q381</f>
        <v>24</v>
      </c>
      <c r="AK388" s="401">
        <f>IF('Lab test'!V381&gt;0,'Lab test'!V381,NA())</f>
        <v>212500</v>
      </c>
      <c r="AL388" s="7">
        <f>IF(MAX('Lab test'!W381,'Lab test'!X381)&gt;0,MAX('Lab test'!W381,'Lab test'!X381),NA())</f>
        <v>308</v>
      </c>
      <c r="AM388" s="401">
        <f>IF('Lab test'!P381&gt;0,'Lab test'!P381,NA())</f>
        <v>8.1649658092772608</v>
      </c>
      <c r="AN388" s="401">
        <f>IF('Lab test'!AU381&gt;0,'Lab test'!AU381,NA())</f>
        <v>0.77982887538641377</v>
      </c>
      <c r="AO388" s="401">
        <f>IF('Lab test'!AT381&gt;0,'Lab test'!AT381,NA())</f>
        <v>4.4821218550648606E-2</v>
      </c>
      <c r="AP388">
        <f t="shared" si="151"/>
        <v>1</v>
      </c>
      <c r="AQ388" s="401">
        <f>'Lab test'!AZ381</f>
        <v>1977</v>
      </c>
      <c r="AR388" t="str">
        <f>'Lab test'!AC381</f>
        <v>CLTW</v>
      </c>
      <c r="AS388" t="str">
        <f>'Lab test'!T381</f>
        <v>Steel</v>
      </c>
      <c r="AX388" t="e">
        <f t="shared" si="136"/>
        <v>#N/A</v>
      </c>
      <c r="AY388" t="e">
        <f t="shared" si="155"/>
        <v>#N/A</v>
      </c>
      <c r="AZ388" t="e">
        <f t="shared" si="152"/>
        <v>#N/A</v>
      </c>
      <c r="BA388" t="e">
        <f t="shared" si="152"/>
        <v>#N/A</v>
      </c>
      <c r="BB388" t="e">
        <f t="shared" si="152"/>
        <v>#N/A</v>
      </c>
      <c r="BC388" t="e">
        <f t="shared" si="152"/>
        <v>#N/A</v>
      </c>
      <c r="BD388" t="e">
        <f t="shared" si="152"/>
        <v>#N/A</v>
      </c>
      <c r="BG388" t="e">
        <f t="shared" si="137"/>
        <v>#N/A</v>
      </c>
      <c r="BH388" t="e">
        <f t="shared" si="156"/>
        <v>#N/A</v>
      </c>
      <c r="BI388" t="e">
        <f t="shared" si="153"/>
        <v>#N/A</v>
      </c>
      <c r="BJ388" t="e">
        <f t="shared" si="153"/>
        <v>#N/A</v>
      </c>
      <c r="BK388" t="e">
        <f t="shared" si="153"/>
        <v>#N/A</v>
      </c>
      <c r="BL388" t="e">
        <f t="shared" si="153"/>
        <v>#N/A</v>
      </c>
      <c r="BM388" t="e">
        <f t="shared" si="153"/>
        <v>#N/A</v>
      </c>
      <c r="BP388" t="e">
        <f t="shared" si="138"/>
        <v>#N/A</v>
      </c>
      <c r="BQ388" t="e">
        <f t="shared" si="157"/>
        <v>#N/A</v>
      </c>
      <c r="BR388" t="e">
        <f t="shared" si="154"/>
        <v>#N/A</v>
      </c>
      <c r="BS388" t="e">
        <f t="shared" si="154"/>
        <v>#N/A</v>
      </c>
      <c r="BT388" t="e">
        <f t="shared" si="154"/>
        <v>#N/A</v>
      </c>
      <c r="BU388" t="e">
        <f t="shared" si="154"/>
        <v>#N/A</v>
      </c>
      <c r="BV388" t="e">
        <f t="shared" si="154"/>
        <v>#N/A</v>
      </c>
      <c r="BY388" t="e">
        <f t="shared" si="139"/>
        <v>#N/A</v>
      </c>
      <c r="BZ388" t="e">
        <v>#N/A</v>
      </c>
      <c r="CA388" t="e" cm="1">
        <f t="array" ref="CA388">IF(ISNUMBER(BZ388),AF388/COUNT(IF(ISNUMBER(_xlfn.ANCHORARRAY($BZ$11)),_xlfn.ANCHORARRAY($BZ$11))),NA())</f>
        <v>#N/A</v>
      </c>
      <c r="CB388" t="e">
        <f t="shared" si="140"/>
        <v>#N/A</v>
      </c>
      <c r="CD388" t="e">
        <f t="shared" si="141"/>
        <v>#N/A</v>
      </c>
      <c r="CE388" t="e">
        <f t="shared" si="142"/>
        <v>#N/A</v>
      </c>
      <c r="CG388" t="e">
        <v>#N/A</v>
      </c>
      <c r="CH388" t="e">
        <v>#N/A</v>
      </c>
      <c r="CL388" t="e">
        <f t="shared" si="143"/>
        <v>#N/A</v>
      </c>
      <c r="CM388" t="e">
        <v>#N/A</v>
      </c>
      <c r="CN388" t="e" cm="1">
        <f t="array" ref="CN388">IF(ISNUMBER(CM388),AF388/COUNT(IF(ISNUMBER(_xlfn.ANCHORARRAY($CM$11)),_xlfn.ANCHORARRAY($CM$11))),NA())</f>
        <v>#N/A</v>
      </c>
      <c r="CO388" t="e">
        <f t="shared" si="144"/>
        <v>#N/A</v>
      </c>
      <c r="CQ388" t="e">
        <f t="shared" si="145"/>
        <v>#N/A</v>
      </c>
      <c r="CR388" t="e">
        <f t="shared" si="146"/>
        <v>#N/A</v>
      </c>
      <c r="CT388" t="e">
        <v>#N/A</v>
      </c>
      <c r="CU388" t="e">
        <v>#N/A</v>
      </c>
      <c r="CY388" t="e">
        <f t="shared" si="147"/>
        <v>#N/A</v>
      </c>
      <c r="CZ388" t="e">
        <v>#N/A</v>
      </c>
      <c r="DA388" t="e" cm="1">
        <f t="array" ref="DA388">IF(ISNUMBER(CZ388),AF388/COUNT(IF(ISNUMBER(_xlfn.ANCHORARRAY($CZ$11)),_xlfn.ANCHORARRAY($CZ$11))),NA())</f>
        <v>#N/A</v>
      </c>
      <c r="DB388" t="e">
        <f t="shared" si="148"/>
        <v>#N/A</v>
      </c>
      <c r="DD388" t="e">
        <f t="shared" si="149"/>
        <v>#N/A</v>
      </c>
      <c r="DE388" t="e">
        <f t="shared" si="150"/>
        <v>#N/A</v>
      </c>
      <c r="DG388" t="e">
        <v>#N/A</v>
      </c>
      <c r="DH388" t="e">
        <v>#N/A</v>
      </c>
    </row>
    <row r="389" spans="32:112">
      <c r="AF389">
        <v>379</v>
      </c>
      <c r="AG389" s="401">
        <f>'Lab test'!N382</f>
        <v>190</v>
      </c>
      <c r="AH389" s="401">
        <f>'Lab test'!M382</f>
        <v>7.916666666666667</v>
      </c>
      <c r="AI389">
        <f>IF('Lab test'!O382&gt;0,'Lab test'!O382,NA())</f>
        <v>7600</v>
      </c>
      <c r="AJ389">
        <f>'Lab test'!Q382</f>
        <v>24</v>
      </c>
      <c r="AK389" s="401">
        <f>IF('Lab test'!V382&gt;0,'Lab test'!V382,NA())</f>
        <v>212500</v>
      </c>
      <c r="AL389" s="7">
        <f>IF(MAX('Lab test'!W382,'Lab test'!X382)&gt;0,MAX('Lab test'!W382,'Lab test'!X382),NA())</f>
        <v>308</v>
      </c>
      <c r="AM389" s="401">
        <f>IF('Lab test'!P382&gt;0,'Lab test'!P382,NA())</f>
        <v>8.1649658092772608</v>
      </c>
      <c r="AN389" s="401">
        <f>IF('Lab test'!AU382&gt;0,'Lab test'!AU382,NA())</f>
        <v>0.7887608360736591</v>
      </c>
      <c r="AO389" s="401">
        <f>IF('Lab test'!AT382&gt;0,'Lab test'!AT382,NA())</f>
        <v>4.5334589335810221E-2</v>
      </c>
      <c r="AP389">
        <f t="shared" si="151"/>
        <v>1</v>
      </c>
      <c r="AQ389" s="401">
        <f>'Lab test'!AZ382</f>
        <v>1977</v>
      </c>
      <c r="AR389" t="str">
        <f>'Lab test'!AC382</f>
        <v>CLTW</v>
      </c>
      <c r="AS389" t="str">
        <f>'Lab test'!T382</f>
        <v>Steel</v>
      </c>
      <c r="AX389" t="e">
        <f t="shared" si="136"/>
        <v>#N/A</v>
      </c>
      <c r="AY389" t="e">
        <f t="shared" si="155"/>
        <v>#N/A</v>
      </c>
      <c r="AZ389" t="e">
        <f t="shared" si="152"/>
        <v>#N/A</v>
      </c>
      <c r="BA389" t="e">
        <f t="shared" si="152"/>
        <v>#N/A</v>
      </c>
      <c r="BB389" t="e">
        <f t="shared" si="152"/>
        <v>#N/A</v>
      </c>
      <c r="BC389" t="e">
        <f t="shared" si="152"/>
        <v>#N/A</v>
      </c>
      <c r="BD389" t="e">
        <f t="shared" si="152"/>
        <v>#N/A</v>
      </c>
      <c r="BG389" t="e">
        <f t="shared" si="137"/>
        <v>#N/A</v>
      </c>
      <c r="BH389" t="e">
        <f t="shared" si="156"/>
        <v>#N/A</v>
      </c>
      <c r="BI389" t="e">
        <f t="shared" si="153"/>
        <v>#N/A</v>
      </c>
      <c r="BJ389" t="e">
        <f t="shared" si="153"/>
        <v>#N/A</v>
      </c>
      <c r="BK389" t="e">
        <f t="shared" si="153"/>
        <v>#N/A</v>
      </c>
      <c r="BL389" t="e">
        <f t="shared" si="153"/>
        <v>#N/A</v>
      </c>
      <c r="BM389" t="e">
        <f t="shared" si="153"/>
        <v>#N/A</v>
      </c>
      <c r="BP389" t="e">
        <f t="shared" si="138"/>
        <v>#N/A</v>
      </c>
      <c r="BQ389" t="e">
        <f t="shared" si="157"/>
        <v>#N/A</v>
      </c>
      <c r="BR389" t="e">
        <f t="shared" si="154"/>
        <v>#N/A</v>
      </c>
      <c r="BS389" t="e">
        <f t="shared" si="154"/>
        <v>#N/A</v>
      </c>
      <c r="BT389" t="e">
        <f t="shared" si="154"/>
        <v>#N/A</v>
      </c>
      <c r="BU389" t="e">
        <f t="shared" si="154"/>
        <v>#N/A</v>
      </c>
      <c r="BV389" t="e">
        <f t="shared" si="154"/>
        <v>#N/A</v>
      </c>
      <c r="BY389" t="e">
        <f t="shared" si="139"/>
        <v>#N/A</v>
      </c>
      <c r="BZ389" t="e">
        <v>#N/A</v>
      </c>
      <c r="CA389" t="e" cm="1">
        <f t="array" ref="CA389">IF(ISNUMBER(BZ389),AF389/COUNT(IF(ISNUMBER(_xlfn.ANCHORARRAY($BZ$11)),_xlfn.ANCHORARRAY($BZ$11))),NA())</f>
        <v>#N/A</v>
      </c>
      <c r="CB389" t="e">
        <f t="shared" si="140"/>
        <v>#N/A</v>
      </c>
      <c r="CD389" t="e">
        <f t="shared" si="141"/>
        <v>#N/A</v>
      </c>
      <c r="CE389" t="e">
        <f t="shared" si="142"/>
        <v>#N/A</v>
      </c>
      <c r="CG389" t="e">
        <v>#N/A</v>
      </c>
      <c r="CH389" t="e">
        <v>#N/A</v>
      </c>
      <c r="CL389" t="e">
        <f t="shared" si="143"/>
        <v>#N/A</v>
      </c>
      <c r="CM389" t="e">
        <v>#N/A</v>
      </c>
      <c r="CN389" t="e" cm="1">
        <f t="array" ref="CN389">IF(ISNUMBER(CM389),AF389/COUNT(IF(ISNUMBER(_xlfn.ANCHORARRAY($CM$11)),_xlfn.ANCHORARRAY($CM$11))),NA())</f>
        <v>#N/A</v>
      </c>
      <c r="CO389" t="e">
        <f t="shared" si="144"/>
        <v>#N/A</v>
      </c>
      <c r="CQ389" t="e">
        <f t="shared" si="145"/>
        <v>#N/A</v>
      </c>
      <c r="CR389" t="e">
        <f t="shared" si="146"/>
        <v>#N/A</v>
      </c>
      <c r="CT389" t="e">
        <v>#N/A</v>
      </c>
      <c r="CU389" t="e">
        <v>#N/A</v>
      </c>
      <c r="CY389" t="e">
        <f t="shared" si="147"/>
        <v>#N/A</v>
      </c>
      <c r="CZ389" t="e">
        <v>#N/A</v>
      </c>
      <c r="DA389" t="e" cm="1">
        <f t="array" ref="DA389">IF(ISNUMBER(CZ389),AF389/COUNT(IF(ISNUMBER(_xlfn.ANCHORARRAY($CZ$11)),_xlfn.ANCHORARRAY($CZ$11))),NA())</f>
        <v>#N/A</v>
      </c>
      <c r="DB389" t="e">
        <f t="shared" si="148"/>
        <v>#N/A</v>
      </c>
      <c r="DD389" t="e">
        <f t="shared" si="149"/>
        <v>#N/A</v>
      </c>
      <c r="DE389" t="e">
        <f t="shared" si="150"/>
        <v>#N/A</v>
      </c>
      <c r="DG389" t="e">
        <v>#N/A</v>
      </c>
      <c r="DH389" t="e">
        <v>#N/A</v>
      </c>
    </row>
    <row r="390" spans="32:112">
      <c r="AF390">
        <v>380</v>
      </c>
      <c r="AG390" s="401">
        <f>'Lab test'!N383</f>
        <v>280</v>
      </c>
      <c r="AH390" s="401">
        <f>'Lab test'!M383</f>
        <v>8</v>
      </c>
      <c r="AI390">
        <f>IF('Lab test'!O383&gt;0,'Lab test'!O383,NA())</f>
        <v>7600</v>
      </c>
      <c r="AJ390">
        <f>'Lab test'!Q383</f>
        <v>35</v>
      </c>
      <c r="AK390" s="401">
        <f>IF('Lab test'!V383&gt;0,'Lab test'!V383,NA())</f>
        <v>212500</v>
      </c>
      <c r="AL390" s="7">
        <f>IF(MAX('Lab test'!W383,'Lab test'!X383)&gt;0,MAX('Lab test'!W383,'Lab test'!X383),NA())</f>
        <v>308</v>
      </c>
      <c r="AM390" s="401">
        <f>IF('Lab test'!P383&gt;0,'Lab test'!P383,NA())</f>
        <v>4.5879802399548035</v>
      </c>
      <c r="AN390" s="401">
        <f>IF('Lab test'!AU383&gt;0,'Lab test'!AU383,NA())</f>
        <v>0.98341477620702389</v>
      </c>
      <c r="AO390" s="401">
        <f>IF('Lab test'!AT383&gt;0,'Lab test'!AT383,NA())</f>
        <v>8.2428591603750365E-2</v>
      </c>
      <c r="AP390">
        <f t="shared" si="151"/>
        <v>1</v>
      </c>
      <c r="AQ390" s="401">
        <f>'Lab test'!AZ383</f>
        <v>1977</v>
      </c>
      <c r="AR390" t="str">
        <f>'Lab test'!AC383</f>
        <v>CLTW</v>
      </c>
      <c r="AS390" t="str">
        <f>'Lab test'!T383</f>
        <v>Steel</v>
      </c>
      <c r="AX390" t="e">
        <f t="shared" si="136"/>
        <v>#N/A</v>
      </c>
      <c r="AY390" t="e">
        <f t="shared" si="155"/>
        <v>#N/A</v>
      </c>
      <c r="AZ390" t="e">
        <f t="shared" si="152"/>
        <v>#N/A</v>
      </c>
      <c r="BA390" t="e">
        <f t="shared" si="152"/>
        <v>#N/A</v>
      </c>
      <c r="BB390" t="e">
        <f t="shared" si="152"/>
        <v>#N/A</v>
      </c>
      <c r="BC390" t="e">
        <f t="shared" si="152"/>
        <v>#N/A</v>
      </c>
      <c r="BD390" t="e">
        <f t="shared" si="152"/>
        <v>#N/A</v>
      </c>
      <c r="BG390" t="e">
        <f t="shared" si="137"/>
        <v>#N/A</v>
      </c>
      <c r="BH390" t="e">
        <f t="shared" si="156"/>
        <v>#N/A</v>
      </c>
      <c r="BI390" t="e">
        <f t="shared" si="153"/>
        <v>#N/A</v>
      </c>
      <c r="BJ390" t="e">
        <f t="shared" si="153"/>
        <v>#N/A</v>
      </c>
      <c r="BK390" t="e">
        <f t="shared" si="153"/>
        <v>#N/A</v>
      </c>
      <c r="BL390" t="e">
        <f t="shared" si="153"/>
        <v>#N/A</v>
      </c>
      <c r="BM390" t="e">
        <f t="shared" si="153"/>
        <v>#N/A</v>
      </c>
      <c r="BP390" t="e">
        <f t="shared" si="138"/>
        <v>#N/A</v>
      </c>
      <c r="BQ390" t="e">
        <f t="shared" si="157"/>
        <v>#N/A</v>
      </c>
      <c r="BR390" t="e">
        <f t="shared" si="154"/>
        <v>#N/A</v>
      </c>
      <c r="BS390" t="e">
        <f t="shared" si="154"/>
        <v>#N/A</v>
      </c>
      <c r="BT390" t="e">
        <f t="shared" si="154"/>
        <v>#N/A</v>
      </c>
      <c r="BU390" t="e">
        <f t="shared" si="154"/>
        <v>#N/A</v>
      </c>
      <c r="BV390" t="e">
        <f t="shared" si="154"/>
        <v>#N/A</v>
      </c>
      <c r="BY390" t="e">
        <f t="shared" si="139"/>
        <v>#N/A</v>
      </c>
      <c r="BZ390" t="e">
        <v>#N/A</v>
      </c>
      <c r="CA390" t="e" cm="1">
        <f t="array" ref="CA390">IF(ISNUMBER(BZ390),AF390/COUNT(IF(ISNUMBER(_xlfn.ANCHORARRAY($BZ$11)),_xlfn.ANCHORARRAY($BZ$11))),NA())</f>
        <v>#N/A</v>
      </c>
      <c r="CB390" t="e">
        <f t="shared" si="140"/>
        <v>#N/A</v>
      </c>
      <c r="CD390" t="e">
        <f t="shared" si="141"/>
        <v>#N/A</v>
      </c>
      <c r="CE390" t="e">
        <f t="shared" si="142"/>
        <v>#N/A</v>
      </c>
      <c r="CG390" t="e">
        <v>#N/A</v>
      </c>
      <c r="CH390" t="e">
        <v>#N/A</v>
      </c>
      <c r="CL390" t="e">
        <f t="shared" si="143"/>
        <v>#N/A</v>
      </c>
      <c r="CM390" t="e">
        <v>#N/A</v>
      </c>
      <c r="CN390" t="e" cm="1">
        <f t="array" ref="CN390">IF(ISNUMBER(CM390),AF390/COUNT(IF(ISNUMBER(_xlfn.ANCHORARRAY($CM$11)),_xlfn.ANCHORARRAY($CM$11))),NA())</f>
        <v>#N/A</v>
      </c>
      <c r="CO390" t="e">
        <f t="shared" si="144"/>
        <v>#N/A</v>
      </c>
      <c r="CQ390" t="e">
        <f t="shared" si="145"/>
        <v>#N/A</v>
      </c>
      <c r="CR390" t="e">
        <f t="shared" si="146"/>
        <v>#N/A</v>
      </c>
      <c r="CT390" t="e">
        <v>#N/A</v>
      </c>
      <c r="CU390" t="e">
        <v>#N/A</v>
      </c>
      <c r="CY390" t="e">
        <f t="shared" si="147"/>
        <v>#N/A</v>
      </c>
      <c r="CZ390" t="e">
        <v>#N/A</v>
      </c>
      <c r="DA390" t="e" cm="1">
        <f t="array" ref="DA390">IF(ISNUMBER(CZ390),AF390/COUNT(IF(ISNUMBER(_xlfn.ANCHORARRAY($CZ$11)),_xlfn.ANCHORARRAY($CZ$11))),NA())</f>
        <v>#N/A</v>
      </c>
      <c r="DB390" t="e">
        <f t="shared" si="148"/>
        <v>#N/A</v>
      </c>
      <c r="DD390" t="e">
        <f t="shared" si="149"/>
        <v>#N/A</v>
      </c>
      <c r="DE390" t="e">
        <f t="shared" si="150"/>
        <v>#N/A</v>
      </c>
      <c r="DG390" t="e">
        <v>#N/A</v>
      </c>
      <c r="DH390" t="e">
        <v>#N/A</v>
      </c>
    </row>
    <row r="391" spans="32:112">
      <c r="AF391">
        <v>381</v>
      </c>
      <c r="AG391" s="401">
        <f>'Lab test'!N384</f>
        <v>280</v>
      </c>
      <c r="AH391" s="401">
        <f>'Lab test'!M384</f>
        <v>8</v>
      </c>
      <c r="AI391">
        <f>IF('Lab test'!O384&gt;0,'Lab test'!O384,NA())</f>
        <v>7600</v>
      </c>
      <c r="AJ391">
        <f>'Lab test'!Q384</f>
        <v>35</v>
      </c>
      <c r="AK391" s="401">
        <f>IF('Lab test'!V384&gt;0,'Lab test'!V384,NA())</f>
        <v>212500</v>
      </c>
      <c r="AL391" s="7">
        <f>IF(MAX('Lab test'!W384,'Lab test'!X384)&gt;0,MAX('Lab test'!W384,'Lab test'!X384),NA())</f>
        <v>308</v>
      </c>
      <c r="AM391" s="401">
        <f>IF('Lab test'!P384&gt;0,'Lab test'!P384,NA())</f>
        <v>4.5879802399548035</v>
      </c>
      <c r="AN391" s="401">
        <f>IF('Lab test'!AU384&gt;0,'Lab test'!AU384,NA())</f>
        <v>0.94858117751894955</v>
      </c>
      <c r="AO391" s="401">
        <f>IF('Lab test'!AT384&gt;0,'Lab test'!AT384,NA())</f>
        <v>7.9508883104532371E-2</v>
      </c>
      <c r="AP391">
        <f t="shared" si="151"/>
        <v>1</v>
      </c>
      <c r="AQ391" s="401">
        <f>'Lab test'!AZ384</f>
        <v>1977</v>
      </c>
      <c r="AR391" t="str">
        <f>'Lab test'!AC384</f>
        <v>CLTW</v>
      </c>
      <c r="AS391" t="str">
        <f>'Lab test'!T384</f>
        <v>Steel</v>
      </c>
      <c r="AX391" t="e">
        <f t="shared" si="136"/>
        <v>#N/A</v>
      </c>
      <c r="AY391" t="e">
        <f t="shared" si="155"/>
        <v>#N/A</v>
      </c>
      <c r="AZ391" t="e">
        <f t="shared" si="152"/>
        <v>#N/A</v>
      </c>
      <c r="BA391" t="e">
        <f t="shared" si="152"/>
        <v>#N/A</v>
      </c>
      <c r="BB391" t="e">
        <f t="shared" si="152"/>
        <v>#N/A</v>
      </c>
      <c r="BC391" t="e">
        <f t="shared" si="152"/>
        <v>#N/A</v>
      </c>
      <c r="BD391" t="e">
        <f t="shared" si="152"/>
        <v>#N/A</v>
      </c>
      <c r="BG391" t="e">
        <f t="shared" si="137"/>
        <v>#N/A</v>
      </c>
      <c r="BH391" t="e">
        <f t="shared" si="156"/>
        <v>#N/A</v>
      </c>
      <c r="BI391" t="e">
        <f t="shared" si="153"/>
        <v>#N/A</v>
      </c>
      <c r="BJ391" t="e">
        <f t="shared" si="153"/>
        <v>#N/A</v>
      </c>
      <c r="BK391" t="e">
        <f t="shared" si="153"/>
        <v>#N/A</v>
      </c>
      <c r="BL391" t="e">
        <f t="shared" si="153"/>
        <v>#N/A</v>
      </c>
      <c r="BM391" t="e">
        <f t="shared" si="153"/>
        <v>#N/A</v>
      </c>
      <c r="BP391" t="e">
        <f t="shared" si="138"/>
        <v>#N/A</v>
      </c>
      <c r="BQ391" t="e">
        <f t="shared" si="157"/>
        <v>#N/A</v>
      </c>
      <c r="BR391" t="e">
        <f t="shared" si="154"/>
        <v>#N/A</v>
      </c>
      <c r="BS391" t="e">
        <f t="shared" si="154"/>
        <v>#N/A</v>
      </c>
      <c r="BT391" t="e">
        <f t="shared" si="154"/>
        <v>#N/A</v>
      </c>
      <c r="BU391" t="e">
        <f t="shared" si="154"/>
        <v>#N/A</v>
      </c>
      <c r="BV391" t="e">
        <f t="shared" si="154"/>
        <v>#N/A</v>
      </c>
      <c r="BY391" t="e">
        <f t="shared" si="139"/>
        <v>#N/A</v>
      </c>
      <c r="BZ391" t="e">
        <v>#N/A</v>
      </c>
      <c r="CA391" t="e" cm="1">
        <f t="array" ref="CA391">IF(ISNUMBER(BZ391),AF391/COUNT(IF(ISNUMBER(_xlfn.ANCHORARRAY($BZ$11)),_xlfn.ANCHORARRAY($BZ$11))),NA())</f>
        <v>#N/A</v>
      </c>
      <c r="CB391" t="e">
        <f t="shared" si="140"/>
        <v>#N/A</v>
      </c>
      <c r="CD391" t="e">
        <f t="shared" si="141"/>
        <v>#N/A</v>
      </c>
      <c r="CE391" t="e">
        <f t="shared" si="142"/>
        <v>#N/A</v>
      </c>
      <c r="CG391" t="e">
        <v>#N/A</v>
      </c>
      <c r="CH391" t="e">
        <v>#N/A</v>
      </c>
      <c r="CL391" t="e">
        <f t="shared" si="143"/>
        <v>#N/A</v>
      </c>
      <c r="CM391" t="e">
        <v>#N/A</v>
      </c>
      <c r="CN391" t="e" cm="1">
        <f t="array" ref="CN391">IF(ISNUMBER(CM391),AF391/COUNT(IF(ISNUMBER(_xlfn.ANCHORARRAY($CM$11)),_xlfn.ANCHORARRAY($CM$11))),NA())</f>
        <v>#N/A</v>
      </c>
      <c r="CO391" t="e">
        <f t="shared" si="144"/>
        <v>#N/A</v>
      </c>
      <c r="CQ391" t="e">
        <f t="shared" si="145"/>
        <v>#N/A</v>
      </c>
      <c r="CR391" t="e">
        <f t="shared" si="146"/>
        <v>#N/A</v>
      </c>
      <c r="CT391" t="e">
        <v>#N/A</v>
      </c>
      <c r="CU391" t="e">
        <v>#N/A</v>
      </c>
      <c r="CY391" t="e">
        <f t="shared" si="147"/>
        <v>#N/A</v>
      </c>
      <c r="CZ391" t="e">
        <v>#N/A</v>
      </c>
      <c r="DA391" t="e" cm="1">
        <f t="array" ref="DA391">IF(ISNUMBER(CZ391),AF391/COUNT(IF(ISNUMBER(_xlfn.ANCHORARRAY($CZ$11)),_xlfn.ANCHORARRAY($CZ$11))),NA())</f>
        <v>#N/A</v>
      </c>
      <c r="DB391" t="e">
        <f t="shared" si="148"/>
        <v>#N/A</v>
      </c>
      <c r="DD391" t="e">
        <f t="shared" si="149"/>
        <v>#N/A</v>
      </c>
      <c r="DE391" t="e">
        <f t="shared" si="150"/>
        <v>#N/A</v>
      </c>
      <c r="DG391" t="e">
        <v>#N/A</v>
      </c>
      <c r="DH391" t="e">
        <v>#N/A</v>
      </c>
    </row>
    <row r="392" spans="32:112">
      <c r="AF392">
        <v>382</v>
      </c>
      <c r="AG392" s="401">
        <f>'Lab test'!N385</f>
        <v>190</v>
      </c>
      <c r="AH392" s="401">
        <f>'Lab test'!M385</f>
        <v>7.916666666666667</v>
      </c>
      <c r="AI392">
        <f>IF('Lab test'!O385&gt;0,'Lab test'!O385,NA())</f>
        <v>11000</v>
      </c>
      <c r="AJ392">
        <f>'Lab test'!Q385</f>
        <v>24</v>
      </c>
      <c r="AK392" s="401">
        <f>IF('Lab test'!V385&gt;0,'Lab test'!V385,NA())</f>
        <v>212500</v>
      </c>
      <c r="AL392" s="7">
        <f>IF(MAX('Lab test'!W385,'Lab test'!X385)&gt;0,MAX('Lab test'!W385,'Lab test'!X385),NA())</f>
        <v>308</v>
      </c>
      <c r="AM392" s="401">
        <f>IF('Lab test'!P385&gt;0,'Lab test'!P385,NA())</f>
        <v>11.81771367132235</v>
      </c>
      <c r="AN392" s="401">
        <f>IF('Lab test'!AU385&gt;0,'Lab test'!AU385,NA())</f>
        <v>0.75990373231486663</v>
      </c>
      <c r="AO392" s="401">
        <f>IF('Lab test'!AT385&gt;0,'Lab test'!AT385,NA())</f>
        <v>4.3676006799134234E-2</v>
      </c>
      <c r="AP392">
        <f t="shared" si="151"/>
        <v>1</v>
      </c>
      <c r="AQ392" s="401">
        <f>'Lab test'!AZ385</f>
        <v>1977</v>
      </c>
      <c r="AR392" t="str">
        <f>'Lab test'!AC385</f>
        <v>CLTW</v>
      </c>
      <c r="AS392" t="str">
        <f>'Lab test'!T385</f>
        <v>Steel</v>
      </c>
      <c r="AX392" t="e">
        <f t="shared" si="136"/>
        <v>#N/A</v>
      </c>
      <c r="AY392" t="e">
        <f t="shared" si="155"/>
        <v>#N/A</v>
      </c>
      <c r="AZ392" t="e">
        <f t="shared" si="152"/>
        <v>#N/A</v>
      </c>
      <c r="BA392" t="e">
        <f t="shared" si="152"/>
        <v>#N/A</v>
      </c>
      <c r="BB392" t="e">
        <f t="shared" si="152"/>
        <v>#N/A</v>
      </c>
      <c r="BC392" t="e">
        <f t="shared" si="152"/>
        <v>#N/A</v>
      </c>
      <c r="BD392" t="e">
        <f t="shared" si="152"/>
        <v>#N/A</v>
      </c>
      <c r="BG392" t="e">
        <f t="shared" si="137"/>
        <v>#N/A</v>
      </c>
      <c r="BH392" t="e">
        <f t="shared" si="156"/>
        <v>#N/A</v>
      </c>
      <c r="BI392" t="e">
        <f t="shared" si="153"/>
        <v>#N/A</v>
      </c>
      <c r="BJ392" t="e">
        <f t="shared" si="153"/>
        <v>#N/A</v>
      </c>
      <c r="BK392" t="e">
        <f t="shared" si="153"/>
        <v>#N/A</v>
      </c>
      <c r="BL392" t="e">
        <f t="shared" si="153"/>
        <v>#N/A</v>
      </c>
      <c r="BM392" t="e">
        <f t="shared" si="153"/>
        <v>#N/A</v>
      </c>
      <c r="BP392" t="e">
        <f t="shared" si="138"/>
        <v>#N/A</v>
      </c>
      <c r="BQ392" t="e">
        <f t="shared" si="157"/>
        <v>#N/A</v>
      </c>
      <c r="BR392" t="e">
        <f t="shared" si="154"/>
        <v>#N/A</v>
      </c>
      <c r="BS392" t="e">
        <f t="shared" si="154"/>
        <v>#N/A</v>
      </c>
      <c r="BT392" t="e">
        <f t="shared" si="154"/>
        <v>#N/A</v>
      </c>
      <c r="BU392" t="e">
        <f t="shared" si="154"/>
        <v>#N/A</v>
      </c>
      <c r="BV392" t="e">
        <f t="shared" si="154"/>
        <v>#N/A</v>
      </c>
      <c r="BY392" t="e">
        <f t="shared" si="139"/>
        <v>#N/A</v>
      </c>
      <c r="BZ392" t="e">
        <v>#N/A</v>
      </c>
      <c r="CA392" t="e" cm="1">
        <f t="array" ref="CA392">IF(ISNUMBER(BZ392),AF392/COUNT(IF(ISNUMBER(_xlfn.ANCHORARRAY($BZ$11)),_xlfn.ANCHORARRAY($BZ$11))),NA())</f>
        <v>#N/A</v>
      </c>
      <c r="CB392" t="e">
        <f t="shared" si="140"/>
        <v>#N/A</v>
      </c>
      <c r="CD392" t="e">
        <f t="shared" si="141"/>
        <v>#N/A</v>
      </c>
      <c r="CE392" t="e">
        <f t="shared" si="142"/>
        <v>#N/A</v>
      </c>
      <c r="CG392" t="e">
        <v>#N/A</v>
      </c>
      <c r="CH392" t="e">
        <v>#N/A</v>
      </c>
      <c r="CL392" t="e">
        <f t="shared" si="143"/>
        <v>#N/A</v>
      </c>
      <c r="CM392" t="e">
        <v>#N/A</v>
      </c>
      <c r="CN392" t="e" cm="1">
        <f t="array" ref="CN392">IF(ISNUMBER(CM392),AF392/COUNT(IF(ISNUMBER(_xlfn.ANCHORARRAY($CM$11)),_xlfn.ANCHORARRAY($CM$11))),NA())</f>
        <v>#N/A</v>
      </c>
      <c r="CO392" t="e">
        <f t="shared" si="144"/>
        <v>#N/A</v>
      </c>
      <c r="CQ392" t="e">
        <f t="shared" si="145"/>
        <v>#N/A</v>
      </c>
      <c r="CR392" t="e">
        <f t="shared" si="146"/>
        <v>#N/A</v>
      </c>
      <c r="CT392" t="e">
        <v>#N/A</v>
      </c>
      <c r="CU392" t="e">
        <v>#N/A</v>
      </c>
      <c r="CY392" t="e">
        <f t="shared" si="147"/>
        <v>#N/A</v>
      </c>
      <c r="CZ392" t="e">
        <v>#N/A</v>
      </c>
      <c r="DA392" t="e" cm="1">
        <f t="array" ref="DA392">IF(ISNUMBER(CZ392),AF392/COUNT(IF(ISNUMBER(_xlfn.ANCHORARRAY($CZ$11)),_xlfn.ANCHORARRAY($CZ$11))),NA())</f>
        <v>#N/A</v>
      </c>
      <c r="DB392" t="e">
        <f t="shared" si="148"/>
        <v>#N/A</v>
      </c>
      <c r="DD392" t="e">
        <f t="shared" si="149"/>
        <v>#N/A</v>
      </c>
      <c r="DE392" t="e">
        <f t="shared" si="150"/>
        <v>#N/A</v>
      </c>
      <c r="DG392" t="e">
        <v>#N/A</v>
      </c>
      <c r="DH392" t="e">
        <v>#N/A</v>
      </c>
    </row>
    <row r="393" spans="32:112">
      <c r="AF393">
        <v>383</v>
      </c>
      <c r="AG393" s="401">
        <f>'Lab test'!N386</f>
        <v>190</v>
      </c>
      <c r="AH393" s="401">
        <f>'Lab test'!M386</f>
        <v>7.916666666666667</v>
      </c>
      <c r="AI393">
        <f>IF('Lab test'!O386&gt;0,'Lab test'!O386,NA())</f>
        <v>11000</v>
      </c>
      <c r="AJ393">
        <f>'Lab test'!Q386</f>
        <v>24</v>
      </c>
      <c r="AK393" s="401">
        <f>IF('Lab test'!V386&gt;0,'Lab test'!V386,NA())</f>
        <v>212500</v>
      </c>
      <c r="AL393" s="7">
        <f>IF(MAX('Lab test'!W386,'Lab test'!X386)&gt;0,MAX('Lab test'!W386,'Lab test'!X386),NA())</f>
        <v>271</v>
      </c>
      <c r="AM393" s="401">
        <f>IF('Lab test'!P386&gt;0,'Lab test'!P386,NA())</f>
        <v>11.81771367132235</v>
      </c>
      <c r="AN393" s="401">
        <f>IF('Lab test'!AU386&gt;0,'Lab test'!AU386,NA())</f>
        <v>0.92417270672531104</v>
      </c>
      <c r="AO393" s="401">
        <f>IF('Lab test'!AT386&gt;0,'Lab test'!AT386,NA())</f>
        <v>4.6736486479905401E-2</v>
      </c>
      <c r="AP393">
        <f t="shared" si="151"/>
        <v>1</v>
      </c>
      <c r="AQ393" s="401">
        <f>'Lab test'!AZ386</f>
        <v>1977</v>
      </c>
      <c r="AR393" t="str">
        <f>'Lab test'!AC386</f>
        <v>CLTW</v>
      </c>
      <c r="AS393" t="str">
        <f>'Lab test'!T386</f>
        <v>Steel</v>
      </c>
      <c r="AX393" t="e">
        <f t="shared" si="136"/>
        <v>#N/A</v>
      </c>
      <c r="AY393" t="e">
        <f t="shared" si="155"/>
        <v>#N/A</v>
      </c>
      <c r="AZ393" t="e">
        <f t="shared" si="152"/>
        <v>#N/A</v>
      </c>
      <c r="BA393" t="e">
        <f t="shared" si="152"/>
        <v>#N/A</v>
      </c>
      <c r="BB393" t="e">
        <f t="shared" si="152"/>
        <v>#N/A</v>
      </c>
      <c r="BC393" t="e">
        <f t="shared" si="152"/>
        <v>#N/A</v>
      </c>
      <c r="BD393" t="e">
        <f t="shared" si="152"/>
        <v>#N/A</v>
      </c>
      <c r="BG393" t="e">
        <f t="shared" si="137"/>
        <v>#N/A</v>
      </c>
      <c r="BH393" t="e">
        <f t="shared" si="156"/>
        <v>#N/A</v>
      </c>
      <c r="BI393" t="e">
        <f t="shared" si="153"/>
        <v>#N/A</v>
      </c>
      <c r="BJ393" t="e">
        <f t="shared" si="153"/>
        <v>#N/A</v>
      </c>
      <c r="BK393" t="e">
        <f t="shared" si="153"/>
        <v>#N/A</v>
      </c>
      <c r="BL393" t="e">
        <f t="shared" si="153"/>
        <v>#N/A</v>
      </c>
      <c r="BM393" t="e">
        <f t="shared" si="153"/>
        <v>#N/A</v>
      </c>
      <c r="BP393" t="e">
        <f t="shared" si="138"/>
        <v>#N/A</v>
      </c>
      <c r="BQ393" t="e">
        <f t="shared" si="157"/>
        <v>#N/A</v>
      </c>
      <c r="BR393" t="e">
        <f t="shared" si="154"/>
        <v>#N/A</v>
      </c>
      <c r="BS393" t="e">
        <f t="shared" si="154"/>
        <v>#N/A</v>
      </c>
      <c r="BT393" t="e">
        <f t="shared" si="154"/>
        <v>#N/A</v>
      </c>
      <c r="BU393" t="e">
        <f t="shared" si="154"/>
        <v>#N/A</v>
      </c>
      <c r="BV393" t="e">
        <f t="shared" si="154"/>
        <v>#N/A</v>
      </c>
      <c r="BY393" t="e">
        <f t="shared" si="139"/>
        <v>#N/A</v>
      </c>
      <c r="BZ393" t="e">
        <v>#N/A</v>
      </c>
      <c r="CA393" t="e" cm="1">
        <f t="array" ref="CA393">IF(ISNUMBER(BZ393),AF393/COUNT(IF(ISNUMBER(_xlfn.ANCHORARRAY($BZ$11)),_xlfn.ANCHORARRAY($BZ$11))),NA())</f>
        <v>#N/A</v>
      </c>
      <c r="CB393" t="e">
        <f t="shared" si="140"/>
        <v>#N/A</v>
      </c>
      <c r="CD393" t="e">
        <f t="shared" si="141"/>
        <v>#N/A</v>
      </c>
      <c r="CE393" t="e">
        <f t="shared" si="142"/>
        <v>#N/A</v>
      </c>
      <c r="CG393" t="e">
        <v>#N/A</v>
      </c>
      <c r="CH393" t="e">
        <v>#N/A</v>
      </c>
      <c r="CL393" t="e">
        <f t="shared" si="143"/>
        <v>#N/A</v>
      </c>
      <c r="CM393" t="e">
        <v>#N/A</v>
      </c>
      <c r="CN393" t="e" cm="1">
        <f t="array" ref="CN393">IF(ISNUMBER(CM393),AF393/COUNT(IF(ISNUMBER(_xlfn.ANCHORARRAY($CM$11)),_xlfn.ANCHORARRAY($CM$11))),NA())</f>
        <v>#N/A</v>
      </c>
      <c r="CO393" t="e">
        <f t="shared" si="144"/>
        <v>#N/A</v>
      </c>
      <c r="CQ393" t="e">
        <f t="shared" si="145"/>
        <v>#N/A</v>
      </c>
      <c r="CR393" t="e">
        <f t="shared" si="146"/>
        <v>#N/A</v>
      </c>
      <c r="CT393" t="e">
        <v>#N/A</v>
      </c>
      <c r="CU393" t="e">
        <v>#N/A</v>
      </c>
      <c r="CY393" t="e">
        <f t="shared" si="147"/>
        <v>#N/A</v>
      </c>
      <c r="CZ393" t="e">
        <v>#N/A</v>
      </c>
      <c r="DA393" t="e" cm="1">
        <f t="array" ref="DA393">IF(ISNUMBER(CZ393),AF393/COUNT(IF(ISNUMBER(_xlfn.ANCHORARRAY($CZ$11)),_xlfn.ANCHORARRAY($CZ$11))),NA())</f>
        <v>#N/A</v>
      </c>
      <c r="DB393" t="e">
        <f t="shared" si="148"/>
        <v>#N/A</v>
      </c>
      <c r="DD393" t="e">
        <f t="shared" si="149"/>
        <v>#N/A</v>
      </c>
      <c r="DE393" t="e">
        <f t="shared" si="150"/>
        <v>#N/A</v>
      </c>
      <c r="DG393" t="e">
        <v>#N/A</v>
      </c>
      <c r="DH393" t="e">
        <v>#N/A</v>
      </c>
    </row>
    <row r="394" spans="32:112">
      <c r="AF394">
        <v>384</v>
      </c>
      <c r="AG394" s="401">
        <f>'Lab test'!N387</f>
        <v>280</v>
      </c>
      <c r="AH394" s="401">
        <f>'Lab test'!M387</f>
        <v>8</v>
      </c>
      <c r="AI394">
        <f>IF('Lab test'!O387&gt;0,'Lab test'!O387,NA())</f>
        <v>11000</v>
      </c>
      <c r="AJ394">
        <f>'Lab test'!Q387</f>
        <v>35</v>
      </c>
      <c r="AK394" s="401">
        <f>IF('Lab test'!V387&gt;0,'Lab test'!V387,NA())</f>
        <v>212500</v>
      </c>
      <c r="AL394" s="7">
        <f>IF(MAX('Lab test'!W387,'Lab test'!X387)&gt;0,MAX('Lab test'!W387,'Lab test'!X387),NA())</f>
        <v>308</v>
      </c>
      <c r="AM394" s="401">
        <f>IF('Lab test'!P387&gt;0,'Lab test'!P387,NA())</f>
        <v>6.6404977157240586</v>
      </c>
      <c r="AN394" s="401">
        <f>IF('Lab test'!AU387&gt;0,'Lab test'!AU387,NA())</f>
        <v>0.96495988948486533</v>
      </c>
      <c r="AO394" s="401">
        <f>IF('Lab test'!AT387&gt;0,'Lab test'!AT387,NA())</f>
        <v>8.0881726173701096E-2</v>
      </c>
      <c r="AP394">
        <f t="shared" si="151"/>
        <v>1</v>
      </c>
      <c r="AQ394" s="401">
        <f>'Lab test'!AZ387</f>
        <v>1977</v>
      </c>
      <c r="AR394" t="str">
        <f>'Lab test'!AC387</f>
        <v>CLTW</v>
      </c>
      <c r="AS394" t="str">
        <f>'Lab test'!T387</f>
        <v>Steel</v>
      </c>
      <c r="AX394" t="e">
        <f t="shared" si="136"/>
        <v>#N/A</v>
      </c>
      <c r="AY394" t="e">
        <f t="shared" si="155"/>
        <v>#N/A</v>
      </c>
      <c r="AZ394" t="e">
        <f t="shared" si="152"/>
        <v>#N/A</v>
      </c>
      <c r="BA394" t="e">
        <f t="shared" si="152"/>
        <v>#N/A</v>
      </c>
      <c r="BB394" t="e">
        <f t="shared" si="152"/>
        <v>#N/A</v>
      </c>
      <c r="BC394" t="e">
        <f t="shared" si="152"/>
        <v>#N/A</v>
      </c>
      <c r="BD394" t="e">
        <f t="shared" si="152"/>
        <v>#N/A</v>
      </c>
      <c r="BG394" t="e">
        <f t="shared" si="137"/>
        <v>#N/A</v>
      </c>
      <c r="BH394" t="e">
        <f t="shared" si="156"/>
        <v>#N/A</v>
      </c>
      <c r="BI394" t="e">
        <f t="shared" si="153"/>
        <v>#N/A</v>
      </c>
      <c r="BJ394" t="e">
        <f t="shared" si="153"/>
        <v>#N/A</v>
      </c>
      <c r="BK394" t="e">
        <f t="shared" si="153"/>
        <v>#N/A</v>
      </c>
      <c r="BL394" t="e">
        <f t="shared" si="153"/>
        <v>#N/A</v>
      </c>
      <c r="BM394" t="e">
        <f t="shared" si="153"/>
        <v>#N/A</v>
      </c>
      <c r="BP394" t="e">
        <f t="shared" si="138"/>
        <v>#N/A</v>
      </c>
      <c r="BQ394" t="e">
        <f t="shared" si="157"/>
        <v>#N/A</v>
      </c>
      <c r="BR394" t="e">
        <f t="shared" si="154"/>
        <v>#N/A</v>
      </c>
      <c r="BS394" t="e">
        <f t="shared" si="154"/>
        <v>#N/A</v>
      </c>
      <c r="BT394" t="e">
        <f t="shared" si="154"/>
        <v>#N/A</v>
      </c>
      <c r="BU394" t="e">
        <f t="shared" si="154"/>
        <v>#N/A</v>
      </c>
      <c r="BV394" t="e">
        <f t="shared" si="154"/>
        <v>#N/A</v>
      </c>
      <c r="BY394" t="e">
        <f t="shared" si="139"/>
        <v>#N/A</v>
      </c>
      <c r="BZ394" t="e">
        <v>#N/A</v>
      </c>
      <c r="CA394" t="e" cm="1">
        <f t="array" ref="CA394">IF(ISNUMBER(BZ394),AF394/COUNT(IF(ISNUMBER(_xlfn.ANCHORARRAY($BZ$11)),_xlfn.ANCHORARRAY($BZ$11))),NA())</f>
        <v>#N/A</v>
      </c>
      <c r="CB394" t="e">
        <f t="shared" si="140"/>
        <v>#N/A</v>
      </c>
      <c r="CD394" t="e">
        <f t="shared" si="141"/>
        <v>#N/A</v>
      </c>
      <c r="CE394" t="e">
        <f t="shared" si="142"/>
        <v>#N/A</v>
      </c>
      <c r="CG394" t="e">
        <v>#N/A</v>
      </c>
      <c r="CH394" t="e">
        <v>#N/A</v>
      </c>
      <c r="CL394" t="e">
        <f t="shared" si="143"/>
        <v>#N/A</v>
      </c>
      <c r="CM394" t="e">
        <v>#N/A</v>
      </c>
      <c r="CN394" t="e" cm="1">
        <f t="array" ref="CN394">IF(ISNUMBER(CM394),AF394/COUNT(IF(ISNUMBER(_xlfn.ANCHORARRAY($CM$11)),_xlfn.ANCHORARRAY($CM$11))),NA())</f>
        <v>#N/A</v>
      </c>
      <c r="CO394" t="e">
        <f t="shared" si="144"/>
        <v>#N/A</v>
      </c>
      <c r="CQ394" t="e">
        <f t="shared" si="145"/>
        <v>#N/A</v>
      </c>
      <c r="CR394" t="e">
        <f t="shared" si="146"/>
        <v>#N/A</v>
      </c>
      <c r="CT394" t="e">
        <v>#N/A</v>
      </c>
      <c r="CU394" t="e">
        <v>#N/A</v>
      </c>
      <c r="CY394" t="e">
        <f t="shared" si="147"/>
        <v>#N/A</v>
      </c>
      <c r="CZ394" t="e">
        <v>#N/A</v>
      </c>
      <c r="DA394" t="e" cm="1">
        <f t="array" ref="DA394">IF(ISNUMBER(CZ394),AF394/COUNT(IF(ISNUMBER(_xlfn.ANCHORARRAY($CZ$11)),_xlfn.ANCHORARRAY($CZ$11))),NA())</f>
        <v>#N/A</v>
      </c>
      <c r="DB394" t="e">
        <f t="shared" si="148"/>
        <v>#N/A</v>
      </c>
      <c r="DD394" t="e">
        <f t="shared" si="149"/>
        <v>#N/A</v>
      </c>
      <c r="DE394" t="e">
        <f t="shared" si="150"/>
        <v>#N/A</v>
      </c>
      <c r="DG394" t="e">
        <v>#N/A</v>
      </c>
      <c r="DH394" t="e">
        <v>#N/A</v>
      </c>
    </row>
    <row r="395" spans="32:112">
      <c r="AF395">
        <v>385</v>
      </c>
      <c r="AG395" s="401">
        <f>'Lab test'!N388</f>
        <v>280</v>
      </c>
      <c r="AH395" s="401">
        <f>'Lab test'!M388</f>
        <v>8</v>
      </c>
      <c r="AI395">
        <f>IF('Lab test'!O388&gt;0,'Lab test'!O388,NA())</f>
        <v>11000</v>
      </c>
      <c r="AJ395">
        <f>'Lab test'!Q388</f>
        <v>35</v>
      </c>
      <c r="AK395" s="401">
        <f>IF('Lab test'!V388&gt;0,'Lab test'!V388,NA())</f>
        <v>212500</v>
      </c>
      <c r="AL395" s="7">
        <f>IF(MAX('Lab test'!W388,'Lab test'!X388)&gt;0,MAX('Lab test'!W388,'Lab test'!X388),NA())</f>
        <v>308</v>
      </c>
      <c r="AM395" s="401">
        <f>IF('Lab test'!P388&gt;0,'Lab test'!P388,NA())</f>
        <v>6.6404977157240586</v>
      </c>
      <c r="AN395" s="401">
        <f>IF('Lab test'!AU388&gt;0,'Lab test'!AU388,NA())</f>
        <v>0.94442882800646388</v>
      </c>
      <c r="AO395" s="401">
        <f>IF('Lab test'!AT388&gt;0,'Lab test'!AT388,NA())</f>
        <v>7.9160838382771284E-2</v>
      </c>
      <c r="AP395">
        <f t="shared" si="151"/>
        <v>1</v>
      </c>
      <c r="AQ395" s="401">
        <f>'Lab test'!AZ388</f>
        <v>1977</v>
      </c>
      <c r="AR395" t="str">
        <f>'Lab test'!AC388</f>
        <v>CLTW</v>
      </c>
      <c r="AS395" t="str">
        <f>'Lab test'!T388</f>
        <v>Steel</v>
      </c>
      <c r="AX395" t="e">
        <f t="shared" si="136"/>
        <v>#N/A</v>
      </c>
      <c r="AY395" t="e">
        <f t="shared" si="155"/>
        <v>#N/A</v>
      </c>
      <c r="AZ395" t="e">
        <f t="shared" si="152"/>
        <v>#N/A</v>
      </c>
      <c r="BA395" t="e">
        <f t="shared" si="152"/>
        <v>#N/A</v>
      </c>
      <c r="BB395" t="e">
        <f t="shared" si="152"/>
        <v>#N/A</v>
      </c>
      <c r="BC395" t="e">
        <f t="shared" si="152"/>
        <v>#N/A</v>
      </c>
      <c r="BD395" t="e">
        <f t="shared" si="152"/>
        <v>#N/A</v>
      </c>
      <c r="BG395" t="e">
        <f t="shared" si="137"/>
        <v>#N/A</v>
      </c>
      <c r="BH395" t="e">
        <f t="shared" si="156"/>
        <v>#N/A</v>
      </c>
      <c r="BI395" t="e">
        <f t="shared" si="153"/>
        <v>#N/A</v>
      </c>
      <c r="BJ395" t="e">
        <f t="shared" si="153"/>
        <v>#N/A</v>
      </c>
      <c r="BK395" t="e">
        <f t="shared" si="153"/>
        <v>#N/A</v>
      </c>
      <c r="BL395" t="e">
        <f t="shared" si="153"/>
        <v>#N/A</v>
      </c>
      <c r="BM395" t="e">
        <f t="shared" si="153"/>
        <v>#N/A</v>
      </c>
      <c r="BP395" t="e">
        <f t="shared" si="138"/>
        <v>#N/A</v>
      </c>
      <c r="BQ395" t="e">
        <f t="shared" si="157"/>
        <v>#N/A</v>
      </c>
      <c r="BR395" t="e">
        <f t="shared" si="154"/>
        <v>#N/A</v>
      </c>
      <c r="BS395" t="e">
        <f t="shared" si="154"/>
        <v>#N/A</v>
      </c>
      <c r="BT395" t="e">
        <f t="shared" si="154"/>
        <v>#N/A</v>
      </c>
      <c r="BU395" t="e">
        <f t="shared" si="154"/>
        <v>#N/A</v>
      </c>
      <c r="BV395" t="e">
        <f t="shared" si="154"/>
        <v>#N/A</v>
      </c>
      <c r="BY395" t="e">
        <f t="shared" si="139"/>
        <v>#N/A</v>
      </c>
      <c r="BZ395" t="e">
        <v>#N/A</v>
      </c>
      <c r="CA395" t="e" cm="1">
        <f t="array" ref="CA395">IF(ISNUMBER(BZ395),AF395/COUNT(IF(ISNUMBER(_xlfn.ANCHORARRAY($BZ$11)),_xlfn.ANCHORARRAY($BZ$11))),NA())</f>
        <v>#N/A</v>
      </c>
      <c r="CB395" t="e">
        <f t="shared" si="140"/>
        <v>#N/A</v>
      </c>
      <c r="CD395" t="e">
        <f t="shared" si="141"/>
        <v>#N/A</v>
      </c>
      <c r="CE395" t="e">
        <f t="shared" si="142"/>
        <v>#N/A</v>
      </c>
      <c r="CG395" t="e">
        <v>#N/A</v>
      </c>
      <c r="CH395" t="e">
        <v>#N/A</v>
      </c>
      <c r="CL395" t="e">
        <f t="shared" si="143"/>
        <v>#N/A</v>
      </c>
      <c r="CM395" t="e">
        <v>#N/A</v>
      </c>
      <c r="CN395" t="e" cm="1">
        <f t="array" ref="CN395">IF(ISNUMBER(CM395),AF395/COUNT(IF(ISNUMBER(_xlfn.ANCHORARRAY($CM$11)),_xlfn.ANCHORARRAY($CM$11))),NA())</f>
        <v>#N/A</v>
      </c>
      <c r="CO395" t="e">
        <f t="shared" si="144"/>
        <v>#N/A</v>
      </c>
      <c r="CQ395" t="e">
        <f t="shared" si="145"/>
        <v>#N/A</v>
      </c>
      <c r="CR395" t="e">
        <f t="shared" si="146"/>
        <v>#N/A</v>
      </c>
      <c r="CT395" t="e">
        <v>#N/A</v>
      </c>
      <c r="CU395" t="e">
        <v>#N/A</v>
      </c>
      <c r="CY395" t="e">
        <f t="shared" si="147"/>
        <v>#N/A</v>
      </c>
      <c r="CZ395" t="e">
        <v>#N/A</v>
      </c>
      <c r="DA395" t="e" cm="1">
        <f t="array" ref="DA395">IF(ISNUMBER(CZ395),AF395/COUNT(IF(ISNUMBER(_xlfn.ANCHORARRAY($CZ$11)),_xlfn.ANCHORARRAY($CZ$11))),NA())</f>
        <v>#N/A</v>
      </c>
      <c r="DB395" t="e">
        <f t="shared" si="148"/>
        <v>#N/A</v>
      </c>
      <c r="DD395" t="e">
        <f t="shared" si="149"/>
        <v>#N/A</v>
      </c>
      <c r="DE395" t="e">
        <f t="shared" si="150"/>
        <v>#N/A</v>
      </c>
      <c r="DG395" t="e">
        <v>#N/A</v>
      </c>
      <c r="DH395" t="e">
        <v>#N/A</v>
      </c>
    </row>
    <row r="396" spans="32:112">
      <c r="AF396">
        <v>386</v>
      </c>
      <c r="AG396" s="401">
        <f>'Lab test'!N389</f>
        <v>190.69049999999999</v>
      </c>
      <c r="AH396" s="401">
        <f>'Lab test'!M389</f>
        <v>0.38100000000000001</v>
      </c>
      <c r="AI396">
        <f>IF('Lab test'!O389&gt;0,'Lab test'!O389,NA())</f>
        <v>202.86349999999999</v>
      </c>
      <c r="AJ396">
        <f>'Lab test'!Q389</f>
        <v>500</v>
      </c>
      <c r="AK396" s="401">
        <f>IF('Lab test'!V389&gt;0,'Lab test'!V389,NA())</f>
        <v>197190.1</v>
      </c>
      <c r="AL396" s="7">
        <f>IF(MAX('Lab test'!W389,'Lab test'!X389)&gt;0,MAX('Lab test'!W389,'Lab test'!X389),NA())</f>
        <v>197.87950000000001</v>
      </c>
      <c r="AM396" s="401">
        <f>IF('Lab test'!P389&gt;0,'Lab test'!P389,NA())</f>
        <v>4.755244103193778E-2</v>
      </c>
      <c r="AN396" s="401">
        <f>IF('Lab test'!AU389&gt;0,'Lab test'!AU389,NA())</f>
        <v>0.47700358046184671</v>
      </c>
      <c r="AO396" s="401">
        <f>IF('Lab test'!AT389&gt;0,'Lab test'!AT389,NA())</f>
        <v>0.39584279216259538</v>
      </c>
      <c r="AP396">
        <f t="shared" si="151"/>
        <v>1</v>
      </c>
      <c r="AQ396" s="401">
        <f>'Lab test'!AZ389</f>
        <v>1977</v>
      </c>
      <c r="AR396" t="str">
        <f>'Lab test'!AC389</f>
        <v>LTWa</v>
      </c>
      <c r="AS396" t="str">
        <f>'Lab test'!T389</f>
        <v>Steel</v>
      </c>
      <c r="AX396" t="e">
        <f t="shared" ref="AX396:AX459" si="158">IF(ISNUMBER($AJ396),IF(ISNUMBER($AP396),IF($AJ396&gt;=AX$9,IF($AJ396&lt;=AX$10,IF($AR396=$AW$2,IF($AS396=$AW$6,$AK396,NA()),NA()),NA()),NA()),NA()),NA())</f>
        <v>#N/A</v>
      </c>
      <c r="AY396" t="e">
        <f t="shared" si="155"/>
        <v>#N/A</v>
      </c>
      <c r="AZ396" t="e">
        <f t="shared" si="152"/>
        <v>#N/A</v>
      </c>
      <c r="BA396" t="e">
        <f t="shared" si="152"/>
        <v>#N/A</v>
      </c>
      <c r="BB396" t="e">
        <f t="shared" si="152"/>
        <v>#N/A</v>
      </c>
      <c r="BC396" t="e">
        <f t="shared" si="152"/>
        <v>#N/A</v>
      </c>
      <c r="BD396" t="e">
        <f t="shared" si="152"/>
        <v>#N/A</v>
      </c>
      <c r="BG396" t="e">
        <f t="shared" ref="BG396:BG459" si="159">IF(ISNUMBER($AJ396),IF(ISNUMBER($AP396),IF($AJ396&gt;=BG$9,IF($AJ396&lt;=BG$10,IF($AR396=$AW$2,IF($AS396=$BF$6,$AK396,NA()),NA()),NA()),NA()),NA()),NA())</f>
        <v>#N/A</v>
      </c>
      <c r="BH396" t="e">
        <f t="shared" si="156"/>
        <v>#N/A</v>
      </c>
      <c r="BI396" t="e">
        <f t="shared" si="153"/>
        <v>#N/A</v>
      </c>
      <c r="BJ396" t="e">
        <f t="shared" si="153"/>
        <v>#N/A</v>
      </c>
      <c r="BK396" t="e">
        <f t="shared" si="153"/>
        <v>#N/A</v>
      </c>
      <c r="BL396" t="e">
        <f t="shared" si="153"/>
        <v>#N/A</v>
      </c>
      <c r="BM396" t="e">
        <f t="shared" si="153"/>
        <v>#N/A</v>
      </c>
      <c r="BP396" t="e">
        <f t="shared" ref="BP396:BP459" si="160">IF(ISNUMBER($AJ396),IF(ISNUMBER($AP396),IF($AJ396&gt;=BP$9,IF($AJ396&lt;=BP$10,IF($AR396=$AW$2,IF($AS396=$BO$6,$AK396,NA()),NA()),NA()),NA()),NA()),NA())</f>
        <v>#N/A</v>
      </c>
      <c r="BQ396" t="e">
        <f t="shared" si="157"/>
        <v>#N/A</v>
      </c>
      <c r="BR396" t="e">
        <f t="shared" si="154"/>
        <v>#N/A</v>
      </c>
      <c r="BS396" t="e">
        <f t="shared" si="154"/>
        <v>#N/A</v>
      </c>
      <c r="BT396" t="e">
        <f t="shared" si="154"/>
        <v>#N/A</v>
      </c>
      <c r="BU396" t="e">
        <f t="shared" si="154"/>
        <v>#N/A</v>
      </c>
      <c r="BV396" t="e">
        <f t="shared" si="154"/>
        <v>#N/A</v>
      </c>
      <c r="BY396" t="e">
        <f t="shared" ref="BY396:BY459" si="161">IF(ISNUMBER(AP396),IF($AR396=$AW$2,IF($AS396=$AW$6,$AK396,NA()),NA()),NA())</f>
        <v>#N/A</v>
      </c>
      <c r="BZ396" t="e">
        <v>#N/A</v>
      </c>
      <c r="CA396" t="e" cm="1">
        <f t="array" ref="CA396">IF(ISNUMBER(BZ396),AF396/COUNT(IF(ISNUMBER(_xlfn.ANCHORARRAY($BZ$11)),_xlfn.ANCHORARRAY($BZ$11))),NA())</f>
        <v>#N/A</v>
      </c>
      <c r="CB396" t="e">
        <f t="shared" ref="CB396:CB459" si="162">IF(BZ396=BZ397,NA(),CA396)</f>
        <v>#N/A</v>
      </c>
      <c r="CD396" t="e">
        <f t="shared" ref="CD396:CD459" si="163">CB396</f>
        <v>#N/A</v>
      </c>
      <c r="CE396" t="e">
        <f t="shared" ref="CE396:CE459" si="164">BZ396</f>
        <v>#N/A</v>
      </c>
      <c r="CG396" t="e">
        <v>#N/A</v>
      </c>
      <c r="CH396" t="e">
        <v>#N/A</v>
      </c>
      <c r="CL396" t="e">
        <f t="shared" ref="CL396:CL459" si="165">IF(ISNUMBER(AP396),IF($AR396=$AW$2,IF($AS396=$BF$6,$AK396,NA()),NA()),NA())</f>
        <v>#N/A</v>
      </c>
      <c r="CM396" t="e">
        <v>#N/A</v>
      </c>
      <c r="CN396" t="e" cm="1">
        <f t="array" ref="CN396">IF(ISNUMBER(CM396),AF396/COUNT(IF(ISNUMBER(_xlfn.ANCHORARRAY($CM$11)),_xlfn.ANCHORARRAY($CM$11))),NA())</f>
        <v>#N/A</v>
      </c>
      <c r="CO396" t="e">
        <f t="shared" ref="CO396:CO459" si="166">IF(CM396=CM397,NA(),CN396)</f>
        <v>#N/A</v>
      </c>
      <c r="CQ396" t="e">
        <f t="shared" ref="CQ396:CQ459" si="167">CO396</f>
        <v>#N/A</v>
      </c>
      <c r="CR396" t="e">
        <f t="shared" ref="CR396:CR459" si="168">CM396</f>
        <v>#N/A</v>
      </c>
      <c r="CT396" t="e">
        <v>#N/A</v>
      </c>
      <c r="CU396" t="e">
        <v>#N/A</v>
      </c>
      <c r="CY396" t="e">
        <f t="shared" ref="CY396:CY459" si="169">IF(ISNUMBER(AP396),IF($AR396=$AW$2,IF($AS396=$BO$6,$AK396,NA()),NA()),NA())</f>
        <v>#N/A</v>
      </c>
      <c r="CZ396" t="e">
        <v>#N/A</v>
      </c>
      <c r="DA396" t="e" cm="1">
        <f t="array" ref="DA396">IF(ISNUMBER(CZ396),AF396/COUNT(IF(ISNUMBER(_xlfn.ANCHORARRAY($CZ$11)),_xlfn.ANCHORARRAY($CZ$11))),NA())</f>
        <v>#N/A</v>
      </c>
      <c r="DB396" t="e">
        <f t="shared" ref="DB396:DB459" si="170">IF(CZ396=CZ397,NA(),DA396)</f>
        <v>#N/A</v>
      </c>
      <c r="DD396" t="e">
        <f t="shared" ref="DD396:DD459" si="171">DB396</f>
        <v>#N/A</v>
      </c>
      <c r="DE396" t="e">
        <f t="shared" ref="DE396:DE459" si="172">CZ396</f>
        <v>#N/A</v>
      </c>
      <c r="DG396" t="e">
        <v>#N/A</v>
      </c>
      <c r="DH396" t="e">
        <v>#N/A</v>
      </c>
    </row>
    <row r="397" spans="32:112">
      <c r="AF397">
        <v>387</v>
      </c>
      <c r="AG397" s="401">
        <f>'Lab test'!N390</f>
        <v>190.69049999999999</v>
      </c>
      <c r="AH397" s="401">
        <f>'Lab test'!M390</f>
        <v>0.38100000000000001</v>
      </c>
      <c r="AI397">
        <f>IF('Lab test'!O390&gt;0,'Lab test'!O390,NA())</f>
        <v>177.29249999999999</v>
      </c>
      <c r="AJ397">
        <f>'Lab test'!Q390</f>
        <v>500</v>
      </c>
      <c r="AK397" s="401">
        <f>IF('Lab test'!V390&gt;0,'Lab test'!V390,NA())</f>
        <v>197190.1</v>
      </c>
      <c r="AL397" s="7">
        <f>IF(MAX('Lab test'!W390,'Lab test'!X390)&gt;0,MAX('Lab test'!W390,'Lab test'!X390),NA())</f>
        <v>197.87950000000001</v>
      </c>
      <c r="AM397" s="401">
        <f>IF('Lab test'!P390&gt;0,'Lab test'!P390,NA())</f>
        <v>4.1558442754141722E-2</v>
      </c>
      <c r="AN397" s="401">
        <f>IF('Lab test'!AU390&gt;0,'Lab test'!AU390,NA())</f>
        <v>0.41707321880235193</v>
      </c>
      <c r="AO397" s="401">
        <f>IF('Lab test'!AT390&gt;0,'Lab test'!AT390,NA())</f>
        <v>0.34610940929859391</v>
      </c>
      <c r="AP397">
        <f t="shared" si="151"/>
        <v>1</v>
      </c>
      <c r="AQ397" s="401">
        <f>'Lab test'!AZ390</f>
        <v>1977</v>
      </c>
      <c r="AR397" t="str">
        <f>'Lab test'!AC390</f>
        <v>LTWa</v>
      </c>
      <c r="AS397" t="str">
        <f>'Lab test'!T390</f>
        <v>Steel</v>
      </c>
      <c r="AX397" t="e">
        <f t="shared" si="158"/>
        <v>#N/A</v>
      </c>
      <c r="AY397" t="e">
        <f t="shared" si="155"/>
        <v>#N/A</v>
      </c>
      <c r="AZ397" t="e">
        <f t="shared" si="152"/>
        <v>#N/A</v>
      </c>
      <c r="BA397" t="e">
        <f t="shared" si="152"/>
        <v>#N/A</v>
      </c>
      <c r="BB397" t="e">
        <f t="shared" si="152"/>
        <v>#N/A</v>
      </c>
      <c r="BC397" t="e">
        <f t="shared" si="152"/>
        <v>#N/A</v>
      </c>
      <c r="BD397" t="e">
        <f t="shared" si="152"/>
        <v>#N/A</v>
      </c>
      <c r="BG397" t="e">
        <f t="shared" si="159"/>
        <v>#N/A</v>
      </c>
      <c r="BH397" t="e">
        <f t="shared" si="156"/>
        <v>#N/A</v>
      </c>
      <c r="BI397" t="e">
        <f t="shared" si="153"/>
        <v>#N/A</v>
      </c>
      <c r="BJ397" t="e">
        <f t="shared" si="153"/>
        <v>#N/A</v>
      </c>
      <c r="BK397" t="e">
        <f t="shared" si="153"/>
        <v>#N/A</v>
      </c>
      <c r="BL397" t="e">
        <f t="shared" si="153"/>
        <v>#N/A</v>
      </c>
      <c r="BM397" t="e">
        <f t="shared" si="153"/>
        <v>#N/A</v>
      </c>
      <c r="BP397" t="e">
        <f t="shared" si="160"/>
        <v>#N/A</v>
      </c>
      <c r="BQ397" t="e">
        <f t="shared" si="157"/>
        <v>#N/A</v>
      </c>
      <c r="BR397" t="e">
        <f t="shared" si="154"/>
        <v>#N/A</v>
      </c>
      <c r="BS397" t="e">
        <f t="shared" si="154"/>
        <v>#N/A</v>
      </c>
      <c r="BT397" t="e">
        <f t="shared" si="154"/>
        <v>#N/A</v>
      </c>
      <c r="BU397" t="e">
        <f t="shared" si="154"/>
        <v>#N/A</v>
      </c>
      <c r="BV397" t="e">
        <f t="shared" si="154"/>
        <v>#N/A</v>
      </c>
      <c r="BY397" t="e">
        <f t="shared" si="161"/>
        <v>#N/A</v>
      </c>
      <c r="BZ397" t="e">
        <v>#N/A</v>
      </c>
      <c r="CA397" t="e" cm="1">
        <f t="array" ref="CA397">IF(ISNUMBER(BZ397),AF397/COUNT(IF(ISNUMBER(_xlfn.ANCHORARRAY($BZ$11)),_xlfn.ANCHORARRAY($BZ$11))),NA())</f>
        <v>#N/A</v>
      </c>
      <c r="CB397" t="e">
        <f t="shared" si="162"/>
        <v>#N/A</v>
      </c>
      <c r="CD397" t="e">
        <f t="shared" si="163"/>
        <v>#N/A</v>
      </c>
      <c r="CE397" t="e">
        <f t="shared" si="164"/>
        <v>#N/A</v>
      </c>
      <c r="CG397" t="e">
        <v>#N/A</v>
      </c>
      <c r="CH397" t="e">
        <v>#N/A</v>
      </c>
      <c r="CL397" t="e">
        <f t="shared" si="165"/>
        <v>#N/A</v>
      </c>
      <c r="CM397" t="e">
        <v>#N/A</v>
      </c>
      <c r="CN397" t="e" cm="1">
        <f t="array" ref="CN397">IF(ISNUMBER(CM397),AF397/COUNT(IF(ISNUMBER(_xlfn.ANCHORARRAY($CM$11)),_xlfn.ANCHORARRAY($CM$11))),NA())</f>
        <v>#N/A</v>
      </c>
      <c r="CO397" t="e">
        <f t="shared" si="166"/>
        <v>#N/A</v>
      </c>
      <c r="CQ397" t="e">
        <f t="shared" si="167"/>
        <v>#N/A</v>
      </c>
      <c r="CR397" t="e">
        <f t="shared" si="168"/>
        <v>#N/A</v>
      </c>
      <c r="CT397" t="e">
        <v>#N/A</v>
      </c>
      <c r="CU397" t="e">
        <v>#N/A</v>
      </c>
      <c r="CY397" t="e">
        <f t="shared" si="169"/>
        <v>#N/A</v>
      </c>
      <c r="CZ397" t="e">
        <v>#N/A</v>
      </c>
      <c r="DA397" t="e" cm="1">
        <f t="array" ref="DA397">IF(ISNUMBER(CZ397),AF397/COUNT(IF(ISNUMBER(_xlfn.ANCHORARRAY($CZ$11)),_xlfn.ANCHORARRAY($CZ$11))),NA())</f>
        <v>#N/A</v>
      </c>
      <c r="DB397" t="e">
        <f t="shared" si="170"/>
        <v>#N/A</v>
      </c>
      <c r="DD397" t="e">
        <f t="shared" si="171"/>
        <v>#N/A</v>
      </c>
      <c r="DE397" t="e">
        <f t="shared" si="172"/>
        <v>#N/A</v>
      </c>
      <c r="DG397" t="e">
        <v>#N/A</v>
      </c>
      <c r="DH397" t="e">
        <v>#N/A</v>
      </c>
    </row>
    <row r="398" spans="32:112">
      <c r="AF398">
        <v>388</v>
      </c>
      <c r="AG398" s="401">
        <f>'Lab test'!N391</f>
        <v>190.69300000000001</v>
      </c>
      <c r="AH398" s="401">
        <f>'Lab test'!M391</f>
        <v>0.38607999999999998</v>
      </c>
      <c r="AI398">
        <f>IF('Lab test'!O391&gt;0,'Lab test'!O391,NA())</f>
        <v>177.61369999999999</v>
      </c>
      <c r="AJ398">
        <f>'Lab test'!Q391</f>
        <v>494</v>
      </c>
      <c r="AK398" s="401">
        <f>IF('Lab test'!V391&gt;0,'Lab test'!V391,NA())</f>
        <v>206842.7</v>
      </c>
      <c r="AL398" s="7">
        <f>IF(MAX('Lab test'!W391,'Lab test'!X391)&gt;0,MAX('Lab test'!W391,'Lab test'!X391),NA())</f>
        <v>242.006</v>
      </c>
      <c r="AM398" s="401">
        <f>IF('Lab test'!P391&gt;0,'Lab test'!P391,NA())</f>
        <v>4.1909548972044644E-2</v>
      </c>
      <c r="AN398" s="401">
        <f>IF('Lab test'!AU391&gt;0,'Lab test'!AU391,NA())</f>
        <v>0.50370362718279715</v>
      </c>
      <c r="AO398" s="401">
        <f>IF('Lab test'!AT391&gt;0,'Lab test'!AT391,NA())</f>
        <v>0.48094983898594235</v>
      </c>
      <c r="AP398">
        <f t="shared" si="151"/>
        <v>1</v>
      </c>
      <c r="AQ398" s="401">
        <f>'Lab test'!AZ391</f>
        <v>1977</v>
      </c>
      <c r="AR398" t="str">
        <f>'Lab test'!AC391</f>
        <v>LTWa</v>
      </c>
      <c r="AS398" t="str">
        <f>'Lab test'!T391</f>
        <v>Steel</v>
      </c>
      <c r="AX398" t="e">
        <f t="shared" si="158"/>
        <v>#N/A</v>
      </c>
      <c r="AY398" t="e">
        <f t="shared" si="155"/>
        <v>#N/A</v>
      </c>
      <c r="AZ398" t="e">
        <f t="shared" si="152"/>
        <v>#N/A</v>
      </c>
      <c r="BA398" t="e">
        <f t="shared" si="152"/>
        <v>#N/A</v>
      </c>
      <c r="BB398" t="e">
        <f t="shared" si="152"/>
        <v>#N/A</v>
      </c>
      <c r="BC398" t="e">
        <f t="shared" si="152"/>
        <v>#N/A</v>
      </c>
      <c r="BD398" t="e">
        <f t="shared" si="152"/>
        <v>#N/A</v>
      </c>
      <c r="BG398" t="e">
        <f t="shared" si="159"/>
        <v>#N/A</v>
      </c>
      <c r="BH398" t="e">
        <f t="shared" si="156"/>
        <v>#N/A</v>
      </c>
      <c r="BI398" t="e">
        <f t="shared" si="153"/>
        <v>#N/A</v>
      </c>
      <c r="BJ398" t="e">
        <f t="shared" si="153"/>
        <v>#N/A</v>
      </c>
      <c r="BK398" t="e">
        <f t="shared" si="153"/>
        <v>#N/A</v>
      </c>
      <c r="BL398" t="e">
        <f t="shared" si="153"/>
        <v>#N/A</v>
      </c>
      <c r="BM398" t="e">
        <f t="shared" si="153"/>
        <v>#N/A</v>
      </c>
      <c r="BP398" t="e">
        <f t="shared" si="160"/>
        <v>#N/A</v>
      </c>
      <c r="BQ398" t="e">
        <f t="shared" si="157"/>
        <v>#N/A</v>
      </c>
      <c r="BR398" t="e">
        <f t="shared" si="154"/>
        <v>#N/A</v>
      </c>
      <c r="BS398" t="e">
        <f t="shared" si="154"/>
        <v>#N/A</v>
      </c>
      <c r="BT398" t="e">
        <f t="shared" si="154"/>
        <v>#N/A</v>
      </c>
      <c r="BU398" t="e">
        <f t="shared" si="154"/>
        <v>#N/A</v>
      </c>
      <c r="BV398" t="e">
        <f t="shared" si="154"/>
        <v>#N/A</v>
      </c>
      <c r="BY398" t="e">
        <f t="shared" si="161"/>
        <v>#N/A</v>
      </c>
      <c r="BZ398" t="e">
        <v>#N/A</v>
      </c>
      <c r="CA398" t="e" cm="1">
        <f t="array" ref="CA398">IF(ISNUMBER(BZ398),AF398/COUNT(IF(ISNUMBER(_xlfn.ANCHORARRAY($BZ$11)),_xlfn.ANCHORARRAY($BZ$11))),NA())</f>
        <v>#N/A</v>
      </c>
      <c r="CB398" t="e">
        <f t="shared" si="162"/>
        <v>#N/A</v>
      </c>
      <c r="CD398" t="e">
        <f t="shared" si="163"/>
        <v>#N/A</v>
      </c>
      <c r="CE398" t="e">
        <f t="shared" si="164"/>
        <v>#N/A</v>
      </c>
      <c r="CG398" t="e">
        <v>#N/A</v>
      </c>
      <c r="CH398" t="e">
        <v>#N/A</v>
      </c>
      <c r="CL398" t="e">
        <f t="shared" si="165"/>
        <v>#N/A</v>
      </c>
      <c r="CM398" t="e">
        <v>#N/A</v>
      </c>
      <c r="CN398" t="e" cm="1">
        <f t="array" ref="CN398">IF(ISNUMBER(CM398),AF398/COUNT(IF(ISNUMBER(_xlfn.ANCHORARRAY($CM$11)),_xlfn.ANCHORARRAY($CM$11))),NA())</f>
        <v>#N/A</v>
      </c>
      <c r="CO398" t="e">
        <f t="shared" si="166"/>
        <v>#N/A</v>
      </c>
      <c r="CQ398" t="e">
        <f t="shared" si="167"/>
        <v>#N/A</v>
      </c>
      <c r="CR398" t="e">
        <f t="shared" si="168"/>
        <v>#N/A</v>
      </c>
      <c r="CT398" t="e">
        <v>#N/A</v>
      </c>
      <c r="CU398" t="e">
        <v>#N/A</v>
      </c>
      <c r="CY398" t="e">
        <f t="shared" si="169"/>
        <v>#N/A</v>
      </c>
      <c r="CZ398" t="e">
        <v>#N/A</v>
      </c>
      <c r="DA398" t="e" cm="1">
        <f t="array" ref="DA398">IF(ISNUMBER(CZ398),AF398/COUNT(IF(ISNUMBER(_xlfn.ANCHORARRAY($CZ$11)),_xlfn.ANCHORARRAY($CZ$11))),NA())</f>
        <v>#N/A</v>
      </c>
      <c r="DB398" t="e">
        <f t="shared" si="170"/>
        <v>#N/A</v>
      </c>
      <c r="DD398" t="e">
        <f t="shared" si="171"/>
        <v>#N/A</v>
      </c>
      <c r="DE398" t="e">
        <f t="shared" si="172"/>
        <v>#N/A</v>
      </c>
      <c r="DG398" t="e">
        <v>#N/A</v>
      </c>
      <c r="DH398" t="e">
        <v>#N/A</v>
      </c>
    </row>
    <row r="399" spans="32:112">
      <c r="AF399">
        <v>389</v>
      </c>
      <c r="AG399" s="401">
        <f>'Lab test'!N392</f>
        <v>190.8708</v>
      </c>
      <c r="AH399" s="401">
        <f>'Lab test'!M392</f>
        <v>0.74168000000000001</v>
      </c>
      <c r="AI399">
        <f>IF('Lab test'!O392&gt;0,'Lab test'!O392,NA())</f>
        <v>222.49469999999999</v>
      </c>
      <c r="AJ399">
        <f>'Lab test'!Q392</f>
        <v>257</v>
      </c>
      <c r="AK399" s="401">
        <f>IF('Lab test'!V392&gt;0,'Lab test'!V392,NA())</f>
        <v>204084.8</v>
      </c>
      <c r="AL399" s="7">
        <f>IF(MAX('Lab test'!W392,'Lab test'!X392)&gt;0,MAX('Lab test'!W392,'Lab test'!X392),NA())</f>
        <v>244.76390000000001</v>
      </c>
      <c r="AM399" s="401">
        <f>IF('Lab test'!P392&gt;0,'Lab test'!P392,NA())</f>
        <v>7.2663901684747248E-2</v>
      </c>
      <c r="AN399" s="401">
        <f>IF('Lab test'!AU392&gt;0,'Lab test'!AU392,NA())</f>
        <v>0.66901409889285135</v>
      </c>
      <c r="AO399" s="401">
        <f>IF('Lab test'!AT392&gt;0,'Lab test'!AT392,NA())</f>
        <v>0.34117423294590943</v>
      </c>
      <c r="AP399">
        <f t="shared" si="151"/>
        <v>1</v>
      </c>
      <c r="AQ399" s="401">
        <f>'Lab test'!AZ392</f>
        <v>1977</v>
      </c>
      <c r="AR399" t="str">
        <f>'Lab test'!AC392</f>
        <v>LTWa</v>
      </c>
      <c r="AS399" t="str">
        <f>'Lab test'!T392</f>
        <v>Steel</v>
      </c>
      <c r="AX399" t="e">
        <f t="shared" si="158"/>
        <v>#N/A</v>
      </c>
      <c r="AY399" t="e">
        <f t="shared" si="155"/>
        <v>#N/A</v>
      </c>
      <c r="AZ399" t="e">
        <f t="shared" si="152"/>
        <v>#N/A</v>
      </c>
      <c r="BA399" t="e">
        <f t="shared" si="152"/>
        <v>#N/A</v>
      </c>
      <c r="BB399" t="e">
        <f t="shared" si="152"/>
        <v>#N/A</v>
      </c>
      <c r="BC399" t="e">
        <f t="shared" si="152"/>
        <v>#N/A</v>
      </c>
      <c r="BD399" t="e">
        <f t="shared" si="152"/>
        <v>#N/A</v>
      </c>
      <c r="BG399" t="e">
        <f t="shared" si="159"/>
        <v>#N/A</v>
      </c>
      <c r="BH399" t="e">
        <f t="shared" si="156"/>
        <v>#N/A</v>
      </c>
      <c r="BI399" t="e">
        <f t="shared" si="153"/>
        <v>#N/A</v>
      </c>
      <c r="BJ399" t="e">
        <f t="shared" si="153"/>
        <v>#N/A</v>
      </c>
      <c r="BK399" t="e">
        <f t="shared" si="153"/>
        <v>#N/A</v>
      </c>
      <c r="BL399" t="e">
        <f t="shared" si="153"/>
        <v>#N/A</v>
      </c>
      <c r="BM399" t="e">
        <f t="shared" si="153"/>
        <v>#N/A</v>
      </c>
      <c r="BP399" t="e">
        <f t="shared" si="160"/>
        <v>#N/A</v>
      </c>
      <c r="BQ399" t="e">
        <f t="shared" si="157"/>
        <v>#N/A</v>
      </c>
      <c r="BR399" t="e">
        <f t="shared" si="154"/>
        <v>#N/A</v>
      </c>
      <c r="BS399" t="e">
        <f t="shared" si="154"/>
        <v>#N/A</v>
      </c>
      <c r="BT399" t="e">
        <f t="shared" si="154"/>
        <v>#N/A</v>
      </c>
      <c r="BU399" t="e">
        <f t="shared" si="154"/>
        <v>#N/A</v>
      </c>
      <c r="BV399" t="e">
        <f t="shared" si="154"/>
        <v>#N/A</v>
      </c>
      <c r="BY399" t="e">
        <f t="shared" si="161"/>
        <v>#N/A</v>
      </c>
      <c r="BZ399" t="e">
        <v>#N/A</v>
      </c>
      <c r="CA399" t="e" cm="1">
        <f t="array" ref="CA399">IF(ISNUMBER(BZ399),AF399/COUNT(IF(ISNUMBER(_xlfn.ANCHORARRAY($BZ$11)),_xlfn.ANCHORARRAY($BZ$11))),NA())</f>
        <v>#N/A</v>
      </c>
      <c r="CB399" t="e">
        <f t="shared" si="162"/>
        <v>#N/A</v>
      </c>
      <c r="CD399" t="e">
        <f t="shared" si="163"/>
        <v>#N/A</v>
      </c>
      <c r="CE399" t="e">
        <f t="shared" si="164"/>
        <v>#N/A</v>
      </c>
      <c r="CG399" t="e">
        <v>#N/A</v>
      </c>
      <c r="CH399" t="e">
        <v>#N/A</v>
      </c>
      <c r="CL399" t="e">
        <f t="shared" si="165"/>
        <v>#N/A</v>
      </c>
      <c r="CM399" t="e">
        <v>#N/A</v>
      </c>
      <c r="CN399" t="e" cm="1">
        <f t="array" ref="CN399">IF(ISNUMBER(CM399),AF399/COUNT(IF(ISNUMBER(_xlfn.ANCHORARRAY($CM$11)),_xlfn.ANCHORARRAY($CM$11))),NA())</f>
        <v>#N/A</v>
      </c>
      <c r="CO399" t="e">
        <f t="shared" si="166"/>
        <v>#N/A</v>
      </c>
      <c r="CQ399" t="e">
        <f t="shared" si="167"/>
        <v>#N/A</v>
      </c>
      <c r="CR399" t="e">
        <f t="shared" si="168"/>
        <v>#N/A</v>
      </c>
      <c r="CT399" t="e">
        <v>#N/A</v>
      </c>
      <c r="CU399" t="e">
        <v>#N/A</v>
      </c>
      <c r="CY399" t="e">
        <f t="shared" si="169"/>
        <v>#N/A</v>
      </c>
      <c r="CZ399" t="e">
        <v>#N/A</v>
      </c>
      <c r="DA399" t="e" cm="1">
        <f t="array" ref="DA399">IF(ISNUMBER(CZ399),AF399/COUNT(IF(ISNUMBER(_xlfn.ANCHORARRAY($CZ$11)),_xlfn.ANCHORARRAY($CZ$11))),NA())</f>
        <v>#N/A</v>
      </c>
      <c r="DB399" t="e">
        <f t="shared" si="170"/>
        <v>#N/A</v>
      </c>
      <c r="DD399" t="e">
        <f t="shared" si="171"/>
        <v>#N/A</v>
      </c>
      <c r="DE399" t="e">
        <f t="shared" si="172"/>
        <v>#N/A</v>
      </c>
      <c r="DG399" t="e">
        <v>#N/A</v>
      </c>
      <c r="DH399" t="e">
        <v>#N/A</v>
      </c>
    </row>
    <row r="400" spans="32:112">
      <c r="AF400">
        <v>390</v>
      </c>
      <c r="AG400" s="401">
        <f>'Lab test'!N393</f>
        <v>190.87209999999999</v>
      </c>
      <c r="AH400" s="401">
        <f>'Lab test'!M393</f>
        <v>0.74421999999999999</v>
      </c>
      <c r="AI400">
        <f>IF('Lab test'!O393&gt;0,'Lab test'!O393,NA())</f>
        <v>221.68430000000001</v>
      </c>
      <c r="AJ400">
        <f>'Lab test'!Q393</f>
        <v>256</v>
      </c>
      <c r="AK400" s="401">
        <f>IF('Lab test'!V393&gt;0,'Lab test'!V393,NA())</f>
        <v>204084.8</v>
      </c>
      <c r="AL400" s="7">
        <f>IF(MAX('Lab test'!W393,'Lab test'!X393)&gt;0,MAX('Lab test'!W393,'Lab test'!X393),NA())</f>
        <v>285.44299999999998</v>
      </c>
      <c r="AM400" s="401">
        <f>IF('Lab test'!P393&gt;0,'Lab test'!P393,NA())</f>
        <v>7.2522359909764259E-2</v>
      </c>
      <c r="AN400" s="401">
        <f>IF('Lab test'!AU393&gt;0,'Lab test'!AU393,NA())</f>
        <v>0.66352651842924859</v>
      </c>
      <c r="AO400" s="401">
        <f>IF('Lab test'!AT393&gt;0,'Lab test'!AT393,NA())</f>
        <v>0.3932687698735079</v>
      </c>
      <c r="AP400">
        <f t="shared" si="151"/>
        <v>1</v>
      </c>
      <c r="AQ400" s="401">
        <f>'Lab test'!AZ393</f>
        <v>1977</v>
      </c>
      <c r="AR400" t="str">
        <f>'Lab test'!AC393</f>
        <v>LTWa</v>
      </c>
      <c r="AS400" t="str">
        <f>'Lab test'!T393</f>
        <v>Steel</v>
      </c>
      <c r="AX400" t="e">
        <f t="shared" si="158"/>
        <v>#N/A</v>
      </c>
      <c r="AY400" t="e">
        <f t="shared" si="155"/>
        <v>#N/A</v>
      </c>
      <c r="AZ400" t="e">
        <f t="shared" si="152"/>
        <v>#N/A</v>
      </c>
      <c r="BA400" t="e">
        <f t="shared" si="152"/>
        <v>#N/A</v>
      </c>
      <c r="BB400" t="e">
        <f t="shared" si="152"/>
        <v>#N/A</v>
      </c>
      <c r="BC400" t="e">
        <f t="shared" si="152"/>
        <v>#N/A</v>
      </c>
      <c r="BD400" t="e">
        <f t="shared" si="152"/>
        <v>#N/A</v>
      </c>
      <c r="BG400" t="e">
        <f t="shared" si="159"/>
        <v>#N/A</v>
      </c>
      <c r="BH400" t="e">
        <f t="shared" si="156"/>
        <v>#N/A</v>
      </c>
      <c r="BI400" t="e">
        <f t="shared" si="153"/>
        <v>#N/A</v>
      </c>
      <c r="BJ400" t="e">
        <f t="shared" si="153"/>
        <v>#N/A</v>
      </c>
      <c r="BK400" t="e">
        <f t="shared" si="153"/>
        <v>#N/A</v>
      </c>
      <c r="BL400" t="e">
        <f t="shared" si="153"/>
        <v>#N/A</v>
      </c>
      <c r="BM400" t="e">
        <f t="shared" si="153"/>
        <v>#N/A</v>
      </c>
      <c r="BP400" t="e">
        <f t="shared" si="160"/>
        <v>#N/A</v>
      </c>
      <c r="BQ400" t="e">
        <f t="shared" si="157"/>
        <v>#N/A</v>
      </c>
      <c r="BR400" t="e">
        <f t="shared" si="154"/>
        <v>#N/A</v>
      </c>
      <c r="BS400" t="e">
        <f t="shared" si="154"/>
        <v>#N/A</v>
      </c>
      <c r="BT400" t="e">
        <f t="shared" si="154"/>
        <v>#N/A</v>
      </c>
      <c r="BU400" t="e">
        <f t="shared" si="154"/>
        <v>#N/A</v>
      </c>
      <c r="BV400" t="e">
        <f t="shared" si="154"/>
        <v>#N/A</v>
      </c>
      <c r="BY400" t="e">
        <f t="shared" si="161"/>
        <v>#N/A</v>
      </c>
      <c r="BZ400" t="e">
        <v>#N/A</v>
      </c>
      <c r="CA400" t="e" cm="1">
        <f t="array" ref="CA400">IF(ISNUMBER(BZ400),AF400/COUNT(IF(ISNUMBER(_xlfn.ANCHORARRAY($BZ$11)),_xlfn.ANCHORARRAY($BZ$11))),NA())</f>
        <v>#N/A</v>
      </c>
      <c r="CB400" t="e">
        <f t="shared" si="162"/>
        <v>#N/A</v>
      </c>
      <c r="CD400" t="e">
        <f t="shared" si="163"/>
        <v>#N/A</v>
      </c>
      <c r="CE400" t="e">
        <f t="shared" si="164"/>
        <v>#N/A</v>
      </c>
      <c r="CG400" t="e">
        <v>#N/A</v>
      </c>
      <c r="CH400" t="e">
        <v>#N/A</v>
      </c>
      <c r="CL400" t="e">
        <f t="shared" si="165"/>
        <v>#N/A</v>
      </c>
      <c r="CM400" t="e">
        <v>#N/A</v>
      </c>
      <c r="CN400" t="e" cm="1">
        <f t="array" ref="CN400">IF(ISNUMBER(CM400),AF400/COUNT(IF(ISNUMBER(_xlfn.ANCHORARRAY($CM$11)),_xlfn.ANCHORARRAY($CM$11))),NA())</f>
        <v>#N/A</v>
      </c>
      <c r="CO400" t="e">
        <f t="shared" si="166"/>
        <v>#N/A</v>
      </c>
      <c r="CQ400" t="e">
        <f t="shared" si="167"/>
        <v>#N/A</v>
      </c>
      <c r="CR400" t="e">
        <f t="shared" si="168"/>
        <v>#N/A</v>
      </c>
      <c r="CT400" t="e">
        <v>#N/A</v>
      </c>
      <c r="CU400" t="e">
        <v>#N/A</v>
      </c>
      <c r="CY400" t="e">
        <f t="shared" si="169"/>
        <v>#N/A</v>
      </c>
      <c r="CZ400" t="e">
        <v>#N/A</v>
      </c>
      <c r="DA400" t="e" cm="1">
        <f t="array" ref="DA400">IF(ISNUMBER(CZ400),AF400/COUNT(IF(ISNUMBER(_xlfn.ANCHORARRAY($CZ$11)),_xlfn.ANCHORARRAY($CZ$11))),NA())</f>
        <v>#N/A</v>
      </c>
      <c r="DB400" t="e">
        <f t="shared" si="170"/>
        <v>#N/A</v>
      </c>
      <c r="DD400" t="e">
        <f t="shared" si="171"/>
        <v>#N/A</v>
      </c>
      <c r="DE400" t="e">
        <f t="shared" si="172"/>
        <v>#N/A</v>
      </c>
      <c r="DG400" t="e">
        <v>#N/A</v>
      </c>
      <c r="DH400" t="e">
        <v>#N/A</v>
      </c>
    </row>
    <row r="401" spans="32:112">
      <c r="AF401">
        <v>391</v>
      </c>
      <c r="AG401" s="401">
        <f>'Lab test'!N394</f>
        <v>190.8937</v>
      </c>
      <c r="AH401" s="401">
        <f>'Lab test'!M394</f>
        <v>0.78739999999999999</v>
      </c>
      <c r="AI401">
        <f>IF('Lab test'!O394&gt;0,'Lab test'!O394,NA())</f>
        <v>214.5515</v>
      </c>
      <c r="AJ401">
        <f>'Lab test'!Q394</f>
        <v>243</v>
      </c>
      <c r="AK401" s="401">
        <f>IF('Lab test'!V394&gt;0,'Lab test'!V394,NA())</f>
        <v>204084.8</v>
      </c>
      <c r="AL401" s="7">
        <f>IF(MAX('Lab test'!W394,'Lab test'!X394)&gt;0,MAX('Lab test'!W394,'Lab test'!X394),NA())</f>
        <v>544.68579999999997</v>
      </c>
      <c r="AM401" s="401">
        <f>IF('Lab test'!P394&gt;0,'Lab test'!P394,NA())</f>
        <v>7.2184153313249635E-2</v>
      </c>
      <c r="AN401" s="401">
        <f>IF('Lab test'!AU394&gt;0,'Lab test'!AU394,NA())</f>
        <v>0.57594947399032614</v>
      </c>
      <c r="AO401" s="401">
        <f>IF('Lab test'!AT394&gt;0,'Lab test'!AT394,NA())</f>
        <v>0.61573988743240926</v>
      </c>
      <c r="AP401">
        <f t="shared" si="151"/>
        <v>1</v>
      </c>
      <c r="AQ401" s="401">
        <f>'Lab test'!AZ394</f>
        <v>1977</v>
      </c>
      <c r="AR401" t="str">
        <f>'Lab test'!AC394</f>
        <v>LTWa</v>
      </c>
      <c r="AS401" t="str">
        <f>'Lab test'!T394</f>
        <v>Steel</v>
      </c>
      <c r="AX401" t="e">
        <f t="shared" si="158"/>
        <v>#N/A</v>
      </c>
      <c r="AY401" t="e">
        <f t="shared" si="155"/>
        <v>#N/A</v>
      </c>
      <c r="AZ401" t="e">
        <f t="shared" si="152"/>
        <v>#N/A</v>
      </c>
      <c r="BA401" t="e">
        <f t="shared" si="152"/>
        <v>#N/A</v>
      </c>
      <c r="BB401" t="e">
        <f t="shared" si="152"/>
        <v>#N/A</v>
      </c>
      <c r="BC401" t="e">
        <f t="shared" si="152"/>
        <v>#N/A</v>
      </c>
      <c r="BD401" t="e">
        <f t="shared" si="152"/>
        <v>#N/A</v>
      </c>
      <c r="BG401" t="e">
        <f t="shared" si="159"/>
        <v>#N/A</v>
      </c>
      <c r="BH401" t="e">
        <f t="shared" si="156"/>
        <v>#N/A</v>
      </c>
      <c r="BI401" t="e">
        <f t="shared" si="153"/>
        <v>#N/A</v>
      </c>
      <c r="BJ401" t="e">
        <f t="shared" si="153"/>
        <v>#N/A</v>
      </c>
      <c r="BK401" t="e">
        <f t="shared" si="153"/>
        <v>#N/A</v>
      </c>
      <c r="BL401" t="e">
        <f t="shared" si="153"/>
        <v>#N/A</v>
      </c>
      <c r="BM401" t="e">
        <f t="shared" si="153"/>
        <v>#N/A</v>
      </c>
      <c r="BP401" t="e">
        <f t="shared" si="160"/>
        <v>#N/A</v>
      </c>
      <c r="BQ401" t="e">
        <f t="shared" si="157"/>
        <v>#N/A</v>
      </c>
      <c r="BR401" t="e">
        <f t="shared" si="154"/>
        <v>#N/A</v>
      </c>
      <c r="BS401" t="e">
        <f t="shared" si="154"/>
        <v>#N/A</v>
      </c>
      <c r="BT401" t="e">
        <f t="shared" si="154"/>
        <v>#N/A</v>
      </c>
      <c r="BU401" t="e">
        <f t="shared" si="154"/>
        <v>#N/A</v>
      </c>
      <c r="BV401" t="e">
        <f t="shared" si="154"/>
        <v>#N/A</v>
      </c>
      <c r="BY401" t="e">
        <f t="shared" si="161"/>
        <v>#N/A</v>
      </c>
      <c r="BZ401" t="e">
        <v>#N/A</v>
      </c>
      <c r="CA401" t="e" cm="1">
        <f t="array" ref="CA401">IF(ISNUMBER(BZ401),AF401/COUNT(IF(ISNUMBER(_xlfn.ANCHORARRAY($BZ$11)),_xlfn.ANCHORARRAY($BZ$11))),NA())</f>
        <v>#N/A</v>
      </c>
      <c r="CB401" t="e">
        <f t="shared" si="162"/>
        <v>#N/A</v>
      </c>
      <c r="CD401" t="e">
        <f t="shared" si="163"/>
        <v>#N/A</v>
      </c>
      <c r="CE401" t="e">
        <f t="shared" si="164"/>
        <v>#N/A</v>
      </c>
      <c r="CG401" t="e">
        <v>#N/A</v>
      </c>
      <c r="CH401" t="e">
        <v>#N/A</v>
      </c>
      <c r="CL401" t="e">
        <f t="shared" si="165"/>
        <v>#N/A</v>
      </c>
      <c r="CM401" t="e">
        <v>#N/A</v>
      </c>
      <c r="CN401" t="e" cm="1">
        <f t="array" ref="CN401">IF(ISNUMBER(CM401),AF401/COUNT(IF(ISNUMBER(_xlfn.ANCHORARRAY($CM$11)),_xlfn.ANCHORARRAY($CM$11))),NA())</f>
        <v>#N/A</v>
      </c>
      <c r="CO401" t="e">
        <f t="shared" si="166"/>
        <v>#N/A</v>
      </c>
      <c r="CQ401" t="e">
        <f t="shared" si="167"/>
        <v>#N/A</v>
      </c>
      <c r="CR401" t="e">
        <f t="shared" si="168"/>
        <v>#N/A</v>
      </c>
      <c r="CT401" t="e">
        <v>#N/A</v>
      </c>
      <c r="CU401" t="e">
        <v>#N/A</v>
      </c>
      <c r="CY401" t="e">
        <f t="shared" si="169"/>
        <v>#N/A</v>
      </c>
      <c r="CZ401" t="e">
        <v>#N/A</v>
      </c>
      <c r="DA401" t="e" cm="1">
        <f t="array" ref="DA401">IF(ISNUMBER(CZ401),AF401/COUNT(IF(ISNUMBER(_xlfn.ANCHORARRAY($CZ$11)),_xlfn.ANCHORARRAY($CZ$11))),NA())</f>
        <v>#N/A</v>
      </c>
      <c r="DB401" t="e">
        <f t="shared" si="170"/>
        <v>#N/A</v>
      </c>
      <c r="DD401" t="e">
        <f t="shared" si="171"/>
        <v>#N/A</v>
      </c>
      <c r="DE401" t="e">
        <f t="shared" si="172"/>
        <v>#N/A</v>
      </c>
      <c r="DG401" t="e">
        <v>#N/A</v>
      </c>
      <c r="DH401" t="e">
        <v>#N/A</v>
      </c>
    </row>
    <row r="402" spans="32:112">
      <c r="AF402">
        <v>392</v>
      </c>
      <c r="AG402" s="401">
        <f>'Lab test'!N395</f>
        <v>190.75649999999999</v>
      </c>
      <c r="AH402" s="401">
        <f>'Lab test'!M395</f>
        <v>0.51307999999999998</v>
      </c>
      <c r="AI402">
        <f>IF('Lab test'!O395&gt;0,'Lab test'!O395,NA())</f>
        <v>236.44499999999999</v>
      </c>
      <c r="AJ402">
        <f>'Lab test'!Q395</f>
        <v>372</v>
      </c>
      <c r="AK402" s="401">
        <f>IF('Lab test'!V395&gt;0,'Lab test'!V395,NA())</f>
        <v>201326.9</v>
      </c>
      <c r="AL402" s="7">
        <f>IF(MAX('Lab test'!W395,'Lab test'!X395)&gt;0,MAX('Lab test'!W395,'Lab test'!X395),NA())</f>
        <v>455.74349999999998</v>
      </c>
      <c r="AM402" s="401">
        <f>IF('Lab test'!P395&gt;0,'Lab test'!P395,NA())</f>
        <v>6.4284113549243321E-2</v>
      </c>
      <c r="AN402" s="401">
        <f>IF('Lab test'!AU395&gt;0,'Lab test'!AU395,NA())</f>
        <v>0.29304071259381648</v>
      </c>
      <c r="AO402" s="401">
        <f>IF('Lab test'!AT395&gt;0,'Lab test'!AT395,NA())</f>
        <v>0.4074949410901077</v>
      </c>
      <c r="AP402">
        <f t="shared" si="151"/>
        <v>1</v>
      </c>
      <c r="AQ402" s="401">
        <f>'Lab test'!AZ395</f>
        <v>1977</v>
      </c>
      <c r="AR402" t="str">
        <f>'Lab test'!AC395</f>
        <v>LTWa</v>
      </c>
      <c r="AS402" t="str">
        <f>'Lab test'!T395</f>
        <v>Steel</v>
      </c>
      <c r="AX402" t="e">
        <f t="shared" si="158"/>
        <v>#N/A</v>
      </c>
      <c r="AY402" t="e">
        <f t="shared" si="155"/>
        <v>#N/A</v>
      </c>
      <c r="AZ402" t="e">
        <f t="shared" si="152"/>
        <v>#N/A</v>
      </c>
      <c r="BA402" t="e">
        <f t="shared" si="152"/>
        <v>#N/A</v>
      </c>
      <c r="BB402" t="e">
        <f t="shared" si="152"/>
        <v>#N/A</v>
      </c>
      <c r="BC402" t="e">
        <f t="shared" si="152"/>
        <v>#N/A</v>
      </c>
      <c r="BD402" t="e">
        <f t="shared" si="152"/>
        <v>#N/A</v>
      </c>
      <c r="BG402" t="e">
        <f t="shared" si="159"/>
        <v>#N/A</v>
      </c>
      <c r="BH402" t="e">
        <f t="shared" si="156"/>
        <v>#N/A</v>
      </c>
      <c r="BI402" t="e">
        <f t="shared" si="153"/>
        <v>#N/A</v>
      </c>
      <c r="BJ402" t="e">
        <f t="shared" si="153"/>
        <v>#N/A</v>
      </c>
      <c r="BK402" t="e">
        <f t="shared" si="153"/>
        <v>#N/A</v>
      </c>
      <c r="BL402" t="e">
        <f t="shared" si="153"/>
        <v>#N/A</v>
      </c>
      <c r="BM402" t="e">
        <f t="shared" si="153"/>
        <v>#N/A</v>
      </c>
      <c r="BP402" t="e">
        <f t="shared" si="160"/>
        <v>#N/A</v>
      </c>
      <c r="BQ402" t="e">
        <f t="shared" si="157"/>
        <v>#N/A</v>
      </c>
      <c r="BR402" t="e">
        <f t="shared" si="154"/>
        <v>#N/A</v>
      </c>
      <c r="BS402" t="e">
        <f t="shared" si="154"/>
        <v>#N/A</v>
      </c>
      <c r="BT402" t="e">
        <f t="shared" si="154"/>
        <v>#N/A</v>
      </c>
      <c r="BU402" t="e">
        <f t="shared" si="154"/>
        <v>#N/A</v>
      </c>
      <c r="BV402" t="e">
        <f t="shared" si="154"/>
        <v>#N/A</v>
      </c>
      <c r="BY402" t="e">
        <f t="shared" si="161"/>
        <v>#N/A</v>
      </c>
      <c r="BZ402" t="e">
        <v>#N/A</v>
      </c>
      <c r="CA402" t="e" cm="1">
        <f t="array" ref="CA402">IF(ISNUMBER(BZ402),AF402/COUNT(IF(ISNUMBER(_xlfn.ANCHORARRAY($BZ$11)),_xlfn.ANCHORARRAY($BZ$11))),NA())</f>
        <v>#N/A</v>
      </c>
      <c r="CB402" t="e">
        <f t="shared" si="162"/>
        <v>#N/A</v>
      </c>
      <c r="CD402" t="e">
        <f t="shared" si="163"/>
        <v>#N/A</v>
      </c>
      <c r="CE402" t="e">
        <f t="shared" si="164"/>
        <v>#N/A</v>
      </c>
      <c r="CG402" t="e">
        <v>#N/A</v>
      </c>
      <c r="CH402" t="e">
        <v>#N/A</v>
      </c>
      <c r="CL402" t="e">
        <f t="shared" si="165"/>
        <v>#N/A</v>
      </c>
      <c r="CM402" t="e">
        <v>#N/A</v>
      </c>
      <c r="CN402" t="e" cm="1">
        <f t="array" ref="CN402">IF(ISNUMBER(CM402),AF402/COUNT(IF(ISNUMBER(_xlfn.ANCHORARRAY($CM$11)),_xlfn.ANCHORARRAY($CM$11))),NA())</f>
        <v>#N/A</v>
      </c>
      <c r="CO402" t="e">
        <f t="shared" si="166"/>
        <v>#N/A</v>
      </c>
      <c r="CQ402" t="e">
        <f t="shared" si="167"/>
        <v>#N/A</v>
      </c>
      <c r="CR402" t="e">
        <f t="shared" si="168"/>
        <v>#N/A</v>
      </c>
      <c r="CT402" t="e">
        <v>#N/A</v>
      </c>
      <c r="CU402" t="e">
        <v>#N/A</v>
      </c>
      <c r="CY402" t="e">
        <f t="shared" si="169"/>
        <v>#N/A</v>
      </c>
      <c r="CZ402" t="e">
        <v>#N/A</v>
      </c>
      <c r="DA402" t="e" cm="1">
        <f t="array" ref="DA402">IF(ISNUMBER(CZ402),AF402/COUNT(IF(ISNUMBER(_xlfn.ANCHORARRAY($CZ$11)),_xlfn.ANCHORARRAY($CZ$11))),NA())</f>
        <v>#N/A</v>
      </c>
      <c r="DB402" t="e">
        <f t="shared" si="170"/>
        <v>#N/A</v>
      </c>
      <c r="DD402" t="e">
        <f t="shared" si="171"/>
        <v>#N/A</v>
      </c>
      <c r="DE402" t="e">
        <f t="shared" si="172"/>
        <v>#N/A</v>
      </c>
      <c r="DG402" t="e">
        <v>#N/A</v>
      </c>
      <c r="DH402" t="e">
        <v>#N/A</v>
      </c>
    </row>
    <row r="403" spans="32:112">
      <c r="AF403">
        <v>393</v>
      </c>
      <c r="AG403" s="401">
        <f>'Lab test'!N396</f>
        <v>190.75649999999999</v>
      </c>
      <c r="AH403" s="401">
        <f>'Lab test'!M396</f>
        <v>0.51307999999999998</v>
      </c>
      <c r="AI403">
        <f>IF('Lab test'!O396&gt;0,'Lab test'!O396,NA())</f>
        <v>236.44499999999999</v>
      </c>
      <c r="AJ403">
        <f>'Lab test'!Q396</f>
        <v>372</v>
      </c>
      <c r="AK403" s="401">
        <f>IF('Lab test'!V396&gt;0,'Lab test'!V396,NA())</f>
        <v>201326.9</v>
      </c>
      <c r="AL403" s="7">
        <f>IF(MAX('Lab test'!W396,'Lab test'!X396)&gt;0,MAX('Lab test'!W396,'Lab test'!X396),NA())</f>
        <v>455.74349999999998</v>
      </c>
      <c r="AM403" s="401">
        <f>IF('Lab test'!P396&gt;0,'Lab test'!P396,NA())</f>
        <v>6.4284113549243321E-2</v>
      </c>
      <c r="AN403" s="401">
        <f>IF('Lab test'!AU396&gt;0,'Lab test'!AU396,NA())</f>
        <v>0.42813907384307182</v>
      </c>
      <c r="AO403" s="401">
        <f>IF('Lab test'!AT396&gt;0,'Lab test'!AT396,NA())</f>
        <v>0.59535927663362243</v>
      </c>
      <c r="AP403">
        <f t="shared" si="151"/>
        <v>1</v>
      </c>
      <c r="AQ403" s="401">
        <f>'Lab test'!AZ396</f>
        <v>1977</v>
      </c>
      <c r="AR403" t="str">
        <f>'Lab test'!AC396</f>
        <v>LTWa</v>
      </c>
      <c r="AS403" t="str">
        <f>'Lab test'!T396</f>
        <v>Steel</v>
      </c>
      <c r="AX403" t="e">
        <f t="shared" si="158"/>
        <v>#N/A</v>
      </c>
      <c r="AY403" t="e">
        <f t="shared" si="155"/>
        <v>#N/A</v>
      </c>
      <c r="AZ403" t="e">
        <f t="shared" si="152"/>
        <v>#N/A</v>
      </c>
      <c r="BA403" t="e">
        <f t="shared" si="152"/>
        <v>#N/A</v>
      </c>
      <c r="BB403" t="e">
        <f t="shared" si="152"/>
        <v>#N/A</v>
      </c>
      <c r="BC403" t="e">
        <f t="shared" si="152"/>
        <v>#N/A</v>
      </c>
      <c r="BD403" t="e">
        <f t="shared" si="152"/>
        <v>#N/A</v>
      </c>
      <c r="BG403" t="e">
        <f t="shared" si="159"/>
        <v>#N/A</v>
      </c>
      <c r="BH403" t="e">
        <f t="shared" si="156"/>
        <v>#N/A</v>
      </c>
      <c r="BI403" t="e">
        <f t="shared" si="153"/>
        <v>#N/A</v>
      </c>
      <c r="BJ403" t="e">
        <f t="shared" si="153"/>
        <v>#N/A</v>
      </c>
      <c r="BK403" t="e">
        <f t="shared" si="153"/>
        <v>#N/A</v>
      </c>
      <c r="BL403" t="e">
        <f t="shared" si="153"/>
        <v>#N/A</v>
      </c>
      <c r="BM403" t="e">
        <f t="shared" si="153"/>
        <v>#N/A</v>
      </c>
      <c r="BP403" t="e">
        <f t="shared" si="160"/>
        <v>#N/A</v>
      </c>
      <c r="BQ403" t="e">
        <f t="shared" si="157"/>
        <v>#N/A</v>
      </c>
      <c r="BR403" t="e">
        <f t="shared" si="154"/>
        <v>#N/A</v>
      </c>
      <c r="BS403" t="e">
        <f t="shared" si="154"/>
        <v>#N/A</v>
      </c>
      <c r="BT403" t="e">
        <f t="shared" si="154"/>
        <v>#N/A</v>
      </c>
      <c r="BU403" t="e">
        <f t="shared" si="154"/>
        <v>#N/A</v>
      </c>
      <c r="BV403" t="e">
        <f t="shared" si="154"/>
        <v>#N/A</v>
      </c>
      <c r="BY403" t="e">
        <f t="shared" si="161"/>
        <v>#N/A</v>
      </c>
      <c r="BZ403" t="e">
        <v>#N/A</v>
      </c>
      <c r="CA403" t="e" cm="1">
        <f t="array" ref="CA403">IF(ISNUMBER(BZ403),AF403/COUNT(IF(ISNUMBER(_xlfn.ANCHORARRAY($BZ$11)),_xlfn.ANCHORARRAY($BZ$11))),NA())</f>
        <v>#N/A</v>
      </c>
      <c r="CB403" t="e">
        <f t="shared" si="162"/>
        <v>#N/A</v>
      </c>
      <c r="CD403" t="e">
        <f t="shared" si="163"/>
        <v>#N/A</v>
      </c>
      <c r="CE403" t="e">
        <f t="shared" si="164"/>
        <v>#N/A</v>
      </c>
      <c r="CG403" t="e">
        <v>#N/A</v>
      </c>
      <c r="CH403" t="e">
        <v>#N/A</v>
      </c>
      <c r="CL403" t="e">
        <f t="shared" si="165"/>
        <v>#N/A</v>
      </c>
      <c r="CM403" t="e">
        <v>#N/A</v>
      </c>
      <c r="CN403" t="e" cm="1">
        <f t="array" ref="CN403">IF(ISNUMBER(CM403),AF403/COUNT(IF(ISNUMBER(_xlfn.ANCHORARRAY($CM$11)),_xlfn.ANCHORARRAY($CM$11))),NA())</f>
        <v>#N/A</v>
      </c>
      <c r="CO403" t="e">
        <f t="shared" si="166"/>
        <v>#N/A</v>
      </c>
      <c r="CQ403" t="e">
        <f t="shared" si="167"/>
        <v>#N/A</v>
      </c>
      <c r="CR403" t="e">
        <f t="shared" si="168"/>
        <v>#N/A</v>
      </c>
      <c r="CT403" t="e">
        <v>#N/A</v>
      </c>
      <c r="CU403" t="e">
        <v>#N/A</v>
      </c>
      <c r="CY403" t="e">
        <f t="shared" si="169"/>
        <v>#N/A</v>
      </c>
      <c r="CZ403" t="e">
        <v>#N/A</v>
      </c>
      <c r="DA403" t="e" cm="1">
        <f t="array" ref="DA403">IF(ISNUMBER(CZ403),AF403/COUNT(IF(ISNUMBER(_xlfn.ANCHORARRAY($CZ$11)),_xlfn.ANCHORARRAY($CZ$11))),NA())</f>
        <v>#N/A</v>
      </c>
      <c r="DB403" t="e">
        <f t="shared" si="170"/>
        <v>#N/A</v>
      </c>
      <c r="DD403" t="e">
        <f t="shared" si="171"/>
        <v>#N/A</v>
      </c>
      <c r="DE403" t="e">
        <f t="shared" si="172"/>
        <v>#N/A</v>
      </c>
      <c r="DG403" t="e">
        <v>#N/A</v>
      </c>
      <c r="DH403" t="e">
        <v>#N/A</v>
      </c>
    </row>
    <row r="404" spans="32:112">
      <c r="AF404">
        <v>394</v>
      </c>
      <c r="AG404" s="401">
        <f>'Lab test'!N397</f>
        <v>385</v>
      </c>
      <c r="AH404" s="401">
        <f>'Lab test'!M397</f>
        <v>9.94</v>
      </c>
      <c r="AI404">
        <f>IF('Lab test'!O397&gt;0,'Lab test'!O397,NA())</f>
        <v>2030</v>
      </c>
      <c r="AJ404">
        <f>'Lab test'!Q397</f>
        <v>38.732394366197184</v>
      </c>
      <c r="AK404" s="401">
        <f>IF('Lab test'!V397&gt;0,'Lab test'!V397,NA())</f>
        <v>203400</v>
      </c>
      <c r="AL404" s="7">
        <f>IF(MAX('Lab test'!W397,'Lab test'!X397)&gt;0,MAX('Lab test'!W397,'Lab test'!X397),NA())</f>
        <v>239</v>
      </c>
      <c r="AM404" s="401">
        <f>IF('Lab test'!P397&gt;0,'Lab test'!P397,NA())</f>
        <v>0.84722377753822842</v>
      </c>
      <c r="AN404" s="401">
        <f>IF('Lab test'!AU397&gt;0,'Lab test'!AU397,NA())</f>
        <v>1.056</v>
      </c>
      <c r="AO404" s="401">
        <f>IF('Lab test'!AT397&gt;0,'Lab test'!AT397,NA())</f>
        <v>7.9408417129236825E-2</v>
      </c>
      <c r="AP404">
        <f t="shared" si="151"/>
        <v>1</v>
      </c>
      <c r="AQ404" s="401">
        <f>'Lab test'!AZ397</f>
        <v>1980</v>
      </c>
      <c r="AR404" t="str">
        <f>'Lab test'!AC397</f>
        <v>LTWa</v>
      </c>
      <c r="AS404" t="str">
        <f>'Lab test'!T397</f>
        <v>Steel</v>
      </c>
      <c r="AX404" t="e">
        <f t="shared" si="158"/>
        <v>#N/A</v>
      </c>
      <c r="AY404" t="e">
        <f t="shared" si="155"/>
        <v>#N/A</v>
      </c>
      <c r="AZ404" t="e">
        <f t="shared" si="152"/>
        <v>#N/A</v>
      </c>
      <c r="BA404" t="e">
        <f t="shared" si="152"/>
        <v>#N/A</v>
      </c>
      <c r="BB404" t="e">
        <f t="shared" si="152"/>
        <v>#N/A</v>
      </c>
      <c r="BC404" t="e">
        <f t="shared" si="152"/>
        <v>#N/A</v>
      </c>
      <c r="BD404" t="e">
        <f t="shared" si="152"/>
        <v>#N/A</v>
      </c>
      <c r="BG404" t="e">
        <f t="shared" si="159"/>
        <v>#N/A</v>
      </c>
      <c r="BH404" t="e">
        <f t="shared" si="156"/>
        <v>#N/A</v>
      </c>
      <c r="BI404" t="e">
        <f t="shared" si="153"/>
        <v>#N/A</v>
      </c>
      <c r="BJ404" t="e">
        <f t="shared" si="153"/>
        <v>#N/A</v>
      </c>
      <c r="BK404" t="e">
        <f t="shared" si="153"/>
        <v>#N/A</v>
      </c>
      <c r="BL404" t="e">
        <f t="shared" si="153"/>
        <v>#N/A</v>
      </c>
      <c r="BM404" t="e">
        <f t="shared" si="153"/>
        <v>#N/A</v>
      </c>
      <c r="BP404" t="e">
        <f t="shared" si="160"/>
        <v>#N/A</v>
      </c>
      <c r="BQ404" t="e">
        <f t="shared" si="157"/>
        <v>#N/A</v>
      </c>
      <c r="BR404" t="e">
        <f t="shared" si="154"/>
        <v>#N/A</v>
      </c>
      <c r="BS404" t="e">
        <f t="shared" si="154"/>
        <v>#N/A</v>
      </c>
      <c r="BT404" t="e">
        <f t="shared" si="154"/>
        <v>#N/A</v>
      </c>
      <c r="BU404" t="e">
        <f t="shared" si="154"/>
        <v>#N/A</v>
      </c>
      <c r="BV404" t="e">
        <f t="shared" si="154"/>
        <v>#N/A</v>
      </c>
      <c r="BY404" t="e">
        <f t="shared" si="161"/>
        <v>#N/A</v>
      </c>
      <c r="BZ404" t="e">
        <v>#N/A</v>
      </c>
      <c r="CA404" t="e" cm="1">
        <f t="array" ref="CA404">IF(ISNUMBER(BZ404),AF404/COUNT(IF(ISNUMBER(_xlfn.ANCHORARRAY($BZ$11)),_xlfn.ANCHORARRAY($BZ$11))),NA())</f>
        <v>#N/A</v>
      </c>
      <c r="CB404" t="e">
        <f t="shared" si="162"/>
        <v>#N/A</v>
      </c>
      <c r="CD404" t="e">
        <f t="shared" si="163"/>
        <v>#N/A</v>
      </c>
      <c r="CE404" t="e">
        <f t="shared" si="164"/>
        <v>#N/A</v>
      </c>
      <c r="CG404" t="e">
        <v>#N/A</v>
      </c>
      <c r="CH404" t="e">
        <v>#N/A</v>
      </c>
      <c r="CL404" t="e">
        <f t="shared" si="165"/>
        <v>#N/A</v>
      </c>
      <c r="CM404" t="e">
        <v>#N/A</v>
      </c>
      <c r="CN404" t="e" cm="1">
        <f t="array" ref="CN404">IF(ISNUMBER(CM404),AF404/COUNT(IF(ISNUMBER(_xlfn.ANCHORARRAY($CM$11)),_xlfn.ANCHORARRAY($CM$11))),NA())</f>
        <v>#N/A</v>
      </c>
      <c r="CO404" t="e">
        <f t="shared" si="166"/>
        <v>#N/A</v>
      </c>
      <c r="CQ404" t="e">
        <f t="shared" si="167"/>
        <v>#N/A</v>
      </c>
      <c r="CR404" t="e">
        <f t="shared" si="168"/>
        <v>#N/A</v>
      </c>
      <c r="CT404" t="e">
        <v>#N/A</v>
      </c>
      <c r="CU404" t="e">
        <v>#N/A</v>
      </c>
      <c r="CY404" t="e">
        <f t="shared" si="169"/>
        <v>#N/A</v>
      </c>
      <c r="CZ404" t="e">
        <v>#N/A</v>
      </c>
      <c r="DA404" t="e" cm="1">
        <f t="array" ref="DA404">IF(ISNUMBER(CZ404),AF404/COUNT(IF(ISNUMBER(_xlfn.ANCHORARRAY($CZ$11)),_xlfn.ANCHORARRAY($CZ$11))),NA())</f>
        <v>#N/A</v>
      </c>
      <c r="DB404" t="e">
        <f t="shared" si="170"/>
        <v>#N/A</v>
      </c>
      <c r="DD404" t="e">
        <f t="shared" si="171"/>
        <v>#N/A</v>
      </c>
      <c r="DE404" t="e">
        <f t="shared" si="172"/>
        <v>#N/A</v>
      </c>
      <c r="DG404" t="e">
        <v>#N/A</v>
      </c>
      <c r="DH404" t="e">
        <v>#N/A</v>
      </c>
    </row>
    <row r="405" spans="32:112">
      <c r="AF405">
        <v>395</v>
      </c>
      <c r="AG405" s="401">
        <f>'Lab test'!N398</f>
        <v>390</v>
      </c>
      <c r="AH405" s="401">
        <f>'Lab test'!M398</f>
        <v>6.73</v>
      </c>
      <c r="AI405">
        <f>IF('Lab test'!O398&gt;0,'Lab test'!O398,NA())</f>
        <v>2030</v>
      </c>
      <c r="AJ405">
        <f>'Lab test'!Q398</f>
        <v>57.949479940564629</v>
      </c>
      <c r="AK405" s="401">
        <f>IF('Lab test'!V398&gt;0,'Lab test'!V398,NA())</f>
        <v>203400</v>
      </c>
      <c r="AL405" s="7">
        <f>IF(MAX('Lab test'!W398,'Lab test'!X398)&gt;0,MAX('Lab test'!W398,'Lab test'!X398),NA())</f>
        <v>203.8</v>
      </c>
      <c r="AM405" s="401">
        <f>IF('Lab test'!P398&gt;0,'Lab test'!P398,NA())</f>
        <v>0.68376467372274397</v>
      </c>
      <c r="AN405" s="401">
        <f>IF('Lab test'!AU398&gt;0,'Lab test'!AU398,NA())</f>
        <v>1.004</v>
      </c>
      <c r="AO405" s="401">
        <f>IF('Lab test'!AT398&gt;0,'Lab test'!AT398,NA())</f>
        <v>9.6320296372152933E-2</v>
      </c>
      <c r="AP405">
        <f t="shared" si="151"/>
        <v>1</v>
      </c>
      <c r="AQ405" s="401">
        <f>'Lab test'!AZ398</f>
        <v>1980</v>
      </c>
      <c r="AR405" t="str">
        <f>'Lab test'!AC398</f>
        <v>LTWa</v>
      </c>
      <c r="AS405" t="str">
        <f>'Lab test'!T398</f>
        <v>Steel</v>
      </c>
      <c r="AX405" t="e">
        <f t="shared" si="158"/>
        <v>#N/A</v>
      </c>
      <c r="AY405" t="e">
        <f t="shared" si="155"/>
        <v>#N/A</v>
      </c>
      <c r="AZ405" t="e">
        <f t="shared" si="152"/>
        <v>#N/A</v>
      </c>
      <c r="BA405" t="e">
        <f t="shared" si="152"/>
        <v>#N/A</v>
      </c>
      <c r="BB405" t="e">
        <f t="shared" si="152"/>
        <v>#N/A</v>
      </c>
      <c r="BC405" t="e">
        <f t="shared" si="152"/>
        <v>#N/A</v>
      </c>
      <c r="BD405" t="e">
        <f t="shared" si="152"/>
        <v>#N/A</v>
      </c>
      <c r="BG405" t="e">
        <f t="shared" si="159"/>
        <v>#N/A</v>
      </c>
      <c r="BH405" t="e">
        <f t="shared" si="156"/>
        <v>#N/A</v>
      </c>
      <c r="BI405" t="e">
        <f t="shared" si="153"/>
        <v>#N/A</v>
      </c>
      <c r="BJ405" t="e">
        <f t="shared" si="153"/>
        <v>#N/A</v>
      </c>
      <c r="BK405" t="e">
        <f t="shared" si="153"/>
        <v>#N/A</v>
      </c>
      <c r="BL405" t="e">
        <f t="shared" si="153"/>
        <v>#N/A</v>
      </c>
      <c r="BM405" t="e">
        <f t="shared" si="153"/>
        <v>#N/A</v>
      </c>
      <c r="BP405" t="e">
        <f t="shared" si="160"/>
        <v>#N/A</v>
      </c>
      <c r="BQ405" t="e">
        <f t="shared" si="157"/>
        <v>#N/A</v>
      </c>
      <c r="BR405" t="e">
        <f t="shared" si="154"/>
        <v>#N/A</v>
      </c>
      <c r="BS405" t="e">
        <f t="shared" si="154"/>
        <v>#N/A</v>
      </c>
      <c r="BT405" t="e">
        <f t="shared" si="154"/>
        <v>#N/A</v>
      </c>
      <c r="BU405" t="e">
        <f t="shared" si="154"/>
        <v>#N/A</v>
      </c>
      <c r="BV405" t="e">
        <f t="shared" si="154"/>
        <v>#N/A</v>
      </c>
      <c r="BY405" t="e">
        <f t="shared" si="161"/>
        <v>#N/A</v>
      </c>
      <c r="BZ405" t="e">
        <v>#N/A</v>
      </c>
      <c r="CA405" t="e" cm="1">
        <f t="array" ref="CA405">IF(ISNUMBER(BZ405),AF405/COUNT(IF(ISNUMBER(_xlfn.ANCHORARRAY($BZ$11)),_xlfn.ANCHORARRAY($BZ$11))),NA())</f>
        <v>#N/A</v>
      </c>
      <c r="CB405" t="e">
        <f t="shared" si="162"/>
        <v>#N/A</v>
      </c>
      <c r="CD405" t="e">
        <f t="shared" si="163"/>
        <v>#N/A</v>
      </c>
      <c r="CE405" t="e">
        <f t="shared" si="164"/>
        <v>#N/A</v>
      </c>
      <c r="CG405" t="e">
        <v>#N/A</v>
      </c>
      <c r="CH405" t="e">
        <v>#N/A</v>
      </c>
      <c r="CL405" t="e">
        <f t="shared" si="165"/>
        <v>#N/A</v>
      </c>
      <c r="CM405" t="e">
        <v>#N/A</v>
      </c>
      <c r="CN405" t="e" cm="1">
        <f t="array" ref="CN405">IF(ISNUMBER(CM405),AF405/COUNT(IF(ISNUMBER(_xlfn.ANCHORARRAY($CM$11)),_xlfn.ANCHORARRAY($CM$11))),NA())</f>
        <v>#N/A</v>
      </c>
      <c r="CO405" t="e">
        <f t="shared" si="166"/>
        <v>#N/A</v>
      </c>
      <c r="CQ405" t="e">
        <f t="shared" si="167"/>
        <v>#N/A</v>
      </c>
      <c r="CR405" t="e">
        <f t="shared" si="168"/>
        <v>#N/A</v>
      </c>
      <c r="CT405" t="e">
        <v>#N/A</v>
      </c>
      <c r="CU405" t="e">
        <v>#N/A</v>
      </c>
      <c r="CY405" t="e">
        <f t="shared" si="169"/>
        <v>#N/A</v>
      </c>
      <c r="CZ405" t="e">
        <v>#N/A</v>
      </c>
      <c r="DA405" t="e" cm="1">
        <f t="array" ref="DA405">IF(ISNUMBER(CZ405),AF405/COUNT(IF(ISNUMBER(_xlfn.ANCHORARRAY($CZ$11)),_xlfn.ANCHORARRAY($CZ$11))),NA())</f>
        <v>#N/A</v>
      </c>
      <c r="DB405" t="e">
        <f t="shared" si="170"/>
        <v>#N/A</v>
      </c>
      <c r="DD405" t="e">
        <f t="shared" si="171"/>
        <v>#N/A</v>
      </c>
      <c r="DE405" t="e">
        <f t="shared" si="172"/>
        <v>#N/A</v>
      </c>
      <c r="DG405" t="e">
        <v>#N/A</v>
      </c>
      <c r="DH405" t="e">
        <v>#N/A</v>
      </c>
    </row>
    <row r="406" spans="32:112">
      <c r="AF406">
        <v>396</v>
      </c>
      <c r="AG406" s="401">
        <f>'Lab test'!N399</f>
        <v>510</v>
      </c>
      <c r="AH406" s="401">
        <f>'Lab test'!M399</f>
        <v>6.73</v>
      </c>
      <c r="AI406">
        <f>IF('Lab test'!O399&gt;0,'Lab test'!O399,NA())</f>
        <v>3050</v>
      </c>
      <c r="AJ406">
        <f>'Lab test'!Q399</f>
        <v>75.780089153046063</v>
      </c>
      <c r="AK406" s="401">
        <f>IF('Lab test'!V399&gt;0,'Lab test'!V399,NA())</f>
        <v>203400</v>
      </c>
      <c r="AL406" s="7">
        <f>IF(MAX('Lab test'!W399,'Lab test'!X399)&gt;0,MAX('Lab test'!W399,'Lab test'!X399),NA())</f>
        <v>203.8</v>
      </c>
      <c r="AM406" s="401">
        <f>IF('Lab test'!P399&gt;0,'Lab test'!P399,NA())</f>
        <v>0.68699267635248473</v>
      </c>
      <c r="AN406" s="401">
        <f>IF('Lab test'!AU399&gt;0,'Lab test'!AU399,NA())</f>
        <v>0.999</v>
      </c>
      <c r="AO406" s="401">
        <f>IF('Lab test'!AT399&gt;0,'Lab test'!AT399,NA())</f>
        <v>0.12533003319707886</v>
      </c>
      <c r="AP406">
        <f t="shared" si="151"/>
        <v>1</v>
      </c>
      <c r="AQ406" s="401">
        <f>'Lab test'!AZ399</f>
        <v>1980</v>
      </c>
      <c r="AR406" t="str">
        <f>'Lab test'!AC399</f>
        <v>LTWa</v>
      </c>
      <c r="AS406" t="str">
        <f>'Lab test'!T399</f>
        <v>Steel</v>
      </c>
      <c r="AX406" t="e">
        <f t="shared" si="158"/>
        <v>#N/A</v>
      </c>
      <c r="AY406" t="e">
        <f t="shared" si="155"/>
        <v>#N/A</v>
      </c>
      <c r="AZ406" t="e">
        <f t="shared" si="152"/>
        <v>#N/A</v>
      </c>
      <c r="BA406" t="e">
        <f t="shared" si="152"/>
        <v>#N/A</v>
      </c>
      <c r="BB406" t="e">
        <f t="shared" si="152"/>
        <v>#N/A</v>
      </c>
      <c r="BC406" t="e">
        <f t="shared" si="152"/>
        <v>#N/A</v>
      </c>
      <c r="BD406" t="e">
        <f t="shared" si="152"/>
        <v>#N/A</v>
      </c>
      <c r="BG406" t="e">
        <f t="shared" si="159"/>
        <v>#N/A</v>
      </c>
      <c r="BH406" t="e">
        <f t="shared" si="156"/>
        <v>#N/A</v>
      </c>
      <c r="BI406" t="e">
        <f t="shared" si="153"/>
        <v>#N/A</v>
      </c>
      <c r="BJ406" t="e">
        <f t="shared" si="153"/>
        <v>#N/A</v>
      </c>
      <c r="BK406" t="e">
        <f t="shared" si="153"/>
        <v>#N/A</v>
      </c>
      <c r="BL406" t="e">
        <f t="shared" si="153"/>
        <v>#N/A</v>
      </c>
      <c r="BM406" t="e">
        <f t="shared" si="153"/>
        <v>#N/A</v>
      </c>
      <c r="BP406" t="e">
        <f t="shared" si="160"/>
        <v>#N/A</v>
      </c>
      <c r="BQ406" t="e">
        <f t="shared" si="157"/>
        <v>#N/A</v>
      </c>
      <c r="BR406" t="e">
        <f t="shared" si="154"/>
        <v>#N/A</v>
      </c>
      <c r="BS406" t="e">
        <f t="shared" si="154"/>
        <v>#N/A</v>
      </c>
      <c r="BT406" t="e">
        <f t="shared" si="154"/>
        <v>#N/A</v>
      </c>
      <c r="BU406" t="e">
        <f t="shared" si="154"/>
        <v>#N/A</v>
      </c>
      <c r="BV406" t="e">
        <f t="shared" si="154"/>
        <v>#N/A</v>
      </c>
      <c r="BY406" t="e">
        <f t="shared" si="161"/>
        <v>#N/A</v>
      </c>
      <c r="BZ406" t="e">
        <v>#N/A</v>
      </c>
      <c r="CA406" t="e" cm="1">
        <f t="array" ref="CA406">IF(ISNUMBER(BZ406),AF406/COUNT(IF(ISNUMBER(_xlfn.ANCHORARRAY($BZ$11)),_xlfn.ANCHORARRAY($BZ$11))),NA())</f>
        <v>#N/A</v>
      </c>
      <c r="CB406" t="e">
        <f t="shared" si="162"/>
        <v>#N/A</v>
      </c>
      <c r="CD406" t="e">
        <f t="shared" si="163"/>
        <v>#N/A</v>
      </c>
      <c r="CE406" t="e">
        <f t="shared" si="164"/>
        <v>#N/A</v>
      </c>
      <c r="CG406" t="e">
        <v>#N/A</v>
      </c>
      <c r="CH406" t="e">
        <v>#N/A</v>
      </c>
      <c r="CL406" t="e">
        <f t="shared" si="165"/>
        <v>#N/A</v>
      </c>
      <c r="CM406" t="e">
        <v>#N/A</v>
      </c>
      <c r="CN406" t="e" cm="1">
        <f t="array" ref="CN406">IF(ISNUMBER(CM406),AF406/COUNT(IF(ISNUMBER(_xlfn.ANCHORARRAY($CM$11)),_xlfn.ANCHORARRAY($CM$11))),NA())</f>
        <v>#N/A</v>
      </c>
      <c r="CO406" t="e">
        <f t="shared" si="166"/>
        <v>#N/A</v>
      </c>
      <c r="CQ406" t="e">
        <f t="shared" si="167"/>
        <v>#N/A</v>
      </c>
      <c r="CR406" t="e">
        <f t="shared" si="168"/>
        <v>#N/A</v>
      </c>
      <c r="CT406" t="e">
        <v>#N/A</v>
      </c>
      <c r="CU406" t="e">
        <v>#N/A</v>
      </c>
      <c r="CY406" t="e">
        <f t="shared" si="169"/>
        <v>#N/A</v>
      </c>
      <c r="CZ406" t="e">
        <v>#N/A</v>
      </c>
      <c r="DA406" t="e" cm="1">
        <f t="array" ref="DA406">IF(ISNUMBER(CZ406),AF406/COUNT(IF(ISNUMBER(_xlfn.ANCHORARRAY($CZ$11)),_xlfn.ANCHORARRAY($CZ$11))),NA())</f>
        <v>#N/A</v>
      </c>
      <c r="DB406" t="e">
        <f t="shared" si="170"/>
        <v>#N/A</v>
      </c>
      <c r="DD406" t="e">
        <f t="shared" si="171"/>
        <v>#N/A</v>
      </c>
      <c r="DE406" t="e">
        <f t="shared" si="172"/>
        <v>#N/A</v>
      </c>
      <c r="DG406" t="e">
        <v>#N/A</v>
      </c>
      <c r="DH406" t="e">
        <v>#N/A</v>
      </c>
    </row>
    <row r="407" spans="32:112">
      <c r="AF407">
        <v>397</v>
      </c>
      <c r="AG407" s="401">
        <f>'Lab test'!N400</f>
        <v>765</v>
      </c>
      <c r="AH407" s="401">
        <f>'Lab test'!M400</f>
        <v>6.73</v>
      </c>
      <c r="AI407">
        <f>IF('Lab test'!O400&gt;0,'Lab test'!O400,NA())</f>
        <v>3050</v>
      </c>
      <c r="AJ407">
        <f>'Lab test'!Q400</f>
        <v>113.67013372956909</v>
      </c>
      <c r="AK407" s="401">
        <f>IF('Lab test'!V400&gt;0,'Lab test'!V400,NA())</f>
        <v>203400</v>
      </c>
      <c r="AL407" s="7">
        <f>IF(MAX('Lab test'!W400,'Lab test'!X400)&gt;0,MAX('Lab test'!W400,'Lab test'!X400),NA())</f>
        <v>203.8</v>
      </c>
      <c r="AM407" s="401">
        <f>IF('Lab test'!P400&gt;0,'Lab test'!P400,NA())</f>
        <v>0.37395144757612775</v>
      </c>
      <c r="AN407" s="401">
        <f>IF('Lab test'!AU400&gt;0,'Lab test'!AU400,NA())</f>
        <v>0.88000000000000012</v>
      </c>
      <c r="AO407" s="401">
        <f>IF('Lab test'!AT400&gt;0,'Lab test'!AT400,NA())</f>
        <v>0.16560124506520929</v>
      </c>
      <c r="AP407">
        <f t="shared" ref="AP407:AP470" si="173">IF(AND(OR(ISNUMBER(AN407),ISNUMBER(AO407)),ISNUMBER(AK407),ISNUMBER(AL407)),1,NA())</f>
        <v>1</v>
      </c>
      <c r="AQ407" s="401">
        <f>'Lab test'!AZ400</f>
        <v>1980</v>
      </c>
      <c r="AR407" t="str">
        <f>'Lab test'!AC400</f>
        <v>LTWa</v>
      </c>
      <c r="AS407" t="str">
        <f>'Lab test'!T400</f>
        <v>Steel</v>
      </c>
      <c r="AX407" t="e">
        <f t="shared" si="158"/>
        <v>#N/A</v>
      </c>
      <c r="AY407" t="e">
        <f t="shared" si="155"/>
        <v>#N/A</v>
      </c>
      <c r="AZ407" t="e">
        <f t="shared" si="152"/>
        <v>#N/A</v>
      </c>
      <c r="BA407" t="e">
        <f t="shared" si="152"/>
        <v>#N/A</v>
      </c>
      <c r="BB407" t="e">
        <f t="shared" si="152"/>
        <v>#N/A</v>
      </c>
      <c r="BC407" t="e">
        <f t="shared" si="152"/>
        <v>#N/A</v>
      </c>
      <c r="BD407" t="e">
        <f t="shared" si="152"/>
        <v>#N/A</v>
      </c>
      <c r="BG407" t="e">
        <f t="shared" si="159"/>
        <v>#N/A</v>
      </c>
      <c r="BH407" t="e">
        <f t="shared" si="156"/>
        <v>#N/A</v>
      </c>
      <c r="BI407" t="e">
        <f t="shared" si="153"/>
        <v>#N/A</v>
      </c>
      <c r="BJ407" t="e">
        <f t="shared" si="153"/>
        <v>#N/A</v>
      </c>
      <c r="BK407" t="e">
        <f t="shared" si="153"/>
        <v>#N/A</v>
      </c>
      <c r="BL407" t="e">
        <f t="shared" si="153"/>
        <v>#N/A</v>
      </c>
      <c r="BM407" t="e">
        <f t="shared" si="153"/>
        <v>#N/A</v>
      </c>
      <c r="BP407" t="e">
        <f t="shared" si="160"/>
        <v>#N/A</v>
      </c>
      <c r="BQ407" t="e">
        <f t="shared" si="157"/>
        <v>#N/A</v>
      </c>
      <c r="BR407" t="e">
        <f t="shared" si="154"/>
        <v>#N/A</v>
      </c>
      <c r="BS407" t="e">
        <f t="shared" si="154"/>
        <v>#N/A</v>
      </c>
      <c r="BT407" t="e">
        <f t="shared" si="154"/>
        <v>#N/A</v>
      </c>
      <c r="BU407" t="e">
        <f t="shared" si="154"/>
        <v>#N/A</v>
      </c>
      <c r="BV407" t="e">
        <f t="shared" si="154"/>
        <v>#N/A</v>
      </c>
      <c r="BY407" t="e">
        <f t="shared" si="161"/>
        <v>#N/A</v>
      </c>
      <c r="BZ407" t="e">
        <v>#N/A</v>
      </c>
      <c r="CA407" t="e" cm="1">
        <f t="array" ref="CA407">IF(ISNUMBER(BZ407),AF407/COUNT(IF(ISNUMBER(_xlfn.ANCHORARRAY($BZ$11)),_xlfn.ANCHORARRAY($BZ$11))),NA())</f>
        <v>#N/A</v>
      </c>
      <c r="CB407" t="e">
        <f t="shared" si="162"/>
        <v>#N/A</v>
      </c>
      <c r="CD407" t="e">
        <f t="shared" si="163"/>
        <v>#N/A</v>
      </c>
      <c r="CE407" t="e">
        <f t="shared" si="164"/>
        <v>#N/A</v>
      </c>
      <c r="CG407" t="e">
        <v>#N/A</v>
      </c>
      <c r="CH407" t="e">
        <v>#N/A</v>
      </c>
      <c r="CL407" t="e">
        <f t="shared" si="165"/>
        <v>#N/A</v>
      </c>
      <c r="CM407" t="e">
        <v>#N/A</v>
      </c>
      <c r="CN407" t="e" cm="1">
        <f t="array" ref="CN407">IF(ISNUMBER(CM407),AF407/COUNT(IF(ISNUMBER(_xlfn.ANCHORARRAY($CM$11)),_xlfn.ANCHORARRAY($CM$11))),NA())</f>
        <v>#N/A</v>
      </c>
      <c r="CO407" t="e">
        <f t="shared" si="166"/>
        <v>#N/A</v>
      </c>
      <c r="CQ407" t="e">
        <f t="shared" si="167"/>
        <v>#N/A</v>
      </c>
      <c r="CR407" t="e">
        <f t="shared" si="168"/>
        <v>#N/A</v>
      </c>
      <c r="CT407" t="e">
        <v>#N/A</v>
      </c>
      <c r="CU407" t="e">
        <v>#N/A</v>
      </c>
      <c r="CY407" t="e">
        <f t="shared" si="169"/>
        <v>#N/A</v>
      </c>
      <c r="CZ407" t="e">
        <v>#N/A</v>
      </c>
      <c r="DA407" t="e" cm="1">
        <f t="array" ref="DA407">IF(ISNUMBER(CZ407),AF407/COUNT(IF(ISNUMBER(_xlfn.ANCHORARRAY($CZ$11)),_xlfn.ANCHORARRAY($CZ$11))),NA())</f>
        <v>#N/A</v>
      </c>
      <c r="DB407" t="e">
        <f t="shared" si="170"/>
        <v>#N/A</v>
      </c>
      <c r="DD407" t="e">
        <f t="shared" si="171"/>
        <v>#N/A</v>
      </c>
      <c r="DE407" t="e">
        <f t="shared" si="172"/>
        <v>#N/A</v>
      </c>
      <c r="DG407" t="e">
        <v>#N/A</v>
      </c>
      <c r="DH407" t="e">
        <v>#N/A</v>
      </c>
    </row>
    <row r="408" spans="32:112">
      <c r="AF408">
        <v>398</v>
      </c>
      <c r="AG408" s="401">
        <f>'Lab test'!N401</f>
        <v>290</v>
      </c>
      <c r="AH408" s="401">
        <f>'Lab test'!M401</f>
        <v>9.73</v>
      </c>
      <c r="AI408">
        <f>IF('Lab test'!O401&gt;0,'Lab test'!O401,NA())</f>
        <v>1220</v>
      </c>
      <c r="AJ408">
        <f>'Lab test'!Q401</f>
        <v>29.804727646454264</v>
      </c>
      <c r="AK408" s="401">
        <f>IF('Lab test'!V401&gt;0,'Lab test'!V401,NA())</f>
        <v>203400</v>
      </c>
      <c r="AL408" s="7">
        <f>IF(MAX('Lab test'!W401,'Lab test'!X401)&gt;0,MAX('Lab test'!W401,'Lab test'!X401),NA())</f>
        <v>335.6</v>
      </c>
      <c r="AM408" s="401">
        <f>IF('Lab test'!P401&gt;0,'Lab test'!P401,NA())</f>
        <v>0.77058269879519081</v>
      </c>
      <c r="AN408" s="401">
        <f>IF('Lab test'!AU401&gt;0,'Lab test'!AU401,NA())</f>
        <v>1.0089999999999999</v>
      </c>
      <c r="AO408" s="401">
        <f>IF('Lab test'!AT401&gt;0,'Lab test'!AT401,NA())</f>
        <v>8.1983914528185653E-2</v>
      </c>
      <c r="AP408">
        <f t="shared" si="173"/>
        <v>1</v>
      </c>
      <c r="AQ408" s="401">
        <f>'Lab test'!AZ401</f>
        <v>1980</v>
      </c>
      <c r="AR408" t="str">
        <f>'Lab test'!AC401</f>
        <v>LTWa</v>
      </c>
      <c r="AS408" t="str">
        <f>'Lab test'!T401</f>
        <v>Steel</v>
      </c>
      <c r="AX408" t="e">
        <f t="shared" si="158"/>
        <v>#N/A</v>
      </c>
      <c r="AY408" t="e">
        <f t="shared" si="155"/>
        <v>#N/A</v>
      </c>
      <c r="AZ408" t="e">
        <f t="shared" si="152"/>
        <v>#N/A</v>
      </c>
      <c r="BA408" t="e">
        <f t="shared" si="152"/>
        <v>#N/A</v>
      </c>
      <c r="BB408" t="e">
        <f t="shared" si="152"/>
        <v>#N/A</v>
      </c>
      <c r="BC408" t="e">
        <f t="shared" si="152"/>
        <v>#N/A</v>
      </c>
      <c r="BD408" t="e">
        <f t="shared" si="152"/>
        <v>#N/A</v>
      </c>
      <c r="BG408" t="e">
        <f t="shared" si="159"/>
        <v>#N/A</v>
      </c>
      <c r="BH408" t="e">
        <f t="shared" si="156"/>
        <v>#N/A</v>
      </c>
      <c r="BI408" t="e">
        <f t="shared" si="153"/>
        <v>#N/A</v>
      </c>
      <c r="BJ408" t="e">
        <f t="shared" si="153"/>
        <v>#N/A</v>
      </c>
      <c r="BK408" t="e">
        <f t="shared" si="153"/>
        <v>#N/A</v>
      </c>
      <c r="BL408" t="e">
        <f t="shared" si="153"/>
        <v>#N/A</v>
      </c>
      <c r="BM408" t="e">
        <f t="shared" si="153"/>
        <v>#N/A</v>
      </c>
      <c r="BP408" t="e">
        <f t="shared" si="160"/>
        <v>#N/A</v>
      </c>
      <c r="BQ408" t="e">
        <f t="shared" si="157"/>
        <v>#N/A</v>
      </c>
      <c r="BR408" t="e">
        <f t="shared" si="154"/>
        <v>#N/A</v>
      </c>
      <c r="BS408" t="e">
        <f t="shared" si="154"/>
        <v>#N/A</v>
      </c>
      <c r="BT408" t="e">
        <f t="shared" si="154"/>
        <v>#N/A</v>
      </c>
      <c r="BU408" t="e">
        <f t="shared" si="154"/>
        <v>#N/A</v>
      </c>
      <c r="BV408" t="e">
        <f t="shared" si="154"/>
        <v>#N/A</v>
      </c>
      <c r="BY408" t="e">
        <f t="shared" si="161"/>
        <v>#N/A</v>
      </c>
      <c r="BZ408" t="e">
        <v>#N/A</v>
      </c>
      <c r="CA408" t="e" cm="1">
        <f t="array" ref="CA408">IF(ISNUMBER(BZ408),AF408/COUNT(IF(ISNUMBER(_xlfn.ANCHORARRAY($BZ$11)),_xlfn.ANCHORARRAY($BZ$11))),NA())</f>
        <v>#N/A</v>
      </c>
      <c r="CB408" t="e">
        <f t="shared" si="162"/>
        <v>#N/A</v>
      </c>
      <c r="CD408" t="e">
        <f t="shared" si="163"/>
        <v>#N/A</v>
      </c>
      <c r="CE408" t="e">
        <f t="shared" si="164"/>
        <v>#N/A</v>
      </c>
      <c r="CG408" t="e">
        <v>#N/A</v>
      </c>
      <c r="CH408" t="e">
        <v>#N/A</v>
      </c>
      <c r="CL408" t="e">
        <f t="shared" si="165"/>
        <v>#N/A</v>
      </c>
      <c r="CM408" t="e">
        <v>#N/A</v>
      </c>
      <c r="CN408" t="e" cm="1">
        <f t="array" ref="CN408">IF(ISNUMBER(CM408),AF408/COUNT(IF(ISNUMBER(_xlfn.ANCHORARRAY($CM$11)),_xlfn.ANCHORARRAY($CM$11))),NA())</f>
        <v>#N/A</v>
      </c>
      <c r="CO408" t="e">
        <f t="shared" si="166"/>
        <v>#N/A</v>
      </c>
      <c r="CQ408" t="e">
        <f t="shared" si="167"/>
        <v>#N/A</v>
      </c>
      <c r="CR408" t="e">
        <f t="shared" si="168"/>
        <v>#N/A</v>
      </c>
      <c r="CT408" t="e">
        <v>#N/A</v>
      </c>
      <c r="CU408" t="e">
        <v>#N/A</v>
      </c>
      <c r="CY408" t="e">
        <f t="shared" si="169"/>
        <v>#N/A</v>
      </c>
      <c r="CZ408" t="e">
        <v>#N/A</v>
      </c>
      <c r="DA408" t="e" cm="1">
        <f t="array" ref="DA408">IF(ISNUMBER(CZ408),AF408/COUNT(IF(ISNUMBER(_xlfn.ANCHORARRAY($CZ$11)),_xlfn.ANCHORARRAY($CZ$11))),NA())</f>
        <v>#N/A</v>
      </c>
      <c r="DB408" t="e">
        <f t="shared" si="170"/>
        <v>#N/A</v>
      </c>
      <c r="DD408" t="e">
        <f t="shared" si="171"/>
        <v>#N/A</v>
      </c>
      <c r="DE408" t="e">
        <f t="shared" si="172"/>
        <v>#N/A</v>
      </c>
      <c r="DG408" t="e">
        <v>#N/A</v>
      </c>
      <c r="DH408" t="e">
        <v>#N/A</v>
      </c>
    </row>
    <row r="409" spans="32:112">
      <c r="AF409">
        <v>399</v>
      </c>
      <c r="AG409" s="401">
        <f>'Lab test'!N402</f>
        <v>765</v>
      </c>
      <c r="AH409" s="401">
        <f>'Lab test'!M402</f>
        <v>6.55</v>
      </c>
      <c r="AI409">
        <f>IF('Lab test'!O402&gt;0,'Lab test'!O402,NA())</f>
        <v>1960</v>
      </c>
      <c r="AJ409">
        <f>'Lab test'!Q402</f>
        <v>116.79389312977099</v>
      </c>
      <c r="AK409" s="401">
        <f>IF('Lab test'!V402&gt;0,'Lab test'!V402,NA())</f>
        <v>203400</v>
      </c>
      <c r="AL409" s="7">
        <f>IF(MAX('Lab test'!W402,'Lab test'!X402)&gt;0,MAX('Lab test'!W402,'Lab test'!X402),NA())</f>
        <v>622.79999999999995</v>
      </c>
      <c r="AM409" s="401">
        <f>IF('Lab test'!P402&gt;0,'Lab test'!P402,NA())</f>
        <v>0.23707435006468233</v>
      </c>
      <c r="AN409" s="401">
        <f>IF('Lab test'!AU402&gt;0,'Lab test'!AU402,NA())</f>
        <v>0.82899999999999985</v>
      </c>
      <c r="AO409" s="401">
        <f>IF('Lab test'!AT402&gt;0,'Lab test'!AT402,NA())</f>
        <v>0.48983932113447265</v>
      </c>
      <c r="AP409">
        <f t="shared" si="173"/>
        <v>1</v>
      </c>
      <c r="AQ409" s="401">
        <f>'Lab test'!AZ402</f>
        <v>1980</v>
      </c>
      <c r="AR409" t="str">
        <f>'Lab test'!AC402</f>
        <v>LTWa</v>
      </c>
      <c r="AS409" t="str">
        <f>'Lab test'!T402</f>
        <v>Steel</v>
      </c>
      <c r="AX409" t="e">
        <f t="shared" si="158"/>
        <v>#N/A</v>
      </c>
      <c r="AY409" t="e">
        <f t="shared" si="155"/>
        <v>#N/A</v>
      </c>
      <c r="AZ409" t="e">
        <f t="shared" si="152"/>
        <v>#N/A</v>
      </c>
      <c r="BA409" t="e">
        <f t="shared" si="152"/>
        <v>#N/A</v>
      </c>
      <c r="BB409" t="e">
        <f t="shared" si="152"/>
        <v>#N/A</v>
      </c>
      <c r="BC409" t="e">
        <f t="shared" si="152"/>
        <v>#N/A</v>
      </c>
      <c r="BD409" t="e">
        <f t="shared" si="152"/>
        <v>#N/A</v>
      </c>
      <c r="BG409" t="e">
        <f t="shared" si="159"/>
        <v>#N/A</v>
      </c>
      <c r="BH409" t="e">
        <f t="shared" si="156"/>
        <v>#N/A</v>
      </c>
      <c r="BI409" t="e">
        <f t="shared" si="153"/>
        <v>#N/A</v>
      </c>
      <c r="BJ409" t="e">
        <f t="shared" si="153"/>
        <v>#N/A</v>
      </c>
      <c r="BK409" t="e">
        <f t="shared" si="153"/>
        <v>#N/A</v>
      </c>
      <c r="BL409" t="e">
        <f t="shared" si="153"/>
        <v>#N/A</v>
      </c>
      <c r="BM409" t="e">
        <f t="shared" si="153"/>
        <v>#N/A</v>
      </c>
      <c r="BP409" t="e">
        <f t="shared" si="160"/>
        <v>#N/A</v>
      </c>
      <c r="BQ409" t="e">
        <f t="shared" si="157"/>
        <v>#N/A</v>
      </c>
      <c r="BR409" t="e">
        <f t="shared" si="154"/>
        <v>#N/A</v>
      </c>
      <c r="BS409" t="e">
        <f t="shared" si="154"/>
        <v>#N/A</v>
      </c>
      <c r="BT409" t="e">
        <f t="shared" si="154"/>
        <v>#N/A</v>
      </c>
      <c r="BU409" t="e">
        <f t="shared" si="154"/>
        <v>#N/A</v>
      </c>
      <c r="BV409" t="e">
        <f t="shared" si="154"/>
        <v>#N/A</v>
      </c>
      <c r="BY409" t="e">
        <f t="shared" si="161"/>
        <v>#N/A</v>
      </c>
      <c r="BZ409" t="e">
        <v>#N/A</v>
      </c>
      <c r="CA409" t="e" cm="1">
        <f t="array" ref="CA409">IF(ISNUMBER(BZ409),AF409/COUNT(IF(ISNUMBER(_xlfn.ANCHORARRAY($BZ$11)),_xlfn.ANCHORARRAY($BZ$11))),NA())</f>
        <v>#N/A</v>
      </c>
      <c r="CB409" t="e">
        <f t="shared" si="162"/>
        <v>#N/A</v>
      </c>
      <c r="CD409" t="e">
        <f t="shared" si="163"/>
        <v>#N/A</v>
      </c>
      <c r="CE409" t="e">
        <f t="shared" si="164"/>
        <v>#N/A</v>
      </c>
      <c r="CG409" t="e">
        <v>#N/A</v>
      </c>
      <c r="CH409" t="e">
        <v>#N/A</v>
      </c>
      <c r="CL409" t="e">
        <f t="shared" si="165"/>
        <v>#N/A</v>
      </c>
      <c r="CM409" t="e">
        <v>#N/A</v>
      </c>
      <c r="CN409" t="e" cm="1">
        <f t="array" ref="CN409">IF(ISNUMBER(CM409),AF409/COUNT(IF(ISNUMBER(_xlfn.ANCHORARRAY($CM$11)),_xlfn.ANCHORARRAY($CM$11))),NA())</f>
        <v>#N/A</v>
      </c>
      <c r="CO409" t="e">
        <f t="shared" si="166"/>
        <v>#N/A</v>
      </c>
      <c r="CQ409" t="e">
        <f t="shared" si="167"/>
        <v>#N/A</v>
      </c>
      <c r="CR409" t="e">
        <f t="shared" si="168"/>
        <v>#N/A</v>
      </c>
      <c r="CT409" t="e">
        <v>#N/A</v>
      </c>
      <c r="CU409" t="e">
        <v>#N/A</v>
      </c>
      <c r="CY409" t="e">
        <f t="shared" si="169"/>
        <v>#N/A</v>
      </c>
      <c r="CZ409" t="e">
        <v>#N/A</v>
      </c>
      <c r="DA409" t="e" cm="1">
        <f t="array" ref="DA409">IF(ISNUMBER(CZ409),AF409/COUNT(IF(ISNUMBER(_xlfn.ANCHORARRAY($CZ$11)),_xlfn.ANCHORARRAY($CZ$11))),NA())</f>
        <v>#N/A</v>
      </c>
      <c r="DB409" t="e">
        <f t="shared" si="170"/>
        <v>#N/A</v>
      </c>
      <c r="DD409" t="e">
        <f t="shared" si="171"/>
        <v>#N/A</v>
      </c>
      <c r="DE409" t="e">
        <f t="shared" si="172"/>
        <v>#N/A</v>
      </c>
      <c r="DG409" t="e">
        <v>#N/A</v>
      </c>
      <c r="DH409" t="e">
        <v>#N/A</v>
      </c>
    </row>
    <row r="410" spans="32:112">
      <c r="AF410">
        <v>400</v>
      </c>
      <c r="AG410" s="401">
        <f>'Lab test'!N403</f>
        <v>893.44500000000005</v>
      </c>
      <c r="AH410" s="401">
        <f>'Lab test'!M403</f>
        <v>7.1653400000000005</v>
      </c>
      <c r="AI410">
        <f>IF('Lab test'!O403&gt;0,'Lab test'!O403,NA())</f>
        <v>3032.252</v>
      </c>
      <c r="AJ410">
        <f>'Lab test'!Q403</f>
        <v>124.68982630272953</v>
      </c>
      <c r="AK410" s="401">
        <f>IF('Lab test'!V403&gt;0,'Lab test'!V403,NA())</f>
        <v>203403</v>
      </c>
      <c r="AL410" s="7">
        <f>IF(MAX('Lab test'!W403,'Lab test'!X403)&gt;0,MAX('Lab test'!W403,'Lab test'!X403),NA())</f>
        <v>377.14322393630943</v>
      </c>
      <c r="AM410" s="401">
        <f>IF('Lab test'!P403&gt;0,'Lab test'!P403,NA())</f>
        <v>0.30393587046500026</v>
      </c>
      <c r="AN410" s="401">
        <f>IF('Lab test'!AU403&gt;0,'Lab test'!AU403,NA())</f>
        <v>0.81399999999999995</v>
      </c>
      <c r="AO410" s="401">
        <f>IF('Lab test'!AT403&gt;0,'Lab test'!AT403,NA())</f>
        <v>0.31094652201830331</v>
      </c>
      <c r="AP410">
        <f t="shared" si="173"/>
        <v>1</v>
      </c>
      <c r="AQ410" s="401">
        <f>'Lab test'!AZ403</f>
        <v>1978</v>
      </c>
      <c r="AR410" t="str">
        <f>'Lab test'!AC403</f>
        <v>LTWa</v>
      </c>
      <c r="AS410" t="str">
        <f>'Lab test'!T403</f>
        <v>Steel</v>
      </c>
      <c r="AX410" t="e">
        <f t="shared" si="158"/>
        <v>#N/A</v>
      </c>
      <c r="AY410" t="e">
        <f t="shared" si="155"/>
        <v>#N/A</v>
      </c>
      <c r="AZ410" t="e">
        <f t="shared" si="152"/>
        <v>#N/A</v>
      </c>
      <c r="BA410" t="e">
        <f t="shared" si="152"/>
        <v>#N/A</v>
      </c>
      <c r="BB410" t="e">
        <f t="shared" si="152"/>
        <v>#N/A</v>
      </c>
      <c r="BC410" t="e">
        <f t="shared" si="152"/>
        <v>#N/A</v>
      </c>
      <c r="BD410" t="e">
        <f t="shared" si="152"/>
        <v>#N/A</v>
      </c>
      <c r="BG410" t="e">
        <f t="shared" si="159"/>
        <v>#N/A</v>
      </c>
      <c r="BH410" t="e">
        <f t="shared" si="156"/>
        <v>#N/A</v>
      </c>
      <c r="BI410" t="e">
        <f t="shared" si="153"/>
        <v>#N/A</v>
      </c>
      <c r="BJ410" t="e">
        <f t="shared" si="153"/>
        <v>#N/A</v>
      </c>
      <c r="BK410" t="e">
        <f t="shared" si="153"/>
        <v>#N/A</v>
      </c>
      <c r="BL410" t="e">
        <f t="shared" si="153"/>
        <v>#N/A</v>
      </c>
      <c r="BM410" t="e">
        <f t="shared" si="153"/>
        <v>#N/A</v>
      </c>
      <c r="BP410" t="e">
        <f t="shared" si="160"/>
        <v>#N/A</v>
      </c>
      <c r="BQ410" t="e">
        <f t="shared" si="157"/>
        <v>#N/A</v>
      </c>
      <c r="BR410" t="e">
        <f t="shared" si="154"/>
        <v>#N/A</v>
      </c>
      <c r="BS410" t="e">
        <f t="shared" si="154"/>
        <v>#N/A</v>
      </c>
      <c r="BT410" t="e">
        <f t="shared" si="154"/>
        <v>#N/A</v>
      </c>
      <c r="BU410" t="e">
        <f t="shared" si="154"/>
        <v>#N/A</v>
      </c>
      <c r="BV410" t="e">
        <f t="shared" si="154"/>
        <v>#N/A</v>
      </c>
      <c r="BY410" t="e">
        <f t="shared" si="161"/>
        <v>#N/A</v>
      </c>
      <c r="BZ410" t="e">
        <v>#N/A</v>
      </c>
      <c r="CA410" t="e" cm="1">
        <f t="array" ref="CA410">IF(ISNUMBER(BZ410),AF410/COUNT(IF(ISNUMBER(_xlfn.ANCHORARRAY($BZ$11)),_xlfn.ANCHORARRAY($BZ$11))),NA())</f>
        <v>#N/A</v>
      </c>
      <c r="CB410" t="e">
        <f t="shared" si="162"/>
        <v>#N/A</v>
      </c>
      <c r="CD410" t="e">
        <f t="shared" si="163"/>
        <v>#N/A</v>
      </c>
      <c r="CE410" t="e">
        <f t="shared" si="164"/>
        <v>#N/A</v>
      </c>
      <c r="CG410" t="e">
        <v>#N/A</v>
      </c>
      <c r="CH410" t="e">
        <v>#N/A</v>
      </c>
      <c r="CL410" t="e">
        <f t="shared" si="165"/>
        <v>#N/A</v>
      </c>
      <c r="CM410" t="e">
        <v>#N/A</v>
      </c>
      <c r="CN410" t="e" cm="1">
        <f t="array" ref="CN410">IF(ISNUMBER(CM410),AF410/COUNT(IF(ISNUMBER(_xlfn.ANCHORARRAY($CM$11)),_xlfn.ANCHORARRAY($CM$11))),NA())</f>
        <v>#N/A</v>
      </c>
      <c r="CO410" t="e">
        <f t="shared" si="166"/>
        <v>#N/A</v>
      </c>
      <c r="CQ410" t="e">
        <f t="shared" si="167"/>
        <v>#N/A</v>
      </c>
      <c r="CR410" t="e">
        <f t="shared" si="168"/>
        <v>#N/A</v>
      </c>
      <c r="CT410" t="e">
        <v>#N/A</v>
      </c>
      <c r="CU410" t="e">
        <v>#N/A</v>
      </c>
      <c r="CY410" t="e">
        <f t="shared" si="169"/>
        <v>#N/A</v>
      </c>
      <c r="CZ410" t="e">
        <v>#N/A</v>
      </c>
      <c r="DA410" t="e" cm="1">
        <f t="array" ref="DA410">IF(ISNUMBER(CZ410),AF410/COUNT(IF(ISNUMBER(_xlfn.ANCHORARRAY($CZ$11)),_xlfn.ANCHORARRAY($CZ$11))),NA())</f>
        <v>#N/A</v>
      </c>
      <c r="DB410" t="e">
        <f t="shared" si="170"/>
        <v>#N/A</v>
      </c>
      <c r="DD410" t="e">
        <f t="shared" si="171"/>
        <v>#N/A</v>
      </c>
      <c r="DE410" t="e">
        <f t="shared" si="172"/>
        <v>#N/A</v>
      </c>
      <c r="DG410" t="e">
        <v>#N/A</v>
      </c>
      <c r="DH410" t="e">
        <v>#N/A</v>
      </c>
    </row>
    <row r="411" spans="32:112">
      <c r="AF411">
        <v>401</v>
      </c>
      <c r="AG411" s="401">
        <f>'Lab test'!N404</f>
        <v>766.3180000000001</v>
      </c>
      <c r="AH411" s="401">
        <f>'Lab test'!M404</f>
        <v>7.2618600000000004</v>
      </c>
      <c r="AI411">
        <f>IF('Lab test'!O404&gt;0,'Lab test'!O404,NA())</f>
        <v>3032.252</v>
      </c>
      <c r="AJ411">
        <f>'Lab test'!Q404</f>
        <v>105.52640783490732</v>
      </c>
      <c r="AK411" s="401">
        <f>IF('Lab test'!V404&gt;0,'Lab test'!V404,NA())</f>
        <v>203403</v>
      </c>
      <c r="AL411" s="7">
        <f>IF(MAX('Lab test'!W404,'Lab test'!X404)&gt;0,MAX('Lab test'!W404,'Lab test'!X404),NA())</f>
        <v>372.04110353936483</v>
      </c>
      <c r="AM411" s="401">
        <f>IF('Lab test'!P404&gt;0,'Lab test'!P404,NA())</f>
        <v>0.38519060593987653</v>
      </c>
      <c r="AN411" s="401">
        <f>IF('Lab test'!AU404&gt;0,'Lab test'!AU404,NA())</f>
        <v>0.88900000000000001</v>
      </c>
      <c r="AO411" s="401">
        <f>IF('Lab test'!AT404&gt;0,'Lab test'!AT404,NA())</f>
        <v>0.28351615416934006</v>
      </c>
      <c r="AP411">
        <f t="shared" si="173"/>
        <v>1</v>
      </c>
      <c r="AQ411" s="401">
        <f>'Lab test'!AZ404</f>
        <v>1978</v>
      </c>
      <c r="AR411" t="str">
        <f>'Lab test'!AC404</f>
        <v>LTWa</v>
      </c>
      <c r="AS411" t="str">
        <f>'Lab test'!T404</f>
        <v>Steel</v>
      </c>
      <c r="AX411" t="e">
        <f t="shared" si="158"/>
        <v>#N/A</v>
      </c>
      <c r="AY411" t="e">
        <f t="shared" si="155"/>
        <v>#N/A</v>
      </c>
      <c r="AZ411" t="e">
        <f t="shared" si="152"/>
        <v>#N/A</v>
      </c>
      <c r="BA411" t="e">
        <f t="shared" si="152"/>
        <v>#N/A</v>
      </c>
      <c r="BB411" t="e">
        <f t="shared" si="152"/>
        <v>#N/A</v>
      </c>
      <c r="BC411" t="e">
        <f t="shared" si="152"/>
        <v>#N/A</v>
      </c>
      <c r="BD411" t="e">
        <f t="shared" si="152"/>
        <v>#N/A</v>
      </c>
      <c r="BG411" t="e">
        <f t="shared" si="159"/>
        <v>#N/A</v>
      </c>
      <c r="BH411" t="e">
        <f t="shared" si="156"/>
        <v>#N/A</v>
      </c>
      <c r="BI411" t="e">
        <f t="shared" si="153"/>
        <v>#N/A</v>
      </c>
      <c r="BJ411" t="e">
        <f t="shared" si="153"/>
        <v>#N/A</v>
      </c>
      <c r="BK411" t="e">
        <f t="shared" si="153"/>
        <v>#N/A</v>
      </c>
      <c r="BL411" t="e">
        <f t="shared" si="153"/>
        <v>#N/A</v>
      </c>
      <c r="BM411" t="e">
        <f t="shared" si="153"/>
        <v>#N/A</v>
      </c>
      <c r="BP411" t="e">
        <f t="shared" si="160"/>
        <v>#N/A</v>
      </c>
      <c r="BQ411" t="e">
        <f t="shared" si="157"/>
        <v>#N/A</v>
      </c>
      <c r="BR411" t="e">
        <f t="shared" si="154"/>
        <v>#N/A</v>
      </c>
      <c r="BS411" t="e">
        <f t="shared" si="154"/>
        <v>#N/A</v>
      </c>
      <c r="BT411" t="e">
        <f t="shared" si="154"/>
        <v>#N/A</v>
      </c>
      <c r="BU411" t="e">
        <f t="shared" si="154"/>
        <v>#N/A</v>
      </c>
      <c r="BV411" t="e">
        <f t="shared" si="154"/>
        <v>#N/A</v>
      </c>
      <c r="BY411" t="e">
        <f t="shared" si="161"/>
        <v>#N/A</v>
      </c>
      <c r="BZ411" t="e">
        <v>#N/A</v>
      </c>
      <c r="CA411" t="e" cm="1">
        <f t="array" ref="CA411">IF(ISNUMBER(BZ411),AF411/COUNT(IF(ISNUMBER(_xlfn.ANCHORARRAY($BZ$11)),_xlfn.ANCHORARRAY($BZ$11))),NA())</f>
        <v>#N/A</v>
      </c>
      <c r="CB411" t="e">
        <f t="shared" si="162"/>
        <v>#N/A</v>
      </c>
      <c r="CD411" t="e">
        <f t="shared" si="163"/>
        <v>#N/A</v>
      </c>
      <c r="CE411" t="e">
        <f t="shared" si="164"/>
        <v>#N/A</v>
      </c>
      <c r="CG411" t="e">
        <v>#N/A</v>
      </c>
      <c r="CH411" t="e">
        <v>#N/A</v>
      </c>
      <c r="CL411" t="e">
        <f t="shared" si="165"/>
        <v>#N/A</v>
      </c>
      <c r="CM411" t="e">
        <v>#N/A</v>
      </c>
      <c r="CN411" t="e" cm="1">
        <f t="array" ref="CN411">IF(ISNUMBER(CM411),AF411/COUNT(IF(ISNUMBER(_xlfn.ANCHORARRAY($CM$11)),_xlfn.ANCHORARRAY($CM$11))),NA())</f>
        <v>#N/A</v>
      </c>
      <c r="CO411" t="e">
        <f t="shared" si="166"/>
        <v>#N/A</v>
      </c>
      <c r="CQ411" t="e">
        <f t="shared" si="167"/>
        <v>#N/A</v>
      </c>
      <c r="CR411" t="e">
        <f t="shared" si="168"/>
        <v>#N/A</v>
      </c>
      <c r="CT411" t="e">
        <v>#N/A</v>
      </c>
      <c r="CU411" t="e">
        <v>#N/A</v>
      </c>
      <c r="CY411" t="e">
        <f t="shared" si="169"/>
        <v>#N/A</v>
      </c>
      <c r="CZ411" t="e">
        <v>#N/A</v>
      </c>
      <c r="DA411" t="e" cm="1">
        <f t="array" ref="DA411">IF(ISNUMBER(CZ411),AF411/COUNT(IF(ISNUMBER(_xlfn.ANCHORARRAY($CZ$11)),_xlfn.ANCHORARRAY($CZ$11))),NA())</f>
        <v>#N/A</v>
      </c>
      <c r="DB411" t="e">
        <f t="shared" si="170"/>
        <v>#N/A</v>
      </c>
      <c r="DD411" t="e">
        <f t="shared" si="171"/>
        <v>#N/A</v>
      </c>
      <c r="DE411" t="e">
        <f t="shared" si="172"/>
        <v>#N/A</v>
      </c>
      <c r="DG411" t="e">
        <v>#N/A</v>
      </c>
      <c r="DH411" t="e">
        <v>#N/A</v>
      </c>
    </row>
    <row r="412" spans="32:112">
      <c r="AF412">
        <v>402</v>
      </c>
      <c r="AG412" s="401">
        <f>'Lab test'!N405</f>
        <v>601.34500000000003</v>
      </c>
      <c r="AH412" s="401">
        <f>'Lab test'!M405</f>
        <v>7.2618600000000004</v>
      </c>
      <c r="AI412">
        <f>IF('Lab test'!O405&gt;0,'Lab test'!O405,NA())</f>
        <v>3032.252</v>
      </c>
      <c r="AJ412">
        <f>'Lab test'!Q405</f>
        <v>82.808674361664913</v>
      </c>
      <c r="AK412" s="401">
        <f>IF('Lab test'!V405&gt;0,'Lab test'!V405,NA())</f>
        <v>203403</v>
      </c>
      <c r="AL412" s="7">
        <f>IF(MAX('Lab test'!W405,'Lab test'!X405)&gt;0,MAX('Lab test'!W405,'Lab test'!X405),NA())</f>
        <v>372.04110353936483</v>
      </c>
      <c r="AM412" s="401">
        <f>IF('Lab test'!P405&gt;0,'Lab test'!P405,NA())</f>
        <v>0.554119802455044</v>
      </c>
      <c r="AN412" s="401">
        <f>IF('Lab test'!AU405&gt;0,'Lab test'!AU405,NA())</f>
        <v>0.94099999999999995</v>
      </c>
      <c r="AO412" s="401">
        <f>IF('Lab test'!AT405&gt;0,'Lab test'!AT405,NA())</f>
        <v>0.23549427253480876</v>
      </c>
      <c r="AP412">
        <f t="shared" si="173"/>
        <v>1</v>
      </c>
      <c r="AQ412" s="401">
        <f>'Lab test'!AZ405</f>
        <v>1978</v>
      </c>
      <c r="AR412" t="str">
        <f>'Lab test'!AC405</f>
        <v>LTWa</v>
      </c>
      <c r="AS412" t="str">
        <f>'Lab test'!T405</f>
        <v>Steel</v>
      </c>
      <c r="AX412" t="e">
        <f t="shared" si="158"/>
        <v>#N/A</v>
      </c>
      <c r="AY412" t="e">
        <f t="shared" si="155"/>
        <v>#N/A</v>
      </c>
      <c r="AZ412" t="e">
        <f t="shared" si="152"/>
        <v>#N/A</v>
      </c>
      <c r="BA412" t="e">
        <f t="shared" si="152"/>
        <v>#N/A</v>
      </c>
      <c r="BB412" t="e">
        <f t="shared" si="152"/>
        <v>#N/A</v>
      </c>
      <c r="BC412" t="e">
        <f t="shared" si="152"/>
        <v>#N/A</v>
      </c>
      <c r="BD412" t="e">
        <f t="shared" si="152"/>
        <v>#N/A</v>
      </c>
      <c r="BG412" t="e">
        <f t="shared" si="159"/>
        <v>#N/A</v>
      </c>
      <c r="BH412" t="e">
        <f t="shared" si="156"/>
        <v>#N/A</v>
      </c>
      <c r="BI412" t="e">
        <f t="shared" si="153"/>
        <v>#N/A</v>
      </c>
      <c r="BJ412" t="e">
        <f t="shared" si="153"/>
        <v>#N/A</v>
      </c>
      <c r="BK412" t="e">
        <f t="shared" si="153"/>
        <v>#N/A</v>
      </c>
      <c r="BL412" t="e">
        <f t="shared" si="153"/>
        <v>#N/A</v>
      </c>
      <c r="BM412" t="e">
        <f t="shared" si="153"/>
        <v>#N/A</v>
      </c>
      <c r="BP412" t="e">
        <f t="shared" si="160"/>
        <v>#N/A</v>
      </c>
      <c r="BQ412" t="e">
        <f t="shared" si="157"/>
        <v>#N/A</v>
      </c>
      <c r="BR412" t="e">
        <f t="shared" si="154"/>
        <v>#N/A</v>
      </c>
      <c r="BS412" t="e">
        <f t="shared" si="154"/>
        <v>#N/A</v>
      </c>
      <c r="BT412" t="e">
        <f t="shared" si="154"/>
        <v>#N/A</v>
      </c>
      <c r="BU412" t="e">
        <f t="shared" si="154"/>
        <v>#N/A</v>
      </c>
      <c r="BV412" t="e">
        <f t="shared" si="154"/>
        <v>#N/A</v>
      </c>
      <c r="BY412" t="e">
        <f t="shared" si="161"/>
        <v>#N/A</v>
      </c>
      <c r="BZ412" t="e">
        <v>#N/A</v>
      </c>
      <c r="CA412" t="e" cm="1">
        <f t="array" ref="CA412">IF(ISNUMBER(BZ412),AF412/COUNT(IF(ISNUMBER(_xlfn.ANCHORARRAY($BZ$11)),_xlfn.ANCHORARRAY($BZ$11))),NA())</f>
        <v>#N/A</v>
      </c>
      <c r="CB412" t="e">
        <f t="shared" si="162"/>
        <v>#N/A</v>
      </c>
      <c r="CD412" t="e">
        <f t="shared" si="163"/>
        <v>#N/A</v>
      </c>
      <c r="CE412" t="e">
        <f t="shared" si="164"/>
        <v>#N/A</v>
      </c>
      <c r="CG412" t="e">
        <v>#N/A</v>
      </c>
      <c r="CH412" t="e">
        <v>#N/A</v>
      </c>
      <c r="CL412" t="e">
        <f t="shared" si="165"/>
        <v>#N/A</v>
      </c>
      <c r="CM412" t="e">
        <v>#N/A</v>
      </c>
      <c r="CN412" t="e" cm="1">
        <f t="array" ref="CN412">IF(ISNUMBER(CM412),AF412/COUNT(IF(ISNUMBER(_xlfn.ANCHORARRAY($CM$11)),_xlfn.ANCHORARRAY($CM$11))),NA())</f>
        <v>#N/A</v>
      </c>
      <c r="CO412" t="e">
        <f t="shared" si="166"/>
        <v>#N/A</v>
      </c>
      <c r="CQ412" t="e">
        <f t="shared" si="167"/>
        <v>#N/A</v>
      </c>
      <c r="CR412" t="e">
        <f t="shared" si="168"/>
        <v>#N/A</v>
      </c>
      <c r="CT412" t="e">
        <v>#N/A</v>
      </c>
      <c r="CU412" t="e">
        <v>#N/A</v>
      </c>
      <c r="CY412" t="e">
        <f t="shared" si="169"/>
        <v>#N/A</v>
      </c>
      <c r="CZ412" t="e">
        <v>#N/A</v>
      </c>
      <c r="DA412" t="e" cm="1">
        <f t="array" ref="DA412">IF(ISNUMBER(CZ412),AF412/COUNT(IF(ISNUMBER(_xlfn.ANCHORARRAY($CZ$11)),_xlfn.ANCHORARRAY($CZ$11))),NA())</f>
        <v>#N/A</v>
      </c>
      <c r="DB412" t="e">
        <f t="shared" si="170"/>
        <v>#N/A</v>
      </c>
      <c r="DD412" t="e">
        <f t="shared" si="171"/>
        <v>#N/A</v>
      </c>
      <c r="DE412" t="e">
        <f t="shared" si="172"/>
        <v>#N/A</v>
      </c>
      <c r="DG412" t="e">
        <v>#N/A</v>
      </c>
      <c r="DH412" t="e">
        <v>#N/A</v>
      </c>
    </row>
    <row r="413" spans="32:112">
      <c r="AF413">
        <v>403</v>
      </c>
      <c r="AG413" s="401">
        <f>'Lab test'!N406</f>
        <v>358.5</v>
      </c>
      <c r="AH413" s="401">
        <f>'Lab test'!M406</f>
        <v>8.3490000000000002</v>
      </c>
      <c r="AI413">
        <f>IF('Lab test'!O406&gt;0,'Lab test'!O406,NA())</f>
        <v>2050</v>
      </c>
      <c r="AJ413">
        <f>'Lab test'!Q406</f>
        <v>42.939274164570605</v>
      </c>
      <c r="AK413" s="401">
        <f>IF('Lab test'!V406&gt;0,'Lab test'!V406,NA())</f>
        <v>203400</v>
      </c>
      <c r="AL413" s="7">
        <f>IF(MAX('Lab test'!W406,'Lab test'!X406)&gt;0,MAX('Lab test'!W406,'Lab test'!X406),NA())</f>
        <v>319.17</v>
      </c>
      <c r="AM413" s="401">
        <f>IF('Lab test'!P406&gt;0,'Lab test'!P406,NA())</f>
        <v>0.8726444914929431</v>
      </c>
      <c r="AN413" s="401">
        <f>IF('Lab test'!AU406&gt;0,'Lab test'!AU406,NA())</f>
        <v>0.94099999999999995</v>
      </c>
      <c r="AO413" s="401">
        <f>IF('Lab test'!AT406&gt;0,'Lab test'!AT406,NA())</f>
        <v>0.1047603066300252</v>
      </c>
      <c r="AP413">
        <f t="shared" si="173"/>
        <v>1</v>
      </c>
      <c r="AQ413" s="401">
        <f>'Lab test'!AZ406</f>
        <v>1977</v>
      </c>
      <c r="AR413" t="str">
        <f>'Lab test'!AC406</f>
        <v>LTWa</v>
      </c>
      <c r="AS413" t="str">
        <f>'Lab test'!T406</f>
        <v>Steel</v>
      </c>
      <c r="AX413" t="e">
        <f t="shared" si="158"/>
        <v>#N/A</v>
      </c>
      <c r="AY413" t="e">
        <f t="shared" si="155"/>
        <v>#N/A</v>
      </c>
      <c r="AZ413" t="e">
        <f t="shared" si="152"/>
        <v>#N/A</v>
      </c>
      <c r="BA413" t="e">
        <f t="shared" si="152"/>
        <v>#N/A</v>
      </c>
      <c r="BB413" t="e">
        <f t="shared" si="152"/>
        <v>#N/A</v>
      </c>
      <c r="BC413" t="e">
        <f t="shared" si="152"/>
        <v>#N/A</v>
      </c>
      <c r="BD413" t="e">
        <f t="shared" si="152"/>
        <v>#N/A</v>
      </c>
      <c r="BG413" t="e">
        <f t="shared" si="159"/>
        <v>#N/A</v>
      </c>
      <c r="BH413" t="e">
        <f t="shared" si="156"/>
        <v>#N/A</v>
      </c>
      <c r="BI413" t="e">
        <f t="shared" si="153"/>
        <v>#N/A</v>
      </c>
      <c r="BJ413" t="e">
        <f t="shared" si="153"/>
        <v>#N/A</v>
      </c>
      <c r="BK413" t="e">
        <f t="shared" si="153"/>
        <v>#N/A</v>
      </c>
      <c r="BL413" t="e">
        <f t="shared" si="153"/>
        <v>#N/A</v>
      </c>
      <c r="BM413" t="e">
        <f t="shared" si="153"/>
        <v>#N/A</v>
      </c>
      <c r="BP413" t="e">
        <f t="shared" si="160"/>
        <v>#N/A</v>
      </c>
      <c r="BQ413" t="e">
        <f t="shared" si="157"/>
        <v>#N/A</v>
      </c>
      <c r="BR413" t="e">
        <f t="shared" si="154"/>
        <v>#N/A</v>
      </c>
      <c r="BS413" t="e">
        <f t="shared" si="154"/>
        <v>#N/A</v>
      </c>
      <c r="BT413" t="e">
        <f t="shared" si="154"/>
        <v>#N/A</v>
      </c>
      <c r="BU413" t="e">
        <f t="shared" si="154"/>
        <v>#N/A</v>
      </c>
      <c r="BV413" t="e">
        <f t="shared" si="154"/>
        <v>#N/A</v>
      </c>
      <c r="BY413" t="e">
        <f t="shared" si="161"/>
        <v>#N/A</v>
      </c>
      <c r="BZ413" t="e">
        <v>#N/A</v>
      </c>
      <c r="CA413" t="e" cm="1">
        <f t="array" ref="CA413">IF(ISNUMBER(BZ413),AF413/COUNT(IF(ISNUMBER(_xlfn.ANCHORARRAY($BZ$11)),_xlfn.ANCHORARRAY($BZ$11))),NA())</f>
        <v>#N/A</v>
      </c>
      <c r="CB413" t="e">
        <f t="shared" si="162"/>
        <v>#N/A</v>
      </c>
      <c r="CD413" t="e">
        <f t="shared" si="163"/>
        <v>#N/A</v>
      </c>
      <c r="CE413" t="e">
        <f t="shared" si="164"/>
        <v>#N/A</v>
      </c>
      <c r="CG413" t="e">
        <v>#N/A</v>
      </c>
      <c r="CH413" t="e">
        <v>#N/A</v>
      </c>
      <c r="CL413" t="e">
        <f t="shared" si="165"/>
        <v>#N/A</v>
      </c>
      <c r="CM413" t="e">
        <v>#N/A</v>
      </c>
      <c r="CN413" t="e" cm="1">
        <f t="array" ref="CN413">IF(ISNUMBER(CM413),AF413/COUNT(IF(ISNUMBER(_xlfn.ANCHORARRAY($CM$11)),_xlfn.ANCHORARRAY($CM$11))),NA())</f>
        <v>#N/A</v>
      </c>
      <c r="CO413" t="e">
        <f t="shared" si="166"/>
        <v>#N/A</v>
      </c>
      <c r="CQ413" t="e">
        <f t="shared" si="167"/>
        <v>#N/A</v>
      </c>
      <c r="CR413" t="e">
        <f t="shared" si="168"/>
        <v>#N/A</v>
      </c>
      <c r="CT413" t="e">
        <v>#N/A</v>
      </c>
      <c r="CU413" t="e">
        <v>#N/A</v>
      </c>
      <c r="CY413" t="e">
        <f t="shared" si="169"/>
        <v>#N/A</v>
      </c>
      <c r="CZ413" t="e">
        <v>#N/A</v>
      </c>
      <c r="DA413" t="e" cm="1">
        <f t="array" ref="DA413">IF(ISNUMBER(CZ413),AF413/COUNT(IF(ISNUMBER(_xlfn.ANCHORARRAY($CZ$11)),_xlfn.ANCHORARRAY($CZ$11))),NA())</f>
        <v>#N/A</v>
      </c>
      <c r="DB413" t="e">
        <f t="shared" si="170"/>
        <v>#N/A</v>
      </c>
      <c r="DD413" t="e">
        <f t="shared" si="171"/>
        <v>#N/A</v>
      </c>
      <c r="DE413" t="e">
        <f t="shared" si="172"/>
        <v>#N/A</v>
      </c>
      <c r="DG413" t="e">
        <v>#N/A</v>
      </c>
      <c r="DH413" t="e">
        <v>#N/A</v>
      </c>
    </row>
    <row r="414" spans="32:112">
      <c r="AF414">
        <v>404</v>
      </c>
      <c r="AG414" s="401">
        <f>'Lab test'!N407</f>
        <v>370.5</v>
      </c>
      <c r="AH414" s="401">
        <f>'Lab test'!M407</f>
        <v>8.0370000000000008</v>
      </c>
      <c r="AI414">
        <f>IF('Lab test'!O407&gt;0,'Lab test'!O407,NA())</f>
        <v>2050</v>
      </c>
      <c r="AJ414">
        <f>'Lab test'!Q407</f>
        <v>46.099290780141843</v>
      </c>
      <c r="AK414" s="401">
        <f>IF('Lab test'!V407&gt;0,'Lab test'!V407,NA())</f>
        <v>203400</v>
      </c>
      <c r="AL414" s="7">
        <f>IF(MAX('Lab test'!W407,'Lab test'!X407)&gt;0,MAX('Lab test'!W407,'Lab test'!X407),NA())</f>
        <v>346.68</v>
      </c>
      <c r="AM414" s="401">
        <f>IF('Lab test'!P407&gt;0,'Lab test'!P407,NA())</f>
        <v>0.8149266617635067</v>
      </c>
      <c r="AN414" s="401">
        <f>IF('Lab test'!AU407&gt;0,'Lab test'!AU407,NA())</f>
        <v>1.008</v>
      </c>
      <c r="AO414" s="401">
        <f>IF('Lab test'!AT407&gt;0,'Lab test'!AT407,NA())</f>
        <v>0.13086211614936263</v>
      </c>
      <c r="AP414">
        <f t="shared" si="173"/>
        <v>1</v>
      </c>
      <c r="AQ414" s="401">
        <f>'Lab test'!AZ407</f>
        <v>1977</v>
      </c>
      <c r="AR414" t="str">
        <f>'Lab test'!AC407</f>
        <v>LTWa</v>
      </c>
      <c r="AS414" t="str">
        <f>'Lab test'!T407</f>
        <v>Steel</v>
      </c>
      <c r="AX414" t="e">
        <f t="shared" si="158"/>
        <v>#N/A</v>
      </c>
      <c r="AY414" t="e">
        <f t="shared" si="155"/>
        <v>#N/A</v>
      </c>
      <c r="AZ414" t="e">
        <f t="shared" si="152"/>
        <v>#N/A</v>
      </c>
      <c r="BA414" t="e">
        <f t="shared" si="152"/>
        <v>#N/A</v>
      </c>
      <c r="BB414" t="e">
        <f t="shared" si="152"/>
        <v>#N/A</v>
      </c>
      <c r="BC414" t="e">
        <f t="shared" si="152"/>
        <v>#N/A</v>
      </c>
      <c r="BD414" t="e">
        <f t="shared" si="152"/>
        <v>#N/A</v>
      </c>
      <c r="BG414" t="e">
        <f t="shared" si="159"/>
        <v>#N/A</v>
      </c>
      <c r="BH414" t="e">
        <f t="shared" si="156"/>
        <v>#N/A</v>
      </c>
      <c r="BI414" t="e">
        <f t="shared" si="153"/>
        <v>#N/A</v>
      </c>
      <c r="BJ414" t="e">
        <f t="shared" si="153"/>
        <v>#N/A</v>
      </c>
      <c r="BK414" t="e">
        <f t="shared" si="153"/>
        <v>#N/A</v>
      </c>
      <c r="BL414" t="e">
        <f t="shared" si="153"/>
        <v>#N/A</v>
      </c>
      <c r="BM414" t="e">
        <f t="shared" si="153"/>
        <v>#N/A</v>
      </c>
      <c r="BP414" t="e">
        <f t="shared" si="160"/>
        <v>#N/A</v>
      </c>
      <c r="BQ414" t="e">
        <f t="shared" si="157"/>
        <v>#N/A</v>
      </c>
      <c r="BR414" t="e">
        <f t="shared" si="154"/>
        <v>#N/A</v>
      </c>
      <c r="BS414" t="e">
        <f t="shared" si="154"/>
        <v>#N/A</v>
      </c>
      <c r="BT414" t="e">
        <f t="shared" si="154"/>
        <v>#N/A</v>
      </c>
      <c r="BU414" t="e">
        <f t="shared" si="154"/>
        <v>#N/A</v>
      </c>
      <c r="BV414" t="e">
        <f t="shared" si="154"/>
        <v>#N/A</v>
      </c>
      <c r="BY414" t="e">
        <f t="shared" si="161"/>
        <v>#N/A</v>
      </c>
      <c r="BZ414" t="e">
        <v>#N/A</v>
      </c>
      <c r="CA414" t="e" cm="1">
        <f t="array" ref="CA414">IF(ISNUMBER(BZ414),AF414/COUNT(IF(ISNUMBER(_xlfn.ANCHORARRAY($BZ$11)),_xlfn.ANCHORARRAY($BZ$11))),NA())</f>
        <v>#N/A</v>
      </c>
      <c r="CB414" t="e">
        <f t="shared" si="162"/>
        <v>#N/A</v>
      </c>
      <c r="CD414" t="e">
        <f t="shared" si="163"/>
        <v>#N/A</v>
      </c>
      <c r="CE414" t="e">
        <f t="shared" si="164"/>
        <v>#N/A</v>
      </c>
      <c r="CG414" t="e">
        <v>#N/A</v>
      </c>
      <c r="CH414" t="e">
        <v>#N/A</v>
      </c>
      <c r="CL414" t="e">
        <f t="shared" si="165"/>
        <v>#N/A</v>
      </c>
      <c r="CM414" t="e">
        <v>#N/A</v>
      </c>
      <c r="CN414" t="e" cm="1">
        <f t="array" ref="CN414">IF(ISNUMBER(CM414),AF414/COUNT(IF(ISNUMBER(_xlfn.ANCHORARRAY($CM$11)),_xlfn.ANCHORARRAY($CM$11))),NA())</f>
        <v>#N/A</v>
      </c>
      <c r="CO414" t="e">
        <f t="shared" si="166"/>
        <v>#N/A</v>
      </c>
      <c r="CQ414" t="e">
        <f t="shared" si="167"/>
        <v>#N/A</v>
      </c>
      <c r="CR414" t="e">
        <f t="shared" si="168"/>
        <v>#N/A</v>
      </c>
      <c r="CT414" t="e">
        <v>#N/A</v>
      </c>
      <c r="CU414" t="e">
        <v>#N/A</v>
      </c>
      <c r="CY414" t="e">
        <f t="shared" si="169"/>
        <v>#N/A</v>
      </c>
      <c r="CZ414" t="e">
        <v>#N/A</v>
      </c>
      <c r="DA414" t="e" cm="1">
        <f t="array" ref="DA414">IF(ISNUMBER(CZ414),AF414/COUNT(IF(ISNUMBER(_xlfn.ANCHORARRAY($CZ$11)),_xlfn.ANCHORARRAY($CZ$11))),NA())</f>
        <v>#N/A</v>
      </c>
      <c r="DB414" t="e">
        <f t="shared" si="170"/>
        <v>#N/A</v>
      </c>
      <c r="DD414" t="e">
        <f t="shared" si="171"/>
        <v>#N/A</v>
      </c>
      <c r="DE414" t="e">
        <f t="shared" si="172"/>
        <v>#N/A</v>
      </c>
      <c r="DG414" t="e">
        <v>#N/A</v>
      </c>
      <c r="DH414" t="e">
        <v>#N/A</v>
      </c>
    </row>
    <row r="415" spans="32:112">
      <c r="AF415">
        <v>405</v>
      </c>
      <c r="AG415" s="401">
        <f>'Lab test'!N408</f>
        <v>595</v>
      </c>
      <c r="AH415" s="401">
        <f>'Lab test'!M408</f>
        <v>8.3490000000000002</v>
      </c>
      <c r="AI415">
        <f>IF('Lab test'!O408&gt;0,'Lab test'!O408,NA())</f>
        <v>3050</v>
      </c>
      <c r="AJ415">
        <f>'Lab test'!Q408</f>
        <v>71.266019882620668</v>
      </c>
      <c r="AK415" s="401">
        <f>IF('Lab test'!V408&gt;0,'Lab test'!V408,NA())</f>
        <v>203400</v>
      </c>
      <c r="AL415" s="7">
        <f>IF(MAX('Lab test'!W408,'Lab test'!X408)&gt;0,MAX('Lab test'!W408,'Lab test'!X408),NA())</f>
        <v>319.17</v>
      </c>
      <c r="AM415" s="401">
        <f>IF('Lab test'!P408&gt;0,'Lab test'!P408,NA())</f>
        <v>0.60721378346872268</v>
      </c>
      <c r="AN415" s="401">
        <f>IF('Lab test'!AU408&gt;0,'Lab test'!AU408,NA())</f>
        <v>0.98899999999999999</v>
      </c>
      <c r="AO415" s="401">
        <f>IF('Lab test'!AT408&gt;0,'Lab test'!AT408,NA())</f>
        <v>0.18273899613595873</v>
      </c>
      <c r="AP415">
        <f t="shared" si="173"/>
        <v>1</v>
      </c>
      <c r="AQ415" s="401">
        <f>'Lab test'!AZ408</f>
        <v>1977</v>
      </c>
      <c r="AR415" t="str">
        <f>'Lab test'!AC408</f>
        <v>LTWa</v>
      </c>
      <c r="AS415" t="str">
        <f>'Lab test'!T408</f>
        <v>Steel</v>
      </c>
      <c r="AX415" t="e">
        <f t="shared" si="158"/>
        <v>#N/A</v>
      </c>
      <c r="AY415" t="e">
        <f t="shared" si="155"/>
        <v>#N/A</v>
      </c>
      <c r="AZ415" t="e">
        <f t="shared" si="152"/>
        <v>#N/A</v>
      </c>
      <c r="BA415" t="e">
        <f t="shared" si="152"/>
        <v>#N/A</v>
      </c>
      <c r="BB415" t="e">
        <f t="shared" ref="AZ415:BD466" si="174">IF(ISNUMBER($AJ415),IF(ISNUMBER($AP415),IF($AJ415&gt;BB$9,IF($AJ415&lt;=BB$10,IF($AR415=$AW$2,IF($AS415=$AW$6,$AK415,NA()),NA()),NA()),NA()),NA()),NA())</f>
        <v>#N/A</v>
      </c>
      <c r="BC415" t="e">
        <f t="shared" si="174"/>
        <v>#N/A</v>
      </c>
      <c r="BD415" t="e">
        <f t="shared" si="174"/>
        <v>#N/A</v>
      </c>
      <c r="BG415" t="e">
        <f t="shared" si="159"/>
        <v>#N/A</v>
      </c>
      <c r="BH415" t="e">
        <f t="shared" si="156"/>
        <v>#N/A</v>
      </c>
      <c r="BI415" t="e">
        <f t="shared" si="153"/>
        <v>#N/A</v>
      </c>
      <c r="BJ415" t="e">
        <f t="shared" si="153"/>
        <v>#N/A</v>
      </c>
      <c r="BK415" t="e">
        <f t="shared" ref="BI415:BM466" si="175">IF(ISNUMBER($AJ415),IF(ISNUMBER($AP415),IF($AJ415&gt;BK$9,IF($AJ415&lt;=BK$10,IF($AR415=$AW$2,IF($AS415=$BF$6,$AK415,NA()),NA()),NA()),NA()),NA()),NA())</f>
        <v>#N/A</v>
      </c>
      <c r="BL415" t="e">
        <f t="shared" si="175"/>
        <v>#N/A</v>
      </c>
      <c r="BM415" t="e">
        <f t="shared" si="175"/>
        <v>#N/A</v>
      </c>
      <c r="BP415" t="e">
        <f t="shared" si="160"/>
        <v>#N/A</v>
      </c>
      <c r="BQ415" t="e">
        <f t="shared" si="157"/>
        <v>#N/A</v>
      </c>
      <c r="BR415" t="e">
        <f t="shared" si="154"/>
        <v>#N/A</v>
      </c>
      <c r="BS415" t="e">
        <f t="shared" si="154"/>
        <v>#N/A</v>
      </c>
      <c r="BT415" t="e">
        <f t="shared" ref="BR415:BV466" si="176">IF(ISNUMBER($AJ415),IF(ISNUMBER($AP415),IF($AJ415&gt;BT$9,IF($AJ415&lt;=BT$10,IF($AR415=$AW$2,IF($AS415=$BO$6,$AK415,NA()),NA()),NA()),NA()),NA()),NA())</f>
        <v>#N/A</v>
      </c>
      <c r="BU415" t="e">
        <f t="shared" si="176"/>
        <v>#N/A</v>
      </c>
      <c r="BV415" t="e">
        <f t="shared" si="176"/>
        <v>#N/A</v>
      </c>
      <c r="BY415" t="e">
        <f t="shared" si="161"/>
        <v>#N/A</v>
      </c>
      <c r="BZ415" t="e">
        <v>#N/A</v>
      </c>
      <c r="CA415" t="e" cm="1">
        <f t="array" ref="CA415">IF(ISNUMBER(BZ415),AF415/COUNT(IF(ISNUMBER(_xlfn.ANCHORARRAY($BZ$11)),_xlfn.ANCHORARRAY($BZ$11))),NA())</f>
        <v>#N/A</v>
      </c>
      <c r="CB415" t="e">
        <f t="shared" si="162"/>
        <v>#N/A</v>
      </c>
      <c r="CD415" t="e">
        <f t="shared" si="163"/>
        <v>#N/A</v>
      </c>
      <c r="CE415" t="e">
        <f t="shared" si="164"/>
        <v>#N/A</v>
      </c>
      <c r="CG415" t="e">
        <v>#N/A</v>
      </c>
      <c r="CH415" t="e">
        <v>#N/A</v>
      </c>
      <c r="CL415" t="e">
        <f t="shared" si="165"/>
        <v>#N/A</v>
      </c>
      <c r="CM415" t="e">
        <v>#N/A</v>
      </c>
      <c r="CN415" t="e" cm="1">
        <f t="array" ref="CN415">IF(ISNUMBER(CM415),AF415/COUNT(IF(ISNUMBER(_xlfn.ANCHORARRAY($CM$11)),_xlfn.ANCHORARRAY($CM$11))),NA())</f>
        <v>#N/A</v>
      </c>
      <c r="CO415" t="e">
        <f t="shared" si="166"/>
        <v>#N/A</v>
      </c>
      <c r="CQ415" t="e">
        <f t="shared" si="167"/>
        <v>#N/A</v>
      </c>
      <c r="CR415" t="e">
        <f t="shared" si="168"/>
        <v>#N/A</v>
      </c>
      <c r="CT415" t="e">
        <v>#N/A</v>
      </c>
      <c r="CU415" t="e">
        <v>#N/A</v>
      </c>
      <c r="CY415" t="e">
        <f t="shared" si="169"/>
        <v>#N/A</v>
      </c>
      <c r="CZ415" t="e">
        <v>#N/A</v>
      </c>
      <c r="DA415" t="e" cm="1">
        <f t="array" ref="DA415">IF(ISNUMBER(CZ415),AF415/COUNT(IF(ISNUMBER(_xlfn.ANCHORARRAY($CZ$11)),_xlfn.ANCHORARRAY($CZ$11))),NA())</f>
        <v>#N/A</v>
      </c>
      <c r="DB415" t="e">
        <f t="shared" si="170"/>
        <v>#N/A</v>
      </c>
      <c r="DD415" t="e">
        <f t="shared" si="171"/>
        <v>#N/A</v>
      </c>
      <c r="DE415" t="e">
        <f t="shared" si="172"/>
        <v>#N/A</v>
      </c>
      <c r="DG415" t="e">
        <v>#N/A</v>
      </c>
      <c r="DH415" t="e">
        <v>#N/A</v>
      </c>
    </row>
    <row r="416" spans="32:112">
      <c r="AF416">
        <v>406</v>
      </c>
      <c r="AG416" s="401">
        <f>'Lab test'!N409</f>
        <v>595</v>
      </c>
      <c r="AH416" s="401">
        <f>'Lab test'!M409</f>
        <v>8.3490000000000002</v>
      </c>
      <c r="AI416">
        <f>IF('Lab test'!O409&gt;0,'Lab test'!O409,NA())</f>
        <v>2030</v>
      </c>
      <c r="AJ416">
        <f>'Lab test'!Q409</f>
        <v>71.266019882620668</v>
      </c>
      <c r="AK416" s="401">
        <f>IF('Lab test'!V409&gt;0,'Lab test'!V409,NA())</f>
        <v>203400</v>
      </c>
      <c r="AL416" s="7">
        <f>IF(MAX('Lab test'!W409,'Lab test'!X409)&gt;0,MAX('Lab test'!W409,'Lab test'!X409),NA())</f>
        <v>319.17</v>
      </c>
      <c r="AM416" s="401">
        <f>IF('Lab test'!P409&gt;0,'Lab test'!P409,NA())</f>
        <v>0.40414556735787116</v>
      </c>
      <c r="AN416" s="401">
        <f>IF('Lab test'!AU409&gt;0,'Lab test'!AU409,NA())</f>
        <v>1.0089999999999999</v>
      </c>
      <c r="AO416" s="401">
        <f>IF('Lab test'!AT409&gt;0,'Lab test'!AT409,NA())</f>
        <v>0.18643442578481531</v>
      </c>
      <c r="AP416">
        <f t="shared" si="173"/>
        <v>1</v>
      </c>
      <c r="AQ416" s="401">
        <f>'Lab test'!AZ409</f>
        <v>1977</v>
      </c>
      <c r="AR416" t="str">
        <f>'Lab test'!AC409</f>
        <v>LTWa</v>
      </c>
      <c r="AS416" t="str">
        <f>'Lab test'!T409</f>
        <v>Steel</v>
      </c>
      <c r="AX416" t="e">
        <f t="shared" si="158"/>
        <v>#N/A</v>
      </c>
      <c r="AY416" t="e">
        <f t="shared" si="155"/>
        <v>#N/A</v>
      </c>
      <c r="AZ416" t="e">
        <f t="shared" si="174"/>
        <v>#N/A</v>
      </c>
      <c r="BA416" t="e">
        <f t="shared" si="174"/>
        <v>#N/A</v>
      </c>
      <c r="BB416" t="e">
        <f t="shared" si="174"/>
        <v>#N/A</v>
      </c>
      <c r="BC416" t="e">
        <f t="shared" si="174"/>
        <v>#N/A</v>
      </c>
      <c r="BD416" t="e">
        <f t="shared" si="174"/>
        <v>#N/A</v>
      </c>
      <c r="BG416" t="e">
        <f t="shared" si="159"/>
        <v>#N/A</v>
      </c>
      <c r="BH416" t="e">
        <f t="shared" si="156"/>
        <v>#N/A</v>
      </c>
      <c r="BI416" t="e">
        <f t="shared" si="175"/>
        <v>#N/A</v>
      </c>
      <c r="BJ416" t="e">
        <f t="shared" si="175"/>
        <v>#N/A</v>
      </c>
      <c r="BK416" t="e">
        <f t="shared" si="175"/>
        <v>#N/A</v>
      </c>
      <c r="BL416" t="e">
        <f t="shared" si="175"/>
        <v>#N/A</v>
      </c>
      <c r="BM416" t="e">
        <f t="shared" si="175"/>
        <v>#N/A</v>
      </c>
      <c r="BP416" t="e">
        <f t="shared" si="160"/>
        <v>#N/A</v>
      </c>
      <c r="BQ416" t="e">
        <f t="shared" si="157"/>
        <v>#N/A</v>
      </c>
      <c r="BR416" t="e">
        <f t="shared" si="176"/>
        <v>#N/A</v>
      </c>
      <c r="BS416" t="e">
        <f t="shared" si="176"/>
        <v>#N/A</v>
      </c>
      <c r="BT416" t="e">
        <f t="shared" si="176"/>
        <v>#N/A</v>
      </c>
      <c r="BU416" t="e">
        <f t="shared" si="176"/>
        <v>#N/A</v>
      </c>
      <c r="BV416" t="e">
        <f t="shared" si="176"/>
        <v>#N/A</v>
      </c>
      <c r="BY416" t="e">
        <f t="shared" si="161"/>
        <v>#N/A</v>
      </c>
      <c r="BZ416" t="e">
        <v>#N/A</v>
      </c>
      <c r="CA416" t="e" cm="1">
        <f t="array" ref="CA416">IF(ISNUMBER(BZ416),AF416/COUNT(IF(ISNUMBER(_xlfn.ANCHORARRAY($BZ$11)),_xlfn.ANCHORARRAY($BZ$11))),NA())</f>
        <v>#N/A</v>
      </c>
      <c r="CB416" t="e">
        <f t="shared" si="162"/>
        <v>#N/A</v>
      </c>
      <c r="CD416" t="e">
        <f t="shared" si="163"/>
        <v>#N/A</v>
      </c>
      <c r="CE416" t="e">
        <f t="shared" si="164"/>
        <v>#N/A</v>
      </c>
      <c r="CG416" t="e">
        <v>#N/A</v>
      </c>
      <c r="CH416" t="e">
        <v>#N/A</v>
      </c>
      <c r="CL416" t="e">
        <f t="shared" si="165"/>
        <v>#N/A</v>
      </c>
      <c r="CM416" t="e">
        <v>#N/A</v>
      </c>
      <c r="CN416" t="e" cm="1">
        <f t="array" ref="CN416">IF(ISNUMBER(CM416),AF416/COUNT(IF(ISNUMBER(_xlfn.ANCHORARRAY($CM$11)),_xlfn.ANCHORARRAY($CM$11))),NA())</f>
        <v>#N/A</v>
      </c>
      <c r="CO416" t="e">
        <f t="shared" si="166"/>
        <v>#N/A</v>
      </c>
      <c r="CQ416" t="e">
        <f t="shared" si="167"/>
        <v>#N/A</v>
      </c>
      <c r="CR416" t="e">
        <f t="shared" si="168"/>
        <v>#N/A</v>
      </c>
      <c r="CT416" t="e">
        <v>#N/A</v>
      </c>
      <c r="CU416" t="e">
        <v>#N/A</v>
      </c>
      <c r="CY416" t="e">
        <f t="shared" si="169"/>
        <v>#N/A</v>
      </c>
      <c r="CZ416" t="e">
        <v>#N/A</v>
      </c>
      <c r="DA416" t="e" cm="1">
        <f t="array" ref="DA416">IF(ISNUMBER(CZ416),AF416/COUNT(IF(ISNUMBER(_xlfn.ANCHORARRAY($CZ$11)),_xlfn.ANCHORARRAY($CZ$11))),NA())</f>
        <v>#N/A</v>
      </c>
      <c r="DB416" t="e">
        <f t="shared" si="170"/>
        <v>#N/A</v>
      </c>
      <c r="DD416" t="e">
        <f t="shared" si="171"/>
        <v>#N/A</v>
      </c>
      <c r="DE416" t="e">
        <f t="shared" si="172"/>
        <v>#N/A</v>
      </c>
      <c r="DG416" t="e">
        <v>#N/A</v>
      </c>
      <c r="DH416" t="e">
        <v>#N/A</v>
      </c>
    </row>
    <row r="417" spans="32:112">
      <c r="AF417">
        <v>407</v>
      </c>
      <c r="AG417" s="401">
        <f>'Lab test'!N410</f>
        <v>608.5</v>
      </c>
      <c r="AH417" s="401">
        <f>'Lab test'!M410</f>
        <v>8.0370000000000008</v>
      </c>
      <c r="AI417">
        <f>IF('Lab test'!O410&gt;0,'Lab test'!O410,NA())</f>
        <v>3050</v>
      </c>
      <c r="AJ417">
        <f>'Lab test'!Q410</f>
        <v>75.71233047156899</v>
      </c>
      <c r="AK417" s="401">
        <f>IF('Lab test'!V410&gt;0,'Lab test'!V410,NA())</f>
        <v>203400</v>
      </c>
      <c r="AL417" s="7">
        <f>IF(MAX('Lab test'!W410,'Lab test'!X410)&gt;0,MAX('Lab test'!W410,'Lab test'!X410),NA())</f>
        <v>346.68</v>
      </c>
      <c r="AM417" s="401">
        <f>IF('Lab test'!P410&gt;0,'Lab test'!P410,NA())</f>
        <v>0.57604438761450127</v>
      </c>
      <c r="AN417" s="401">
        <f>IF('Lab test'!AU410&gt;0,'Lab test'!AU410,NA())</f>
        <v>0.95099999999999996</v>
      </c>
      <c r="AO417" s="401">
        <f>IF('Lab test'!AT410&gt;0,'Lab test'!AT410,NA())</f>
        <v>0.20277121058715084</v>
      </c>
      <c r="AP417">
        <f t="shared" si="173"/>
        <v>1</v>
      </c>
      <c r="AQ417" s="401">
        <f>'Lab test'!AZ410</f>
        <v>1977</v>
      </c>
      <c r="AR417" t="str">
        <f>'Lab test'!AC410</f>
        <v>LTWa</v>
      </c>
      <c r="AS417" t="str">
        <f>'Lab test'!T410</f>
        <v>Steel</v>
      </c>
      <c r="AX417" t="e">
        <f t="shared" si="158"/>
        <v>#N/A</v>
      </c>
      <c r="AY417" t="e">
        <f t="shared" si="155"/>
        <v>#N/A</v>
      </c>
      <c r="AZ417" t="e">
        <f t="shared" si="174"/>
        <v>#N/A</v>
      </c>
      <c r="BA417" t="e">
        <f t="shared" si="174"/>
        <v>#N/A</v>
      </c>
      <c r="BB417" t="e">
        <f t="shared" si="174"/>
        <v>#N/A</v>
      </c>
      <c r="BC417" t="e">
        <f t="shared" si="174"/>
        <v>#N/A</v>
      </c>
      <c r="BD417" t="e">
        <f t="shared" si="174"/>
        <v>#N/A</v>
      </c>
      <c r="BG417" t="e">
        <f t="shared" si="159"/>
        <v>#N/A</v>
      </c>
      <c r="BH417" t="e">
        <f t="shared" si="156"/>
        <v>#N/A</v>
      </c>
      <c r="BI417" t="e">
        <f t="shared" si="175"/>
        <v>#N/A</v>
      </c>
      <c r="BJ417" t="e">
        <f t="shared" si="175"/>
        <v>#N/A</v>
      </c>
      <c r="BK417" t="e">
        <f t="shared" si="175"/>
        <v>#N/A</v>
      </c>
      <c r="BL417" t="e">
        <f t="shared" si="175"/>
        <v>#N/A</v>
      </c>
      <c r="BM417" t="e">
        <f t="shared" si="175"/>
        <v>#N/A</v>
      </c>
      <c r="BP417" t="e">
        <f t="shared" si="160"/>
        <v>#N/A</v>
      </c>
      <c r="BQ417" t="e">
        <f t="shared" si="157"/>
        <v>#N/A</v>
      </c>
      <c r="BR417" t="e">
        <f t="shared" si="176"/>
        <v>#N/A</v>
      </c>
      <c r="BS417" t="e">
        <f t="shared" si="176"/>
        <v>#N/A</v>
      </c>
      <c r="BT417" t="e">
        <f t="shared" si="176"/>
        <v>#N/A</v>
      </c>
      <c r="BU417" t="e">
        <f t="shared" si="176"/>
        <v>#N/A</v>
      </c>
      <c r="BV417" t="e">
        <f t="shared" si="176"/>
        <v>#N/A</v>
      </c>
      <c r="BY417" t="e">
        <f t="shared" si="161"/>
        <v>#N/A</v>
      </c>
      <c r="BZ417" t="e">
        <v>#N/A</v>
      </c>
      <c r="CA417" t="e" cm="1">
        <f t="array" ref="CA417">IF(ISNUMBER(BZ417),AF417/COUNT(IF(ISNUMBER(_xlfn.ANCHORARRAY($BZ$11)),_xlfn.ANCHORARRAY($BZ$11))),NA())</f>
        <v>#N/A</v>
      </c>
      <c r="CB417" t="e">
        <f t="shared" si="162"/>
        <v>#N/A</v>
      </c>
      <c r="CD417" t="e">
        <f t="shared" si="163"/>
        <v>#N/A</v>
      </c>
      <c r="CE417" t="e">
        <f t="shared" si="164"/>
        <v>#N/A</v>
      </c>
      <c r="CG417" t="e">
        <v>#N/A</v>
      </c>
      <c r="CH417" t="e">
        <v>#N/A</v>
      </c>
      <c r="CL417" t="e">
        <f t="shared" si="165"/>
        <v>#N/A</v>
      </c>
      <c r="CM417" t="e">
        <v>#N/A</v>
      </c>
      <c r="CN417" t="e" cm="1">
        <f t="array" ref="CN417">IF(ISNUMBER(CM417),AF417/COUNT(IF(ISNUMBER(_xlfn.ANCHORARRAY($CM$11)),_xlfn.ANCHORARRAY($CM$11))),NA())</f>
        <v>#N/A</v>
      </c>
      <c r="CO417" t="e">
        <f t="shared" si="166"/>
        <v>#N/A</v>
      </c>
      <c r="CQ417" t="e">
        <f t="shared" si="167"/>
        <v>#N/A</v>
      </c>
      <c r="CR417" t="e">
        <f t="shared" si="168"/>
        <v>#N/A</v>
      </c>
      <c r="CT417" t="e">
        <v>#N/A</v>
      </c>
      <c r="CU417" t="e">
        <v>#N/A</v>
      </c>
      <c r="CY417" t="e">
        <f t="shared" si="169"/>
        <v>#N/A</v>
      </c>
      <c r="CZ417" t="e">
        <v>#N/A</v>
      </c>
      <c r="DA417" t="e" cm="1">
        <f t="array" ref="DA417">IF(ISNUMBER(CZ417),AF417/COUNT(IF(ISNUMBER(_xlfn.ANCHORARRAY($CZ$11)),_xlfn.ANCHORARRAY($CZ$11))),NA())</f>
        <v>#N/A</v>
      </c>
      <c r="DB417" t="e">
        <f t="shared" si="170"/>
        <v>#N/A</v>
      </c>
      <c r="DD417" t="e">
        <f t="shared" si="171"/>
        <v>#N/A</v>
      </c>
      <c r="DE417" t="e">
        <f t="shared" si="172"/>
        <v>#N/A</v>
      </c>
      <c r="DG417" t="e">
        <v>#N/A</v>
      </c>
      <c r="DH417" t="e">
        <v>#N/A</v>
      </c>
    </row>
    <row r="418" spans="32:112">
      <c r="AF418">
        <v>408</v>
      </c>
      <c r="AG418" s="401">
        <f>'Lab test'!N411</f>
        <v>766.5</v>
      </c>
      <c r="AH418" s="401">
        <f>'Lab test'!M411</f>
        <v>7.2619999999999996</v>
      </c>
      <c r="AI418">
        <f>IF('Lab test'!O411&gt;0,'Lab test'!O411,NA())</f>
        <v>2440</v>
      </c>
      <c r="AJ418">
        <f>'Lab test'!Q411</f>
        <v>105.54943541724043</v>
      </c>
      <c r="AK418" s="401">
        <f>IF('Lab test'!V411&gt;0,'Lab test'!V411,NA())</f>
        <v>203400</v>
      </c>
      <c r="AL418" s="7">
        <f>IF(MAX('Lab test'!W411,'Lab test'!X411)&gt;0,MAX('Lab test'!W411,'Lab test'!X411),NA())</f>
        <v>372.05</v>
      </c>
      <c r="AM418" s="401">
        <f>IF('Lab test'!P411&gt;0,'Lab test'!P411,NA())</f>
        <v>0.30984872245685674</v>
      </c>
      <c r="AN418" s="401">
        <f>IF('Lab test'!AU411&gt;0,'Lab test'!AU411,NA())</f>
        <v>0.872</v>
      </c>
      <c r="AO418" s="401">
        <f>IF('Lab test'!AT411&gt;0,'Lab test'!AT411,NA())</f>
        <v>0.27816602428044396</v>
      </c>
      <c r="AP418">
        <f t="shared" si="173"/>
        <v>1</v>
      </c>
      <c r="AQ418" s="401">
        <f>'Lab test'!AZ411</f>
        <v>1977</v>
      </c>
      <c r="AR418" t="str">
        <f>'Lab test'!AC411</f>
        <v>LTWa</v>
      </c>
      <c r="AS418" t="str">
        <f>'Lab test'!T411</f>
        <v>Steel</v>
      </c>
      <c r="AX418" t="e">
        <f t="shared" si="158"/>
        <v>#N/A</v>
      </c>
      <c r="AY418" t="e">
        <f t="shared" si="155"/>
        <v>#N/A</v>
      </c>
      <c r="AZ418" t="e">
        <f t="shared" si="174"/>
        <v>#N/A</v>
      </c>
      <c r="BA418" t="e">
        <f t="shared" si="174"/>
        <v>#N/A</v>
      </c>
      <c r="BB418" t="e">
        <f t="shared" si="174"/>
        <v>#N/A</v>
      </c>
      <c r="BC418" t="e">
        <f t="shared" si="174"/>
        <v>#N/A</v>
      </c>
      <c r="BD418" t="e">
        <f t="shared" si="174"/>
        <v>#N/A</v>
      </c>
      <c r="BG418" t="e">
        <f t="shared" si="159"/>
        <v>#N/A</v>
      </c>
      <c r="BH418" t="e">
        <f t="shared" si="156"/>
        <v>#N/A</v>
      </c>
      <c r="BI418" t="e">
        <f t="shared" si="175"/>
        <v>#N/A</v>
      </c>
      <c r="BJ418" t="e">
        <f t="shared" si="175"/>
        <v>#N/A</v>
      </c>
      <c r="BK418" t="e">
        <f t="shared" si="175"/>
        <v>#N/A</v>
      </c>
      <c r="BL418" t="e">
        <f t="shared" si="175"/>
        <v>#N/A</v>
      </c>
      <c r="BM418" t="e">
        <f t="shared" si="175"/>
        <v>#N/A</v>
      </c>
      <c r="BP418" t="e">
        <f t="shared" si="160"/>
        <v>#N/A</v>
      </c>
      <c r="BQ418" t="e">
        <f t="shared" si="157"/>
        <v>#N/A</v>
      </c>
      <c r="BR418" t="e">
        <f t="shared" si="176"/>
        <v>#N/A</v>
      </c>
      <c r="BS418" t="e">
        <f t="shared" si="176"/>
        <v>#N/A</v>
      </c>
      <c r="BT418" t="e">
        <f t="shared" si="176"/>
        <v>#N/A</v>
      </c>
      <c r="BU418" t="e">
        <f t="shared" si="176"/>
        <v>#N/A</v>
      </c>
      <c r="BV418" t="e">
        <f t="shared" si="176"/>
        <v>#N/A</v>
      </c>
      <c r="BY418" t="e">
        <f t="shared" si="161"/>
        <v>#N/A</v>
      </c>
      <c r="BZ418" t="e">
        <v>#N/A</v>
      </c>
      <c r="CA418" t="e" cm="1">
        <f t="array" ref="CA418">IF(ISNUMBER(BZ418),AF418/COUNT(IF(ISNUMBER(_xlfn.ANCHORARRAY($BZ$11)),_xlfn.ANCHORARRAY($BZ$11))),NA())</f>
        <v>#N/A</v>
      </c>
      <c r="CB418" t="e">
        <f t="shared" si="162"/>
        <v>#N/A</v>
      </c>
      <c r="CD418" t="e">
        <f t="shared" si="163"/>
        <v>#N/A</v>
      </c>
      <c r="CE418" t="e">
        <f t="shared" si="164"/>
        <v>#N/A</v>
      </c>
      <c r="CG418" t="e">
        <v>#N/A</v>
      </c>
      <c r="CH418" t="e">
        <v>#N/A</v>
      </c>
      <c r="CL418" t="e">
        <f t="shared" si="165"/>
        <v>#N/A</v>
      </c>
      <c r="CM418" t="e">
        <v>#N/A</v>
      </c>
      <c r="CN418" t="e" cm="1">
        <f t="array" ref="CN418">IF(ISNUMBER(CM418),AF418/COUNT(IF(ISNUMBER(_xlfn.ANCHORARRAY($CM$11)),_xlfn.ANCHORARRAY($CM$11))),NA())</f>
        <v>#N/A</v>
      </c>
      <c r="CO418" t="e">
        <f t="shared" si="166"/>
        <v>#N/A</v>
      </c>
      <c r="CQ418" t="e">
        <f t="shared" si="167"/>
        <v>#N/A</v>
      </c>
      <c r="CR418" t="e">
        <f t="shared" si="168"/>
        <v>#N/A</v>
      </c>
      <c r="CT418" t="e">
        <v>#N/A</v>
      </c>
      <c r="CU418" t="e">
        <v>#N/A</v>
      </c>
      <c r="CY418" t="e">
        <f t="shared" si="169"/>
        <v>#N/A</v>
      </c>
      <c r="CZ418" t="e">
        <v>#N/A</v>
      </c>
      <c r="DA418" t="e" cm="1">
        <f t="array" ref="DA418">IF(ISNUMBER(CZ418),AF418/COUNT(IF(ISNUMBER(_xlfn.ANCHORARRAY($CZ$11)),_xlfn.ANCHORARRAY($CZ$11))),NA())</f>
        <v>#N/A</v>
      </c>
      <c r="DB418" t="e">
        <f t="shared" si="170"/>
        <v>#N/A</v>
      </c>
      <c r="DD418" t="e">
        <f t="shared" si="171"/>
        <v>#N/A</v>
      </c>
      <c r="DE418" t="e">
        <f t="shared" si="172"/>
        <v>#N/A</v>
      </c>
      <c r="DG418" t="e">
        <v>#N/A</v>
      </c>
      <c r="DH418" t="e">
        <v>#N/A</v>
      </c>
    </row>
    <row r="419" spans="32:112">
      <c r="AF419">
        <v>409</v>
      </c>
      <c r="AG419" s="401">
        <f>'Lab test'!N412</f>
        <v>766</v>
      </c>
      <c r="AH419" s="401">
        <f>'Lab test'!M412</f>
        <v>6.5529999999999999</v>
      </c>
      <c r="AI419">
        <f>IF('Lab test'!O412&gt;0,'Lab test'!O412,NA())</f>
        <v>2440</v>
      </c>
      <c r="AJ419">
        <f>'Lab test'!Q412</f>
        <v>116.89302609491835</v>
      </c>
      <c r="AK419" s="401">
        <f>IF('Lab test'!V412&gt;0,'Lab test'!V412,NA())</f>
        <v>203400</v>
      </c>
      <c r="AL419" s="7">
        <f>IF(MAX('Lab test'!W412,'Lab test'!X412)&gt;0,MAX('Lab test'!W412,'Lab test'!X412),NA())</f>
        <v>622.76</v>
      </c>
      <c r="AM419" s="401">
        <f>IF('Lab test'!P412&gt;0,'Lab test'!P412,NA())</f>
        <v>0.29462307358037176</v>
      </c>
      <c r="AN419" s="401">
        <f>IF('Lab test'!AU412&gt;0,'Lab test'!AU412,NA())</f>
        <v>0.91200000000000003</v>
      </c>
      <c r="AO419" s="401">
        <f>IF('Lab test'!AT412&gt;0,'Lab test'!AT412,NA())</f>
        <v>0.53930509707657448</v>
      </c>
      <c r="AP419">
        <f t="shared" si="173"/>
        <v>1</v>
      </c>
      <c r="AQ419" s="401">
        <f>'Lab test'!AZ412</f>
        <v>1977</v>
      </c>
      <c r="AR419" t="str">
        <f>'Lab test'!AC412</f>
        <v>LTWa</v>
      </c>
      <c r="AS419" t="str">
        <f>'Lab test'!T412</f>
        <v>Steel</v>
      </c>
      <c r="AX419" t="e">
        <f t="shared" si="158"/>
        <v>#N/A</v>
      </c>
      <c r="AY419" t="e">
        <f t="shared" si="155"/>
        <v>#N/A</v>
      </c>
      <c r="AZ419" t="e">
        <f t="shared" si="174"/>
        <v>#N/A</v>
      </c>
      <c r="BA419" t="e">
        <f t="shared" si="174"/>
        <v>#N/A</v>
      </c>
      <c r="BB419" t="e">
        <f t="shared" si="174"/>
        <v>#N/A</v>
      </c>
      <c r="BC419" t="e">
        <f t="shared" si="174"/>
        <v>#N/A</v>
      </c>
      <c r="BD419" t="e">
        <f t="shared" si="174"/>
        <v>#N/A</v>
      </c>
      <c r="BG419" t="e">
        <f t="shared" si="159"/>
        <v>#N/A</v>
      </c>
      <c r="BH419" t="e">
        <f t="shared" si="156"/>
        <v>#N/A</v>
      </c>
      <c r="BI419" t="e">
        <f t="shared" si="175"/>
        <v>#N/A</v>
      </c>
      <c r="BJ419" t="e">
        <f t="shared" si="175"/>
        <v>#N/A</v>
      </c>
      <c r="BK419" t="e">
        <f t="shared" si="175"/>
        <v>#N/A</v>
      </c>
      <c r="BL419" t="e">
        <f t="shared" si="175"/>
        <v>#N/A</v>
      </c>
      <c r="BM419" t="e">
        <f t="shared" si="175"/>
        <v>#N/A</v>
      </c>
      <c r="BP419" t="e">
        <f t="shared" si="160"/>
        <v>#N/A</v>
      </c>
      <c r="BQ419" t="e">
        <f t="shared" si="157"/>
        <v>#N/A</v>
      </c>
      <c r="BR419" t="e">
        <f t="shared" si="176"/>
        <v>#N/A</v>
      </c>
      <c r="BS419" t="e">
        <f t="shared" si="176"/>
        <v>#N/A</v>
      </c>
      <c r="BT419" t="e">
        <f t="shared" si="176"/>
        <v>#N/A</v>
      </c>
      <c r="BU419" t="e">
        <f t="shared" si="176"/>
        <v>#N/A</v>
      </c>
      <c r="BV419" t="e">
        <f t="shared" si="176"/>
        <v>#N/A</v>
      </c>
      <c r="BY419" t="e">
        <f t="shared" si="161"/>
        <v>#N/A</v>
      </c>
      <c r="BZ419" t="e">
        <v>#N/A</v>
      </c>
      <c r="CA419" t="e" cm="1">
        <f t="array" ref="CA419">IF(ISNUMBER(BZ419),AF419/COUNT(IF(ISNUMBER(_xlfn.ANCHORARRAY($BZ$11)),_xlfn.ANCHORARRAY($BZ$11))),NA())</f>
        <v>#N/A</v>
      </c>
      <c r="CB419" t="e">
        <f t="shared" si="162"/>
        <v>#N/A</v>
      </c>
      <c r="CD419" t="e">
        <f t="shared" si="163"/>
        <v>#N/A</v>
      </c>
      <c r="CE419" t="e">
        <f t="shared" si="164"/>
        <v>#N/A</v>
      </c>
      <c r="CG419" t="e">
        <v>#N/A</v>
      </c>
      <c r="CH419" t="e">
        <v>#N/A</v>
      </c>
      <c r="CL419" t="e">
        <f t="shared" si="165"/>
        <v>#N/A</v>
      </c>
      <c r="CM419" t="e">
        <v>#N/A</v>
      </c>
      <c r="CN419" t="e" cm="1">
        <f t="array" ref="CN419">IF(ISNUMBER(CM419),AF419/COUNT(IF(ISNUMBER(_xlfn.ANCHORARRAY($CM$11)),_xlfn.ANCHORARRAY($CM$11))),NA())</f>
        <v>#N/A</v>
      </c>
      <c r="CO419" t="e">
        <f t="shared" si="166"/>
        <v>#N/A</v>
      </c>
      <c r="CQ419" t="e">
        <f t="shared" si="167"/>
        <v>#N/A</v>
      </c>
      <c r="CR419" t="e">
        <f t="shared" si="168"/>
        <v>#N/A</v>
      </c>
      <c r="CT419" t="e">
        <v>#N/A</v>
      </c>
      <c r="CU419" t="e">
        <v>#N/A</v>
      </c>
      <c r="CY419" t="e">
        <f t="shared" si="169"/>
        <v>#N/A</v>
      </c>
      <c r="CZ419" t="e">
        <v>#N/A</v>
      </c>
      <c r="DA419" t="e" cm="1">
        <f t="array" ref="DA419">IF(ISNUMBER(CZ419),AF419/COUNT(IF(ISNUMBER(_xlfn.ANCHORARRAY($CZ$11)),_xlfn.ANCHORARRAY($CZ$11))),NA())</f>
        <v>#N/A</v>
      </c>
      <c r="DB419" t="e">
        <f t="shared" si="170"/>
        <v>#N/A</v>
      </c>
      <c r="DD419" t="e">
        <f t="shared" si="171"/>
        <v>#N/A</v>
      </c>
      <c r="DE419" t="e">
        <f t="shared" si="172"/>
        <v>#N/A</v>
      </c>
      <c r="DG419" t="e">
        <v>#N/A</v>
      </c>
      <c r="DH419" t="e">
        <v>#N/A</v>
      </c>
    </row>
    <row r="420" spans="32:112">
      <c r="AF420">
        <v>410</v>
      </c>
      <c r="AG420" s="401">
        <f>'Lab test'!N413</f>
        <v>49.1</v>
      </c>
      <c r="AH420" s="401">
        <f>'Lab test'!M413</f>
        <v>9.5000000000000001E-2</v>
      </c>
      <c r="AI420">
        <f>IF('Lab test'!O413&gt;0,'Lab test'!O413,NA())</f>
        <v>36.799999999999997</v>
      </c>
      <c r="AJ420">
        <f>'Lab test'!Q413</f>
        <v>501</v>
      </c>
      <c r="AK420" s="401">
        <f>IF('Lab test'!V413&gt;0,'Lab test'!V413,NA())</f>
        <v>92182.51</v>
      </c>
      <c r="AL420" s="7" t="e">
        <f>IF(MAX('Lab test'!W413,'Lab test'!X413)&gt;0,MAX('Lab test'!W413,'Lab test'!X413),NA())</f>
        <v>#N/A</v>
      </c>
      <c r="AM420" s="401">
        <f>IF('Lab test'!P413&gt;0,'Lab test'!P413,NA())</f>
        <v>3.2967603866441451E-2</v>
      </c>
      <c r="AN420" s="401" t="e">
        <f>IF('Lab test'!AU413&gt;0,'Lab test'!AU413,NA())</f>
        <v>#N/A</v>
      </c>
      <c r="AO420" s="401">
        <f>IF('Lab test'!AT413&gt;0,'Lab test'!AT413,NA())</f>
        <v>0.39676768308876392</v>
      </c>
      <c r="AP420" t="e">
        <f t="shared" si="173"/>
        <v>#N/A</v>
      </c>
      <c r="AQ420" s="401">
        <f>'Lab test'!AZ413</f>
        <v>1971</v>
      </c>
      <c r="AR420" t="str">
        <f>'Lab test'!AC413</f>
        <v>LTWa</v>
      </c>
      <c r="AS420" t="str">
        <f>'Lab test'!T413</f>
        <v>Brass</v>
      </c>
      <c r="AX420" t="e">
        <f t="shared" si="158"/>
        <v>#N/A</v>
      </c>
      <c r="AY420" t="e">
        <f t="shared" si="155"/>
        <v>#N/A</v>
      </c>
      <c r="AZ420" t="e">
        <f t="shared" si="174"/>
        <v>#N/A</v>
      </c>
      <c r="BA420" t="e">
        <f t="shared" si="174"/>
        <v>#N/A</v>
      </c>
      <c r="BB420" t="e">
        <f t="shared" si="174"/>
        <v>#N/A</v>
      </c>
      <c r="BC420" t="e">
        <f t="shared" si="174"/>
        <v>#N/A</v>
      </c>
      <c r="BD420" t="e">
        <f t="shared" si="174"/>
        <v>#N/A</v>
      </c>
      <c r="BG420" t="e">
        <f t="shared" si="159"/>
        <v>#N/A</v>
      </c>
      <c r="BH420" t="e">
        <f t="shared" si="156"/>
        <v>#N/A</v>
      </c>
      <c r="BI420" t="e">
        <f t="shared" si="175"/>
        <v>#N/A</v>
      </c>
      <c r="BJ420" t="e">
        <f t="shared" si="175"/>
        <v>#N/A</v>
      </c>
      <c r="BK420" t="e">
        <f t="shared" si="175"/>
        <v>#N/A</v>
      </c>
      <c r="BL420" t="e">
        <f t="shared" si="175"/>
        <v>#N/A</v>
      </c>
      <c r="BM420" t="e">
        <f t="shared" si="175"/>
        <v>#N/A</v>
      </c>
      <c r="BP420" t="e">
        <f t="shared" si="160"/>
        <v>#N/A</v>
      </c>
      <c r="BQ420" t="e">
        <f t="shared" si="157"/>
        <v>#N/A</v>
      </c>
      <c r="BR420" t="e">
        <f t="shared" si="176"/>
        <v>#N/A</v>
      </c>
      <c r="BS420" t="e">
        <f t="shared" si="176"/>
        <v>#N/A</v>
      </c>
      <c r="BT420" t="e">
        <f t="shared" si="176"/>
        <v>#N/A</v>
      </c>
      <c r="BU420" t="e">
        <f t="shared" si="176"/>
        <v>#N/A</v>
      </c>
      <c r="BV420" t="e">
        <f t="shared" si="176"/>
        <v>#N/A</v>
      </c>
      <c r="BY420" t="e">
        <f t="shared" si="161"/>
        <v>#N/A</v>
      </c>
      <c r="BZ420" t="e">
        <v>#N/A</v>
      </c>
      <c r="CA420" t="e" cm="1">
        <f t="array" ref="CA420">IF(ISNUMBER(BZ420),AF420/COUNT(IF(ISNUMBER(_xlfn.ANCHORARRAY($BZ$11)),_xlfn.ANCHORARRAY($BZ$11))),NA())</f>
        <v>#N/A</v>
      </c>
      <c r="CB420" t="e">
        <f t="shared" si="162"/>
        <v>#N/A</v>
      </c>
      <c r="CD420" t="e">
        <f t="shared" si="163"/>
        <v>#N/A</v>
      </c>
      <c r="CE420" t="e">
        <f t="shared" si="164"/>
        <v>#N/A</v>
      </c>
      <c r="CG420" t="e">
        <v>#N/A</v>
      </c>
      <c r="CH420" t="e">
        <v>#N/A</v>
      </c>
      <c r="CL420" t="e">
        <f t="shared" si="165"/>
        <v>#N/A</v>
      </c>
      <c r="CM420" t="e">
        <v>#N/A</v>
      </c>
      <c r="CN420" t="e" cm="1">
        <f t="array" ref="CN420">IF(ISNUMBER(CM420),AF420/COUNT(IF(ISNUMBER(_xlfn.ANCHORARRAY($CM$11)),_xlfn.ANCHORARRAY($CM$11))),NA())</f>
        <v>#N/A</v>
      </c>
      <c r="CO420" t="e">
        <f t="shared" si="166"/>
        <v>#N/A</v>
      </c>
      <c r="CQ420" t="e">
        <f t="shared" si="167"/>
        <v>#N/A</v>
      </c>
      <c r="CR420" t="e">
        <f t="shared" si="168"/>
        <v>#N/A</v>
      </c>
      <c r="CT420" t="e">
        <v>#N/A</v>
      </c>
      <c r="CU420" t="e">
        <v>#N/A</v>
      </c>
      <c r="CY420" t="e">
        <f t="shared" si="169"/>
        <v>#N/A</v>
      </c>
      <c r="CZ420" t="e">
        <v>#N/A</v>
      </c>
      <c r="DA420" t="e" cm="1">
        <f t="array" ref="DA420">IF(ISNUMBER(CZ420),AF420/COUNT(IF(ISNUMBER(_xlfn.ANCHORARRAY($CZ$11)),_xlfn.ANCHORARRAY($CZ$11))),NA())</f>
        <v>#N/A</v>
      </c>
      <c r="DB420" t="e">
        <f t="shared" si="170"/>
        <v>#N/A</v>
      </c>
      <c r="DD420" t="e">
        <f t="shared" si="171"/>
        <v>#N/A</v>
      </c>
      <c r="DE420" t="e">
        <f t="shared" si="172"/>
        <v>#N/A</v>
      </c>
      <c r="DG420" t="e">
        <v>#N/A</v>
      </c>
      <c r="DH420" t="e">
        <v>#N/A</v>
      </c>
    </row>
    <row r="421" spans="32:112">
      <c r="AF421">
        <v>411</v>
      </c>
      <c r="AG421" s="401">
        <f>'Lab test'!N414</f>
        <v>49.1</v>
      </c>
      <c r="AH421" s="401">
        <f>'Lab test'!M414</f>
        <v>9.6000000000000002E-2</v>
      </c>
      <c r="AI421">
        <f>IF('Lab test'!O414&gt;0,'Lab test'!O414,NA())</f>
        <v>36.799999999999997</v>
      </c>
      <c r="AJ421">
        <f>'Lab test'!Q414</f>
        <v>496</v>
      </c>
      <c r="AK421" s="401">
        <f>IF('Lab test'!V414&gt;0,'Lab test'!V414,NA())</f>
        <v>92182.51</v>
      </c>
      <c r="AL421" s="7" t="e">
        <f>IF(MAX('Lab test'!W414,'Lab test'!X414)&gt;0,MAX('Lab test'!W414,'Lab test'!X414),NA())</f>
        <v>#N/A</v>
      </c>
      <c r="AM421" s="401">
        <f>IF('Lab test'!P414&gt;0,'Lab test'!P414,NA())</f>
        <v>3.3140663343531399E-2</v>
      </c>
      <c r="AN421" s="401" t="e">
        <f>IF('Lab test'!AU414&gt;0,'Lab test'!AU414,NA())</f>
        <v>#N/A</v>
      </c>
      <c r="AO421" s="401">
        <f>IF('Lab test'!AT414&gt;0,'Lab test'!AT414,NA())</f>
        <v>0.37033167311551884</v>
      </c>
      <c r="AP421" t="e">
        <f t="shared" si="173"/>
        <v>#N/A</v>
      </c>
      <c r="AQ421" s="401">
        <f>'Lab test'!AZ414</f>
        <v>1971</v>
      </c>
      <c r="AR421" t="str">
        <f>'Lab test'!AC414</f>
        <v>LTWa</v>
      </c>
      <c r="AS421" t="str">
        <f>'Lab test'!T414</f>
        <v>Brass</v>
      </c>
      <c r="AX421" t="e">
        <f t="shared" si="158"/>
        <v>#N/A</v>
      </c>
      <c r="AY421" t="e">
        <f t="shared" si="155"/>
        <v>#N/A</v>
      </c>
      <c r="AZ421" t="e">
        <f t="shared" si="174"/>
        <v>#N/A</v>
      </c>
      <c r="BA421" t="e">
        <f t="shared" si="174"/>
        <v>#N/A</v>
      </c>
      <c r="BB421" t="e">
        <f t="shared" si="174"/>
        <v>#N/A</v>
      </c>
      <c r="BC421" t="e">
        <f t="shared" si="174"/>
        <v>#N/A</v>
      </c>
      <c r="BD421" t="e">
        <f t="shared" si="174"/>
        <v>#N/A</v>
      </c>
      <c r="BG421" t="e">
        <f t="shared" si="159"/>
        <v>#N/A</v>
      </c>
      <c r="BH421" t="e">
        <f t="shared" si="156"/>
        <v>#N/A</v>
      </c>
      <c r="BI421" t="e">
        <f t="shared" si="175"/>
        <v>#N/A</v>
      </c>
      <c r="BJ421" t="e">
        <f t="shared" si="175"/>
        <v>#N/A</v>
      </c>
      <c r="BK421" t="e">
        <f t="shared" si="175"/>
        <v>#N/A</v>
      </c>
      <c r="BL421" t="e">
        <f t="shared" si="175"/>
        <v>#N/A</v>
      </c>
      <c r="BM421" t="e">
        <f t="shared" si="175"/>
        <v>#N/A</v>
      </c>
      <c r="BP421" t="e">
        <f t="shared" si="160"/>
        <v>#N/A</v>
      </c>
      <c r="BQ421" t="e">
        <f t="shared" si="157"/>
        <v>#N/A</v>
      </c>
      <c r="BR421" t="e">
        <f t="shared" si="176"/>
        <v>#N/A</v>
      </c>
      <c r="BS421" t="e">
        <f t="shared" si="176"/>
        <v>#N/A</v>
      </c>
      <c r="BT421" t="e">
        <f t="shared" si="176"/>
        <v>#N/A</v>
      </c>
      <c r="BU421" t="e">
        <f t="shared" si="176"/>
        <v>#N/A</v>
      </c>
      <c r="BV421" t="e">
        <f t="shared" si="176"/>
        <v>#N/A</v>
      </c>
      <c r="BY421" t="e">
        <f t="shared" si="161"/>
        <v>#N/A</v>
      </c>
      <c r="BZ421" t="e">
        <v>#N/A</v>
      </c>
      <c r="CA421" t="e" cm="1">
        <f t="array" ref="CA421">IF(ISNUMBER(BZ421),AF421/COUNT(IF(ISNUMBER(_xlfn.ANCHORARRAY($BZ$11)),_xlfn.ANCHORARRAY($BZ$11))),NA())</f>
        <v>#N/A</v>
      </c>
      <c r="CB421" t="e">
        <f t="shared" si="162"/>
        <v>#N/A</v>
      </c>
      <c r="CD421" t="e">
        <f t="shared" si="163"/>
        <v>#N/A</v>
      </c>
      <c r="CE421" t="e">
        <f t="shared" si="164"/>
        <v>#N/A</v>
      </c>
      <c r="CG421" t="e">
        <v>#N/A</v>
      </c>
      <c r="CH421" t="e">
        <v>#N/A</v>
      </c>
      <c r="CL421" t="e">
        <f t="shared" si="165"/>
        <v>#N/A</v>
      </c>
      <c r="CM421" t="e">
        <v>#N/A</v>
      </c>
      <c r="CN421" t="e" cm="1">
        <f t="array" ref="CN421">IF(ISNUMBER(CM421),AF421/COUNT(IF(ISNUMBER(_xlfn.ANCHORARRAY($CM$11)),_xlfn.ANCHORARRAY($CM$11))),NA())</f>
        <v>#N/A</v>
      </c>
      <c r="CO421" t="e">
        <f t="shared" si="166"/>
        <v>#N/A</v>
      </c>
      <c r="CQ421" t="e">
        <f t="shared" si="167"/>
        <v>#N/A</v>
      </c>
      <c r="CR421" t="e">
        <f t="shared" si="168"/>
        <v>#N/A</v>
      </c>
      <c r="CT421" t="e">
        <v>#N/A</v>
      </c>
      <c r="CU421" t="e">
        <v>#N/A</v>
      </c>
      <c r="CY421" t="e">
        <f t="shared" si="169"/>
        <v>#N/A</v>
      </c>
      <c r="CZ421" t="e">
        <v>#N/A</v>
      </c>
      <c r="DA421" t="e" cm="1">
        <f t="array" ref="DA421">IF(ISNUMBER(CZ421),AF421/COUNT(IF(ISNUMBER(_xlfn.ANCHORARRAY($CZ$11)),_xlfn.ANCHORARRAY($CZ$11))),NA())</f>
        <v>#N/A</v>
      </c>
      <c r="DB421" t="e">
        <f t="shared" si="170"/>
        <v>#N/A</v>
      </c>
      <c r="DD421" t="e">
        <f t="shared" si="171"/>
        <v>#N/A</v>
      </c>
      <c r="DE421" t="e">
        <f t="shared" si="172"/>
        <v>#N/A</v>
      </c>
      <c r="DG421" t="e">
        <v>#N/A</v>
      </c>
      <c r="DH421" t="e">
        <v>#N/A</v>
      </c>
    </row>
    <row r="422" spans="32:112">
      <c r="AF422">
        <v>412</v>
      </c>
      <c r="AG422" s="401">
        <f>'Lab test'!N415</f>
        <v>49.1</v>
      </c>
      <c r="AH422" s="401">
        <f>'Lab test'!M415</f>
        <v>9.5000000000000001E-2</v>
      </c>
      <c r="AI422">
        <f>IF('Lab test'!O415&gt;0,'Lab test'!O415,NA())</f>
        <v>17.2</v>
      </c>
      <c r="AJ422">
        <f>'Lab test'!Q415</f>
        <v>501</v>
      </c>
      <c r="AK422" s="401">
        <f>IF('Lab test'!V415&gt;0,'Lab test'!V415,NA())</f>
        <v>92182.51</v>
      </c>
      <c r="AL422" s="7" t="e">
        <f>IF(MAX('Lab test'!W415,'Lab test'!X415)&gt;0,MAX('Lab test'!W415,'Lab test'!X415),NA())</f>
        <v>#N/A</v>
      </c>
      <c r="AM422" s="401">
        <f>IF('Lab test'!P415&gt;0,'Lab test'!P415,NA())</f>
        <v>1.5408771372358503E-2</v>
      </c>
      <c r="AN422" s="401" t="e">
        <f>IF('Lab test'!AU415&gt;0,'Lab test'!AU415,NA())</f>
        <v>#N/A</v>
      </c>
      <c r="AO422" s="401">
        <f>IF('Lab test'!AT415&gt;0,'Lab test'!AT415,NA())</f>
        <v>0.55795464324285493</v>
      </c>
      <c r="AP422" t="e">
        <f t="shared" si="173"/>
        <v>#N/A</v>
      </c>
      <c r="AQ422" s="401">
        <f>'Lab test'!AZ415</f>
        <v>1971</v>
      </c>
      <c r="AR422" t="str">
        <f>'Lab test'!AC415</f>
        <v>LTWa</v>
      </c>
      <c r="AS422" t="str">
        <f>'Lab test'!T415</f>
        <v>Brass</v>
      </c>
      <c r="AX422" t="e">
        <f t="shared" si="158"/>
        <v>#N/A</v>
      </c>
      <c r="AY422" t="e">
        <f t="shared" si="155"/>
        <v>#N/A</v>
      </c>
      <c r="AZ422" t="e">
        <f t="shared" si="174"/>
        <v>#N/A</v>
      </c>
      <c r="BA422" t="e">
        <f t="shared" si="174"/>
        <v>#N/A</v>
      </c>
      <c r="BB422" t="e">
        <f t="shared" si="174"/>
        <v>#N/A</v>
      </c>
      <c r="BC422" t="e">
        <f t="shared" si="174"/>
        <v>#N/A</v>
      </c>
      <c r="BD422" t="e">
        <f t="shared" si="174"/>
        <v>#N/A</v>
      </c>
      <c r="BG422" t="e">
        <f t="shared" si="159"/>
        <v>#N/A</v>
      </c>
      <c r="BH422" t="e">
        <f t="shared" si="156"/>
        <v>#N/A</v>
      </c>
      <c r="BI422" t="e">
        <f t="shared" si="175"/>
        <v>#N/A</v>
      </c>
      <c r="BJ422" t="e">
        <f t="shared" si="175"/>
        <v>#N/A</v>
      </c>
      <c r="BK422" t="e">
        <f t="shared" si="175"/>
        <v>#N/A</v>
      </c>
      <c r="BL422" t="e">
        <f t="shared" si="175"/>
        <v>#N/A</v>
      </c>
      <c r="BM422" t="e">
        <f t="shared" si="175"/>
        <v>#N/A</v>
      </c>
      <c r="BP422" t="e">
        <f t="shared" si="160"/>
        <v>#N/A</v>
      </c>
      <c r="BQ422" t="e">
        <f t="shared" si="157"/>
        <v>#N/A</v>
      </c>
      <c r="BR422" t="e">
        <f t="shared" si="176"/>
        <v>#N/A</v>
      </c>
      <c r="BS422" t="e">
        <f t="shared" si="176"/>
        <v>#N/A</v>
      </c>
      <c r="BT422" t="e">
        <f t="shared" si="176"/>
        <v>#N/A</v>
      </c>
      <c r="BU422" t="e">
        <f t="shared" si="176"/>
        <v>#N/A</v>
      </c>
      <c r="BV422" t="e">
        <f t="shared" si="176"/>
        <v>#N/A</v>
      </c>
      <c r="BY422" t="e">
        <f t="shared" si="161"/>
        <v>#N/A</v>
      </c>
      <c r="BZ422" t="e">
        <v>#N/A</v>
      </c>
      <c r="CA422" t="e" cm="1">
        <f t="array" ref="CA422">IF(ISNUMBER(BZ422),AF422/COUNT(IF(ISNUMBER(_xlfn.ANCHORARRAY($BZ$11)),_xlfn.ANCHORARRAY($BZ$11))),NA())</f>
        <v>#N/A</v>
      </c>
      <c r="CB422" t="e">
        <f t="shared" si="162"/>
        <v>#N/A</v>
      </c>
      <c r="CD422" t="e">
        <f t="shared" si="163"/>
        <v>#N/A</v>
      </c>
      <c r="CE422" t="e">
        <f t="shared" si="164"/>
        <v>#N/A</v>
      </c>
      <c r="CG422" t="e">
        <v>#N/A</v>
      </c>
      <c r="CH422" t="e">
        <v>#N/A</v>
      </c>
      <c r="CL422" t="e">
        <f t="shared" si="165"/>
        <v>#N/A</v>
      </c>
      <c r="CM422" t="e">
        <v>#N/A</v>
      </c>
      <c r="CN422" t="e" cm="1">
        <f t="array" ref="CN422">IF(ISNUMBER(CM422),AF422/COUNT(IF(ISNUMBER(_xlfn.ANCHORARRAY($CM$11)),_xlfn.ANCHORARRAY($CM$11))),NA())</f>
        <v>#N/A</v>
      </c>
      <c r="CO422" t="e">
        <f t="shared" si="166"/>
        <v>#N/A</v>
      </c>
      <c r="CQ422" t="e">
        <f t="shared" si="167"/>
        <v>#N/A</v>
      </c>
      <c r="CR422" t="e">
        <f t="shared" si="168"/>
        <v>#N/A</v>
      </c>
      <c r="CT422" t="e">
        <v>#N/A</v>
      </c>
      <c r="CU422" t="e">
        <v>#N/A</v>
      </c>
      <c r="CY422" t="e">
        <f t="shared" si="169"/>
        <v>#N/A</v>
      </c>
      <c r="CZ422" t="e">
        <v>#N/A</v>
      </c>
      <c r="DA422" t="e" cm="1">
        <f t="array" ref="DA422">IF(ISNUMBER(CZ422),AF422/COUNT(IF(ISNUMBER(_xlfn.ANCHORARRAY($CZ$11)),_xlfn.ANCHORARRAY($CZ$11))),NA())</f>
        <v>#N/A</v>
      </c>
      <c r="DB422" t="e">
        <f t="shared" si="170"/>
        <v>#N/A</v>
      </c>
      <c r="DD422" t="e">
        <f t="shared" si="171"/>
        <v>#N/A</v>
      </c>
      <c r="DE422" t="e">
        <f t="shared" si="172"/>
        <v>#N/A</v>
      </c>
      <c r="DG422" t="e">
        <v>#N/A</v>
      </c>
      <c r="DH422" t="e">
        <v>#N/A</v>
      </c>
    </row>
    <row r="423" spans="32:112">
      <c r="AF423">
        <v>413</v>
      </c>
      <c r="AG423" s="401">
        <f>'Lab test'!N416</f>
        <v>49.1</v>
      </c>
      <c r="AH423" s="401">
        <f>'Lab test'!M416</f>
        <v>9.5000000000000001E-2</v>
      </c>
      <c r="AI423">
        <f>IF('Lab test'!O416&gt;0,'Lab test'!O416,NA())</f>
        <v>17.2</v>
      </c>
      <c r="AJ423">
        <f>'Lab test'!Q416</f>
        <v>511</v>
      </c>
      <c r="AK423" s="401">
        <f>IF('Lab test'!V416&gt;0,'Lab test'!V416,NA())</f>
        <v>92182.51</v>
      </c>
      <c r="AL423" s="7" t="e">
        <f>IF(MAX('Lab test'!W416,'Lab test'!X416)&gt;0,MAX('Lab test'!W416,'Lab test'!X416),NA())</f>
        <v>#N/A</v>
      </c>
      <c r="AM423" s="401">
        <f>IF('Lab test'!P416&gt;0,'Lab test'!P416,NA())</f>
        <v>1.5408771372358503E-2</v>
      </c>
      <c r="AN423" s="401" t="e">
        <f>IF('Lab test'!AU416&gt;0,'Lab test'!AU416,NA())</f>
        <v>#N/A</v>
      </c>
      <c r="AO423" s="401">
        <f>IF('Lab test'!AT416&gt;0,'Lab test'!AT416,NA())</f>
        <v>0.47116176195567699</v>
      </c>
      <c r="AP423" t="e">
        <f t="shared" si="173"/>
        <v>#N/A</v>
      </c>
      <c r="AQ423" s="401">
        <f>'Lab test'!AZ416</f>
        <v>1971</v>
      </c>
      <c r="AR423" t="str">
        <f>'Lab test'!AC416</f>
        <v>LTWa</v>
      </c>
      <c r="AS423" t="str">
        <f>'Lab test'!T416</f>
        <v>Brass</v>
      </c>
      <c r="AX423" t="e">
        <f t="shared" si="158"/>
        <v>#N/A</v>
      </c>
      <c r="AY423" t="e">
        <f t="shared" si="155"/>
        <v>#N/A</v>
      </c>
      <c r="AZ423" t="e">
        <f t="shared" si="174"/>
        <v>#N/A</v>
      </c>
      <c r="BA423" t="e">
        <f t="shared" si="174"/>
        <v>#N/A</v>
      </c>
      <c r="BB423" t="e">
        <f t="shared" si="174"/>
        <v>#N/A</v>
      </c>
      <c r="BC423" t="e">
        <f t="shared" si="174"/>
        <v>#N/A</v>
      </c>
      <c r="BD423" t="e">
        <f t="shared" si="174"/>
        <v>#N/A</v>
      </c>
      <c r="BG423" t="e">
        <f t="shared" si="159"/>
        <v>#N/A</v>
      </c>
      <c r="BH423" t="e">
        <f t="shared" si="156"/>
        <v>#N/A</v>
      </c>
      <c r="BI423" t="e">
        <f t="shared" si="175"/>
        <v>#N/A</v>
      </c>
      <c r="BJ423" t="e">
        <f t="shared" si="175"/>
        <v>#N/A</v>
      </c>
      <c r="BK423" t="e">
        <f t="shared" si="175"/>
        <v>#N/A</v>
      </c>
      <c r="BL423" t="e">
        <f t="shared" si="175"/>
        <v>#N/A</v>
      </c>
      <c r="BM423" t="e">
        <f t="shared" si="175"/>
        <v>#N/A</v>
      </c>
      <c r="BP423" t="e">
        <f t="shared" si="160"/>
        <v>#N/A</v>
      </c>
      <c r="BQ423" t="e">
        <f t="shared" si="157"/>
        <v>#N/A</v>
      </c>
      <c r="BR423" t="e">
        <f t="shared" si="176"/>
        <v>#N/A</v>
      </c>
      <c r="BS423" t="e">
        <f t="shared" si="176"/>
        <v>#N/A</v>
      </c>
      <c r="BT423" t="e">
        <f t="shared" si="176"/>
        <v>#N/A</v>
      </c>
      <c r="BU423" t="e">
        <f t="shared" si="176"/>
        <v>#N/A</v>
      </c>
      <c r="BV423" t="e">
        <f t="shared" si="176"/>
        <v>#N/A</v>
      </c>
      <c r="BY423" t="e">
        <f t="shared" si="161"/>
        <v>#N/A</v>
      </c>
      <c r="BZ423" t="e">
        <v>#N/A</v>
      </c>
      <c r="CA423" t="e" cm="1">
        <f t="array" ref="CA423">IF(ISNUMBER(BZ423),AF423/COUNT(IF(ISNUMBER(_xlfn.ANCHORARRAY($BZ$11)),_xlfn.ANCHORARRAY($BZ$11))),NA())</f>
        <v>#N/A</v>
      </c>
      <c r="CB423" t="e">
        <f t="shared" si="162"/>
        <v>#N/A</v>
      </c>
      <c r="CD423" t="e">
        <f t="shared" si="163"/>
        <v>#N/A</v>
      </c>
      <c r="CE423" t="e">
        <f t="shared" si="164"/>
        <v>#N/A</v>
      </c>
      <c r="CG423" t="e">
        <v>#N/A</v>
      </c>
      <c r="CH423" t="e">
        <v>#N/A</v>
      </c>
      <c r="CL423" t="e">
        <f t="shared" si="165"/>
        <v>#N/A</v>
      </c>
      <c r="CM423" t="e">
        <v>#N/A</v>
      </c>
      <c r="CN423" t="e" cm="1">
        <f t="array" ref="CN423">IF(ISNUMBER(CM423),AF423/COUNT(IF(ISNUMBER(_xlfn.ANCHORARRAY($CM$11)),_xlfn.ANCHORARRAY($CM$11))),NA())</f>
        <v>#N/A</v>
      </c>
      <c r="CO423" t="e">
        <f t="shared" si="166"/>
        <v>#N/A</v>
      </c>
      <c r="CQ423" t="e">
        <f t="shared" si="167"/>
        <v>#N/A</v>
      </c>
      <c r="CR423" t="e">
        <f t="shared" si="168"/>
        <v>#N/A</v>
      </c>
      <c r="CT423" t="e">
        <v>#N/A</v>
      </c>
      <c r="CU423" t="e">
        <v>#N/A</v>
      </c>
      <c r="CY423" t="e">
        <f t="shared" si="169"/>
        <v>#N/A</v>
      </c>
      <c r="CZ423" t="e">
        <v>#N/A</v>
      </c>
      <c r="DA423" t="e" cm="1">
        <f t="array" ref="DA423">IF(ISNUMBER(CZ423),AF423/COUNT(IF(ISNUMBER(_xlfn.ANCHORARRAY($CZ$11)),_xlfn.ANCHORARRAY($CZ$11))),NA())</f>
        <v>#N/A</v>
      </c>
      <c r="DB423" t="e">
        <f t="shared" si="170"/>
        <v>#N/A</v>
      </c>
      <c r="DD423" t="e">
        <f t="shared" si="171"/>
        <v>#N/A</v>
      </c>
      <c r="DE423" t="e">
        <f t="shared" si="172"/>
        <v>#N/A</v>
      </c>
      <c r="DG423" t="e">
        <v>#N/A</v>
      </c>
      <c r="DH423" t="e">
        <v>#N/A</v>
      </c>
    </row>
    <row r="424" spans="32:112">
      <c r="AF424">
        <v>414</v>
      </c>
      <c r="AG424" s="401">
        <f>'Lab test'!N417</f>
        <v>49.1</v>
      </c>
      <c r="AH424" s="401">
        <f>'Lab test'!M417</f>
        <v>9.4E-2</v>
      </c>
      <c r="AI424">
        <f>IF('Lab test'!O417&gt;0,'Lab test'!O417,NA())</f>
        <v>7.4</v>
      </c>
      <c r="AJ424">
        <f>'Lab test'!Q417</f>
        <v>496</v>
      </c>
      <c r="AK424" s="401">
        <f>IF('Lab test'!V417&gt;0,'Lab test'!V417,NA())</f>
        <v>92182.51</v>
      </c>
      <c r="AL424" s="7" t="e">
        <f>IF(MAX('Lab test'!W417,'Lab test'!X417)&gt;0,MAX('Lab test'!W417,'Lab test'!X417),NA())</f>
        <v>#N/A</v>
      </c>
      <c r="AM424" s="401">
        <f>IF('Lab test'!P417&gt;0,'Lab test'!P417,NA())</f>
        <v>6.5943714767665931E-3</v>
      </c>
      <c r="AN424" s="401" t="e">
        <f>IF('Lab test'!AU417&gt;0,'Lab test'!AU417,NA())</f>
        <v>#N/A</v>
      </c>
      <c r="AO424" s="401">
        <f>IF('Lab test'!AT417&gt;0,'Lab test'!AT417,NA())</f>
        <v>0.83900341109296039</v>
      </c>
      <c r="AP424" t="e">
        <f t="shared" si="173"/>
        <v>#N/A</v>
      </c>
      <c r="AQ424" s="401">
        <f>'Lab test'!AZ417</f>
        <v>1971</v>
      </c>
      <c r="AR424" t="str">
        <f>'Lab test'!AC417</f>
        <v>LTWa</v>
      </c>
      <c r="AS424" t="str">
        <f>'Lab test'!T417</f>
        <v>Brass</v>
      </c>
      <c r="AX424" t="e">
        <f t="shared" si="158"/>
        <v>#N/A</v>
      </c>
      <c r="AY424" t="e">
        <f t="shared" si="155"/>
        <v>#N/A</v>
      </c>
      <c r="AZ424" t="e">
        <f t="shared" si="174"/>
        <v>#N/A</v>
      </c>
      <c r="BA424" t="e">
        <f t="shared" si="174"/>
        <v>#N/A</v>
      </c>
      <c r="BB424" t="e">
        <f t="shared" si="174"/>
        <v>#N/A</v>
      </c>
      <c r="BC424" t="e">
        <f t="shared" si="174"/>
        <v>#N/A</v>
      </c>
      <c r="BD424" t="e">
        <f t="shared" si="174"/>
        <v>#N/A</v>
      </c>
      <c r="BG424" t="e">
        <f t="shared" si="159"/>
        <v>#N/A</v>
      </c>
      <c r="BH424" t="e">
        <f t="shared" si="156"/>
        <v>#N/A</v>
      </c>
      <c r="BI424" t="e">
        <f t="shared" si="175"/>
        <v>#N/A</v>
      </c>
      <c r="BJ424" t="e">
        <f t="shared" si="175"/>
        <v>#N/A</v>
      </c>
      <c r="BK424" t="e">
        <f t="shared" si="175"/>
        <v>#N/A</v>
      </c>
      <c r="BL424" t="e">
        <f t="shared" si="175"/>
        <v>#N/A</v>
      </c>
      <c r="BM424" t="e">
        <f t="shared" si="175"/>
        <v>#N/A</v>
      </c>
      <c r="BP424" t="e">
        <f t="shared" si="160"/>
        <v>#N/A</v>
      </c>
      <c r="BQ424" t="e">
        <f t="shared" si="157"/>
        <v>#N/A</v>
      </c>
      <c r="BR424" t="e">
        <f t="shared" si="176"/>
        <v>#N/A</v>
      </c>
      <c r="BS424" t="e">
        <f t="shared" si="176"/>
        <v>#N/A</v>
      </c>
      <c r="BT424" t="e">
        <f t="shared" si="176"/>
        <v>#N/A</v>
      </c>
      <c r="BU424" t="e">
        <f t="shared" si="176"/>
        <v>#N/A</v>
      </c>
      <c r="BV424" t="e">
        <f t="shared" si="176"/>
        <v>#N/A</v>
      </c>
      <c r="BY424" t="e">
        <f t="shared" si="161"/>
        <v>#N/A</v>
      </c>
      <c r="BZ424" t="e">
        <v>#N/A</v>
      </c>
      <c r="CA424" t="e" cm="1">
        <f t="array" ref="CA424">IF(ISNUMBER(BZ424),AF424/COUNT(IF(ISNUMBER(_xlfn.ANCHORARRAY($BZ$11)),_xlfn.ANCHORARRAY($BZ$11))),NA())</f>
        <v>#N/A</v>
      </c>
      <c r="CB424" t="e">
        <f t="shared" si="162"/>
        <v>#N/A</v>
      </c>
      <c r="CD424" t="e">
        <f t="shared" si="163"/>
        <v>#N/A</v>
      </c>
      <c r="CE424" t="e">
        <f t="shared" si="164"/>
        <v>#N/A</v>
      </c>
      <c r="CG424" t="e">
        <v>#N/A</v>
      </c>
      <c r="CH424" t="e">
        <v>#N/A</v>
      </c>
      <c r="CL424" t="e">
        <f t="shared" si="165"/>
        <v>#N/A</v>
      </c>
      <c r="CM424" t="e">
        <v>#N/A</v>
      </c>
      <c r="CN424" t="e" cm="1">
        <f t="array" ref="CN424">IF(ISNUMBER(CM424),AF424/COUNT(IF(ISNUMBER(_xlfn.ANCHORARRAY($CM$11)),_xlfn.ANCHORARRAY($CM$11))),NA())</f>
        <v>#N/A</v>
      </c>
      <c r="CO424" t="e">
        <f t="shared" si="166"/>
        <v>#N/A</v>
      </c>
      <c r="CQ424" t="e">
        <f t="shared" si="167"/>
        <v>#N/A</v>
      </c>
      <c r="CR424" t="e">
        <f t="shared" si="168"/>
        <v>#N/A</v>
      </c>
      <c r="CT424" t="e">
        <v>#N/A</v>
      </c>
      <c r="CU424" t="e">
        <v>#N/A</v>
      </c>
      <c r="CY424" t="e">
        <f t="shared" si="169"/>
        <v>#N/A</v>
      </c>
      <c r="CZ424" t="e">
        <v>#N/A</v>
      </c>
      <c r="DA424" t="e" cm="1">
        <f t="array" ref="DA424">IF(ISNUMBER(CZ424),AF424/COUNT(IF(ISNUMBER(_xlfn.ANCHORARRAY($CZ$11)),_xlfn.ANCHORARRAY($CZ$11))),NA())</f>
        <v>#N/A</v>
      </c>
      <c r="DB424" t="e">
        <f t="shared" si="170"/>
        <v>#N/A</v>
      </c>
      <c r="DD424" t="e">
        <f t="shared" si="171"/>
        <v>#N/A</v>
      </c>
      <c r="DE424" t="e">
        <f t="shared" si="172"/>
        <v>#N/A</v>
      </c>
      <c r="DG424" t="e">
        <v>#N/A</v>
      </c>
      <c r="DH424" t="e">
        <v>#N/A</v>
      </c>
    </row>
    <row r="425" spans="32:112">
      <c r="AF425">
        <v>415</v>
      </c>
      <c r="AG425" s="401">
        <f>'Lab test'!N418</f>
        <v>49.1</v>
      </c>
      <c r="AH425" s="401">
        <f>'Lab test'!M418</f>
        <v>9.4E-2</v>
      </c>
      <c r="AI425">
        <f>IF('Lab test'!O418&gt;0,'Lab test'!O418,NA())</f>
        <v>7.4</v>
      </c>
      <c r="AJ425">
        <f>'Lab test'!Q418</f>
        <v>496</v>
      </c>
      <c r="AK425" s="401">
        <f>IF('Lab test'!V418&gt;0,'Lab test'!V418,NA())</f>
        <v>92182.51</v>
      </c>
      <c r="AL425" s="7" t="e">
        <f>IF(MAX('Lab test'!W418,'Lab test'!X418)&gt;0,MAX('Lab test'!W418,'Lab test'!X418),NA())</f>
        <v>#N/A</v>
      </c>
      <c r="AM425" s="401">
        <f>IF('Lab test'!P418&gt;0,'Lab test'!P418,NA())</f>
        <v>6.5943714767665931E-3</v>
      </c>
      <c r="AN425" s="401" t="e">
        <f>IF('Lab test'!AU418&gt;0,'Lab test'!AU418,NA())</f>
        <v>#N/A</v>
      </c>
      <c r="AO425" s="401">
        <f>IF('Lab test'!AT418&gt;0,'Lab test'!AT418,NA())</f>
        <v>0.80734306339192341</v>
      </c>
      <c r="AP425" t="e">
        <f t="shared" si="173"/>
        <v>#N/A</v>
      </c>
      <c r="AQ425" s="401">
        <f>'Lab test'!AZ418</f>
        <v>1971</v>
      </c>
      <c r="AR425" t="str">
        <f>'Lab test'!AC418</f>
        <v>LTWa</v>
      </c>
      <c r="AS425" t="str">
        <f>'Lab test'!T418</f>
        <v>Brass</v>
      </c>
      <c r="AX425" t="e">
        <f t="shared" si="158"/>
        <v>#N/A</v>
      </c>
      <c r="AY425" t="e">
        <f t="shared" si="155"/>
        <v>#N/A</v>
      </c>
      <c r="AZ425" t="e">
        <f t="shared" si="174"/>
        <v>#N/A</v>
      </c>
      <c r="BA425" t="e">
        <f t="shared" si="174"/>
        <v>#N/A</v>
      </c>
      <c r="BB425" t="e">
        <f t="shared" si="174"/>
        <v>#N/A</v>
      </c>
      <c r="BC425" t="e">
        <f t="shared" si="174"/>
        <v>#N/A</v>
      </c>
      <c r="BD425" t="e">
        <f t="shared" si="174"/>
        <v>#N/A</v>
      </c>
      <c r="BG425" t="e">
        <f t="shared" si="159"/>
        <v>#N/A</v>
      </c>
      <c r="BH425" t="e">
        <f t="shared" si="156"/>
        <v>#N/A</v>
      </c>
      <c r="BI425" t="e">
        <f t="shared" si="175"/>
        <v>#N/A</v>
      </c>
      <c r="BJ425" t="e">
        <f t="shared" si="175"/>
        <v>#N/A</v>
      </c>
      <c r="BK425" t="e">
        <f t="shared" si="175"/>
        <v>#N/A</v>
      </c>
      <c r="BL425" t="e">
        <f t="shared" si="175"/>
        <v>#N/A</v>
      </c>
      <c r="BM425" t="e">
        <f t="shared" si="175"/>
        <v>#N/A</v>
      </c>
      <c r="BP425" t="e">
        <f t="shared" si="160"/>
        <v>#N/A</v>
      </c>
      <c r="BQ425" t="e">
        <f t="shared" si="157"/>
        <v>#N/A</v>
      </c>
      <c r="BR425" t="e">
        <f t="shared" si="176"/>
        <v>#N/A</v>
      </c>
      <c r="BS425" t="e">
        <f t="shared" si="176"/>
        <v>#N/A</v>
      </c>
      <c r="BT425" t="e">
        <f t="shared" si="176"/>
        <v>#N/A</v>
      </c>
      <c r="BU425" t="e">
        <f t="shared" si="176"/>
        <v>#N/A</v>
      </c>
      <c r="BV425" t="e">
        <f t="shared" si="176"/>
        <v>#N/A</v>
      </c>
      <c r="BY425" t="e">
        <f t="shared" si="161"/>
        <v>#N/A</v>
      </c>
      <c r="BZ425" t="e">
        <v>#N/A</v>
      </c>
      <c r="CA425" t="e" cm="1">
        <f t="array" ref="CA425">IF(ISNUMBER(BZ425),AF425/COUNT(IF(ISNUMBER(_xlfn.ANCHORARRAY($BZ$11)),_xlfn.ANCHORARRAY($BZ$11))),NA())</f>
        <v>#N/A</v>
      </c>
      <c r="CB425" t="e">
        <f t="shared" si="162"/>
        <v>#N/A</v>
      </c>
      <c r="CD425" t="e">
        <f t="shared" si="163"/>
        <v>#N/A</v>
      </c>
      <c r="CE425" t="e">
        <f t="shared" si="164"/>
        <v>#N/A</v>
      </c>
      <c r="CG425" t="e">
        <v>#N/A</v>
      </c>
      <c r="CH425" t="e">
        <v>#N/A</v>
      </c>
      <c r="CL425" t="e">
        <f t="shared" si="165"/>
        <v>#N/A</v>
      </c>
      <c r="CM425" t="e">
        <v>#N/A</v>
      </c>
      <c r="CN425" t="e" cm="1">
        <f t="array" ref="CN425">IF(ISNUMBER(CM425),AF425/COUNT(IF(ISNUMBER(_xlfn.ANCHORARRAY($CM$11)),_xlfn.ANCHORARRAY($CM$11))),NA())</f>
        <v>#N/A</v>
      </c>
      <c r="CO425" t="e">
        <f t="shared" si="166"/>
        <v>#N/A</v>
      </c>
      <c r="CQ425" t="e">
        <f t="shared" si="167"/>
        <v>#N/A</v>
      </c>
      <c r="CR425" t="e">
        <f t="shared" si="168"/>
        <v>#N/A</v>
      </c>
      <c r="CT425" t="e">
        <v>#N/A</v>
      </c>
      <c r="CU425" t="e">
        <v>#N/A</v>
      </c>
      <c r="CY425" t="e">
        <f t="shared" si="169"/>
        <v>#N/A</v>
      </c>
      <c r="CZ425" t="e">
        <v>#N/A</v>
      </c>
      <c r="DA425" t="e" cm="1">
        <f t="array" ref="DA425">IF(ISNUMBER(CZ425),AF425/COUNT(IF(ISNUMBER(_xlfn.ANCHORARRAY($CZ$11)),_xlfn.ANCHORARRAY($CZ$11))),NA())</f>
        <v>#N/A</v>
      </c>
      <c r="DB425" t="e">
        <f t="shared" si="170"/>
        <v>#N/A</v>
      </c>
      <c r="DD425" t="e">
        <f t="shared" si="171"/>
        <v>#N/A</v>
      </c>
      <c r="DE425" t="e">
        <f t="shared" si="172"/>
        <v>#N/A</v>
      </c>
      <c r="DG425" t="e">
        <v>#N/A</v>
      </c>
      <c r="DH425" t="e">
        <v>#N/A</v>
      </c>
    </row>
    <row r="426" spans="32:112">
      <c r="AF426">
        <v>416</v>
      </c>
      <c r="AG426" s="401">
        <f>'Lab test'!N419</f>
        <v>49</v>
      </c>
      <c r="AH426" s="401">
        <f>'Lab test'!M419</f>
        <v>2</v>
      </c>
      <c r="AI426">
        <f>IF('Lab test'!O419&gt;0,'Lab test'!O419,NA())</f>
        <v>200</v>
      </c>
      <c r="AJ426">
        <f>'Lab test'!Q419</f>
        <v>24.5</v>
      </c>
      <c r="AK426" s="401">
        <f>IF('Lab test'!V419&gt;0,'Lab test'!V419,NA())</f>
        <v>205939.65</v>
      </c>
      <c r="AL426" s="7">
        <f>IF(MAX('Lab test'!W419,'Lab test'!X419)&gt;0,MAX('Lab test'!W419,'Lab test'!X419),NA())</f>
        <v>353.0394</v>
      </c>
      <c r="AM426" s="401">
        <f>IF('Lab test'!P419&gt;0,'Lab test'!P419,NA())</f>
        <v>0.82461432208343732</v>
      </c>
      <c r="AN426" s="401">
        <f>IF('Lab test'!AU419&gt;0,'Lab test'!AU419,NA())</f>
        <v>0.93832837067054176</v>
      </c>
      <c r="AO426" s="401">
        <f>IF('Lab test'!AT419&gt;0,'Lab test'!AT419,NA())</f>
        <v>6.5115662194649218E-2</v>
      </c>
      <c r="AP426">
        <f t="shared" si="173"/>
        <v>1</v>
      </c>
      <c r="AQ426" s="401">
        <f>'Lab test'!AZ419</f>
        <v>1971</v>
      </c>
      <c r="AR426" t="str">
        <f>'Lab test'!AC419</f>
        <v>LTWa</v>
      </c>
      <c r="AS426" t="str">
        <f>'Lab test'!T419</f>
        <v>Steel</v>
      </c>
      <c r="AX426" t="e">
        <f t="shared" si="158"/>
        <v>#N/A</v>
      </c>
      <c r="AY426" t="e">
        <f t="shared" si="155"/>
        <v>#N/A</v>
      </c>
      <c r="AZ426" t="e">
        <f t="shared" si="174"/>
        <v>#N/A</v>
      </c>
      <c r="BA426" t="e">
        <f t="shared" si="174"/>
        <v>#N/A</v>
      </c>
      <c r="BB426" t="e">
        <f t="shared" si="174"/>
        <v>#N/A</v>
      </c>
      <c r="BC426" t="e">
        <f t="shared" si="174"/>
        <v>#N/A</v>
      </c>
      <c r="BD426" t="e">
        <f t="shared" si="174"/>
        <v>#N/A</v>
      </c>
      <c r="BG426" t="e">
        <f t="shared" si="159"/>
        <v>#N/A</v>
      </c>
      <c r="BH426" t="e">
        <f t="shared" si="156"/>
        <v>#N/A</v>
      </c>
      <c r="BI426" t="e">
        <f t="shared" si="175"/>
        <v>#N/A</v>
      </c>
      <c r="BJ426" t="e">
        <f t="shared" si="175"/>
        <v>#N/A</v>
      </c>
      <c r="BK426" t="e">
        <f t="shared" si="175"/>
        <v>#N/A</v>
      </c>
      <c r="BL426" t="e">
        <f t="shared" si="175"/>
        <v>#N/A</v>
      </c>
      <c r="BM426" t="e">
        <f t="shared" si="175"/>
        <v>#N/A</v>
      </c>
      <c r="BP426" t="e">
        <f t="shared" si="160"/>
        <v>#N/A</v>
      </c>
      <c r="BQ426" t="e">
        <f t="shared" si="157"/>
        <v>#N/A</v>
      </c>
      <c r="BR426" t="e">
        <f t="shared" si="176"/>
        <v>#N/A</v>
      </c>
      <c r="BS426" t="e">
        <f t="shared" si="176"/>
        <v>#N/A</v>
      </c>
      <c r="BT426" t="e">
        <f t="shared" si="176"/>
        <v>#N/A</v>
      </c>
      <c r="BU426" t="e">
        <f t="shared" si="176"/>
        <v>#N/A</v>
      </c>
      <c r="BV426" t="e">
        <f t="shared" si="176"/>
        <v>#N/A</v>
      </c>
      <c r="BY426" t="e">
        <f t="shared" si="161"/>
        <v>#N/A</v>
      </c>
      <c r="BZ426" t="e">
        <v>#N/A</v>
      </c>
      <c r="CA426" t="e" cm="1">
        <f t="array" ref="CA426">IF(ISNUMBER(BZ426),AF426/COUNT(IF(ISNUMBER(_xlfn.ANCHORARRAY($BZ$11)),_xlfn.ANCHORARRAY($BZ$11))),NA())</f>
        <v>#N/A</v>
      </c>
      <c r="CB426" t="e">
        <f t="shared" si="162"/>
        <v>#N/A</v>
      </c>
      <c r="CD426" t="e">
        <f t="shared" si="163"/>
        <v>#N/A</v>
      </c>
      <c r="CE426" t="e">
        <f t="shared" si="164"/>
        <v>#N/A</v>
      </c>
      <c r="CG426" t="e">
        <v>#N/A</v>
      </c>
      <c r="CH426" t="e">
        <v>#N/A</v>
      </c>
      <c r="CL426" t="e">
        <f t="shared" si="165"/>
        <v>#N/A</v>
      </c>
      <c r="CM426" t="e">
        <v>#N/A</v>
      </c>
      <c r="CN426" t="e" cm="1">
        <f t="array" ref="CN426">IF(ISNUMBER(CM426),AF426/COUNT(IF(ISNUMBER(_xlfn.ANCHORARRAY($CM$11)),_xlfn.ANCHORARRAY($CM$11))),NA())</f>
        <v>#N/A</v>
      </c>
      <c r="CO426" t="e">
        <f t="shared" si="166"/>
        <v>#N/A</v>
      </c>
      <c r="CQ426" t="e">
        <f t="shared" si="167"/>
        <v>#N/A</v>
      </c>
      <c r="CR426" t="e">
        <f t="shared" si="168"/>
        <v>#N/A</v>
      </c>
      <c r="CT426" t="e">
        <v>#N/A</v>
      </c>
      <c r="CU426" t="e">
        <v>#N/A</v>
      </c>
      <c r="CY426" t="e">
        <f t="shared" si="169"/>
        <v>#N/A</v>
      </c>
      <c r="CZ426" t="e">
        <v>#N/A</v>
      </c>
      <c r="DA426" t="e" cm="1">
        <f t="array" ref="DA426">IF(ISNUMBER(CZ426),AF426/COUNT(IF(ISNUMBER(_xlfn.ANCHORARRAY($CZ$11)),_xlfn.ANCHORARRAY($CZ$11))),NA())</f>
        <v>#N/A</v>
      </c>
      <c r="DB426" t="e">
        <f t="shared" si="170"/>
        <v>#N/A</v>
      </c>
      <c r="DD426" t="e">
        <f t="shared" si="171"/>
        <v>#N/A</v>
      </c>
      <c r="DE426" t="e">
        <f t="shared" si="172"/>
        <v>#N/A</v>
      </c>
      <c r="DG426" t="e">
        <v>#N/A</v>
      </c>
      <c r="DH426" t="e">
        <v>#N/A</v>
      </c>
    </row>
    <row r="427" spans="32:112">
      <c r="AF427">
        <v>417</v>
      </c>
      <c r="AG427" s="401">
        <f>'Lab test'!N420</f>
        <v>49.1</v>
      </c>
      <c r="AH427" s="401">
        <f>'Lab test'!M420</f>
        <v>1.1499999999999999</v>
      </c>
      <c r="AI427">
        <f>IF('Lab test'!O420&gt;0,'Lab test'!O420,NA())</f>
        <v>87</v>
      </c>
      <c r="AJ427">
        <f>'Lab test'!Q420</f>
        <v>42.7</v>
      </c>
      <c r="AK427" s="401">
        <f>IF('Lab test'!V420&gt;0,'Lab test'!V420,NA())</f>
        <v>205939.65</v>
      </c>
      <c r="AL427" s="7">
        <f>IF(MAX('Lab test'!W420,'Lab test'!X420)&gt;0,MAX('Lab test'!W420,'Lab test'!X420),NA())</f>
        <v>353.0394</v>
      </c>
      <c r="AM427" s="401">
        <f>IF('Lab test'!P420&gt;0,'Lab test'!P420,NA())</f>
        <v>0.27117268083923418</v>
      </c>
      <c r="AN427" s="401">
        <f>IF('Lab test'!AU420&gt;0,'Lab test'!AU420,NA())</f>
        <v>0.78687246647398568</v>
      </c>
      <c r="AO427" s="401">
        <f>IF('Lab test'!AT420&gt;0,'Lab test'!AT420,NA())</f>
        <v>9.5159583048022869E-2</v>
      </c>
      <c r="AP427">
        <f t="shared" si="173"/>
        <v>1</v>
      </c>
      <c r="AQ427" s="401">
        <f>'Lab test'!AZ420</f>
        <v>1971</v>
      </c>
      <c r="AR427" t="str">
        <f>'Lab test'!AC420</f>
        <v>LTWa</v>
      </c>
      <c r="AS427" t="str">
        <f>'Lab test'!T420</f>
        <v>Steel</v>
      </c>
      <c r="AX427" t="e">
        <f t="shared" si="158"/>
        <v>#N/A</v>
      </c>
      <c r="AY427" t="e">
        <f t="shared" si="155"/>
        <v>#N/A</v>
      </c>
      <c r="AZ427" t="e">
        <f t="shared" si="174"/>
        <v>#N/A</v>
      </c>
      <c r="BA427" t="e">
        <f t="shared" si="174"/>
        <v>#N/A</v>
      </c>
      <c r="BB427" t="e">
        <f t="shared" si="174"/>
        <v>#N/A</v>
      </c>
      <c r="BC427" t="e">
        <f t="shared" si="174"/>
        <v>#N/A</v>
      </c>
      <c r="BD427" t="e">
        <f t="shared" si="174"/>
        <v>#N/A</v>
      </c>
      <c r="BG427" t="e">
        <f t="shared" si="159"/>
        <v>#N/A</v>
      </c>
      <c r="BH427" t="e">
        <f t="shared" si="156"/>
        <v>#N/A</v>
      </c>
      <c r="BI427" t="e">
        <f t="shared" si="175"/>
        <v>#N/A</v>
      </c>
      <c r="BJ427" t="e">
        <f t="shared" si="175"/>
        <v>#N/A</v>
      </c>
      <c r="BK427" t="e">
        <f t="shared" si="175"/>
        <v>#N/A</v>
      </c>
      <c r="BL427" t="e">
        <f t="shared" si="175"/>
        <v>#N/A</v>
      </c>
      <c r="BM427" t="e">
        <f t="shared" si="175"/>
        <v>#N/A</v>
      </c>
      <c r="BP427" t="e">
        <f t="shared" si="160"/>
        <v>#N/A</v>
      </c>
      <c r="BQ427" t="e">
        <f t="shared" si="157"/>
        <v>#N/A</v>
      </c>
      <c r="BR427" t="e">
        <f t="shared" si="176"/>
        <v>#N/A</v>
      </c>
      <c r="BS427" t="e">
        <f t="shared" si="176"/>
        <v>#N/A</v>
      </c>
      <c r="BT427" t="e">
        <f t="shared" si="176"/>
        <v>#N/A</v>
      </c>
      <c r="BU427" t="e">
        <f t="shared" si="176"/>
        <v>#N/A</v>
      </c>
      <c r="BV427" t="e">
        <f t="shared" si="176"/>
        <v>#N/A</v>
      </c>
      <c r="BY427" t="e">
        <f t="shared" si="161"/>
        <v>#N/A</v>
      </c>
      <c r="BZ427" t="e">
        <v>#N/A</v>
      </c>
      <c r="CA427" t="e" cm="1">
        <f t="array" ref="CA427">IF(ISNUMBER(BZ427),AF427/COUNT(IF(ISNUMBER(_xlfn.ANCHORARRAY($BZ$11)),_xlfn.ANCHORARRAY($BZ$11))),NA())</f>
        <v>#N/A</v>
      </c>
      <c r="CB427" t="e">
        <f t="shared" si="162"/>
        <v>#N/A</v>
      </c>
      <c r="CD427" t="e">
        <f t="shared" si="163"/>
        <v>#N/A</v>
      </c>
      <c r="CE427" t="e">
        <f t="shared" si="164"/>
        <v>#N/A</v>
      </c>
      <c r="CG427" t="e">
        <v>#N/A</v>
      </c>
      <c r="CH427" t="e">
        <v>#N/A</v>
      </c>
      <c r="CL427" t="e">
        <f t="shared" si="165"/>
        <v>#N/A</v>
      </c>
      <c r="CM427" t="e">
        <v>#N/A</v>
      </c>
      <c r="CN427" t="e" cm="1">
        <f t="array" ref="CN427">IF(ISNUMBER(CM427),AF427/COUNT(IF(ISNUMBER(_xlfn.ANCHORARRAY($CM$11)),_xlfn.ANCHORARRAY($CM$11))),NA())</f>
        <v>#N/A</v>
      </c>
      <c r="CO427" t="e">
        <f t="shared" si="166"/>
        <v>#N/A</v>
      </c>
      <c r="CQ427" t="e">
        <f t="shared" si="167"/>
        <v>#N/A</v>
      </c>
      <c r="CR427" t="e">
        <f t="shared" si="168"/>
        <v>#N/A</v>
      </c>
      <c r="CT427" t="e">
        <v>#N/A</v>
      </c>
      <c r="CU427" t="e">
        <v>#N/A</v>
      </c>
      <c r="CY427" t="e">
        <f t="shared" si="169"/>
        <v>#N/A</v>
      </c>
      <c r="CZ427" t="e">
        <v>#N/A</v>
      </c>
      <c r="DA427" t="e" cm="1">
        <f t="array" ref="DA427">IF(ISNUMBER(CZ427),AF427/COUNT(IF(ISNUMBER(_xlfn.ANCHORARRAY($CZ$11)),_xlfn.ANCHORARRAY($CZ$11))),NA())</f>
        <v>#N/A</v>
      </c>
      <c r="DB427" t="e">
        <f t="shared" si="170"/>
        <v>#N/A</v>
      </c>
      <c r="DD427" t="e">
        <f t="shared" si="171"/>
        <v>#N/A</v>
      </c>
      <c r="DE427" t="e">
        <f t="shared" si="172"/>
        <v>#N/A</v>
      </c>
      <c r="DG427" t="e">
        <v>#N/A</v>
      </c>
      <c r="DH427" t="e">
        <v>#N/A</v>
      </c>
    </row>
    <row r="428" spans="32:112">
      <c r="AF428">
        <v>418</v>
      </c>
      <c r="AG428" s="401">
        <f>'Lab test'!N421</f>
        <v>48.7</v>
      </c>
      <c r="AH428" s="401">
        <f>'Lab test'!M421</f>
        <v>0.5</v>
      </c>
      <c r="AI428">
        <f>IF('Lab test'!O421&gt;0,'Lab test'!O421,NA())</f>
        <v>87</v>
      </c>
      <c r="AJ428">
        <f>'Lab test'!Q421</f>
        <v>97.3</v>
      </c>
      <c r="AK428" s="401">
        <f>IF('Lab test'!V421&gt;0,'Lab test'!V421,NA())</f>
        <v>205939.65</v>
      </c>
      <c r="AL428" s="7">
        <f>IF(MAX('Lab test'!W421,'Lab test'!X421)&gt;0,MAX('Lab test'!W421,'Lab test'!X421),NA())</f>
        <v>353.0394</v>
      </c>
      <c r="AM428" s="401">
        <f>IF('Lab test'!P421&gt;0,'Lab test'!P421,NA())</f>
        <v>0.18101343630210584</v>
      </c>
      <c r="AN428" s="401">
        <f>IF('Lab test'!AU421&gt;0,'Lab test'!AU421,NA())</f>
        <v>0.6899256031818416</v>
      </c>
      <c r="AO428" s="401">
        <f>IF('Lab test'!AT421&gt;0,'Lab test'!AT421,NA())</f>
        <v>0.1903381081546337</v>
      </c>
      <c r="AP428">
        <f t="shared" si="173"/>
        <v>1</v>
      </c>
      <c r="AQ428" s="401">
        <f>'Lab test'!AZ421</f>
        <v>1971</v>
      </c>
      <c r="AR428" t="str">
        <f>'Lab test'!AC421</f>
        <v>LTWa</v>
      </c>
      <c r="AS428" t="str">
        <f>'Lab test'!T421</f>
        <v>Steel</v>
      </c>
      <c r="AX428" t="e">
        <f t="shared" si="158"/>
        <v>#N/A</v>
      </c>
      <c r="AY428" t="e">
        <f t="shared" si="155"/>
        <v>#N/A</v>
      </c>
      <c r="AZ428" t="e">
        <f t="shared" si="174"/>
        <v>#N/A</v>
      </c>
      <c r="BA428" t="e">
        <f t="shared" si="174"/>
        <v>#N/A</v>
      </c>
      <c r="BB428" t="e">
        <f t="shared" si="174"/>
        <v>#N/A</v>
      </c>
      <c r="BC428" t="e">
        <f t="shared" si="174"/>
        <v>#N/A</v>
      </c>
      <c r="BD428" t="e">
        <f t="shared" si="174"/>
        <v>#N/A</v>
      </c>
      <c r="BG428" t="e">
        <f t="shared" si="159"/>
        <v>#N/A</v>
      </c>
      <c r="BH428" t="e">
        <f t="shared" si="156"/>
        <v>#N/A</v>
      </c>
      <c r="BI428" t="e">
        <f t="shared" si="175"/>
        <v>#N/A</v>
      </c>
      <c r="BJ428" t="e">
        <f t="shared" si="175"/>
        <v>#N/A</v>
      </c>
      <c r="BK428" t="e">
        <f t="shared" si="175"/>
        <v>#N/A</v>
      </c>
      <c r="BL428" t="e">
        <f t="shared" si="175"/>
        <v>#N/A</v>
      </c>
      <c r="BM428" t="e">
        <f t="shared" si="175"/>
        <v>#N/A</v>
      </c>
      <c r="BP428" t="e">
        <f t="shared" si="160"/>
        <v>#N/A</v>
      </c>
      <c r="BQ428" t="e">
        <f t="shared" si="157"/>
        <v>#N/A</v>
      </c>
      <c r="BR428" t="e">
        <f t="shared" si="176"/>
        <v>#N/A</v>
      </c>
      <c r="BS428" t="e">
        <f t="shared" si="176"/>
        <v>#N/A</v>
      </c>
      <c r="BT428" t="e">
        <f t="shared" si="176"/>
        <v>#N/A</v>
      </c>
      <c r="BU428" t="e">
        <f t="shared" si="176"/>
        <v>#N/A</v>
      </c>
      <c r="BV428" t="e">
        <f t="shared" si="176"/>
        <v>#N/A</v>
      </c>
      <c r="BY428" t="e">
        <f t="shared" si="161"/>
        <v>#N/A</v>
      </c>
      <c r="BZ428" t="e">
        <v>#N/A</v>
      </c>
      <c r="CA428" t="e" cm="1">
        <f t="array" ref="CA428">IF(ISNUMBER(BZ428),AF428/COUNT(IF(ISNUMBER(_xlfn.ANCHORARRAY($BZ$11)),_xlfn.ANCHORARRAY($BZ$11))),NA())</f>
        <v>#N/A</v>
      </c>
      <c r="CB428" t="e">
        <f t="shared" si="162"/>
        <v>#N/A</v>
      </c>
      <c r="CD428" t="e">
        <f t="shared" si="163"/>
        <v>#N/A</v>
      </c>
      <c r="CE428" t="e">
        <f t="shared" si="164"/>
        <v>#N/A</v>
      </c>
      <c r="CG428" t="e">
        <v>#N/A</v>
      </c>
      <c r="CH428" t="e">
        <v>#N/A</v>
      </c>
      <c r="CL428" t="e">
        <f t="shared" si="165"/>
        <v>#N/A</v>
      </c>
      <c r="CM428" t="e">
        <v>#N/A</v>
      </c>
      <c r="CN428" t="e" cm="1">
        <f t="array" ref="CN428">IF(ISNUMBER(CM428),AF428/COUNT(IF(ISNUMBER(_xlfn.ANCHORARRAY($CM$11)),_xlfn.ANCHORARRAY($CM$11))),NA())</f>
        <v>#N/A</v>
      </c>
      <c r="CO428" t="e">
        <f t="shared" si="166"/>
        <v>#N/A</v>
      </c>
      <c r="CQ428" t="e">
        <f t="shared" si="167"/>
        <v>#N/A</v>
      </c>
      <c r="CR428" t="e">
        <f t="shared" si="168"/>
        <v>#N/A</v>
      </c>
      <c r="CT428" t="e">
        <v>#N/A</v>
      </c>
      <c r="CU428" t="e">
        <v>#N/A</v>
      </c>
      <c r="CY428" t="e">
        <f t="shared" si="169"/>
        <v>#N/A</v>
      </c>
      <c r="CZ428" t="e">
        <v>#N/A</v>
      </c>
      <c r="DA428" t="e" cm="1">
        <f t="array" ref="DA428">IF(ISNUMBER(CZ428),AF428/COUNT(IF(ISNUMBER(_xlfn.ANCHORARRAY($CZ$11)),_xlfn.ANCHORARRAY($CZ$11))),NA())</f>
        <v>#N/A</v>
      </c>
      <c r="DB428" t="e">
        <f t="shared" si="170"/>
        <v>#N/A</v>
      </c>
      <c r="DD428" t="e">
        <f t="shared" si="171"/>
        <v>#N/A</v>
      </c>
      <c r="DE428" t="e">
        <f t="shared" si="172"/>
        <v>#N/A</v>
      </c>
      <c r="DG428" t="e">
        <v>#N/A</v>
      </c>
      <c r="DH428" t="e">
        <v>#N/A</v>
      </c>
    </row>
    <row r="429" spans="32:112">
      <c r="AF429">
        <v>419</v>
      </c>
      <c r="AG429" s="401">
        <f>'Lab test'!N422</f>
        <v>48.5</v>
      </c>
      <c r="AH429" s="401">
        <f>'Lab test'!M422</f>
        <v>0.53</v>
      </c>
      <c r="AI429">
        <f>IF('Lab test'!O422&gt;0,'Lab test'!O422,NA())</f>
        <v>90</v>
      </c>
      <c r="AJ429">
        <f>'Lab test'!Q422</f>
        <v>91.5</v>
      </c>
      <c r="AK429" s="401">
        <f>IF('Lab test'!V422&gt;0,'Lab test'!V422,NA())</f>
        <v>205939.65</v>
      </c>
      <c r="AL429" s="7">
        <f>IF(MAX('Lab test'!W422,'Lab test'!X422)&gt;0,MAX('Lab test'!W422,'Lab test'!X422),NA())</f>
        <v>353.0394</v>
      </c>
      <c r="AM429" s="401">
        <f>IF('Lab test'!P422&gt;0,'Lab test'!P422,NA())</f>
        <v>0.19398486027127274</v>
      </c>
      <c r="AN429" s="401">
        <f>IF('Lab test'!AU422&gt;0,'Lab test'!AU422,NA())</f>
        <v>1.0233330653028985</v>
      </c>
      <c r="AO429" s="401">
        <f>IF('Lab test'!AT422&gt;0,'Lab test'!AT422,NA())</f>
        <v>0.26524512189269084</v>
      </c>
      <c r="AP429">
        <f t="shared" si="173"/>
        <v>1</v>
      </c>
      <c r="AQ429" s="401">
        <f>'Lab test'!AZ422</f>
        <v>1971</v>
      </c>
      <c r="AR429" t="str">
        <f>'Lab test'!AC422</f>
        <v>LTWa</v>
      </c>
      <c r="AS429" t="str">
        <f>'Lab test'!T422</f>
        <v>Steel</v>
      </c>
      <c r="AX429" t="e">
        <f t="shared" si="158"/>
        <v>#N/A</v>
      </c>
      <c r="AY429" t="e">
        <f t="shared" si="155"/>
        <v>#N/A</v>
      </c>
      <c r="AZ429" t="e">
        <f t="shared" si="174"/>
        <v>#N/A</v>
      </c>
      <c r="BA429" t="e">
        <f t="shared" si="174"/>
        <v>#N/A</v>
      </c>
      <c r="BB429" t="e">
        <f t="shared" si="174"/>
        <v>#N/A</v>
      </c>
      <c r="BC429" t="e">
        <f t="shared" si="174"/>
        <v>#N/A</v>
      </c>
      <c r="BD429" t="e">
        <f t="shared" si="174"/>
        <v>#N/A</v>
      </c>
      <c r="BG429" t="e">
        <f t="shared" si="159"/>
        <v>#N/A</v>
      </c>
      <c r="BH429" t="e">
        <f t="shared" si="156"/>
        <v>#N/A</v>
      </c>
      <c r="BI429" t="e">
        <f t="shared" si="175"/>
        <v>#N/A</v>
      </c>
      <c r="BJ429" t="e">
        <f t="shared" si="175"/>
        <v>#N/A</v>
      </c>
      <c r="BK429" t="e">
        <f t="shared" si="175"/>
        <v>#N/A</v>
      </c>
      <c r="BL429" t="e">
        <f t="shared" si="175"/>
        <v>#N/A</v>
      </c>
      <c r="BM429" t="e">
        <f t="shared" si="175"/>
        <v>#N/A</v>
      </c>
      <c r="BP429" t="e">
        <f t="shared" si="160"/>
        <v>#N/A</v>
      </c>
      <c r="BQ429" t="e">
        <f t="shared" si="157"/>
        <v>#N/A</v>
      </c>
      <c r="BR429" t="e">
        <f t="shared" si="176"/>
        <v>#N/A</v>
      </c>
      <c r="BS429" t="e">
        <f t="shared" si="176"/>
        <v>#N/A</v>
      </c>
      <c r="BT429" t="e">
        <f t="shared" si="176"/>
        <v>#N/A</v>
      </c>
      <c r="BU429" t="e">
        <f t="shared" si="176"/>
        <v>#N/A</v>
      </c>
      <c r="BV429" t="e">
        <f t="shared" si="176"/>
        <v>#N/A</v>
      </c>
      <c r="BY429" t="e">
        <f t="shared" si="161"/>
        <v>#N/A</v>
      </c>
      <c r="BZ429" t="e">
        <v>#N/A</v>
      </c>
      <c r="CA429" t="e" cm="1">
        <f t="array" ref="CA429">IF(ISNUMBER(BZ429),AF429/COUNT(IF(ISNUMBER(_xlfn.ANCHORARRAY($BZ$11)),_xlfn.ANCHORARRAY($BZ$11))),NA())</f>
        <v>#N/A</v>
      </c>
      <c r="CB429" t="e">
        <f t="shared" si="162"/>
        <v>#N/A</v>
      </c>
      <c r="CD429" t="e">
        <f t="shared" si="163"/>
        <v>#N/A</v>
      </c>
      <c r="CE429" t="e">
        <f t="shared" si="164"/>
        <v>#N/A</v>
      </c>
      <c r="CG429" t="e">
        <v>#N/A</v>
      </c>
      <c r="CH429" t="e">
        <v>#N/A</v>
      </c>
      <c r="CL429" t="e">
        <f t="shared" si="165"/>
        <v>#N/A</v>
      </c>
      <c r="CM429" t="e">
        <v>#N/A</v>
      </c>
      <c r="CN429" t="e" cm="1">
        <f t="array" ref="CN429">IF(ISNUMBER(CM429),AF429/COUNT(IF(ISNUMBER(_xlfn.ANCHORARRAY($CM$11)),_xlfn.ANCHORARRAY($CM$11))),NA())</f>
        <v>#N/A</v>
      </c>
      <c r="CO429" t="e">
        <f t="shared" si="166"/>
        <v>#N/A</v>
      </c>
      <c r="CQ429" t="e">
        <f t="shared" si="167"/>
        <v>#N/A</v>
      </c>
      <c r="CR429" t="e">
        <f t="shared" si="168"/>
        <v>#N/A</v>
      </c>
      <c r="CT429" t="e">
        <v>#N/A</v>
      </c>
      <c r="CU429" t="e">
        <v>#N/A</v>
      </c>
      <c r="CY429" t="e">
        <f t="shared" si="169"/>
        <v>#N/A</v>
      </c>
      <c r="CZ429" t="e">
        <v>#N/A</v>
      </c>
      <c r="DA429" t="e" cm="1">
        <f t="array" ref="DA429">IF(ISNUMBER(CZ429),AF429/COUNT(IF(ISNUMBER(_xlfn.ANCHORARRAY($CZ$11)),_xlfn.ANCHORARRAY($CZ$11))),NA())</f>
        <v>#N/A</v>
      </c>
      <c r="DB429" t="e">
        <f t="shared" si="170"/>
        <v>#N/A</v>
      </c>
      <c r="DD429" t="e">
        <f t="shared" si="171"/>
        <v>#N/A</v>
      </c>
      <c r="DE429" t="e">
        <f t="shared" si="172"/>
        <v>#N/A</v>
      </c>
      <c r="DG429" t="e">
        <v>#N/A</v>
      </c>
      <c r="DH429" t="e">
        <v>#N/A</v>
      </c>
    </row>
    <row r="430" spans="32:112">
      <c r="AF430">
        <v>420</v>
      </c>
      <c r="AG430" s="401">
        <f>'Lab test'!N423</f>
        <v>49.8</v>
      </c>
      <c r="AH430" s="401">
        <f>'Lab test'!M423</f>
        <v>0.5</v>
      </c>
      <c r="AI430">
        <f>IF('Lab test'!O423&gt;0,'Lab test'!O423,NA())</f>
        <v>87</v>
      </c>
      <c r="AJ430">
        <f>'Lab test'!Q423</f>
        <v>99</v>
      </c>
      <c r="AK430" s="401">
        <f>IF('Lab test'!V423&gt;0,'Lab test'!V423,NA())</f>
        <v>205939.65</v>
      </c>
      <c r="AL430" s="7">
        <f>IF(MAX('Lab test'!W423,'Lab test'!X423)&gt;0,MAX('Lab test'!W423,'Lab test'!X423),NA())</f>
        <v>353.0394</v>
      </c>
      <c r="AM430" s="401">
        <f>IF('Lab test'!P423&gt;0,'Lab test'!P423,NA())</f>
        <v>0.17504924447010445</v>
      </c>
      <c r="AN430" s="401">
        <f>IF('Lab test'!AU423&gt;0,'Lab test'!AU423,NA())</f>
        <v>0.85223530437427208</v>
      </c>
      <c r="AO430" s="401">
        <f>IF('Lab test'!AT423&gt;0,'Lab test'!AT423,NA())</f>
        <v>0.24042708398480042</v>
      </c>
      <c r="AP430">
        <f t="shared" si="173"/>
        <v>1</v>
      </c>
      <c r="AQ430" s="401">
        <f>'Lab test'!AZ423</f>
        <v>1971</v>
      </c>
      <c r="AR430" t="str">
        <f>'Lab test'!AC423</f>
        <v>LTWa</v>
      </c>
      <c r="AS430" t="str">
        <f>'Lab test'!T423</f>
        <v>Steel</v>
      </c>
      <c r="AX430" t="e">
        <f t="shared" si="158"/>
        <v>#N/A</v>
      </c>
      <c r="AY430" t="e">
        <f t="shared" ref="AY430:AY493" si="177">IF(ISNUMBER($AJ430),IF(ISNUMBER($AP430),IF($AJ430&gt;AY$9,IF($AJ430&lt;=AY$10,IF($AR430=$AW$2,IF($AS430=$AW$6,$AK430,NA()),NA()),NA()),NA()),NA()),NA())</f>
        <v>#N/A</v>
      </c>
      <c r="AZ430" t="e">
        <f t="shared" si="174"/>
        <v>#N/A</v>
      </c>
      <c r="BA430" t="e">
        <f t="shared" si="174"/>
        <v>#N/A</v>
      </c>
      <c r="BB430" t="e">
        <f t="shared" si="174"/>
        <v>#N/A</v>
      </c>
      <c r="BC430" t="e">
        <f t="shared" si="174"/>
        <v>#N/A</v>
      </c>
      <c r="BD430" t="e">
        <f t="shared" si="174"/>
        <v>#N/A</v>
      </c>
      <c r="BG430" t="e">
        <f t="shared" si="159"/>
        <v>#N/A</v>
      </c>
      <c r="BH430" t="e">
        <f t="shared" ref="BH430:BH493" si="178">IF(ISNUMBER($AJ430),IF(ISNUMBER($AP430),IF($AJ430&gt;BH$9,IF($AJ430&lt;=BH$10,IF($AR430=$AW$2,IF($AS430=$BF$6,$AK430,NA()),NA()),NA()),NA()),NA()),NA())</f>
        <v>#N/A</v>
      </c>
      <c r="BI430" t="e">
        <f t="shared" si="175"/>
        <v>#N/A</v>
      </c>
      <c r="BJ430" t="e">
        <f t="shared" si="175"/>
        <v>#N/A</v>
      </c>
      <c r="BK430" t="e">
        <f t="shared" si="175"/>
        <v>#N/A</v>
      </c>
      <c r="BL430" t="e">
        <f t="shared" si="175"/>
        <v>#N/A</v>
      </c>
      <c r="BM430" t="e">
        <f t="shared" si="175"/>
        <v>#N/A</v>
      </c>
      <c r="BP430" t="e">
        <f t="shared" si="160"/>
        <v>#N/A</v>
      </c>
      <c r="BQ430" t="e">
        <f t="shared" ref="BQ430:BQ493" si="179">IF(ISNUMBER($AJ430),IF(ISNUMBER($AP430),IF($AJ430&gt;BQ$9,IF($AJ430&lt;=BQ$10,IF($AR430=$AW$2,IF($AS430=$BO$6,$AK430,NA()),NA()),NA()),NA()),NA()),NA())</f>
        <v>#N/A</v>
      </c>
      <c r="BR430" t="e">
        <f t="shared" si="176"/>
        <v>#N/A</v>
      </c>
      <c r="BS430" t="e">
        <f t="shared" si="176"/>
        <v>#N/A</v>
      </c>
      <c r="BT430" t="e">
        <f t="shared" si="176"/>
        <v>#N/A</v>
      </c>
      <c r="BU430" t="e">
        <f t="shared" si="176"/>
        <v>#N/A</v>
      </c>
      <c r="BV430" t="e">
        <f t="shared" si="176"/>
        <v>#N/A</v>
      </c>
      <c r="BY430" t="e">
        <f t="shared" si="161"/>
        <v>#N/A</v>
      </c>
      <c r="BZ430" t="e">
        <v>#N/A</v>
      </c>
      <c r="CA430" t="e" cm="1">
        <f t="array" ref="CA430">IF(ISNUMBER(BZ430),AF430/COUNT(IF(ISNUMBER(_xlfn.ANCHORARRAY($BZ$11)),_xlfn.ANCHORARRAY($BZ$11))),NA())</f>
        <v>#N/A</v>
      </c>
      <c r="CB430" t="e">
        <f t="shared" si="162"/>
        <v>#N/A</v>
      </c>
      <c r="CD430" t="e">
        <f t="shared" si="163"/>
        <v>#N/A</v>
      </c>
      <c r="CE430" t="e">
        <f t="shared" si="164"/>
        <v>#N/A</v>
      </c>
      <c r="CG430" t="e">
        <v>#N/A</v>
      </c>
      <c r="CH430" t="e">
        <v>#N/A</v>
      </c>
      <c r="CL430" t="e">
        <f t="shared" si="165"/>
        <v>#N/A</v>
      </c>
      <c r="CM430" t="e">
        <v>#N/A</v>
      </c>
      <c r="CN430" t="e" cm="1">
        <f t="array" ref="CN430">IF(ISNUMBER(CM430),AF430/COUNT(IF(ISNUMBER(_xlfn.ANCHORARRAY($CM$11)),_xlfn.ANCHORARRAY($CM$11))),NA())</f>
        <v>#N/A</v>
      </c>
      <c r="CO430" t="e">
        <f t="shared" si="166"/>
        <v>#N/A</v>
      </c>
      <c r="CQ430" t="e">
        <f t="shared" si="167"/>
        <v>#N/A</v>
      </c>
      <c r="CR430" t="e">
        <f t="shared" si="168"/>
        <v>#N/A</v>
      </c>
      <c r="CT430" t="e">
        <v>#N/A</v>
      </c>
      <c r="CU430" t="e">
        <v>#N/A</v>
      </c>
      <c r="CY430" t="e">
        <f t="shared" si="169"/>
        <v>#N/A</v>
      </c>
      <c r="CZ430" t="e">
        <v>#N/A</v>
      </c>
      <c r="DA430" t="e" cm="1">
        <f t="array" ref="DA430">IF(ISNUMBER(CZ430),AF430/COUNT(IF(ISNUMBER(_xlfn.ANCHORARRAY($CZ$11)),_xlfn.ANCHORARRAY($CZ$11))),NA())</f>
        <v>#N/A</v>
      </c>
      <c r="DB430" t="e">
        <f t="shared" si="170"/>
        <v>#N/A</v>
      </c>
      <c r="DD430" t="e">
        <f t="shared" si="171"/>
        <v>#N/A</v>
      </c>
      <c r="DE430" t="e">
        <f t="shared" si="172"/>
        <v>#N/A</v>
      </c>
      <c r="DG430" t="e">
        <v>#N/A</v>
      </c>
      <c r="DH430" t="e">
        <v>#N/A</v>
      </c>
    </row>
    <row r="431" spans="32:112">
      <c r="AF431">
        <v>421</v>
      </c>
      <c r="AG431" s="401">
        <f>'Lab test'!N424</f>
        <v>48.5</v>
      </c>
      <c r="AH431" s="401">
        <f>'Lab test'!M424</f>
        <v>0.3</v>
      </c>
      <c r="AI431">
        <f>IF('Lab test'!O424&gt;0,'Lab test'!O424,NA())</f>
        <v>90</v>
      </c>
      <c r="AJ431">
        <f>'Lab test'!Q424</f>
        <v>162</v>
      </c>
      <c r="AK431" s="401">
        <f>IF('Lab test'!V424&gt;0,'Lab test'!V424,NA())</f>
        <v>205939.65</v>
      </c>
      <c r="AL431" s="7">
        <f>IF(MAX('Lab test'!W424,'Lab test'!X424)&gt;0,MAX('Lab test'!W424,'Lab test'!X424),NA())</f>
        <v>353.0394</v>
      </c>
      <c r="AM431" s="401">
        <f>IF('Lab test'!P424&gt;0,'Lab test'!P424,NA())</f>
        <v>0.1459454395619903</v>
      </c>
      <c r="AN431" s="401">
        <f>IF('Lab test'!AU424&gt;0,'Lab test'!AU424,NA())</f>
        <v>0.79607846928771109</v>
      </c>
      <c r="AO431" s="401">
        <f>IF('Lab test'!AT424&gt;0,'Lab test'!AT424,NA())</f>
        <v>0.36453639264465204</v>
      </c>
      <c r="AP431">
        <f t="shared" si="173"/>
        <v>1</v>
      </c>
      <c r="AQ431" s="401">
        <f>'Lab test'!AZ424</f>
        <v>1971</v>
      </c>
      <c r="AR431" t="str">
        <f>'Lab test'!AC424</f>
        <v>LTWa</v>
      </c>
      <c r="AS431" t="str">
        <f>'Lab test'!T424</f>
        <v>Steel</v>
      </c>
      <c r="AX431" t="e">
        <f t="shared" si="158"/>
        <v>#N/A</v>
      </c>
      <c r="AY431" t="e">
        <f t="shared" si="177"/>
        <v>#N/A</v>
      </c>
      <c r="AZ431" t="e">
        <f t="shared" si="174"/>
        <v>#N/A</v>
      </c>
      <c r="BA431" t="e">
        <f t="shared" si="174"/>
        <v>#N/A</v>
      </c>
      <c r="BB431" t="e">
        <f t="shared" si="174"/>
        <v>#N/A</v>
      </c>
      <c r="BC431" t="e">
        <f t="shared" si="174"/>
        <v>#N/A</v>
      </c>
      <c r="BD431" t="e">
        <f t="shared" si="174"/>
        <v>#N/A</v>
      </c>
      <c r="BG431" t="e">
        <f t="shared" si="159"/>
        <v>#N/A</v>
      </c>
      <c r="BH431" t="e">
        <f t="shared" si="178"/>
        <v>#N/A</v>
      </c>
      <c r="BI431" t="e">
        <f t="shared" si="175"/>
        <v>#N/A</v>
      </c>
      <c r="BJ431" t="e">
        <f t="shared" si="175"/>
        <v>#N/A</v>
      </c>
      <c r="BK431" t="e">
        <f t="shared" si="175"/>
        <v>#N/A</v>
      </c>
      <c r="BL431" t="e">
        <f t="shared" si="175"/>
        <v>#N/A</v>
      </c>
      <c r="BM431" t="e">
        <f t="shared" si="175"/>
        <v>#N/A</v>
      </c>
      <c r="BP431" t="e">
        <f t="shared" si="160"/>
        <v>#N/A</v>
      </c>
      <c r="BQ431" t="e">
        <f t="shared" si="179"/>
        <v>#N/A</v>
      </c>
      <c r="BR431" t="e">
        <f t="shared" si="176"/>
        <v>#N/A</v>
      </c>
      <c r="BS431" t="e">
        <f t="shared" si="176"/>
        <v>#N/A</v>
      </c>
      <c r="BT431" t="e">
        <f t="shared" si="176"/>
        <v>#N/A</v>
      </c>
      <c r="BU431" t="e">
        <f t="shared" si="176"/>
        <v>#N/A</v>
      </c>
      <c r="BV431" t="e">
        <f t="shared" si="176"/>
        <v>#N/A</v>
      </c>
      <c r="BY431" t="e">
        <f t="shared" si="161"/>
        <v>#N/A</v>
      </c>
      <c r="BZ431" t="e">
        <v>#N/A</v>
      </c>
      <c r="CA431" t="e" cm="1">
        <f t="array" ref="CA431">IF(ISNUMBER(BZ431),AF431/COUNT(IF(ISNUMBER(_xlfn.ANCHORARRAY($BZ$11)),_xlfn.ANCHORARRAY($BZ$11))),NA())</f>
        <v>#N/A</v>
      </c>
      <c r="CB431" t="e">
        <f t="shared" si="162"/>
        <v>#N/A</v>
      </c>
      <c r="CD431" t="e">
        <f t="shared" si="163"/>
        <v>#N/A</v>
      </c>
      <c r="CE431" t="e">
        <f t="shared" si="164"/>
        <v>#N/A</v>
      </c>
      <c r="CG431" t="e">
        <v>#N/A</v>
      </c>
      <c r="CH431" t="e">
        <v>#N/A</v>
      </c>
      <c r="CL431" t="e">
        <f t="shared" si="165"/>
        <v>#N/A</v>
      </c>
      <c r="CM431" t="e">
        <v>#N/A</v>
      </c>
      <c r="CN431" t="e" cm="1">
        <f t="array" ref="CN431">IF(ISNUMBER(CM431),AF431/COUNT(IF(ISNUMBER(_xlfn.ANCHORARRAY($CM$11)),_xlfn.ANCHORARRAY($CM$11))),NA())</f>
        <v>#N/A</v>
      </c>
      <c r="CO431" t="e">
        <f t="shared" si="166"/>
        <v>#N/A</v>
      </c>
      <c r="CQ431" t="e">
        <f t="shared" si="167"/>
        <v>#N/A</v>
      </c>
      <c r="CR431" t="e">
        <f t="shared" si="168"/>
        <v>#N/A</v>
      </c>
      <c r="CT431" t="e">
        <v>#N/A</v>
      </c>
      <c r="CU431" t="e">
        <v>#N/A</v>
      </c>
      <c r="CY431" t="e">
        <f t="shared" si="169"/>
        <v>#N/A</v>
      </c>
      <c r="CZ431" t="e">
        <v>#N/A</v>
      </c>
      <c r="DA431" t="e" cm="1">
        <f t="array" ref="DA431">IF(ISNUMBER(CZ431),AF431/COUNT(IF(ISNUMBER(_xlfn.ANCHORARRAY($CZ$11)),_xlfn.ANCHORARRAY($CZ$11))),NA())</f>
        <v>#N/A</v>
      </c>
      <c r="DB431" t="e">
        <f t="shared" si="170"/>
        <v>#N/A</v>
      </c>
      <c r="DD431" t="e">
        <f t="shared" si="171"/>
        <v>#N/A</v>
      </c>
      <c r="DE431" t="e">
        <f t="shared" si="172"/>
        <v>#N/A</v>
      </c>
      <c r="DG431" t="e">
        <v>#N/A</v>
      </c>
      <c r="DH431" t="e">
        <v>#N/A</v>
      </c>
    </row>
    <row r="432" spans="32:112">
      <c r="AF432">
        <v>422</v>
      </c>
      <c r="AG432" s="401">
        <f>'Lab test'!N425</f>
        <v>350</v>
      </c>
      <c r="AH432" s="401">
        <f>'Lab test'!M425</f>
        <v>3</v>
      </c>
      <c r="AI432">
        <f>IF('Lab test'!O425&gt;0,'Lab test'!O425,NA())</f>
        <v>800</v>
      </c>
      <c r="AJ432">
        <f>'Lab test'!Q425</f>
        <v>117</v>
      </c>
      <c r="AK432" s="401">
        <f>IF('Lab test'!V425&gt;0,'Lab test'!V425,NA())</f>
        <v>205939.65</v>
      </c>
      <c r="AL432" s="7">
        <f>IF(MAX('Lab test'!W425,'Lab test'!X425)&gt;0,MAX('Lab test'!W425,'Lab test'!X425),NA())</f>
        <v>235.3596</v>
      </c>
      <c r="AM432" s="401">
        <f>IF('Lab test'!P425&gt;0,'Lab test'!P425,NA())</f>
        <v>0.2116160228051546</v>
      </c>
      <c r="AN432" s="401">
        <f>IF('Lab test'!AU425&gt;0,'Lab test'!AU425,NA())</f>
        <v>1.1494521735689953</v>
      </c>
      <c r="AO432" s="401">
        <f>IF('Lab test'!AT425&gt;0,'Lab test'!AT425,NA())</f>
        <v>0.25322755746650366</v>
      </c>
      <c r="AP432">
        <f t="shared" si="173"/>
        <v>1</v>
      </c>
      <c r="AQ432" s="401">
        <f>'Lab test'!AZ425</f>
        <v>1971</v>
      </c>
      <c r="AR432" t="str">
        <f>'Lab test'!AC425</f>
        <v>LTWa</v>
      </c>
      <c r="AS432" t="str">
        <f>'Lab test'!T425</f>
        <v>Steel</v>
      </c>
      <c r="AX432" t="e">
        <f t="shared" si="158"/>
        <v>#N/A</v>
      </c>
      <c r="AY432" t="e">
        <f t="shared" si="177"/>
        <v>#N/A</v>
      </c>
      <c r="AZ432" t="e">
        <f t="shared" si="174"/>
        <v>#N/A</v>
      </c>
      <c r="BA432" t="e">
        <f t="shared" si="174"/>
        <v>#N/A</v>
      </c>
      <c r="BB432" t="e">
        <f t="shared" si="174"/>
        <v>#N/A</v>
      </c>
      <c r="BC432" t="e">
        <f t="shared" si="174"/>
        <v>#N/A</v>
      </c>
      <c r="BD432" t="e">
        <f t="shared" si="174"/>
        <v>#N/A</v>
      </c>
      <c r="BG432" t="e">
        <f t="shared" si="159"/>
        <v>#N/A</v>
      </c>
      <c r="BH432" t="e">
        <f t="shared" si="178"/>
        <v>#N/A</v>
      </c>
      <c r="BI432" t="e">
        <f t="shared" si="175"/>
        <v>#N/A</v>
      </c>
      <c r="BJ432" t="e">
        <f t="shared" si="175"/>
        <v>#N/A</v>
      </c>
      <c r="BK432" t="e">
        <f t="shared" si="175"/>
        <v>#N/A</v>
      </c>
      <c r="BL432" t="e">
        <f t="shared" si="175"/>
        <v>#N/A</v>
      </c>
      <c r="BM432" t="e">
        <f t="shared" si="175"/>
        <v>#N/A</v>
      </c>
      <c r="BP432" t="e">
        <f t="shared" si="160"/>
        <v>#N/A</v>
      </c>
      <c r="BQ432" t="e">
        <f t="shared" si="179"/>
        <v>#N/A</v>
      </c>
      <c r="BR432" t="e">
        <f t="shared" si="176"/>
        <v>#N/A</v>
      </c>
      <c r="BS432" t="e">
        <f t="shared" si="176"/>
        <v>#N/A</v>
      </c>
      <c r="BT432" t="e">
        <f t="shared" si="176"/>
        <v>#N/A</v>
      </c>
      <c r="BU432" t="e">
        <f t="shared" si="176"/>
        <v>#N/A</v>
      </c>
      <c r="BV432" t="e">
        <f t="shared" si="176"/>
        <v>#N/A</v>
      </c>
      <c r="BY432" t="e">
        <f t="shared" si="161"/>
        <v>#N/A</v>
      </c>
      <c r="BZ432" t="e">
        <v>#N/A</v>
      </c>
      <c r="CA432" t="e" cm="1">
        <f t="array" ref="CA432">IF(ISNUMBER(BZ432),AF432/COUNT(IF(ISNUMBER(_xlfn.ANCHORARRAY($BZ$11)),_xlfn.ANCHORARRAY($BZ$11))),NA())</f>
        <v>#N/A</v>
      </c>
      <c r="CB432" t="e">
        <f t="shared" si="162"/>
        <v>#N/A</v>
      </c>
      <c r="CD432" t="e">
        <f t="shared" si="163"/>
        <v>#N/A</v>
      </c>
      <c r="CE432" t="e">
        <f t="shared" si="164"/>
        <v>#N/A</v>
      </c>
      <c r="CG432" t="e">
        <v>#N/A</v>
      </c>
      <c r="CH432" t="e">
        <v>#N/A</v>
      </c>
      <c r="CL432" t="e">
        <f t="shared" si="165"/>
        <v>#N/A</v>
      </c>
      <c r="CM432" t="e">
        <v>#N/A</v>
      </c>
      <c r="CN432" t="e" cm="1">
        <f t="array" ref="CN432">IF(ISNUMBER(CM432),AF432/COUNT(IF(ISNUMBER(_xlfn.ANCHORARRAY($CM$11)),_xlfn.ANCHORARRAY($CM$11))),NA())</f>
        <v>#N/A</v>
      </c>
      <c r="CO432" t="e">
        <f t="shared" si="166"/>
        <v>#N/A</v>
      </c>
      <c r="CQ432" t="e">
        <f t="shared" si="167"/>
        <v>#N/A</v>
      </c>
      <c r="CR432" t="e">
        <f t="shared" si="168"/>
        <v>#N/A</v>
      </c>
      <c r="CT432" t="e">
        <v>#N/A</v>
      </c>
      <c r="CU432" t="e">
        <v>#N/A</v>
      </c>
      <c r="CY432" t="e">
        <f t="shared" si="169"/>
        <v>#N/A</v>
      </c>
      <c r="CZ432" t="e">
        <v>#N/A</v>
      </c>
      <c r="DA432" t="e" cm="1">
        <f t="array" ref="DA432">IF(ISNUMBER(CZ432),AF432/COUNT(IF(ISNUMBER(_xlfn.ANCHORARRAY($CZ$11)),_xlfn.ANCHORARRAY($CZ$11))),NA())</f>
        <v>#N/A</v>
      </c>
      <c r="DB432" t="e">
        <f t="shared" si="170"/>
        <v>#N/A</v>
      </c>
      <c r="DD432" t="e">
        <f t="shared" si="171"/>
        <v>#N/A</v>
      </c>
      <c r="DE432" t="e">
        <f t="shared" si="172"/>
        <v>#N/A</v>
      </c>
      <c r="DG432" t="e">
        <v>#N/A</v>
      </c>
      <c r="DH432" t="e">
        <v>#N/A</v>
      </c>
    </row>
    <row r="433" spans="32:112">
      <c r="AF433">
        <v>423</v>
      </c>
      <c r="AG433" s="401">
        <f>'Lab test'!N426</f>
        <v>350</v>
      </c>
      <c r="AH433" s="401">
        <f>'Lab test'!M426</f>
        <v>2</v>
      </c>
      <c r="AI433">
        <f>IF('Lab test'!O426&gt;0,'Lab test'!O426,NA())</f>
        <v>800</v>
      </c>
      <c r="AJ433">
        <f>'Lab test'!Q426</f>
        <v>150</v>
      </c>
      <c r="AK433" s="401">
        <f>IF('Lab test'!V426&gt;0,'Lab test'!V426,NA())</f>
        <v>205939.65</v>
      </c>
      <c r="AL433" s="7">
        <f>IF(MAX('Lab test'!W426,'Lab test'!X426)&gt;0,MAX('Lab test'!W426,'Lab test'!X426),NA())</f>
        <v>235.3596</v>
      </c>
      <c r="AM433" s="401">
        <f>IF('Lab test'!P426&gt;0,'Lab test'!P426,NA())</f>
        <v>0.17278375908993243</v>
      </c>
      <c r="AN433" s="401">
        <f>IF('Lab test'!AU426&gt;0,'Lab test'!AU426,NA())</f>
        <v>0.84503697907040565</v>
      </c>
      <c r="AO433" s="401">
        <f>IF('Lab test'!AT426&gt;0,'Lab test'!AT426,NA())</f>
        <v>0.27924604663774732</v>
      </c>
      <c r="AP433">
        <f t="shared" si="173"/>
        <v>1</v>
      </c>
      <c r="AQ433" s="401">
        <f>'Lab test'!AZ426</f>
        <v>1971</v>
      </c>
      <c r="AR433" t="str">
        <f>'Lab test'!AC426</f>
        <v>LTWa</v>
      </c>
      <c r="AS433" t="str">
        <f>'Lab test'!T426</f>
        <v>Steel</v>
      </c>
      <c r="AX433" t="e">
        <f t="shared" si="158"/>
        <v>#N/A</v>
      </c>
      <c r="AY433" t="e">
        <f t="shared" si="177"/>
        <v>#N/A</v>
      </c>
      <c r="AZ433" t="e">
        <f t="shared" si="174"/>
        <v>#N/A</v>
      </c>
      <c r="BA433" t="e">
        <f t="shared" si="174"/>
        <v>#N/A</v>
      </c>
      <c r="BB433" t="e">
        <f t="shared" si="174"/>
        <v>#N/A</v>
      </c>
      <c r="BC433" t="e">
        <f t="shared" si="174"/>
        <v>#N/A</v>
      </c>
      <c r="BD433" t="e">
        <f t="shared" si="174"/>
        <v>#N/A</v>
      </c>
      <c r="BG433" t="e">
        <f t="shared" si="159"/>
        <v>#N/A</v>
      </c>
      <c r="BH433" t="e">
        <f t="shared" si="178"/>
        <v>#N/A</v>
      </c>
      <c r="BI433" t="e">
        <f t="shared" si="175"/>
        <v>#N/A</v>
      </c>
      <c r="BJ433" t="e">
        <f t="shared" si="175"/>
        <v>#N/A</v>
      </c>
      <c r="BK433" t="e">
        <f t="shared" si="175"/>
        <v>#N/A</v>
      </c>
      <c r="BL433" t="e">
        <f t="shared" si="175"/>
        <v>#N/A</v>
      </c>
      <c r="BM433" t="e">
        <f t="shared" si="175"/>
        <v>#N/A</v>
      </c>
      <c r="BP433" t="e">
        <f t="shared" si="160"/>
        <v>#N/A</v>
      </c>
      <c r="BQ433" t="e">
        <f t="shared" si="179"/>
        <v>#N/A</v>
      </c>
      <c r="BR433" t="e">
        <f t="shared" si="176"/>
        <v>#N/A</v>
      </c>
      <c r="BS433" t="e">
        <f t="shared" si="176"/>
        <v>#N/A</v>
      </c>
      <c r="BT433" t="e">
        <f t="shared" si="176"/>
        <v>#N/A</v>
      </c>
      <c r="BU433" t="e">
        <f t="shared" si="176"/>
        <v>#N/A</v>
      </c>
      <c r="BV433" t="e">
        <f t="shared" si="176"/>
        <v>#N/A</v>
      </c>
      <c r="BY433" t="e">
        <f t="shared" si="161"/>
        <v>#N/A</v>
      </c>
      <c r="BZ433" t="e">
        <v>#N/A</v>
      </c>
      <c r="CA433" t="e" cm="1">
        <f t="array" ref="CA433">IF(ISNUMBER(BZ433),AF433/COUNT(IF(ISNUMBER(_xlfn.ANCHORARRAY($BZ$11)),_xlfn.ANCHORARRAY($BZ$11))),NA())</f>
        <v>#N/A</v>
      </c>
      <c r="CB433" t="e">
        <f t="shared" si="162"/>
        <v>#N/A</v>
      </c>
      <c r="CD433" t="e">
        <f t="shared" si="163"/>
        <v>#N/A</v>
      </c>
      <c r="CE433" t="e">
        <f t="shared" si="164"/>
        <v>#N/A</v>
      </c>
      <c r="CG433" t="e">
        <v>#N/A</v>
      </c>
      <c r="CH433" t="e">
        <v>#N/A</v>
      </c>
      <c r="CL433" t="e">
        <f t="shared" si="165"/>
        <v>#N/A</v>
      </c>
      <c r="CM433" t="e">
        <v>#N/A</v>
      </c>
      <c r="CN433" t="e" cm="1">
        <f t="array" ref="CN433">IF(ISNUMBER(CM433),AF433/COUNT(IF(ISNUMBER(_xlfn.ANCHORARRAY($CM$11)),_xlfn.ANCHORARRAY($CM$11))),NA())</f>
        <v>#N/A</v>
      </c>
      <c r="CO433" t="e">
        <f t="shared" si="166"/>
        <v>#N/A</v>
      </c>
      <c r="CQ433" t="e">
        <f t="shared" si="167"/>
        <v>#N/A</v>
      </c>
      <c r="CR433" t="e">
        <f t="shared" si="168"/>
        <v>#N/A</v>
      </c>
      <c r="CT433" t="e">
        <v>#N/A</v>
      </c>
      <c r="CU433" t="e">
        <v>#N/A</v>
      </c>
      <c r="CY433" t="e">
        <f t="shared" si="169"/>
        <v>#N/A</v>
      </c>
      <c r="CZ433" t="e">
        <v>#N/A</v>
      </c>
      <c r="DA433" t="e" cm="1">
        <f t="array" ref="DA433">IF(ISNUMBER(CZ433),AF433/COUNT(IF(ISNUMBER(_xlfn.ANCHORARRAY($CZ$11)),_xlfn.ANCHORARRAY($CZ$11))),NA())</f>
        <v>#N/A</v>
      </c>
      <c r="DB433" t="e">
        <f t="shared" si="170"/>
        <v>#N/A</v>
      </c>
      <c r="DD433" t="e">
        <f t="shared" si="171"/>
        <v>#N/A</v>
      </c>
      <c r="DE433" t="e">
        <f t="shared" si="172"/>
        <v>#N/A</v>
      </c>
      <c r="DG433" t="e">
        <v>#N/A</v>
      </c>
      <c r="DH433" t="e">
        <v>#N/A</v>
      </c>
    </row>
    <row r="434" spans="32:112">
      <c r="AF434">
        <v>424</v>
      </c>
      <c r="AG434" s="401">
        <f>'Lab test'!N427</f>
        <v>350</v>
      </c>
      <c r="AH434" s="401">
        <f>'Lab test'!M427</f>
        <v>2.5</v>
      </c>
      <c r="AI434">
        <f>IF('Lab test'!O427&gt;0,'Lab test'!O427,NA())</f>
        <v>3000</v>
      </c>
      <c r="AJ434">
        <f>'Lab test'!Q427</f>
        <v>140</v>
      </c>
      <c r="AK434" s="401">
        <f>IF('Lab test'!V427&gt;0,'Lab test'!V427,NA())</f>
        <v>205939.65</v>
      </c>
      <c r="AL434" s="7">
        <f>IF(MAX('Lab test'!W427,'Lab test'!X427)&gt;0,MAX('Lab test'!W427,'Lab test'!X427),NA())</f>
        <v>235.3596</v>
      </c>
      <c r="AM434" s="401">
        <f>IF('Lab test'!P427&gt;0,'Lab test'!P427,NA())</f>
        <v>0.72441793262444276</v>
      </c>
      <c r="AN434" s="401">
        <f>IF('Lab test'!AU427&gt;0,'Lab test'!AU427,NA())</f>
        <v>0.87989942086025497</v>
      </c>
      <c r="AO434" s="401">
        <f>IF('Lab test'!AT427&gt;0,'Lab test'!AT427,NA())</f>
        <v>0.23261319047539386</v>
      </c>
      <c r="AP434">
        <f t="shared" si="173"/>
        <v>1</v>
      </c>
      <c r="AQ434" s="401">
        <f>'Lab test'!AZ427</f>
        <v>1971</v>
      </c>
      <c r="AR434" t="str">
        <f>'Lab test'!AC427</f>
        <v>LTWa</v>
      </c>
      <c r="AS434" t="str">
        <f>'Lab test'!T427</f>
        <v>Steel</v>
      </c>
      <c r="AX434" t="e">
        <f t="shared" si="158"/>
        <v>#N/A</v>
      </c>
      <c r="AY434" t="e">
        <f t="shared" si="177"/>
        <v>#N/A</v>
      </c>
      <c r="AZ434" t="e">
        <f t="shared" si="174"/>
        <v>#N/A</v>
      </c>
      <c r="BA434" t="e">
        <f t="shared" si="174"/>
        <v>#N/A</v>
      </c>
      <c r="BB434" t="e">
        <f t="shared" si="174"/>
        <v>#N/A</v>
      </c>
      <c r="BC434" t="e">
        <f t="shared" si="174"/>
        <v>#N/A</v>
      </c>
      <c r="BD434" t="e">
        <f t="shared" si="174"/>
        <v>#N/A</v>
      </c>
      <c r="BG434" t="e">
        <f t="shared" si="159"/>
        <v>#N/A</v>
      </c>
      <c r="BH434" t="e">
        <f t="shared" si="178"/>
        <v>#N/A</v>
      </c>
      <c r="BI434" t="e">
        <f t="shared" si="175"/>
        <v>#N/A</v>
      </c>
      <c r="BJ434" t="e">
        <f t="shared" si="175"/>
        <v>#N/A</v>
      </c>
      <c r="BK434" t="e">
        <f t="shared" si="175"/>
        <v>#N/A</v>
      </c>
      <c r="BL434" t="e">
        <f t="shared" si="175"/>
        <v>#N/A</v>
      </c>
      <c r="BM434" t="e">
        <f t="shared" si="175"/>
        <v>#N/A</v>
      </c>
      <c r="BP434" t="e">
        <f t="shared" si="160"/>
        <v>#N/A</v>
      </c>
      <c r="BQ434" t="e">
        <f t="shared" si="179"/>
        <v>#N/A</v>
      </c>
      <c r="BR434" t="e">
        <f t="shared" si="176"/>
        <v>#N/A</v>
      </c>
      <c r="BS434" t="e">
        <f t="shared" si="176"/>
        <v>#N/A</v>
      </c>
      <c r="BT434" t="e">
        <f t="shared" si="176"/>
        <v>#N/A</v>
      </c>
      <c r="BU434" t="e">
        <f t="shared" si="176"/>
        <v>#N/A</v>
      </c>
      <c r="BV434" t="e">
        <f t="shared" si="176"/>
        <v>#N/A</v>
      </c>
      <c r="BY434" t="e">
        <f t="shared" si="161"/>
        <v>#N/A</v>
      </c>
      <c r="BZ434" t="e">
        <v>#N/A</v>
      </c>
      <c r="CA434" t="e" cm="1">
        <f t="array" ref="CA434">IF(ISNUMBER(BZ434),AF434/COUNT(IF(ISNUMBER(_xlfn.ANCHORARRAY($BZ$11)),_xlfn.ANCHORARRAY($BZ$11))),NA())</f>
        <v>#N/A</v>
      </c>
      <c r="CB434" t="e">
        <f t="shared" si="162"/>
        <v>#N/A</v>
      </c>
      <c r="CD434" t="e">
        <f t="shared" si="163"/>
        <v>#N/A</v>
      </c>
      <c r="CE434" t="e">
        <f t="shared" si="164"/>
        <v>#N/A</v>
      </c>
      <c r="CG434" t="e">
        <v>#N/A</v>
      </c>
      <c r="CH434" t="e">
        <v>#N/A</v>
      </c>
      <c r="CL434" t="e">
        <f t="shared" si="165"/>
        <v>#N/A</v>
      </c>
      <c r="CM434" t="e">
        <v>#N/A</v>
      </c>
      <c r="CN434" t="e" cm="1">
        <f t="array" ref="CN434">IF(ISNUMBER(CM434),AF434/COUNT(IF(ISNUMBER(_xlfn.ANCHORARRAY($CM$11)),_xlfn.ANCHORARRAY($CM$11))),NA())</f>
        <v>#N/A</v>
      </c>
      <c r="CO434" t="e">
        <f t="shared" si="166"/>
        <v>#N/A</v>
      </c>
      <c r="CQ434" t="e">
        <f t="shared" si="167"/>
        <v>#N/A</v>
      </c>
      <c r="CR434" t="e">
        <f t="shared" si="168"/>
        <v>#N/A</v>
      </c>
      <c r="CT434" t="e">
        <v>#N/A</v>
      </c>
      <c r="CU434" t="e">
        <v>#N/A</v>
      </c>
      <c r="CY434" t="e">
        <f t="shared" si="169"/>
        <v>#N/A</v>
      </c>
      <c r="CZ434" t="e">
        <v>#N/A</v>
      </c>
      <c r="DA434" t="e" cm="1">
        <f t="array" ref="DA434">IF(ISNUMBER(CZ434),AF434/COUNT(IF(ISNUMBER(_xlfn.ANCHORARRAY($CZ$11)),_xlfn.ANCHORARRAY($CZ$11))),NA())</f>
        <v>#N/A</v>
      </c>
      <c r="DB434" t="e">
        <f t="shared" si="170"/>
        <v>#N/A</v>
      </c>
      <c r="DD434" t="e">
        <f t="shared" si="171"/>
        <v>#N/A</v>
      </c>
      <c r="DE434" t="e">
        <f t="shared" si="172"/>
        <v>#N/A</v>
      </c>
      <c r="DG434" t="e">
        <v>#N/A</v>
      </c>
      <c r="DH434" t="e">
        <v>#N/A</v>
      </c>
    </row>
    <row r="435" spans="32:112">
      <c r="AF435">
        <v>425</v>
      </c>
      <c r="AG435" s="401">
        <f>'Lab test'!N428</f>
        <v>23.876000000000001</v>
      </c>
      <c r="AH435" s="401">
        <f>'Lab test'!M428</f>
        <v>5.1816000000000008E-2</v>
      </c>
      <c r="AI435">
        <f>IF('Lab test'!O428&gt;0,'Lab test'!O428,NA())</f>
        <v>135.001</v>
      </c>
      <c r="AJ435">
        <f>'Lab test'!Q428</f>
        <v>460.78431372549016</v>
      </c>
      <c r="AK435" s="401">
        <f>IF('Lab test'!V428&gt;0,'Lab test'!V428,NA())</f>
        <v>216495.37900548655</v>
      </c>
      <c r="AL435" s="7">
        <f>IF(MAX('Lab test'!W428,'Lab test'!X428)&gt;0,MAX('Lab test'!W428,'Lab test'!X428),NA())</f>
        <v>397.82749581581447</v>
      </c>
      <c r="AM435" s="401">
        <f>IF('Lab test'!P428&gt;0,'Lab test'!P428,NA())</f>
        <v>0.26340655122956258</v>
      </c>
      <c r="AN435" s="401">
        <f>IF('Lab test'!AU428&gt;0,'Lab test'!AU428,NA())</f>
        <v>0.27627135514766743</v>
      </c>
      <c r="AO435" s="401">
        <f>IF('Lab test'!AT428&gt;0,'Lab test'!AT428,NA())</f>
        <v>0.3865102652449865</v>
      </c>
      <c r="AP435">
        <f t="shared" si="173"/>
        <v>1</v>
      </c>
      <c r="AQ435" s="401">
        <f>'Lab test'!AZ428</f>
        <v>1934</v>
      </c>
      <c r="AR435" t="str">
        <f>'Lab test'!AC428</f>
        <v>LTWb</v>
      </c>
      <c r="AS435" t="str">
        <f>'Lab test'!T428</f>
        <v>Steel</v>
      </c>
      <c r="AX435" t="e">
        <f t="shared" si="158"/>
        <v>#N/A</v>
      </c>
      <c r="AY435" t="e">
        <f t="shared" si="177"/>
        <v>#N/A</v>
      </c>
      <c r="AZ435">
        <f t="shared" si="174"/>
        <v>216495.37900548655</v>
      </c>
      <c r="BA435" t="e">
        <f t="shared" si="174"/>
        <v>#N/A</v>
      </c>
      <c r="BB435" t="e">
        <f t="shared" si="174"/>
        <v>#N/A</v>
      </c>
      <c r="BC435" t="e">
        <f t="shared" si="174"/>
        <v>#N/A</v>
      </c>
      <c r="BD435" t="e">
        <f t="shared" si="174"/>
        <v>#N/A</v>
      </c>
      <c r="BG435" t="e">
        <f t="shared" si="159"/>
        <v>#N/A</v>
      </c>
      <c r="BH435" t="e">
        <f t="shared" si="178"/>
        <v>#N/A</v>
      </c>
      <c r="BI435" t="e">
        <f t="shared" si="175"/>
        <v>#N/A</v>
      </c>
      <c r="BJ435" t="e">
        <f t="shared" si="175"/>
        <v>#N/A</v>
      </c>
      <c r="BK435" t="e">
        <f t="shared" si="175"/>
        <v>#N/A</v>
      </c>
      <c r="BL435" t="e">
        <f t="shared" si="175"/>
        <v>#N/A</v>
      </c>
      <c r="BM435" t="e">
        <f t="shared" si="175"/>
        <v>#N/A</v>
      </c>
      <c r="BP435" t="e">
        <f t="shared" si="160"/>
        <v>#N/A</v>
      </c>
      <c r="BQ435" t="e">
        <f t="shared" si="179"/>
        <v>#N/A</v>
      </c>
      <c r="BR435" t="e">
        <f t="shared" si="176"/>
        <v>#N/A</v>
      </c>
      <c r="BS435" t="e">
        <f t="shared" si="176"/>
        <v>#N/A</v>
      </c>
      <c r="BT435" t="e">
        <f t="shared" si="176"/>
        <v>#N/A</v>
      </c>
      <c r="BU435" t="e">
        <f t="shared" si="176"/>
        <v>#N/A</v>
      </c>
      <c r="BV435" t="e">
        <f t="shared" si="176"/>
        <v>#N/A</v>
      </c>
      <c r="BY435">
        <f t="shared" si="161"/>
        <v>216495.37900548655</v>
      </c>
      <c r="BZ435" t="e">
        <v>#N/A</v>
      </c>
      <c r="CA435" t="e" cm="1">
        <f t="array" ref="CA435">IF(ISNUMBER(BZ435),AF435/COUNT(IF(ISNUMBER(_xlfn.ANCHORARRAY($BZ$11)),_xlfn.ANCHORARRAY($BZ$11))),NA())</f>
        <v>#N/A</v>
      </c>
      <c r="CB435" t="e">
        <f t="shared" si="162"/>
        <v>#N/A</v>
      </c>
      <c r="CD435" t="e">
        <f t="shared" si="163"/>
        <v>#N/A</v>
      </c>
      <c r="CE435" t="e">
        <f t="shared" si="164"/>
        <v>#N/A</v>
      </c>
      <c r="CG435" t="e">
        <v>#N/A</v>
      </c>
      <c r="CH435" t="e">
        <v>#N/A</v>
      </c>
      <c r="CL435" t="e">
        <f t="shared" si="165"/>
        <v>#N/A</v>
      </c>
      <c r="CM435" t="e">
        <v>#N/A</v>
      </c>
      <c r="CN435" t="e" cm="1">
        <f t="array" ref="CN435">IF(ISNUMBER(CM435),AF435/COUNT(IF(ISNUMBER(_xlfn.ANCHORARRAY($CM$11)),_xlfn.ANCHORARRAY($CM$11))),NA())</f>
        <v>#N/A</v>
      </c>
      <c r="CO435" t="e">
        <f t="shared" si="166"/>
        <v>#N/A</v>
      </c>
      <c r="CQ435" t="e">
        <f t="shared" si="167"/>
        <v>#N/A</v>
      </c>
      <c r="CR435" t="e">
        <f t="shared" si="168"/>
        <v>#N/A</v>
      </c>
      <c r="CT435" t="e">
        <v>#N/A</v>
      </c>
      <c r="CU435" t="e">
        <v>#N/A</v>
      </c>
      <c r="CY435" t="e">
        <f t="shared" si="169"/>
        <v>#N/A</v>
      </c>
      <c r="CZ435" t="e">
        <v>#N/A</v>
      </c>
      <c r="DA435" t="e" cm="1">
        <f t="array" ref="DA435">IF(ISNUMBER(CZ435),AF435/COUNT(IF(ISNUMBER(_xlfn.ANCHORARRAY($CZ$11)),_xlfn.ANCHORARRAY($CZ$11))),NA())</f>
        <v>#N/A</v>
      </c>
      <c r="DB435" t="e">
        <f t="shared" si="170"/>
        <v>#N/A</v>
      </c>
      <c r="DD435" t="e">
        <f t="shared" si="171"/>
        <v>#N/A</v>
      </c>
      <c r="DE435" t="e">
        <f t="shared" si="172"/>
        <v>#N/A</v>
      </c>
      <c r="DG435" t="e">
        <v>#N/A</v>
      </c>
      <c r="DH435" t="e">
        <v>#N/A</v>
      </c>
    </row>
    <row r="436" spans="32:112">
      <c r="AF436">
        <v>426</v>
      </c>
      <c r="AG436" s="401">
        <f>'Lab test'!N429</f>
        <v>23.876000000000001</v>
      </c>
      <c r="AH436" s="401">
        <f>'Lab test'!M429</f>
        <v>5.1816000000000008E-2</v>
      </c>
      <c r="AI436">
        <f>IF('Lab test'!O429&gt;0,'Lab test'!O429,NA())</f>
        <v>135.001</v>
      </c>
      <c r="AJ436">
        <f>'Lab test'!Q429</f>
        <v>460.78431372549016</v>
      </c>
      <c r="AK436" s="401">
        <f>IF('Lab test'!V429&gt;0,'Lab test'!V429,NA())</f>
        <v>216495.37900548655</v>
      </c>
      <c r="AL436" s="7">
        <f>IF(MAX('Lab test'!W429,'Lab test'!X429)&gt;0,MAX('Lab test'!W429,'Lab test'!X429),NA())</f>
        <v>397.82749581581447</v>
      </c>
      <c r="AM436" s="401">
        <f>IF('Lab test'!P429&gt;0,'Lab test'!P429,NA())</f>
        <v>0.26340655122956258</v>
      </c>
      <c r="AN436" s="401">
        <f>IF('Lab test'!AU429&gt;0,'Lab test'!AU429,NA())</f>
        <v>0.3136831011572474</v>
      </c>
      <c r="AO436" s="401">
        <f>IF('Lab test'!AT429&gt;0,'Lab test'!AT429,NA())</f>
        <v>0.43885019699691169</v>
      </c>
      <c r="AP436">
        <f t="shared" si="173"/>
        <v>1</v>
      </c>
      <c r="AQ436" s="401">
        <f>'Lab test'!AZ429</f>
        <v>1934</v>
      </c>
      <c r="AR436" t="str">
        <f>'Lab test'!AC429</f>
        <v>LTWb</v>
      </c>
      <c r="AS436" t="str">
        <f>'Lab test'!T429</f>
        <v>Steel</v>
      </c>
      <c r="AX436" t="e">
        <f t="shared" si="158"/>
        <v>#N/A</v>
      </c>
      <c r="AY436" t="e">
        <f t="shared" si="177"/>
        <v>#N/A</v>
      </c>
      <c r="AZ436">
        <f t="shared" si="174"/>
        <v>216495.37900548655</v>
      </c>
      <c r="BA436" t="e">
        <f t="shared" si="174"/>
        <v>#N/A</v>
      </c>
      <c r="BB436" t="e">
        <f t="shared" si="174"/>
        <v>#N/A</v>
      </c>
      <c r="BC436" t="e">
        <f t="shared" si="174"/>
        <v>#N/A</v>
      </c>
      <c r="BD436" t="e">
        <f t="shared" si="174"/>
        <v>#N/A</v>
      </c>
      <c r="BG436" t="e">
        <f t="shared" si="159"/>
        <v>#N/A</v>
      </c>
      <c r="BH436" t="e">
        <f t="shared" si="178"/>
        <v>#N/A</v>
      </c>
      <c r="BI436" t="e">
        <f t="shared" si="175"/>
        <v>#N/A</v>
      </c>
      <c r="BJ436" t="e">
        <f t="shared" si="175"/>
        <v>#N/A</v>
      </c>
      <c r="BK436" t="e">
        <f t="shared" si="175"/>
        <v>#N/A</v>
      </c>
      <c r="BL436" t="e">
        <f t="shared" si="175"/>
        <v>#N/A</v>
      </c>
      <c r="BM436" t="e">
        <f t="shared" si="175"/>
        <v>#N/A</v>
      </c>
      <c r="BP436" t="e">
        <f t="shared" si="160"/>
        <v>#N/A</v>
      </c>
      <c r="BQ436" t="e">
        <f t="shared" si="179"/>
        <v>#N/A</v>
      </c>
      <c r="BR436" t="e">
        <f t="shared" si="176"/>
        <v>#N/A</v>
      </c>
      <c r="BS436" t="e">
        <f t="shared" si="176"/>
        <v>#N/A</v>
      </c>
      <c r="BT436" t="e">
        <f t="shared" si="176"/>
        <v>#N/A</v>
      </c>
      <c r="BU436" t="e">
        <f t="shared" si="176"/>
        <v>#N/A</v>
      </c>
      <c r="BV436" t="e">
        <f t="shared" si="176"/>
        <v>#N/A</v>
      </c>
      <c r="BY436">
        <f t="shared" si="161"/>
        <v>216495.37900548655</v>
      </c>
      <c r="BZ436" t="e">
        <v>#N/A</v>
      </c>
      <c r="CA436" t="e" cm="1">
        <f t="array" ref="CA436">IF(ISNUMBER(BZ436),AF436/COUNT(IF(ISNUMBER(_xlfn.ANCHORARRAY($BZ$11)),_xlfn.ANCHORARRAY($BZ$11))),NA())</f>
        <v>#N/A</v>
      </c>
      <c r="CB436" t="e">
        <f t="shared" si="162"/>
        <v>#N/A</v>
      </c>
      <c r="CD436" t="e">
        <f t="shared" si="163"/>
        <v>#N/A</v>
      </c>
      <c r="CE436" t="e">
        <f t="shared" si="164"/>
        <v>#N/A</v>
      </c>
      <c r="CG436" t="e">
        <v>#N/A</v>
      </c>
      <c r="CH436" t="e">
        <v>#N/A</v>
      </c>
      <c r="CL436" t="e">
        <f t="shared" si="165"/>
        <v>#N/A</v>
      </c>
      <c r="CM436" t="e">
        <v>#N/A</v>
      </c>
      <c r="CN436" t="e" cm="1">
        <f t="array" ref="CN436">IF(ISNUMBER(CM436),AF436/COUNT(IF(ISNUMBER(_xlfn.ANCHORARRAY($CM$11)),_xlfn.ANCHORARRAY($CM$11))),NA())</f>
        <v>#N/A</v>
      </c>
      <c r="CO436" t="e">
        <f t="shared" si="166"/>
        <v>#N/A</v>
      </c>
      <c r="CQ436" t="e">
        <f t="shared" si="167"/>
        <v>#N/A</v>
      </c>
      <c r="CR436" t="e">
        <f t="shared" si="168"/>
        <v>#N/A</v>
      </c>
      <c r="CT436" t="e">
        <v>#N/A</v>
      </c>
      <c r="CU436" t="e">
        <v>#N/A</v>
      </c>
      <c r="CY436" t="e">
        <f t="shared" si="169"/>
        <v>#N/A</v>
      </c>
      <c r="CZ436" t="e">
        <v>#N/A</v>
      </c>
      <c r="DA436" t="e" cm="1">
        <f t="array" ref="DA436">IF(ISNUMBER(CZ436),AF436/COUNT(IF(ISNUMBER(_xlfn.ANCHORARRAY($CZ$11)),_xlfn.ANCHORARRAY($CZ$11))),NA())</f>
        <v>#N/A</v>
      </c>
      <c r="DB436" t="e">
        <f t="shared" si="170"/>
        <v>#N/A</v>
      </c>
      <c r="DD436" t="e">
        <f t="shared" si="171"/>
        <v>#N/A</v>
      </c>
      <c r="DE436" t="e">
        <f t="shared" si="172"/>
        <v>#N/A</v>
      </c>
      <c r="DG436" t="e">
        <v>#N/A</v>
      </c>
      <c r="DH436" t="e">
        <v>#N/A</v>
      </c>
    </row>
    <row r="437" spans="32:112">
      <c r="AF437">
        <v>427</v>
      </c>
      <c r="AG437" s="401">
        <f>'Lab test'!N430</f>
        <v>23.876000000000001</v>
      </c>
      <c r="AH437" s="401">
        <f>'Lab test'!M430</f>
        <v>5.1816000000000008E-2</v>
      </c>
      <c r="AI437">
        <f>IF('Lab test'!O430&gt;0,'Lab test'!O430,NA())</f>
        <v>135.001</v>
      </c>
      <c r="AJ437">
        <f>'Lab test'!Q430</f>
        <v>460.78431372549016</v>
      </c>
      <c r="AK437" s="401">
        <f>IF('Lab test'!V430&gt;0,'Lab test'!V430,NA())</f>
        <v>216495.37900548655</v>
      </c>
      <c r="AL437" s="7">
        <f>IF(MAX('Lab test'!W430,'Lab test'!X430)&gt;0,MAX('Lab test'!W430,'Lab test'!X430),NA())</f>
        <v>397.82749581581447</v>
      </c>
      <c r="AM437" s="401">
        <f>IF('Lab test'!P430&gt;0,'Lab test'!P430,NA())</f>
        <v>0.26340655122956258</v>
      </c>
      <c r="AN437" s="401">
        <f>IF('Lab test'!AU430&gt;0,'Lab test'!AU430,NA())</f>
        <v>0.33238897416203733</v>
      </c>
      <c r="AO437" s="401">
        <f>IF('Lab test'!AT430&gt;0,'Lab test'!AT430,NA())</f>
        <v>0.46502016287287429</v>
      </c>
      <c r="AP437">
        <f t="shared" si="173"/>
        <v>1</v>
      </c>
      <c r="AQ437" s="401">
        <f>'Lab test'!AZ430</f>
        <v>1934</v>
      </c>
      <c r="AR437" t="str">
        <f>'Lab test'!AC430</f>
        <v>LTWb</v>
      </c>
      <c r="AS437" t="str">
        <f>'Lab test'!T430</f>
        <v>Steel</v>
      </c>
      <c r="AX437" t="e">
        <f t="shared" si="158"/>
        <v>#N/A</v>
      </c>
      <c r="AY437" t="e">
        <f t="shared" si="177"/>
        <v>#N/A</v>
      </c>
      <c r="AZ437">
        <f t="shared" si="174"/>
        <v>216495.37900548655</v>
      </c>
      <c r="BA437" t="e">
        <f t="shared" si="174"/>
        <v>#N/A</v>
      </c>
      <c r="BB437" t="e">
        <f t="shared" si="174"/>
        <v>#N/A</v>
      </c>
      <c r="BC437" t="e">
        <f t="shared" si="174"/>
        <v>#N/A</v>
      </c>
      <c r="BD437" t="e">
        <f t="shared" si="174"/>
        <v>#N/A</v>
      </c>
      <c r="BG437" t="e">
        <f t="shared" si="159"/>
        <v>#N/A</v>
      </c>
      <c r="BH437" t="e">
        <f t="shared" si="178"/>
        <v>#N/A</v>
      </c>
      <c r="BI437" t="e">
        <f t="shared" si="175"/>
        <v>#N/A</v>
      </c>
      <c r="BJ437" t="e">
        <f t="shared" si="175"/>
        <v>#N/A</v>
      </c>
      <c r="BK437" t="e">
        <f t="shared" si="175"/>
        <v>#N/A</v>
      </c>
      <c r="BL437" t="e">
        <f t="shared" si="175"/>
        <v>#N/A</v>
      </c>
      <c r="BM437" t="e">
        <f t="shared" si="175"/>
        <v>#N/A</v>
      </c>
      <c r="BP437" t="e">
        <f t="shared" si="160"/>
        <v>#N/A</v>
      </c>
      <c r="BQ437" t="e">
        <f t="shared" si="179"/>
        <v>#N/A</v>
      </c>
      <c r="BR437" t="e">
        <f t="shared" si="176"/>
        <v>#N/A</v>
      </c>
      <c r="BS437" t="e">
        <f t="shared" si="176"/>
        <v>#N/A</v>
      </c>
      <c r="BT437" t="e">
        <f t="shared" si="176"/>
        <v>#N/A</v>
      </c>
      <c r="BU437" t="e">
        <f t="shared" si="176"/>
        <v>#N/A</v>
      </c>
      <c r="BV437" t="e">
        <f t="shared" si="176"/>
        <v>#N/A</v>
      </c>
      <c r="BY437">
        <f t="shared" si="161"/>
        <v>216495.37900548655</v>
      </c>
      <c r="BZ437" t="e">
        <v>#N/A</v>
      </c>
      <c r="CA437" t="e" cm="1">
        <f t="array" ref="CA437">IF(ISNUMBER(BZ437),AF437/COUNT(IF(ISNUMBER(_xlfn.ANCHORARRAY($BZ$11)),_xlfn.ANCHORARRAY($BZ$11))),NA())</f>
        <v>#N/A</v>
      </c>
      <c r="CB437" t="e">
        <f t="shared" si="162"/>
        <v>#N/A</v>
      </c>
      <c r="CD437" t="e">
        <f t="shared" si="163"/>
        <v>#N/A</v>
      </c>
      <c r="CE437" t="e">
        <f t="shared" si="164"/>
        <v>#N/A</v>
      </c>
      <c r="CG437" t="e">
        <v>#N/A</v>
      </c>
      <c r="CH437" t="e">
        <v>#N/A</v>
      </c>
      <c r="CL437" t="e">
        <f t="shared" si="165"/>
        <v>#N/A</v>
      </c>
      <c r="CM437" t="e">
        <v>#N/A</v>
      </c>
      <c r="CN437" t="e" cm="1">
        <f t="array" ref="CN437">IF(ISNUMBER(CM437),AF437/COUNT(IF(ISNUMBER(_xlfn.ANCHORARRAY($CM$11)),_xlfn.ANCHORARRAY($CM$11))),NA())</f>
        <v>#N/A</v>
      </c>
      <c r="CO437" t="e">
        <f t="shared" si="166"/>
        <v>#N/A</v>
      </c>
      <c r="CQ437" t="e">
        <f t="shared" si="167"/>
        <v>#N/A</v>
      </c>
      <c r="CR437" t="e">
        <f t="shared" si="168"/>
        <v>#N/A</v>
      </c>
      <c r="CT437" t="e">
        <v>#N/A</v>
      </c>
      <c r="CU437" t="e">
        <v>#N/A</v>
      </c>
      <c r="CY437" t="e">
        <f t="shared" si="169"/>
        <v>#N/A</v>
      </c>
      <c r="CZ437" t="e">
        <v>#N/A</v>
      </c>
      <c r="DA437" t="e" cm="1">
        <f t="array" ref="DA437">IF(ISNUMBER(CZ437),AF437/COUNT(IF(ISNUMBER(_xlfn.ANCHORARRAY($CZ$11)),_xlfn.ANCHORARRAY($CZ$11))),NA())</f>
        <v>#N/A</v>
      </c>
      <c r="DB437" t="e">
        <f t="shared" si="170"/>
        <v>#N/A</v>
      </c>
      <c r="DD437" t="e">
        <f t="shared" si="171"/>
        <v>#N/A</v>
      </c>
      <c r="DE437" t="e">
        <f t="shared" si="172"/>
        <v>#N/A</v>
      </c>
      <c r="DG437" t="e">
        <v>#N/A</v>
      </c>
      <c r="DH437" t="e">
        <v>#N/A</v>
      </c>
    </row>
    <row r="438" spans="32:112">
      <c r="AF438">
        <v>428</v>
      </c>
      <c r="AG438" s="401">
        <f>'Lab test'!N431</f>
        <v>23.876000000000001</v>
      </c>
      <c r="AH438" s="401">
        <f>'Lab test'!M431</f>
        <v>8.1279999999999991E-2</v>
      </c>
      <c r="AI438">
        <f>IF('Lab test'!O431&gt;0,'Lab test'!O431,NA())</f>
        <v>135.001</v>
      </c>
      <c r="AJ438">
        <f>'Lab test'!Q431</f>
        <v>293.75000000000006</v>
      </c>
      <c r="AK438" s="401">
        <f>IF('Lab test'!V431&gt;0,'Lab test'!V431,NA())</f>
        <v>113763.49533727797</v>
      </c>
      <c r="AL438" s="7">
        <f>IF(MAX('Lab test'!W431,'Lab test'!X431)&gt;0,MAX('Lab test'!W431,'Lab test'!X431),NA())</f>
        <v>186.15844691554577</v>
      </c>
      <c r="AM438" s="401">
        <f>IF('Lab test'!P431&gt;0,'Lab test'!P431,NA())</f>
        <v>0.32990316162183381</v>
      </c>
      <c r="AN438" s="401">
        <f>IF('Lab test'!AU431&gt;0,'Lab test'!AU431,NA())</f>
        <v>0.49007988329055813</v>
      </c>
      <c r="AO438" s="401">
        <f>IF('Lab test'!AT431&gt;0,'Lab test'!AT431,NA())</f>
        <v>0.38922963123581278</v>
      </c>
      <c r="AP438">
        <f t="shared" si="173"/>
        <v>1</v>
      </c>
      <c r="AQ438" s="401">
        <f>'Lab test'!AZ431</f>
        <v>1934</v>
      </c>
      <c r="AR438" t="str">
        <f>'Lab test'!AC431</f>
        <v>LTWb</v>
      </c>
      <c r="AS438" t="str">
        <f>'Lab test'!T431</f>
        <v>Brass</v>
      </c>
      <c r="AX438" t="e">
        <f t="shared" si="158"/>
        <v>#N/A</v>
      </c>
      <c r="AY438" t="e">
        <f t="shared" si="177"/>
        <v>#N/A</v>
      </c>
      <c r="AZ438" t="e">
        <f t="shared" si="174"/>
        <v>#N/A</v>
      </c>
      <c r="BA438" t="e">
        <f t="shared" si="174"/>
        <v>#N/A</v>
      </c>
      <c r="BB438" t="e">
        <f t="shared" si="174"/>
        <v>#N/A</v>
      </c>
      <c r="BC438" t="e">
        <f t="shared" si="174"/>
        <v>#N/A</v>
      </c>
      <c r="BD438" t="e">
        <f t="shared" si="174"/>
        <v>#N/A</v>
      </c>
      <c r="BG438" t="e">
        <f t="shared" si="159"/>
        <v>#N/A</v>
      </c>
      <c r="BH438" t="e">
        <f t="shared" si="178"/>
        <v>#N/A</v>
      </c>
      <c r="BI438" t="e">
        <f t="shared" si="175"/>
        <v>#N/A</v>
      </c>
      <c r="BJ438" t="e">
        <f t="shared" si="175"/>
        <v>#N/A</v>
      </c>
      <c r="BK438" t="e">
        <f t="shared" si="175"/>
        <v>#N/A</v>
      </c>
      <c r="BL438" t="e">
        <f t="shared" si="175"/>
        <v>#N/A</v>
      </c>
      <c r="BM438" t="e">
        <f t="shared" si="175"/>
        <v>#N/A</v>
      </c>
      <c r="BP438" t="e">
        <f t="shared" si="160"/>
        <v>#N/A</v>
      </c>
      <c r="BQ438">
        <f t="shared" si="179"/>
        <v>113763.49533727797</v>
      </c>
      <c r="BR438" t="e">
        <f t="shared" si="176"/>
        <v>#N/A</v>
      </c>
      <c r="BS438" t="e">
        <f t="shared" si="176"/>
        <v>#N/A</v>
      </c>
      <c r="BT438" t="e">
        <f t="shared" si="176"/>
        <v>#N/A</v>
      </c>
      <c r="BU438" t="e">
        <f t="shared" si="176"/>
        <v>#N/A</v>
      </c>
      <c r="BV438" t="e">
        <f t="shared" si="176"/>
        <v>#N/A</v>
      </c>
      <c r="BY438" t="e">
        <f t="shared" si="161"/>
        <v>#N/A</v>
      </c>
      <c r="BZ438" t="e">
        <v>#N/A</v>
      </c>
      <c r="CA438" t="e" cm="1">
        <f t="array" ref="CA438">IF(ISNUMBER(BZ438),AF438/COUNT(IF(ISNUMBER(_xlfn.ANCHORARRAY($BZ$11)),_xlfn.ANCHORARRAY($BZ$11))),NA())</f>
        <v>#N/A</v>
      </c>
      <c r="CB438" t="e">
        <f t="shared" si="162"/>
        <v>#N/A</v>
      </c>
      <c r="CD438" t="e">
        <f t="shared" si="163"/>
        <v>#N/A</v>
      </c>
      <c r="CE438" t="e">
        <f t="shared" si="164"/>
        <v>#N/A</v>
      </c>
      <c r="CG438" t="e">
        <v>#N/A</v>
      </c>
      <c r="CH438" t="e">
        <v>#N/A</v>
      </c>
      <c r="CL438" t="e">
        <f t="shared" si="165"/>
        <v>#N/A</v>
      </c>
      <c r="CM438" t="e">
        <v>#N/A</v>
      </c>
      <c r="CN438" t="e" cm="1">
        <f t="array" ref="CN438">IF(ISNUMBER(CM438),AF438/COUNT(IF(ISNUMBER(_xlfn.ANCHORARRAY($CM$11)),_xlfn.ANCHORARRAY($CM$11))),NA())</f>
        <v>#N/A</v>
      </c>
      <c r="CO438" t="e">
        <f t="shared" si="166"/>
        <v>#N/A</v>
      </c>
      <c r="CQ438" t="e">
        <f t="shared" si="167"/>
        <v>#N/A</v>
      </c>
      <c r="CR438" t="e">
        <f t="shared" si="168"/>
        <v>#N/A</v>
      </c>
      <c r="CT438" t="e">
        <v>#N/A</v>
      </c>
      <c r="CU438" t="e">
        <v>#N/A</v>
      </c>
      <c r="CY438">
        <f t="shared" si="169"/>
        <v>113763.49533727797</v>
      </c>
      <c r="CZ438" t="e">
        <v>#N/A</v>
      </c>
      <c r="DA438" t="e" cm="1">
        <f t="array" ref="DA438">IF(ISNUMBER(CZ438),AF438/COUNT(IF(ISNUMBER(_xlfn.ANCHORARRAY($CZ$11)),_xlfn.ANCHORARRAY($CZ$11))),NA())</f>
        <v>#N/A</v>
      </c>
      <c r="DB438" t="e">
        <f t="shared" si="170"/>
        <v>#N/A</v>
      </c>
      <c r="DD438" t="e">
        <f t="shared" si="171"/>
        <v>#N/A</v>
      </c>
      <c r="DE438" t="e">
        <f t="shared" si="172"/>
        <v>#N/A</v>
      </c>
      <c r="DG438" t="e">
        <v>#N/A</v>
      </c>
      <c r="DH438" t="e">
        <v>#N/A</v>
      </c>
    </row>
    <row r="439" spans="32:112">
      <c r="AF439">
        <v>429</v>
      </c>
      <c r="AG439" s="401">
        <f>'Lab test'!N432</f>
        <v>47.625</v>
      </c>
      <c r="AH439" s="401">
        <f>'Lab test'!M432</f>
        <v>7.4929999999999997E-2</v>
      </c>
      <c r="AI439">
        <f>IF('Lab test'!O432&gt;0,'Lab test'!O432,NA())</f>
        <v>135.001</v>
      </c>
      <c r="AJ439">
        <f>'Lab test'!Q432</f>
        <v>635.59322033898309</v>
      </c>
      <c r="AK439" s="401">
        <f>IF('Lab test'!V432&gt;0,'Lab test'!V432,NA())</f>
        <v>210979.57317095189</v>
      </c>
      <c r="AL439" s="7">
        <f>IF(MAX('Lab test'!W432,'Lab test'!X432)&gt;0,MAX('Lab test'!W432,'Lab test'!X432),NA())</f>
        <v>335.08520444798239</v>
      </c>
      <c r="AM439" s="401">
        <f>IF('Lab test'!P432&gt;0,'Lab test'!P432,NA())</f>
        <v>0.11243780758630441</v>
      </c>
      <c r="AN439" s="401">
        <f>IF('Lab test'!AU432&gt;0,'Lab test'!AU432,NA())</f>
        <v>0.16997725164603367</v>
      </c>
      <c r="AO439" s="401">
        <f>IF('Lab test'!AT432&gt;0,'Lab test'!AT432,NA())</f>
        <v>0.2835085920793407</v>
      </c>
      <c r="AP439">
        <f t="shared" si="173"/>
        <v>1</v>
      </c>
      <c r="AQ439" s="401">
        <f>'Lab test'!AZ432</f>
        <v>1934</v>
      </c>
      <c r="AR439" t="str">
        <f>'Lab test'!AC432</f>
        <v>LTWb</v>
      </c>
      <c r="AS439" t="str">
        <f>'Lab test'!T432</f>
        <v>Steel</v>
      </c>
      <c r="AX439" t="e">
        <f t="shared" si="158"/>
        <v>#N/A</v>
      </c>
      <c r="AY439" t="e">
        <f t="shared" si="177"/>
        <v>#N/A</v>
      </c>
      <c r="AZ439">
        <f t="shared" si="174"/>
        <v>210979.57317095189</v>
      </c>
      <c r="BA439" t="e">
        <f t="shared" si="174"/>
        <v>#N/A</v>
      </c>
      <c r="BB439" t="e">
        <f t="shared" si="174"/>
        <v>#N/A</v>
      </c>
      <c r="BC439" t="e">
        <f t="shared" si="174"/>
        <v>#N/A</v>
      </c>
      <c r="BD439" t="e">
        <f t="shared" si="174"/>
        <v>#N/A</v>
      </c>
      <c r="BG439" t="e">
        <f t="shared" si="159"/>
        <v>#N/A</v>
      </c>
      <c r="BH439" t="e">
        <f t="shared" si="178"/>
        <v>#N/A</v>
      </c>
      <c r="BI439" t="e">
        <f t="shared" si="175"/>
        <v>#N/A</v>
      </c>
      <c r="BJ439" t="e">
        <f t="shared" si="175"/>
        <v>#N/A</v>
      </c>
      <c r="BK439" t="e">
        <f t="shared" si="175"/>
        <v>#N/A</v>
      </c>
      <c r="BL439" t="e">
        <f t="shared" si="175"/>
        <v>#N/A</v>
      </c>
      <c r="BM439" t="e">
        <f t="shared" si="175"/>
        <v>#N/A</v>
      </c>
      <c r="BP439" t="e">
        <f t="shared" si="160"/>
        <v>#N/A</v>
      </c>
      <c r="BQ439" t="e">
        <f t="shared" si="179"/>
        <v>#N/A</v>
      </c>
      <c r="BR439" t="e">
        <f t="shared" si="176"/>
        <v>#N/A</v>
      </c>
      <c r="BS439" t="e">
        <f t="shared" si="176"/>
        <v>#N/A</v>
      </c>
      <c r="BT439" t="e">
        <f t="shared" si="176"/>
        <v>#N/A</v>
      </c>
      <c r="BU439" t="e">
        <f t="shared" si="176"/>
        <v>#N/A</v>
      </c>
      <c r="BV439" t="e">
        <f t="shared" si="176"/>
        <v>#N/A</v>
      </c>
      <c r="BY439">
        <f t="shared" si="161"/>
        <v>210979.57317095189</v>
      </c>
      <c r="BZ439" t="e">
        <v>#N/A</v>
      </c>
      <c r="CA439" t="e" cm="1">
        <f t="array" ref="CA439">IF(ISNUMBER(BZ439),AF439/COUNT(IF(ISNUMBER(_xlfn.ANCHORARRAY($BZ$11)),_xlfn.ANCHORARRAY($BZ$11))),NA())</f>
        <v>#N/A</v>
      </c>
      <c r="CB439" t="e">
        <f t="shared" si="162"/>
        <v>#N/A</v>
      </c>
      <c r="CD439" t="e">
        <f t="shared" si="163"/>
        <v>#N/A</v>
      </c>
      <c r="CE439" t="e">
        <f t="shared" si="164"/>
        <v>#N/A</v>
      </c>
      <c r="CG439" t="e">
        <v>#N/A</v>
      </c>
      <c r="CH439" t="e">
        <v>#N/A</v>
      </c>
      <c r="CL439" t="e">
        <f t="shared" si="165"/>
        <v>#N/A</v>
      </c>
      <c r="CM439" t="e">
        <v>#N/A</v>
      </c>
      <c r="CN439" t="e" cm="1">
        <f t="array" ref="CN439">IF(ISNUMBER(CM439),AF439/COUNT(IF(ISNUMBER(_xlfn.ANCHORARRAY($CM$11)),_xlfn.ANCHORARRAY($CM$11))),NA())</f>
        <v>#N/A</v>
      </c>
      <c r="CO439" t="e">
        <f t="shared" si="166"/>
        <v>#N/A</v>
      </c>
      <c r="CQ439" t="e">
        <f t="shared" si="167"/>
        <v>#N/A</v>
      </c>
      <c r="CR439" t="e">
        <f t="shared" si="168"/>
        <v>#N/A</v>
      </c>
      <c r="CT439" t="e">
        <v>#N/A</v>
      </c>
      <c r="CU439" t="e">
        <v>#N/A</v>
      </c>
      <c r="CY439" t="e">
        <f t="shared" si="169"/>
        <v>#N/A</v>
      </c>
      <c r="CZ439" t="e">
        <v>#N/A</v>
      </c>
      <c r="DA439" t="e" cm="1">
        <f t="array" ref="DA439">IF(ISNUMBER(CZ439),AF439/COUNT(IF(ISNUMBER(_xlfn.ANCHORARRAY($CZ$11)),_xlfn.ANCHORARRAY($CZ$11))),NA())</f>
        <v>#N/A</v>
      </c>
      <c r="DB439" t="e">
        <f t="shared" si="170"/>
        <v>#N/A</v>
      </c>
      <c r="DD439" t="e">
        <f t="shared" si="171"/>
        <v>#N/A</v>
      </c>
      <c r="DE439" t="e">
        <f t="shared" si="172"/>
        <v>#N/A</v>
      </c>
      <c r="DG439" t="e">
        <v>#N/A</v>
      </c>
      <c r="DH439" t="e">
        <v>#N/A</v>
      </c>
    </row>
    <row r="440" spans="32:112">
      <c r="AF440">
        <v>430</v>
      </c>
      <c r="AG440" s="401">
        <f>'Lab test'!N433</f>
        <v>47.625</v>
      </c>
      <c r="AH440" s="401">
        <f>'Lab test'!M433</f>
        <v>7.4929999999999997E-2</v>
      </c>
      <c r="AI440">
        <f>IF('Lab test'!O433&gt;0,'Lab test'!O433,NA())</f>
        <v>135.001</v>
      </c>
      <c r="AJ440">
        <f>'Lab test'!Q433</f>
        <v>635.59322033898309</v>
      </c>
      <c r="AK440" s="401">
        <f>IF('Lab test'!V433&gt;0,'Lab test'!V433,NA())</f>
        <v>210979.57317095189</v>
      </c>
      <c r="AL440" s="7">
        <f>IF(MAX('Lab test'!W433,'Lab test'!X433)&gt;0,MAX('Lab test'!W433,'Lab test'!X433),NA())</f>
        <v>335.08520444798239</v>
      </c>
      <c r="AM440" s="401">
        <f>IF('Lab test'!P433&gt;0,'Lab test'!P433,NA())</f>
        <v>0.11243780758630441</v>
      </c>
      <c r="AN440" s="401">
        <f>IF('Lab test'!AU433&gt;0,'Lab test'!AU433,NA())</f>
        <v>0.16997725164603367</v>
      </c>
      <c r="AO440" s="401">
        <f>IF('Lab test'!AT433&gt;0,'Lab test'!AT433,NA())</f>
        <v>0.2835085920793407</v>
      </c>
      <c r="AP440">
        <f t="shared" si="173"/>
        <v>1</v>
      </c>
      <c r="AQ440" s="401">
        <f>'Lab test'!AZ433</f>
        <v>1934</v>
      </c>
      <c r="AR440" t="str">
        <f>'Lab test'!AC433</f>
        <v>LTWb</v>
      </c>
      <c r="AS440" t="str">
        <f>'Lab test'!T433</f>
        <v>Steel</v>
      </c>
      <c r="AX440" t="e">
        <f t="shared" si="158"/>
        <v>#N/A</v>
      </c>
      <c r="AY440" t="e">
        <f t="shared" si="177"/>
        <v>#N/A</v>
      </c>
      <c r="AZ440">
        <f t="shared" si="174"/>
        <v>210979.57317095189</v>
      </c>
      <c r="BA440" t="e">
        <f t="shared" si="174"/>
        <v>#N/A</v>
      </c>
      <c r="BB440" t="e">
        <f t="shared" si="174"/>
        <v>#N/A</v>
      </c>
      <c r="BC440" t="e">
        <f t="shared" si="174"/>
        <v>#N/A</v>
      </c>
      <c r="BD440" t="e">
        <f t="shared" si="174"/>
        <v>#N/A</v>
      </c>
      <c r="BG440" t="e">
        <f t="shared" si="159"/>
        <v>#N/A</v>
      </c>
      <c r="BH440" t="e">
        <f t="shared" si="178"/>
        <v>#N/A</v>
      </c>
      <c r="BI440" t="e">
        <f t="shared" si="175"/>
        <v>#N/A</v>
      </c>
      <c r="BJ440" t="e">
        <f t="shared" si="175"/>
        <v>#N/A</v>
      </c>
      <c r="BK440" t="e">
        <f t="shared" si="175"/>
        <v>#N/A</v>
      </c>
      <c r="BL440" t="e">
        <f t="shared" si="175"/>
        <v>#N/A</v>
      </c>
      <c r="BM440" t="e">
        <f t="shared" si="175"/>
        <v>#N/A</v>
      </c>
      <c r="BP440" t="e">
        <f t="shared" si="160"/>
        <v>#N/A</v>
      </c>
      <c r="BQ440" t="e">
        <f t="shared" si="179"/>
        <v>#N/A</v>
      </c>
      <c r="BR440" t="e">
        <f t="shared" si="176"/>
        <v>#N/A</v>
      </c>
      <c r="BS440" t="e">
        <f t="shared" si="176"/>
        <v>#N/A</v>
      </c>
      <c r="BT440" t="e">
        <f t="shared" si="176"/>
        <v>#N/A</v>
      </c>
      <c r="BU440" t="e">
        <f t="shared" si="176"/>
        <v>#N/A</v>
      </c>
      <c r="BV440" t="e">
        <f t="shared" si="176"/>
        <v>#N/A</v>
      </c>
      <c r="BY440">
        <f t="shared" si="161"/>
        <v>210979.57317095189</v>
      </c>
      <c r="BZ440" t="e">
        <v>#N/A</v>
      </c>
      <c r="CA440" t="e" cm="1">
        <f t="array" ref="CA440">IF(ISNUMBER(BZ440),AF440/COUNT(IF(ISNUMBER(_xlfn.ANCHORARRAY($BZ$11)),_xlfn.ANCHORARRAY($BZ$11))),NA())</f>
        <v>#N/A</v>
      </c>
      <c r="CB440" t="e">
        <f t="shared" si="162"/>
        <v>#N/A</v>
      </c>
      <c r="CD440" t="e">
        <f t="shared" si="163"/>
        <v>#N/A</v>
      </c>
      <c r="CE440" t="e">
        <f t="shared" si="164"/>
        <v>#N/A</v>
      </c>
      <c r="CG440" t="e">
        <v>#N/A</v>
      </c>
      <c r="CH440" t="e">
        <v>#N/A</v>
      </c>
      <c r="CL440" t="e">
        <f t="shared" si="165"/>
        <v>#N/A</v>
      </c>
      <c r="CM440" t="e">
        <v>#N/A</v>
      </c>
      <c r="CN440" t="e" cm="1">
        <f t="array" ref="CN440">IF(ISNUMBER(CM440),AF440/COUNT(IF(ISNUMBER(_xlfn.ANCHORARRAY($CM$11)),_xlfn.ANCHORARRAY($CM$11))),NA())</f>
        <v>#N/A</v>
      </c>
      <c r="CO440" t="e">
        <f t="shared" si="166"/>
        <v>#N/A</v>
      </c>
      <c r="CQ440" t="e">
        <f t="shared" si="167"/>
        <v>#N/A</v>
      </c>
      <c r="CR440" t="e">
        <f t="shared" si="168"/>
        <v>#N/A</v>
      </c>
      <c r="CT440" t="e">
        <v>#N/A</v>
      </c>
      <c r="CU440" t="e">
        <v>#N/A</v>
      </c>
      <c r="CY440" t="e">
        <f t="shared" si="169"/>
        <v>#N/A</v>
      </c>
      <c r="CZ440" t="e">
        <v>#N/A</v>
      </c>
      <c r="DA440" t="e" cm="1">
        <f t="array" ref="DA440">IF(ISNUMBER(CZ440),AF440/COUNT(IF(ISNUMBER(_xlfn.ANCHORARRAY($CZ$11)),_xlfn.ANCHORARRAY($CZ$11))),NA())</f>
        <v>#N/A</v>
      </c>
      <c r="DB440" t="e">
        <f t="shared" si="170"/>
        <v>#N/A</v>
      </c>
      <c r="DD440" t="e">
        <f t="shared" si="171"/>
        <v>#N/A</v>
      </c>
      <c r="DE440" t="e">
        <f t="shared" si="172"/>
        <v>#N/A</v>
      </c>
      <c r="DG440" t="e">
        <v>#N/A</v>
      </c>
      <c r="DH440" t="e">
        <v>#N/A</v>
      </c>
    </row>
    <row r="441" spans="32:112">
      <c r="AF441">
        <v>431</v>
      </c>
      <c r="AG441" s="401">
        <f>'Lab test'!N434</f>
        <v>23.876000000000001</v>
      </c>
      <c r="AH441" s="401">
        <f>'Lab test'!M434</f>
        <v>5.1816000000000008E-2</v>
      </c>
      <c r="AI441">
        <f>IF('Lab test'!O434&gt;0,'Lab test'!O434,NA())</f>
        <v>287.40100000000001</v>
      </c>
      <c r="AJ441">
        <f>'Lab test'!Q434</f>
        <v>460.78431372549016</v>
      </c>
      <c r="AK441" s="401">
        <f>IF('Lab test'!V434&gt;0,'Lab test'!V434,NA())</f>
        <v>186572.13235313585</v>
      </c>
      <c r="AL441" s="7">
        <f>IF(MAX('Lab test'!W434,'Lab test'!X434)&gt;0,MAX('Lab test'!W434,'Lab test'!X434),NA())</f>
        <v>367.49056372587364</v>
      </c>
      <c r="AM441" s="401">
        <f>IF('Lab test'!P434&gt;0,'Lab test'!P434,NA())</f>
        <v>0.56076107754703686</v>
      </c>
      <c r="AN441" s="401">
        <f>IF('Lab test'!AU434&gt;0,'Lab test'!AU434,NA())</f>
        <v>0.19471223704293225</v>
      </c>
      <c r="AO441" s="401">
        <f>IF('Lab test'!AT434&gt;0,'Lab test'!AT434,NA())</f>
        <v>0.29199248411835044</v>
      </c>
      <c r="AP441">
        <f t="shared" si="173"/>
        <v>1</v>
      </c>
      <c r="AQ441" s="401">
        <f>'Lab test'!AZ434</f>
        <v>1934</v>
      </c>
      <c r="AR441" t="str">
        <f>'Lab test'!AC434</f>
        <v>LTWb</v>
      </c>
      <c r="AS441" t="str">
        <f>'Lab test'!T434</f>
        <v>Steel</v>
      </c>
      <c r="AX441" t="e">
        <f t="shared" si="158"/>
        <v>#N/A</v>
      </c>
      <c r="AY441" t="e">
        <f t="shared" si="177"/>
        <v>#N/A</v>
      </c>
      <c r="AZ441">
        <f t="shared" si="174"/>
        <v>186572.13235313585</v>
      </c>
      <c r="BA441" t="e">
        <f t="shared" si="174"/>
        <v>#N/A</v>
      </c>
      <c r="BB441" t="e">
        <f t="shared" si="174"/>
        <v>#N/A</v>
      </c>
      <c r="BC441" t="e">
        <f t="shared" si="174"/>
        <v>#N/A</v>
      </c>
      <c r="BD441" t="e">
        <f t="shared" si="174"/>
        <v>#N/A</v>
      </c>
      <c r="BG441" t="e">
        <f t="shared" si="159"/>
        <v>#N/A</v>
      </c>
      <c r="BH441" t="e">
        <f t="shared" si="178"/>
        <v>#N/A</v>
      </c>
      <c r="BI441" t="e">
        <f t="shared" si="175"/>
        <v>#N/A</v>
      </c>
      <c r="BJ441" t="e">
        <f t="shared" si="175"/>
        <v>#N/A</v>
      </c>
      <c r="BK441" t="e">
        <f t="shared" si="175"/>
        <v>#N/A</v>
      </c>
      <c r="BL441" t="e">
        <f t="shared" si="175"/>
        <v>#N/A</v>
      </c>
      <c r="BM441" t="e">
        <f t="shared" si="175"/>
        <v>#N/A</v>
      </c>
      <c r="BP441" t="e">
        <f t="shared" si="160"/>
        <v>#N/A</v>
      </c>
      <c r="BQ441" t="e">
        <f t="shared" si="179"/>
        <v>#N/A</v>
      </c>
      <c r="BR441" t="e">
        <f t="shared" si="176"/>
        <v>#N/A</v>
      </c>
      <c r="BS441" t="e">
        <f t="shared" si="176"/>
        <v>#N/A</v>
      </c>
      <c r="BT441" t="e">
        <f t="shared" si="176"/>
        <v>#N/A</v>
      </c>
      <c r="BU441" t="e">
        <f t="shared" si="176"/>
        <v>#N/A</v>
      </c>
      <c r="BV441" t="e">
        <f t="shared" si="176"/>
        <v>#N/A</v>
      </c>
      <c r="BY441">
        <f t="shared" si="161"/>
        <v>186572.13235313585</v>
      </c>
      <c r="BZ441" t="e">
        <v>#N/A</v>
      </c>
      <c r="CA441" t="e" cm="1">
        <f t="array" ref="CA441">IF(ISNUMBER(BZ441),AF441/COUNT(IF(ISNUMBER(_xlfn.ANCHORARRAY($BZ$11)),_xlfn.ANCHORARRAY($BZ$11))),NA())</f>
        <v>#N/A</v>
      </c>
      <c r="CB441" t="e">
        <f t="shared" si="162"/>
        <v>#N/A</v>
      </c>
      <c r="CD441" t="e">
        <f t="shared" si="163"/>
        <v>#N/A</v>
      </c>
      <c r="CE441" t="e">
        <f t="shared" si="164"/>
        <v>#N/A</v>
      </c>
      <c r="CG441" t="e">
        <v>#N/A</v>
      </c>
      <c r="CH441" t="e">
        <v>#N/A</v>
      </c>
      <c r="CL441" t="e">
        <f t="shared" si="165"/>
        <v>#N/A</v>
      </c>
      <c r="CM441" t="e">
        <v>#N/A</v>
      </c>
      <c r="CN441" t="e" cm="1">
        <f t="array" ref="CN441">IF(ISNUMBER(CM441),AF441/COUNT(IF(ISNUMBER(_xlfn.ANCHORARRAY($CM$11)),_xlfn.ANCHORARRAY($CM$11))),NA())</f>
        <v>#N/A</v>
      </c>
      <c r="CO441" t="e">
        <f t="shared" si="166"/>
        <v>#N/A</v>
      </c>
      <c r="CQ441" t="e">
        <f t="shared" si="167"/>
        <v>#N/A</v>
      </c>
      <c r="CR441" t="e">
        <f t="shared" si="168"/>
        <v>#N/A</v>
      </c>
      <c r="CT441" t="e">
        <v>#N/A</v>
      </c>
      <c r="CU441" t="e">
        <v>#N/A</v>
      </c>
      <c r="CY441" t="e">
        <f t="shared" si="169"/>
        <v>#N/A</v>
      </c>
      <c r="CZ441" t="e">
        <v>#N/A</v>
      </c>
      <c r="DA441" t="e" cm="1">
        <f t="array" ref="DA441">IF(ISNUMBER(CZ441),AF441/COUNT(IF(ISNUMBER(_xlfn.ANCHORARRAY($CZ$11)),_xlfn.ANCHORARRAY($CZ$11))),NA())</f>
        <v>#N/A</v>
      </c>
      <c r="DB441" t="e">
        <f t="shared" si="170"/>
        <v>#N/A</v>
      </c>
      <c r="DD441" t="e">
        <f t="shared" si="171"/>
        <v>#N/A</v>
      </c>
      <c r="DE441" t="e">
        <f t="shared" si="172"/>
        <v>#N/A</v>
      </c>
      <c r="DG441" t="e">
        <v>#N/A</v>
      </c>
      <c r="DH441" t="e">
        <v>#N/A</v>
      </c>
    </row>
    <row r="442" spans="32:112">
      <c r="AF442">
        <v>432</v>
      </c>
      <c r="AG442" s="401">
        <f>'Lab test'!N435</f>
        <v>23.876000000000001</v>
      </c>
      <c r="AH442" s="401">
        <f>'Lab test'!M435</f>
        <v>5.1816000000000008E-2</v>
      </c>
      <c r="AI442">
        <f>IF('Lab test'!O435&gt;0,'Lab test'!O435,NA())</f>
        <v>287.40100000000001</v>
      </c>
      <c r="AJ442">
        <f>'Lab test'!Q435</f>
        <v>460.78431372549016</v>
      </c>
      <c r="AK442" s="401">
        <f>IF('Lab test'!V435&gt;0,'Lab test'!V435,NA())</f>
        <v>186572.13235313585</v>
      </c>
      <c r="AL442" s="7">
        <f>IF(MAX('Lab test'!W435,'Lab test'!X435)&gt;0,MAX('Lab test'!W435,'Lab test'!X435),NA())</f>
        <v>367.49056372587364</v>
      </c>
      <c r="AM442" s="401">
        <f>IF('Lab test'!P435&gt;0,'Lab test'!P435,NA())</f>
        <v>0.56076107754703686</v>
      </c>
      <c r="AN442" s="401">
        <f>IF('Lab test'!AU435&gt;0,'Lab test'!AU435,NA())</f>
        <v>0.20250072652464954</v>
      </c>
      <c r="AO442" s="401">
        <f>IF('Lab test'!AT435&gt;0,'Lab test'!AT435,NA())</f>
        <v>0.30367218348308445</v>
      </c>
      <c r="AP442">
        <f t="shared" si="173"/>
        <v>1</v>
      </c>
      <c r="AQ442" s="401">
        <f>'Lab test'!AZ435</f>
        <v>1934</v>
      </c>
      <c r="AR442" t="str">
        <f>'Lab test'!AC435</f>
        <v>LTWb</v>
      </c>
      <c r="AS442" t="str">
        <f>'Lab test'!T435</f>
        <v>Steel</v>
      </c>
      <c r="AX442" t="e">
        <f t="shared" si="158"/>
        <v>#N/A</v>
      </c>
      <c r="AY442" t="e">
        <f t="shared" si="177"/>
        <v>#N/A</v>
      </c>
      <c r="AZ442">
        <f t="shared" si="174"/>
        <v>186572.13235313585</v>
      </c>
      <c r="BA442" t="e">
        <f t="shared" si="174"/>
        <v>#N/A</v>
      </c>
      <c r="BB442" t="e">
        <f t="shared" si="174"/>
        <v>#N/A</v>
      </c>
      <c r="BC442" t="e">
        <f t="shared" si="174"/>
        <v>#N/A</v>
      </c>
      <c r="BD442" t="e">
        <f t="shared" si="174"/>
        <v>#N/A</v>
      </c>
      <c r="BG442" t="e">
        <f t="shared" si="159"/>
        <v>#N/A</v>
      </c>
      <c r="BH442" t="e">
        <f t="shared" si="178"/>
        <v>#N/A</v>
      </c>
      <c r="BI442" t="e">
        <f t="shared" si="175"/>
        <v>#N/A</v>
      </c>
      <c r="BJ442" t="e">
        <f t="shared" si="175"/>
        <v>#N/A</v>
      </c>
      <c r="BK442" t="e">
        <f t="shared" si="175"/>
        <v>#N/A</v>
      </c>
      <c r="BL442" t="e">
        <f t="shared" si="175"/>
        <v>#N/A</v>
      </c>
      <c r="BM442" t="e">
        <f t="shared" si="175"/>
        <v>#N/A</v>
      </c>
      <c r="BP442" t="e">
        <f t="shared" si="160"/>
        <v>#N/A</v>
      </c>
      <c r="BQ442" t="e">
        <f t="shared" si="179"/>
        <v>#N/A</v>
      </c>
      <c r="BR442" t="e">
        <f t="shared" si="176"/>
        <v>#N/A</v>
      </c>
      <c r="BS442" t="e">
        <f t="shared" si="176"/>
        <v>#N/A</v>
      </c>
      <c r="BT442" t="e">
        <f t="shared" si="176"/>
        <v>#N/A</v>
      </c>
      <c r="BU442" t="e">
        <f t="shared" si="176"/>
        <v>#N/A</v>
      </c>
      <c r="BV442" t="e">
        <f t="shared" si="176"/>
        <v>#N/A</v>
      </c>
      <c r="BY442">
        <f t="shared" si="161"/>
        <v>186572.13235313585</v>
      </c>
      <c r="BZ442" t="e">
        <v>#N/A</v>
      </c>
      <c r="CA442" t="e" cm="1">
        <f t="array" ref="CA442">IF(ISNUMBER(BZ442),AF442/COUNT(IF(ISNUMBER(_xlfn.ANCHORARRAY($BZ$11)),_xlfn.ANCHORARRAY($BZ$11))),NA())</f>
        <v>#N/A</v>
      </c>
      <c r="CB442" t="e">
        <f t="shared" si="162"/>
        <v>#N/A</v>
      </c>
      <c r="CD442" t="e">
        <f t="shared" si="163"/>
        <v>#N/A</v>
      </c>
      <c r="CE442" t="e">
        <f t="shared" si="164"/>
        <v>#N/A</v>
      </c>
      <c r="CG442" t="e">
        <v>#N/A</v>
      </c>
      <c r="CH442" t="e">
        <v>#N/A</v>
      </c>
      <c r="CL442" t="e">
        <f t="shared" si="165"/>
        <v>#N/A</v>
      </c>
      <c r="CM442" t="e">
        <v>#N/A</v>
      </c>
      <c r="CN442" t="e" cm="1">
        <f t="array" ref="CN442">IF(ISNUMBER(CM442),AF442/COUNT(IF(ISNUMBER(_xlfn.ANCHORARRAY($CM$11)),_xlfn.ANCHORARRAY($CM$11))),NA())</f>
        <v>#N/A</v>
      </c>
      <c r="CO442" t="e">
        <f t="shared" si="166"/>
        <v>#N/A</v>
      </c>
      <c r="CQ442" t="e">
        <f t="shared" si="167"/>
        <v>#N/A</v>
      </c>
      <c r="CR442" t="e">
        <f t="shared" si="168"/>
        <v>#N/A</v>
      </c>
      <c r="CT442" t="e">
        <v>#N/A</v>
      </c>
      <c r="CU442" t="e">
        <v>#N/A</v>
      </c>
      <c r="CY442" t="e">
        <f t="shared" si="169"/>
        <v>#N/A</v>
      </c>
      <c r="CZ442" t="e">
        <v>#N/A</v>
      </c>
      <c r="DA442" t="e" cm="1">
        <f t="array" ref="DA442">IF(ISNUMBER(CZ442),AF442/COUNT(IF(ISNUMBER(_xlfn.ANCHORARRAY($CZ$11)),_xlfn.ANCHORARRAY($CZ$11))),NA())</f>
        <v>#N/A</v>
      </c>
      <c r="DB442" t="e">
        <f t="shared" si="170"/>
        <v>#N/A</v>
      </c>
      <c r="DD442" t="e">
        <f t="shared" si="171"/>
        <v>#N/A</v>
      </c>
      <c r="DE442" t="e">
        <f t="shared" si="172"/>
        <v>#N/A</v>
      </c>
      <c r="DG442" t="e">
        <v>#N/A</v>
      </c>
      <c r="DH442" t="e">
        <v>#N/A</v>
      </c>
    </row>
    <row r="443" spans="32:112">
      <c r="AF443">
        <v>433</v>
      </c>
      <c r="AG443" s="401">
        <f>'Lab test'!N436</f>
        <v>23.876000000000001</v>
      </c>
      <c r="AH443" s="401">
        <f>'Lab test'!M436</f>
        <v>5.1816000000000008E-2</v>
      </c>
      <c r="AI443">
        <f>IF('Lab test'!O436&gt;0,'Lab test'!O436,NA())</f>
        <v>287.40100000000001</v>
      </c>
      <c r="AJ443">
        <f>'Lab test'!Q436</f>
        <v>460.78431372549016</v>
      </c>
      <c r="AK443" s="401">
        <f>IF('Lab test'!V436&gt;0,'Lab test'!V436,NA())</f>
        <v>186572.13235313585</v>
      </c>
      <c r="AL443" s="7">
        <f>IF(MAX('Lab test'!W436,'Lab test'!X436)&gt;0,MAX('Lab test'!W436,'Lab test'!X436),NA())</f>
        <v>367.49056372587364</v>
      </c>
      <c r="AM443" s="401">
        <f>IF('Lab test'!P436&gt;0,'Lab test'!P436,NA())</f>
        <v>0.56076107754703686</v>
      </c>
      <c r="AN443" s="401">
        <f>IF('Lab test'!AU436&gt;0,'Lab test'!AU436,NA())</f>
        <v>0.21807770548808414</v>
      </c>
      <c r="AO443" s="401">
        <f>IF('Lab test'!AT436&gt;0,'Lab test'!AT436,NA())</f>
        <v>0.32703158221255252</v>
      </c>
      <c r="AP443">
        <f t="shared" si="173"/>
        <v>1</v>
      </c>
      <c r="AQ443" s="401">
        <f>'Lab test'!AZ436</f>
        <v>1934</v>
      </c>
      <c r="AR443" t="str">
        <f>'Lab test'!AC436</f>
        <v>LTWb</v>
      </c>
      <c r="AS443" t="str">
        <f>'Lab test'!T436</f>
        <v>Steel</v>
      </c>
      <c r="AX443" t="e">
        <f t="shared" si="158"/>
        <v>#N/A</v>
      </c>
      <c r="AY443" t="e">
        <f t="shared" si="177"/>
        <v>#N/A</v>
      </c>
      <c r="AZ443">
        <f t="shared" si="174"/>
        <v>186572.13235313585</v>
      </c>
      <c r="BA443" t="e">
        <f t="shared" si="174"/>
        <v>#N/A</v>
      </c>
      <c r="BB443" t="e">
        <f t="shared" si="174"/>
        <v>#N/A</v>
      </c>
      <c r="BC443" t="e">
        <f t="shared" si="174"/>
        <v>#N/A</v>
      </c>
      <c r="BD443" t="e">
        <f t="shared" si="174"/>
        <v>#N/A</v>
      </c>
      <c r="BG443" t="e">
        <f t="shared" si="159"/>
        <v>#N/A</v>
      </c>
      <c r="BH443" t="e">
        <f t="shared" si="178"/>
        <v>#N/A</v>
      </c>
      <c r="BI443" t="e">
        <f t="shared" si="175"/>
        <v>#N/A</v>
      </c>
      <c r="BJ443" t="e">
        <f t="shared" si="175"/>
        <v>#N/A</v>
      </c>
      <c r="BK443" t="e">
        <f t="shared" si="175"/>
        <v>#N/A</v>
      </c>
      <c r="BL443" t="e">
        <f t="shared" si="175"/>
        <v>#N/A</v>
      </c>
      <c r="BM443" t="e">
        <f t="shared" si="175"/>
        <v>#N/A</v>
      </c>
      <c r="BP443" t="e">
        <f t="shared" si="160"/>
        <v>#N/A</v>
      </c>
      <c r="BQ443" t="e">
        <f t="shared" si="179"/>
        <v>#N/A</v>
      </c>
      <c r="BR443" t="e">
        <f t="shared" si="176"/>
        <v>#N/A</v>
      </c>
      <c r="BS443" t="e">
        <f t="shared" si="176"/>
        <v>#N/A</v>
      </c>
      <c r="BT443" t="e">
        <f t="shared" si="176"/>
        <v>#N/A</v>
      </c>
      <c r="BU443" t="e">
        <f t="shared" si="176"/>
        <v>#N/A</v>
      </c>
      <c r="BV443" t="e">
        <f t="shared" si="176"/>
        <v>#N/A</v>
      </c>
      <c r="BY443">
        <f t="shared" si="161"/>
        <v>186572.13235313585</v>
      </c>
      <c r="BZ443" t="e">
        <v>#N/A</v>
      </c>
      <c r="CA443" t="e" cm="1">
        <f t="array" ref="CA443">IF(ISNUMBER(BZ443),AF443/COUNT(IF(ISNUMBER(_xlfn.ANCHORARRAY($BZ$11)),_xlfn.ANCHORARRAY($BZ$11))),NA())</f>
        <v>#N/A</v>
      </c>
      <c r="CB443" t="e">
        <f t="shared" si="162"/>
        <v>#N/A</v>
      </c>
      <c r="CD443" t="e">
        <f t="shared" si="163"/>
        <v>#N/A</v>
      </c>
      <c r="CE443" t="e">
        <f t="shared" si="164"/>
        <v>#N/A</v>
      </c>
      <c r="CG443" t="e">
        <v>#N/A</v>
      </c>
      <c r="CH443" t="e">
        <v>#N/A</v>
      </c>
      <c r="CL443" t="e">
        <f t="shared" si="165"/>
        <v>#N/A</v>
      </c>
      <c r="CM443" t="e">
        <v>#N/A</v>
      </c>
      <c r="CN443" t="e" cm="1">
        <f t="array" ref="CN443">IF(ISNUMBER(CM443),AF443/COUNT(IF(ISNUMBER(_xlfn.ANCHORARRAY($CM$11)),_xlfn.ANCHORARRAY($CM$11))),NA())</f>
        <v>#N/A</v>
      </c>
      <c r="CO443" t="e">
        <f t="shared" si="166"/>
        <v>#N/A</v>
      </c>
      <c r="CQ443" t="e">
        <f t="shared" si="167"/>
        <v>#N/A</v>
      </c>
      <c r="CR443" t="e">
        <f t="shared" si="168"/>
        <v>#N/A</v>
      </c>
      <c r="CT443" t="e">
        <v>#N/A</v>
      </c>
      <c r="CU443" t="e">
        <v>#N/A</v>
      </c>
      <c r="CY443" t="e">
        <f t="shared" si="169"/>
        <v>#N/A</v>
      </c>
      <c r="CZ443" t="e">
        <v>#N/A</v>
      </c>
      <c r="DA443" t="e" cm="1">
        <f t="array" ref="DA443">IF(ISNUMBER(CZ443),AF443/COUNT(IF(ISNUMBER(_xlfn.ANCHORARRAY($CZ$11)),_xlfn.ANCHORARRAY($CZ$11))),NA())</f>
        <v>#N/A</v>
      </c>
      <c r="DB443" t="e">
        <f t="shared" si="170"/>
        <v>#N/A</v>
      </c>
      <c r="DD443" t="e">
        <f t="shared" si="171"/>
        <v>#N/A</v>
      </c>
      <c r="DE443" t="e">
        <f t="shared" si="172"/>
        <v>#N/A</v>
      </c>
      <c r="DG443" t="e">
        <v>#N/A</v>
      </c>
      <c r="DH443" t="e">
        <v>#N/A</v>
      </c>
    </row>
    <row r="444" spans="32:112">
      <c r="AF444">
        <v>434</v>
      </c>
      <c r="AG444" s="401">
        <f>'Lab test'!N437</f>
        <v>23.876000000000001</v>
      </c>
      <c r="AH444" s="401">
        <f>'Lab test'!M437</f>
        <v>7.4929999999999997E-2</v>
      </c>
      <c r="AI444">
        <f>IF('Lab test'!O437&gt;0,'Lab test'!O437,NA())</f>
        <v>135.001</v>
      </c>
      <c r="AJ444">
        <f>'Lab test'!Q437</f>
        <v>318.64406779661022</v>
      </c>
      <c r="AK444" s="401">
        <f>IF('Lab test'!V437&gt;0,'Lab test'!V437,NA())</f>
        <v>210979.57317095189</v>
      </c>
      <c r="AL444" s="7">
        <f>IF(MAX('Lab test'!W437,'Lab test'!X437)&gt;0,MAX('Lab test'!W437,'Lab test'!X437),NA())</f>
        <v>335.08520444798239</v>
      </c>
      <c r="AM444" s="401">
        <f>IF('Lab test'!P437&gt;0,'Lab test'!P437,NA())</f>
        <v>0.31675428338749489</v>
      </c>
      <c r="AN444" s="401">
        <f>IF('Lab test'!AU437&gt;0,'Lab test'!AU437,NA())</f>
        <v>0.57886648361551429</v>
      </c>
      <c r="AO444" s="401">
        <f>IF('Lab test'!AT437&gt;0,'Lab test'!AT437,NA())</f>
        <v>0.48403905964765487</v>
      </c>
      <c r="AP444">
        <f t="shared" si="173"/>
        <v>1</v>
      </c>
      <c r="AQ444" s="401">
        <f>'Lab test'!AZ437</f>
        <v>1934</v>
      </c>
      <c r="AR444" t="str">
        <f>'Lab test'!AC437</f>
        <v>LTWb</v>
      </c>
      <c r="AS444" t="str">
        <f>'Lab test'!T437</f>
        <v>Steel</v>
      </c>
      <c r="AX444" t="e">
        <f t="shared" si="158"/>
        <v>#N/A</v>
      </c>
      <c r="AY444">
        <f t="shared" si="177"/>
        <v>210979.57317095189</v>
      </c>
      <c r="AZ444" t="e">
        <f t="shared" si="174"/>
        <v>#N/A</v>
      </c>
      <c r="BA444" t="e">
        <f t="shared" si="174"/>
        <v>#N/A</v>
      </c>
      <c r="BB444" t="e">
        <f t="shared" si="174"/>
        <v>#N/A</v>
      </c>
      <c r="BC444" t="e">
        <f t="shared" si="174"/>
        <v>#N/A</v>
      </c>
      <c r="BD444" t="e">
        <f t="shared" si="174"/>
        <v>#N/A</v>
      </c>
      <c r="BG444" t="e">
        <f t="shared" si="159"/>
        <v>#N/A</v>
      </c>
      <c r="BH444" t="e">
        <f t="shared" si="178"/>
        <v>#N/A</v>
      </c>
      <c r="BI444" t="e">
        <f t="shared" si="175"/>
        <v>#N/A</v>
      </c>
      <c r="BJ444" t="e">
        <f t="shared" si="175"/>
        <v>#N/A</v>
      </c>
      <c r="BK444" t="e">
        <f t="shared" si="175"/>
        <v>#N/A</v>
      </c>
      <c r="BL444" t="e">
        <f t="shared" si="175"/>
        <v>#N/A</v>
      </c>
      <c r="BM444" t="e">
        <f t="shared" si="175"/>
        <v>#N/A</v>
      </c>
      <c r="BP444" t="e">
        <f t="shared" si="160"/>
        <v>#N/A</v>
      </c>
      <c r="BQ444" t="e">
        <f t="shared" si="179"/>
        <v>#N/A</v>
      </c>
      <c r="BR444" t="e">
        <f t="shared" si="176"/>
        <v>#N/A</v>
      </c>
      <c r="BS444" t="e">
        <f t="shared" si="176"/>
        <v>#N/A</v>
      </c>
      <c r="BT444" t="e">
        <f t="shared" si="176"/>
        <v>#N/A</v>
      </c>
      <c r="BU444" t="e">
        <f t="shared" si="176"/>
        <v>#N/A</v>
      </c>
      <c r="BV444" t="e">
        <f t="shared" si="176"/>
        <v>#N/A</v>
      </c>
      <c r="BY444">
        <f t="shared" si="161"/>
        <v>210979.57317095189</v>
      </c>
      <c r="BZ444" t="e">
        <v>#N/A</v>
      </c>
      <c r="CA444" t="e" cm="1">
        <f t="array" ref="CA444">IF(ISNUMBER(BZ444),AF444/COUNT(IF(ISNUMBER(_xlfn.ANCHORARRAY($BZ$11)),_xlfn.ANCHORARRAY($BZ$11))),NA())</f>
        <v>#N/A</v>
      </c>
      <c r="CB444" t="e">
        <f t="shared" si="162"/>
        <v>#N/A</v>
      </c>
      <c r="CD444" t="e">
        <f t="shared" si="163"/>
        <v>#N/A</v>
      </c>
      <c r="CE444" t="e">
        <f t="shared" si="164"/>
        <v>#N/A</v>
      </c>
      <c r="CG444" t="e">
        <v>#N/A</v>
      </c>
      <c r="CH444" t="e">
        <v>#N/A</v>
      </c>
      <c r="CL444" t="e">
        <f t="shared" si="165"/>
        <v>#N/A</v>
      </c>
      <c r="CM444" t="e">
        <v>#N/A</v>
      </c>
      <c r="CN444" t="e" cm="1">
        <f t="array" ref="CN444">IF(ISNUMBER(CM444),AF444/COUNT(IF(ISNUMBER(_xlfn.ANCHORARRAY($CM$11)),_xlfn.ANCHORARRAY($CM$11))),NA())</f>
        <v>#N/A</v>
      </c>
      <c r="CO444" t="e">
        <f t="shared" si="166"/>
        <v>#N/A</v>
      </c>
      <c r="CQ444" t="e">
        <f t="shared" si="167"/>
        <v>#N/A</v>
      </c>
      <c r="CR444" t="e">
        <f t="shared" si="168"/>
        <v>#N/A</v>
      </c>
      <c r="CT444" t="e">
        <v>#N/A</v>
      </c>
      <c r="CU444" t="e">
        <v>#N/A</v>
      </c>
      <c r="CY444" t="e">
        <f t="shared" si="169"/>
        <v>#N/A</v>
      </c>
      <c r="CZ444" t="e">
        <v>#N/A</v>
      </c>
      <c r="DA444" t="e" cm="1">
        <f t="array" ref="DA444">IF(ISNUMBER(CZ444),AF444/COUNT(IF(ISNUMBER(_xlfn.ANCHORARRAY($CZ$11)),_xlfn.ANCHORARRAY($CZ$11))),NA())</f>
        <v>#N/A</v>
      </c>
      <c r="DB444" t="e">
        <f t="shared" si="170"/>
        <v>#N/A</v>
      </c>
      <c r="DD444" t="e">
        <f t="shared" si="171"/>
        <v>#N/A</v>
      </c>
      <c r="DE444" t="e">
        <f t="shared" si="172"/>
        <v>#N/A</v>
      </c>
      <c r="DG444" t="e">
        <v>#N/A</v>
      </c>
      <c r="DH444" t="e">
        <v>#N/A</v>
      </c>
    </row>
    <row r="445" spans="32:112">
      <c r="AF445">
        <v>435</v>
      </c>
      <c r="AG445" s="401">
        <f>'Lab test'!N438</f>
        <v>23.876000000000001</v>
      </c>
      <c r="AH445" s="401">
        <f>'Lab test'!M438</f>
        <v>7.4929999999999997E-2</v>
      </c>
      <c r="AI445">
        <f>IF('Lab test'!O438&gt;0,'Lab test'!O438,NA())</f>
        <v>135.001</v>
      </c>
      <c r="AJ445">
        <f>'Lab test'!Q438</f>
        <v>318.64406779661022</v>
      </c>
      <c r="AK445" s="401">
        <f>IF('Lab test'!V438&gt;0,'Lab test'!V438,NA())</f>
        <v>210979.57317095189</v>
      </c>
      <c r="AL445" s="7">
        <f>IF(MAX('Lab test'!W438,'Lab test'!X438)&gt;0,MAX('Lab test'!W438,'Lab test'!X438),NA())</f>
        <v>335.08520444798239</v>
      </c>
      <c r="AM445" s="401">
        <f>IF('Lab test'!P438&gt;0,'Lab test'!P438,NA())</f>
        <v>0.31675428338749489</v>
      </c>
      <c r="AN445" s="401">
        <f>IF('Lab test'!AU438&gt;0,'Lab test'!AU438,NA())</f>
        <v>0.61430728873483142</v>
      </c>
      <c r="AO445" s="401">
        <f>IF('Lab test'!AT438&gt;0,'Lab test'!AT438,NA())</f>
        <v>0.51367410411587855</v>
      </c>
      <c r="AP445">
        <f t="shared" si="173"/>
        <v>1</v>
      </c>
      <c r="AQ445" s="401">
        <f>'Lab test'!AZ438</f>
        <v>1934</v>
      </c>
      <c r="AR445" t="str">
        <f>'Lab test'!AC438</f>
        <v>LTWb</v>
      </c>
      <c r="AS445" t="str">
        <f>'Lab test'!T438</f>
        <v>Steel</v>
      </c>
      <c r="AX445" t="e">
        <f t="shared" si="158"/>
        <v>#N/A</v>
      </c>
      <c r="AY445">
        <f t="shared" si="177"/>
        <v>210979.57317095189</v>
      </c>
      <c r="AZ445" t="e">
        <f t="shared" si="174"/>
        <v>#N/A</v>
      </c>
      <c r="BA445" t="e">
        <f t="shared" si="174"/>
        <v>#N/A</v>
      </c>
      <c r="BB445" t="e">
        <f t="shared" si="174"/>
        <v>#N/A</v>
      </c>
      <c r="BC445" t="e">
        <f t="shared" si="174"/>
        <v>#N/A</v>
      </c>
      <c r="BD445" t="e">
        <f t="shared" si="174"/>
        <v>#N/A</v>
      </c>
      <c r="BG445" t="e">
        <f t="shared" si="159"/>
        <v>#N/A</v>
      </c>
      <c r="BH445" t="e">
        <f t="shared" si="178"/>
        <v>#N/A</v>
      </c>
      <c r="BI445" t="e">
        <f t="shared" si="175"/>
        <v>#N/A</v>
      </c>
      <c r="BJ445" t="e">
        <f t="shared" si="175"/>
        <v>#N/A</v>
      </c>
      <c r="BK445" t="e">
        <f t="shared" si="175"/>
        <v>#N/A</v>
      </c>
      <c r="BL445" t="e">
        <f t="shared" si="175"/>
        <v>#N/A</v>
      </c>
      <c r="BM445" t="e">
        <f t="shared" si="175"/>
        <v>#N/A</v>
      </c>
      <c r="BP445" t="e">
        <f t="shared" si="160"/>
        <v>#N/A</v>
      </c>
      <c r="BQ445" t="e">
        <f t="shared" si="179"/>
        <v>#N/A</v>
      </c>
      <c r="BR445" t="e">
        <f t="shared" si="176"/>
        <v>#N/A</v>
      </c>
      <c r="BS445" t="e">
        <f t="shared" si="176"/>
        <v>#N/A</v>
      </c>
      <c r="BT445" t="e">
        <f t="shared" si="176"/>
        <v>#N/A</v>
      </c>
      <c r="BU445" t="e">
        <f t="shared" si="176"/>
        <v>#N/A</v>
      </c>
      <c r="BV445" t="e">
        <f t="shared" si="176"/>
        <v>#N/A</v>
      </c>
      <c r="BY445">
        <f t="shared" si="161"/>
        <v>210979.57317095189</v>
      </c>
      <c r="BZ445" t="e">
        <v>#N/A</v>
      </c>
      <c r="CA445" t="e" cm="1">
        <f t="array" ref="CA445">IF(ISNUMBER(BZ445),AF445/COUNT(IF(ISNUMBER(_xlfn.ANCHORARRAY($BZ$11)),_xlfn.ANCHORARRAY($BZ$11))),NA())</f>
        <v>#N/A</v>
      </c>
      <c r="CB445" t="e">
        <f t="shared" si="162"/>
        <v>#N/A</v>
      </c>
      <c r="CD445" t="e">
        <f t="shared" si="163"/>
        <v>#N/A</v>
      </c>
      <c r="CE445" t="e">
        <f t="shared" si="164"/>
        <v>#N/A</v>
      </c>
      <c r="CG445" t="e">
        <v>#N/A</v>
      </c>
      <c r="CH445" t="e">
        <v>#N/A</v>
      </c>
      <c r="CL445" t="e">
        <f t="shared" si="165"/>
        <v>#N/A</v>
      </c>
      <c r="CM445" t="e">
        <v>#N/A</v>
      </c>
      <c r="CN445" t="e" cm="1">
        <f t="array" ref="CN445">IF(ISNUMBER(CM445),AF445/COUNT(IF(ISNUMBER(_xlfn.ANCHORARRAY($CM$11)),_xlfn.ANCHORARRAY($CM$11))),NA())</f>
        <v>#N/A</v>
      </c>
      <c r="CO445" t="e">
        <f t="shared" si="166"/>
        <v>#N/A</v>
      </c>
      <c r="CQ445" t="e">
        <f t="shared" si="167"/>
        <v>#N/A</v>
      </c>
      <c r="CR445" t="e">
        <f t="shared" si="168"/>
        <v>#N/A</v>
      </c>
      <c r="CT445" t="e">
        <v>#N/A</v>
      </c>
      <c r="CU445" t="e">
        <v>#N/A</v>
      </c>
      <c r="CY445" t="e">
        <f t="shared" si="169"/>
        <v>#N/A</v>
      </c>
      <c r="CZ445" t="e">
        <v>#N/A</v>
      </c>
      <c r="DA445" t="e" cm="1">
        <f t="array" ref="DA445">IF(ISNUMBER(CZ445),AF445/COUNT(IF(ISNUMBER(_xlfn.ANCHORARRAY($CZ$11)),_xlfn.ANCHORARRAY($CZ$11))),NA())</f>
        <v>#N/A</v>
      </c>
      <c r="DB445" t="e">
        <f t="shared" si="170"/>
        <v>#N/A</v>
      </c>
      <c r="DD445" t="e">
        <f t="shared" si="171"/>
        <v>#N/A</v>
      </c>
      <c r="DE445" t="e">
        <f t="shared" si="172"/>
        <v>#N/A</v>
      </c>
      <c r="DG445" t="e">
        <v>#N/A</v>
      </c>
      <c r="DH445" t="e">
        <v>#N/A</v>
      </c>
    </row>
    <row r="446" spans="32:112">
      <c r="AF446">
        <v>436</v>
      </c>
      <c r="AG446" s="401">
        <f>'Lab test'!N439</f>
        <v>47.625</v>
      </c>
      <c r="AH446" s="401">
        <f>'Lab test'!M439</f>
        <v>5.1816000000000008E-2</v>
      </c>
      <c r="AI446">
        <f>IF('Lab test'!O439&gt;0,'Lab test'!O439,NA())</f>
        <v>33.528000000000006</v>
      </c>
      <c r="AJ446">
        <f>'Lab test'!Q439</f>
        <v>919.11764705882342</v>
      </c>
      <c r="AK446" s="401">
        <f>IF('Lab test'!V439&gt;0,'Lab test'!V439,NA())</f>
        <v>216495.37900548655</v>
      </c>
      <c r="AL446" s="7">
        <f>IF(MAX('Lab test'!W439,'Lab test'!X439)&gt;0,MAX('Lab test'!W439,'Lab test'!X439),NA())</f>
        <v>397.82749581581447</v>
      </c>
      <c r="AM446" s="401">
        <f>IF('Lab test'!P439&gt;0,'Lab test'!P439,NA())</f>
        <v>2.3221330883478671E-2</v>
      </c>
      <c r="AN446" s="401">
        <f>IF('Lab test'!AU439&gt;0,'Lab test'!AU439,NA())</f>
        <v>9.5221527074229373E-2</v>
      </c>
      <c r="AO446" s="401">
        <f>IF('Lab test'!AT439&gt;0,'Lab test'!AT439,NA())</f>
        <v>0.26572580735592816</v>
      </c>
      <c r="AP446">
        <f t="shared" si="173"/>
        <v>1</v>
      </c>
      <c r="AQ446" s="401">
        <f>'Lab test'!AZ439</f>
        <v>1934</v>
      </c>
      <c r="AR446" t="str">
        <f>'Lab test'!AC439</f>
        <v>LTWb</v>
      </c>
      <c r="AS446" t="str">
        <f>'Lab test'!T439</f>
        <v>Steel</v>
      </c>
      <c r="AX446" t="e">
        <f t="shared" si="158"/>
        <v>#N/A</v>
      </c>
      <c r="AY446" t="e">
        <f t="shared" si="177"/>
        <v>#N/A</v>
      </c>
      <c r="AZ446" t="e">
        <f t="shared" si="174"/>
        <v>#N/A</v>
      </c>
      <c r="BA446" t="e">
        <f t="shared" si="174"/>
        <v>#N/A</v>
      </c>
      <c r="BB446">
        <f t="shared" si="174"/>
        <v>216495.37900548655</v>
      </c>
      <c r="BC446" t="e">
        <f t="shared" si="174"/>
        <v>#N/A</v>
      </c>
      <c r="BD446" t="e">
        <f t="shared" si="174"/>
        <v>#N/A</v>
      </c>
      <c r="BG446" t="e">
        <f t="shared" si="159"/>
        <v>#N/A</v>
      </c>
      <c r="BH446" t="e">
        <f t="shared" si="178"/>
        <v>#N/A</v>
      </c>
      <c r="BI446" t="e">
        <f t="shared" si="175"/>
        <v>#N/A</v>
      </c>
      <c r="BJ446" t="e">
        <f t="shared" si="175"/>
        <v>#N/A</v>
      </c>
      <c r="BK446" t="e">
        <f t="shared" si="175"/>
        <v>#N/A</v>
      </c>
      <c r="BL446" t="e">
        <f t="shared" si="175"/>
        <v>#N/A</v>
      </c>
      <c r="BM446" t="e">
        <f t="shared" si="175"/>
        <v>#N/A</v>
      </c>
      <c r="BP446" t="e">
        <f t="shared" si="160"/>
        <v>#N/A</v>
      </c>
      <c r="BQ446" t="e">
        <f t="shared" si="179"/>
        <v>#N/A</v>
      </c>
      <c r="BR446" t="e">
        <f t="shared" si="176"/>
        <v>#N/A</v>
      </c>
      <c r="BS446" t="e">
        <f t="shared" si="176"/>
        <v>#N/A</v>
      </c>
      <c r="BT446" t="e">
        <f t="shared" si="176"/>
        <v>#N/A</v>
      </c>
      <c r="BU446" t="e">
        <f t="shared" si="176"/>
        <v>#N/A</v>
      </c>
      <c r="BV446" t="e">
        <f t="shared" si="176"/>
        <v>#N/A</v>
      </c>
      <c r="BY446">
        <f t="shared" si="161"/>
        <v>216495.37900548655</v>
      </c>
      <c r="BZ446" t="e">
        <v>#N/A</v>
      </c>
      <c r="CA446" t="e" cm="1">
        <f t="array" ref="CA446">IF(ISNUMBER(BZ446),AF446/COUNT(IF(ISNUMBER(_xlfn.ANCHORARRAY($BZ$11)),_xlfn.ANCHORARRAY($BZ$11))),NA())</f>
        <v>#N/A</v>
      </c>
      <c r="CB446" t="e">
        <f t="shared" si="162"/>
        <v>#N/A</v>
      </c>
      <c r="CD446" t="e">
        <f t="shared" si="163"/>
        <v>#N/A</v>
      </c>
      <c r="CE446" t="e">
        <f t="shared" si="164"/>
        <v>#N/A</v>
      </c>
      <c r="CG446" t="e">
        <v>#N/A</v>
      </c>
      <c r="CH446" t="e">
        <v>#N/A</v>
      </c>
      <c r="CL446" t="e">
        <f t="shared" si="165"/>
        <v>#N/A</v>
      </c>
      <c r="CM446" t="e">
        <v>#N/A</v>
      </c>
      <c r="CN446" t="e" cm="1">
        <f t="array" ref="CN446">IF(ISNUMBER(CM446),AF446/COUNT(IF(ISNUMBER(_xlfn.ANCHORARRAY($CM$11)),_xlfn.ANCHORARRAY($CM$11))),NA())</f>
        <v>#N/A</v>
      </c>
      <c r="CO446" t="e">
        <f t="shared" si="166"/>
        <v>#N/A</v>
      </c>
      <c r="CQ446" t="e">
        <f t="shared" si="167"/>
        <v>#N/A</v>
      </c>
      <c r="CR446" t="e">
        <f t="shared" si="168"/>
        <v>#N/A</v>
      </c>
      <c r="CT446" t="e">
        <v>#N/A</v>
      </c>
      <c r="CU446" t="e">
        <v>#N/A</v>
      </c>
      <c r="CY446" t="e">
        <f t="shared" si="169"/>
        <v>#N/A</v>
      </c>
      <c r="CZ446" t="e">
        <v>#N/A</v>
      </c>
      <c r="DA446" t="e" cm="1">
        <f t="array" ref="DA446">IF(ISNUMBER(CZ446),AF446/COUNT(IF(ISNUMBER(_xlfn.ANCHORARRAY($CZ$11)),_xlfn.ANCHORARRAY($CZ$11))),NA())</f>
        <v>#N/A</v>
      </c>
      <c r="DB446" t="e">
        <f t="shared" si="170"/>
        <v>#N/A</v>
      </c>
      <c r="DD446" t="e">
        <f t="shared" si="171"/>
        <v>#N/A</v>
      </c>
      <c r="DE446" t="e">
        <f t="shared" si="172"/>
        <v>#N/A</v>
      </c>
      <c r="DG446" t="e">
        <v>#N/A</v>
      </c>
      <c r="DH446" t="e">
        <v>#N/A</v>
      </c>
    </row>
    <row r="447" spans="32:112">
      <c r="AF447">
        <v>437</v>
      </c>
      <c r="AG447" s="401">
        <f>'Lab test'!N440</f>
        <v>23.876000000000001</v>
      </c>
      <c r="AH447" s="401">
        <f>'Lab test'!M440</f>
        <v>0.10033000000000002</v>
      </c>
      <c r="AI447">
        <f>IF('Lab test'!O440&gt;0,'Lab test'!O440,NA())</f>
        <v>135.001</v>
      </c>
      <c r="AJ447">
        <f>'Lab test'!Q440</f>
        <v>237.97468354430376</v>
      </c>
      <c r="AK447" s="401">
        <f>IF('Lab test'!V440&gt;0,'Lab test'!V440,NA())</f>
        <v>204084.81587778352</v>
      </c>
      <c r="AL447" s="7">
        <f>IF(MAX('Lab test'!W440,'Lab test'!X440)&gt;0,MAX('Lab test'!W440,'Lab test'!X440),NA())</f>
        <v>248.21126255406102</v>
      </c>
      <c r="AM447" s="401">
        <f>IF('Lab test'!P440&gt;0,'Lab test'!P440,NA())</f>
        <v>0.36653042992274332</v>
      </c>
      <c r="AN447" s="401">
        <f>IF('Lab test'!AU440&gt;0,'Lab test'!AU440,NA())</f>
        <v>0.59554011134042495</v>
      </c>
      <c r="AO447" s="401">
        <f>IF('Lab test'!AT440&gt;0,'Lab test'!AT440,NA())</f>
        <v>0.28479600243205516</v>
      </c>
      <c r="AP447">
        <f t="shared" si="173"/>
        <v>1</v>
      </c>
      <c r="AQ447" s="401">
        <f>'Lab test'!AZ440</f>
        <v>1934</v>
      </c>
      <c r="AR447" t="str">
        <f>'Lab test'!AC440</f>
        <v>LTWb</v>
      </c>
      <c r="AS447" t="str">
        <f>'Lab test'!T440</f>
        <v>Steel</v>
      </c>
      <c r="AX447">
        <f t="shared" si="158"/>
        <v>204084.81587778352</v>
      </c>
      <c r="AY447" t="e">
        <f t="shared" si="177"/>
        <v>#N/A</v>
      </c>
      <c r="AZ447" t="e">
        <f t="shared" si="174"/>
        <v>#N/A</v>
      </c>
      <c r="BA447" t="e">
        <f t="shared" si="174"/>
        <v>#N/A</v>
      </c>
      <c r="BB447" t="e">
        <f t="shared" si="174"/>
        <v>#N/A</v>
      </c>
      <c r="BC447" t="e">
        <f t="shared" si="174"/>
        <v>#N/A</v>
      </c>
      <c r="BD447" t="e">
        <f t="shared" si="174"/>
        <v>#N/A</v>
      </c>
      <c r="BG447" t="e">
        <f t="shared" si="159"/>
        <v>#N/A</v>
      </c>
      <c r="BH447" t="e">
        <f t="shared" si="178"/>
        <v>#N/A</v>
      </c>
      <c r="BI447" t="e">
        <f t="shared" si="175"/>
        <v>#N/A</v>
      </c>
      <c r="BJ447" t="e">
        <f t="shared" si="175"/>
        <v>#N/A</v>
      </c>
      <c r="BK447" t="e">
        <f t="shared" si="175"/>
        <v>#N/A</v>
      </c>
      <c r="BL447" t="e">
        <f t="shared" si="175"/>
        <v>#N/A</v>
      </c>
      <c r="BM447" t="e">
        <f t="shared" si="175"/>
        <v>#N/A</v>
      </c>
      <c r="BP447" t="e">
        <f t="shared" si="160"/>
        <v>#N/A</v>
      </c>
      <c r="BQ447" t="e">
        <f t="shared" si="179"/>
        <v>#N/A</v>
      </c>
      <c r="BR447" t="e">
        <f t="shared" si="176"/>
        <v>#N/A</v>
      </c>
      <c r="BS447" t="e">
        <f t="shared" si="176"/>
        <v>#N/A</v>
      </c>
      <c r="BT447" t="e">
        <f t="shared" si="176"/>
        <v>#N/A</v>
      </c>
      <c r="BU447" t="e">
        <f t="shared" si="176"/>
        <v>#N/A</v>
      </c>
      <c r="BV447" t="e">
        <f t="shared" si="176"/>
        <v>#N/A</v>
      </c>
      <c r="BY447">
        <f t="shared" si="161"/>
        <v>204084.81587778352</v>
      </c>
      <c r="BZ447" t="e">
        <v>#N/A</v>
      </c>
      <c r="CA447" t="e" cm="1">
        <f t="array" ref="CA447">IF(ISNUMBER(BZ447),AF447/COUNT(IF(ISNUMBER(_xlfn.ANCHORARRAY($BZ$11)),_xlfn.ANCHORARRAY($BZ$11))),NA())</f>
        <v>#N/A</v>
      </c>
      <c r="CB447" t="e">
        <f t="shared" si="162"/>
        <v>#N/A</v>
      </c>
      <c r="CD447" t="e">
        <f t="shared" si="163"/>
        <v>#N/A</v>
      </c>
      <c r="CE447" t="e">
        <f t="shared" si="164"/>
        <v>#N/A</v>
      </c>
      <c r="CG447" t="e">
        <v>#N/A</v>
      </c>
      <c r="CH447" t="e">
        <v>#N/A</v>
      </c>
      <c r="CL447" t="e">
        <f t="shared" si="165"/>
        <v>#N/A</v>
      </c>
      <c r="CM447" t="e">
        <v>#N/A</v>
      </c>
      <c r="CN447" t="e" cm="1">
        <f t="array" ref="CN447">IF(ISNUMBER(CM447),AF447/COUNT(IF(ISNUMBER(_xlfn.ANCHORARRAY($CM$11)),_xlfn.ANCHORARRAY($CM$11))),NA())</f>
        <v>#N/A</v>
      </c>
      <c r="CO447" t="e">
        <f t="shared" si="166"/>
        <v>#N/A</v>
      </c>
      <c r="CQ447" t="e">
        <f t="shared" si="167"/>
        <v>#N/A</v>
      </c>
      <c r="CR447" t="e">
        <f t="shared" si="168"/>
        <v>#N/A</v>
      </c>
      <c r="CT447" t="e">
        <v>#N/A</v>
      </c>
      <c r="CU447" t="e">
        <v>#N/A</v>
      </c>
      <c r="CY447" t="e">
        <f t="shared" si="169"/>
        <v>#N/A</v>
      </c>
      <c r="CZ447" t="e">
        <v>#N/A</v>
      </c>
      <c r="DA447" t="e" cm="1">
        <f t="array" ref="DA447">IF(ISNUMBER(CZ447),AF447/COUNT(IF(ISNUMBER(_xlfn.ANCHORARRAY($CZ$11)),_xlfn.ANCHORARRAY($CZ$11))),NA())</f>
        <v>#N/A</v>
      </c>
      <c r="DB447" t="e">
        <f t="shared" si="170"/>
        <v>#N/A</v>
      </c>
      <c r="DD447" t="e">
        <f t="shared" si="171"/>
        <v>#N/A</v>
      </c>
      <c r="DE447" t="e">
        <f t="shared" si="172"/>
        <v>#N/A</v>
      </c>
      <c r="DG447" t="e">
        <v>#N/A</v>
      </c>
      <c r="DH447" t="e">
        <v>#N/A</v>
      </c>
    </row>
    <row r="448" spans="32:112">
      <c r="AF448">
        <v>438</v>
      </c>
      <c r="AG448" s="401">
        <f>'Lab test'!N441</f>
        <v>23.876000000000001</v>
      </c>
      <c r="AH448" s="401">
        <f>'Lab test'!M441</f>
        <v>0.10033000000000002</v>
      </c>
      <c r="AI448">
        <f>IF('Lab test'!O441&gt;0,'Lab test'!O441,NA())</f>
        <v>135.001</v>
      </c>
      <c r="AJ448">
        <f>'Lab test'!Q441</f>
        <v>237.97468354430376</v>
      </c>
      <c r="AK448" s="401">
        <f>IF('Lab test'!V441&gt;0,'Lab test'!V441,NA())</f>
        <v>204084.81587778352</v>
      </c>
      <c r="AL448" s="7">
        <f>IF(MAX('Lab test'!W441,'Lab test'!X441)&gt;0,MAX('Lab test'!W441,'Lab test'!X441),NA())</f>
        <v>248.21126255406102</v>
      </c>
      <c r="AM448" s="401">
        <f>IF('Lab test'!P441&gt;0,'Lab test'!P441,NA())</f>
        <v>0.36653042992274332</v>
      </c>
      <c r="AN448" s="401">
        <f>IF('Lab test'!AU441&gt;0,'Lab test'!AU441,NA())</f>
        <v>0.73013217650336104</v>
      </c>
      <c r="AO448" s="401">
        <f>IF('Lab test'!AT441&gt;0,'Lab test'!AT441,NA())</f>
        <v>0.34915989898169963</v>
      </c>
      <c r="AP448">
        <f t="shared" si="173"/>
        <v>1</v>
      </c>
      <c r="AQ448" s="401">
        <f>'Lab test'!AZ441</f>
        <v>1934</v>
      </c>
      <c r="AR448" t="str">
        <f>'Lab test'!AC441</f>
        <v>LTWb</v>
      </c>
      <c r="AS448" t="str">
        <f>'Lab test'!T441</f>
        <v>Steel</v>
      </c>
      <c r="AX448">
        <f t="shared" si="158"/>
        <v>204084.81587778352</v>
      </c>
      <c r="AY448" t="e">
        <f t="shared" si="177"/>
        <v>#N/A</v>
      </c>
      <c r="AZ448" t="e">
        <f t="shared" si="174"/>
        <v>#N/A</v>
      </c>
      <c r="BA448" t="e">
        <f t="shared" si="174"/>
        <v>#N/A</v>
      </c>
      <c r="BB448" t="e">
        <f t="shared" si="174"/>
        <v>#N/A</v>
      </c>
      <c r="BC448" t="e">
        <f t="shared" si="174"/>
        <v>#N/A</v>
      </c>
      <c r="BD448" t="e">
        <f t="shared" si="174"/>
        <v>#N/A</v>
      </c>
      <c r="BG448" t="e">
        <f t="shared" si="159"/>
        <v>#N/A</v>
      </c>
      <c r="BH448" t="e">
        <f t="shared" si="178"/>
        <v>#N/A</v>
      </c>
      <c r="BI448" t="e">
        <f t="shared" si="175"/>
        <v>#N/A</v>
      </c>
      <c r="BJ448" t="e">
        <f t="shared" si="175"/>
        <v>#N/A</v>
      </c>
      <c r="BK448" t="e">
        <f t="shared" si="175"/>
        <v>#N/A</v>
      </c>
      <c r="BL448" t="e">
        <f t="shared" si="175"/>
        <v>#N/A</v>
      </c>
      <c r="BM448" t="e">
        <f t="shared" si="175"/>
        <v>#N/A</v>
      </c>
      <c r="BP448" t="e">
        <f t="shared" si="160"/>
        <v>#N/A</v>
      </c>
      <c r="BQ448" t="e">
        <f t="shared" si="179"/>
        <v>#N/A</v>
      </c>
      <c r="BR448" t="e">
        <f t="shared" si="176"/>
        <v>#N/A</v>
      </c>
      <c r="BS448" t="e">
        <f t="shared" si="176"/>
        <v>#N/A</v>
      </c>
      <c r="BT448" t="e">
        <f t="shared" si="176"/>
        <v>#N/A</v>
      </c>
      <c r="BU448" t="e">
        <f t="shared" si="176"/>
        <v>#N/A</v>
      </c>
      <c r="BV448" t="e">
        <f t="shared" si="176"/>
        <v>#N/A</v>
      </c>
      <c r="BY448">
        <f t="shared" si="161"/>
        <v>204084.81587778352</v>
      </c>
      <c r="BZ448" t="e">
        <v>#N/A</v>
      </c>
      <c r="CA448" t="e" cm="1">
        <f t="array" ref="CA448">IF(ISNUMBER(BZ448),AF448/COUNT(IF(ISNUMBER(_xlfn.ANCHORARRAY($BZ$11)),_xlfn.ANCHORARRAY($BZ$11))),NA())</f>
        <v>#N/A</v>
      </c>
      <c r="CB448" t="e">
        <f t="shared" si="162"/>
        <v>#N/A</v>
      </c>
      <c r="CD448" t="e">
        <f t="shared" si="163"/>
        <v>#N/A</v>
      </c>
      <c r="CE448" t="e">
        <f t="shared" si="164"/>
        <v>#N/A</v>
      </c>
      <c r="CG448" t="e">
        <v>#N/A</v>
      </c>
      <c r="CH448" t="e">
        <v>#N/A</v>
      </c>
      <c r="CL448" t="e">
        <f t="shared" si="165"/>
        <v>#N/A</v>
      </c>
      <c r="CM448" t="e">
        <v>#N/A</v>
      </c>
      <c r="CN448" t="e" cm="1">
        <f t="array" ref="CN448">IF(ISNUMBER(CM448),AF448/COUNT(IF(ISNUMBER(_xlfn.ANCHORARRAY($CM$11)),_xlfn.ANCHORARRAY($CM$11))),NA())</f>
        <v>#N/A</v>
      </c>
      <c r="CO448" t="e">
        <f t="shared" si="166"/>
        <v>#N/A</v>
      </c>
      <c r="CQ448" t="e">
        <f t="shared" si="167"/>
        <v>#N/A</v>
      </c>
      <c r="CR448" t="e">
        <f t="shared" si="168"/>
        <v>#N/A</v>
      </c>
      <c r="CT448" t="e">
        <v>#N/A</v>
      </c>
      <c r="CU448" t="e">
        <v>#N/A</v>
      </c>
      <c r="CY448" t="e">
        <f t="shared" si="169"/>
        <v>#N/A</v>
      </c>
      <c r="CZ448" t="e">
        <v>#N/A</v>
      </c>
      <c r="DA448" t="e" cm="1">
        <f t="array" ref="DA448">IF(ISNUMBER(CZ448),AF448/COUNT(IF(ISNUMBER(_xlfn.ANCHORARRAY($CZ$11)),_xlfn.ANCHORARRAY($CZ$11))),NA())</f>
        <v>#N/A</v>
      </c>
      <c r="DB448" t="e">
        <f t="shared" si="170"/>
        <v>#N/A</v>
      </c>
      <c r="DD448" t="e">
        <f t="shared" si="171"/>
        <v>#N/A</v>
      </c>
      <c r="DE448" t="e">
        <f t="shared" si="172"/>
        <v>#N/A</v>
      </c>
      <c r="DG448" t="e">
        <v>#N/A</v>
      </c>
      <c r="DH448" t="e">
        <v>#N/A</v>
      </c>
    </row>
    <row r="449" spans="32:112">
      <c r="AF449">
        <v>439</v>
      </c>
      <c r="AG449" s="401">
        <f>'Lab test'!N442</f>
        <v>23.876000000000001</v>
      </c>
      <c r="AH449" s="401">
        <f>'Lab test'!M442</f>
        <v>0.10033000000000002</v>
      </c>
      <c r="AI449">
        <f>IF('Lab test'!O442&gt;0,'Lab test'!O442,NA())</f>
        <v>135.001</v>
      </c>
      <c r="AJ449">
        <f>'Lab test'!Q442</f>
        <v>237.97468354430376</v>
      </c>
      <c r="AK449" s="401">
        <f>IF('Lab test'!V442&gt;0,'Lab test'!V442,NA())</f>
        <v>204084.81587778352</v>
      </c>
      <c r="AL449" s="7">
        <f>IF(MAX('Lab test'!W442,'Lab test'!X442)&gt;0,MAX('Lab test'!W442,'Lab test'!X442),NA())</f>
        <v>248.21126255406102</v>
      </c>
      <c r="AM449" s="401">
        <f>IF('Lab test'!P442&gt;0,'Lab test'!P442,NA())</f>
        <v>0.36653042992274332</v>
      </c>
      <c r="AN449" s="401">
        <f>IF('Lab test'!AU442&gt;0,'Lab test'!AU442,NA())</f>
        <v>0.72655893583531839</v>
      </c>
      <c r="AO449" s="401">
        <f>IF('Lab test'!AT442&gt;0,'Lab test'!AT442,NA())</f>
        <v>0.34745112296710728</v>
      </c>
      <c r="AP449">
        <f t="shared" si="173"/>
        <v>1</v>
      </c>
      <c r="AQ449" s="401">
        <f>'Lab test'!AZ442</f>
        <v>1934</v>
      </c>
      <c r="AR449" t="str">
        <f>'Lab test'!AC442</f>
        <v>LTWb</v>
      </c>
      <c r="AS449" t="str">
        <f>'Lab test'!T442</f>
        <v>Steel</v>
      </c>
      <c r="AX449">
        <f t="shared" si="158"/>
        <v>204084.81587778352</v>
      </c>
      <c r="AY449" t="e">
        <f t="shared" si="177"/>
        <v>#N/A</v>
      </c>
      <c r="AZ449" t="e">
        <f t="shared" si="174"/>
        <v>#N/A</v>
      </c>
      <c r="BA449" t="e">
        <f t="shared" si="174"/>
        <v>#N/A</v>
      </c>
      <c r="BB449" t="e">
        <f t="shared" si="174"/>
        <v>#N/A</v>
      </c>
      <c r="BC449" t="e">
        <f t="shared" si="174"/>
        <v>#N/A</v>
      </c>
      <c r="BD449" t="e">
        <f t="shared" si="174"/>
        <v>#N/A</v>
      </c>
      <c r="BG449" t="e">
        <f t="shared" si="159"/>
        <v>#N/A</v>
      </c>
      <c r="BH449" t="e">
        <f t="shared" si="178"/>
        <v>#N/A</v>
      </c>
      <c r="BI449" t="e">
        <f t="shared" si="175"/>
        <v>#N/A</v>
      </c>
      <c r="BJ449" t="e">
        <f t="shared" si="175"/>
        <v>#N/A</v>
      </c>
      <c r="BK449" t="e">
        <f t="shared" si="175"/>
        <v>#N/A</v>
      </c>
      <c r="BL449" t="e">
        <f t="shared" si="175"/>
        <v>#N/A</v>
      </c>
      <c r="BM449" t="e">
        <f t="shared" si="175"/>
        <v>#N/A</v>
      </c>
      <c r="BP449" t="e">
        <f t="shared" si="160"/>
        <v>#N/A</v>
      </c>
      <c r="BQ449" t="e">
        <f t="shared" si="179"/>
        <v>#N/A</v>
      </c>
      <c r="BR449" t="e">
        <f t="shared" si="176"/>
        <v>#N/A</v>
      </c>
      <c r="BS449" t="e">
        <f t="shared" si="176"/>
        <v>#N/A</v>
      </c>
      <c r="BT449" t="e">
        <f t="shared" si="176"/>
        <v>#N/A</v>
      </c>
      <c r="BU449" t="e">
        <f t="shared" si="176"/>
        <v>#N/A</v>
      </c>
      <c r="BV449" t="e">
        <f t="shared" si="176"/>
        <v>#N/A</v>
      </c>
      <c r="BY449">
        <f t="shared" si="161"/>
        <v>204084.81587778352</v>
      </c>
      <c r="BZ449" t="e">
        <v>#N/A</v>
      </c>
      <c r="CA449" t="e" cm="1">
        <f t="array" ref="CA449">IF(ISNUMBER(BZ449),AF449/COUNT(IF(ISNUMBER(_xlfn.ANCHORARRAY($BZ$11)),_xlfn.ANCHORARRAY($BZ$11))),NA())</f>
        <v>#N/A</v>
      </c>
      <c r="CB449" t="e">
        <f t="shared" si="162"/>
        <v>#N/A</v>
      </c>
      <c r="CD449" t="e">
        <f t="shared" si="163"/>
        <v>#N/A</v>
      </c>
      <c r="CE449" t="e">
        <f t="shared" si="164"/>
        <v>#N/A</v>
      </c>
      <c r="CG449" t="e">
        <v>#N/A</v>
      </c>
      <c r="CH449" t="e">
        <v>#N/A</v>
      </c>
      <c r="CL449" t="e">
        <f t="shared" si="165"/>
        <v>#N/A</v>
      </c>
      <c r="CM449" t="e">
        <v>#N/A</v>
      </c>
      <c r="CN449" t="e" cm="1">
        <f t="array" ref="CN449">IF(ISNUMBER(CM449),AF449/COUNT(IF(ISNUMBER(_xlfn.ANCHORARRAY($CM$11)),_xlfn.ANCHORARRAY($CM$11))),NA())</f>
        <v>#N/A</v>
      </c>
      <c r="CO449" t="e">
        <f t="shared" si="166"/>
        <v>#N/A</v>
      </c>
      <c r="CQ449" t="e">
        <f t="shared" si="167"/>
        <v>#N/A</v>
      </c>
      <c r="CR449" t="e">
        <f t="shared" si="168"/>
        <v>#N/A</v>
      </c>
      <c r="CT449" t="e">
        <v>#N/A</v>
      </c>
      <c r="CU449" t="e">
        <v>#N/A</v>
      </c>
      <c r="CY449" t="e">
        <f t="shared" si="169"/>
        <v>#N/A</v>
      </c>
      <c r="CZ449" t="e">
        <v>#N/A</v>
      </c>
      <c r="DA449" t="e" cm="1">
        <f t="array" ref="DA449">IF(ISNUMBER(CZ449),AF449/COUNT(IF(ISNUMBER(_xlfn.ANCHORARRAY($CZ$11)),_xlfn.ANCHORARRAY($CZ$11))),NA())</f>
        <v>#N/A</v>
      </c>
      <c r="DB449" t="e">
        <f t="shared" si="170"/>
        <v>#N/A</v>
      </c>
      <c r="DD449" t="e">
        <f t="shared" si="171"/>
        <v>#N/A</v>
      </c>
      <c r="DE449" t="e">
        <f t="shared" si="172"/>
        <v>#N/A</v>
      </c>
      <c r="DG449" t="e">
        <v>#N/A</v>
      </c>
      <c r="DH449" t="e">
        <v>#N/A</v>
      </c>
    </row>
    <row r="450" spans="32:112">
      <c r="AF450">
        <v>440</v>
      </c>
      <c r="AG450" s="401">
        <f>'Lab test'!N443</f>
        <v>23.876000000000001</v>
      </c>
      <c r="AH450" s="401">
        <f>'Lab test'!M443</f>
        <v>0.10033000000000002</v>
      </c>
      <c r="AI450">
        <f>IF('Lab test'!O443&gt;0,'Lab test'!O443,NA())</f>
        <v>135.001</v>
      </c>
      <c r="AJ450">
        <f>'Lab test'!Q443</f>
        <v>237.97468354430376</v>
      </c>
      <c r="AK450" s="401">
        <f>IF('Lab test'!V443&gt;0,'Lab test'!V443,NA())</f>
        <v>204084.81587778352</v>
      </c>
      <c r="AL450" s="7">
        <f>IF(MAX('Lab test'!W443,'Lab test'!X443)&gt;0,MAX('Lab test'!W443,'Lab test'!X443),NA())</f>
        <v>248.21126255406102</v>
      </c>
      <c r="AM450" s="401">
        <f>IF('Lab test'!P443&gt;0,'Lab test'!P443,NA())</f>
        <v>0.36653042992274332</v>
      </c>
      <c r="AN450" s="401">
        <f>IF('Lab test'!AU443&gt;0,'Lab test'!AU443,NA())</f>
        <v>0.78611294696936096</v>
      </c>
      <c r="AO450" s="401">
        <f>IF('Lab test'!AT443&gt;0,'Lab test'!AT443,NA())</f>
        <v>0.37593072321031284</v>
      </c>
      <c r="AP450">
        <f t="shared" si="173"/>
        <v>1</v>
      </c>
      <c r="AQ450" s="401">
        <f>'Lab test'!AZ443</f>
        <v>1934</v>
      </c>
      <c r="AR450" t="str">
        <f>'Lab test'!AC443</f>
        <v>LTWb</v>
      </c>
      <c r="AS450" t="str">
        <f>'Lab test'!T443</f>
        <v>Steel</v>
      </c>
      <c r="AX450">
        <f t="shared" si="158"/>
        <v>204084.81587778352</v>
      </c>
      <c r="AY450" t="e">
        <f t="shared" si="177"/>
        <v>#N/A</v>
      </c>
      <c r="AZ450" t="e">
        <f t="shared" si="174"/>
        <v>#N/A</v>
      </c>
      <c r="BA450" t="e">
        <f t="shared" si="174"/>
        <v>#N/A</v>
      </c>
      <c r="BB450" t="e">
        <f t="shared" si="174"/>
        <v>#N/A</v>
      </c>
      <c r="BC450" t="e">
        <f t="shared" si="174"/>
        <v>#N/A</v>
      </c>
      <c r="BD450" t="e">
        <f t="shared" si="174"/>
        <v>#N/A</v>
      </c>
      <c r="BG450" t="e">
        <f t="shared" si="159"/>
        <v>#N/A</v>
      </c>
      <c r="BH450" t="e">
        <f t="shared" si="178"/>
        <v>#N/A</v>
      </c>
      <c r="BI450" t="e">
        <f t="shared" si="175"/>
        <v>#N/A</v>
      </c>
      <c r="BJ450" t="e">
        <f t="shared" si="175"/>
        <v>#N/A</v>
      </c>
      <c r="BK450" t="e">
        <f t="shared" si="175"/>
        <v>#N/A</v>
      </c>
      <c r="BL450" t="e">
        <f t="shared" si="175"/>
        <v>#N/A</v>
      </c>
      <c r="BM450" t="e">
        <f t="shared" si="175"/>
        <v>#N/A</v>
      </c>
      <c r="BP450" t="e">
        <f t="shared" si="160"/>
        <v>#N/A</v>
      </c>
      <c r="BQ450" t="e">
        <f t="shared" si="179"/>
        <v>#N/A</v>
      </c>
      <c r="BR450" t="e">
        <f t="shared" si="176"/>
        <v>#N/A</v>
      </c>
      <c r="BS450" t="e">
        <f t="shared" si="176"/>
        <v>#N/A</v>
      </c>
      <c r="BT450" t="e">
        <f t="shared" si="176"/>
        <v>#N/A</v>
      </c>
      <c r="BU450" t="e">
        <f t="shared" si="176"/>
        <v>#N/A</v>
      </c>
      <c r="BV450" t="e">
        <f t="shared" si="176"/>
        <v>#N/A</v>
      </c>
      <c r="BY450">
        <f t="shared" si="161"/>
        <v>204084.81587778352</v>
      </c>
      <c r="BZ450" t="e">
        <v>#N/A</v>
      </c>
      <c r="CA450" t="e" cm="1">
        <f t="array" ref="CA450">IF(ISNUMBER(BZ450),AF450/COUNT(IF(ISNUMBER(_xlfn.ANCHORARRAY($BZ$11)),_xlfn.ANCHORARRAY($BZ$11))),NA())</f>
        <v>#N/A</v>
      </c>
      <c r="CB450" t="e">
        <f t="shared" si="162"/>
        <v>#N/A</v>
      </c>
      <c r="CD450" t="e">
        <f t="shared" si="163"/>
        <v>#N/A</v>
      </c>
      <c r="CE450" t="e">
        <f t="shared" si="164"/>
        <v>#N/A</v>
      </c>
      <c r="CG450" t="e">
        <v>#N/A</v>
      </c>
      <c r="CH450" t="e">
        <v>#N/A</v>
      </c>
      <c r="CL450" t="e">
        <f t="shared" si="165"/>
        <v>#N/A</v>
      </c>
      <c r="CM450" t="e">
        <v>#N/A</v>
      </c>
      <c r="CN450" t="e" cm="1">
        <f t="array" ref="CN450">IF(ISNUMBER(CM450),AF450/COUNT(IF(ISNUMBER(_xlfn.ANCHORARRAY($CM$11)),_xlfn.ANCHORARRAY($CM$11))),NA())</f>
        <v>#N/A</v>
      </c>
      <c r="CO450" t="e">
        <f t="shared" si="166"/>
        <v>#N/A</v>
      </c>
      <c r="CQ450" t="e">
        <f t="shared" si="167"/>
        <v>#N/A</v>
      </c>
      <c r="CR450" t="e">
        <f t="shared" si="168"/>
        <v>#N/A</v>
      </c>
      <c r="CT450" t="e">
        <v>#N/A</v>
      </c>
      <c r="CU450" t="e">
        <v>#N/A</v>
      </c>
      <c r="CY450" t="e">
        <f t="shared" si="169"/>
        <v>#N/A</v>
      </c>
      <c r="CZ450" t="e">
        <v>#N/A</v>
      </c>
      <c r="DA450" t="e" cm="1">
        <f t="array" ref="DA450">IF(ISNUMBER(CZ450),AF450/COUNT(IF(ISNUMBER(_xlfn.ANCHORARRAY($CZ$11)),_xlfn.ANCHORARRAY($CZ$11))),NA())</f>
        <v>#N/A</v>
      </c>
      <c r="DB450" t="e">
        <f t="shared" si="170"/>
        <v>#N/A</v>
      </c>
      <c r="DD450" t="e">
        <f t="shared" si="171"/>
        <v>#N/A</v>
      </c>
      <c r="DE450" t="e">
        <f t="shared" si="172"/>
        <v>#N/A</v>
      </c>
      <c r="DG450" t="e">
        <v>#N/A</v>
      </c>
      <c r="DH450" t="e">
        <v>#N/A</v>
      </c>
    </row>
    <row r="451" spans="32:112">
      <c r="AF451">
        <v>441</v>
      </c>
      <c r="AG451" s="401">
        <f>'Lab test'!N444</f>
        <v>60.325000000000003</v>
      </c>
      <c r="AH451" s="401">
        <f>'Lab test'!M444</f>
        <v>0.50800000000000001</v>
      </c>
      <c r="AI451">
        <f>IF('Lab test'!O444&gt;0,'Lab test'!O444,NA())</f>
        <v>276.86</v>
      </c>
      <c r="AJ451">
        <f>'Lab test'!Q444</f>
        <v>119</v>
      </c>
      <c r="AK451" s="401">
        <f>IF('Lab test'!V444&gt;0,'Lab test'!V444,NA())</f>
        <v>105489.8</v>
      </c>
      <c r="AL451" s="7">
        <f>IF(MAX('Lab test'!W444,'Lab test'!X444)&gt;0,MAX('Lab test'!W444,'Lab test'!X444),NA())</f>
        <v>410.23809999999997</v>
      </c>
      <c r="AM451" s="401">
        <f>IF('Lab test'!P444&gt;0,'Lab test'!P444,NA())</f>
        <v>0.42115898933711549</v>
      </c>
      <c r="AN451" s="401">
        <f>IF('Lab test'!AU444&gt;0,'Lab test'!AU444,NA())</f>
        <v>0.42442100934506605</v>
      </c>
      <c r="AO451" s="401">
        <f>IF('Lab test'!AT444&gt;0,'Lab test'!AT444,NA())</f>
        <v>0.32384510638040481</v>
      </c>
      <c r="AP451">
        <f t="shared" si="173"/>
        <v>1</v>
      </c>
      <c r="AQ451" s="401">
        <f>'Lab test'!AZ444</f>
        <v>1967</v>
      </c>
      <c r="AR451" t="str">
        <f>'Lab test'!AC444</f>
        <v>LTWb</v>
      </c>
      <c r="AS451" t="str">
        <f>'Lab test'!T444</f>
        <v>Brass</v>
      </c>
      <c r="AX451" t="e">
        <f t="shared" si="158"/>
        <v>#N/A</v>
      </c>
      <c r="AY451" t="e">
        <f t="shared" si="177"/>
        <v>#N/A</v>
      </c>
      <c r="AZ451" t="e">
        <f t="shared" si="174"/>
        <v>#N/A</v>
      </c>
      <c r="BA451" t="e">
        <f t="shared" si="174"/>
        <v>#N/A</v>
      </c>
      <c r="BB451" t="e">
        <f t="shared" si="174"/>
        <v>#N/A</v>
      </c>
      <c r="BC451" t="e">
        <f t="shared" si="174"/>
        <v>#N/A</v>
      </c>
      <c r="BD451" t="e">
        <f t="shared" si="174"/>
        <v>#N/A</v>
      </c>
      <c r="BG451" t="e">
        <f t="shared" si="159"/>
        <v>#N/A</v>
      </c>
      <c r="BH451" t="e">
        <f t="shared" si="178"/>
        <v>#N/A</v>
      </c>
      <c r="BI451" t="e">
        <f t="shared" si="175"/>
        <v>#N/A</v>
      </c>
      <c r="BJ451" t="e">
        <f t="shared" si="175"/>
        <v>#N/A</v>
      </c>
      <c r="BK451" t="e">
        <f t="shared" si="175"/>
        <v>#N/A</v>
      </c>
      <c r="BL451" t="e">
        <f t="shared" si="175"/>
        <v>#N/A</v>
      </c>
      <c r="BM451" t="e">
        <f t="shared" si="175"/>
        <v>#N/A</v>
      </c>
      <c r="BP451">
        <f t="shared" si="160"/>
        <v>105489.8</v>
      </c>
      <c r="BQ451" t="e">
        <f t="shared" si="179"/>
        <v>#N/A</v>
      </c>
      <c r="BR451" t="e">
        <f t="shared" si="176"/>
        <v>#N/A</v>
      </c>
      <c r="BS451" t="e">
        <f t="shared" si="176"/>
        <v>#N/A</v>
      </c>
      <c r="BT451" t="e">
        <f t="shared" si="176"/>
        <v>#N/A</v>
      </c>
      <c r="BU451" t="e">
        <f t="shared" si="176"/>
        <v>#N/A</v>
      </c>
      <c r="BV451" t="e">
        <f t="shared" si="176"/>
        <v>#N/A</v>
      </c>
      <c r="BY451" t="e">
        <f t="shared" si="161"/>
        <v>#N/A</v>
      </c>
      <c r="BZ451" t="e">
        <v>#N/A</v>
      </c>
      <c r="CA451" t="e" cm="1">
        <f t="array" ref="CA451">IF(ISNUMBER(BZ451),AF451/COUNT(IF(ISNUMBER(_xlfn.ANCHORARRAY($BZ$11)),_xlfn.ANCHORARRAY($BZ$11))),NA())</f>
        <v>#N/A</v>
      </c>
      <c r="CB451" t="e">
        <f t="shared" si="162"/>
        <v>#N/A</v>
      </c>
      <c r="CD451" t="e">
        <f t="shared" si="163"/>
        <v>#N/A</v>
      </c>
      <c r="CE451" t="e">
        <f t="shared" si="164"/>
        <v>#N/A</v>
      </c>
      <c r="CG451" t="e">
        <v>#N/A</v>
      </c>
      <c r="CH451" t="e">
        <v>#N/A</v>
      </c>
      <c r="CL451" t="e">
        <f t="shared" si="165"/>
        <v>#N/A</v>
      </c>
      <c r="CM451" t="e">
        <v>#N/A</v>
      </c>
      <c r="CN451" t="e" cm="1">
        <f t="array" ref="CN451">IF(ISNUMBER(CM451),AF451/COUNT(IF(ISNUMBER(_xlfn.ANCHORARRAY($CM$11)),_xlfn.ANCHORARRAY($CM$11))),NA())</f>
        <v>#N/A</v>
      </c>
      <c r="CO451" t="e">
        <f t="shared" si="166"/>
        <v>#N/A</v>
      </c>
      <c r="CQ451" t="e">
        <f t="shared" si="167"/>
        <v>#N/A</v>
      </c>
      <c r="CR451" t="e">
        <f t="shared" si="168"/>
        <v>#N/A</v>
      </c>
      <c r="CT451" t="e">
        <v>#N/A</v>
      </c>
      <c r="CU451" t="e">
        <v>#N/A</v>
      </c>
      <c r="CY451">
        <f t="shared" si="169"/>
        <v>105489.8</v>
      </c>
      <c r="CZ451" t="e">
        <v>#N/A</v>
      </c>
      <c r="DA451" t="e" cm="1">
        <f t="array" ref="DA451">IF(ISNUMBER(CZ451),AF451/COUNT(IF(ISNUMBER(_xlfn.ANCHORARRAY($CZ$11)),_xlfn.ANCHORARRAY($CZ$11))),NA())</f>
        <v>#N/A</v>
      </c>
      <c r="DB451" t="e">
        <f t="shared" si="170"/>
        <v>#N/A</v>
      </c>
      <c r="DD451" t="e">
        <f t="shared" si="171"/>
        <v>#N/A</v>
      </c>
      <c r="DE451" t="e">
        <f t="shared" si="172"/>
        <v>#N/A</v>
      </c>
      <c r="DG451" t="e">
        <v>#N/A</v>
      </c>
      <c r="DH451" t="e">
        <v>#N/A</v>
      </c>
    </row>
    <row r="452" spans="32:112">
      <c r="AF452">
        <v>442</v>
      </c>
      <c r="AG452" s="401">
        <f>'Lab test'!N445</f>
        <v>60.325000000000003</v>
      </c>
      <c r="AH452" s="401">
        <f>'Lab test'!M445</f>
        <v>0.50800000000000001</v>
      </c>
      <c r="AI452">
        <f>IF('Lab test'!O445&gt;0,'Lab test'!O445,NA())</f>
        <v>276.86</v>
      </c>
      <c r="AJ452">
        <f>'Lab test'!Q445</f>
        <v>119</v>
      </c>
      <c r="AK452" s="401">
        <f>IF('Lab test'!V445&gt;0,'Lab test'!V445,NA())</f>
        <v>105489.8</v>
      </c>
      <c r="AL452" s="7">
        <f>IF(MAX('Lab test'!W445,'Lab test'!X445)&gt;0,MAX('Lab test'!W445,'Lab test'!X445),NA())</f>
        <v>410.23809999999997</v>
      </c>
      <c r="AM452" s="401">
        <f>IF('Lab test'!P445&gt;0,'Lab test'!P445,NA())</f>
        <v>0.42115898933711549</v>
      </c>
      <c r="AN452" s="401">
        <f>IF('Lab test'!AU445&gt;0,'Lab test'!AU445,NA())</f>
        <v>0.48721799542163191</v>
      </c>
      <c r="AO452" s="401">
        <f>IF('Lab test'!AT445&gt;0,'Lab test'!AT445,NA())</f>
        <v>0.37176096395709735</v>
      </c>
      <c r="AP452">
        <f t="shared" si="173"/>
        <v>1</v>
      </c>
      <c r="AQ452" s="401">
        <f>'Lab test'!AZ445</f>
        <v>1967</v>
      </c>
      <c r="AR452" t="str">
        <f>'Lab test'!AC445</f>
        <v>LTWb</v>
      </c>
      <c r="AS452" t="str">
        <f>'Lab test'!T445</f>
        <v>Brass</v>
      </c>
      <c r="AX452" t="e">
        <f t="shared" si="158"/>
        <v>#N/A</v>
      </c>
      <c r="AY452" t="e">
        <f t="shared" si="177"/>
        <v>#N/A</v>
      </c>
      <c r="AZ452" t="e">
        <f t="shared" si="174"/>
        <v>#N/A</v>
      </c>
      <c r="BA452" t="e">
        <f t="shared" si="174"/>
        <v>#N/A</v>
      </c>
      <c r="BB452" t="e">
        <f t="shared" si="174"/>
        <v>#N/A</v>
      </c>
      <c r="BC452" t="e">
        <f t="shared" si="174"/>
        <v>#N/A</v>
      </c>
      <c r="BD452" t="e">
        <f t="shared" si="174"/>
        <v>#N/A</v>
      </c>
      <c r="BG452" t="e">
        <f t="shared" si="159"/>
        <v>#N/A</v>
      </c>
      <c r="BH452" t="e">
        <f t="shared" si="178"/>
        <v>#N/A</v>
      </c>
      <c r="BI452" t="e">
        <f t="shared" si="175"/>
        <v>#N/A</v>
      </c>
      <c r="BJ452" t="e">
        <f t="shared" si="175"/>
        <v>#N/A</v>
      </c>
      <c r="BK452" t="e">
        <f t="shared" si="175"/>
        <v>#N/A</v>
      </c>
      <c r="BL452" t="e">
        <f t="shared" si="175"/>
        <v>#N/A</v>
      </c>
      <c r="BM452" t="e">
        <f t="shared" si="175"/>
        <v>#N/A</v>
      </c>
      <c r="BP452">
        <f t="shared" si="160"/>
        <v>105489.8</v>
      </c>
      <c r="BQ452" t="e">
        <f t="shared" si="179"/>
        <v>#N/A</v>
      </c>
      <c r="BR452" t="e">
        <f t="shared" si="176"/>
        <v>#N/A</v>
      </c>
      <c r="BS452" t="e">
        <f t="shared" si="176"/>
        <v>#N/A</v>
      </c>
      <c r="BT452" t="e">
        <f t="shared" si="176"/>
        <v>#N/A</v>
      </c>
      <c r="BU452" t="e">
        <f t="shared" si="176"/>
        <v>#N/A</v>
      </c>
      <c r="BV452" t="e">
        <f t="shared" si="176"/>
        <v>#N/A</v>
      </c>
      <c r="BY452" t="e">
        <f t="shared" si="161"/>
        <v>#N/A</v>
      </c>
      <c r="BZ452" t="e">
        <v>#N/A</v>
      </c>
      <c r="CA452" t="e" cm="1">
        <f t="array" ref="CA452">IF(ISNUMBER(BZ452),AF452/COUNT(IF(ISNUMBER(_xlfn.ANCHORARRAY($BZ$11)),_xlfn.ANCHORARRAY($BZ$11))),NA())</f>
        <v>#N/A</v>
      </c>
      <c r="CB452" t="e">
        <f t="shared" si="162"/>
        <v>#N/A</v>
      </c>
      <c r="CD452" t="e">
        <f t="shared" si="163"/>
        <v>#N/A</v>
      </c>
      <c r="CE452" t="e">
        <f t="shared" si="164"/>
        <v>#N/A</v>
      </c>
      <c r="CG452" t="e">
        <v>#N/A</v>
      </c>
      <c r="CH452" t="e">
        <v>#N/A</v>
      </c>
      <c r="CL452" t="e">
        <f t="shared" si="165"/>
        <v>#N/A</v>
      </c>
      <c r="CM452" t="e">
        <v>#N/A</v>
      </c>
      <c r="CN452" t="e" cm="1">
        <f t="array" ref="CN452">IF(ISNUMBER(CM452),AF452/COUNT(IF(ISNUMBER(_xlfn.ANCHORARRAY($CM$11)),_xlfn.ANCHORARRAY($CM$11))),NA())</f>
        <v>#N/A</v>
      </c>
      <c r="CO452" t="e">
        <f t="shared" si="166"/>
        <v>#N/A</v>
      </c>
      <c r="CQ452" t="e">
        <f t="shared" si="167"/>
        <v>#N/A</v>
      </c>
      <c r="CR452" t="e">
        <f t="shared" si="168"/>
        <v>#N/A</v>
      </c>
      <c r="CT452" t="e">
        <v>#N/A</v>
      </c>
      <c r="CU452" t="e">
        <v>#N/A</v>
      </c>
      <c r="CY452">
        <f t="shared" si="169"/>
        <v>105489.8</v>
      </c>
      <c r="CZ452" t="e">
        <v>#N/A</v>
      </c>
      <c r="DA452" t="e" cm="1">
        <f t="array" ref="DA452">IF(ISNUMBER(CZ452),AF452/COUNT(IF(ISNUMBER(_xlfn.ANCHORARRAY($CZ$11)),_xlfn.ANCHORARRAY($CZ$11))),NA())</f>
        <v>#N/A</v>
      </c>
      <c r="DB452" t="e">
        <f t="shared" si="170"/>
        <v>#N/A</v>
      </c>
      <c r="DD452" t="e">
        <f t="shared" si="171"/>
        <v>#N/A</v>
      </c>
      <c r="DE452" t="e">
        <f t="shared" si="172"/>
        <v>#N/A</v>
      </c>
      <c r="DG452" t="e">
        <v>#N/A</v>
      </c>
      <c r="DH452" t="e">
        <v>#N/A</v>
      </c>
    </row>
    <row r="453" spans="32:112">
      <c r="AF453">
        <v>443</v>
      </c>
      <c r="AG453" s="401">
        <f>'Lab test'!N446</f>
        <v>60.325000000000003</v>
      </c>
      <c r="AH453" s="401">
        <f>'Lab test'!M446</f>
        <v>0.2286</v>
      </c>
      <c r="AI453">
        <f>IF('Lab test'!O446&gt;0,'Lab test'!O446,NA())</f>
        <v>276.86</v>
      </c>
      <c r="AJ453">
        <f>'Lab test'!Q446</f>
        <v>263</v>
      </c>
      <c r="AK453" s="401">
        <f>IF('Lab test'!V446&gt;0,'Lab test'!V446,NA())</f>
        <v>105489.8</v>
      </c>
      <c r="AL453" s="7">
        <f>IF(MAX('Lab test'!W446,'Lab test'!X446)&gt;0,MAX('Lab test'!W446,'Lab test'!X446),NA())</f>
        <v>410.23809999999997</v>
      </c>
      <c r="AM453" s="401">
        <f>IF('Lab test'!P446&gt;0,'Lab test'!P446,NA())</f>
        <v>0.28252203884786981</v>
      </c>
      <c r="AN453" s="401">
        <f>IF('Lab test'!AU446&gt;0,'Lab test'!AU446,NA())</f>
        <v>0.33130823688670968</v>
      </c>
      <c r="AO453" s="401">
        <f>IF('Lab test'!AT446&gt;0,'Lab test'!AT446,NA())</f>
        <v>0.56177212331294712</v>
      </c>
      <c r="AP453">
        <f t="shared" si="173"/>
        <v>1</v>
      </c>
      <c r="AQ453" s="401">
        <f>'Lab test'!AZ446</f>
        <v>1967</v>
      </c>
      <c r="AR453" t="str">
        <f>'Lab test'!AC446</f>
        <v>LTWb</v>
      </c>
      <c r="AS453" t="str">
        <f>'Lab test'!T446</f>
        <v>Brass</v>
      </c>
      <c r="AX453" t="e">
        <f t="shared" si="158"/>
        <v>#N/A</v>
      </c>
      <c r="AY453" t="e">
        <f t="shared" si="177"/>
        <v>#N/A</v>
      </c>
      <c r="AZ453" t="e">
        <f t="shared" si="174"/>
        <v>#N/A</v>
      </c>
      <c r="BA453" t="e">
        <f t="shared" si="174"/>
        <v>#N/A</v>
      </c>
      <c r="BB453" t="e">
        <f t="shared" si="174"/>
        <v>#N/A</v>
      </c>
      <c r="BC453" t="e">
        <f t="shared" si="174"/>
        <v>#N/A</v>
      </c>
      <c r="BD453" t="e">
        <f t="shared" si="174"/>
        <v>#N/A</v>
      </c>
      <c r="BG453" t="e">
        <f t="shared" si="159"/>
        <v>#N/A</v>
      </c>
      <c r="BH453" t="e">
        <f t="shared" si="178"/>
        <v>#N/A</v>
      </c>
      <c r="BI453" t="e">
        <f t="shared" si="175"/>
        <v>#N/A</v>
      </c>
      <c r="BJ453" t="e">
        <f t="shared" si="175"/>
        <v>#N/A</v>
      </c>
      <c r="BK453" t="e">
        <f t="shared" si="175"/>
        <v>#N/A</v>
      </c>
      <c r="BL453" t="e">
        <f t="shared" si="175"/>
        <v>#N/A</v>
      </c>
      <c r="BM453" t="e">
        <f t="shared" si="175"/>
        <v>#N/A</v>
      </c>
      <c r="BP453" t="e">
        <f t="shared" si="160"/>
        <v>#N/A</v>
      </c>
      <c r="BQ453">
        <f t="shared" si="179"/>
        <v>105489.8</v>
      </c>
      <c r="BR453" t="e">
        <f t="shared" si="176"/>
        <v>#N/A</v>
      </c>
      <c r="BS453" t="e">
        <f t="shared" si="176"/>
        <v>#N/A</v>
      </c>
      <c r="BT453" t="e">
        <f t="shared" si="176"/>
        <v>#N/A</v>
      </c>
      <c r="BU453" t="e">
        <f t="shared" si="176"/>
        <v>#N/A</v>
      </c>
      <c r="BV453" t="e">
        <f t="shared" si="176"/>
        <v>#N/A</v>
      </c>
      <c r="BY453" t="e">
        <f t="shared" si="161"/>
        <v>#N/A</v>
      </c>
      <c r="BZ453" t="e">
        <v>#N/A</v>
      </c>
      <c r="CA453" t="e" cm="1">
        <f t="array" ref="CA453">IF(ISNUMBER(BZ453),AF453/COUNT(IF(ISNUMBER(_xlfn.ANCHORARRAY($BZ$11)),_xlfn.ANCHORARRAY($BZ$11))),NA())</f>
        <v>#N/A</v>
      </c>
      <c r="CB453" t="e">
        <f t="shared" si="162"/>
        <v>#N/A</v>
      </c>
      <c r="CD453" t="e">
        <f t="shared" si="163"/>
        <v>#N/A</v>
      </c>
      <c r="CE453" t="e">
        <f t="shared" si="164"/>
        <v>#N/A</v>
      </c>
      <c r="CG453" t="e">
        <v>#N/A</v>
      </c>
      <c r="CH453" t="e">
        <v>#N/A</v>
      </c>
      <c r="CL453" t="e">
        <f t="shared" si="165"/>
        <v>#N/A</v>
      </c>
      <c r="CM453" t="e">
        <v>#N/A</v>
      </c>
      <c r="CN453" t="e" cm="1">
        <f t="array" ref="CN453">IF(ISNUMBER(CM453),AF453/COUNT(IF(ISNUMBER(_xlfn.ANCHORARRAY($CM$11)),_xlfn.ANCHORARRAY($CM$11))),NA())</f>
        <v>#N/A</v>
      </c>
      <c r="CO453" t="e">
        <f t="shared" si="166"/>
        <v>#N/A</v>
      </c>
      <c r="CQ453" t="e">
        <f t="shared" si="167"/>
        <v>#N/A</v>
      </c>
      <c r="CR453" t="e">
        <f t="shared" si="168"/>
        <v>#N/A</v>
      </c>
      <c r="CT453" t="e">
        <v>#N/A</v>
      </c>
      <c r="CU453" t="e">
        <v>#N/A</v>
      </c>
      <c r="CY453">
        <f t="shared" si="169"/>
        <v>105489.8</v>
      </c>
      <c r="CZ453" t="e">
        <v>#N/A</v>
      </c>
      <c r="DA453" t="e" cm="1">
        <f t="array" ref="DA453">IF(ISNUMBER(CZ453),AF453/COUNT(IF(ISNUMBER(_xlfn.ANCHORARRAY($CZ$11)),_xlfn.ANCHORARRAY($CZ$11))),NA())</f>
        <v>#N/A</v>
      </c>
      <c r="DB453" t="e">
        <f t="shared" si="170"/>
        <v>#N/A</v>
      </c>
      <c r="DD453" t="e">
        <f t="shared" si="171"/>
        <v>#N/A</v>
      </c>
      <c r="DE453" t="e">
        <f t="shared" si="172"/>
        <v>#N/A</v>
      </c>
      <c r="DG453" t="e">
        <v>#N/A</v>
      </c>
      <c r="DH453" t="e">
        <v>#N/A</v>
      </c>
    </row>
    <row r="454" spans="32:112">
      <c r="AF454">
        <v>444</v>
      </c>
      <c r="AG454" s="401">
        <f>'Lab test'!N447</f>
        <v>60.325000000000003</v>
      </c>
      <c r="AH454" s="401">
        <f>'Lab test'!M447</f>
        <v>0.2286</v>
      </c>
      <c r="AI454">
        <f>IF('Lab test'!O447&gt;0,'Lab test'!O447,NA())</f>
        <v>276.86</v>
      </c>
      <c r="AJ454">
        <f>'Lab test'!Q447</f>
        <v>263</v>
      </c>
      <c r="AK454" s="401">
        <f>IF('Lab test'!V447&gt;0,'Lab test'!V447,NA())</f>
        <v>105489.8</v>
      </c>
      <c r="AL454" s="7">
        <f>IF(MAX('Lab test'!W447,'Lab test'!X447)&gt;0,MAX('Lab test'!W447,'Lab test'!X447),NA())</f>
        <v>410.23809999999997</v>
      </c>
      <c r="AM454" s="401">
        <f>IF('Lab test'!P447&gt;0,'Lab test'!P447,NA())</f>
        <v>0.28252203884786981</v>
      </c>
      <c r="AN454" s="401">
        <f>IF('Lab test'!AU447&gt;0,'Lab test'!AU447,NA())</f>
        <v>0.24848117766503225</v>
      </c>
      <c r="AO454" s="401">
        <f>IF('Lab test'!AT447&gt;0,'Lab test'!AT447,NA())</f>
        <v>0.42132909248471029</v>
      </c>
      <c r="AP454">
        <f t="shared" si="173"/>
        <v>1</v>
      </c>
      <c r="AQ454" s="401">
        <f>'Lab test'!AZ447</f>
        <v>1967</v>
      </c>
      <c r="AR454" t="str">
        <f>'Lab test'!AC447</f>
        <v>LTWb</v>
      </c>
      <c r="AS454" t="str">
        <f>'Lab test'!T447</f>
        <v>Brass</v>
      </c>
      <c r="AX454" t="e">
        <f t="shared" si="158"/>
        <v>#N/A</v>
      </c>
      <c r="AY454" t="e">
        <f t="shared" si="177"/>
        <v>#N/A</v>
      </c>
      <c r="AZ454" t="e">
        <f t="shared" si="174"/>
        <v>#N/A</v>
      </c>
      <c r="BA454" t="e">
        <f t="shared" si="174"/>
        <v>#N/A</v>
      </c>
      <c r="BB454" t="e">
        <f t="shared" si="174"/>
        <v>#N/A</v>
      </c>
      <c r="BC454" t="e">
        <f t="shared" si="174"/>
        <v>#N/A</v>
      </c>
      <c r="BD454" t="e">
        <f t="shared" si="174"/>
        <v>#N/A</v>
      </c>
      <c r="BG454" t="e">
        <f t="shared" si="159"/>
        <v>#N/A</v>
      </c>
      <c r="BH454" t="e">
        <f t="shared" si="178"/>
        <v>#N/A</v>
      </c>
      <c r="BI454" t="e">
        <f t="shared" si="175"/>
        <v>#N/A</v>
      </c>
      <c r="BJ454" t="e">
        <f t="shared" si="175"/>
        <v>#N/A</v>
      </c>
      <c r="BK454" t="e">
        <f t="shared" si="175"/>
        <v>#N/A</v>
      </c>
      <c r="BL454" t="e">
        <f t="shared" si="175"/>
        <v>#N/A</v>
      </c>
      <c r="BM454" t="e">
        <f t="shared" si="175"/>
        <v>#N/A</v>
      </c>
      <c r="BP454" t="e">
        <f t="shared" si="160"/>
        <v>#N/A</v>
      </c>
      <c r="BQ454">
        <f t="shared" si="179"/>
        <v>105489.8</v>
      </c>
      <c r="BR454" t="e">
        <f t="shared" si="176"/>
        <v>#N/A</v>
      </c>
      <c r="BS454" t="e">
        <f t="shared" si="176"/>
        <v>#N/A</v>
      </c>
      <c r="BT454" t="e">
        <f t="shared" si="176"/>
        <v>#N/A</v>
      </c>
      <c r="BU454" t="e">
        <f t="shared" si="176"/>
        <v>#N/A</v>
      </c>
      <c r="BV454" t="e">
        <f t="shared" si="176"/>
        <v>#N/A</v>
      </c>
      <c r="BY454" t="e">
        <f t="shared" si="161"/>
        <v>#N/A</v>
      </c>
      <c r="BZ454" t="e">
        <v>#N/A</v>
      </c>
      <c r="CA454" t="e" cm="1">
        <f t="array" ref="CA454">IF(ISNUMBER(BZ454),AF454/COUNT(IF(ISNUMBER(_xlfn.ANCHORARRAY($BZ$11)),_xlfn.ANCHORARRAY($BZ$11))),NA())</f>
        <v>#N/A</v>
      </c>
      <c r="CB454" t="e">
        <f t="shared" si="162"/>
        <v>#N/A</v>
      </c>
      <c r="CD454" t="e">
        <f t="shared" si="163"/>
        <v>#N/A</v>
      </c>
      <c r="CE454" t="e">
        <f t="shared" si="164"/>
        <v>#N/A</v>
      </c>
      <c r="CG454" t="e">
        <v>#N/A</v>
      </c>
      <c r="CH454" t="e">
        <v>#N/A</v>
      </c>
      <c r="CL454" t="e">
        <f t="shared" si="165"/>
        <v>#N/A</v>
      </c>
      <c r="CM454" t="e">
        <v>#N/A</v>
      </c>
      <c r="CN454" t="e" cm="1">
        <f t="array" ref="CN454">IF(ISNUMBER(CM454),AF454/COUNT(IF(ISNUMBER(_xlfn.ANCHORARRAY($CM$11)),_xlfn.ANCHORARRAY($CM$11))),NA())</f>
        <v>#N/A</v>
      </c>
      <c r="CO454" t="e">
        <f t="shared" si="166"/>
        <v>#N/A</v>
      </c>
      <c r="CQ454" t="e">
        <f t="shared" si="167"/>
        <v>#N/A</v>
      </c>
      <c r="CR454" t="e">
        <f t="shared" si="168"/>
        <v>#N/A</v>
      </c>
      <c r="CT454" t="e">
        <v>#N/A</v>
      </c>
      <c r="CU454" t="e">
        <v>#N/A</v>
      </c>
      <c r="CY454">
        <f t="shared" si="169"/>
        <v>105489.8</v>
      </c>
      <c r="CZ454" t="e">
        <v>#N/A</v>
      </c>
      <c r="DA454" t="e" cm="1">
        <f t="array" ref="DA454">IF(ISNUMBER(CZ454),AF454/COUNT(IF(ISNUMBER(_xlfn.ANCHORARRAY($CZ$11)),_xlfn.ANCHORARRAY($CZ$11))),NA())</f>
        <v>#N/A</v>
      </c>
      <c r="DB454" t="e">
        <f t="shared" si="170"/>
        <v>#N/A</v>
      </c>
      <c r="DD454" t="e">
        <f t="shared" si="171"/>
        <v>#N/A</v>
      </c>
      <c r="DE454" t="e">
        <f t="shared" si="172"/>
        <v>#N/A</v>
      </c>
      <c r="DG454" t="e">
        <v>#N/A</v>
      </c>
      <c r="DH454" t="e">
        <v>#N/A</v>
      </c>
    </row>
    <row r="455" spans="32:112">
      <c r="AF455">
        <v>445</v>
      </c>
      <c r="AG455" s="401">
        <f>'Lab test'!N448</f>
        <v>60.325000000000003</v>
      </c>
      <c r="AH455" s="401">
        <f>'Lab test'!M448</f>
        <v>0.127</v>
      </c>
      <c r="AI455">
        <f>IF('Lab test'!O448&gt;0,'Lab test'!O448,NA())</f>
        <v>276.86</v>
      </c>
      <c r="AJ455">
        <f>'Lab test'!Q448</f>
        <v>475</v>
      </c>
      <c r="AK455" s="401">
        <f>IF('Lab test'!V448&gt;0,'Lab test'!V448,NA())</f>
        <v>105489.8</v>
      </c>
      <c r="AL455" s="7">
        <f>IF(MAX('Lab test'!W448,'Lab test'!X448)&gt;0,MAX('Lab test'!W448,'Lab test'!X448),NA())</f>
        <v>410.23809999999997</v>
      </c>
      <c r="AM455" s="401">
        <f>IF('Lab test'!P448&gt;0,'Lab test'!P448,NA())</f>
        <v>0.21057949466855774</v>
      </c>
      <c r="AN455" s="401">
        <f>IF('Lab test'!AU448&gt;0,'Lab test'!AU448,NA())</f>
        <v>0.10285713236678898</v>
      </c>
      <c r="AO455" s="401">
        <f>IF('Lab test'!AT448&gt;0,'Lab test'!AT448,NA())</f>
        <v>0.31393148067488225</v>
      </c>
      <c r="AP455">
        <f t="shared" si="173"/>
        <v>1</v>
      </c>
      <c r="AQ455" s="401">
        <f>'Lab test'!AZ448</f>
        <v>1967</v>
      </c>
      <c r="AR455" t="str">
        <f>'Lab test'!AC448</f>
        <v>LTWb</v>
      </c>
      <c r="AS455" t="str">
        <f>'Lab test'!T448</f>
        <v>Brass</v>
      </c>
      <c r="AX455" t="e">
        <f t="shared" si="158"/>
        <v>#N/A</v>
      </c>
      <c r="AY455" t="e">
        <f t="shared" si="177"/>
        <v>#N/A</v>
      </c>
      <c r="AZ455" t="e">
        <f t="shared" si="174"/>
        <v>#N/A</v>
      </c>
      <c r="BA455" t="e">
        <f t="shared" si="174"/>
        <v>#N/A</v>
      </c>
      <c r="BB455" t="e">
        <f t="shared" si="174"/>
        <v>#N/A</v>
      </c>
      <c r="BC455" t="e">
        <f t="shared" si="174"/>
        <v>#N/A</v>
      </c>
      <c r="BD455" t="e">
        <f t="shared" si="174"/>
        <v>#N/A</v>
      </c>
      <c r="BG455" t="e">
        <f t="shared" si="159"/>
        <v>#N/A</v>
      </c>
      <c r="BH455" t="e">
        <f t="shared" si="178"/>
        <v>#N/A</v>
      </c>
      <c r="BI455" t="e">
        <f t="shared" si="175"/>
        <v>#N/A</v>
      </c>
      <c r="BJ455" t="e">
        <f t="shared" si="175"/>
        <v>#N/A</v>
      </c>
      <c r="BK455" t="e">
        <f t="shared" si="175"/>
        <v>#N/A</v>
      </c>
      <c r="BL455" t="e">
        <f t="shared" si="175"/>
        <v>#N/A</v>
      </c>
      <c r="BM455" t="e">
        <f t="shared" si="175"/>
        <v>#N/A</v>
      </c>
      <c r="BP455" t="e">
        <f t="shared" si="160"/>
        <v>#N/A</v>
      </c>
      <c r="BQ455" t="e">
        <f t="shared" si="179"/>
        <v>#N/A</v>
      </c>
      <c r="BR455">
        <f t="shared" si="176"/>
        <v>105489.8</v>
      </c>
      <c r="BS455" t="e">
        <f t="shared" si="176"/>
        <v>#N/A</v>
      </c>
      <c r="BT455" t="e">
        <f t="shared" si="176"/>
        <v>#N/A</v>
      </c>
      <c r="BU455" t="e">
        <f t="shared" si="176"/>
        <v>#N/A</v>
      </c>
      <c r="BV455" t="e">
        <f t="shared" si="176"/>
        <v>#N/A</v>
      </c>
      <c r="BY455" t="e">
        <f t="shared" si="161"/>
        <v>#N/A</v>
      </c>
      <c r="BZ455" t="e">
        <v>#N/A</v>
      </c>
      <c r="CA455" t="e" cm="1">
        <f t="array" ref="CA455">IF(ISNUMBER(BZ455),AF455/COUNT(IF(ISNUMBER(_xlfn.ANCHORARRAY($BZ$11)),_xlfn.ANCHORARRAY($BZ$11))),NA())</f>
        <v>#N/A</v>
      </c>
      <c r="CB455" t="e">
        <f t="shared" si="162"/>
        <v>#N/A</v>
      </c>
      <c r="CD455" t="e">
        <f t="shared" si="163"/>
        <v>#N/A</v>
      </c>
      <c r="CE455" t="e">
        <f t="shared" si="164"/>
        <v>#N/A</v>
      </c>
      <c r="CG455" t="e">
        <v>#N/A</v>
      </c>
      <c r="CH455" t="e">
        <v>#N/A</v>
      </c>
      <c r="CL455" t="e">
        <f t="shared" si="165"/>
        <v>#N/A</v>
      </c>
      <c r="CM455" t="e">
        <v>#N/A</v>
      </c>
      <c r="CN455" t="e" cm="1">
        <f t="array" ref="CN455">IF(ISNUMBER(CM455),AF455/COUNT(IF(ISNUMBER(_xlfn.ANCHORARRAY($CM$11)),_xlfn.ANCHORARRAY($CM$11))),NA())</f>
        <v>#N/A</v>
      </c>
      <c r="CO455" t="e">
        <f t="shared" si="166"/>
        <v>#N/A</v>
      </c>
      <c r="CQ455" t="e">
        <f t="shared" si="167"/>
        <v>#N/A</v>
      </c>
      <c r="CR455" t="e">
        <f t="shared" si="168"/>
        <v>#N/A</v>
      </c>
      <c r="CT455" t="e">
        <v>#N/A</v>
      </c>
      <c r="CU455" t="e">
        <v>#N/A</v>
      </c>
      <c r="CY455">
        <f t="shared" si="169"/>
        <v>105489.8</v>
      </c>
      <c r="CZ455" t="e">
        <v>#N/A</v>
      </c>
      <c r="DA455" t="e" cm="1">
        <f t="array" ref="DA455">IF(ISNUMBER(CZ455),AF455/COUNT(IF(ISNUMBER(_xlfn.ANCHORARRAY($CZ$11)),_xlfn.ANCHORARRAY($CZ$11))),NA())</f>
        <v>#N/A</v>
      </c>
      <c r="DB455" t="e">
        <f t="shared" si="170"/>
        <v>#N/A</v>
      </c>
      <c r="DD455" t="e">
        <f t="shared" si="171"/>
        <v>#N/A</v>
      </c>
      <c r="DE455" t="e">
        <f t="shared" si="172"/>
        <v>#N/A</v>
      </c>
      <c r="DG455" t="e">
        <v>#N/A</v>
      </c>
      <c r="DH455" t="e">
        <v>#N/A</v>
      </c>
    </row>
    <row r="456" spans="32:112">
      <c r="AF456">
        <v>446</v>
      </c>
      <c r="AG456" s="401">
        <f>'Lab test'!N449</f>
        <v>60.325000000000003</v>
      </c>
      <c r="AH456" s="401">
        <f>'Lab test'!M449</f>
        <v>0.127</v>
      </c>
      <c r="AI456">
        <f>IF('Lab test'!O449&gt;0,'Lab test'!O449,NA())</f>
        <v>276.86</v>
      </c>
      <c r="AJ456">
        <f>'Lab test'!Q449</f>
        <v>475</v>
      </c>
      <c r="AK456" s="401">
        <f>IF('Lab test'!V449&gt;0,'Lab test'!V449,NA())</f>
        <v>105489.8</v>
      </c>
      <c r="AL456" s="7">
        <f>IF(MAX('Lab test'!W449,'Lab test'!X449)&gt;0,MAX('Lab test'!W449,'Lab test'!X449),NA())</f>
        <v>410.23809999999997</v>
      </c>
      <c r="AM456" s="401">
        <f>IF('Lab test'!P449&gt;0,'Lab test'!P449,NA())</f>
        <v>0.21057949466855774</v>
      </c>
      <c r="AN456" s="401">
        <f>IF('Lab test'!AU449&gt;0,'Lab test'!AU449,NA())</f>
        <v>0.18947366488619016</v>
      </c>
      <c r="AO456" s="401">
        <f>IF('Lab test'!AT449&gt;0,'Lab test'!AT449,NA())</f>
        <v>0.57829483282215133</v>
      </c>
      <c r="AP456">
        <f t="shared" si="173"/>
        <v>1</v>
      </c>
      <c r="AQ456" s="401">
        <f>'Lab test'!AZ449</f>
        <v>1967</v>
      </c>
      <c r="AR456" t="str">
        <f>'Lab test'!AC449</f>
        <v>LTWb</v>
      </c>
      <c r="AS456" t="str">
        <f>'Lab test'!T449</f>
        <v>Brass</v>
      </c>
      <c r="AX456" t="e">
        <f t="shared" si="158"/>
        <v>#N/A</v>
      </c>
      <c r="AY456" t="e">
        <f t="shared" si="177"/>
        <v>#N/A</v>
      </c>
      <c r="AZ456" t="e">
        <f t="shared" si="174"/>
        <v>#N/A</v>
      </c>
      <c r="BA456" t="e">
        <f t="shared" si="174"/>
        <v>#N/A</v>
      </c>
      <c r="BB456" t="e">
        <f t="shared" si="174"/>
        <v>#N/A</v>
      </c>
      <c r="BC456" t="e">
        <f t="shared" si="174"/>
        <v>#N/A</v>
      </c>
      <c r="BD456" t="e">
        <f t="shared" si="174"/>
        <v>#N/A</v>
      </c>
      <c r="BG456" t="e">
        <f t="shared" si="159"/>
        <v>#N/A</v>
      </c>
      <c r="BH456" t="e">
        <f t="shared" si="178"/>
        <v>#N/A</v>
      </c>
      <c r="BI456" t="e">
        <f t="shared" si="175"/>
        <v>#N/A</v>
      </c>
      <c r="BJ456" t="e">
        <f t="shared" si="175"/>
        <v>#N/A</v>
      </c>
      <c r="BK456" t="e">
        <f t="shared" si="175"/>
        <v>#N/A</v>
      </c>
      <c r="BL456" t="e">
        <f t="shared" si="175"/>
        <v>#N/A</v>
      </c>
      <c r="BM456" t="e">
        <f t="shared" si="175"/>
        <v>#N/A</v>
      </c>
      <c r="BP456" t="e">
        <f t="shared" si="160"/>
        <v>#N/A</v>
      </c>
      <c r="BQ456" t="e">
        <f t="shared" si="179"/>
        <v>#N/A</v>
      </c>
      <c r="BR456">
        <f t="shared" si="176"/>
        <v>105489.8</v>
      </c>
      <c r="BS456" t="e">
        <f t="shared" si="176"/>
        <v>#N/A</v>
      </c>
      <c r="BT456" t="e">
        <f t="shared" si="176"/>
        <v>#N/A</v>
      </c>
      <c r="BU456" t="e">
        <f t="shared" si="176"/>
        <v>#N/A</v>
      </c>
      <c r="BV456" t="e">
        <f t="shared" si="176"/>
        <v>#N/A</v>
      </c>
      <c r="BY456" t="e">
        <f t="shared" si="161"/>
        <v>#N/A</v>
      </c>
      <c r="BZ456" t="e">
        <v>#N/A</v>
      </c>
      <c r="CA456" t="e" cm="1">
        <f t="array" ref="CA456">IF(ISNUMBER(BZ456),AF456/COUNT(IF(ISNUMBER(_xlfn.ANCHORARRAY($BZ$11)),_xlfn.ANCHORARRAY($BZ$11))),NA())</f>
        <v>#N/A</v>
      </c>
      <c r="CB456" t="e">
        <f t="shared" si="162"/>
        <v>#N/A</v>
      </c>
      <c r="CD456" t="e">
        <f t="shared" si="163"/>
        <v>#N/A</v>
      </c>
      <c r="CE456" t="e">
        <f t="shared" si="164"/>
        <v>#N/A</v>
      </c>
      <c r="CG456" t="e">
        <v>#N/A</v>
      </c>
      <c r="CH456" t="e">
        <v>#N/A</v>
      </c>
      <c r="CL456" t="e">
        <f t="shared" si="165"/>
        <v>#N/A</v>
      </c>
      <c r="CM456" t="e">
        <v>#N/A</v>
      </c>
      <c r="CN456" t="e" cm="1">
        <f t="array" ref="CN456">IF(ISNUMBER(CM456),AF456/COUNT(IF(ISNUMBER(_xlfn.ANCHORARRAY($CM$11)),_xlfn.ANCHORARRAY($CM$11))),NA())</f>
        <v>#N/A</v>
      </c>
      <c r="CO456" t="e">
        <f t="shared" si="166"/>
        <v>#N/A</v>
      </c>
      <c r="CQ456" t="e">
        <f t="shared" si="167"/>
        <v>#N/A</v>
      </c>
      <c r="CR456" t="e">
        <f t="shared" si="168"/>
        <v>#N/A</v>
      </c>
      <c r="CT456" t="e">
        <v>#N/A</v>
      </c>
      <c r="CU456" t="e">
        <v>#N/A</v>
      </c>
      <c r="CY456">
        <f t="shared" si="169"/>
        <v>105489.8</v>
      </c>
      <c r="CZ456" t="e">
        <v>#N/A</v>
      </c>
      <c r="DA456" t="e" cm="1">
        <f t="array" ref="DA456">IF(ISNUMBER(CZ456),AF456/COUNT(IF(ISNUMBER(_xlfn.ANCHORARRAY($CZ$11)),_xlfn.ANCHORARRAY($CZ$11))),NA())</f>
        <v>#N/A</v>
      </c>
      <c r="DB456" t="e">
        <f t="shared" si="170"/>
        <v>#N/A</v>
      </c>
      <c r="DD456" t="e">
        <f t="shared" si="171"/>
        <v>#N/A</v>
      </c>
      <c r="DE456" t="e">
        <f t="shared" si="172"/>
        <v>#N/A</v>
      </c>
      <c r="DG456" t="e">
        <v>#N/A</v>
      </c>
      <c r="DH456" t="e">
        <v>#N/A</v>
      </c>
    </row>
    <row r="457" spans="32:112">
      <c r="AF457">
        <v>447</v>
      </c>
      <c r="AG457" s="401">
        <f>'Lab test'!N450</f>
        <v>60.325000000000003</v>
      </c>
      <c r="AH457" s="401">
        <f>'Lab test'!M450</f>
        <v>0.1016</v>
      </c>
      <c r="AI457">
        <f>IF('Lab test'!O450&gt;0,'Lab test'!O450,NA())</f>
        <v>276.86</v>
      </c>
      <c r="AJ457">
        <f>'Lab test'!Q450</f>
        <v>594</v>
      </c>
      <c r="AK457" s="401">
        <f>IF('Lab test'!V450&gt;0,'Lab test'!V450,NA())</f>
        <v>105489.8</v>
      </c>
      <c r="AL457" s="7">
        <f>IF(MAX('Lab test'!W450,'Lab test'!X450)&gt;0,MAX('Lab test'!W450,'Lab test'!X450),NA())</f>
        <v>410.23809999999997</v>
      </c>
      <c r="AM457" s="401">
        <f>IF('Lab test'!P450&gt;0,'Lab test'!P450,NA())</f>
        <v>0.18834802589857985</v>
      </c>
      <c r="AN457" s="401">
        <f>IF('Lab test'!AU450&gt;0,'Lab test'!AU450,NA())</f>
        <v>7.7088713942267087E-2</v>
      </c>
      <c r="AO457" s="401">
        <f>IF('Lab test'!AT450&gt;0,'Lab test'!AT450,NA())</f>
        <v>0.29410422926383706</v>
      </c>
      <c r="AP457">
        <f t="shared" si="173"/>
        <v>1</v>
      </c>
      <c r="AQ457" s="401">
        <f>'Lab test'!AZ450</f>
        <v>1967</v>
      </c>
      <c r="AR457" t="str">
        <f>'Lab test'!AC450</f>
        <v>LTWb</v>
      </c>
      <c r="AS457" t="str">
        <f>'Lab test'!T450</f>
        <v>Brass</v>
      </c>
      <c r="AX457" t="e">
        <f t="shared" si="158"/>
        <v>#N/A</v>
      </c>
      <c r="AY457" t="e">
        <f t="shared" si="177"/>
        <v>#N/A</v>
      </c>
      <c r="AZ457" t="e">
        <f t="shared" si="174"/>
        <v>#N/A</v>
      </c>
      <c r="BA457" t="e">
        <f t="shared" si="174"/>
        <v>#N/A</v>
      </c>
      <c r="BB457" t="e">
        <f t="shared" si="174"/>
        <v>#N/A</v>
      </c>
      <c r="BC457" t="e">
        <f t="shared" si="174"/>
        <v>#N/A</v>
      </c>
      <c r="BD457" t="e">
        <f t="shared" si="174"/>
        <v>#N/A</v>
      </c>
      <c r="BG457" t="e">
        <f t="shared" si="159"/>
        <v>#N/A</v>
      </c>
      <c r="BH457" t="e">
        <f t="shared" si="178"/>
        <v>#N/A</v>
      </c>
      <c r="BI457" t="e">
        <f t="shared" si="175"/>
        <v>#N/A</v>
      </c>
      <c r="BJ457" t="e">
        <f t="shared" si="175"/>
        <v>#N/A</v>
      </c>
      <c r="BK457" t="e">
        <f t="shared" si="175"/>
        <v>#N/A</v>
      </c>
      <c r="BL457" t="e">
        <f t="shared" si="175"/>
        <v>#N/A</v>
      </c>
      <c r="BM457" t="e">
        <f t="shared" si="175"/>
        <v>#N/A</v>
      </c>
      <c r="BP457" t="e">
        <f t="shared" si="160"/>
        <v>#N/A</v>
      </c>
      <c r="BQ457" t="e">
        <f t="shared" si="179"/>
        <v>#N/A</v>
      </c>
      <c r="BR457">
        <f t="shared" si="176"/>
        <v>105489.8</v>
      </c>
      <c r="BS457" t="e">
        <f t="shared" si="176"/>
        <v>#N/A</v>
      </c>
      <c r="BT457" t="e">
        <f t="shared" si="176"/>
        <v>#N/A</v>
      </c>
      <c r="BU457" t="e">
        <f t="shared" si="176"/>
        <v>#N/A</v>
      </c>
      <c r="BV457" t="e">
        <f t="shared" si="176"/>
        <v>#N/A</v>
      </c>
      <c r="BY457" t="e">
        <f t="shared" si="161"/>
        <v>#N/A</v>
      </c>
      <c r="BZ457" t="e">
        <v>#N/A</v>
      </c>
      <c r="CA457" t="e" cm="1">
        <f t="array" ref="CA457">IF(ISNUMBER(BZ457),AF457/COUNT(IF(ISNUMBER(_xlfn.ANCHORARRAY($BZ$11)),_xlfn.ANCHORARRAY($BZ$11))),NA())</f>
        <v>#N/A</v>
      </c>
      <c r="CB457" t="e">
        <f t="shared" si="162"/>
        <v>#N/A</v>
      </c>
      <c r="CD457" t="e">
        <f t="shared" si="163"/>
        <v>#N/A</v>
      </c>
      <c r="CE457" t="e">
        <f t="shared" si="164"/>
        <v>#N/A</v>
      </c>
      <c r="CG457" t="e">
        <v>#N/A</v>
      </c>
      <c r="CH457" t="e">
        <v>#N/A</v>
      </c>
      <c r="CL457" t="e">
        <f t="shared" si="165"/>
        <v>#N/A</v>
      </c>
      <c r="CM457" t="e">
        <v>#N/A</v>
      </c>
      <c r="CN457" t="e" cm="1">
        <f t="array" ref="CN457">IF(ISNUMBER(CM457),AF457/COUNT(IF(ISNUMBER(_xlfn.ANCHORARRAY($CM$11)),_xlfn.ANCHORARRAY($CM$11))),NA())</f>
        <v>#N/A</v>
      </c>
      <c r="CO457" t="e">
        <f t="shared" si="166"/>
        <v>#N/A</v>
      </c>
      <c r="CQ457" t="e">
        <f t="shared" si="167"/>
        <v>#N/A</v>
      </c>
      <c r="CR457" t="e">
        <f t="shared" si="168"/>
        <v>#N/A</v>
      </c>
      <c r="CT457" t="e">
        <v>#N/A</v>
      </c>
      <c r="CU457" t="e">
        <v>#N/A</v>
      </c>
      <c r="CY457">
        <f t="shared" si="169"/>
        <v>105489.8</v>
      </c>
      <c r="CZ457" t="e">
        <v>#N/A</v>
      </c>
      <c r="DA457" t="e" cm="1">
        <f t="array" ref="DA457">IF(ISNUMBER(CZ457),AF457/COUNT(IF(ISNUMBER(_xlfn.ANCHORARRAY($CZ$11)),_xlfn.ANCHORARRAY($CZ$11))),NA())</f>
        <v>#N/A</v>
      </c>
      <c r="DB457" t="e">
        <f t="shared" si="170"/>
        <v>#N/A</v>
      </c>
      <c r="DD457" t="e">
        <f t="shared" si="171"/>
        <v>#N/A</v>
      </c>
      <c r="DE457" t="e">
        <f t="shared" si="172"/>
        <v>#N/A</v>
      </c>
      <c r="DG457" t="e">
        <v>#N/A</v>
      </c>
      <c r="DH457" t="e">
        <v>#N/A</v>
      </c>
    </row>
    <row r="458" spans="32:112">
      <c r="AF458">
        <v>448</v>
      </c>
      <c r="AG458" s="401">
        <f>'Lab test'!N451</f>
        <v>60.325000000000003</v>
      </c>
      <c r="AH458" s="401">
        <f>'Lab test'!M451</f>
        <v>0.1016</v>
      </c>
      <c r="AI458">
        <f>IF('Lab test'!O451&gt;0,'Lab test'!O451,NA())</f>
        <v>276.86</v>
      </c>
      <c r="AJ458">
        <f>'Lab test'!Q451</f>
        <v>594</v>
      </c>
      <c r="AK458" s="401">
        <f>IF('Lab test'!V451&gt;0,'Lab test'!V451,NA())</f>
        <v>105489.8</v>
      </c>
      <c r="AL458" s="7">
        <f>IF(MAX('Lab test'!W451,'Lab test'!X451)&gt;0,MAX('Lab test'!W451,'Lab test'!X451),NA())</f>
        <v>410.23809999999997</v>
      </c>
      <c r="AM458" s="401">
        <f>IF('Lab test'!P451&gt;0,'Lab test'!P451,NA())</f>
        <v>0.18834802589857985</v>
      </c>
      <c r="AN458" s="401">
        <f>IF('Lab test'!AU451&gt;0,'Lab test'!AU451,NA())</f>
        <v>0.12342855884014675</v>
      </c>
      <c r="AO458" s="401">
        <f>IF('Lab test'!AT451&gt;0,'Lab test'!AT451,NA())</f>
        <v>0.4708972210123234</v>
      </c>
      <c r="AP458">
        <f t="shared" si="173"/>
        <v>1</v>
      </c>
      <c r="AQ458" s="401">
        <f>'Lab test'!AZ451</f>
        <v>1967</v>
      </c>
      <c r="AR458" t="str">
        <f>'Lab test'!AC451</f>
        <v>LTWb</v>
      </c>
      <c r="AS458" t="str">
        <f>'Lab test'!T451</f>
        <v>Brass</v>
      </c>
      <c r="AX458" t="e">
        <f t="shared" si="158"/>
        <v>#N/A</v>
      </c>
      <c r="AY458" t="e">
        <f t="shared" si="177"/>
        <v>#N/A</v>
      </c>
      <c r="AZ458" t="e">
        <f t="shared" si="174"/>
        <v>#N/A</v>
      </c>
      <c r="BA458" t="e">
        <f t="shared" si="174"/>
        <v>#N/A</v>
      </c>
      <c r="BB458" t="e">
        <f t="shared" si="174"/>
        <v>#N/A</v>
      </c>
      <c r="BC458" t="e">
        <f t="shared" si="174"/>
        <v>#N/A</v>
      </c>
      <c r="BD458" t="e">
        <f t="shared" si="174"/>
        <v>#N/A</v>
      </c>
      <c r="BG458" t="e">
        <f t="shared" si="159"/>
        <v>#N/A</v>
      </c>
      <c r="BH458" t="e">
        <f t="shared" si="178"/>
        <v>#N/A</v>
      </c>
      <c r="BI458" t="e">
        <f t="shared" si="175"/>
        <v>#N/A</v>
      </c>
      <c r="BJ458" t="e">
        <f t="shared" si="175"/>
        <v>#N/A</v>
      </c>
      <c r="BK458" t="e">
        <f t="shared" si="175"/>
        <v>#N/A</v>
      </c>
      <c r="BL458" t="e">
        <f t="shared" si="175"/>
        <v>#N/A</v>
      </c>
      <c r="BM458" t="e">
        <f t="shared" si="175"/>
        <v>#N/A</v>
      </c>
      <c r="BP458" t="e">
        <f t="shared" si="160"/>
        <v>#N/A</v>
      </c>
      <c r="BQ458" t="e">
        <f t="shared" si="179"/>
        <v>#N/A</v>
      </c>
      <c r="BR458">
        <f t="shared" si="176"/>
        <v>105489.8</v>
      </c>
      <c r="BS458" t="e">
        <f t="shared" si="176"/>
        <v>#N/A</v>
      </c>
      <c r="BT458" t="e">
        <f t="shared" si="176"/>
        <v>#N/A</v>
      </c>
      <c r="BU458" t="e">
        <f t="shared" si="176"/>
        <v>#N/A</v>
      </c>
      <c r="BV458" t="e">
        <f t="shared" si="176"/>
        <v>#N/A</v>
      </c>
      <c r="BY458" t="e">
        <f t="shared" si="161"/>
        <v>#N/A</v>
      </c>
      <c r="BZ458" t="e">
        <v>#N/A</v>
      </c>
      <c r="CA458" t="e" cm="1">
        <f t="array" ref="CA458">IF(ISNUMBER(BZ458),AF458/COUNT(IF(ISNUMBER(_xlfn.ANCHORARRAY($BZ$11)),_xlfn.ANCHORARRAY($BZ$11))),NA())</f>
        <v>#N/A</v>
      </c>
      <c r="CB458" t="e">
        <f t="shared" si="162"/>
        <v>#N/A</v>
      </c>
      <c r="CD458" t="e">
        <f t="shared" si="163"/>
        <v>#N/A</v>
      </c>
      <c r="CE458" t="e">
        <f t="shared" si="164"/>
        <v>#N/A</v>
      </c>
      <c r="CG458" t="e">
        <v>#N/A</v>
      </c>
      <c r="CH458" t="e">
        <v>#N/A</v>
      </c>
      <c r="CL458" t="e">
        <f t="shared" si="165"/>
        <v>#N/A</v>
      </c>
      <c r="CM458" t="e">
        <v>#N/A</v>
      </c>
      <c r="CN458" t="e" cm="1">
        <f t="array" ref="CN458">IF(ISNUMBER(CM458),AF458/COUNT(IF(ISNUMBER(_xlfn.ANCHORARRAY($CM$11)),_xlfn.ANCHORARRAY($CM$11))),NA())</f>
        <v>#N/A</v>
      </c>
      <c r="CO458" t="e">
        <f t="shared" si="166"/>
        <v>#N/A</v>
      </c>
      <c r="CQ458" t="e">
        <f t="shared" si="167"/>
        <v>#N/A</v>
      </c>
      <c r="CR458" t="e">
        <f t="shared" si="168"/>
        <v>#N/A</v>
      </c>
      <c r="CT458" t="e">
        <v>#N/A</v>
      </c>
      <c r="CU458" t="e">
        <v>#N/A</v>
      </c>
      <c r="CY458">
        <f t="shared" si="169"/>
        <v>105489.8</v>
      </c>
      <c r="CZ458" t="e">
        <v>#N/A</v>
      </c>
      <c r="DA458" t="e" cm="1">
        <f t="array" ref="DA458">IF(ISNUMBER(CZ458),AF458/COUNT(IF(ISNUMBER(_xlfn.ANCHORARRAY($CZ$11)),_xlfn.ANCHORARRAY($CZ$11))),NA())</f>
        <v>#N/A</v>
      </c>
      <c r="DB458" t="e">
        <f t="shared" si="170"/>
        <v>#N/A</v>
      </c>
      <c r="DD458" t="e">
        <f t="shared" si="171"/>
        <v>#N/A</v>
      </c>
      <c r="DE458" t="e">
        <f t="shared" si="172"/>
        <v>#N/A</v>
      </c>
      <c r="DG458" t="e">
        <v>#N/A</v>
      </c>
      <c r="DH458" t="e">
        <v>#N/A</v>
      </c>
    </row>
    <row r="459" spans="32:112">
      <c r="AF459">
        <v>449</v>
      </c>
      <c r="AG459" s="401">
        <f>'Lab test'!N452</f>
        <v>137.16</v>
      </c>
      <c r="AH459" s="401">
        <f>'Lab test'!M452</f>
        <v>1.016</v>
      </c>
      <c r="AI459">
        <f>IF('Lab test'!O452&gt;0,'Lab test'!O452,NA())</f>
        <v>609.6</v>
      </c>
      <c r="AJ459">
        <f>'Lab test'!Q452</f>
        <v>135</v>
      </c>
      <c r="AK459" s="401">
        <f>IF('Lab test'!V452&gt;0,'Lab test'!V452,NA())</f>
        <v>70326.52</v>
      </c>
      <c r="AL459" s="7">
        <f>IF(MAX('Lab test'!W452,'Lab test'!X452)&gt;0,MAX('Lab test'!W452,'Lab test'!X452),NA())</f>
        <v>140.65299999999999</v>
      </c>
      <c r="AM459" s="401">
        <f>IF('Lab test'!P452&gt;0,'Lab test'!P452,NA())</f>
        <v>0.38251687369949799</v>
      </c>
      <c r="AN459" s="401">
        <f>IF('Lab test'!AU452&gt;0,'Lab test'!AU452,NA())</f>
        <v>0.88888919547159806</v>
      </c>
      <c r="AO459" s="401">
        <f>IF('Lab test'!AT452&gt;0,'Lab test'!AT452,NA())</f>
        <v>0.3965451034025998</v>
      </c>
      <c r="AP459">
        <f t="shared" si="173"/>
        <v>1</v>
      </c>
      <c r="AQ459" s="401">
        <f>'Lab test'!AZ452</f>
        <v>1967</v>
      </c>
      <c r="AR459" t="str">
        <f>'Lab test'!AC452</f>
        <v>LTWb</v>
      </c>
      <c r="AS459" t="str">
        <f>'Lab test'!T452</f>
        <v>Aluminium</v>
      </c>
      <c r="AX459" t="e">
        <f t="shared" si="158"/>
        <v>#N/A</v>
      </c>
      <c r="AY459" t="e">
        <f t="shared" si="177"/>
        <v>#N/A</v>
      </c>
      <c r="AZ459" t="e">
        <f t="shared" si="174"/>
        <v>#N/A</v>
      </c>
      <c r="BA459" t="e">
        <f t="shared" si="174"/>
        <v>#N/A</v>
      </c>
      <c r="BB459" t="e">
        <f t="shared" si="174"/>
        <v>#N/A</v>
      </c>
      <c r="BC459" t="e">
        <f t="shared" si="174"/>
        <v>#N/A</v>
      </c>
      <c r="BD459" t="e">
        <f t="shared" si="174"/>
        <v>#N/A</v>
      </c>
      <c r="BG459">
        <f t="shared" si="159"/>
        <v>70326.52</v>
      </c>
      <c r="BH459" t="e">
        <f t="shared" si="178"/>
        <v>#N/A</v>
      </c>
      <c r="BI459" t="e">
        <f t="shared" si="175"/>
        <v>#N/A</v>
      </c>
      <c r="BJ459" t="e">
        <f t="shared" si="175"/>
        <v>#N/A</v>
      </c>
      <c r="BK459" t="e">
        <f t="shared" si="175"/>
        <v>#N/A</v>
      </c>
      <c r="BL459" t="e">
        <f t="shared" si="175"/>
        <v>#N/A</v>
      </c>
      <c r="BM459" t="e">
        <f t="shared" si="175"/>
        <v>#N/A</v>
      </c>
      <c r="BP459" t="e">
        <f t="shared" si="160"/>
        <v>#N/A</v>
      </c>
      <c r="BQ459" t="e">
        <f t="shared" si="179"/>
        <v>#N/A</v>
      </c>
      <c r="BR459" t="e">
        <f t="shared" si="176"/>
        <v>#N/A</v>
      </c>
      <c r="BS459" t="e">
        <f t="shared" si="176"/>
        <v>#N/A</v>
      </c>
      <c r="BT459" t="e">
        <f t="shared" si="176"/>
        <v>#N/A</v>
      </c>
      <c r="BU459" t="e">
        <f t="shared" si="176"/>
        <v>#N/A</v>
      </c>
      <c r="BV459" t="e">
        <f t="shared" si="176"/>
        <v>#N/A</v>
      </c>
      <c r="BY459" t="e">
        <f t="shared" si="161"/>
        <v>#N/A</v>
      </c>
      <c r="BZ459" t="e">
        <v>#N/A</v>
      </c>
      <c r="CA459" t="e" cm="1">
        <f t="array" ref="CA459">IF(ISNUMBER(BZ459),AF459/COUNT(IF(ISNUMBER(_xlfn.ANCHORARRAY($BZ$11)),_xlfn.ANCHORARRAY($BZ$11))),NA())</f>
        <v>#N/A</v>
      </c>
      <c r="CB459" t="e">
        <f t="shared" si="162"/>
        <v>#N/A</v>
      </c>
      <c r="CD459" t="e">
        <f t="shared" si="163"/>
        <v>#N/A</v>
      </c>
      <c r="CE459" t="e">
        <f t="shared" si="164"/>
        <v>#N/A</v>
      </c>
      <c r="CG459" t="e">
        <v>#N/A</v>
      </c>
      <c r="CH459" t="e">
        <v>#N/A</v>
      </c>
      <c r="CL459">
        <f t="shared" si="165"/>
        <v>70326.52</v>
      </c>
      <c r="CM459" t="e">
        <v>#N/A</v>
      </c>
      <c r="CN459" t="e" cm="1">
        <f t="array" ref="CN459">IF(ISNUMBER(CM459),AF459/COUNT(IF(ISNUMBER(_xlfn.ANCHORARRAY($CM$11)),_xlfn.ANCHORARRAY($CM$11))),NA())</f>
        <v>#N/A</v>
      </c>
      <c r="CO459" t="e">
        <f t="shared" si="166"/>
        <v>#N/A</v>
      </c>
      <c r="CQ459" t="e">
        <f t="shared" si="167"/>
        <v>#N/A</v>
      </c>
      <c r="CR459" t="e">
        <f t="shared" si="168"/>
        <v>#N/A</v>
      </c>
      <c r="CT459" t="e">
        <v>#N/A</v>
      </c>
      <c r="CU459" t="e">
        <v>#N/A</v>
      </c>
      <c r="CY459" t="e">
        <f t="shared" si="169"/>
        <v>#N/A</v>
      </c>
      <c r="CZ459" t="e">
        <v>#N/A</v>
      </c>
      <c r="DA459" t="e" cm="1">
        <f t="array" ref="DA459">IF(ISNUMBER(CZ459),AF459/COUNT(IF(ISNUMBER(_xlfn.ANCHORARRAY($CZ$11)),_xlfn.ANCHORARRAY($CZ$11))),NA())</f>
        <v>#N/A</v>
      </c>
      <c r="DB459" t="e">
        <f t="shared" si="170"/>
        <v>#N/A</v>
      </c>
      <c r="DD459" t="e">
        <f t="shared" si="171"/>
        <v>#N/A</v>
      </c>
      <c r="DE459" t="e">
        <f t="shared" si="172"/>
        <v>#N/A</v>
      </c>
      <c r="DG459" t="e">
        <v>#N/A</v>
      </c>
      <c r="DH459" t="e">
        <v>#N/A</v>
      </c>
    </row>
    <row r="460" spans="32:112">
      <c r="AF460">
        <v>450</v>
      </c>
      <c r="AG460" s="401">
        <f>'Lab test'!N453</f>
        <v>137.16</v>
      </c>
      <c r="AH460" s="401">
        <f>'Lab test'!M453</f>
        <v>1.016</v>
      </c>
      <c r="AI460">
        <f>IF('Lab test'!O453&gt;0,'Lab test'!O453,NA())</f>
        <v>609.6</v>
      </c>
      <c r="AJ460">
        <f>'Lab test'!Q453</f>
        <v>135</v>
      </c>
      <c r="AK460" s="401">
        <f>IF('Lab test'!V453&gt;0,'Lab test'!V453,NA())</f>
        <v>70671.259999999995</v>
      </c>
      <c r="AL460" s="7">
        <f>IF(MAX('Lab test'!W453,'Lab test'!X453)&gt;0,MAX('Lab test'!W453,'Lab test'!X453),NA())</f>
        <v>306.81670000000003</v>
      </c>
      <c r="AM460" s="401">
        <f>IF('Lab test'!P453&gt;0,'Lab test'!P453,NA())</f>
        <v>0.38251687369949799</v>
      </c>
      <c r="AN460" s="401">
        <f>IF('Lab test'!AU453&gt;0,'Lab test'!AU453,NA())</f>
        <v>0.40948813843719867</v>
      </c>
      <c r="AO460" s="401">
        <f>IF('Lab test'!AT453&gt;0,'Lab test'!AT453,NA())</f>
        <v>0.39654509130017851</v>
      </c>
      <c r="AP460">
        <f t="shared" si="173"/>
        <v>1</v>
      </c>
      <c r="AQ460" s="401">
        <f>'Lab test'!AZ453</f>
        <v>1967</v>
      </c>
      <c r="AR460" t="str">
        <f>'Lab test'!AC453</f>
        <v>LTWb</v>
      </c>
      <c r="AS460" t="str">
        <f>'Lab test'!T453</f>
        <v>Aluminium</v>
      </c>
      <c r="AX460" t="e">
        <f t="shared" ref="AX460:AX523" si="180">IF(ISNUMBER($AJ460),IF(ISNUMBER($AP460),IF($AJ460&gt;=AX$9,IF($AJ460&lt;=AX$10,IF($AR460=$AW$2,IF($AS460=$AW$6,$AK460,NA()),NA()),NA()),NA()),NA()),NA())</f>
        <v>#N/A</v>
      </c>
      <c r="AY460" t="e">
        <f t="shared" si="177"/>
        <v>#N/A</v>
      </c>
      <c r="AZ460" t="e">
        <f t="shared" si="174"/>
        <v>#N/A</v>
      </c>
      <c r="BA460" t="e">
        <f t="shared" si="174"/>
        <v>#N/A</v>
      </c>
      <c r="BB460" t="e">
        <f t="shared" si="174"/>
        <v>#N/A</v>
      </c>
      <c r="BC460" t="e">
        <f t="shared" si="174"/>
        <v>#N/A</v>
      </c>
      <c r="BD460" t="e">
        <f t="shared" si="174"/>
        <v>#N/A</v>
      </c>
      <c r="BG460">
        <f t="shared" ref="BG460:BG523" si="181">IF(ISNUMBER($AJ460),IF(ISNUMBER($AP460),IF($AJ460&gt;=BG$9,IF($AJ460&lt;=BG$10,IF($AR460=$AW$2,IF($AS460=$BF$6,$AK460,NA()),NA()),NA()),NA()),NA()),NA())</f>
        <v>70671.259999999995</v>
      </c>
      <c r="BH460" t="e">
        <f t="shared" si="178"/>
        <v>#N/A</v>
      </c>
      <c r="BI460" t="e">
        <f t="shared" si="175"/>
        <v>#N/A</v>
      </c>
      <c r="BJ460" t="e">
        <f t="shared" si="175"/>
        <v>#N/A</v>
      </c>
      <c r="BK460" t="e">
        <f t="shared" si="175"/>
        <v>#N/A</v>
      </c>
      <c r="BL460" t="e">
        <f t="shared" si="175"/>
        <v>#N/A</v>
      </c>
      <c r="BM460" t="e">
        <f t="shared" si="175"/>
        <v>#N/A</v>
      </c>
      <c r="BP460" t="e">
        <f t="shared" ref="BP460:BP523" si="182">IF(ISNUMBER($AJ460),IF(ISNUMBER($AP460),IF($AJ460&gt;=BP$9,IF($AJ460&lt;=BP$10,IF($AR460=$AW$2,IF($AS460=$BO$6,$AK460,NA()),NA()),NA()),NA()),NA()),NA())</f>
        <v>#N/A</v>
      </c>
      <c r="BQ460" t="e">
        <f t="shared" si="179"/>
        <v>#N/A</v>
      </c>
      <c r="BR460" t="e">
        <f t="shared" si="176"/>
        <v>#N/A</v>
      </c>
      <c r="BS460" t="e">
        <f t="shared" si="176"/>
        <v>#N/A</v>
      </c>
      <c r="BT460" t="e">
        <f t="shared" si="176"/>
        <v>#N/A</v>
      </c>
      <c r="BU460" t="e">
        <f t="shared" si="176"/>
        <v>#N/A</v>
      </c>
      <c r="BV460" t="e">
        <f t="shared" si="176"/>
        <v>#N/A</v>
      </c>
      <c r="BY460" t="e">
        <f t="shared" ref="BY460:BY523" si="183">IF(ISNUMBER(AP460),IF($AR460=$AW$2,IF($AS460=$AW$6,$AK460,NA()),NA()),NA())</f>
        <v>#N/A</v>
      </c>
      <c r="BZ460" t="e">
        <v>#N/A</v>
      </c>
      <c r="CA460" t="e" cm="1">
        <f t="array" ref="CA460">IF(ISNUMBER(BZ460),AF460/COUNT(IF(ISNUMBER(_xlfn.ANCHORARRAY($BZ$11)),_xlfn.ANCHORARRAY($BZ$11))),NA())</f>
        <v>#N/A</v>
      </c>
      <c r="CB460" t="e">
        <f t="shared" ref="CB460:CB523" si="184">IF(BZ460=BZ461,NA(),CA460)</f>
        <v>#N/A</v>
      </c>
      <c r="CD460" t="e">
        <f t="shared" ref="CD460:CD523" si="185">CB460</f>
        <v>#N/A</v>
      </c>
      <c r="CE460" t="e">
        <f t="shared" ref="CE460:CE523" si="186">BZ460</f>
        <v>#N/A</v>
      </c>
      <c r="CG460" t="e">
        <v>#N/A</v>
      </c>
      <c r="CH460" t="e">
        <v>#N/A</v>
      </c>
      <c r="CL460">
        <f t="shared" ref="CL460:CL523" si="187">IF(ISNUMBER(AP460),IF($AR460=$AW$2,IF($AS460=$BF$6,$AK460,NA()),NA()),NA())</f>
        <v>70671.259999999995</v>
      </c>
      <c r="CM460" t="e">
        <v>#N/A</v>
      </c>
      <c r="CN460" t="e" cm="1">
        <f t="array" ref="CN460">IF(ISNUMBER(CM460),AF460/COUNT(IF(ISNUMBER(_xlfn.ANCHORARRAY($CM$11)),_xlfn.ANCHORARRAY($CM$11))),NA())</f>
        <v>#N/A</v>
      </c>
      <c r="CO460" t="e">
        <f t="shared" ref="CO460:CO523" si="188">IF(CM460=CM461,NA(),CN460)</f>
        <v>#N/A</v>
      </c>
      <c r="CQ460" t="e">
        <f t="shared" ref="CQ460:CQ523" si="189">CO460</f>
        <v>#N/A</v>
      </c>
      <c r="CR460" t="e">
        <f t="shared" ref="CR460:CR523" si="190">CM460</f>
        <v>#N/A</v>
      </c>
      <c r="CT460" t="e">
        <v>#N/A</v>
      </c>
      <c r="CU460" t="e">
        <v>#N/A</v>
      </c>
      <c r="CY460" t="e">
        <f t="shared" ref="CY460:CY523" si="191">IF(ISNUMBER(AP460),IF($AR460=$AW$2,IF($AS460=$BO$6,$AK460,NA()),NA()),NA())</f>
        <v>#N/A</v>
      </c>
      <c r="CZ460" t="e">
        <v>#N/A</v>
      </c>
      <c r="DA460" t="e" cm="1">
        <f t="array" ref="DA460">IF(ISNUMBER(CZ460),AF460/COUNT(IF(ISNUMBER(_xlfn.ANCHORARRAY($CZ$11)),_xlfn.ANCHORARRAY($CZ$11))),NA())</f>
        <v>#N/A</v>
      </c>
      <c r="DB460" t="e">
        <f t="shared" ref="DB460:DB523" si="192">IF(CZ460=CZ461,NA(),DA460)</f>
        <v>#N/A</v>
      </c>
      <c r="DD460" t="e">
        <f t="shared" ref="DD460:DD523" si="193">DB460</f>
        <v>#N/A</v>
      </c>
      <c r="DE460" t="e">
        <f t="shared" ref="DE460:DE523" si="194">CZ460</f>
        <v>#N/A</v>
      </c>
      <c r="DG460" t="e">
        <v>#N/A</v>
      </c>
      <c r="DH460" t="e">
        <v>#N/A</v>
      </c>
    </row>
    <row r="461" spans="32:112">
      <c r="AF461">
        <v>451</v>
      </c>
      <c r="AG461" s="401">
        <f>'Lab test'!N454</f>
        <v>137.16</v>
      </c>
      <c r="AH461" s="401">
        <f>'Lab test'!M454</f>
        <v>0.81279999999999997</v>
      </c>
      <c r="AI461">
        <f>IF('Lab test'!O454&gt;0,'Lab test'!O454,NA())</f>
        <v>609.6</v>
      </c>
      <c r="AJ461">
        <f>'Lab test'!Q454</f>
        <v>169</v>
      </c>
      <c r="AK461" s="401">
        <f>IF('Lab test'!V454&gt;0,'Lab test'!V454,NA())</f>
        <v>70326.52</v>
      </c>
      <c r="AL461" s="7">
        <f>IF(MAX('Lab test'!W454,'Lab test'!X454)&gt;0,MAX('Lab test'!W454,'Lab test'!X454),NA())</f>
        <v>140.65299999999999</v>
      </c>
      <c r="AM461" s="401">
        <f>IF('Lab test'!P454&gt;0,'Lab test'!P454,NA())</f>
        <v>0.34213349285311156</v>
      </c>
      <c r="AN461" s="401">
        <f>IF('Lab test'!AU454&gt;0,'Lab test'!AU454,NA())</f>
        <v>0.6962965364527518</v>
      </c>
      <c r="AO461" s="401">
        <f>IF('Lab test'!AT454&gt;0,'Lab test'!AT454,NA())</f>
        <v>0.38828374708171226</v>
      </c>
      <c r="AP461">
        <f t="shared" si="173"/>
        <v>1</v>
      </c>
      <c r="AQ461" s="401">
        <f>'Lab test'!AZ454</f>
        <v>1967</v>
      </c>
      <c r="AR461" t="str">
        <f>'Lab test'!AC454</f>
        <v>LTWb</v>
      </c>
      <c r="AS461" t="str">
        <f>'Lab test'!T454</f>
        <v>Aluminium</v>
      </c>
      <c r="AX461" t="e">
        <f t="shared" si="180"/>
        <v>#N/A</v>
      </c>
      <c r="AY461" t="e">
        <f t="shared" si="177"/>
        <v>#N/A</v>
      </c>
      <c r="AZ461" t="e">
        <f t="shared" si="174"/>
        <v>#N/A</v>
      </c>
      <c r="BA461" t="e">
        <f t="shared" si="174"/>
        <v>#N/A</v>
      </c>
      <c r="BB461" t="e">
        <f t="shared" si="174"/>
        <v>#N/A</v>
      </c>
      <c r="BC461" t="e">
        <f t="shared" si="174"/>
        <v>#N/A</v>
      </c>
      <c r="BD461" t="e">
        <f t="shared" si="174"/>
        <v>#N/A</v>
      </c>
      <c r="BG461">
        <f t="shared" si="181"/>
        <v>70326.52</v>
      </c>
      <c r="BH461" t="e">
        <f t="shared" si="178"/>
        <v>#N/A</v>
      </c>
      <c r="BI461" t="e">
        <f t="shared" si="175"/>
        <v>#N/A</v>
      </c>
      <c r="BJ461" t="e">
        <f t="shared" si="175"/>
        <v>#N/A</v>
      </c>
      <c r="BK461" t="e">
        <f t="shared" si="175"/>
        <v>#N/A</v>
      </c>
      <c r="BL461" t="e">
        <f t="shared" si="175"/>
        <v>#N/A</v>
      </c>
      <c r="BM461" t="e">
        <f t="shared" si="175"/>
        <v>#N/A</v>
      </c>
      <c r="BP461" t="e">
        <f t="shared" si="182"/>
        <v>#N/A</v>
      </c>
      <c r="BQ461" t="e">
        <f t="shared" si="179"/>
        <v>#N/A</v>
      </c>
      <c r="BR461" t="e">
        <f t="shared" si="176"/>
        <v>#N/A</v>
      </c>
      <c r="BS461" t="e">
        <f t="shared" si="176"/>
        <v>#N/A</v>
      </c>
      <c r="BT461" t="e">
        <f t="shared" si="176"/>
        <v>#N/A</v>
      </c>
      <c r="BU461" t="e">
        <f t="shared" si="176"/>
        <v>#N/A</v>
      </c>
      <c r="BV461" t="e">
        <f t="shared" si="176"/>
        <v>#N/A</v>
      </c>
      <c r="BY461" t="e">
        <f t="shared" si="183"/>
        <v>#N/A</v>
      </c>
      <c r="BZ461" t="e">
        <v>#N/A</v>
      </c>
      <c r="CA461" t="e" cm="1">
        <f t="array" ref="CA461">IF(ISNUMBER(BZ461),AF461/COUNT(IF(ISNUMBER(_xlfn.ANCHORARRAY($BZ$11)),_xlfn.ANCHORARRAY($BZ$11))),NA())</f>
        <v>#N/A</v>
      </c>
      <c r="CB461" t="e">
        <f t="shared" si="184"/>
        <v>#N/A</v>
      </c>
      <c r="CD461" t="e">
        <f t="shared" si="185"/>
        <v>#N/A</v>
      </c>
      <c r="CE461" t="e">
        <f t="shared" si="186"/>
        <v>#N/A</v>
      </c>
      <c r="CG461" t="e">
        <v>#N/A</v>
      </c>
      <c r="CH461" t="e">
        <v>#N/A</v>
      </c>
      <c r="CL461">
        <f t="shared" si="187"/>
        <v>70326.52</v>
      </c>
      <c r="CM461" t="e">
        <v>#N/A</v>
      </c>
      <c r="CN461" t="e" cm="1">
        <f t="array" ref="CN461">IF(ISNUMBER(CM461),AF461/COUNT(IF(ISNUMBER(_xlfn.ANCHORARRAY($CM$11)),_xlfn.ANCHORARRAY($CM$11))),NA())</f>
        <v>#N/A</v>
      </c>
      <c r="CO461" t="e">
        <f t="shared" si="188"/>
        <v>#N/A</v>
      </c>
      <c r="CQ461" t="e">
        <f t="shared" si="189"/>
        <v>#N/A</v>
      </c>
      <c r="CR461" t="e">
        <f t="shared" si="190"/>
        <v>#N/A</v>
      </c>
      <c r="CT461" t="e">
        <v>#N/A</v>
      </c>
      <c r="CU461" t="e">
        <v>#N/A</v>
      </c>
      <c r="CY461" t="e">
        <f t="shared" si="191"/>
        <v>#N/A</v>
      </c>
      <c r="CZ461" t="e">
        <v>#N/A</v>
      </c>
      <c r="DA461" t="e" cm="1">
        <f t="array" ref="DA461">IF(ISNUMBER(CZ461),AF461/COUNT(IF(ISNUMBER(_xlfn.ANCHORARRAY($CZ$11)),_xlfn.ANCHORARRAY($CZ$11))),NA())</f>
        <v>#N/A</v>
      </c>
      <c r="DB461" t="e">
        <f t="shared" si="192"/>
        <v>#N/A</v>
      </c>
      <c r="DD461" t="e">
        <f t="shared" si="193"/>
        <v>#N/A</v>
      </c>
      <c r="DE461" t="e">
        <f t="shared" si="194"/>
        <v>#N/A</v>
      </c>
      <c r="DG461" t="e">
        <v>#N/A</v>
      </c>
      <c r="DH461" t="e">
        <v>#N/A</v>
      </c>
    </row>
    <row r="462" spans="32:112">
      <c r="AF462">
        <v>452</v>
      </c>
      <c r="AG462" s="401">
        <f>'Lab test'!N455</f>
        <v>137.16</v>
      </c>
      <c r="AH462" s="401">
        <f>'Lab test'!M455</f>
        <v>0.81279999999999997</v>
      </c>
      <c r="AI462">
        <f>IF('Lab test'!O455&gt;0,'Lab test'!O455,NA())</f>
        <v>609.6</v>
      </c>
      <c r="AJ462">
        <f>'Lab test'!Q455</f>
        <v>169</v>
      </c>
      <c r="AK462" s="401">
        <f>IF('Lab test'!V455&gt;0,'Lab test'!V455,NA())</f>
        <v>70671.259999999995</v>
      </c>
      <c r="AL462" s="7">
        <f>IF(MAX('Lab test'!W455,'Lab test'!X455)&gt;0,MAX('Lab test'!W455,'Lab test'!X455),NA())</f>
        <v>306.81670000000003</v>
      </c>
      <c r="AM462" s="401">
        <f>IF('Lab test'!P455&gt;0,'Lab test'!P455,NA())</f>
        <v>0.34213349285311156</v>
      </c>
      <c r="AN462" s="401">
        <f>IF('Lab test'!AU455&gt;0,'Lab test'!AU455,NA())</f>
        <v>0.49138576612463836</v>
      </c>
      <c r="AO462" s="401">
        <f>IF('Lab test'!AT455&gt;0,'Lab test'!AT455,NA())</f>
        <v>0.59481763695026779</v>
      </c>
      <c r="AP462">
        <f t="shared" si="173"/>
        <v>1</v>
      </c>
      <c r="AQ462" s="401">
        <f>'Lab test'!AZ455</f>
        <v>1967</v>
      </c>
      <c r="AR462" t="str">
        <f>'Lab test'!AC455</f>
        <v>LTWb</v>
      </c>
      <c r="AS462" t="str">
        <f>'Lab test'!T455</f>
        <v>Aluminium</v>
      </c>
      <c r="AX462" t="e">
        <f t="shared" si="180"/>
        <v>#N/A</v>
      </c>
      <c r="AY462" t="e">
        <f t="shared" si="177"/>
        <v>#N/A</v>
      </c>
      <c r="AZ462" t="e">
        <f t="shared" si="174"/>
        <v>#N/A</v>
      </c>
      <c r="BA462" t="e">
        <f t="shared" si="174"/>
        <v>#N/A</v>
      </c>
      <c r="BB462" t="e">
        <f t="shared" si="174"/>
        <v>#N/A</v>
      </c>
      <c r="BC462" t="e">
        <f t="shared" si="174"/>
        <v>#N/A</v>
      </c>
      <c r="BD462" t="e">
        <f t="shared" si="174"/>
        <v>#N/A</v>
      </c>
      <c r="BG462">
        <f t="shared" si="181"/>
        <v>70671.259999999995</v>
      </c>
      <c r="BH462" t="e">
        <f t="shared" si="178"/>
        <v>#N/A</v>
      </c>
      <c r="BI462" t="e">
        <f t="shared" si="175"/>
        <v>#N/A</v>
      </c>
      <c r="BJ462" t="e">
        <f t="shared" si="175"/>
        <v>#N/A</v>
      </c>
      <c r="BK462" t="e">
        <f t="shared" si="175"/>
        <v>#N/A</v>
      </c>
      <c r="BL462" t="e">
        <f t="shared" si="175"/>
        <v>#N/A</v>
      </c>
      <c r="BM462" t="e">
        <f t="shared" si="175"/>
        <v>#N/A</v>
      </c>
      <c r="BP462" t="e">
        <f t="shared" si="182"/>
        <v>#N/A</v>
      </c>
      <c r="BQ462" t="e">
        <f t="shared" si="179"/>
        <v>#N/A</v>
      </c>
      <c r="BR462" t="e">
        <f t="shared" si="176"/>
        <v>#N/A</v>
      </c>
      <c r="BS462" t="e">
        <f t="shared" si="176"/>
        <v>#N/A</v>
      </c>
      <c r="BT462" t="e">
        <f t="shared" si="176"/>
        <v>#N/A</v>
      </c>
      <c r="BU462" t="e">
        <f t="shared" si="176"/>
        <v>#N/A</v>
      </c>
      <c r="BV462" t="e">
        <f t="shared" si="176"/>
        <v>#N/A</v>
      </c>
      <c r="BY462" t="e">
        <f t="shared" si="183"/>
        <v>#N/A</v>
      </c>
      <c r="BZ462" t="e">
        <v>#N/A</v>
      </c>
      <c r="CA462" t="e" cm="1">
        <f t="array" ref="CA462">IF(ISNUMBER(BZ462),AF462/COUNT(IF(ISNUMBER(_xlfn.ANCHORARRAY($BZ$11)),_xlfn.ANCHORARRAY($BZ$11))),NA())</f>
        <v>#N/A</v>
      </c>
      <c r="CB462" t="e">
        <f t="shared" si="184"/>
        <v>#N/A</v>
      </c>
      <c r="CD462" t="e">
        <f t="shared" si="185"/>
        <v>#N/A</v>
      </c>
      <c r="CE462" t="e">
        <f t="shared" si="186"/>
        <v>#N/A</v>
      </c>
      <c r="CG462" t="e">
        <v>#N/A</v>
      </c>
      <c r="CH462" t="e">
        <v>#N/A</v>
      </c>
      <c r="CL462">
        <f t="shared" si="187"/>
        <v>70671.259999999995</v>
      </c>
      <c r="CM462" t="e">
        <v>#N/A</v>
      </c>
      <c r="CN462" t="e" cm="1">
        <f t="array" ref="CN462">IF(ISNUMBER(CM462),AF462/COUNT(IF(ISNUMBER(_xlfn.ANCHORARRAY($CM$11)),_xlfn.ANCHORARRAY($CM$11))),NA())</f>
        <v>#N/A</v>
      </c>
      <c r="CO462" t="e">
        <f t="shared" si="188"/>
        <v>#N/A</v>
      </c>
      <c r="CQ462" t="e">
        <f t="shared" si="189"/>
        <v>#N/A</v>
      </c>
      <c r="CR462" t="e">
        <f t="shared" si="190"/>
        <v>#N/A</v>
      </c>
      <c r="CT462" t="e">
        <v>#N/A</v>
      </c>
      <c r="CU462" t="e">
        <v>#N/A</v>
      </c>
      <c r="CY462" t="e">
        <f t="shared" si="191"/>
        <v>#N/A</v>
      </c>
      <c r="CZ462" t="e">
        <v>#N/A</v>
      </c>
      <c r="DA462" t="e" cm="1">
        <f t="array" ref="DA462">IF(ISNUMBER(CZ462),AF462/COUNT(IF(ISNUMBER(_xlfn.ANCHORARRAY($CZ$11)),_xlfn.ANCHORARRAY($CZ$11))),NA())</f>
        <v>#N/A</v>
      </c>
      <c r="DB462" t="e">
        <f t="shared" si="192"/>
        <v>#N/A</v>
      </c>
      <c r="DD462" t="e">
        <f t="shared" si="193"/>
        <v>#N/A</v>
      </c>
      <c r="DE462" t="e">
        <f t="shared" si="194"/>
        <v>#N/A</v>
      </c>
      <c r="DG462" t="e">
        <v>#N/A</v>
      </c>
      <c r="DH462" t="e">
        <v>#N/A</v>
      </c>
    </row>
    <row r="463" spans="32:112">
      <c r="AF463">
        <v>453</v>
      </c>
      <c r="AG463" s="401">
        <f>'Lab test'!N456</f>
        <v>137.16</v>
      </c>
      <c r="AH463" s="401">
        <f>'Lab test'!M456</f>
        <v>0.50800000000000001</v>
      </c>
      <c r="AI463">
        <f>IF('Lab test'!O456&gt;0,'Lab test'!O456,NA())</f>
        <v>609.6</v>
      </c>
      <c r="AJ463">
        <f>'Lab test'!Q456</f>
        <v>270</v>
      </c>
      <c r="AK463" s="401">
        <f>IF('Lab test'!V456&gt;0,'Lab test'!V456,NA())</f>
        <v>70671.259999999995</v>
      </c>
      <c r="AL463" s="7">
        <f>IF(MAX('Lab test'!W456,'Lab test'!X456)&gt;0,MAX('Lab test'!W456,'Lab test'!X456),NA())</f>
        <v>306.81670000000003</v>
      </c>
      <c r="AM463" s="401">
        <f>IF('Lab test'!P456&gt;0,'Lab test'!P456,NA())</f>
        <v>0.27048027531119317</v>
      </c>
      <c r="AN463" s="401">
        <f>IF('Lab test'!AU456&gt;0,'Lab test'!AU456,NA())</f>
        <v>0.25593008652324917</v>
      </c>
      <c r="AO463" s="401">
        <f>IF('Lab test'!AT456&gt;0,'Lab test'!AT456,NA())</f>
        <v>0.49568136412522307</v>
      </c>
      <c r="AP463">
        <f t="shared" si="173"/>
        <v>1</v>
      </c>
      <c r="AQ463" s="401">
        <f>'Lab test'!AZ456</f>
        <v>1967</v>
      </c>
      <c r="AR463" t="str">
        <f>'Lab test'!AC456</f>
        <v>LTWb</v>
      </c>
      <c r="AS463" t="str">
        <f>'Lab test'!T456</f>
        <v>Aluminium</v>
      </c>
      <c r="AX463" t="e">
        <f t="shared" si="180"/>
        <v>#N/A</v>
      </c>
      <c r="AY463" t="e">
        <f t="shared" si="177"/>
        <v>#N/A</v>
      </c>
      <c r="AZ463" t="e">
        <f t="shared" si="174"/>
        <v>#N/A</v>
      </c>
      <c r="BA463" t="e">
        <f t="shared" si="174"/>
        <v>#N/A</v>
      </c>
      <c r="BB463" t="e">
        <f t="shared" si="174"/>
        <v>#N/A</v>
      </c>
      <c r="BC463" t="e">
        <f t="shared" si="174"/>
        <v>#N/A</v>
      </c>
      <c r="BD463" t="e">
        <f t="shared" si="174"/>
        <v>#N/A</v>
      </c>
      <c r="BG463" t="e">
        <f t="shared" si="181"/>
        <v>#N/A</v>
      </c>
      <c r="BH463">
        <f t="shared" si="178"/>
        <v>70671.259999999995</v>
      </c>
      <c r="BI463" t="e">
        <f t="shared" si="175"/>
        <v>#N/A</v>
      </c>
      <c r="BJ463" t="e">
        <f t="shared" si="175"/>
        <v>#N/A</v>
      </c>
      <c r="BK463" t="e">
        <f t="shared" si="175"/>
        <v>#N/A</v>
      </c>
      <c r="BL463" t="e">
        <f t="shared" si="175"/>
        <v>#N/A</v>
      </c>
      <c r="BM463" t="e">
        <f t="shared" si="175"/>
        <v>#N/A</v>
      </c>
      <c r="BP463" t="e">
        <f t="shared" si="182"/>
        <v>#N/A</v>
      </c>
      <c r="BQ463" t="e">
        <f t="shared" si="179"/>
        <v>#N/A</v>
      </c>
      <c r="BR463" t="e">
        <f t="shared" si="176"/>
        <v>#N/A</v>
      </c>
      <c r="BS463" t="e">
        <f t="shared" si="176"/>
        <v>#N/A</v>
      </c>
      <c r="BT463" t="e">
        <f t="shared" si="176"/>
        <v>#N/A</v>
      </c>
      <c r="BU463" t="e">
        <f t="shared" si="176"/>
        <v>#N/A</v>
      </c>
      <c r="BV463" t="e">
        <f t="shared" si="176"/>
        <v>#N/A</v>
      </c>
      <c r="BY463" t="e">
        <f t="shared" si="183"/>
        <v>#N/A</v>
      </c>
      <c r="BZ463" t="e">
        <v>#N/A</v>
      </c>
      <c r="CA463" t="e" cm="1">
        <f t="array" ref="CA463">IF(ISNUMBER(BZ463),AF463/COUNT(IF(ISNUMBER(_xlfn.ANCHORARRAY($BZ$11)),_xlfn.ANCHORARRAY($BZ$11))),NA())</f>
        <v>#N/A</v>
      </c>
      <c r="CB463" t="e">
        <f t="shared" si="184"/>
        <v>#N/A</v>
      </c>
      <c r="CD463" t="e">
        <f t="shared" si="185"/>
        <v>#N/A</v>
      </c>
      <c r="CE463" t="e">
        <f t="shared" si="186"/>
        <v>#N/A</v>
      </c>
      <c r="CG463" t="e">
        <v>#N/A</v>
      </c>
      <c r="CH463" t="e">
        <v>#N/A</v>
      </c>
      <c r="CL463">
        <f t="shared" si="187"/>
        <v>70671.259999999995</v>
      </c>
      <c r="CM463" t="e">
        <v>#N/A</v>
      </c>
      <c r="CN463" t="e" cm="1">
        <f t="array" ref="CN463">IF(ISNUMBER(CM463),AF463/COUNT(IF(ISNUMBER(_xlfn.ANCHORARRAY($CM$11)),_xlfn.ANCHORARRAY($CM$11))),NA())</f>
        <v>#N/A</v>
      </c>
      <c r="CO463" t="e">
        <f t="shared" si="188"/>
        <v>#N/A</v>
      </c>
      <c r="CQ463" t="e">
        <f t="shared" si="189"/>
        <v>#N/A</v>
      </c>
      <c r="CR463" t="e">
        <f t="shared" si="190"/>
        <v>#N/A</v>
      </c>
      <c r="CT463" t="e">
        <v>#N/A</v>
      </c>
      <c r="CU463" t="e">
        <v>#N/A</v>
      </c>
      <c r="CY463" t="e">
        <f t="shared" si="191"/>
        <v>#N/A</v>
      </c>
      <c r="CZ463" t="e">
        <v>#N/A</v>
      </c>
      <c r="DA463" t="e" cm="1">
        <f t="array" ref="DA463">IF(ISNUMBER(CZ463),AF463/COUNT(IF(ISNUMBER(_xlfn.ANCHORARRAY($CZ$11)),_xlfn.ANCHORARRAY($CZ$11))),NA())</f>
        <v>#N/A</v>
      </c>
      <c r="DB463" t="e">
        <f t="shared" si="192"/>
        <v>#N/A</v>
      </c>
      <c r="DD463" t="e">
        <f t="shared" si="193"/>
        <v>#N/A</v>
      </c>
      <c r="DE463" t="e">
        <f t="shared" si="194"/>
        <v>#N/A</v>
      </c>
      <c r="DG463" t="e">
        <v>#N/A</v>
      </c>
      <c r="DH463" t="e">
        <v>#N/A</v>
      </c>
    </row>
    <row r="464" spans="32:112">
      <c r="AF464">
        <v>454</v>
      </c>
      <c r="AG464" s="401">
        <f>'Lab test'!N457</f>
        <v>137.16</v>
      </c>
      <c r="AH464" s="401">
        <f>'Lab test'!M457</f>
        <v>0.50800000000000001</v>
      </c>
      <c r="AI464">
        <f>IF('Lab test'!O457&gt;0,'Lab test'!O457,NA())</f>
        <v>609.6</v>
      </c>
      <c r="AJ464">
        <f>'Lab test'!Q457</f>
        <v>270</v>
      </c>
      <c r="AK464" s="401">
        <f>IF('Lab test'!V457&gt;0,'Lab test'!V457,NA())</f>
        <v>70671.259999999995</v>
      </c>
      <c r="AL464" s="7">
        <f>IF(MAX('Lab test'!W457,'Lab test'!X457)&gt;0,MAX('Lab test'!W457,'Lab test'!X457),NA())</f>
        <v>306.81670000000003</v>
      </c>
      <c r="AM464" s="401">
        <f>IF('Lab test'!P457&gt;0,'Lab test'!P457,NA())</f>
        <v>0.27048027531119317</v>
      </c>
      <c r="AN464" s="401">
        <f>IF('Lab test'!AU457&gt;0,'Lab test'!AU457,NA())</f>
        <v>0.37536412690076543</v>
      </c>
      <c r="AO464" s="401">
        <f>IF('Lab test'!AT457&gt;0,'Lab test'!AT457,NA())</f>
        <v>0.72699933405032724</v>
      </c>
      <c r="AP464">
        <f t="shared" si="173"/>
        <v>1</v>
      </c>
      <c r="AQ464" s="401">
        <f>'Lab test'!AZ457</f>
        <v>1967</v>
      </c>
      <c r="AR464" t="str">
        <f>'Lab test'!AC457</f>
        <v>LTWb</v>
      </c>
      <c r="AS464" t="str">
        <f>'Lab test'!T457</f>
        <v>Aluminium</v>
      </c>
      <c r="AX464" t="e">
        <f t="shared" si="180"/>
        <v>#N/A</v>
      </c>
      <c r="AY464" t="e">
        <f t="shared" si="177"/>
        <v>#N/A</v>
      </c>
      <c r="AZ464" t="e">
        <f t="shared" si="174"/>
        <v>#N/A</v>
      </c>
      <c r="BA464" t="e">
        <f t="shared" si="174"/>
        <v>#N/A</v>
      </c>
      <c r="BB464" t="e">
        <f t="shared" si="174"/>
        <v>#N/A</v>
      </c>
      <c r="BC464" t="e">
        <f t="shared" si="174"/>
        <v>#N/A</v>
      </c>
      <c r="BD464" t="e">
        <f t="shared" si="174"/>
        <v>#N/A</v>
      </c>
      <c r="BG464" t="e">
        <f t="shared" si="181"/>
        <v>#N/A</v>
      </c>
      <c r="BH464">
        <f t="shared" si="178"/>
        <v>70671.259999999995</v>
      </c>
      <c r="BI464" t="e">
        <f t="shared" si="175"/>
        <v>#N/A</v>
      </c>
      <c r="BJ464" t="e">
        <f t="shared" si="175"/>
        <v>#N/A</v>
      </c>
      <c r="BK464" t="e">
        <f t="shared" si="175"/>
        <v>#N/A</v>
      </c>
      <c r="BL464" t="e">
        <f t="shared" si="175"/>
        <v>#N/A</v>
      </c>
      <c r="BM464" t="e">
        <f t="shared" si="175"/>
        <v>#N/A</v>
      </c>
      <c r="BP464" t="e">
        <f t="shared" si="182"/>
        <v>#N/A</v>
      </c>
      <c r="BQ464" t="e">
        <f t="shared" si="179"/>
        <v>#N/A</v>
      </c>
      <c r="BR464" t="e">
        <f t="shared" si="176"/>
        <v>#N/A</v>
      </c>
      <c r="BS464" t="e">
        <f t="shared" si="176"/>
        <v>#N/A</v>
      </c>
      <c r="BT464" t="e">
        <f t="shared" si="176"/>
        <v>#N/A</v>
      </c>
      <c r="BU464" t="e">
        <f t="shared" si="176"/>
        <v>#N/A</v>
      </c>
      <c r="BV464" t="e">
        <f t="shared" si="176"/>
        <v>#N/A</v>
      </c>
      <c r="BY464" t="e">
        <f t="shared" si="183"/>
        <v>#N/A</v>
      </c>
      <c r="BZ464" t="e">
        <v>#N/A</v>
      </c>
      <c r="CA464" t="e" cm="1">
        <f t="array" ref="CA464">IF(ISNUMBER(BZ464),AF464/COUNT(IF(ISNUMBER(_xlfn.ANCHORARRAY($BZ$11)),_xlfn.ANCHORARRAY($BZ$11))),NA())</f>
        <v>#N/A</v>
      </c>
      <c r="CB464" t="e">
        <f t="shared" si="184"/>
        <v>#N/A</v>
      </c>
      <c r="CD464" t="e">
        <f t="shared" si="185"/>
        <v>#N/A</v>
      </c>
      <c r="CE464" t="e">
        <f t="shared" si="186"/>
        <v>#N/A</v>
      </c>
      <c r="CG464" t="e">
        <v>#N/A</v>
      </c>
      <c r="CH464" t="e">
        <v>#N/A</v>
      </c>
      <c r="CL464">
        <f t="shared" si="187"/>
        <v>70671.259999999995</v>
      </c>
      <c r="CM464" t="e">
        <v>#N/A</v>
      </c>
      <c r="CN464" t="e" cm="1">
        <f t="array" ref="CN464">IF(ISNUMBER(CM464),AF464/COUNT(IF(ISNUMBER(_xlfn.ANCHORARRAY($CM$11)),_xlfn.ANCHORARRAY($CM$11))),NA())</f>
        <v>#N/A</v>
      </c>
      <c r="CO464" t="e">
        <f t="shared" si="188"/>
        <v>#N/A</v>
      </c>
      <c r="CQ464" t="e">
        <f t="shared" si="189"/>
        <v>#N/A</v>
      </c>
      <c r="CR464" t="e">
        <f t="shared" si="190"/>
        <v>#N/A</v>
      </c>
      <c r="CT464" t="e">
        <v>#N/A</v>
      </c>
      <c r="CU464" t="e">
        <v>#N/A</v>
      </c>
      <c r="CY464" t="e">
        <f t="shared" si="191"/>
        <v>#N/A</v>
      </c>
      <c r="CZ464" t="e">
        <v>#N/A</v>
      </c>
      <c r="DA464" t="e" cm="1">
        <f t="array" ref="DA464">IF(ISNUMBER(CZ464),AF464/COUNT(IF(ISNUMBER(_xlfn.ANCHORARRAY($CZ$11)),_xlfn.ANCHORARRAY($CZ$11))),NA())</f>
        <v>#N/A</v>
      </c>
      <c r="DB464" t="e">
        <f t="shared" si="192"/>
        <v>#N/A</v>
      </c>
      <c r="DD464" t="e">
        <f t="shared" si="193"/>
        <v>#N/A</v>
      </c>
      <c r="DE464" t="e">
        <f t="shared" si="194"/>
        <v>#N/A</v>
      </c>
      <c r="DG464" t="e">
        <v>#N/A</v>
      </c>
      <c r="DH464" t="e">
        <v>#N/A</v>
      </c>
    </row>
    <row r="465" spans="32:112">
      <c r="AF465">
        <v>455</v>
      </c>
      <c r="AG465" s="401">
        <f>'Lab test'!N458</f>
        <v>60.325000000000003</v>
      </c>
      <c r="AH465" s="401">
        <f>'Lab test'!M458</f>
        <v>5.0799999999999998E-2</v>
      </c>
      <c r="AI465">
        <f>IF('Lab test'!O458&gt;0,'Lab test'!O458,NA())</f>
        <v>241.3</v>
      </c>
      <c r="AJ465">
        <f>'Lab test'!Q458</f>
        <v>1185</v>
      </c>
      <c r="AK465" s="401">
        <f>IF('Lab test'!V458&gt;0,'Lab test'!V458,NA())</f>
        <v>68947.570000000007</v>
      </c>
      <c r="AL465" s="7">
        <f>IF(MAX('Lab test'!W458,'Lab test'!X458)&gt;0,MAX('Lab test'!W458,'Lab test'!X458),NA())</f>
        <v>275.7903</v>
      </c>
      <c r="AM465" s="401">
        <f>IF('Lab test'!P458&gt;0,'Lab test'!P458,NA())</f>
        <v>0.11607620001760187</v>
      </c>
      <c r="AN465" s="401">
        <f>IF('Lab test'!AU458&gt;0,'Lab test'!AU458,NA())</f>
        <v>3.6842104087588902E-2</v>
      </c>
      <c r="AO465" s="401">
        <f>IF('Lab test'!AT458&gt;0,'Lab test'!AT458,NA())</f>
        <v>0.28914746547496278</v>
      </c>
      <c r="AP465">
        <f t="shared" si="173"/>
        <v>1</v>
      </c>
      <c r="AQ465" s="401">
        <f>'Lab test'!AZ458</f>
        <v>1967</v>
      </c>
      <c r="AR465" t="str">
        <f>'Lab test'!AC458</f>
        <v>LTWb</v>
      </c>
      <c r="AS465" t="str">
        <f>'Lab test'!T458</f>
        <v>Aluminium</v>
      </c>
      <c r="AX465" t="e">
        <f t="shared" si="180"/>
        <v>#N/A</v>
      </c>
      <c r="AY465" t="e">
        <f t="shared" si="177"/>
        <v>#N/A</v>
      </c>
      <c r="AZ465" t="e">
        <f t="shared" si="174"/>
        <v>#N/A</v>
      </c>
      <c r="BA465" t="e">
        <f t="shared" si="174"/>
        <v>#N/A</v>
      </c>
      <c r="BB465" t="e">
        <f t="shared" si="174"/>
        <v>#N/A</v>
      </c>
      <c r="BC465" t="e">
        <f t="shared" si="174"/>
        <v>#N/A</v>
      </c>
      <c r="BD465" t="e">
        <f t="shared" si="174"/>
        <v>#N/A</v>
      </c>
      <c r="BG465" t="e">
        <f t="shared" si="181"/>
        <v>#N/A</v>
      </c>
      <c r="BH465" t="e">
        <f t="shared" si="178"/>
        <v>#N/A</v>
      </c>
      <c r="BI465" t="e">
        <f t="shared" si="175"/>
        <v>#N/A</v>
      </c>
      <c r="BJ465" t="e">
        <f t="shared" si="175"/>
        <v>#N/A</v>
      </c>
      <c r="BK465" t="e">
        <f t="shared" si="175"/>
        <v>#N/A</v>
      </c>
      <c r="BL465">
        <f t="shared" si="175"/>
        <v>68947.570000000007</v>
      </c>
      <c r="BM465" t="e">
        <f t="shared" si="175"/>
        <v>#N/A</v>
      </c>
      <c r="BP465" t="e">
        <f t="shared" si="182"/>
        <v>#N/A</v>
      </c>
      <c r="BQ465" t="e">
        <f t="shared" si="179"/>
        <v>#N/A</v>
      </c>
      <c r="BR465" t="e">
        <f t="shared" si="176"/>
        <v>#N/A</v>
      </c>
      <c r="BS465" t="e">
        <f t="shared" si="176"/>
        <v>#N/A</v>
      </c>
      <c r="BT465" t="e">
        <f t="shared" si="176"/>
        <v>#N/A</v>
      </c>
      <c r="BU465" t="e">
        <f t="shared" si="176"/>
        <v>#N/A</v>
      </c>
      <c r="BV465" t="e">
        <f t="shared" si="176"/>
        <v>#N/A</v>
      </c>
      <c r="BY465" t="e">
        <f t="shared" si="183"/>
        <v>#N/A</v>
      </c>
      <c r="BZ465" t="e">
        <v>#N/A</v>
      </c>
      <c r="CA465" t="e" cm="1">
        <f t="array" ref="CA465">IF(ISNUMBER(BZ465),AF465/COUNT(IF(ISNUMBER(_xlfn.ANCHORARRAY($BZ$11)),_xlfn.ANCHORARRAY($BZ$11))),NA())</f>
        <v>#N/A</v>
      </c>
      <c r="CB465" t="e">
        <f t="shared" si="184"/>
        <v>#N/A</v>
      </c>
      <c r="CD465" t="e">
        <f t="shared" si="185"/>
        <v>#N/A</v>
      </c>
      <c r="CE465" t="e">
        <f t="shared" si="186"/>
        <v>#N/A</v>
      </c>
      <c r="CG465" t="e">
        <v>#N/A</v>
      </c>
      <c r="CH465" t="e">
        <v>#N/A</v>
      </c>
      <c r="CL465">
        <f t="shared" si="187"/>
        <v>68947.570000000007</v>
      </c>
      <c r="CM465" t="e">
        <v>#N/A</v>
      </c>
      <c r="CN465" t="e" cm="1">
        <f t="array" ref="CN465">IF(ISNUMBER(CM465),AF465/COUNT(IF(ISNUMBER(_xlfn.ANCHORARRAY($CM$11)),_xlfn.ANCHORARRAY($CM$11))),NA())</f>
        <v>#N/A</v>
      </c>
      <c r="CO465" t="e">
        <f t="shared" si="188"/>
        <v>#N/A</v>
      </c>
      <c r="CQ465" t="e">
        <f t="shared" si="189"/>
        <v>#N/A</v>
      </c>
      <c r="CR465" t="e">
        <f t="shared" si="190"/>
        <v>#N/A</v>
      </c>
      <c r="CT465" t="e">
        <v>#N/A</v>
      </c>
      <c r="CU465" t="e">
        <v>#N/A</v>
      </c>
      <c r="CY465" t="e">
        <f t="shared" si="191"/>
        <v>#N/A</v>
      </c>
      <c r="CZ465" t="e">
        <v>#N/A</v>
      </c>
      <c r="DA465" t="e" cm="1">
        <f t="array" ref="DA465">IF(ISNUMBER(CZ465),AF465/COUNT(IF(ISNUMBER(_xlfn.ANCHORARRAY($CZ$11)),_xlfn.ANCHORARRAY($CZ$11))),NA())</f>
        <v>#N/A</v>
      </c>
      <c r="DB465" t="e">
        <f t="shared" si="192"/>
        <v>#N/A</v>
      </c>
      <c r="DD465" t="e">
        <f t="shared" si="193"/>
        <v>#N/A</v>
      </c>
      <c r="DE465" t="e">
        <f t="shared" si="194"/>
        <v>#N/A</v>
      </c>
      <c r="DG465" t="e">
        <v>#N/A</v>
      </c>
      <c r="DH465" t="e">
        <v>#N/A</v>
      </c>
    </row>
    <row r="466" spans="32:112">
      <c r="AF466">
        <v>456</v>
      </c>
      <c r="AG466" s="401">
        <f>'Lab test'!N459</f>
        <v>60.325000000000003</v>
      </c>
      <c r="AH466" s="401">
        <f>'Lab test'!M459</f>
        <v>5.0799999999999998E-2</v>
      </c>
      <c r="AI466">
        <f>IF('Lab test'!O459&gt;0,'Lab test'!O459,NA())</f>
        <v>241.3</v>
      </c>
      <c r="AJ466">
        <f>'Lab test'!Q459</f>
        <v>1185</v>
      </c>
      <c r="AK466" s="401">
        <f>IF('Lab test'!V459&gt;0,'Lab test'!V459,NA())</f>
        <v>68947.570000000007</v>
      </c>
      <c r="AL466" s="7">
        <f>IF(MAX('Lab test'!W459,'Lab test'!X459)&gt;0,MAX('Lab test'!W459,'Lab test'!X459),NA())</f>
        <v>275.7903</v>
      </c>
      <c r="AM466" s="401">
        <f>IF('Lab test'!P459&gt;0,'Lab test'!P459,NA())</f>
        <v>0.11607620001760187</v>
      </c>
      <c r="AN466" s="401">
        <f>IF('Lab test'!AU459&gt;0,'Lab test'!AU459,NA())</f>
        <v>5.7894734994782565E-2</v>
      </c>
      <c r="AO466" s="401">
        <f>IF('Lab test'!AT459&gt;0,'Lab test'!AT459,NA())</f>
        <v>0.45437458860351299</v>
      </c>
      <c r="AP466">
        <f t="shared" si="173"/>
        <v>1</v>
      </c>
      <c r="AQ466" s="401">
        <f>'Lab test'!AZ459</f>
        <v>1967</v>
      </c>
      <c r="AR466" t="str">
        <f>'Lab test'!AC459</f>
        <v>LTWb</v>
      </c>
      <c r="AS466" t="str">
        <f>'Lab test'!T459</f>
        <v>Aluminium</v>
      </c>
      <c r="AX466" t="e">
        <f t="shared" si="180"/>
        <v>#N/A</v>
      </c>
      <c r="AY466" t="e">
        <f t="shared" si="177"/>
        <v>#N/A</v>
      </c>
      <c r="AZ466" t="e">
        <f t="shared" si="174"/>
        <v>#N/A</v>
      </c>
      <c r="BA466" t="e">
        <f t="shared" si="174"/>
        <v>#N/A</v>
      </c>
      <c r="BB466" t="e">
        <f t="shared" ref="AZ466:BD517" si="195">IF(ISNUMBER($AJ466),IF(ISNUMBER($AP466),IF($AJ466&gt;BB$9,IF($AJ466&lt;=BB$10,IF($AR466=$AW$2,IF($AS466=$AW$6,$AK466,NA()),NA()),NA()),NA()),NA()),NA())</f>
        <v>#N/A</v>
      </c>
      <c r="BC466" t="e">
        <f t="shared" si="195"/>
        <v>#N/A</v>
      </c>
      <c r="BD466" t="e">
        <f t="shared" si="195"/>
        <v>#N/A</v>
      </c>
      <c r="BG466" t="e">
        <f t="shared" si="181"/>
        <v>#N/A</v>
      </c>
      <c r="BH466" t="e">
        <f t="shared" si="178"/>
        <v>#N/A</v>
      </c>
      <c r="BI466" t="e">
        <f t="shared" si="175"/>
        <v>#N/A</v>
      </c>
      <c r="BJ466" t="e">
        <f t="shared" si="175"/>
        <v>#N/A</v>
      </c>
      <c r="BK466" t="e">
        <f t="shared" ref="BI466:BM517" si="196">IF(ISNUMBER($AJ466),IF(ISNUMBER($AP466),IF($AJ466&gt;BK$9,IF($AJ466&lt;=BK$10,IF($AR466=$AW$2,IF($AS466=$BF$6,$AK466,NA()),NA()),NA()),NA()),NA()),NA())</f>
        <v>#N/A</v>
      </c>
      <c r="BL466">
        <f t="shared" si="196"/>
        <v>68947.570000000007</v>
      </c>
      <c r="BM466" t="e">
        <f t="shared" si="196"/>
        <v>#N/A</v>
      </c>
      <c r="BP466" t="e">
        <f t="shared" si="182"/>
        <v>#N/A</v>
      </c>
      <c r="BQ466" t="e">
        <f t="shared" si="179"/>
        <v>#N/A</v>
      </c>
      <c r="BR466" t="e">
        <f t="shared" si="176"/>
        <v>#N/A</v>
      </c>
      <c r="BS466" t="e">
        <f t="shared" si="176"/>
        <v>#N/A</v>
      </c>
      <c r="BT466" t="e">
        <f t="shared" ref="BR466:BV517" si="197">IF(ISNUMBER($AJ466),IF(ISNUMBER($AP466),IF($AJ466&gt;BT$9,IF($AJ466&lt;=BT$10,IF($AR466=$AW$2,IF($AS466=$BO$6,$AK466,NA()),NA()),NA()),NA()),NA()),NA())</f>
        <v>#N/A</v>
      </c>
      <c r="BU466" t="e">
        <f t="shared" si="197"/>
        <v>#N/A</v>
      </c>
      <c r="BV466" t="e">
        <f t="shared" si="197"/>
        <v>#N/A</v>
      </c>
      <c r="BY466" t="e">
        <f t="shared" si="183"/>
        <v>#N/A</v>
      </c>
      <c r="BZ466" t="e">
        <v>#N/A</v>
      </c>
      <c r="CA466" t="e" cm="1">
        <f t="array" ref="CA466">IF(ISNUMBER(BZ466),AF466/COUNT(IF(ISNUMBER(_xlfn.ANCHORARRAY($BZ$11)),_xlfn.ANCHORARRAY($BZ$11))),NA())</f>
        <v>#N/A</v>
      </c>
      <c r="CB466" t="e">
        <f t="shared" si="184"/>
        <v>#N/A</v>
      </c>
      <c r="CD466" t="e">
        <f t="shared" si="185"/>
        <v>#N/A</v>
      </c>
      <c r="CE466" t="e">
        <f t="shared" si="186"/>
        <v>#N/A</v>
      </c>
      <c r="CG466" t="e">
        <v>#N/A</v>
      </c>
      <c r="CH466" t="e">
        <v>#N/A</v>
      </c>
      <c r="CL466">
        <f t="shared" si="187"/>
        <v>68947.570000000007</v>
      </c>
      <c r="CM466" t="e">
        <v>#N/A</v>
      </c>
      <c r="CN466" t="e" cm="1">
        <f t="array" ref="CN466">IF(ISNUMBER(CM466),AF466/COUNT(IF(ISNUMBER(_xlfn.ANCHORARRAY($CM$11)),_xlfn.ANCHORARRAY($CM$11))),NA())</f>
        <v>#N/A</v>
      </c>
      <c r="CO466" t="e">
        <f t="shared" si="188"/>
        <v>#N/A</v>
      </c>
      <c r="CQ466" t="e">
        <f t="shared" si="189"/>
        <v>#N/A</v>
      </c>
      <c r="CR466" t="e">
        <f t="shared" si="190"/>
        <v>#N/A</v>
      </c>
      <c r="CT466" t="e">
        <v>#N/A</v>
      </c>
      <c r="CU466" t="e">
        <v>#N/A</v>
      </c>
      <c r="CY466" t="e">
        <f t="shared" si="191"/>
        <v>#N/A</v>
      </c>
      <c r="CZ466" t="e">
        <v>#N/A</v>
      </c>
      <c r="DA466" t="e" cm="1">
        <f t="array" ref="DA466">IF(ISNUMBER(CZ466),AF466/COUNT(IF(ISNUMBER(_xlfn.ANCHORARRAY($CZ$11)),_xlfn.ANCHORARRAY($CZ$11))),NA())</f>
        <v>#N/A</v>
      </c>
      <c r="DB466" t="e">
        <f t="shared" si="192"/>
        <v>#N/A</v>
      </c>
      <c r="DD466" t="e">
        <f t="shared" si="193"/>
        <v>#N/A</v>
      </c>
      <c r="DE466" t="e">
        <f t="shared" si="194"/>
        <v>#N/A</v>
      </c>
      <c r="DG466" t="e">
        <v>#N/A</v>
      </c>
      <c r="DH466" t="e">
        <v>#N/A</v>
      </c>
    </row>
    <row r="467" spans="32:112">
      <c r="AF467">
        <v>457</v>
      </c>
      <c r="AG467" s="401">
        <f>'Lab test'!N460</f>
        <v>137.16</v>
      </c>
      <c r="AH467" s="401">
        <f>'Lab test'!M460</f>
        <v>1.016</v>
      </c>
      <c r="AI467">
        <f>IF('Lab test'!O460&gt;0,'Lab test'!O460,NA())</f>
        <v>609.6</v>
      </c>
      <c r="AJ467">
        <f>'Lab test'!Q460</f>
        <v>135</v>
      </c>
      <c r="AK467" s="401">
        <f>IF('Lab test'!V460&gt;0,'Lab test'!V460,NA())</f>
        <v>70671.259999999995</v>
      </c>
      <c r="AL467" s="7">
        <f>IF(MAX('Lab test'!W460,'Lab test'!X460)&gt;0,MAX('Lab test'!W460,'Lab test'!X460),NA())</f>
        <v>306.81670000000003</v>
      </c>
      <c r="AM467" s="401">
        <f>IF('Lab test'!P460&gt;0,'Lab test'!P460,NA())</f>
        <v>0.38251687369949799</v>
      </c>
      <c r="AN467" s="401">
        <f>IF('Lab test'!AU460&gt;0,'Lab test'!AU460,NA())</f>
        <v>0.5971702018875813</v>
      </c>
      <c r="AO467" s="401">
        <f>IF('Lab test'!AT460&gt;0,'Lab test'!AT460,NA())</f>
        <v>0.57829492481276024</v>
      </c>
      <c r="AP467">
        <f t="shared" si="173"/>
        <v>1</v>
      </c>
      <c r="AQ467" s="401">
        <f>'Lab test'!AZ460</f>
        <v>1967</v>
      </c>
      <c r="AR467" t="str">
        <f>'Lab test'!AC460</f>
        <v>LTWb</v>
      </c>
      <c r="AS467" t="str">
        <f>'Lab test'!T460</f>
        <v>Aluminium</v>
      </c>
      <c r="AX467" t="e">
        <f t="shared" si="180"/>
        <v>#N/A</v>
      </c>
      <c r="AY467" t="e">
        <f t="shared" si="177"/>
        <v>#N/A</v>
      </c>
      <c r="AZ467" t="e">
        <f t="shared" si="195"/>
        <v>#N/A</v>
      </c>
      <c r="BA467" t="e">
        <f t="shared" si="195"/>
        <v>#N/A</v>
      </c>
      <c r="BB467" t="e">
        <f t="shared" si="195"/>
        <v>#N/A</v>
      </c>
      <c r="BC467" t="e">
        <f t="shared" si="195"/>
        <v>#N/A</v>
      </c>
      <c r="BD467" t="e">
        <f t="shared" si="195"/>
        <v>#N/A</v>
      </c>
      <c r="BG467">
        <f t="shared" si="181"/>
        <v>70671.259999999995</v>
      </c>
      <c r="BH467" t="e">
        <f t="shared" si="178"/>
        <v>#N/A</v>
      </c>
      <c r="BI467" t="e">
        <f t="shared" si="196"/>
        <v>#N/A</v>
      </c>
      <c r="BJ467" t="e">
        <f t="shared" si="196"/>
        <v>#N/A</v>
      </c>
      <c r="BK467" t="e">
        <f t="shared" si="196"/>
        <v>#N/A</v>
      </c>
      <c r="BL467" t="e">
        <f t="shared" si="196"/>
        <v>#N/A</v>
      </c>
      <c r="BM467" t="e">
        <f t="shared" si="196"/>
        <v>#N/A</v>
      </c>
      <c r="BP467" t="e">
        <f t="shared" si="182"/>
        <v>#N/A</v>
      </c>
      <c r="BQ467" t="e">
        <f t="shared" si="179"/>
        <v>#N/A</v>
      </c>
      <c r="BR467" t="e">
        <f t="shared" si="197"/>
        <v>#N/A</v>
      </c>
      <c r="BS467" t="e">
        <f t="shared" si="197"/>
        <v>#N/A</v>
      </c>
      <c r="BT467" t="e">
        <f t="shared" si="197"/>
        <v>#N/A</v>
      </c>
      <c r="BU467" t="e">
        <f t="shared" si="197"/>
        <v>#N/A</v>
      </c>
      <c r="BV467" t="e">
        <f t="shared" si="197"/>
        <v>#N/A</v>
      </c>
      <c r="BY467" t="e">
        <f t="shared" si="183"/>
        <v>#N/A</v>
      </c>
      <c r="BZ467" t="e">
        <v>#N/A</v>
      </c>
      <c r="CA467" t="e" cm="1">
        <f t="array" ref="CA467">IF(ISNUMBER(BZ467),AF467/COUNT(IF(ISNUMBER(_xlfn.ANCHORARRAY($BZ$11)),_xlfn.ANCHORARRAY($BZ$11))),NA())</f>
        <v>#N/A</v>
      </c>
      <c r="CB467" t="e">
        <f t="shared" si="184"/>
        <v>#N/A</v>
      </c>
      <c r="CD467" t="e">
        <f t="shared" si="185"/>
        <v>#N/A</v>
      </c>
      <c r="CE467" t="e">
        <f t="shared" si="186"/>
        <v>#N/A</v>
      </c>
      <c r="CG467" t="e">
        <v>#N/A</v>
      </c>
      <c r="CH467" t="e">
        <v>#N/A</v>
      </c>
      <c r="CL467">
        <f t="shared" si="187"/>
        <v>70671.259999999995</v>
      </c>
      <c r="CM467" t="e">
        <v>#N/A</v>
      </c>
      <c r="CN467" t="e" cm="1">
        <f t="array" ref="CN467">IF(ISNUMBER(CM467),AF467/COUNT(IF(ISNUMBER(_xlfn.ANCHORARRAY($CM$11)),_xlfn.ANCHORARRAY($CM$11))),NA())</f>
        <v>#N/A</v>
      </c>
      <c r="CO467" t="e">
        <f t="shared" si="188"/>
        <v>#N/A</v>
      </c>
      <c r="CQ467" t="e">
        <f t="shared" si="189"/>
        <v>#N/A</v>
      </c>
      <c r="CR467" t="e">
        <f t="shared" si="190"/>
        <v>#N/A</v>
      </c>
      <c r="CT467" t="e">
        <v>#N/A</v>
      </c>
      <c r="CU467" t="e">
        <v>#N/A</v>
      </c>
      <c r="CY467" t="e">
        <f t="shared" si="191"/>
        <v>#N/A</v>
      </c>
      <c r="CZ467" t="e">
        <v>#N/A</v>
      </c>
      <c r="DA467" t="e" cm="1">
        <f t="array" ref="DA467">IF(ISNUMBER(CZ467),AF467/COUNT(IF(ISNUMBER(_xlfn.ANCHORARRAY($CZ$11)),_xlfn.ANCHORARRAY($CZ$11))),NA())</f>
        <v>#N/A</v>
      </c>
      <c r="DB467" t="e">
        <f t="shared" si="192"/>
        <v>#N/A</v>
      </c>
      <c r="DD467" t="e">
        <f t="shared" si="193"/>
        <v>#N/A</v>
      </c>
      <c r="DE467" t="e">
        <f t="shared" si="194"/>
        <v>#N/A</v>
      </c>
      <c r="DG467" t="e">
        <v>#N/A</v>
      </c>
      <c r="DH467" t="e">
        <v>#N/A</v>
      </c>
    </row>
    <row r="468" spans="32:112">
      <c r="AF468">
        <v>458</v>
      </c>
      <c r="AG468" s="401">
        <f>'Lab test'!N461</f>
        <v>137.16</v>
      </c>
      <c r="AH468" s="401">
        <f>'Lab test'!M461</f>
        <v>0.50800000000000001</v>
      </c>
      <c r="AI468">
        <f>IF('Lab test'!O461&gt;0,'Lab test'!O461,NA())</f>
        <v>609.6</v>
      </c>
      <c r="AJ468">
        <f>'Lab test'!Q461</f>
        <v>270</v>
      </c>
      <c r="AK468" s="401">
        <f>IF('Lab test'!V461&gt;0,'Lab test'!V461,NA())</f>
        <v>70326.52</v>
      </c>
      <c r="AL468" s="7">
        <f>IF(MAX('Lab test'!W461,'Lab test'!X461)&gt;0,MAX('Lab test'!W461,'Lab test'!X461),NA())</f>
        <v>140.65299999999999</v>
      </c>
      <c r="AM468" s="401">
        <f>IF('Lab test'!P461&gt;0,'Lab test'!P461,NA())</f>
        <v>0.27048027531119317</v>
      </c>
      <c r="AN468" s="401">
        <f>IF('Lab test'!AU461&gt;0,'Lab test'!AU461,NA())</f>
        <v>0.42592607283014072</v>
      </c>
      <c r="AO468" s="401">
        <f>IF('Lab test'!AT461&gt;0,'Lab test'!AT461,NA())</f>
        <v>0.38002239076082484</v>
      </c>
      <c r="AP468">
        <f t="shared" si="173"/>
        <v>1</v>
      </c>
      <c r="AQ468" s="401">
        <f>'Lab test'!AZ461</f>
        <v>1967</v>
      </c>
      <c r="AR468" t="str">
        <f>'Lab test'!AC461</f>
        <v>LTWb</v>
      </c>
      <c r="AS468" t="str">
        <f>'Lab test'!T461</f>
        <v>Aluminium</v>
      </c>
      <c r="AX468" t="e">
        <f t="shared" si="180"/>
        <v>#N/A</v>
      </c>
      <c r="AY468" t="e">
        <f t="shared" si="177"/>
        <v>#N/A</v>
      </c>
      <c r="AZ468" t="e">
        <f t="shared" si="195"/>
        <v>#N/A</v>
      </c>
      <c r="BA468" t="e">
        <f t="shared" si="195"/>
        <v>#N/A</v>
      </c>
      <c r="BB468" t="e">
        <f t="shared" si="195"/>
        <v>#N/A</v>
      </c>
      <c r="BC468" t="e">
        <f t="shared" si="195"/>
        <v>#N/A</v>
      </c>
      <c r="BD468" t="e">
        <f t="shared" si="195"/>
        <v>#N/A</v>
      </c>
      <c r="BG468" t="e">
        <f t="shared" si="181"/>
        <v>#N/A</v>
      </c>
      <c r="BH468">
        <f t="shared" si="178"/>
        <v>70326.52</v>
      </c>
      <c r="BI468" t="e">
        <f t="shared" si="196"/>
        <v>#N/A</v>
      </c>
      <c r="BJ468" t="e">
        <f t="shared" si="196"/>
        <v>#N/A</v>
      </c>
      <c r="BK468" t="e">
        <f t="shared" si="196"/>
        <v>#N/A</v>
      </c>
      <c r="BL468" t="e">
        <f t="shared" si="196"/>
        <v>#N/A</v>
      </c>
      <c r="BM468" t="e">
        <f t="shared" si="196"/>
        <v>#N/A</v>
      </c>
      <c r="BP468" t="e">
        <f t="shared" si="182"/>
        <v>#N/A</v>
      </c>
      <c r="BQ468" t="e">
        <f t="shared" si="179"/>
        <v>#N/A</v>
      </c>
      <c r="BR468" t="e">
        <f t="shared" si="197"/>
        <v>#N/A</v>
      </c>
      <c r="BS468" t="e">
        <f t="shared" si="197"/>
        <v>#N/A</v>
      </c>
      <c r="BT468" t="e">
        <f t="shared" si="197"/>
        <v>#N/A</v>
      </c>
      <c r="BU468" t="e">
        <f t="shared" si="197"/>
        <v>#N/A</v>
      </c>
      <c r="BV468" t="e">
        <f t="shared" si="197"/>
        <v>#N/A</v>
      </c>
      <c r="BY468" t="e">
        <f t="shared" si="183"/>
        <v>#N/A</v>
      </c>
      <c r="BZ468" t="e">
        <v>#N/A</v>
      </c>
      <c r="CA468" t="e" cm="1">
        <f t="array" ref="CA468">IF(ISNUMBER(BZ468),AF468/COUNT(IF(ISNUMBER(_xlfn.ANCHORARRAY($BZ$11)),_xlfn.ANCHORARRAY($BZ$11))),NA())</f>
        <v>#N/A</v>
      </c>
      <c r="CB468" t="e">
        <f t="shared" si="184"/>
        <v>#N/A</v>
      </c>
      <c r="CD468" t="e">
        <f t="shared" si="185"/>
        <v>#N/A</v>
      </c>
      <c r="CE468" t="e">
        <f t="shared" si="186"/>
        <v>#N/A</v>
      </c>
      <c r="CG468" t="e">
        <v>#N/A</v>
      </c>
      <c r="CH468" t="e">
        <v>#N/A</v>
      </c>
      <c r="CL468">
        <f t="shared" si="187"/>
        <v>70326.52</v>
      </c>
      <c r="CM468" t="e">
        <v>#N/A</v>
      </c>
      <c r="CN468" t="e" cm="1">
        <f t="array" ref="CN468">IF(ISNUMBER(CM468),AF468/COUNT(IF(ISNUMBER(_xlfn.ANCHORARRAY($CM$11)),_xlfn.ANCHORARRAY($CM$11))),NA())</f>
        <v>#N/A</v>
      </c>
      <c r="CO468" t="e">
        <f t="shared" si="188"/>
        <v>#N/A</v>
      </c>
      <c r="CQ468" t="e">
        <f t="shared" si="189"/>
        <v>#N/A</v>
      </c>
      <c r="CR468" t="e">
        <f t="shared" si="190"/>
        <v>#N/A</v>
      </c>
      <c r="CT468" t="e">
        <v>#N/A</v>
      </c>
      <c r="CU468" t="e">
        <v>#N/A</v>
      </c>
      <c r="CY468" t="e">
        <f t="shared" si="191"/>
        <v>#N/A</v>
      </c>
      <c r="CZ468" t="e">
        <v>#N/A</v>
      </c>
      <c r="DA468" t="e" cm="1">
        <f t="array" ref="DA468">IF(ISNUMBER(CZ468),AF468/COUNT(IF(ISNUMBER(_xlfn.ANCHORARRAY($CZ$11)),_xlfn.ANCHORARRAY($CZ$11))),NA())</f>
        <v>#N/A</v>
      </c>
      <c r="DB468" t="e">
        <f t="shared" si="192"/>
        <v>#N/A</v>
      </c>
      <c r="DD468" t="e">
        <f t="shared" si="193"/>
        <v>#N/A</v>
      </c>
      <c r="DE468" t="e">
        <f t="shared" si="194"/>
        <v>#N/A</v>
      </c>
      <c r="DG468" t="e">
        <v>#N/A</v>
      </c>
      <c r="DH468" t="e">
        <v>#N/A</v>
      </c>
    </row>
    <row r="469" spans="32:112">
      <c r="AF469">
        <v>459</v>
      </c>
      <c r="AG469" s="401">
        <f>'Lab test'!N462</f>
        <v>31.75</v>
      </c>
      <c r="AH469" s="401">
        <f>'Lab test'!M462</f>
        <v>0.1651</v>
      </c>
      <c r="AI469">
        <f>IF('Lab test'!O462&gt;0,'Lab test'!O462,NA())</f>
        <v>101.6</v>
      </c>
      <c r="AJ469">
        <f>'Lab test'!Q462</f>
        <v>192</v>
      </c>
      <c r="AK469" s="401">
        <f>IF('Lab test'!V462&gt;0,'Lab test'!V462,NA())</f>
        <v>68947.570000000007</v>
      </c>
      <c r="AL469" s="7">
        <f>IF(MAX('Lab test'!W462,'Lab test'!X462)&gt;0,MAX('Lab test'!W462,'Lab test'!X462),NA())</f>
        <v>262.00080000000003</v>
      </c>
      <c r="AM469" s="401">
        <f>IF('Lab test'!P462&gt;0,'Lab test'!P462,NA())</f>
        <v>0.23075528162969527</v>
      </c>
      <c r="AN469" s="401">
        <f>IF('Lab test'!AU462&gt;0,'Lab test'!AU462,NA())</f>
        <v>0.34894733730889366</v>
      </c>
      <c r="AO469" s="401">
        <f>IF('Lab test'!AT462&gt;0,'Lab test'!AT462,NA())</f>
        <v>0.42132916397780285</v>
      </c>
      <c r="AP469">
        <f t="shared" si="173"/>
        <v>1</v>
      </c>
      <c r="AQ469" s="401">
        <f>'Lab test'!AZ462</f>
        <v>1967</v>
      </c>
      <c r="AR469" t="str">
        <f>'Lab test'!AC462</f>
        <v>Miscellaneous</v>
      </c>
      <c r="AS469" t="str">
        <f>'Lab test'!T462</f>
        <v>Aluminium</v>
      </c>
      <c r="AX469" t="e">
        <f t="shared" si="180"/>
        <v>#N/A</v>
      </c>
      <c r="AY469" t="e">
        <f t="shared" si="177"/>
        <v>#N/A</v>
      </c>
      <c r="AZ469" t="e">
        <f t="shared" si="195"/>
        <v>#N/A</v>
      </c>
      <c r="BA469" t="e">
        <f t="shared" si="195"/>
        <v>#N/A</v>
      </c>
      <c r="BB469" t="e">
        <f t="shared" si="195"/>
        <v>#N/A</v>
      </c>
      <c r="BC469" t="e">
        <f t="shared" si="195"/>
        <v>#N/A</v>
      </c>
      <c r="BD469" t="e">
        <f t="shared" si="195"/>
        <v>#N/A</v>
      </c>
      <c r="BG469" t="e">
        <f t="shared" si="181"/>
        <v>#N/A</v>
      </c>
      <c r="BH469" t="e">
        <f t="shared" si="178"/>
        <v>#N/A</v>
      </c>
      <c r="BI469" t="e">
        <f t="shared" si="196"/>
        <v>#N/A</v>
      </c>
      <c r="BJ469" t="e">
        <f t="shared" si="196"/>
        <v>#N/A</v>
      </c>
      <c r="BK469" t="e">
        <f t="shared" si="196"/>
        <v>#N/A</v>
      </c>
      <c r="BL469" t="e">
        <f t="shared" si="196"/>
        <v>#N/A</v>
      </c>
      <c r="BM469" t="e">
        <f t="shared" si="196"/>
        <v>#N/A</v>
      </c>
      <c r="BP469" t="e">
        <f t="shared" si="182"/>
        <v>#N/A</v>
      </c>
      <c r="BQ469" t="e">
        <f t="shared" si="179"/>
        <v>#N/A</v>
      </c>
      <c r="BR469" t="e">
        <f t="shared" si="197"/>
        <v>#N/A</v>
      </c>
      <c r="BS469" t="e">
        <f t="shared" si="197"/>
        <v>#N/A</v>
      </c>
      <c r="BT469" t="e">
        <f t="shared" si="197"/>
        <v>#N/A</v>
      </c>
      <c r="BU469" t="e">
        <f t="shared" si="197"/>
        <v>#N/A</v>
      </c>
      <c r="BV469" t="e">
        <f t="shared" si="197"/>
        <v>#N/A</v>
      </c>
      <c r="BY469" t="e">
        <f t="shared" si="183"/>
        <v>#N/A</v>
      </c>
      <c r="BZ469" t="e">
        <v>#N/A</v>
      </c>
      <c r="CA469" t="e" cm="1">
        <f t="array" ref="CA469">IF(ISNUMBER(BZ469),AF469/COUNT(IF(ISNUMBER(_xlfn.ANCHORARRAY($BZ$11)),_xlfn.ANCHORARRAY($BZ$11))),NA())</f>
        <v>#N/A</v>
      </c>
      <c r="CB469" t="e">
        <f t="shared" si="184"/>
        <v>#N/A</v>
      </c>
      <c r="CD469" t="e">
        <f t="shared" si="185"/>
        <v>#N/A</v>
      </c>
      <c r="CE469" t="e">
        <f t="shared" si="186"/>
        <v>#N/A</v>
      </c>
      <c r="CG469" t="e">
        <v>#N/A</v>
      </c>
      <c r="CH469" t="e">
        <v>#N/A</v>
      </c>
      <c r="CL469" t="e">
        <f t="shared" si="187"/>
        <v>#N/A</v>
      </c>
      <c r="CM469" t="e">
        <v>#N/A</v>
      </c>
      <c r="CN469" t="e" cm="1">
        <f t="array" ref="CN469">IF(ISNUMBER(CM469),AF469/COUNT(IF(ISNUMBER(_xlfn.ANCHORARRAY($CM$11)),_xlfn.ANCHORARRAY($CM$11))),NA())</f>
        <v>#N/A</v>
      </c>
      <c r="CO469" t="e">
        <f t="shared" si="188"/>
        <v>#N/A</v>
      </c>
      <c r="CQ469" t="e">
        <f t="shared" si="189"/>
        <v>#N/A</v>
      </c>
      <c r="CR469" t="e">
        <f t="shared" si="190"/>
        <v>#N/A</v>
      </c>
      <c r="CT469" t="e">
        <v>#N/A</v>
      </c>
      <c r="CU469" t="e">
        <v>#N/A</v>
      </c>
      <c r="CY469" t="e">
        <f t="shared" si="191"/>
        <v>#N/A</v>
      </c>
      <c r="CZ469" t="e">
        <v>#N/A</v>
      </c>
      <c r="DA469" t="e" cm="1">
        <f t="array" ref="DA469">IF(ISNUMBER(CZ469),AF469/COUNT(IF(ISNUMBER(_xlfn.ANCHORARRAY($CZ$11)),_xlfn.ANCHORARRAY($CZ$11))),NA())</f>
        <v>#N/A</v>
      </c>
      <c r="DB469" t="e">
        <f t="shared" si="192"/>
        <v>#N/A</v>
      </c>
      <c r="DD469" t="e">
        <f t="shared" si="193"/>
        <v>#N/A</v>
      </c>
      <c r="DE469" t="e">
        <f t="shared" si="194"/>
        <v>#N/A</v>
      </c>
      <c r="DG469" t="e">
        <v>#N/A</v>
      </c>
      <c r="DH469" t="e">
        <v>#N/A</v>
      </c>
    </row>
    <row r="470" spans="32:112">
      <c r="AF470">
        <v>460</v>
      </c>
      <c r="AG470" s="401">
        <f>'Lab test'!N463</f>
        <v>31.75</v>
      </c>
      <c r="AH470" s="401">
        <f>'Lab test'!M463</f>
        <v>0.1651</v>
      </c>
      <c r="AI470">
        <f>IF('Lab test'!O463&gt;0,'Lab test'!O463,NA())</f>
        <v>101.6</v>
      </c>
      <c r="AJ470">
        <f>'Lab test'!Q463</f>
        <v>192</v>
      </c>
      <c r="AK470" s="401">
        <f>IF('Lab test'!V463&gt;0,'Lab test'!V463,NA())</f>
        <v>68947.570000000007</v>
      </c>
      <c r="AL470" s="7">
        <f>IF(MAX('Lab test'!W463,'Lab test'!X463)&gt;0,MAX('Lab test'!W463,'Lab test'!X463),NA())</f>
        <v>262.00080000000003</v>
      </c>
      <c r="AM470" s="401">
        <f>IF('Lab test'!P463&gt;0,'Lab test'!P463,NA())</f>
        <v>0.23075528162969527</v>
      </c>
      <c r="AN470" s="401">
        <f>IF('Lab test'!AU463&gt;0,'Lab test'!AU463,NA())</f>
        <v>0.49947363967743619</v>
      </c>
      <c r="AO470" s="401">
        <f>IF('Lab test'!AT463&gt;0,'Lab test'!AT463,NA())</f>
        <v>0.60307899941920817</v>
      </c>
      <c r="AP470">
        <f t="shared" si="173"/>
        <v>1</v>
      </c>
      <c r="AQ470" s="401">
        <f>'Lab test'!AZ463</f>
        <v>1967</v>
      </c>
      <c r="AR470" t="str">
        <f>'Lab test'!AC463</f>
        <v>Miscellaneous</v>
      </c>
      <c r="AS470" t="str">
        <f>'Lab test'!T463</f>
        <v>Aluminium</v>
      </c>
      <c r="AX470" t="e">
        <f t="shared" si="180"/>
        <v>#N/A</v>
      </c>
      <c r="AY470" t="e">
        <f t="shared" si="177"/>
        <v>#N/A</v>
      </c>
      <c r="AZ470" t="e">
        <f t="shared" si="195"/>
        <v>#N/A</v>
      </c>
      <c r="BA470" t="e">
        <f t="shared" si="195"/>
        <v>#N/A</v>
      </c>
      <c r="BB470" t="e">
        <f t="shared" si="195"/>
        <v>#N/A</v>
      </c>
      <c r="BC470" t="e">
        <f t="shared" si="195"/>
        <v>#N/A</v>
      </c>
      <c r="BD470" t="e">
        <f t="shared" si="195"/>
        <v>#N/A</v>
      </c>
      <c r="BG470" t="e">
        <f t="shared" si="181"/>
        <v>#N/A</v>
      </c>
      <c r="BH470" t="e">
        <f t="shared" si="178"/>
        <v>#N/A</v>
      </c>
      <c r="BI470" t="e">
        <f t="shared" si="196"/>
        <v>#N/A</v>
      </c>
      <c r="BJ470" t="e">
        <f t="shared" si="196"/>
        <v>#N/A</v>
      </c>
      <c r="BK470" t="e">
        <f t="shared" si="196"/>
        <v>#N/A</v>
      </c>
      <c r="BL470" t="e">
        <f t="shared" si="196"/>
        <v>#N/A</v>
      </c>
      <c r="BM470" t="e">
        <f t="shared" si="196"/>
        <v>#N/A</v>
      </c>
      <c r="BP470" t="e">
        <f t="shared" si="182"/>
        <v>#N/A</v>
      </c>
      <c r="BQ470" t="e">
        <f t="shared" si="179"/>
        <v>#N/A</v>
      </c>
      <c r="BR470" t="e">
        <f t="shared" si="197"/>
        <v>#N/A</v>
      </c>
      <c r="BS470" t="e">
        <f t="shared" si="197"/>
        <v>#N/A</v>
      </c>
      <c r="BT470" t="e">
        <f t="shared" si="197"/>
        <v>#N/A</v>
      </c>
      <c r="BU470" t="e">
        <f t="shared" si="197"/>
        <v>#N/A</v>
      </c>
      <c r="BV470" t="e">
        <f t="shared" si="197"/>
        <v>#N/A</v>
      </c>
      <c r="BY470" t="e">
        <f t="shared" si="183"/>
        <v>#N/A</v>
      </c>
      <c r="BZ470" t="e">
        <v>#N/A</v>
      </c>
      <c r="CA470" t="e" cm="1">
        <f t="array" ref="CA470">IF(ISNUMBER(BZ470),AF470/COUNT(IF(ISNUMBER(_xlfn.ANCHORARRAY($BZ$11)),_xlfn.ANCHORARRAY($BZ$11))),NA())</f>
        <v>#N/A</v>
      </c>
      <c r="CB470" t="e">
        <f t="shared" si="184"/>
        <v>#N/A</v>
      </c>
      <c r="CD470" t="e">
        <f t="shared" si="185"/>
        <v>#N/A</v>
      </c>
      <c r="CE470" t="e">
        <f t="shared" si="186"/>
        <v>#N/A</v>
      </c>
      <c r="CG470" t="e">
        <v>#N/A</v>
      </c>
      <c r="CH470" t="e">
        <v>#N/A</v>
      </c>
      <c r="CL470" t="e">
        <f t="shared" si="187"/>
        <v>#N/A</v>
      </c>
      <c r="CM470" t="e">
        <v>#N/A</v>
      </c>
      <c r="CN470" t="e" cm="1">
        <f t="array" ref="CN470">IF(ISNUMBER(CM470),AF470/COUNT(IF(ISNUMBER(_xlfn.ANCHORARRAY($CM$11)),_xlfn.ANCHORARRAY($CM$11))),NA())</f>
        <v>#N/A</v>
      </c>
      <c r="CO470" t="e">
        <f t="shared" si="188"/>
        <v>#N/A</v>
      </c>
      <c r="CQ470" t="e">
        <f t="shared" si="189"/>
        <v>#N/A</v>
      </c>
      <c r="CR470" t="e">
        <f t="shared" si="190"/>
        <v>#N/A</v>
      </c>
      <c r="CT470" t="e">
        <v>#N/A</v>
      </c>
      <c r="CU470" t="e">
        <v>#N/A</v>
      </c>
      <c r="CY470" t="e">
        <f t="shared" si="191"/>
        <v>#N/A</v>
      </c>
      <c r="CZ470" t="e">
        <v>#N/A</v>
      </c>
      <c r="DA470" t="e" cm="1">
        <f t="array" ref="DA470">IF(ISNUMBER(CZ470),AF470/COUNT(IF(ISNUMBER(_xlfn.ANCHORARRAY($CZ$11)),_xlfn.ANCHORARRAY($CZ$11))),NA())</f>
        <v>#N/A</v>
      </c>
      <c r="DB470" t="e">
        <f t="shared" si="192"/>
        <v>#N/A</v>
      </c>
      <c r="DD470" t="e">
        <f t="shared" si="193"/>
        <v>#N/A</v>
      </c>
      <c r="DE470" t="e">
        <f t="shared" si="194"/>
        <v>#N/A</v>
      </c>
      <c r="DG470" t="e">
        <v>#N/A</v>
      </c>
      <c r="DH470" t="e">
        <v>#N/A</v>
      </c>
    </row>
    <row r="471" spans="32:112">
      <c r="AF471">
        <v>461</v>
      </c>
      <c r="AG471" s="401">
        <f>'Lab test'!N464</f>
        <v>31.75</v>
      </c>
      <c r="AH471" s="401">
        <f>'Lab test'!M464</f>
        <v>0.17780000000000001</v>
      </c>
      <c r="AI471">
        <f>IF('Lab test'!O464&gt;0,'Lab test'!O464,NA())</f>
        <v>101.6</v>
      </c>
      <c r="AJ471">
        <f>'Lab test'!Q464</f>
        <v>179</v>
      </c>
      <c r="AK471" s="401">
        <f>IF('Lab test'!V464&gt;0,'Lab test'!V464,NA())</f>
        <v>68947.570000000007</v>
      </c>
      <c r="AL471" s="7">
        <f>IF(MAX('Lab test'!W464,'Lab test'!X464)&gt;0,MAX('Lab test'!W464,'Lab test'!X464),NA())</f>
        <v>262.00080000000003</v>
      </c>
      <c r="AM471" s="401">
        <f>IF('Lab test'!P464&gt;0,'Lab test'!P464,NA())</f>
        <v>0.23946607275353224</v>
      </c>
      <c r="AN471" s="401">
        <f>IF('Lab test'!AU464&gt;0,'Lab test'!AU464,NA())</f>
        <v>0.58947363165303313</v>
      </c>
      <c r="AO471" s="401">
        <f>IF('Lab test'!AT464&gt;0,'Lab test'!AT464,NA())</f>
        <v>0.66090849251420047</v>
      </c>
      <c r="AP471">
        <f t="shared" ref="AP471:AP534" si="198">IF(AND(OR(ISNUMBER(AN471),ISNUMBER(AO471)),ISNUMBER(AK471),ISNUMBER(AL471)),1,NA())</f>
        <v>1</v>
      </c>
      <c r="AQ471" s="401">
        <f>'Lab test'!AZ464</f>
        <v>1967</v>
      </c>
      <c r="AR471" t="str">
        <f>'Lab test'!AC464</f>
        <v>Miscellaneous</v>
      </c>
      <c r="AS471" t="str">
        <f>'Lab test'!T464</f>
        <v>Aluminium</v>
      </c>
      <c r="AX471" t="e">
        <f t="shared" si="180"/>
        <v>#N/A</v>
      </c>
      <c r="AY471" t="e">
        <f t="shared" si="177"/>
        <v>#N/A</v>
      </c>
      <c r="AZ471" t="e">
        <f t="shared" si="195"/>
        <v>#N/A</v>
      </c>
      <c r="BA471" t="e">
        <f t="shared" si="195"/>
        <v>#N/A</v>
      </c>
      <c r="BB471" t="e">
        <f t="shared" si="195"/>
        <v>#N/A</v>
      </c>
      <c r="BC471" t="e">
        <f t="shared" si="195"/>
        <v>#N/A</v>
      </c>
      <c r="BD471" t="e">
        <f t="shared" si="195"/>
        <v>#N/A</v>
      </c>
      <c r="BG471" t="e">
        <f t="shared" si="181"/>
        <v>#N/A</v>
      </c>
      <c r="BH471" t="e">
        <f t="shared" si="178"/>
        <v>#N/A</v>
      </c>
      <c r="BI471" t="e">
        <f t="shared" si="196"/>
        <v>#N/A</v>
      </c>
      <c r="BJ471" t="e">
        <f t="shared" si="196"/>
        <v>#N/A</v>
      </c>
      <c r="BK471" t="e">
        <f t="shared" si="196"/>
        <v>#N/A</v>
      </c>
      <c r="BL471" t="e">
        <f t="shared" si="196"/>
        <v>#N/A</v>
      </c>
      <c r="BM471" t="e">
        <f t="shared" si="196"/>
        <v>#N/A</v>
      </c>
      <c r="BP471" t="e">
        <f t="shared" si="182"/>
        <v>#N/A</v>
      </c>
      <c r="BQ471" t="e">
        <f t="shared" si="179"/>
        <v>#N/A</v>
      </c>
      <c r="BR471" t="e">
        <f t="shared" si="197"/>
        <v>#N/A</v>
      </c>
      <c r="BS471" t="e">
        <f t="shared" si="197"/>
        <v>#N/A</v>
      </c>
      <c r="BT471" t="e">
        <f t="shared" si="197"/>
        <v>#N/A</v>
      </c>
      <c r="BU471" t="e">
        <f t="shared" si="197"/>
        <v>#N/A</v>
      </c>
      <c r="BV471" t="e">
        <f t="shared" si="197"/>
        <v>#N/A</v>
      </c>
      <c r="BY471" t="e">
        <f t="shared" si="183"/>
        <v>#N/A</v>
      </c>
      <c r="BZ471" t="e">
        <v>#N/A</v>
      </c>
      <c r="CA471" t="e" cm="1">
        <f t="array" ref="CA471">IF(ISNUMBER(BZ471),AF471/COUNT(IF(ISNUMBER(_xlfn.ANCHORARRAY($BZ$11)),_xlfn.ANCHORARRAY($BZ$11))),NA())</f>
        <v>#N/A</v>
      </c>
      <c r="CB471" t="e">
        <f t="shared" si="184"/>
        <v>#N/A</v>
      </c>
      <c r="CD471" t="e">
        <f t="shared" si="185"/>
        <v>#N/A</v>
      </c>
      <c r="CE471" t="e">
        <f t="shared" si="186"/>
        <v>#N/A</v>
      </c>
      <c r="CG471" t="e">
        <v>#N/A</v>
      </c>
      <c r="CH471" t="e">
        <v>#N/A</v>
      </c>
      <c r="CL471" t="e">
        <f t="shared" si="187"/>
        <v>#N/A</v>
      </c>
      <c r="CM471" t="e">
        <v>#N/A</v>
      </c>
      <c r="CN471" t="e" cm="1">
        <f t="array" ref="CN471">IF(ISNUMBER(CM471),AF471/COUNT(IF(ISNUMBER(_xlfn.ANCHORARRAY($CM$11)),_xlfn.ANCHORARRAY($CM$11))),NA())</f>
        <v>#N/A</v>
      </c>
      <c r="CO471" t="e">
        <f t="shared" si="188"/>
        <v>#N/A</v>
      </c>
      <c r="CQ471" t="e">
        <f t="shared" si="189"/>
        <v>#N/A</v>
      </c>
      <c r="CR471" t="e">
        <f t="shared" si="190"/>
        <v>#N/A</v>
      </c>
      <c r="CT471" t="e">
        <v>#N/A</v>
      </c>
      <c r="CU471" t="e">
        <v>#N/A</v>
      </c>
      <c r="CY471" t="e">
        <f t="shared" si="191"/>
        <v>#N/A</v>
      </c>
      <c r="CZ471" t="e">
        <v>#N/A</v>
      </c>
      <c r="DA471" t="e" cm="1">
        <f t="array" ref="DA471">IF(ISNUMBER(CZ471),AF471/COUNT(IF(ISNUMBER(_xlfn.ANCHORARRAY($CZ$11)),_xlfn.ANCHORARRAY($CZ$11))),NA())</f>
        <v>#N/A</v>
      </c>
      <c r="DB471" t="e">
        <f t="shared" si="192"/>
        <v>#N/A</v>
      </c>
      <c r="DD471" t="e">
        <f t="shared" si="193"/>
        <v>#N/A</v>
      </c>
      <c r="DE471" t="e">
        <f t="shared" si="194"/>
        <v>#N/A</v>
      </c>
      <c r="DG471" t="e">
        <v>#N/A</v>
      </c>
      <c r="DH471" t="e">
        <v>#N/A</v>
      </c>
    </row>
    <row r="472" spans="32:112">
      <c r="AF472">
        <v>462</v>
      </c>
      <c r="AG472" s="401">
        <f>'Lab test'!N465</f>
        <v>31.75</v>
      </c>
      <c r="AH472" s="401">
        <f>'Lab test'!M465</f>
        <v>0.1651</v>
      </c>
      <c r="AI472">
        <f>IF('Lab test'!O465&gt;0,'Lab test'!O465,NA())</f>
        <v>101.6</v>
      </c>
      <c r="AJ472">
        <f>'Lab test'!Q465</f>
        <v>192</v>
      </c>
      <c r="AK472" s="401">
        <f>IF('Lab test'!V465&gt;0,'Lab test'!V465,NA())</f>
        <v>68947.570000000007</v>
      </c>
      <c r="AL472" s="7">
        <f>IF(MAX('Lab test'!W465,'Lab test'!X465)&gt;0,MAX('Lab test'!W465,'Lab test'!X465),NA())</f>
        <v>262.00080000000003</v>
      </c>
      <c r="AM472" s="401">
        <f>IF('Lab test'!P465&gt;0,'Lab test'!P465,NA())</f>
        <v>0.23075528162969527</v>
      </c>
      <c r="AN472" s="401">
        <f>IF('Lab test'!AU465&gt;0,'Lab test'!AU465,NA())</f>
        <v>0.24768418844278331</v>
      </c>
      <c r="AO472" s="401">
        <f>IF('Lab test'!AT465&gt;0,'Lab test'!AT465,NA())</f>
        <v>0.29906109286267568</v>
      </c>
      <c r="AP472">
        <f t="shared" si="198"/>
        <v>1</v>
      </c>
      <c r="AQ472" s="401">
        <f>'Lab test'!AZ465</f>
        <v>1967</v>
      </c>
      <c r="AR472" t="str">
        <f>'Lab test'!AC465</f>
        <v>Miscellaneous</v>
      </c>
      <c r="AS472" t="str">
        <f>'Lab test'!T465</f>
        <v>Aluminium</v>
      </c>
      <c r="AX472" t="e">
        <f t="shared" si="180"/>
        <v>#N/A</v>
      </c>
      <c r="AY472" t="e">
        <f t="shared" si="177"/>
        <v>#N/A</v>
      </c>
      <c r="AZ472" t="e">
        <f t="shared" si="195"/>
        <v>#N/A</v>
      </c>
      <c r="BA472" t="e">
        <f t="shared" si="195"/>
        <v>#N/A</v>
      </c>
      <c r="BB472" t="e">
        <f t="shared" si="195"/>
        <v>#N/A</v>
      </c>
      <c r="BC472" t="e">
        <f t="shared" si="195"/>
        <v>#N/A</v>
      </c>
      <c r="BD472" t="e">
        <f t="shared" si="195"/>
        <v>#N/A</v>
      </c>
      <c r="BG472" t="e">
        <f t="shared" si="181"/>
        <v>#N/A</v>
      </c>
      <c r="BH472" t="e">
        <f t="shared" si="178"/>
        <v>#N/A</v>
      </c>
      <c r="BI472" t="e">
        <f t="shared" si="196"/>
        <v>#N/A</v>
      </c>
      <c r="BJ472" t="e">
        <f t="shared" si="196"/>
        <v>#N/A</v>
      </c>
      <c r="BK472" t="e">
        <f t="shared" si="196"/>
        <v>#N/A</v>
      </c>
      <c r="BL472" t="e">
        <f t="shared" si="196"/>
        <v>#N/A</v>
      </c>
      <c r="BM472" t="e">
        <f t="shared" si="196"/>
        <v>#N/A</v>
      </c>
      <c r="BP472" t="e">
        <f t="shared" si="182"/>
        <v>#N/A</v>
      </c>
      <c r="BQ472" t="e">
        <f t="shared" si="179"/>
        <v>#N/A</v>
      </c>
      <c r="BR472" t="e">
        <f t="shared" si="197"/>
        <v>#N/A</v>
      </c>
      <c r="BS472" t="e">
        <f t="shared" si="197"/>
        <v>#N/A</v>
      </c>
      <c r="BT472" t="e">
        <f t="shared" si="197"/>
        <v>#N/A</v>
      </c>
      <c r="BU472" t="e">
        <f t="shared" si="197"/>
        <v>#N/A</v>
      </c>
      <c r="BV472" t="e">
        <f t="shared" si="197"/>
        <v>#N/A</v>
      </c>
      <c r="BY472" t="e">
        <f t="shared" si="183"/>
        <v>#N/A</v>
      </c>
      <c r="BZ472" t="e">
        <v>#N/A</v>
      </c>
      <c r="CA472" t="e" cm="1">
        <f t="array" ref="CA472">IF(ISNUMBER(BZ472),AF472/COUNT(IF(ISNUMBER(_xlfn.ANCHORARRAY($BZ$11)),_xlfn.ANCHORARRAY($BZ$11))),NA())</f>
        <v>#N/A</v>
      </c>
      <c r="CB472" t="e">
        <f t="shared" si="184"/>
        <v>#N/A</v>
      </c>
      <c r="CD472" t="e">
        <f t="shared" si="185"/>
        <v>#N/A</v>
      </c>
      <c r="CE472" t="e">
        <f t="shared" si="186"/>
        <v>#N/A</v>
      </c>
      <c r="CG472" t="e">
        <v>#N/A</v>
      </c>
      <c r="CH472" t="e">
        <v>#N/A</v>
      </c>
      <c r="CL472" t="e">
        <f t="shared" si="187"/>
        <v>#N/A</v>
      </c>
      <c r="CM472" t="e">
        <v>#N/A</v>
      </c>
      <c r="CN472" t="e" cm="1">
        <f t="array" ref="CN472">IF(ISNUMBER(CM472),AF472/COUNT(IF(ISNUMBER(_xlfn.ANCHORARRAY($CM$11)),_xlfn.ANCHORARRAY($CM$11))),NA())</f>
        <v>#N/A</v>
      </c>
      <c r="CO472" t="e">
        <f t="shared" si="188"/>
        <v>#N/A</v>
      </c>
      <c r="CQ472" t="e">
        <f t="shared" si="189"/>
        <v>#N/A</v>
      </c>
      <c r="CR472" t="e">
        <f t="shared" si="190"/>
        <v>#N/A</v>
      </c>
      <c r="CT472" t="e">
        <v>#N/A</v>
      </c>
      <c r="CU472" t="e">
        <v>#N/A</v>
      </c>
      <c r="CY472" t="e">
        <f t="shared" si="191"/>
        <v>#N/A</v>
      </c>
      <c r="CZ472" t="e">
        <v>#N/A</v>
      </c>
      <c r="DA472" t="e" cm="1">
        <f t="array" ref="DA472">IF(ISNUMBER(CZ472),AF472/COUNT(IF(ISNUMBER(_xlfn.ANCHORARRAY($CZ$11)),_xlfn.ANCHORARRAY($CZ$11))),NA())</f>
        <v>#N/A</v>
      </c>
      <c r="DB472" t="e">
        <f t="shared" si="192"/>
        <v>#N/A</v>
      </c>
      <c r="DD472" t="e">
        <f t="shared" si="193"/>
        <v>#N/A</v>
      </c>
      <c r="DE472" t="e">
        <f t="shared" si="194"/>
        <v>#N/A</v>
      </c>
      <c r="DG472" t="e">
        <v>#N/A</v>
      </c>
      <c r="DH472" t="e">
        <v>#N/A</v>
      </c>
    </row>
    <row r="473" spans="32:112">
      <c r="AF473">
        <v>463</v>
      </c>
      <c r="AG473" s="401">
        <f>'Lab test'!N466</f>
        <v>31.75</v>
      </c>
      <c r="AH473" s="401">
        <f>'Lab test'!M466</f>
        <v>0.15240000000000001</v>
      </c>
      <c r="AI473">
        <f>IF('Lab test'!O466&gt;0,'Lab test'!O466,NA())</f>
        <v>101.6</v>
      </c>
      <c r="AJ473">
        <f>'Lab test'!Q466</f>
        <v>209</v>
      </c>
      <c r="AK473" s="401">
        <f>IF('Lab test'!V466&gt;0,'Lab test'!V466,NA())</f>
        <v>68947.570000000007</v>
      </c>
      <c r="AL473" s="7">
        <f>IF(MAX('Lab test'!W466,'Lab test'!X466)&gt;0,MAX('Lab test'!W466,'Lab test'!X466),NA())</f>
        <v>262.00080000000003</v>
      </c>
      <c r="AM473" s="401">
        <f>IF('Lab test'!P466&gt;0,'Lab test'!P466,NA())</f>
        <v>0.22170250336881628</v>
      </c>
      <c r="AN473" s="401">
        <f>IF('Lab test'!AU466&gt;0,'Lab test'!AU466,NA())</f>
        <v>0.53052626848772988</v>
      </c>
      <c r="AO473" s="401">
        <f>IF('Lab test'!AT466&gt;0,'Lab test'!AT466,NA())</f>
        <v>0.69395391713991061</v>
      </c>
      <c r="AP473">
        <f t="shared" si="198"/>
        <v>1</v>
      </c>
      <c r="AQ473" s="401">
        <f>'Lab test'!AZ466</f>
        <v>1967</v>
      </c>
      <c r="AR473" t="str">
        <f>'Lab test'!AC466</f>
        <v>Miscellaneous</v>
      </c>
      <c r="AS473" t="str">
        <f>'Lab test'!T466</f>
        <v>Aluminium</v>
      </c>
      <c r="AX473" t="e">
        <f t="shared" si="180"/>
        <v>#N/A</v>
      </c>
      <c r="AY473" t="e">
        <f t="shared" si="177"/>
        <v>#N/A</v>
      </c>
      <c r="AZ473" t="e">
        <f t="shared" si="195"/>
        <v>#N/A</v>
      </c>
      <c r="BA473" t="e">
        <f t="shared" si="195"/>
        <v>#N/A</v>
      </c>
      <c r="BB473" t="e">
        <f t="shared" si="195"/>
        <v>#N/A</v>
      </c>
      <c r="BC473" t="e">
        <f t="shared" si="195"/>
        <v>#N/A</v>
      </c>
      <c r="BD473" t="e">
        <f t="shared" si="195"/>
        <v>#N/A</v>
      </c>
      <c r="BG473" t="e">
        <f t="shared" si="181"/>
        <v>#N/A</v>
      </c>
      <c r="BH473" t="e">
        <f t="shared" si="178"/>
        <v>#N/A</v>
      </c>
      <c r="BI473" t="e">
        <f t="shared" si="196"/>
        <v>#N/A</v>
      </c>
      <c r="BJ473" t="e">
        <f t="shared" si="196"/>
        <v>#N/A</v>
      </c>
      <c r="BK473" t="e">
        <f t="shared" si="196"/>
        <v>#N/A</v>
      </c>
      <c r="BL473" t="e">
        <f t="shared" si="196"/>
        <v>#N/A</v>
      </c>
      <c r="BM473" t="e">
        <f t="shared" si="196"/>
        <v>#N/A</v>
      </c>
      <c r="BP473" t="e">
        <f t="shared" si="182"/>
        <v>#N/A</v>
      </c>
      <c r="BQ473" t="e">
        <f t="shared" si="179"/>
        <v>#N/A</v>
      </c>
      <c r="BR473" t="e">
        <f t="shared" si="197"/>
        <v>#N/A</v>
      </c>
      <c r="BS473" t="e">
        <f t="shared" si="197"/>
        <v>#N/A</v>
      </c>
      <c r="BT473" t="e">
        <f t="shared" si="197"/>
        <v>#N/A</v>
      </c>
      <c r="BU473" t="e">
        <f t="shared" si="197"/>
        <v>#N/A</v>
      </c>
      <c r="BV473" t="e">
        <f t="shared" si="197"/>
        <v>#N/A</v>
      </c>
      <c r="BY473" t="e">
        <f t="shared" si="183"/>
        <v>#N/A</v>
      </c>
      <c r="BZ473" t="e">
        <v>#N/A</v>
      </c>
      <c r="CA473" t="e" cm="1">
        <f t="array" ref="CA473">IF(ISNUMBER(BZ473),AF473/COUNT(IF(ISNUMBER(_xlfn.ANCHORARRAY($BZ$11)),_xlfn.ANCHORARRAY($BZ$11))),NA())</f>
        <v>#N/A</v>
      </c>
      <c r="CB473" t="e">
        <f t="shared" si="184"/>
        <v>#N/A</v>
      </c>
      <c r="CD473" t="e">
        <f t="shared" si="185"/>
        <v>#N/A</v>
      </c>
      <c r="CE473" t="e">
        <f t="shared" si="186"/>
        <v>#N/A</v>
      </c>
      <c r="CG473" t="e">
        <v>#N/A</v>
      </c>
      <c r="CH473" t="e">
        <v>#N/A</v>
      </c>
      <c r="CL473" t="e">
        <f t="shared" si="187"/>
        <v>#N/A</v>
      </c>
      <c r="CM473" t="e">
        <v>#N/A</v>
      </c>
      <c r="CN473" t="e" cm="1">
        <f t="array" ref="CN473">IF(ISNUMBER(CM473),AF473/COUNT(IF(ISNUMBER(_xlfn.ANCHORARRAY($CM$11)),_xlfn.ANCHORARRAY($CM$11))),NA())</f>
        <v>#N/A</v>
      </c>
      <c r="CO473" t="e">
        <f t="shared" si="188"/>
        <v>#N/A</v>
      </c>
      <c r="CQ473" t="e">
        <f t="shared" si="189"/>
        <v>#N/A</v>
      </c>
      <c r="CR473" t="e">
        <f t="shared" si="190"/>
        <v>#N/A</v>
      </c>
      <c r="CT473" t="e">
        <v>#N/A</v>
      </c>
      <c r="CU473" t="e">
        <v>#N/A</v>
      </c>
      <c r="CY473" t="e">
        <f t="shared" si="191"/>
        <v>#N/A</v>
      </c>
      <c r="CZ473" t="e">
        <v>#N/A</v>
      </c>
      <c r="DA473" t="e" cm="1">
        <f t="array" ref="DA473">IF(ISNUMBER(CZ473),AF473/COUNT(IF(ISNUMBER(_xlfn.ANCHORARRAY($CZ$11)),_xlfn.ANCHORARRAY($CZ$11))),NA())</f>
        <v>#N/A</v>
      </c>
      <c r="DB473" t="e">
        <f t="shared" si="192"/>
        <v>#N/A</v>
      </c>
      <c r="DD473" t="e">
        <f t="shared" si="193"/>
        <v>#N/A</v>
      </c>
      <c r="DE473" t="e">
        <f t="shared" si="194"/>
        <v>#N/A</v>
      </c>
      <c r="DG473" t="e">
        <v>#N/A</v>
      </c>
      <c r="DH473" t="e">
        <v>#N/A</v>
      </c>
    </row>
    <row r="474" spans="32:112">
      <c r="AF474">
        <v>464</v>
      </c>
      <c r="AG474" s="401">
        <f>'Lab test'!N467</f>
        <v>75.564999999999998</v>
      </c>
      <c r="AH474" s="401">
        <f>'Lab test'!M467</f>
        <v>9.1439999999999994E-2</v>
      </c>
      <c r="AI474">
        <f>IF('Lab test'!O467&gt;0,'Lab test'!O467,NA())</f>
        <v>254</v>
      </c>
      <c r="AJ474">
        <f>'Lab test'!Q467</f>
        <v>826.38888888888891</v>
      </c>
      <c r="AK474" s="401">
        <f>IF('Lab test'!V467&gt;0,'Lab test'!V467,NA())</f>
        <v>180642.640736</v>
      </c>
      <c r="AL474" s="7">
        <f>IF(MAX('Lab test'!W467,'Lab test'!X467)&gt;0,MAX('Lab test'!W467,'Lab test'!X467),NA())</f>
        <v>999.73980560000007</v>
      </c>
      <c r="AM474" s="401">
        <f>IF('Lab test'!P467&gt;0,'Lab test'!P467,NA())</f>
        <v>0.11692861223242657</v>
      </c>
      <c r="AN474" s="401">
        <f>IF('Lab test'!AU467&gt;0,'Lab test'!AU467,NA())</f>
        <v>5.8846795262787806E-2</v>
      </c>
      <c r="AO474" s="401">
        <f>IF('Lab test'!AT467&gt;0,'Lab test'!AT467,NA())</f>
        <v>0.44468790808964898</v>
      </c>
      <c r="AP474">
        <f t="shared" si="198"/>
        <v>1</v>
      </c>
      <c r="AQ474" s="401">
        <f>'Lab test'!AZ467</f>
        <v>1964</v>
      </c>
      <c r="AR474" t="str">
        <f>'Lab test'!AC467</f>
        <v>Electroforming</v>
      </c>
      <c r="AS474" t="str">
        <f>'Lab test'!T467</f>
        <v>Nickel</v>
      </c>
      <c r="AX474" t="e">
        <f t="shared" si="180"/>
        <v>#N/A</v>
      </c>
      <c r="AY474" t="e">
        <f t="shared" si="177"/>
        <v>#N/A</v>
      </c>
      <c r="AZ474" t="e">
        <f t="shared" si="195"/>
        <v>#N/A</v>
      </c>
      <c r="BA474" t="e">
        <f t="shared" si="195"/>
        <v>#N/A</v>
      </c>
      <c r="BB474" t="e">
        <f t="shared" si="195"/>
        <v>#N/A</v>
      </c>
      <c r="BC474" t="e">
        <f t="shared" si="195"/>
        <v>#N/A</v>
      </c>
      <c r="BD474" t="e">
        <f t="shared" si="195"/>
        <v>#N/A</v>
      </c>
      <c r="BG474" t="e">
        <f t="shared" si="181"/>
        <v>#N/A</v>
      </c>
      <c r="BH474" t="e">
        <f t="shared" si="178"/>
        <v>#N/A</v>
      </c>
      <c r="BI474" t="e">
        <f t="shared" si="196"/>
        <v>#N/A</v>
      </c>
      <c r="BJ474" t="e">
        <f t="shared" si="196"/>
        <v>#N/A</v>
      </c>
      <c r="BK474" t="e">
        <f t="shared" si="196"/>
        <v>#N/A</v>
      </c>
      <c r="BL474" t="e">
        <f t="shared" si="196"/>
        <v>#N/A</v>
      </c>
      <c r="BM474" t="e">
        <f t="shared" si="196"/>
        <v>#N/A</v>
      </c>
      <c r="BP474" t="e">
        <f t="shared" si="182"/>
        <v>#N/A</v>
      </c>
      <c r="BQ474" t="e">
        <f t="shared" si="179"/>
        <v>#N/A</v>
      </c>
      <c r="BR474" t="e">
        <f t="shared" si="197"/>
        <v>#N/A</v>
      </c>
      <c r="BS474" t="e">
        <f t="shared" si="197"/>
        <v>#N/A</v>
      </c>
      <c r="BT474" t="e">
        <f t="shared" si="197"/>
        <v>#N/A</v>
      </c>
      <c r="BU474" t="e">
        <f t="shared" si="197"/>
        <v>#N/A</v>
      </c>
      <c r="BV474" t="e">
        <f t="shared" si="197"/>
        <v>#N/A</v>
      </c>
      <c r="BY474" t="e">
        <f t="shared" si="183"/>
        <v>#N/A</v>
      </c>
      <c r="BZ474" t="e">
        <v>#N/A</v>
      </c>
      <c r="CA474" t="e" cm="1">
        <f t="array" ref="CA474">IF(ISNUMBER(BZ474),AF474/COUNT(IF(ISNUMBER(_xlfn.ANCHORARRAY($BZ$11)),_xlfn.ANCHORARRAY($BZ$11))),NA())</f>
        <v>#N/A</v>
      </c>
      <c r="CB474" t="e">
        <f t="shared" si="184"/>
        <v>#N/A</v>
      </c>
      <c r="CD474" t="e">
        <f t="shared" si="185"/>
        <v>#N/A</v>
      </c>
      <c r="CE474" t="e">
        <f t="shared" si="186"/>
        <v>#N/A</v>
      </c>
      <c r="CG474" t="e">
        <v>#N/A</v>
      </c>
      <c r="CH474" t="e">
        <v>#N/A</v>
      </c>
      <c r="CL474" t="e">
        <f t="shared" si="187"/>
        <v>#N/A</v>
      </c>
      <c r="CM474" t="e">
        <v>#N/A</v>
      </c>
      <c r="CN474" t="e" cm="1">
        <f t="array" ref="CN474">IF(ISNUMBER(CM474),AF474/COUNT(IF(ISNUMBER(_xlfn.ANCHORARRAY($CM$11)),_xlfn.ANCHORARRAY($CM$11))),NA())</f>
        <v>#N/A</v>
      </c>
      <c r="CO474" t="e">
        <f t="shared" si="188"/>
        <v>#N/A</v>
      </c>
      <c r="CQ474" t="e">
        <f t="shared" si="189"/>
        <v>#N/A</v>
      </c>
      <c r="CR474" t="e">
        <f t="shared" si="190"/>
        <v>#N/A</v>
      </c>
      <c r="CT474" t="e">
        <v>#N/A</v>
      </c>
      <c r="CU474" t="e">
        <v>#N/A</v>
      </c>
      <c r="CY474" t="e">
        <f t="shared" si="191"/>
        <v>#N/A</v>
      </c>
      <c r="CZ474" t="e">
        <v>#N/A</v>
      </c>
      <c r="DA474" t="e" cm="1">
        <f t="array" ref="DA474">IF(ISNUMBER(CZ474),AF474/COUNT(IF(ISNUMBER(_xlfn.ANCHORARRAY($CZ$11)),_xlfn.ANCHORARRAY($CZ$11))),NA())</f>
        <v>#N/A</v>
      </c>
      <c r="DB474" t="e">
        <f t="shared" si="192"/>
        <v>#N/A</v>
      </c>
      <c r="DD474" t="e">
        <f t="shared" si="193"/>
        <v>#N/A</v>
      </c>
      <c r="DE474" t="e">
        <f t="shared" si="194"/>
        <v>#N/A</v>
      </c>
      <c r="DG474" t="e">
        <v>#N/A</v>
      </c>
      <c r="DH474" t="e">
        <v>#N/A</v>
      </c>
    </row>
    <row r="475" spans="32:112">
      <c r="AF475">
        <v>465</v>
      </c>
      <c r="AG475" s="401">
        <f>'Lab test'!N468</f>
        <v>75.564999999999998</v>
      </c>
      <c r="AH475" s="401">
        <f>'Lab test'!M468</f>
        <v>9.3979999999999994E-2</v>
      </c>
      <c r="AI475">
        <f>IF('Lab test'!O468&gt;0,'Lab test'!O468,NA())</f>
        <v>254</v>
      </c>
      <c r="AJ475">
        <f>'Lab test'!Q468</f>
        <v>804.05405405405406</v>
      </c>
      <c r="AK475" s="401">
        <f>IF('Lab test'!V468&gt;0,'Lab test'!V468,NA())</f>
        <v>179263.68927999999</v>
      </c>
      <c r="AL475" s="7">
        <f>IF(MAX('Lab test'!W468,'Lab test'!X468)&gt;0,MAX('Lab test'!W468,'Lab test'!X468),NA())</f>
        <v>999.73980560000007</v>
      </c>
      <c r="AM475" s="401">
        <f>IF('Lab test'!P468&gt;0,'Lab test'!P468,NA())</f>
        <v>0.1185414968678624</v>
      </c>
      <c r="AN475" s="401">
        <f>IF('Lab test'!AU468&gt;0,'Lab test'!AU468,NA())</f>
        <v>0.10403896169729526</v>
      </c>
      <c r="AO475" s="401">
        <f>IF('Lab test'!AT468&gt;0,'Lab test'!AT468,NA())</f>
        <v>0.77082755851496021</v>
      </c>
      <c r="AP475">
        <f t="shared" si="198"/>
        <v>1</v>
      </c>
      <c r="AQ475" s="401">
        <f>'Lab test'!AZ468</f>
        <v>1964</v>
      </c>
      <c r="AR475" t="str">
        <f>'Lab test'!AC468</f>
        <v>Electroforming</v>
      </c>
      <c r="AS475" t="str">
        <f>'Lab test'!T468</f>
        <v>Nickel</v>
      </c>
      <c r="AX475" t="e">
        <f t="shared" si="180"/>
        <v>#N/A</v>
      </c>
      <c r="AY475" t="e">
        <f t="shared" si="177"/>
        <v>#N/A</v>
      </c>
      <c r="AZ475" t="e">
        <f t="shared" si="195"/>
        <v>#N/A</v>
      </c>
      <c r="BA475" t="e">
        <f t="shared" si="195"/>
        <v>#N/A</v>
      </c>
      <c r="BB475" t="e">
        <f t="shared" si="195"/>
        <v>#N/A</v>
      </c>
      <c r="BC475" t="e">
        <f t="shared" si="195"/>
        <v>#N/A</v>
      </c>
      <c r="BD475" t="e">
        <f t="shared" si="195"/>
        <v>#N/A</v>
      </c>
      <c r="BG475" t="e">
        <f t="shared" si="181"/>
        <v>#N/A</v>
      </c>
      <c r="BH475" t="e">
        <f t="shared" si="178"/>
        <v>#N/A</v>
      </c>
      <c r="BI475" t="e">
        <f t="shared" si="196"/>
        <v>#N/A</v>
      </c>
      <c r="BJ475" t="e">
        <f t="shared" si="196"/>
        <v>#N/A</v>
      </c>
      <c r="BK475" t="e">
        <f t="shared" si="196"/>
        <v>#N/A</v>
      </c>
      <c r="BL475" t="e">
        <f t="shared" si="196"/>
        <v>#N/A</v>
      </c>
      <c r="BM475" t="e">
        <f t="shared" si="196"/>
        <v>#N/A</v>
      </c>
      <c r="BP475" t="e">
        <f t="shared" si="182"/>
        <v>#N/A</v>
      </c>
      <c r="BQ475" t="e">
        <f t="shared" si="179"/>
        <v>#N/A</v>
      </c>
      <c r="BR475" t="e">
        <f t="shared" si="197"/>
        <v>#N/A</v>
      </c>
      <c r="BS475" t="e">
        <f t="shared" si="197"/>
        <v>#N/A</v>
      </c>
      <c r="BT475" t="e">
        <f t="shared" si="197"/>
        <v>#N/A</v>
      </c>
      <c r="BU475" t="e">
        <f t="shared" si="197"/>
        <v>#N/A</v>
      </c>
      <c r="BV475" t="e">
        <f t="shared" si="197"/>
        <v>#N/A</v>
      </c>
      <c r="BY475" t="e">
        <f t="shared" si="183"/>
        <v>#N/A</v>
      </c>
      <c r="BZ475" t="e">
        <v>#N/A</v>
      </c>
      <c r="CA475" t="e" cm="1">
        <f t="array" ref="CA475">IF(ISNUMBER(BZ475),AF475/COUNT(IF(ISNUMBER(_xlfn.ANCHORARRAY($BZ$11)),_xlfn.ANCHORARRAY($BZ$11))),NA())</f>
        <v>#N/A</v>
      </c>
      <c r="CB475" t="e">
        <f t="shared" si="184"/>
        <v>#N/A</v>
      </c>
      <c r="CD475" t="e">
        <f t="shared" si="185"/>
        <v>#N/A</v>
      </c>
      <c r="CE475" t="e">
        <f t="shared" si="186"/>
        <v>#N/A</v>
      </c>
      <c r="CG475" t="e">
        <v>#N/A</v>
      </c>
      <c r="CH475" t="e">
        <v>#N/A</v>
      </c>
      <c r="CL475" t="e">
        <f t="shared" si="187"/>
        <v>#N/A</v>
      </c>
      <c r="CM475" t="e">
        <v>#N/A</v>
      </c>
      <c r="CN475" t="e" cm="1">
        <f t="array" ref="CN475">IF(ISNUMBER(CM475),AF475/COUNT(IF(ISNUMBER(_xlfn.ANCHORARRAY($CM$11)),_xlfn.ANCHORARRAY($CM$11))),NA())</f>
        <v>#N/A</v>
      </c>
      <c r="CO475" t="e">
        <f t="shared" si="188"/>
        <v>#N/A</v>
      </c>
      <c r="CQ475" t="e">
        <f t="shared" si="189"/>
        <v>#N/A</v>
      </c>
      <c r="CR475" t="e">
        <f t="shared" si="190"/>
        <v>#N/A</v>
      </c>
      <c r="CT475" t="e">
        <v>#N/A</v>
      </c>
      <c r="CU475" t="e">
        <v>#N/A</v>
      </c>
      <c r="CY475" t="e">
        <f t="shared" si="191"/>
        <v>#N/A</v>
      </c>
      <c r="CZ475" t="e">
        <v>#N/A</v>
      </c>
      <c r="DA475" t="e" cm="1">
        <f t="array" ref="DA475">IF(ISNUMBER(CZ475),AF475/COUNT(IF(ISNUMBER(_xlfn.ANCHORARRAY($CZ$11)),_xlfn.ANCHORARRAY($CZ$11))),NA())</f>
        <v>#N/A</v>
      </c>
      <c r="DB475" t="e">
        <f t="shared" si="192"/>
        <v>#N/A</v>
      </c>
      <c r="DD475" t="e">
        <f t="shared" si="193"/>
        <v>#N/A</v>
      </c>
      <c r="DE475" t="e">
        <f t="shared" si="194"/>
        <v>#N/A</v>
      </c>
      <c r="DG475" t="e">
        <v>#N/A</v>
      </c>
      <c r="DH475" t="e">
        <v>#N/A</v>
      </c>
    </row>
    <row r="476" spans="32:112">
      <c r="AF476">
        <v>466</v>
      </c>
      <c r="AG476" s="401">
        <f>'Lab test'!N469</f>
        <v>75.564999999999998</v>
      </c>
      <c r="AH476" s="401">
        <f>'Lab test'!M469</f>
        <v>8.763E-2</v>
      </c>
      <c r="AI476">
        <f>IF('Lab test'!O469&gt;0,'Lab test'!O469,NA())</f>
        <v>254</v>
      </c>
      <c r="AJ476">
        <f>'Lab test'!Q469</f>
        <v>862.31884057971013</v>
      </c>
      <c r="AK476" s="401">
        <f>IF('Lab test'!V469&gt;0,'Lab test'!V469,NA())</f>
        <v>193742.67956800002</v>
      </c>
      <c r="AL476" s="7">
        <f>IF(MAX('Lab test'!W469,'Lab test'!X469)&gt;0,MAX('Lab test'!W469,'Lab test'!X469),NA())</f>
        <v>999.73980560000007</v>
      </c>
      <c r="AM476" s="401">
        <f>IF('Lab test'!P469&gt;0,'Lab test'!P469,NA())</f>
        <v>0.11446668151472199</v>
      </c>
      <c r="AN476" s="401">
        <f>IF('Lab test'!AU469&gt;0,'Lab test'!AU469,NA())</f>
        <v>5.7982056717038606E-2</v>
      </c>
      <c r="AO476" s="401">
        <f>IF('Lab test'!AT469&gt;0,'Lab test'!AT469,NA())</f>
        <v>0.42628936420237257</v>
      </c>
      <c r="AP476">
        <f t="shared" si="198"/>
        <v>1</v>
      </c>
      <c r="AQ476" s="401">
        <f>'Lab test'!AZ469</f>
        <v>1964</v>
      </c>
      <c r="AR476" t="str">
        <f>'Lab test'!AC469</f>
        <v>Electroforming</v>
      </c>
      <c r="AS476" t="str">
        <f>'Lab test'!T469</f>
        <v>Nickel</v>
      </c>
      <c r="AX476" t="e">
        <f t="shared" si="180"/>
        <v>#N/A</v>
      </c>
      <c r="AY476" t="e">
        <f t="shared" si="177"/>
        <v>#N/A</v>
      </c>
      <c r="AZ476" t="e">
        <f t="shared" si="195"/>
        <v>#N/A</v>
      </c>
      <c r="BA476" t="e">
        <f t="shared" si="195"/>
        <v>#N/A</v>
      </c>
      <c r="BB476" t="e">
        <f t="shared" si="195"/>
        <v>#N/A</v>
      </c>
      <c r="BC476" t="e">
        <f t="shared" si="195"/>
        <v>#N/A</v>
      </c>
      <c r="BD476" t="e">
        <f t="shared" si="195"/>
        <v>#N/A</v>
      </c>
      <c r="BG476" t="e">
        <f t="shared" si="181"/>
        <v>#N/A</v>
      </c>
      <c r="BH476" t="e">
        <f t="shared" si="178"/>
        <v>#N/A</v>
      </c>
      <c r="BI476" t="e">
        <f t="shared" si="196"/>
        <v>#N/A</v>
      </c>
      <c r="BJ476" t="e">
        <f t="shared" si="196"/>
        <v>#N/A</v>
      </c>
      <c r="BK476" t="e">
        <f t="shared" si="196"/>
        <v>#N/A</v>
      </c>
      <c r="BL476" t="e">
        <f t="shared" si="196"/>
        <v>#N/A</v>
      </c>
      <c r="BM476" t="e">
        <f t="shared" si="196"/>
        <v>#N/A</v>
      </c>
      <c r="BP476" t="e">
        <f t="shared" si="182"/>
        <v>#N/A</v>
      </c>
      <c r="BQ476" t="e">
        <f t="shared" si="179"/>
        <v>#N/A</v>
      </c>
      <c r="BR476" t="e">
        <f t="shared" si="197"/>
        <v>#N/A</v>
      </c>
      <c r="BS476" t="e">
        <f t="shared" si="197"/>
        <v>#N/A</v>
      </c>
      <c r="BT476" t="e">
        <f t="shared" si="197"/>
        <v>#N/A</v>
      </c>
      <c r="BU476" t="e">
        <f t="shared" si="197"/>
        <v>#N/A</v>
      </c>
      <c r="BV476" t="e">
        <f t="shared" si="197"/>
        <v>#N/A</v>
      </c>
      <c r="BY476" t="e">
        <f t="shared" si="183"/>
        <v>#N/A</v>
      </c>
      <c r="BZ476" t="e">
        <v>#N/A</v>
      </c>
      <c r="CA476" t="e" cm="1">
        <f t="array" ref="CA476">IF(ISNUMBER(BZ476),AF476/COUNT(IF(ISNUMBER(_xlfn.ANCHORARRAY($BZ$11)),_xlfn.ANCHORARRAY($BZ$11))),NA())</f>
        <v>#N/A</v>
      </c>
      <c r="CB476" t="e">
        <f t="shared" si="184"/>
        <v>#N/A</v>
      </c>
      <c r="CD476" t="e">
        <f t="shared" si="185"/>
        <v>#N/A</v>
      </c>
      <c r="CE476" t="e">
        <f t="shared" si="186"/>
        <v>#N/A</v>
      </c>
      <c r="CG476" t="e">
        <v>#N/A</v>
      </c>
      <c r="CH476" t="e">
        <v>#N/A</v>
      </c>
      <c r="CL476" t="e">
        <f t="shared" si="187"/>
        <v>#N/A</v>
      </c>
      <c r="CM476" t="e">
        <v>#N/A</v>
      </c>
      <c r="CN476" t="e" cm="1">
        <f t="array" ref="CN476">IF(ISNUMBER(CM476),AF476/COUNT(IF(ISNUMBER(_xlfn.ANCHORARRAY($CM$11)),_xlfn.ANCHORARRAY($CM$11))),NA())</f>
        <v>#N/A</v>
      </c>
      <c r="CO476" t="e">
        <f t="shared" si="188"/>
        <v>#N/A</v>
      </c>
      <c r="CQ476" t="e">
        <f t="shared" si="189"/>
        <v>#N/A</v>
      </c>
      <c r="CR476" t="e">
        <f t="shared" si="190"/>
        <v>#N/A</v>
      </c>
      <c r="CT476" t="e">
        <v>#N/A</v>
      </c>
      <c r="CU476" t="e">
        <v>#N/A</v>
      </c>
      <c r="CY476" t="e">
        <f t="shared" si="191"/>
        <v>#N/A</v>
      </c>
      <c r="CZ476" t="e">
        <v>#N/A</v>
      </c>
      <c r="DA476" t="e" cm="1">
        <f t="array" ref="DA476">IF(ISNUMBER(CZ476),AF476/COUNT(IF(ISNUMBER(_xlfn.ANCHORARRAY($CZ$11)),_xlfn.ANCHORARRAY($CZ$11))),NA())</f>
        <v>#N/A</v>
      </c>
      <c r="DB476" t="e">
        <f t="shared" si="192"/>
        <v>#N/A</v>
      </c>
      <c r="DD476" t="e">
        <f t="shared" si="193"/>
        <v>#N/A</v>
      </c>
      <c r="DE476" t="e">
        <f t="shared" si="194"/>
        <v>#N/A</v>
      </c>
      <c r="DG476" t="e">
        <v>#N/A</v>
      </c>
      <c r="DH476" t="e">
        <v>#N/A</v>
      </c>
    </row>
    <row r="477" spans="32:112">
      <c r="AF477">
        <v>467</v>
      </c>
      <c r="AG477" s="401">
        <f>'Lab test'!N470</f>
        <v>75.564999999999998</v>
      </c>
      <c r="AH477" s="401">
        <f>'Lab test'!M470</f>
        <v>8.8899999999999993E-2</v>
      </c>
      <c r="AI477">
        <f>IF('Lab test'!O470&gt;0,'Lab test'!O470,NA())</f>
        <v>254</v>
      </c>
      <c r="AJ477">
        <f>'Lab test'!Q470</f>
        <v>850</v>
      </c>
      <c r="AK477" s="401">
        <f>IF('Lab test'!V470&gt;0,'Lab test'!V470,NA())</f>
        <v>184779.49510400003</v>
      </c>
      <c r="AL477" s="7">
        <f>IF(MAX('Lab test'!W470,'Lab test'!X470)&gt;0,MAX('Lab test'!W470,'Lab test'!X470),NA())</f>
        <v>999.73980560000007</v>
      </c>
      <c r="AM477" s="401">
        <f>IF('Lab test'!P470&gt;0,'Lab test'!P470,NA())</f>
        <v>0.11529316648235888</v>
      </c>
      <c r="AN477" s="401">
        <f>IF('Lab test'!AU470&gt;0,'Lab test'!AU470,NA())</f>
        <v>5.7364641036656873E-2</v>
      </c>
      <c r="AO477" s="401">
        <f>IF('Lab test'!AT470&gt;0,'Lab test'!AT470,NA())</f>
        <v>0.4358908350631388</v>
      </c>
      <c r="AP477">
        <f t="shared" si="198"/>
        <v>1</v>
      </c>
      <c r="AQ477" s="401">
        <f>'Lab test'!AZ470</f>
        <v>1964</v>
      </c>
      <c r="AR477" t="str">
        <f>'Lab test'!AC470</f>
        <v>Electroforming</v>
      </c>
      <c r="AS477" t="str">
        <f>'Lab test'!T470</f>
        <v>Nickel</v>
      </c>
      <c r="AX477" t="e">
        <f t="shared" si="180"/>
        <v>#N/A</v>
      </c>
      <c r="AY477" t="e">
        <f t="shared" si="177"/>
        <v>#N/A</v>
      </c>
      <c r="AZ477" t="e">
        <f t="shared" si="195"/>
        <v>#N/A</v>
      </c>
      <c r="BA477" t="e">
        <f t="shared" si="195"/>
        <v>#N/A</v>
      </c>
      <c r="BB477" t="e">
        <f t="shared" si="195"/>
        <v>#N/A</v>
      </c>
      <c r="BC477" t="e">
        <f t="shared" si="195"/>
        <v>#N/A</v>
      </c>
      <c r="BD477" t="e">
        <f t="shared" si="195"/>
        <v>#N/A</v>
      </c>
      <c r="BG477" t="e">
        <f t="shared" si="181"/>
        <v>#N/A</v>
      </c>
      <c r="BH477" t="e">
        <f t="shared" si="178"/>
        <v>#N/A</v>
      </c>
      <c r="BI477" t="e">
        <f t="shared" si="196"/>
        <v>#N/A</v>
      </c>
      <c r="BJ477" t="e">
        <f t="shared" si="196"/>
        <v>#N/A</v>
      </c>
      <c r="BK477" t="e">
        <f t="shared" si="196"/>
        <v>#N/A</v>
      </c>
      <c r="BL477" t="e">
        <f t="shared" si="196"/>
        <v>#N/A</v>
      </c>
      <c r="BM477" t="e">
        <f t="shared" si="196"/>
        <v>#N/A</v>
      </c>
      <c r="BP477" t="e">
        <f t="shared" si="182"/>
        <v>#N/A</v>
      </c>
      <c r="BQ477" t="e">
        <f t="shared" si="179"/>
        <v>#N/A</v>
      </c>
      <c r="BR477" t="e">
        <f t="shared" si="197"/>
        <v>#N/A</v>
      </c>
      <c r="BS477" t="e">
        <f t="shared" si="197"/>
        <v>#N/A</v>
      </c>
      <c r="BT477" t="e">
        <f t="shared" si="197"/>
        <v>#N/A</v>
      </c>
      <c r="BU477" t="e">
        <f t="shared" si="197"/>
        <v>#N/A</v>
      </c>
      <c r="BV477" t="e">
        <f t="shared" si="197"/>
        <v>#N/A</v>
      </c>
      <c r="BY477" t="e">
        <f t="shared" si="183"/>
        <v>#N/A</v>
      </c>
      <c r="BZ477" t="e">
        <v>#N/A</v>
      </c>
      <c r="CA477" t="e" cm="1">
        <f t="array" ref="CA477">IF(ISNUMBER(BZ477),AF477/COUNT(IF(ISNUMBER(_xlfn.ANCHORARRAY($BZ$11)),_xlfn.ANCHORARRAY($BZ$11))),NA())</f>
        <v>#N/A</v>
      </c>
      <c r="CB477" t="e">
        <f t="shared" si="184"/>
        <v>#N/A</v>
      </c>
      <c r="CD477" t="e">
        <f t="shared" si="185"/>
        <v>#N/A</v>
      </c>
      <c r="CE477" t="e">
        <f t="shared" si="186"/>
        <v>#N/A</v>
      </c>
      <c r="CG477" t="e">
        <v>#N/A</v>
      </c>
      <c r="CH477" t="e">
        <v>#N/A</v>
      </c>
      <c r="CL477" t="e">
        <f t="shared" si="187"/>
        <v>#N/A</v>
      </c>
      <c r="CM477" t="e">
        <v>#N/A</v>
      </c>
      <c r="CN477" t="e" cm="1">
        <f t="array" ref="CN477">IF(ISNUMBER(CM477),AF477/COUNT(IF(ISNUMBER(_xlfn.ANCHORARRAY($CM$11)),_xlfn.ANCHORARRAY($CM$11))),NA())</f>
        <v>#N/A</v>
      </c>
      <c r="CO477" t="e">
        <f t="shared" si="188"/>
        <v>#N/A</v>
      </c>
      <c r="CQ477" t="e">
        <f t="shared" si="189"/>
        <v>#N/A</v>
      </c>
      <c r="CR477" t="e">
        <f t="shared" si="190"/>
        <v>#N/A</v>
      </c>
      <c r="CT477" t="e">
        <v>#N/A</v>
      </c>
      <c r="CU477" t="e">
        <v>#N/A</v>
      </c>
      <c r="CY477" t="e">
        <f t="shared" si="191"/>
        <v>#N/A</v>
      </c>
      <c r="CZ477" t="e">
        <v>#N/A</v>
      </c>
      <c r="DA477" t="e" cm="1">
        <f t="array" ref="DA477">IF(ISNUMBER(CZ477),AF477/COUNT(IF(ISNUMBER(_xlfn.ANCHORARRAY($CZ$11)),_xlfn.ANCHORARRAY($CZ$11))),NA())</f>
        <v>#N/A</v>
      </c>
      <c r="DB477" t="e">
        <f t="shared" si="192"/>
        <v>#N/A</v>
      </c>
      <c r="DD477" t="e">
        <f t="shared" si="193"/>
        <v>#N/A</v>
      </c>
      <c r="DE477" t="e">
        <f t="shared" si="194"/>
        <v>#N/A</v>
      </c>
      <c r="DG477" t="e">
        <v>#N/A</v>
      </c>
      <c r="DH477" t="e">
        <v>#N/A</v>
      </c>
    </row>
    <row r="478" spans="32:112">
      <c r="AF478">
        <v>468</v>
      </c>
      <c r="AG478" s="401">
        <f>'Lab test'!N471</f>
        <v>75.564999999999998</v>
      </c>
      <c r="AH478" s="401">
        <f>'Lab test'!M471</f>
        <v>8.2549999999999998E-2</v>
      </c>
      <c r="AI478">
        <f>IF('Lab test'!O471&gt;0,'Lab test'!O471,NA())</f>
        <v>254</v>
      </c>
      <c r="AJ478">
        <f>'Lab test'!Q471</f>
        <v>915.38461538461536</v>
      </c>
      <c r="AK478" s="401">
        <f>IF('Lab test'!V471&gt;0,'Lab test'!V471,NA())</f>
        <v>176505.78636800003</v>
      </c>
      <c r="AL478" s="7">
        <f>IF(MAX('Lab test'!W471,'Lab test'!X471)&gt;0,MAX('Lab test'!W471,'Lab test'!X471),NA())</f>
        <v>999.73980560000007</v>
      </c>
      <c r="AM478" s="401">
        <f>IF('Lab test'!P471&gt;0,'Lab test'!P471,NA())</f>
        <v>0.11109927513196603</v>
      </c>
      <c r="AN478" s="401">
        <f>IF('Lab test'!AU471&gt;0,'Lab test'!AU471,NA())</f>
        <v>7.9947101535250295E-2</v>
      </c>
      <c r="AO478" s="401">
        <f>IF('Lab test'!AT471&gt;0,'Lab test'!AT471,NA())</f>
        <v>0.68488190596219656</v>
      </c>
      <c r="AP478">
        <f t="shared" si="198"/>
        <v>1</v>
      </c>
      <c r="AQ478" s="401">
        <f>'Lab test'!AZ471</f>
        <v>1964</v>
      </c>
      <c r="AR478" t="str">
        <f>'Lab test'!AC471</f>
        <v>Electroforming</v>
      </c>
      <c r="AS478" t="str">
        <f>'Lab test'!T471</f>
        <v>Nickel</v>
      </c>
      <c r="AX478" t="e">
        <f t="shared" si="180"/>
        <v>#N/A</v>
      </c>
      <c r="AY478" t="e">
        <f t="shared" si="177"/>
        <v>#N/A</v>
      </c>
      <c r="AZ478" t="e">
        <f t="shared" si="195"/>
        <v>#N/A</v>
      </c>
      <c r="BA478" t="e">
        <f t="shared" si="195"/>
        <v>#N/A</v>
      </c>
      <c r="BB478" t="e">
        <f t="shared" si="195"/>
        <v>#N/A</v>
      </c>
      <c r="BC478" t="e">
        <f t="shared" si="195"/>
        <v>#N/A</v>
      </c>
      <c r="BD478" t="e">
        <f t="shared" si="195"/>
        <v>#N/A</v>
      </c>
      <c r="BG478" t="e">
        <f t="shared" si="181"/>
        <v>#N/A</v>
      </c>
      <c r="BH478" t="e">
        <f t="shared" si="178"/>
        <v>#N/A</v>
      </c>
      <c r="BI478" t="e">
        <f t="shared" si="196"/>
        <v>#N/A</v>
      </c>
      <c r="BJ478" t="e">
        <f t="shared" si="196"/>
        <v>#N/A</v>
      </c>
      <c r="BK478" t="e">
        <f t="shared" si="196"/>
        <v>#N/A</v>
      </c>
      <c r="BL478" t="e">
        <f t="shared" si="196"/>
        <v>#N/A</v>
      </c>
      <c r="BM478" t="e">
        <f t="shared" si="196"/>
        <v>#N/A</v>
      </c>
      <c r="BP478" t="e">
        <f t="shared" si="182"/>
        <v>#N/A</v>
      </c>
      <c r="BQ478" t="e">
        <f t="shared" si="179"/>
        <v>#N/A</v>
      </c>
      <c r="BR478" t="e">
        <f t="shared" si="197"/>
        <v>#N/A</v>
      </c>
      <c r="BS478" t="e">
        <f t="shared" si="197"/>
        <v>#N/A</v>
      </c>
      <c r="BT478" t="e">
        <f t="shared" si="197"/>
        <v>#N/A</v>
      </c>
      <c r="BU478" t="e">
        <f t="shared" si="197"/>
        <v>#N/A</v>
      </c>
      <c r="BV478" t="e">
        <f t="shared" si="197"/>
        <v>#N/A</v>
      </c>
      <c r="BY478" t="e">
        <f t="shared" si="183"/>
        <v>#N/A</v>
      </c>
      <c r="BZ478" t="e">
        <v>#N/A</v>
      </c>
      <c r="CA478" t="e" cm="1">
        <f t="array" ref="CA478">IF(ISNUMBER(BZ478),AF478/COUNT(IF(ISNUMBER(_xlfn.ANCHORARRAY($BZ$11)),_xlfn.ANCHORARRAY($BZ$11))),NA())</f>
        <v>#N/A</v>
      </c>
      <c r="CB478" t="e">
        <f t="shared" si="184"/>
        <v>#N/A</v>
      </c>
      <c r="CD478" t="e">
        <f t="shared" si="185"/>
        <v>#N/A</v>
      </c>
      <c r="CE478" t="e">
        <f t="shared" si="186"/>
        <v>#N/A</v>
      </c>
      <c r="CG478" t="e">
        <v>#N/A</v>
      </c>
      <c r="CH478" t="e">
        <v>#N/A</v>
      </c>
      <c r="CL478" t="e">
        <f t="shared" si="187"/>
        <v>#N/A</v>
      </c>
      <c r="CM478" t="e">
        <v>#N/A</v>
      </c>
      <c r="CN478" t="e" cm="1">
        <f t="array" ref="CN478">IF(ISNUMBER(CM478),AF478/COUNT(IF(ISNUMBER(_xlfn.ANCHORARRAY($CM$11)),_xlfn.ANCHORARRAY($CM$11))),NA())</f>
        <v>#N/A</v>
      </c>
      <c r="CO478" t="e">
        <f t="shared" si="188"/>
        <v>#N/A</v>
      </c>
      <c r="CQ478" t="e">
        <f t="shared" si="189"/>
        <v>#N/A</v>
      </c>
      <c r="CR478" t="e">
        <f t="shared" si="190"/>
        <v>#N/A</v>
      </c>
      <c r="CT478" t="e">
        <v>#N/A</v>
      </c>
      <c r="CU478" t="e">
        <v>#N/A</v>
      </c>
      <c r="CY478" t="e">
        <f t="shared" si="191"/>
        <v>#N/A</v>
      </c>
      <c r="CZ478" t="e">
        <v>#N/A</v>
      </c>
      <c r="DA478" t="e" cm="1">
        <f t="array" ref="DA478">IF(ISNUMBER(CZ478),AF478/COUNT(IF(ISNUMBER(_xlfn.ANCHORARRAY($CZ$11)),_xlfn.ANCHORARRAY($CZ$11))),NA())</f>
        <v>#N/A</v>
      </c>
      <c r="DB478" t="e">
        <f t="shared" si="192"/>
        <v>#N/A</v>
      </c>
      <c r="DD478" t="e">
        <f t="shared" si="193"/>
        <v>#N/A</v>
      </c>
      <c r="DE478" t="e">
        <f t="shared" si="194"/>
        <v>#N/A</v>
      </c>
      <c r="DG478" t="e">
        <v>#N/A</v>
      </c>
      <c r="DH478" t="e">
        <v>#N/A</v>
      </c>
    </row>
    <row r="479" spans="32:112">
      <c r="AF479">
        <v>469</v>
      </c>
      <c r="AG479" s="401">
        <f>'Lab test'!N472</f>
        <v>75.564999999999998</v>
      </c>
      <c r="AH479" s="401">
        <f>'Lab test'!M472</f>
        <v>9.6519999999999995E-2</v>
      </c>
      <c r="AI479">
        <f>IF('Lab test'!O472&gt;0,'Lab test'!O472,NA())</f>
        <v>254</v>
      </c>
      <c r="AJ479">
        <f>'Lab test'!Q472</f>
        <v>782.89473684210532</v>
      </c>
      <c r="AK479" s="401">
        <f>IF('Lab test'!V472&gt;0,'Lab test'!V472,NA())</f>
        <v>189605.82519999999</v>
      </c>
      <c r="AL479" s="7">
        <f>IF(MAX('Lab test'!W472,'Lab test'!X472)&gt;0,MAX('Lab test'!W472,'Lab test'!X472),NA())</f>
        <v>999.73980560000007</v>
      </c>
      <c r="AM479" s="401">
        <f>IF('Lab test'!P472&gt;0,'Lab test'!P472,NA())</f>
        <v>0.12013272909888331</v>
      </c>
      <c r="AN479" s="401">
        <f>IF('Lab test'!AU472&gt;0,'Lab test'!AU472,NA())</f>
        <v>8.6441010463035081E-2</v>
      </c>
      <c r="AO479" s="401">
        <f>IF('Lab test'!AT472&gt;0,'Lab test'!AT472,NA())</f>
        <v>0.58957605981876582</v>
      </c>
      <c r="AP479">
        <f t="shared" si="198"/>
        <v>1</v>
      </c>
      <c r="AQ479" s="401">
        <f>'Lab test'!AZ472</f>
        <v>1964</v>
      </c>
      <c r="AR479" t="str">
        <f>'Lab test'!AC472</f>
        <v>Electroforming</v>
      </c>
      <c r="AS479" t="str">
        <f>'Lab test'!T472</f>
        <v>Nickel</v>
      </c>
      <c r="AX479" t="e">
        <f t="shared" si="180"/>
        <v>#N/A</v>
      </c>
      <c r="AY479" t="e">
        <f t="shared" si="177"/>
        <v>#N/A</v>
      </c>
      <c r="AZ479" t="e">
        <f t="shared" si="195"/>
        <v>#N/A</v>
      </c>
      <c r="BA479" t="e">
        <f t="shared" si="195"/>
        <v>#N/A</v>
      </c>
      <c r="BB479" t="e">
        <f t="shared" si="195"/>
        <v>#N/A</v>
      </c>
      <c r="BC479" t="e">
        <f t="shared" si="195"/>
        <v>#N/A</v>
      </c>
      <c r="BD479" t="e">
        <f t="shared" si="195"/>
        <v>#N/A</v>
      </c>
      <c r="BG479" t="e">
        <f t="shared" si="181"/>
        <v>#N/A</v>
      </c>
      <c r="BH479" t="e">
        <f t="shared" si="178"/>
        <v>#N/A</v>
      </c>
      <c r="BI479" t="e">
        <f t="shared" si="196"/>
        <v>#N/A</v>
      </c>
      <c r="BJ479" t="e">
        <f t="shared" si="196"/>
        <v>#N/A</v>
      </c>
      <c r="BK479" t="e">
        <f t="shared" si="196"/>
        <v>#N/A</v>
      </c>
      <c r="BL479" t="e">
        <f t="shared" si="196"/>
        <v>#N/A</v>
      </c>
      <c r="BM479" t="e">
        <f t="shared" si="196"/>
        <v>#N/A</v>
      </c>
      <c r="BP479" t="e">
        <f t="shared" si="182"/>
        <v>#N/A</v>
      </c>
      <c r="BQ479" t="e">
        <f t="shared" si="179"/>
        <v>#N/A</v>
      </c>
      <c r="BR479" t="e">
        <f t="shared" si="197"/>
        <v>#N/A</v>
      </c>
      <c r="BS479" t="e">
        <f t="shared" si="197"/>
        <v>#N/A</v>
      </c>
      <c r="BT479" t="e">
        <f t="shared" si="197"/>
        <v>#N/A</v>
      </c>
      <c r="BU479" t="e">
        <f t="shared" si="197"/>
        <v>#N/A</v>
      </c>
      <c r="BV479" t="e">
        <f t="shared" si="197"/>
        <v>#N/A</v>
      </c>
      <c r="BY479" t="e">
        <f t="shared" si="183"/>
        <v>#N/A</v>
      </c>
      <c r="BZ479" t="e">
        <v>#N/A</v>
      </c>
      <c r="CA479" t="e" cm="1">
        <f t="array" ref="CA479">IF(ISNUMBER(BZ479),AF479/COUNT(IF(ISNUMBER(_xlfn.ANCHORARRAY($BZ$11)),_xlfn.ANCHORARRAY($BZ$11))),NA())</f>
        <v>#N/A</v>
      </c>
      <c r="CB479" t="e">
        <f t="shared" si="184"/>
        <v>#N/A</v>
      </c>
      <c r="CD479" t="e">
        <f t="shared" si="185"/>
        <v>#N/A</v>
      </c>
      <c r="CE479" t="e">
        <f t="shared" si="186"/>
        <v>#N/A</v>
      </c>
      <c r="CG479" t="e">
        <v>#N/A</v>
      </c>
      <c r="CH479" t="e">
        <v>#N/A</v>
      </c>
      <c r="CL479" t="e">
        <f t="shared" si="187"/>
        <v>#N/A</v>
      </c>
      <c r="CM479" t="e">
        <v>#N/A</v>
      </c>
      <c r="CN479" t="e" cm="1">
        <f t="array" ref="CN479">IF(ISNUMBER(CM479),AF479/COUNT(IF(ISNUMBER(_xlfn.ANCHORARRAY($CM$11)),_xlfn.ANCHORARRAY($CM$11))),NA())</f>
        <v>#N/A</v>
      </c>
      <c r="CO479" t="e">
        <f t="shared" si="188"/>
        <v>#N/A</v>
      </c>
      <c r="CQ479" t="e">
        <f t="shared" si="189"/>
        <v>#N/A</v>
      </c>
      <c r="CR479" t="e">
        <f t="shared" si="190"/>
        <v>#N/A</v>
      </c>
      <c r="CT479" t="e">
        <v>#N/A</v>
      </c>
      <c r="CU479" t="e">
        <v>#N/A</v>
      </c>
      <c r="CY479" t="e">
        <f t="shared" si="191"/>
        <v>#N/A</v>
      </c>
      <c r="CZ479" t="e">
        <v>#N/A</v>
      </c>
      <c r="DA479" t="e" cm="1">
        <f t="array" ref="DA479">IF(ISNUMBER(CZ479),AF479/COUNT(IF(ISNUMBER(_xlfn.ANCHORARRAY($CZ$11)),_xlfn.ANCHORARRAY($CZ$11))),NA())</f>
        <v>#N/A</v>
      </c>
      <c r="DB479" t="e">
        <f t="shared" si="192"/>
        <v>#N/A</v>
      </c>
      <c r="DD479" t="e">
        <f t="shared" si="193"/>
        <v>#N/A</v>
      </c>
      <c r="DE479" t="e">
        <f t="shared" si="194"/>
        <v>#N/A</v>
      </c>
      <c r="DG479" t="e">
        <v>#N/A</v>
      </c>
      <c r="DH479" t="e">
        <v>#N/A</v>
      </c>
    </row>
    <row r="480" spans="32:112">
      <c r="AF480">
        <v>470</v>
      </c>
      <c r="AG480" s="401">
        <f>'Lab test'!N473</f>
        <v>75.564999999999998</v>
      </c>
      <c r="AH480" s="401">
        <f>'Lab test'!M473</f>
        <v>9.1439999999999994E-2</v>
      </c>
      <c r="AI480">
        <f>IF('Lab test'!O473&gt;0,'Lab test'!O473,NA())</f>
        <v>254</v>
      </c>
      <c r="AJ480">
        <f>'Lab test'!Q473</f>
        <v>826.38888888888891</v>
      </c>
      <c r="AK480" s="401">
        <f>IF('Lab test'!V473&gt;0,'Lab test'!V473,NA())</f>
        <v>174437.35918400003</v>
      </c>
      <c r="AL480" s="7">
        <f>IF(MAX('Lab test'!W473,'Lab test'!X473)&gt;0,MAX('Lab test'!W473,'Lab test'!X473),NA())</f>
        <v>999.73980560000007</v>
      </c>
      <c r="AM480" s="401">
        <f>IF('Lab test'!P473&gt;0,'Lab test'!P473,NA())</f>
        <v>0.11692861223242657</v>
      </c>
      <c r="AN480" s="401">
        <f>IF('Lab test'!AU473&gt;0,'Lab test'!AU473,NA())</f>
        <v>7.8223179068827683E-2</v>
      </c>
      <c r="AO480" s="401">
        <f>IF('Lab test'!AT473&gt;0,'Lab test'!AT473,NA())</f>
        <v>0.6121371483285547</v>
      </c>
      <c r="AP480">
        <f t="shared" si="198"/>
        <v>1</v>
      </c>
      <c r="AQ480" s="401">
        <f>'Lab test'!AZ473</f>
        <v>1964</v>
      </c>
      <c r="AR480" t="str">
        <f>'Lab test'!AC473</f>
        <v>Electroforming</v>
      </c>
      <c r="AS480" t="str">
        <f>'Lab test'!T473</f>
        <v>Nickel</v>
      </c>
      <c r="AX480" t="e">
        <f t="shared" si="180"/>
        <v>#N/A</v>
      </c>
      <c r="AY480" t="e">
        <f t="shared" si="177"/>
        <v>#N/A</v>
      </c>
      <c r="AZ480" t="e">
        <f t="shared" si="195"/>
        <v>#N/A</v>
      </c>
      <c r="BA480" t="e">
        <f t="shared" si="195"/>
        <v>#N/A</v>
      </c>
      <c r="BB480" t="e">
        <f t="shared" si="195"/>
        <v>#N/A</v>
      </c>
      <c r="BC480" t="e">
        <f t="shared" si="195"/>
        <v>#N/A</v>
      </c>
      <c r="BD480" t="e">
        <f t="shared" si="195"/>
        <v>#N/A</v>
      </c>
      <c r="BG480" t="e">
        <f t="shared" si="181"/>
        <v>#N/A</v>
      </c>
      <c r="BH480" t="e">
        <f t="shared" si="178"/>
        <v>#N/A</v>
      </c>
      <c r="BI480" t="e">
        <f t="shared" si="196"/>
        <v>#N/A</v>
      </c>
      <c r="BJ480" t="e">
        <f t="shared" si="196"/>
        <v>#N/A</v>
      </c>
      <c r="BK480" t="e">
        <f t="shared" si="196"/>
        <v>#N/A</v>
      </c>
      <c r="BL480" t="e">
        <f t="shared" si="196"/>
        <v>#N/A</v>
      </c>
      <c r="BM480" t="e">
        <f t="shared" si="196"/>
        <v>#N/A</v>
      </c>
      <c r="BP480" t="e">
        <f t="shared" si="182"/>
        <v>#N/A</v>
      </c>
      <c r="BQ480" t="e">
        <f t="shared" si="179"/>
        <v>#N/A</v>
      </c>
      <c r="BR480" t="e">
        <f t="shared" si="197"/>
        <v>#N/A</v>
      </c>
      <c r="BS480" t="e">
        <f t="shared" si="197"/>
        <v>#N/A</v>
      </c>
      <c r="BT480" t="e">
        <f t="shared" si="197"/>
        <v>#N/A</v>
      </c>
      <c r="BU480" t="e">
        <f t="shared" si="197"/>
        <v>#N/A</v>
      </c>
      <c r="BV480" t="e">
        <f t="shared" si="197"/>
        <v>#N/A</v>
      </c>
      <c r="BY480" t="e">
        <f t="shared" si="183"/>
        <v>#N/A</v>
      </c>
      <c r="BZ480" t="e">
        <v>#N/A</v>
      </c>
      <c r="CA480" t="e" cm="1">
        <f t="array" ref="CA480">IF(ISNUMBER(BZ480),AF480/COUNT(IF(ISNUMBER(_xlfn.ANCHORARRAY($BZ$11)),_xlfn.ANCHORARRAY($BZ$11))),NA())</f>
        <v>#N/A</v>
      </c>
      <c r="CB480" t="e">
        <f t="shared" si="184"/>
        <v>#N/A</v>
      </c>
      <c r="CD480" t="e">
        <f t="shared" si="185"/>
        <v>#N/A</v>
      </c>
      <c r="CE480" t="e">
        <f t="shared" si="186"/>
        <v>#N/A</v>
      </c>
      <c r="CG480" t="e">
        <v>#N/A</v>
      </c>
      <c r="CH480" t="e">
        <v>#N/A</v>
      </c>
      <c r="CL480" t="e">
        <f t="shared" si="187"/>
        <v>#N/A</v>
      </c>
      <c r="CM480" t="e">
        <v>#N/A</v>
      </c>
      <c r="CN480" t="e" cm="1">
        <f t="array" ref="CN480">IF(ISNUMBER(CM480),AF480/COUNT(IF(ISNUMBER(_xlfn.ANCHORARRAY($CM$11)),_xlfn.ANCHORARRAY($CM$11))),NA())</f>
        <v>#N/A</v>
      </c>
      <c r="CO480" t="e">
        <f t="shared" si="188"/>
        <v>#N/A</v>
      </c>
      <c r="CQ480" t="e">
        <f t="shared" si="189"/>
        <v>#N/A</v>
      </c>
      <c r="CR480" t="e">
        <f t="shared" si="190"/>
        <v>#N/A</v>
      </c>
      <c r="CT480" t="e">
        <v>#N/A</v>
      </c>
      <c r="CU480" t="e">
        <v>#N/A</v>
      </c>
      <c r="CY480" t="e">
        <f t="shared" si="191"/>
        <v>#N/A</v>
      </c>
      <c r="CZ480" t="e">
        <v>#N/A</v>
      </c>
      <c r="DA480" t="e" cm="1">
        <f t="array" ref="DA480">IF(ISNUMBER(CZ480),AF480/COUNT(IF(ISNUMBER(_xlfn.ANCHORARRAY($CZ$11)),_xlfn.ANCHORARRAY($CZ$11))),NA())</f>
        <v>#N/A</v>
      </c>
      <c r="DB480" t="e">
        <f t="shared" si="192"/>
        <v>#N/A</v>
      </c>
      <c r="DD480" t="e">
        <f t="shared" si="193"/>
        <v>#N/A</v>
      </c>
      <c r="DE480" t="e">
        <f t="shared" si="194"/>
        <v>#N/A</v>
      </c>
      <c r="DG480" t="e">
        <v>#N/A</v>
      </c>
      <c r="DH480" t="e">
        <v>#N/A</v>
      </c>
    </row>
    <row r="481" spans="32:112">
      <c r="AF481">
        <v>471</v>
      </c>
      <c r="AG481" s="401">
        <f>'Lab test'!N474</f>
        <v>75.564999999999998</v>
      </c>
      <c r="AH481" s="401">
        <f>'Lab test'!M474</f>
        <v>9.3979999999999994E-2</v>
      </c>
      <c r="AI481">
        <f>IF('Lab test'!O474&gt;0,'Lab test'!O474,NA())</f>
        <v>254</v>
      </c>
      <c r="AJ481">
        <f>'Lab test'!Q474</f>
        <v>804.05405405405406</v>
      </c>
      <c r="AK481" s="401">
        <f>IF('Lab test'!V474&gt;0,'Lab test'!V474,NA())</f>
        <v>173747.88345600001</v>
      </c>
      <c r="AL481" s="7">
        <f>IF(MAX('Lab test'!W474,'Lab test'!X474)&gt;0,MAX('Lab test'!W474,'Lab test'!X474),NA())</f>
        <v>999.73980560000007</v>
      </c>
      <c r="AM481" s="401">
        <f>IF('Lab test'!P474&gt;0,'Lab test'!P474,NA())</f>
        <v>0.1185414968678624</v>
      </c>
      <c r="AN481" s="401">
        <f>IF('Lab test'!AU474&gt;0,'Lab test'!AU474,NA())</f>
        <v>7.5610290476078437E-2</v>
      </c>
      <c r="AO481" s="401">
        <f>IF('Lab test'!AT474&gt;0,'Lab test'!AT474,NA())</f>
        <v>0.57798283048033117</v>
      </c>
      <c r="AP481">
        <f t="shared" si="198"/>
        <v>1</v>
      </c>
      <c r="AQ481" s="401">
        <f>'Lab test'!AZ474</f>
        <v>1964</v>
      </c>
      <c r="AR481" t="str">
        <f>'Lab test'!AC474</f>
        <v>Electroforming</v>
      </c>
      <c r="AS481" t="str">
        <f>'Lab test'!T474</f>
        <v>Nickel</v>
      </c>
      <c r="AX481" t="e">
        <f t="shared" si="180"/>
        <v>#N/A</v>
      </c>
      <c r="AY481" t="e">
        <f t="shared" si="177"/>
        <v>#N/A</v>
      </c>
      <c r="AZ481" t="e">
        <f t="shared" si="195"/>
        <v>#N/A</v>
      </c>
      <c r="BA481" t="e">
        <f t="shared" si="195"/>
        <v>#N/A</v>
      </c>
      <c r="BB481" t="e">
        <f t="shared" si="195"/>
        <v>#N/A</v>
      </c>
      <c r="BC481" t="e">
        <f t="shared" si="195"/>
        <v>#N/A</v>
      </c>
      <c r="BD481" t="e">
        <f t="shared" si="195"/>
        <v>#N/A</v>
      </c>
      <c r="BG481" t="e">
        <f t="shared" si="181"/>
        <v>#N/A</v>
      </c>
      <c r="BH481" t="e">
        <f t="shared" si="178"/>
        <v>#N/A</v>
      </c>
      <c r="BI481" t="e">
        <f t="shared" si="196"/>
        <v>#N/A</v>
      </c>
      <c r="BJ481" t="e">
        <f t="shared" si="196"/>
        <v>#N/A</v>
      </c>
      <c r="BK481" t="e">
        <f t="shared" si="196"/>
        <v>#N/A</v>
      </c>
      <c r="BL481" t="e">
        <f t="shared" si="196"/>
        <v>#N/A</v>
      </c>
      <c r="BM481" t="e">
        <f t="shared" si="196"/>
        <v>#N/A</v>
      </c>
      <c r="BP481" t="e">
        <f t="shared" si="182"/>
        <v>#N/A</v>
      </c>
      <c r="BQ481" t="e">
        <f t="shared" si="179"/>
        <v>#N/A</v>
      </c>
      <c r="BR481" t="e">
        <f t="shared" si="197"/>
        <v>#N/A</v>
      </c>
      <c r="BS481" t="e">
        <f t="shared" si="197"/>
        <v>#N/A</v>
      </c>
      <c r="BT481" t="e">
        <f t="shared" si="197"/>
        <v>#N/A</v>
      </c>
      <c r="BU481" t="e">
        <f t="shared" si="197"/>
        <v>#N/A</v>
      </c>
      <c r="BV481" t="e">
        <f t="shared" si="197"/>
        <v>#N/A</v>
      </c>
      <c r="BY481" t="e">
        <f t="shared" si="183"/>
        <v>#N/A</v>
      </c>
      <c r="BZ481" t="e">
        <v>#N/A</v>
      </c>
      <c r="CA481" t="e" cm="1">
        <f t="array" ref="CA481">IF(ISNUMBER(BZ481),AF481/COUNT(IF(ISNUMBER(_xlfn.ANCHORARRAY($BZ$11)),_xlfn.ANCHORARRAY($BZ$11))),NA())</f>
        <v>#N/A</v>
      </c>
      <c r="CB481" t="e">
        <f t="shared" si="184"/>
        <v>#N/A</v>
      </c>
      <c r="CD481" t="e">
        <f t="shared" si="185"/>
        <v>#N/A</v>
      </c>
      <c r="CE481" t="e">
        <f t="shared" si="186"/>
        <v>#N/A</v>
      </c>
      <c r="CG481" t="e">
        <v>#N/A</v>
      </c>
      <c r="CH481" t="e">
        <v>#N/A</v>
      </c>
      <c r="CL481" t="e">
        <f t="shared" si="187"/>
        <v>#N/A</v>
      </c>
      <c r="CM481" t="e">
        <v>#N/A</v>
      </c>
      <c r="CN481" t="e" cm="1">
        <f t="array" ref="CN481">IF(ISNUMBER(CM481),AF481/COUNT(IF(ISNUMBER(_xlfn.ANCHORARRAY($CM$11)),_xlfn.ANCHORARRAY($CM$11))),NA())</f>
        <v>#N/A</v>
      </c>
      <c r="CO481" t="e">
        <f t="shared" si="188"/>
        <v>#N/A</v>
      </c>
      <c r="CQ481" t="e">
        <f t="shared" si="189"/>
        <v>#N/A</v>
      </c>
      <c r="CR481" t="e">
        <f t="shared" si="190"/>
        <v>#N/A</v>
      </c>
      <c r="CT481" t="e">
        <v>#N/A</v>
      </c>
      <c r="CU481" t="e">
        <v>#N/A</v>
      </c>
      <c r="CY481" t="e">
        <f t="shared" si="191"/>
        <v>#N/A</v>
      </c>
      <c r="CZ481" t="e">
        <v>#N/A</v>
      </c>
      <c r="DA481" t="e" cm="1">
        <f t="array" ref="DA481">IF(ISNUMBER(CZ481),AF481/COUNT(IF(ISNUMBER(_xlfn.ANCHORARRAY($CZ$11)),_xlfn.ANCHORARRAY($CZ$11))),NA())</f>
        <v>#N/A</v>
      </c>
      <c r="DB481" t="e">
        <f t="shared" si="192"/>
        <v>#N/A</v>
      </c>
      <c r="DD481" t="e">
        <f t="shared" si="193"/>
        <v>#N/A</v>
      </c>
      <c r="DE481" t="e">
        <f t="shared" si="194"/>
        <v>#N/A</v>
      </c>
      <c r="DG481" t="e">
        <v>#N/A</v>
      </c>
      <c r="DH481" t="e">
        <v>#N/A</v>
      </c>
    </row>
    <row r="482" spans="32:112">
      <c r="AF482">
        <v>472</v>
      </c>
      <c r="AG482" s="401">
        <f>'Lab test'!N475</f>
        <v>75.564999999999998</v>
      </c>
      <c r="AH482" s="401">
        <f>'Lab test'!M475</f>
        <v>8.2549999999999998E-2</v>
      </c>
      <c r="AI482">
        <f>IF('Lab test'!O475&gt;0,'Lab test'!O475,NA())</f>
        <v>254</v>
      </c>
      <c r="AJ482">
        <f>'Lab test'!Q475</f>
        <v>915.38461538461536</v>
      </c>
      <c r="AK482" s="401">
        <f>IF('Lab test'!V475&gt;0,'Lab test'!V475,NA())</f>
        <v>194432.15529600001</v>
      </c>
      <c r="AL482" s="7">
        <f>IF(MAX('Lab test'!W475,'Lab test'!X475)&gt;0,MAX('Lab test'!W475,'Lab test'!X475),NA())</f>
        <v>999.73980560000007</v>
      </c>
      <c r="AM482" s="401">
        <f>IF('Lab test'!P475&gt;0,'Lab test'!P475,NA())</f>
        <v>0.11109927513196603</v>
      </c>
      <c r="AN482" s="401">
        <f>IF('Lab test'!AU475&gt;0,'Lab test'!AU475,NA())</f>
        <v>7.8925050521305329E-2</v>
      </c>
      <c r="AO482" s="401">
        <f>IF('Lab test'!AT475&gt;0,'Lab test'!AT475,NA())</f>
        <v>0.6137884263619946</v>
      </c>
      <c r="AP482">
        <f t="shared" si="198"/>
        <v>1</v>
      </c>
      <c r="AQ482" s="401">
        <f>'Lab test'!AZ475</f>
        <v>1964</v>
      </c>
      <c r="AR482" t="str">
        <f>'Lab test'!AC475</f>
        <v>Electroforming</v>
      </c>
      <c r="AS482" t="str">
        <f>'Lab test'!T475</f>
        <v>Nickel</v>
      </c>
      <c r="AX482" t="e">
        <f t="shared" si="180"/>
        <v>#N/A</v>
      </c>
      <c r="AY482" t="e">
        <f t="shared" si="177"/>
        <v>#N/A</v>
      </c>
      <c r="AZ482" t="e">
        <f t="shared" si="195"/>
        <v>#N/A</v>
      </c>
      <c r="BA482" t="e">
        <f t="shared" si="195"/>
        <v>#N/A</v>
      </c>
      <c r="BB482" t="e">
        <f t="shared" si="195"/>
        <v>#N/A</v>
      </c>
      <c r="BC482" t="e">
        <f t="shared" si="195"/>
        <v>#N/A</v>
      </c>
      <c r="BD482" t="e">
        <f t="shared" si="195"/>
        <v>#N/A</v>
      </c>
      <c r="BG482" t="e">
        <f t="shared" si="181"/>
        <v>#N/A</v>
      </c>
      <c r="BH482" t="e">
        <f t="shared" si="178"/>
        <v>#N/A</v>
      </c>
      <c r="BI482" t="e">
        <f t="shared" si="196"/>
        <v>#N/A</v>
      </c>
      <c r="BJ482" t="e">
        <f t="shared" si="196"/>
        <v>#N/A</v>
      </c>
      <c r="BK482" t="e">
        <f t="shared" si="196"/>
        <v>#N/A</v>
      </c>
      <c r="BL482" t="e">
        <f t="shared" si="196"/>
        <v>#N/A</v>
      </c>
      <c r="BM482" t="e">
        <f t="shared" si="196"/>
        <v>#N/A</v>
      </c>
      <c r="BP482" t="e">
        <f t="shared" si="182"/>
        <v>#N/A</v>
      </c>
      <c r="BQ482" t="e">
        <f t="shared" si="179"/>
        <v>#N/A</v>
      </c>
      <c r="BR482" t="e">
        <f t="shared" si="197"/>
        <v>#N/A</v>
      </c>
      <c r="BS482" t="e">
        <f t="shared" si="197"/>
        <v>#N/A</v>
      </c>
      <c r="BT482" t="e">
        <f t="shared" si="197"/>
        <v>#N/A</v>
      </c>
      <c r="BU482" t="e">
        <f t="shared" si="197"/>
        <v>#N/A</v>
      </c>
      <c r="BV482" t="e">
        <f t="shared" si="197"/>
        <v>#N/A</v>
      </c>
      <c r="BY482" t="e">
        <f t="shared" si="183"/>
        <v>#N/A</v>
      </c>
      <c r="BZ482" t="e">
        <v>#N/A</v>
      </c>
      <c r="CA482" t="e" cm="1">
        <f t="array" ref="CA482">IF(ISNUMBER(BZ482),AF482/COUNT(IF(ISNUMBER(_xlfn.ANCHORARRAY($BZ$11)),_xlfn.ANCHORARRAY($BZ$11))),NA())</f>
        <v>#N/A</v>
      </c>
      <c r="CB482" t="e">
        <f t="shared" si="184"/>
        <v>#N/A</v>
      </c>
      <c r="CD482" t="e">
        <f t="shared" si="185"/>
        <v>#N/A</v>
      </c>
      <c r="CE482" t="e">
        <f t="shared" si="186"/>
        <v>#N/A</v>
      </c>
      <c r="CG482" t="e">
        <v>#N/A</v>
      </c>
      <c r="CH482" t="e">
        <v>#N/A</v>
      </c>
      <c r="CL482" t="e">
        <f t="shared" si="187"/>
        <v>#N/A</v>
      </c>
      <c r="CM482" t="e">
        <v>#N/A</v>
      </c>
      <c r="CN482" t="e" cm="1">
        <f t="array" ref="CN482">IF(ISNUMBER(CM482),AF482/COUNT(IF(ISNUMBER(_xlfn.ANCHORARRAY($CM$11)),_xlfn.ANCHORARRAY($CM$11))),NA())</f>
        <v>#N/A</v>
      </c>
      <c r="CO482" t="e">
        <f t="shared" si="188"/>
        <v>#N/A</v>
      </c>
      <c r="CQ482" t="e">
        <f t="shared" si="189"/>
        <v>#N/A</v>
      </c>
      <c r="CR482" t="e">
        <f t="shared" si="190"/>
        <v>#N/A</v>
      </c>
      <c r="CT482" t="e">
        <v>#N/A</v>
      </c>
      <c r="CU482" t="e">
        <v>#N/A</v>
      </c>
      <c r="CY482" t="e">
        <f t="shared" si="191"/>
        <v>#N/A</v>
      </c>
      <c r="CZ482" t="e">
        <v>#N/A</v>
      </c>
      <c r="DA482" t="e" cm="1">
        <f t="array" ref="DA482">IF(ISNUMBER(CZ482),AF482/COUNT(IF(ISNUMBER(_xlfn.ANCHORARRAY($CZ$11)),_xlfn.ANCHORARRAY($CZ$11))),NA())</f>
        <v>#N/A</v>
      </c>
      <c r="DB482" t="e">
        <f t="shared" si="192"/>
        <v>#N/A</v>
      </c>
      <c r="DD482" t="e">
        <f t="shared" si="193"/>
        <v>#N/A</v>
      </c>
      <c r="DE482" t="e">
        <f t="shared" si="194"/>
        <v>#N/A</v>
      </c>
      <c r="DG482" t="e">
        <v>#N/A</v>
      </c>
      <c r="DH482" t="e">
        <v>#N/A</v>
      </c>
    </row>
    <row r="483" spans="32:112">
      <c r="AF483">
        <v>473</v>
      </c>
      <c r="AG483" s="401">
        <f>'Lab test'!N476</f>
        <v>101.67619999999999</v>
      </c>
      <c r="AH483" s="401">
        <f>'Lab test'!M476</f>
        <v>0.11414759999999999</v>
      </c>
      <c r="AI483">
        <f>IF('Lab test'!O476&gt;0,'Lab test'!O476,NA())</f>
        <v>203.2</v>
      </c>
      <c r="AJ483">
        <f>'Lab test'!Q476</f>
        <v>890.74321317311978</v>
      </c>
      <c r="AK483" s="401">
        <f>IF('Lab test'!V476&gt;0,'Lab test'!V476,NA())</f>
        <v>104110.834928</v>
      </c>
      <c r="AL483" s="7" t="e">
        <f>IF(MAX('Lab test'!W476,'Lab test'!X476)&gt;0,MAX('Lab test'!W476,'Lab test'!X476),NA())</f>
        <v>#N/A</v>
      </c>
      <c r="AM483" s="401">
        <f>IF('Lab test'!P476&gt;0,'Lab test'!P476,NA())</f>
        <v>6.6961956724040289E-2</v>
      </c>
      <c r="AN483" s="401" t="e">
        <f>IF('Lab test'!AU476&gt;0,'Lab test'!AU476,NA())</f>
        <v>#N/A</v>
      </c>
      <c r="AO483" s="401">
        <f>IF('Lab test'!AT476&gt;0,'Lab test'!AT476,NA())</f>
        <v>0.57499999999999996</v>
      </c>
      <c r="AP483" t="e">
        <f t="shared" si="198"/>
        <v>#N/A</v>
      </c>
      <c r="AQ483" s="401">
        <f>'Lab test'!AZ476</f>
        <v>1968</v>
      </c>
      <c r="AR483" t="str">
        <f>'Lab test'!AC476</f>
        <v>Electroforming</v>
      </c>
      <c r="AS483" t="str">
        <f>'Lab test'!T476</f>
        <v>Copper</v>
      </c>
      <c r="AX483" t="e">
        <f t="shared" si="180"/>
        <v>#N/A</v>
      </c>
      <c r="AY483" t="e">
        <f t="shared" si="177"/>
        <v>#N/A</v>
      </c>
      <c r="AZ483" t="e">
        <f t="shared" si="195"/>
        <v>#N/A</v>
      </c>
      <c r="BA483" t="e">
        <f t="shared" si="195"/>
        <v>#N/A</v>
      </c>
      <c r="BB483" t="e">
        <f t="shared" si="195"/>
        <v>#N/A</v>
      </c>
      <c r="BC483" t="e">
        <f t="shared" si="195"/>
        <v>#N/A</v>
      </c>
      <c r="BD483" t="e">
        <f t="shared" si="195"/>
        <v>#N/A</v>
      </c>
      <c r="BG483" t="e">
        <f t="shared" si="181"/>
        <v>#N/A</v>
      </c>
      <c r="BH483" t="e">
        <f t="shared" si="178"/>
        <v>#N/A</v>
      </c>
      <c r="BI483" t="e">
        <f t="shared" si="196"/>
        <v>#N/A</v>
      </c>
      <c r="BJ483" t="e">
        <f t="shared" si="196"/>
        <v>#N/A</v>
      </c>
      <c r="BK483" t="e">
        <f t="shared" si="196"/>
        <v>#N/A</v>
      </c>
      <c r="BL483" t="e">
        <f t="shared" si="196"/>
        <v>#N/A</v>
      </c>
      <c r="BM483" t="e">
        <f t="shared" si="196"/>
        <v>#N/A</v>
      </c>
      <c r="BP483" t="e">
        <f t="shared" si="182"/>
        <v>#N/A</v>
      </c>
      <c r="BQ483" t="e">
        <f t="shared" si="179"/>
        <v>#N/A</v>
      </c>
      <c r="BR483" t="e">
        <f t="shared" si="197"/>
        <v>#N/A</v>
      </c>
      <c r="BS483" t="e">
        <f t="shared" si="197"/>
        <v>#N/A</v>
      </c>
      <c r="BT483" t="e">
        <f t="shared" si="197"/>
        <v>#N/A</v>
      </c>
      <c r="BU483" t="e">
        <f t="shared" si="197"/>
        <v>#N/A</v>
      </c>
      <c r="BV483" t="e">
        <f t="shared" si="197"/>
        <v>#N/A</v>
      </c>
      <c r="BY483" t="e">
        <f t="shared" si="183"/>
        <v>#N/A</v>
      </c>
      <c r="BZ483" t="e">
        <v>#N/A</v>
      </c>
      <c r="CA483" t="e" cm="1">
        <f t="array" ref="CA483">IF(ISNUMBER(BZ483),AF483/COUNT(IF(ISNUMBER(_xlfn.ANCHORARRAY($BZ$11)),_xlfn.ANCHORARRAY($BZ$11))),NA())</f>
        <v>#N/A</v>
      </c>
      <c r="CB483" t="e">
        <f t="shared" si="184"/>
        <v>#N/A</v>
      </c>
      <c r="CD483" t="e">
        <f t="shared" si="185"/>
        <v>#N/A</v>
      </c>
      <c r="CE483" t="e">
        <f t="shared" si="186"/>
        <v>#N/A</v>
      </c>
      <c r="CG483" t="e">
        <v>#N/A</v>
      </c>
      <c r="CH483" t="e">
        <v>#N/A</v>
      </c>
      <c r="CL483" t="e">
        <f t="shared" si="187"/>
        <v>#N/A</v>
      </c>
      <c r="CM483" t="e">
        <v>#N/A</v>
      </c>
      <c r="CN483" t="e" cm="1">
        <f t="array" ref="CN483">IF(ISNUMBER(CM483),AF483/COUNT(IF(ISNUMBER(_xlfn.ANCHORARRAY($CM$11)),_xlfn.ANCHORARRAY($CM$11))),NA())</f>
        <v>#N/A</v>
      </c>
      <c r="CO483" t="e">
        <f t="shared" si="188"/>
        <v>#N/A</v>
      </c>
      <c r="CQ483" t="e">
        <f t="shared" si="189"/>
        <v>#N/A</v>
      </c>
      <c r="CR483" t="e">
        <f t="shared" si="190"/>
        <v>#N/A</v>
      </c>
      <c r="CT483" t="e">
        <v>#N/A</v>
      </c>
      <c r="CU483" t="e">
        <v>#N/A</v>
      </c>
      <c r="CY483" t="e">
        <f t="shared" si="191"/>
        <v>#N/A</v>
      </c>
      <c r="CZ483" t="e">
        <v>#N/A</v>
      </c>
      <c r="DA483" t="e" cm="1">
        <f t="array" ref="DA483">IF(ISNUMBER(CZ483),AF483/COUNT(IF(ISNUMBER(_xlfn.ANCHORARRAY($CZ$11)),_xlfn.ANCHORARRAY($CZ$11))),NA())</f>
        <v>#N/A</v>
      </c>
      <c r="DB483" t="e">
        <f t="shared" si="192"/>
        <v>#N/A</v>
      </c>
      <c r="DD483" t="e">
        <f t="shared" si="193"/>
        <v>#N/A</v>
      </c>
      <c r="DE483" t="e">
        <f t="shared" si="194"/>
        <v>#N/A</v>
      </c>
      <c r="DG483" t="e">
        <v>#N/A</v>
      </c>
      <c r="DH483" t="e">
        <v>#N/A</v>
      </c>
    </row>
    <row r="484" spans="32:112">
      <c r="AF484">
        <v>474</v>
      </c>
      <c r="AG484" s="401">
        <f>'Lab test'!N477</f>
        <v>101.67619999999999</v>
      </c>
      <c r="AH484" s="401">
        <f>'Lab test'!M477</f>
        <v>0.11785599999999997</v>
      </c>
      <c r="AI484">
        <f>IF('Lab test'!O477&gt;0,'Lab test'!O477,NA())</f>
        <v>203.2</v>
      </c>
      <c r="AJ484">
        <f>'Lab test'!Q477</f>
        <v>862.71551724137942</v>
      </c>
      <c r="AK484" s="401">
        <f>IF('Lab test'!V477&gt;0,'Lab test'!V477,NA())</f>
        <v>104800.310656</v>
      </c>
      <c r="AL484" s="7" t="e">
        <f>IF(MAX('Lab test'!W477,'Lab test'!X477)&gt;0,MAX('Lab test'!W477,'Lab test'!X477),NA())</f>
        <v>#N/A</v>
      </c>
      <c r="AM484" s="401">
        <f>IF('Lab test'!P477&gt;0,'Lab test'!P477,NA())</f>
        <v>6.804098500497327E-2</v>
      </c>
      <c r="AN484" s="401" t="e">
        <f>IF('Lab test'!AU477&gt;0,'Lab test'!AU477,NA())</f>
        <v>#N/A</v>
      </c>
      <c r="AO484" s="401">
        <f>IF('Lab test'!AT477&gt;0,'Lab test'!AT477,NA())</f>
        <v>0.65800000000000003</v>
      </c>
      <c r="AP484" t="e">
        <f t="shared" si="198"/>
        <v>#N/A</v>
      </c>
      <c r="AQ484" s="401">
        <f>'Lab test'!AZ477</f>
        <v>1968</v>
      </c>
      <c r="AR484" t="str">
        <f>'Lab test'!AC477</f>
        <v>Electroforming</v>
      </c>
      <c r="AS484" t="str">
        <f>'Lab test'!T477</f>
        <v>Copper</v>
      </c>
      <c r="AX484" t="e">
        <f t="shared" si="180"/>
        <v>#N/A</v>
      </c>
      <c r="AY484" t="e">
        <f t="shared" si="177"/>
        <v>#N/A</v>
      </c>
      <c r="AZ484" t="e">
        <f t="shared" si="195"/>
        <v>#N/A</v>
      </c>
      <c r="BA484" t="e">
        <f t="shared" si="195"/>
        <v>#N/A</v>
      </c>
      <c r="BB484" t="e">
        <f t="shared" si="195"/>
        <v>#N/A</v>
      </c>
      <c r="BC484" t="e">
        <f t="shared" si="195"/>
        <v>#N/A</v>
      </c>
      <c r="BD484" t="e">
        <f t="shared" si="195"/>
        <v>#N/A</v>
      </c>
      <c r="BG484" t="e">
        <f t="shared" si="181"/>
        <v>#N/A</v>
      </c>
      <c r="BH484" t="e">
        <f t="shared" si="178"/>
        <v>#N/A</v>
      </c>
      <c r="BI484" t="e">
        <f t="shared" si="196"/>
        <v>#N/A</v>
      </c>
      <c r="BJ484" t="e">
        <f t="shared" si="196"/>
        <v>#N/A</v>
      </c>
      <c r="BK484" t="e">
        <f t="shared" si="196"/>
        <v>#N/A</v>
      </c>
      <c r="BL484" t="e">
        <f t="shared" si="196"/>
        <v>#N/A</v>
      </c>
      <c r="BM484" t="e">
        <f t="shared" si="196"/>
        <v>#N/A</v>
      </c>
      <c r="BP484" t="e">
        <f t="shared" si="182"/>
        <v>#N/A</v>
      </c>
      <c r="BQ484" t="e">
        <f t="shared" si="179"/>
        <v>#N/A</v>
      </c>
      <c r="BR484" t="e">
        <f t="shared" si="197"/>
        <v>#N/A</v>
      </c>
      <c r="BS484" t="e">
        <f t="shared" si="197"/>
        <v>#N/A</v>
      </c>
      <c r="BT484" t="e">
        <f t="shared" si="197"/>
        <v>#N/A</v>
      </c>
      <c r="BU484" t="e">
        <f t="shared" si="197"/>
        <v>#N/A</v>
      </c>
      <c r="BV484" t="e">
        <f t="shared" si="197"/>
        <v>#N/A</v>
      </c>
      <c r="BY484" t="e">
        <f t="shared" si="183"/>
        <v>#N/A</v>
      </c>
      <c r="BZ484" t="e">
        <v>#N/A</v>
      </c>
      <c r="CA484" t="e" cm="1">
        <f t="array" ref="CA484">IF(ISNUMBER(BZ484),AF484/COUNT(IF(ISNUMBER(_xlfn.ANCHORARRAY($BZ$11)),_xlfn.ANCHORARRAY($BZ$11))),NA())</f>
        <v>#N/A</v>
      </c>
      <c r="CB484" t="e">
        <f t="shared" si="184"/>
        <v>#N/A</v>
      </c>
      <c r="CD484" t="e">
        <f t="shared" si="185"/>
        <v>#N/A</v>
      </c>
      <c r="CE484" t="e">
        <f t="shared" si="186"/>
        <v>#N/A</v>
      </c>
      <c r="CG484" t="e">
        <v>#N/A</v>
      </c>
      <c r="CH484" t="e">
        <v>#N/A</v>
      </c>
      <c r="CL484" t="e">
        <f t="shared" si="187"/>
        <v>#N/A</v>
      </c>
      <c r="CM484" t="e">
        <v>#N/A</v>
      </c>
      <c r="CN484" t="e" cm="1">
        <f t="array" ref="CN484">IF(ISNUMBER(CM484),AF484/COUNT(IF(ISNUMBER(_xlfn.ANCHORARRAY($CM$11)),_xlfn.ANCHORARRAY($CM$11))),NA())</f>
        <v>#N/A</v>
      </c>
      <c r="CO484" t="e">
        <f t="shared" si="188"/>
        <v>#N/A</v>
      </c>
      <c r="CQ484" t="e">
        <f t="shared" si="189"/>
        <v>#N/A</v>
      </c>
      <c r="CR484" t="e">
        <f t="shared" si="190"/>
        <v>#N/A</v>
      </c>
      <c r="CT484" t="e">
        <v>#N/A</v>
      </c>
      <c r="CU484" t="e">
        <v>#N/A</v>
      </c>
      <c r="CY484" t="e">
        <f t="shared" si="191"/>
        <v>#N/A</v>
      </c>
      <c r="CZ484" t="e">
        <v>#N/A</v>
      </c>
      <c r="DA484" t="e" cm="1">
        <f t="array" ref="DA484">IF(ISNUMBER(CZ484),AF484/COUNT(IF(ISNUMBER(_xlfn.ANCHORARRAY($CZ$11)),_xlfn.ANCHORARRAY($CZ$11))),NA())</f>
        <v>#N/A</v>
      </c>
      <c r="DB484" t="e">
        <f t="shared" si="192"/>
        <v>#N/A</v>
      </c>
      <c r="DD484" t="e">
        <f t="shared" si="193"/>
        <v>#N/A</v>
      </c>
      <c r="DE484" t="e">
        <f t="shared" si="194"/>
        <v>#N/A</v>
      </c>
      <c r="DG484" t="e">
        <v>#N/A</v>
      </c>
      <c r="DH484" t="e">
        <v>#N/A</v>
      </c>
    </row>
    <row r="485" spans="32:112">
      <c r="AF485">
        <v>475</v>
      </c>
      <c r="AG485" s="401">
        <f>'Lab test'!N478</f>
        <v>101.67619999999999</v>
      </c>
      <c r="AH485" s="401">
        <f>'Lab test'!M478</f>
        <v>0.11531599999999999</v>
      </c>
      <c r="AI485">
        <f>IF('Lab test'!O478&gt;0,'Lab test'!O478,NA())</f>
        <v>203.2</v>
      </c>
      <c r="AJ485">
        <f>'Lab test'!Q478</f>
        <v>881.71806167400882</v>
      </c>
      <c r="AK485" s="401">
        <f>IF('Lab test'!V478&gt;0,'Lab test'!V478,NA())</f>
        <v>101352.93201600001</v>
      </c>
      <c r="AL485" s="7" t="e">
        <f>IF(MAX('Lab test'!W478,'Lab test'!X478)&gt;0,MAX('Lab test'!W478,'Lab test'!X478),NA())</f>
        <v>#N/A</v>
      </c>
      <c r="AM485" s="401">
        <f>IF('Lab test'!P478&gt;0,'Lab test'!P478,NA())</f>
        <v>6.7303791151527279E-2</v>
      </c>
      <c r="AN485" s="401" t="e">
        <f>IF('Lab test'!AU478&gt;0,'Lab test'!AU478,NA())</f>
        <v>#N/A</v>
      </c>
      <c r="AO485" s="401">
        <f>IF('Lab test'!AT478&gt;0,'Lab test'!AT478,NA())</f>
        <v>0.73599999999999999</v>
      </c>
      <c r="AP485" t="e">
        <f t="shared" si="198"/>
        <v>#N/A</v>
      </c>
      <c r="AQ485" s="401">
        <f>'Lab test'!AZ478</f>
        <v>1968</v>
      </c>
      <c r="AR485" t="str">
        <f>'Lab test'!AC478</f>
        <v>Electroforming</v>
      </c>
      <c r="AS485" t="str">
        <f>'Lab test'!T478</f>
        <v>Copper</v>
      </c>
      <c r="AX485" t="e">
        <f t="shared" si="180"/>
        <v>#N/A</v>
      </c>
      <c r="AY485" t="e">
        <f t="shared" si="177"/>
        <v>#N/A</v>
      </c>
      <c r="AZ485" t="e">
        <f t="shared" si="195"/>
        <v>#N/A</v>
      </c>
      <c r="BA485" t="e">
        <f t="shared" si="195"/>
        <v>#N/A</v>
      </c>
      <c r="BB485" t="e">
        <f t="shared" si="195"/>
        <v>#N/A</v>
      </c>
      <c r="BC485" t="e">
        <f t="shared" si="195"/>
        <v>#N/A</v>
      </c>
      <c r="BD485" t="e">
        <f t="shared" si="195"/>
        <v>#N/A</v>
      </c>
      <c r="BG485" t="e">
        <f t="shared" si="181"/>
        <v>#N/A</v>
      </c>
      <c r="BH485" t="e">
        <f t="shared" si="178"/>
        <v>#N/A</v>
      </c>
      <c r="BI485" t="e">
        <f t="shared" si="196"/>
        <v>#N/A</v>
      </c>
      <c r="BJ485" t="e">
        <f t="shared" si="196"/>
        <v>#N/A</v>
      </c>
      <c r="BK485" t="e">
        <f t="shared" si="196"/>
        <v>#N/A</v>
      </c>
      <c r="BL485" t="e">
        <f t="shared" si="196"/>
        <v>#N/A</v>
      </c>
      <c r="BM485" t="e">
        <f t="shared" si="196"/>
        <v>#N/A</v>
      </c>
      <c r="BP485" t="e">
        <f t="shared" si="182"/>
        <v>#N/A</v>
      </c>
      <c r="BQ485" t="e">
        <f t="shared" si="179"/>
        <v>#N/A</v>
      </c>
      <c r="BR485" t="e">
        <f t="shared" si="197"/>
        <v>#N/A</v>
      </c>
      <c r="BS485" t="e">
        <f t="shared" si="197"/>
        <v>#N/A</v>
      </c>
      <c r="BT485" t="e">
        <f t="shared" si="197"/>
        <v>#N/A</v>
      </c>
      <c r="BU485" t="e">
        <f t="shared" si="197"/>
        <v>#N/A</v>
      </c>
      <c r="BV485" t="e">
        <f t="shared" si="197"/>
        <v>#N/A</v>
      </c>
      <c r="BY485" t="e">
        <f t="shared" si="183"/>
        <v>#N/A</v>
      </c>
      <c r="BZ485" t="e">
        <v>#N/A</v>
      </c>
      <c r="CA485" t="e" cm="1">
        <f t="array" ref="CA485">IF(ISNUMBER(BZ485),AF485/COUNT(IF(ISNUMBER(_xlfn.ANCHORARRAY($BZ$11)),_xlfn.ANCHORARRAY($BZ$11))),NA())</f>
        <v>#N/A</v>
      </c>
      <c r="CB485" t="e">
        <f t="shared" si="184"/>
        <v>#N/A</v>
      </c>
      <c r="CD485" t="e">
        <f t="shared" si="185"/>
        <v>#N/A</v>
      </c>
      <c r="CE485" t="e">
        <f t="shared" si="186"/>
        <v>#N/A</v>
      </c>
      <c r="CG485" t="e">
        <v>#N/A</v>
      </c>
      <c r="CH485" t="e">
        <v>#N/A</v>
      </c>
      <c r="CL485" t="e">
        <f t="shared" si="187"/>
        <v>#N/A</v>
      </c>
      <c r="CM485" t="e">
        <v>#N/A</v>
      </c>
      <c r="CN485" t="e" cm="1">
        <f t="array" ref="CN485">IF(ISNUMBER(CM485),AF485/COUNT(IF(ISNUMBER(_xlfn.ANCHORARRAY($CM$11)),_xlfn.ANCHORARRAY($CM$11))),NA())</f>
        <v>#N/A</v>
      </c>
      <c r="CO485" t="e">
        <f t="shared" si="188"/>
        <v>#N/A</v>
      </c>
      <c r="CQ485" t="e">
        <f t="shared" si="189"/>
        <v>#N/A</v>
      </c>
      <c r="CR485" t="e">
        <f t="shared" si="190"/>
        <v>#N/A</v>
      </c>
      <c r="CT485" t="e">
        <v>#N/A</v>
      </c>
      <c r="CU485" t="e">
        <v>#N/A</v>
      </c>
      <c r="CY485" t="e">
        <f t="shared" si="191"/>
        <v>#N/A</v>
      </c>
      <c r="CZ485" t="e">
        <v>#N/A</v>
      </c>
      <c r="DA485" t="e" cm="1">
        <f t="array" ref="DA485">IF(ISNUMBER(CZ485),AF485/COUNT(IF(ISNUMBER(_xlfn.ANCHORARRAY($CZ$11)),_xlfn.ANCHORARRAY($CZ$11))),NA())</f>
        <v>#N/A</v>
      </c>
      <c r="DB485" t="e">
        <f t="shared" si="192"/>
        <v>#N/A</v>
      </c>
      <c r="DD485" t="e">
        <f t="shared" si="193"/>
        <v>#N/A</v>
      </c>
      <c r="DE485" t="e">
        <f t="shared" si="194"/>
        <v>#N/A</v>
      </c>
      <c r="DG485" t="e">
        <v>#N/A</v>
      </c>
      <c r="DH485" t="e">
        <v>#N/A</v>
      </c>
    </row>
    <row r="486" spans="32:112">
      <c r="AF486">
        <v>476</v>
      </c>
      <c r="AG486" s="401">
        <f>'Lab test'!N479</f>
        <v>101.67619999999999</v>
      </c>
      <c r="AH486" s="401">
        <f>'Lab test'!M479</f>
        <v>0.120396</v>
      </c>
      <c r="AI486">
        <f>IF('Lab test'!O479&gt;0,'Lab test'!O479,NA())</f>
        <v>203.2</v>
      </c>
      <c r="AJ486">
        <f>'Lab test'!Q479</f>
        <v>844.51476793248935</v>
      </c>
      <c r="AK486" s="401">
        <f>IF('Lab test'!V479&gt;0,'Lab test'!V479,NA())</f>
        <v>102731.883472</v>
      </c>
      <c r="AL486" s="7" t="e">
        <f>IF(MAX('Lab test'!W479,'Lab test'!X479)&gt;0,MAX('Lab test'!W479,'Lab test'!X479),NA())</f>
        <v>#N/A</v>
      </c>
      <c r="AM486" s="401">
        <f>IF('Lab test'!P479&gt;0,'Lab test'!P479,NA())</f>
        <v>6.8770276846364373E-2</v>
      </c>
      <c r="AN486" s="401" t="e">
        <f>IF('Lab test'!AU479&gt;0,'Lab test'!AU479,NA())</f>
        <v>#N/A</v>
      </c>
      <c r="AO486" s="401">
        <f>IF('Lab test'!AT479&gt;0,'Lab test'!AT479,NA())</f>
        <v>0.56100000000000005</v>
      </c>
      <c r="AP486" t="e">
        <f t="shared" si="198"/>
        <v>#N/A</v>
      </c>
      <c r="AQ486" s="401">
        <f>'Lab test'!AZ479</f>
        <v>1968</v>
      </c>
      <c r="AR486" t="str">
        <f>'Lab test'!AC479</f>
        <v>Electroforming</v>
      </c>
      <c r="AS486" t="str">
        <f>'Lab test'!T479</f>
        <v>Copper</v>
      </c>
      <c r="AX486" t="e">
        <f t="shared" si="180"/>
        <v>#N/A</v>
      </c>
      <c r="AY486" t="e">
        <f t="shared" si="177"/>
        <v>#N/A</v>
      </c>
      <c r="AZ486" t="e">
        <f t="shared" si="195"/>
        <v>#N/A</v>
      </c>
      <c r="BA486" t="e">
        <f t="shared" si="195"/>
        <v>#N/A</v>
      </c>
      <c r="BB486" t="e">
        <f t="shared" si="195"/>
        <v>#N/A</v>
      </c>
      <c r="BC486" t="e">
        <f t="shared" si="195"/>
        <v>#N/A</v>
      </c>
      <c r="BD486" t="e">
        <f t="shared" si="195"/>
        <v>#N/A</v>
      </c>
      <c r="BG486" t="e">
        <f t="shared" si="181"/>
        <v>#N/A</v>
      </c>
      <c r="BH486" t="e">
        <f t="shared" si="178"/>
        <v>#N/A</v>
      </c>
      <c r="BI486" t="e">
        <f t="shared" si="196"/>
        <v>#N/A</v>
      </c>
      <c r="BJ486" t="e">
        <f t="shared" si="196"/>
        <v>#N/A</v>
      </c>
      <c r="BK486" t="e">
        <f t="shared" si="196"/>
        <v>#N/A</v>
      </c>
      <c r="BL486" t="e">
        <f t="shared" si="196"/>
        <v>#N/A</v>
      </c>
      <c r="BM486" t="e">
        <f t="shared" si="196"/>
        <v>#N/A</v>
      </c>
      <c r="BP486" t="e">
        <f t="shared" si="182"/>
        <v>#N/A</v>
      </c>
      <c r="BQ486" t="e">
        <f t="shared" si="179"/>
        <v>#N/A</v>
      </c>
      <c r="BR486" t="e">
        <f t="shared" si="197"/>
        <v>#N/A</v>
      </c>
      <c r="BS486" t="e">
        <f t="shared" si="197"/>
        <v>#N/A</v>
      </c>
      <c r="BT486" t="e">
        <f t="shared" si="197"/>
        <v>#N/A</v>
      </c>
      <c r="BU486" t="e">
        <f t="shared" si="197"/>
        <v>#N/A</v>
      </c>
      <c r="BV486" t="e">
        <f t="shared" si="197"/>
        <v>#N/A</v>
      </c>
      <c r="BY486" t="e">
        <f t="shared" si="183"/>
        <v>#N/A</v>
      </c>
      <c r="BZ486" t="e">
        <v>#N/A</v>
      </c>
      <c r="CA486" t="e" cm="1">
        <f t="array" ref="CA486">IF(ISNUMBER(BZ486),AF486/COUNT(IF(ISNUMBER(_xlfn.ANCHORARRAY($BZ$11)),_xlfn.ANCHORARRAY($BZ$11))),NA())</f>
        <v>#N/A</v>
      </c>
      <c r="CB486" t="e">
        <f t="shared" si="184"/>
        <v>#N/A</v>
      </c>
      <c r="CD486" t="e">
        <f t="shared" si="185"/>
        <v>#N/A</v>
      </c>
      <c r="CE486" t="e">
        <f t="shared" si="186"/>
        <v>#N/A</v>
      </c>
      <c r="CG486" t="e">
        <v>#N/A</v>
      </c>
      <c r="CH486" t="e">
        <v>#N/A</v>
      </c>
      <c r="CL486" t="e">
        <f t="shared" si="187"/>
        <v>#N/A</v>
      </c>
      <c r="CM486" t="e">
        <v>#N/A</v>
      </c>
      <c r="CN486" t="e" cm="1">
        <f t="array" ref="CN486">IF(ISNUMBER(CM486),AF486/COUNT(IF(ISNUMBER(_xlfn.ANCHORARRAY($CM$11)),_xlfn.ANCHORARRAY($CM$11))),NA())</f>
        <v>#N/A</v>
      </c>
      <c r="CO486" t="e">
        <f t="shared" si="188"/>
        <v>#N/A</v>
      </c>
      <c r="CQ486" t="e">
        <f t="shared" si="189"/>
        <v>#N/A</v>
      </c>
      <c r="CR486" t="e">
        <f t="shared" si="190"/>
        <v>#N/A</v>
      </c>
      <c r="CT486" t="e">
        <v>#N/A</v>
      </c>
      <c r="CU486" t="e">
        <v>#N/A</v>
      </c>
      <c r="CY486" t="e">
        <f t="shared" si="191"/>
        <v>#N/A</v>
      </c>
      <c r="CZ486" t="e">
        <v>#N/A</v>
      </c>
      <c r="DA486" t="e" cm="1">
        <f t="array" ref="DA486">IF(ISNUMBER(CZ486),AF486/COUNT(IF(ISNUMBER(_xlfn.ANCHORARRAY($CZ$11)),_xlfn.ANCHORARRAY($CZ$11))),NA())</f>
        <v>#N/A</v>
      </c>
      <c r="DB486" t="e">
        <f t="shared" si="192"/>
        <v>#N/A</v>
      </c>
      <c r="DD486" t="e">
        <f t="shared" si="193"/>
        <v>#N/A</v>
      </c>
      <c r="DE486" t="e">
        <f t="shared" si="194"/>
        <v>#N/A</v>
      </c>
      <c r="DG486" t="e">
        <v>#N/A</v>
      </c>
      <c r="DH486" t="e">
        <v>#N/A</v>
      </c>
    </row>
    <row r="487" spans="32:112">
      <c r="AF487">
        <v>477</v>
      </c>
      <c r="AG487" s="401">
        <f>'Lab test'!N480</f>
        <v>101.67619999999999</v>
      </c>
      <c r="AH487" s="401">
        <f>'Lab test'!M480</f>
        <v>0.120396</v>
      </c>
      <c r="AI487">
        <f>IF('Lab test'!O480&gt;0,'Lab test'!O480,NA())</f>
        <v>208.27999999999997</v>
      </c>
      <c r="AJ487">
        <f>'Lab test'!Q480</f>
        <v>844.51476793248935</v>
      </c>
      <c r="AK487" s="401">
        <f>IF('Lab test'!V480&gt;0,'Lab test'!V480,NA())</f>
        <v>104800.310656</v>
      </c>
      <c r="AL487" s="7" t="e">
        <f>IF(MAX('Lab test'!W480,'Lab test'!X480)&gt;0,MAX('Lab test'!W480,'Lab test'!X480),NA())</f>
        <v>#N/A</v>
      </c>
      <c r="AM487" s="401">
        <f>IF('Lab test'!P480&gt;0,'Lab test'!P480,NA())</f>
        <v>7.0489533767523482E-2</v>
      </c>
      <c r="AN487" s="401" t="e">
        <f>IF('Lab test'!AU480&gt;0,'Lab test'!AU480,NA())</f>
        <v>#N/A</v>
      </c>
      <c r="AO487" s="401">
        <f>IF('Lab test'!AT480&gt;0,'Lab test'!AT480,NA())</f>
        <v>0.67300000000000004</v>
      </c>
      <c r="AP487" t="e">
        <f t="shared" si="198"/>
        <v>#N/A</v>
      </c>
      <c r="AQ487" s="401">
        <f>'Lab test'!AZ480</f>
        <v>1968</v>
      </c>
      <c r="AR487" t="str">
        <f>'Lab test'!AC480</f>
        <v>Electroforming</v>
      </c>
      <c r="AS487" t="str">
        <f>'Lab test'!T480</f>
        <v>Copper</v>
      </c>
      <c r="AX487" t="e">
        <f t="shared" si="180"/>
        <v>#N/A</v>
      </c>
      <c r="AY487" t="e">
        <f t="shared" si="177"/>
        <v>#N/A</v>
      </c>
      <c r="AZ487" t="e">
        <f t="shared" si="195"/>
        <v>#N/A</v>
      </c>
      <c r="BA487" t="e">
        <f t="shared" si="195"/>
        <v>#N/A</v>
      </c>
      <c r="BB487" t="e">
        <f t="shared" si="195"/>
        <v>#N/A</v>
      </c>
      <c r="BC487" t="e">
        <f t="shared" si="195"/>
        <v>#N/A</v>
      </c>
      <c r="BD487" t="e">
        <f t="shared" si="195"/>
        <v>#N/A</v>
      </c>
      <c r="BG487" t="e">
        <f t="shared" si="181"/>
        <v>#N/A</v>
      </c>
      <c r="BH487" t="e">
        <f t="shared" si="178"/>
        <v>#N/A</v>
      </c>
      <c r="BI487" t="e">
        <f t="shared" si="196"/>
        <v>#N/A</v>
      </c>
      <c r="BJ487" t="e">
        <f t="shared" si="196"/>
        <v>#N/A</v>
      </c>
      <c r="BK487" t="e">
        <f t="shared" si="196"/>
        <v>#N/A</v>
      </c>
      <c r="BL487" t="e">
        <f t="shared" si="196"/>
        <v>#N/A</v>
      </c>
      <c r="BM487" t="e">
        <f t="shared" si="196"/>
        <v>#N/A</v>
      </c>
      <c r="BP487" t="e">
        <f t="shared" si="182"/>
        <v>#N/A</v>
      </c>
      <c r="BQ487" t="e">
        <f t="shared" si="179"/>
        <v>#N/A</v>
      </c>
      <c r="BR487" t="e">
        <f t="shared" si="197"/>
        <v>#N/A</v>
      </c>
      <c r="BS487" t="e">
        <f t="shared" si="197"/>
        <v>#N/A</v>
      </c>
      <c r="BT487" t="e">
        <f t="shared" si="197"/>
        <v>#N/A</v>
      </c>
      <c r="BU487" t="e">
        <f t="shared" si="197"/>
        <v>#N/A</v>
      </c>
      <c r="BV487" t="e">
        <f t="shared" si="197"/>
        <v>#N/A</v>
      </c>
      <c r="BY487" t="e">
        <f t="shared" si="183"/>
        <v>#N/A</v>
      </c>
      <c r="BZ487" t="e">
        <v>#N/A</v>
      </c>
      <c r="CA487" t="e" cm="1">
        <f t="array" ref="CA487">IF(ISNUMBER(BZ487),AF487/COUNT(IF(ISNUMBER(_xlfn.ANCHORARRAY($BZ$11)),_xlfn.ANCHORARRAY($BZ$11))),NA())</f>
        <v>#N/A</v>
      </c>
      <c r="CB487" t="e">
        <f t="shared" si="184"/>
        <v>#N/A</v>
      </c>
      <c r="CD487" t="e">
        <f t="shared" si="185"/>
        <v>#N/A</v>
      </c>
      <c r="CE487" t="e">
        <f t="shared" si="186"/>
        <v>#N/A</v>
      </c>
      <c r="CG487" t="e">
        <v>#N/A</v>
      </c>
      <c r="CH487" t="e">
        <v>#N/A</v>
      </c>
      <c r="CL487" t="e">
        <f t="shared" si="187"/>
        <v>#N/A</v>
      </c>
      <c r="CM487" t="e">
        <v>#N/A</v>
      </c>
      <c r="CN487" t="e" cm="1">
        <f t="array" ref="CN487">IF(ISNUMBER(CM487),AF487/COUNT(IF(ISNUMBER(_xlfn.ANCHORARRAY($CM$11)),_xlfn.ANCHORARRAY($CM$11))),NA())</f>
        <v>#N/A</v>
      </c>
      <c r="CO487" t="e">
        <f t="shared" si="188"/>
        <v>#N/A</v>
      </c>
      <c r="CQ487" t="e">
        <f t="shared" si="189"/>
        <v>#N/A</v>
      </c>
      <c r="CR487" t="e">
        <f t="shared" si="190"/>
        <v>#N/A</v>
      </c>
      <c r="CT487" t="e">
        <v>#N/A</v>
      </c>
      <c r="CU487" t="e">
        <v>#N/A</v>
      </c>
      <c r="CY487" t="e">
        <f t="shared" si="191"/>
        <v>#N/A</v>
      </c>
      <c r="CZ487" t="e">
        <v>#N/A</v>
      </c>
      <c r="DA487" t="e" cm="1">
        <f t="array" ref="DA487">IF(ISNUMBER(CZ487),AF487/COUNT(IF(ISNUMBER(_xlfn.ANCHORARRAY($CZ$11)),_xlfn.ANCHORARRAY($CZ$11))),NA())</f>
        <v>#N/A</v>
      </c>
      <c r="DB487" t="e">
        <f t="shared" si="192"/>
        <v>#N/A</v>
      </c>
      <c r="DD487" t="e">
        <f t="shared" si="193"/>
        <v>#N/A</v>
      </c>
      <c r="DE487" t="e">
        <f t="shared" si="194"/>
        <v>#N/A</v>
      </c>
      <c r="DG487" t="e">
        <v>#N/A</v>
      </c>
      <c r="DH487" t="e">
        <v>#N/A</v>
      </c>
    </row>
    <row r="488" spans="32:112">
      <c r="AF488">
        <v>478</v>
      </c>
      <c r="AG488" s="401">
        <f>'Lab test'!N481</f>
        <v>36.83</v>
      </c>
      <c r="AH488" s="401">
        <f>'Lab test'!M481</f>
        <v>3.8364583333333334E-2</v>
      </c>
      <c r="AI488">
        <f>IF('Lab test'!O481&gt;0,'Lab test'!O481,NA())</f>
        <v>180.84799999999998</v>
      </c>
      <c r="AJ488">
        <f>'Lab test'!Q481</f>
        <v>960</v>
      </c>
      <c r="AK488" s="401">
        <f>IF('Lab test'!V481&gt;0,'Lab test'!V481,NA())</f>
        <v>168921.55335999999</v>
      </c>
      <c r="AL488" s="7" t="e">
        <f>IF(MAX('Lab test'!W481,'Lab test'!X481)&gt;0,MAX('Lab test'!W481,'Lab test'!X481),NA())</f>
        <v>#N/A</v>
      </c>
      <c r="AM488" s="401">
        <f>IF('Lab test'!P481&gt;0,'Lab test'!P481,NA())</f>
        <v>0.15848069784480923</v>
      </c>
      <c r="AN488" s="401" t="e">
        <f>IF('Lab test'!AU481&gt;0,'Lab test'!AU481,NA())</f>
        <v>#N/A</v>
      </c>
      <c r="AO488" s="401">
        <f>IF('Lab test'!AT481&gt;0,'Lab test'!AT481,NA())</f>
        <v>0.91</v>
      </c>
      <c r="AP488" t="e">
        <f t="shared" si="198"/>
        <v>#N/A</v>
      </c>
      <c r="AQ488" s="401">
        <f>'Lab test'!AZ481</f>
        <v>1972</v>
      </c>
      <c r="AR488" t="str">
        <f>'Lab test'!AC481</f>
        <v>Electroforming</v>
      </c>
      <c r="AS488" t="str">
        <f>'Lab test'!T481</f>
        <v>Nickel</v>
      </c>
      <c r="AX488" t="e">
        <f t="shared" si="180"/>
        <v>#N/A</v>
      </c>
      <c r="AY488" t="e">
        <f t="shared" si="177"/>
        <v>#N/A</v>
      </c>
      <c r="AZ488" t="e">
        <f t="shared" si="195"/>
        <v>#N/A</v>
      </c>
      <c r="BA488" t="e">
        <f t="shared" si="195"/>
        <v>#N/A</v>
      </c>
      <c r="BB488" t="e">
        <f t="shared" si="195"/>
        <v>#N/A</v>
      </c>
      <c r="BC488" t="e">
        <f t="shared" si="195"/>
        <v>#N/A</v>
      </c>
      <c r="BD488" t="e">
        <f t="shared" si="195"/>
        <v>#N/A</v>
      </c>
      <c r="BG488" t="e">
        <f t="shared" si="181"/>
        <v>#N/A</v>
      </c>
      <c r="BH488" t="e">
        <f t="shared" si="178"/>
        <v>#N/A</v>
      </c>
      <c r="BI488" t="e">
        <f t="shared" si="196"/>
        <v>#N/A</v>
      </c>
      <c r="BJ488" t="e">
        <f t="shared" si="196"/>
        <v>#N/A</v>
      </c>
      <c r="BK488" t="e">
        <f t="shared" si="196"/>
        <v>#N/A</v>
      </c>
      <c r="BL488" t="e">
        <f t="shared" si="196"/>
        <v>#N/A</v>
      </c>
      <c r="BM488" t="e">
        <f t="shared" si="196"/>
        <v>#N/A</v>
      </c>
      <c r="BP488" t="e">
        <f t="shared" si="182"/>
        <v>#N/A</v>
      </c>
      <c r="BQ488" t="e">
        <f t="shared" si="179"/>
        <v>#N/A</v>
      </c>
      <c r="BR488" t="e">
        <f t="shared" si="197"/>
        <v>#N/A</v>
      </c>
      <c r="BS488" t="e">
        <f t="shared" si="197"/>
        <v>#N/A</v>
      </c>
      <c r="BT488" t="e">
        <f t="shared" si="197"/>
        <v>#N/A</v>
      </c>
      <c r="BU488" t="e">
        <f t="shared" si="197"/>
        <v>#N/A</v>
      </c>
      <c r="BV488" t="e">
        <f t="shared" si="197"/>
        <v>#N/A</v>
      </c>
      <c r="BY488" t="e">
        <f t="shared" si="183"/>
        <v>#N/A</v>
      </c>
      <c r="BZ488" t="e">
        <v>#N/A</v>
      </c>
      <c r="CA488" t="e" cm="1">
        <f t="array" ref="CA488">IF(ISNUMBER(BZ488),AF488/COUNT(IF(ISNUMBER(_xlfn.ANCHORARRAY($BZ$11)),_xlfn.ANCHORARRAY($BZ$11))),NA())</f>
        <v>#N/A</v>
      </c>
      <c r="CB488" t="e">
        <f t="shared" si="184"/>
        <v>#N/A</v>
      </c>
      <c r="CD488" t="e">
        <f t="shared" si="185"/>
        <v>#N/A</v>
      </c>
      <c r="CE488" t="e">
        <f t="shared" si="186"/>
        <v>#N/A</v>
      </c>
      <c r="CG488" t="e">
        <v>#N/A</v>
      </c>
      <c r="CH488" t="e">
        <v>#N/A</v>
      </c>
      <c r="CL488" t="e">
        <f t="shared" si="187"/>
        <v>#N/A</v>
      </c>
      <c r="CM488" t="e">
        <v>#N/A</v>
      </c>
      <c r="CN488" t="e" cm="1">
        <f t="array" ref="CN488">IF(ISNUMBER(CM488),AF488/COUNT(IF(ISNUMBER(_xlfn.ANCHORARRAY($CM$11)),_xlfn.ANCHORARRAY($CM$11))),NA())</f>
        <v>#N/A</v>
      </c>
      <c r="CO488" t="e">
        <f t="shared" si="188"/>
        <v>#N/A</v>
      </c>
      <c r="CQ488" t="e">
        <f t="shared" si="189"/>
        <v>#N/A</v>
      </c>
      <c r="CR488" t="e">
        <f t="shared" si="190"/>
        <v>#N/A</v>
      </c>
      <c r="CT488" t="e">
        <v>#N/A</v>
      </c>
      <c r="CU488" t="e">
        <v>#N/A</v>
      </c>
      <c r="CY488" t="e">
        <f t="shared" si="191"/>
        <v>#N/A</v>
      </c>
      <c r="CZ488" t="e">
        <v>#N/A</v>
      </c>
      <c r="DA488" t="e" cm="1">
        <f t="array" ref="DA488">IF(ISNUMBER(CZ488),AF488/COUNT(IF(ISNUMBER(_xlfn.ANCHORARRAY($CZ$11)),_xlfn.ANCHORARRAY($CZ$11))),NA())</f>
        <v>#N/A</v>
      </c>
      <c r="DB488" t="e">
        <f t="shared" si="192"/>
        <v>#N/A</v>
      </c>
      <c r="DD488" t="e">
        <f t="shared" si="193"/>
        <v>#N/A</v>
      </c>
      <c r="DE488" t="e">
        <f t="shared" si="194"/>
        <v>#N/A</v>
      </c>
      <c r="DG488" t="e">
        <v>#N/A</v>
      </c>
      <c r="DH488" t="e">
        <v>#N/A</v>
      </c>
    </row>
    <row r="489" spans="32:112">
      <c r="AF489">
        <v>479</v>
      </c>
      <c r="AG489" s="401">
        <f>'Lab test'!N482</f>
        <v>36.83</v>
      </c>
      <c r="AH489" s="401">
        <f>'Lab test'!M482</f>
        <v>3.8768421052631577E-2</v>
      </c>
      <c r="AI489">
        <f>IF('Lab test'!O482&gt;0,'Lab test'!O482,NA())</f>
        <v>180.84799999999998</v>
      </c>
      <c r="AJ489">
        <f>'Lab test'!Q482</f>
        <v>950</v>
      </c>
      <c r="AK489" s="401">
        <f>IF('Lab test'!V482&gt;0,'Lab test'!V482,NA())</f>
        <v>168921.55335999999</v>
      </c>
      <c r="AL489" s="7" t="e">
        <f>IF(MAX('Lab test'!W482,'Lab test'!X482)&gt;0,MAX('Lab test'!W482,'Lab test'!X482),NA())</f>
        <v>#N/A</v>
      </c>
      <c r="AM489" s="401">
        <f>IF('Lab test'!P482&gt;0,'Lab test'!P482,NA())</f>
        <v>0.15931262323462475</v>
      </c>
      <c r="AN489" s="401" t="e">
        <f>IF('Lab test'!AU482&gt;0,'Lab test'!AU482,NA())</f>
        <v>#N/A</v>
      </c>
      <c r="AO489" s="401">
        <f>IF('Lab test'!AT482&gt;0,'Lab test'!AT482,NA())</f>
        <v>0.96</v>
      </c>
      <c r="AP489" t="e">
        <f t="shared" si="198"/>
        <v>#N/A</v>
      </c>
      <c r="AQ489" s="401">
        <f>'Lab test'!AZ482</f>
        <v>1972</v>
      </c>
      <c r="AR489" t="str">
        <f>'Lab test'!AC482</f>
        <v>Electroforming</v>
      </c>
      <c r="AS489" t="str">
        <f>'Lab test'!T482</f>
        <v>Nickel</v>
      </c>
      <c r="AX489" t="e">
        <f t="shared" si="180"/>
        <v>#N/A</v>
      </c>
      <c r="AY489" t="e">
        <f t="shared" si="177"/>
        <v>#N/A</v>
      </c>
      <c r="AZ489" t="e">
        <f t="shared" si="195"/>
        <v>#N/A</v>
      </c>
      <c r="BA489" t="e">
        <f t="shared" si="195"/>
        <v>#N/A</v>
      </c>
      <c r="BB489" t="e">
        <f t="shared" si="195"/>
        <v>#N/A</v>
      </c>
      <c r="BC489" t="e">
        <f t="shared" si="195"/>
        <v>#N/A</v>
      </c>
      <c r="BD489" t="e">
        <f t="shared" si="195"/>
        <v>#N/A</v>
      </c>
      <c r="BG489" t="e">
        <f t="shared" si="181"/>
        <v>#N/A</v>
      </c>
      <c r="BH489" t="e">
        <f t="shared" si="178"/>
        <v>#N/A</v>
      </c>
      <c r="BI489" t="e">
        <f t="shared" si="196"/>
        <v>#N/A</v>
      </c>
      <c r="BJ489" t="e">
        <f t="shared" si="196"/>
        <v>#N/A</v>
      </c>
      <c r="BK489" t="e">
        <f t="shared" si="196"/>
        <v>#N/A</v>
      </c>
      <c r="BL489" t="e">
        <f t="shared" si="196"/>
        <v>#N/A</v>
      </c>
      <c r="BM489" t="e">
        <f t="shared" si="196"/>
        <v>#N/A</v>
      </c>
      <c r="BP489" t="e">
        <f t="shared" si="182"/>
        <v>#N/A</v>
      </c>
      <c r="BQ489" t="e">
        <f t="shared" si="179"/>
        <v>#N/A</v>
      </c>
      <c r="BR489" t="e">
        <f t="shared" si="197"/>
        <v>#N/A</v>
      </c>
      <c r="BS489" t="e">
        <f t="shared" si="197"/>
        <v>#N/A</v>
      </c>
      <c r="BT489" t="e">
        <f t="shared" si="197"/>
        <v>#N/A</v>
      </c>
      <c r="BU489" t="e">
        <f t="shared" si="197"/>
        <v>#N/A</v>
      </c>
      <c r="BV489" t="e">
        <f t="shared" si="197"/>
        <v>#N/A</v>
      </c>
      <c r="BY489" t="e">
        <f t="shared" si="183"/>
        <v>#N/A</v>
      </c>
      <c r="BZ489" t="e">
        <v>#N/A</v>
      </c>
      <c r="CA489" t="e" cm="1">
        <f t="array" ref="CA489">IF(ISNUMBER(BZ489),AF489/COUNT(IF(ISNUMBER(_xlfn.ANCHORARRAY($BZ$11)),_xlfn.ANCHORARRAY($BZ$11))),NA())</f>
        <v>#N/A</v>
      </c>
      <c r="CB489" t="e">
        <f t="shared" si="184"/>
        <v>#N/A</v>
      </c>
      <c r="CD489" t="e">
        <f t="shared" si="185"/>
        <v>#N/A</v>
      </c>
      <c r="CE489" t="e">
        <f t="shared" si="186"/>
        <v>#N/A</v>
      </c>
      <c r="CG489" t="e">
        <v>#N/A</v>
      </c>
      <c r="CH489" t="e">
        <v>#N/A</v>
      </c>
      <c r="CL489" t="e">
        <f t="shared" si="187"/>
        <v>#N/A</v>
      </c>
      <c r="CM489" t="e">
        <v>#N/A</v>
      </c>
      <c r="CN489" t="e" cm="1">
        <f t="array" ref="CN489">IF(ISNUMBER(CM489),AF489/COUNT(IF(ISNUMBER(_xlfn.ANCHORARRAY($CM$11)),_xlfn.ANCHORARRAY($CM$11))),NA())</f>
        <v>#N/A</v>
      </c>
      <c r="CO489" t="e">
        <f t="shared" si="188"/>
        <v>#N/A</v>
      </c>
      <c r="CQ489" t="e">
        <f t="shared" si="189"/>
        <v>#N/A</v>
      </c>
      <c r="CR489" t="e">
        <f t="shared" si="190"/>
        <v>#N/A</v>
      </c>
      <c r="CT489" t="e">
        <v>#N/A</v>
      </c>
      <c r="CU489" t="e">
        <v>#N/A</v>
      </c>
      <c r="CY489" t="e">
        <f t="shared" si="191"/>
        <v>#N/A</v>
      </c>
      <c r="CZ489" t="e">
        <v>#N/A</v>
      </c>
      <c r="DA489" t="e" cm="1">
        <f t="array" ref="DA489">IF(ISNUMBER(CZ489),AF489/COUNT(IF(ISNUMBER(_xlfn.ANCHORARRAY($CZ$11)),_xlfn.ANCHORARRAY($CZ$11))),NA())</f>
        <v>#N/A</v>
      </c>
      <c r="DB489" t="e">
        <f t="shared" si="192"/>
        <v>#N/A</v>
      </c>
      <c r="DD489" t="e">
        <f t="shared" si="193"/>
        <v>#N/A</v>
      </c>
      <c r="DE489" t="e">
        <f t="shared" si="194"/>
        <v>#N/A</v>
      </c>
      <c r="DG489" t="e">
        <v>#N/A</v>
      </c>
      <c r="DH489" t="e">
        <v>#N/A</v>
      </c>
    </row>
    <row r="490" spans="32:112">
      <c r="AF490">
        <v>480</v>
      </c>
      <c r="AG490" s="401">
        <f>'Lab test'!N483</f>
        <v>36.83</v>
      </c>
      <c r="AH490" s="401">
        <f>'Lab test'!M483</f>
        <v>6.6963636363636364E-2</v>
      </c>
      <c r="AI490">
        <f>IF('Lab test'!O483&gt;0,'Lab test'!O483,NA())</f>
        <v>180.84799999999998</v>
      </c>
      <c r="AJ490">
        <f>'Lab test'!Q483</f>
        <v>550</v>
      </c>
      <c r="AK490" s="401">
        <f>IF('Lab test'!V483&gt;0,'Lab test'!V483,NA())</f>
        <v>168921.55335999999</v>
      </c>
      <c r="AL490" s="7" t="e">
        <f>IF(MAX('Lab test'!W483,'Lab test'!X483)&gt;0,MAX('Lab test'!W483,'Lab test'!X483),NA())</f>
        <v>#N/A</v>
      </c>
      <c r="AM490" s="401">
        <f>IF('Lab test'!P483&gt;0,'Lab test'!P483,NA())</f>
        <v>0.20937780695888916</v>
      </c>
      <c r="AN490" s="401" t="e">
        <f>IF('Lab test'!AU483&gt;0,'Lab test'!AU483,NA())</f>
        <v>#N/A</v>
      </c>
      <c r="AO490" s="401">
        <f>IF('Lab test'!AT483&gt;0,'Lab test'!AT483,NA())</f>
        <v>0.83</v>
      </c>
      <c r="AP490" t="e">
        <f t="shared" si="198"/>
        <v>#N/A</v>
      </c>
      <c r="AQ490" s="401">
        <f>'Lab test'!AZ483</f>
        <v>1972</v>
      </c>
      <c r="AR490" t="str">
        <f>'Lab test'!AC483</f>
        <v>Electroforming</v>
      </c>
      <c r="AS490" t="str">
        <f>'Lab test'!T483</f>
        <v>Nickel</v>
      </c>
      <c r="AX490" t="e">
        <f t="shared" si="180"/>
        <v>#N/A</v>
      </c>
      <c r="AY490" t="e">
        <f t="shared" si="177"/>
        <v>#N/A</v>
      </c>
      <c r="AZ490" t="e">
        <f t="shared" si="195"/>
        <v>#N/A</v>
      </c>
      <c r="BA490" t="e">
        <f t="shared" si="195"/>
        <v>#N/A</v>
      </c>
      <c r="BB490" t="e">
        <f t="shared" si="195"/>
        <v>#N/A</v>
      </c>
      <c r="BC490" t="e">
        <f t="shared" si="195"/>
        <v>#N/A</v>
      </c>
      <c r="BD490" t="e">
        <f t="shared" si="195"/>
        <v>#N/A</v>
      </c>
      <c r="BG490" t="e">
        <f t="shared" si="181"/>
        <v>#N/A</v>
      </c>
      <c r="BH490" t="e">
        <f t="shared" si="178"/>
        <v>#N/A</v>
      </c>
      <c r="BI490" t="e">
        <f t="shared" si="196"/>
        <v>#N/A</v>
      </c>
      <c r="BJ490" t="e">
        <f t="shared" si="196"/>
        <v>#N/A</v>
      </c>
      <c r="BK490" t="e">
        <f t="shared" si="196"/>
        <v>#N/A</v>
      </c>
      <c r="BL490" t="e">
        <f t="shared" si="196"/>
        <v>#N/A</v>
      </c>
      <c r="BM490" t="e">
        <f t="shared" si="196"/>
        <v>#N/A</v>
      </c>
      <c r="BP490" t="e">
        <f t="shared" si="182"/>
        <v>#N/A</v>
      </c>
      <c r="BQ490" t="e">
        <f t="shared" si="179"/>
        <v>#N/A</v>
      </c>
      <c r="BR490" t="e">
        <f t="shared" si="197"/>
        <v>#N/A</v>
      </c>
      <c r="BS490" t="e">
        <f t="shared" si="197"/>
        <v>#N/A</v>
      </c>
      <c r="BT490" t="e">
        <f t="shared" si="197"/>
        <v>#N/A</v>
      </c>
      <c r="BU490" t="e">
        <f t="shared" si="197"/>
        <v>#N/A</v>
      </c>
      <c r="BV490" t="e">
        <f t="shared" si="197"/>
        <v>#N/A</v>
      </c>
      <c r="BY490" t="e">
        <f t="shared" si="183"/>
        <v>#N/A</v>
      </c>
      <c r="BZ490" t="e">
        <v>#N/A</v>
      </c>
      <c r="CA490" t="e" cm="1">
        <f t="array" ref="CA490">IF(ISNUMBER(BZ490),AF490/COUNT(IF(ISNUMBER(_xlfn.ANCHORARRAY($BZ$11)),_xlfn.ANCHORARRAY($BZ$11))),NA())</f>
        <v>#N/A</v>
      </c>
      <c r="CB490" t="e">
        <f t="shared" si="184"/>
        <v>#N/A</v>
      </c>
      <c r="CD490" t="e">
        <f t="shared" si="185"/>
        <v>#N/A</v>
      </c>
      <c r="CE490" t="e">
        <f t="shared" si="186"/>
        <v>#N/A</v>
      </c>
      <c r="CG490" t="e">
        <v>#N/A</v>
      </c>
      <c r="CH490" t="e">
        <v>#N/A</v>
      </c>
      <c r="CL490" t="e">
        <f t="shared" si="187"/>
        <v>#N/A</v>
      </c>
      <c r="CM490" t="e">
        <v>#N/A</v>
      </c>
      <c r="CN490" t="e" cm="1">
        <f t="array" ref="CN490">IF(ISNUMBER(CM490),AF490/COUNT(IF(ISNUMBER(_xlfn.ANCHORARRAY($CM$11)),_xlfn.ANCHORARRAY($CM$11))),NA())</f>
        <v>#N/A</v>
      </c>
      <c r="CO490" t="e">
        <f t="shared" si="188"/>
        <v>#N/A</v>
      </c>
      <c r="CQ490" t="e">
        <f t="shared" si="189"/>
        <v>#N/A</v>
      </c>
      <c r="CR490" t="e">
        <f t="shared" si="190"/>
        <v>#N/A</v>
      </c>
      <c r="CT490" t="e">
        <v>#N/A</v>
      </c>
      <c r="CU490" t="e">
        <v>#N/A</v>
      </c>
      <c r="CY490" t="e">
        <f t="shared" si="191"/>
        <v>#N/A</v>
      </c>
      <c r="CZ490" t="e">
        <v>#N/A</v>
      </c>
      <c r="DA490" t="e" cm="1">
        <f t="array" ref="DA490">IF(ISNUMBER(CZ490),AF490/COUNT(IF(ISNUMBER(_xlfn.ANCHORARRAY($CZ$11)),_xlfn.ANCHORARRAY($CZ$11))),NA())</f>
        <v>#N/A</v>
      </c>
      <c r="DB490" t="e">
        <f t="shared" si="192"/>
        <v>#N/A</v>
      </c>
      <c r="DD490" t="e">
        <f t="shared" si="193"/>
        <v>#N/A</v>
      </c>
      <c r="DE490" t="e">
        <f t="shared" si="194"/>
        <v>#N/A</v>
      </c>
      <c r="DG490" t="e">
        <v>#N/A</v>
      </c>
      <c r="DH490" t="e">
        <v>#N/A</v>
      </c>
    </row>
    <row r="491" spans="32:112">
      <c r="AF491">
        <v>481</v>
      </c>
      <c r="AG491" s="401">
        <f>'Lab test'!N484</f>
        <v>36.83</v>
      </c>
      <c r="AH491" s="401">
        <f>'Lab test'!M484</f>
        <v>4.8460526315789475E-2</v>
      </c>
      <c r="AI491">
        <f>IF('Lab test'!O484&gt;0,'Lab test'!O484,NA())</f>
        <v>180.84799999999998</v>
      </c>
      <c r="AJ491">
        <f>'Lab test'!Q484</f>
        <v>760</v>
      </c>
      <c r="AK491" s="401">
        <f>IF('Lab test'!V484&gt;0,'Lab test'!V484,NA())</f>
        <v>168921.55335999999</v>
      </c>
      <c r="AL491" s="7" t="e">
        <f>IF(MAX('Lab test'!W484,'Lab test'!X484)&gt;0,MAX('Lab test'!W484,'Lab test'!X484),NA())</f>
        <v>#N/A</v>
      </c>
      <c r="AM491" s="401">
        <f>IF('Lab test'!P484&gt;0,'Lab test'!P484,NA())</f>
        <v>0.17811692761321668</v>
      </c>
      <c r="AN491" s="401" t="e">
        <f>IF('Lab test'!AU484&gt;0,'Lab test'!AU484,NA())</f>
        <v>#N/A</v>
      </c>
      <c r="AO491" s="401">
        <f>IF('Lab test'!AT484&gt;0,'Lab test'!AT484,NA())</f>
        <v>0.85</v>
      </c>
      <c r="AP491" t="e">
        <f t="shared" si="198"/>
        <v>#N/A</v>
      </c>
      <c r="AQ491" s="401">
        <f>'Lab test'!AZ484</f>
        <v>1972</v>
      </c>
      <c r="AR491" t="str">
        <f>'Lab test'!AC484</f>
        <v>Electroforming</v>
      </c>
      <c r="AS491" t="str">
        <f>'Lab test'!T484</f>
        <v>Nickel</v>
      </c>
      <c r="AX491" t="e">
        <f t="shared" si="180"/>
        <v>#N/A</v>
      </c>
      <c r="AY491" t="e">
        <f t="shared" si="177"/>
        <v>#N/A</v>
      </c>
      <c r="AZ491" t="e">
        <f t="shared" si="195"/>
        <v>#N/A</v>
      </c>
      <c r="BA491" t="e">
        <f t="shared" si="195"/>
        <v>#N/A</v>
      </c>
      <c r="BB491" t="e">
        <f t="shared" si="195"/>
        <v>#N/A</v>
      </c>
      <c r="BC491" t="e">
        <f t="shared" si="195"/>
        <v>#N/A</v>
      </c>
      <c r="BD491" t="e">
        <f t="shared" si="195"/>
        <v>#N/A</v>
      </c>
      <c r="BG491" t="e">
        <f t="shared" si="181"/>
        <v>#N/A</v>
      </c>
      <c r="BH491" t="e">
        <f t="shared" si="178"/>
        <v>#N/A</v>
      </c>
      <c r="BI491" t="e">
        <f t="shared" si="196"/>
        <v>#N/A</v>
      </c>
      <c r="BJ491" t="e">
        <f t="shared" si="196"/>
        <v>#N/A</v>
      </c>
      <c r="BK491" t="e">
        <f t="shared" si="196"/>
        <v>#N/A</v>
      </c>
      <c r="BL491" t="e">
        <f t="shared" si="196"/>
        <v>#N/A</v>
      </c>
      <c r="BM491" t="e">
        <f t="shared" si="196"/>
        <v>#N/A</v>
      </c>
      <c r="BP491" t="e">
        <f t="shared" si="182"/>
        <v>#N/A</v>
      </c>
      <c r="BQ491" t="e">
        <f t="shared" si="179"/>
        <v>#N/A</v>
      </c>
      <c r="BR491" t="e">
        <f t="shared" si="197"/>
        <v>#N/A</v>
      </c>
      <c r="BS491" t="e">
        <f t="shared" si="197"/>
        <v>#N/A</v>
      </c>
      <c r="BT491" t="e">
        <f t="shared" si="197"/>
        <v>#N/A</v>
      </c>
      <c r="BU491" t="e">
        <f t="shared" si="197"/>
        <v>#N/A</v>
      </c>
      <c r="BV491" t="e">
        <f t="shared" si="197"/>
        <v>#N/A</v>
      </c>
      <c r="BY491" t="e">
        <f t="shared" si="183"/>
        <v>#N/A</v>
      </c>
      <c r="BZ491" t="e">
        <v>#N/A</v>
      </c>
      <c r="CA491" t="e" cm="1">
        <f t="array" ref="CA491">IF(ISNUMBER(BZ491),AF491/COUNT(IF(ISNUMBER(_xlfn.ANCHORARRAY($BZ$11)),_xlfn.ANCHORARRAY($BZ$11))),NA())</f>
        <v>#N/A</v>
      </c>
      <c r="CB491" t="e">
        <f t="shared" si="184"/>
        <v>#N/A</v>
      </c>
      <c r="CD491" t="e">
        <f t="shared" si="185"/>
        <v>#N/A</v>
      </c>
      <c r="CE491" t="e">
        <f t="shared" si="186"/>
        <v>#N/A</v>
      </c>
      <c r="CG491" t="e">
        <v>#N/A</v>
      </c>
      <c r="CH491" t="e">
        <v>#N/A</v>
      </c>
      <c r="CL491" t="e">
        <f t="shared" si="187"/>
        <v>#N/A</v>
      </c>
      <c r="CM491" t="e">
        <v>#N/A</v>
      </c>
      <c r="CN491" t="e" cm="1">
        <f t="array" ref="CN491">IF(ISNUMBER(CM491),AF491/COUNT(IF(ISNUMBER(_xlfn.ANCHORARRAY($CM$11)),_xlfn.ANCHORARRAY($CM$11))),NA())</f>
        <v>#N/A</v>
      </c>
      <c r="CO491" t="e">
        <f t="shared" si="188"/>
        <v>#N/A</v>
      </c>
      <c r="CQ491" t="e">
        <f t="shared" si="189"/>
        <v>#N/A</v>
      </c>
      <c r="CR491" t="e">
        <f t="shared" si="190"/>
        <v>#N/A</v>
      </c>
      <c r="CT491" t="e">
        <v>#N/A</v>
      </c>
      <c r="CU491" t="e">
        <v>#N/A</v>
      </c>
      <c r="CY491" t="e">
        <f t="shared" si="191"/>
        <v>#N/A</v>
      </c>
      <c r="CZ491" t="e">
        <v>#N/A</v>
      </c>
      <c r="DA491" t="e" cm="1">
        <f t="array" ref="DA491">IF(ISNUMBER(CZ491),AF491/COUNT(IF(ISNUMBER(_xlfn.ANCHORARRAY($CZ$11)),_xlfn.ANCHORARRAY($CZ$11))),NA())</f>
        <v>#N/A</v>
      </c>
      <c r="DB491" t="e">
        <f t="shared" si="192"/>
        <v>#N/A</v>
      </c>
      <c r="DD491" t="e">
        <f t="shared" si="193"/>
        <v>#N/A</v>
      </c>
      <c r="DE491" t="e">
        <f t="shared" si="194"/>
        <v>#N/A</v>
      </c>
      <c r="DG491" t="e">
        <v>#N/A</v>
      </c>
      <c r="DH491" t="e">
        <v>#N/A</v>
      </c>
    </row>
    <row r="492" spans="32:112">
      <c r="AF492">
        <v>482</v>
      </c>
      <c r="AG492" s="401">
        <f>'Lab test'!N485</f>
        <v>36.83</v>
      </c>
      <c r="AH492" s="401">
        <f>'Lab test'!M485</f>
        <v>7.8361702127659569E-2</v>
      </c>
      <c r="AI492">
        <f>IF('Lab test'!O485&gt;0,'Lab test'!O485,NA())</f>
        <v>180.84799999999998</v>
      </c>
      <c r="AJ492">
        <f>'Lab test'!Q485</f>
        <v>470</v>
      </c>
      <c r="AK492" s="401">
        <f>IF('Lab test'!V485&gt;0,'Lab test'!V485,NA())</f>
        <v>168921.55335999999</v>
      </c>
      <c r="AL492" s="7" t="e">
        <f>IF(MAX('Lab test'!W485,'Lab test'!X485)&gt;0,MAX('Lab test'!W485,'Lab test'!X485),NA())</f>
        <v>#N/A</v>
      </c>
      <c r="AM492" s="401">
        <f>IF('Lab test'!P485&gt;0,'Lab test'!P485,NA())</f>
        <v>0.22649731728157457</v>
      </c>
      <c r="AN492" s="401" t="e">
        <f>IF('Lab test'!AU485&gt;0,'Lab test'!AU485,NA())</f>
        <v>#N/A</v>
      </c>
      <c r="AO492" s="401">
        <f>IF('Lab test'!AT485&gt;0,'Lab test'!AT485,NA())</f>
        <v>0.81</v>
      </c>
      <c r="AP492" t="e">
        <f t="shared" si="198"/>
        <v>#N/A</v>
      </c>
      <c r="AQ492" s="401">
        <f>'Lab test'!AZ485</f>
        <v>1972</v>
      </c>
      <c r="AR492" t="str">
        <f>'Lab test'!AC485</f>
        <v>Electroforming</v>
      </c>
      <c r="AS492" t="str">
        <f>'Lab test'!T485</f>
        <v>Nickel</v>
      </c>
      <c r="AX492" t="e">
        <f t="shared" si="180"/>
        <v>#N/A</v>
      </c>
      <c r="AY492" t="e">
        <f t="shared" si="177"/>
        <v>#N/A</v>
      </c>
      <c r="AZ492" t="e">
        <f t="shared" si="195"/>
        <v>#N/A</v>
      </c>
      <c r="BA492" t="e">
        <f t="shared" si="195"/>
        <v>#N/A</v>
      </c>
      <c r="BB492" t="e">
        <f t="shared" si="195"/>
        <v>#N/A</v>
      </c>
      <c r="BC492" t="e">
        <f t="shared" si="195"/>
        <v>#N/A</v>
      </c>
      <c r="BD492" t="e">
        <f t="shared" si="195"/>
        <v>#N/A</v>
      </c>
      <c r="BG492" t="e">
        <f t="shared" si="181"/>
        <v>#N/A</v>
      </c>
      <c r="BH492" t="e">
        <f t="shared" si="178"/>
        <v>#N/A</v>
      </c>
      <c r="BI492" t="e">
        <f t="shared" si="196"/>
        <v>#N/A</v>
      </c>
      <c r="BJ492" t="e">
        <f t="shared" si="196"/>
        <v>#N/A</v>
      </c>
      <c r="BK492" t="e">
        <f t="shared" si="196"/>
        <v>#N/A</v>
      </c>
      <c r="BL492" t="e">
        <f t="shared" si="196"/>
        <v>#N/A</v>
      </c>
      <c r="BM492" t="e">
        <f t="shared" si="196"/>
        <v>#N/A</v>
      </c>
      <c r="BP492" t="e">
        <f t="shared" si="182"/>
        <v>#N/A</v>
      </c>
      <c r="BQ492" t="e">
        <f t="shared" si="179"/>
        <v>#N/A</v>
      </c>
      <c r="BR492" t="e">
        <f t="shared" si="197"/>
        <v>#N/A</v>
      </c>
      <c r="BS492" t="e">
        <f t="shared" si="197"/>
        <v>#N/A</v>
      </c>
      <c r="BT492" t="e">
        <f t="shared" si="197"/>
        <v>#N/A</v>
      </c>
      <c r="BU492" t="e">
        <f t="shared" si="197"/>
        <v>#N/A</v>
      </c>
      <c r="BV492" t="e">
        <f t="shared" si="197"/>
        <v>#N/A</v>
      </c>
      <c r="BY492" t="e">
        <f t="shared" si="183"/>
        <v>#N/A</v>
      </c>
      <c r="BZ492" t="e">
        <v>#N/A</v>
      </c>
      <c r="CA492" t="e" cm="1">
        <f t="array" ref="CA492">IF(ISNUMBER(BZ492),AF492/COUNT(IF(ISNUMBER(_xlfn.ANCHORARRAY($BZ$11)),_xlfn.ANCHORARRAY($BZ$11))),NA())</f>
        <v>#N/A</v>
      </c>
      <c r="CB492" t="e">
        <f t="shared" si="184"/>
        <v>#N/A</v>
      </c>
      <c r="CD492" t="e">
        <f t="shared" si="185"/>
        <v>#N/A</v>
      </c>
      <c r="CE492" t="e">
        <f t="shared" si="186"/>
        <v>#N/A</v>
      </c>
      <c r="CG492" t="e">
        <v>#N/A</v>
      </c>
      <c r="CH492" t="e">
        <v>#N/A</v>
      </c>
      <c r="CL492" t="e">
        <f t="shared" si="187"/>
        <v>#N/A</v>
      </c>
      <c r="CM492" t="e">
        <v>#N/A</v>
      </c>
      <c r="CN492" t="e" cm="1">
        <f t="array" ref="CN492">IF(ISNUMBER(CM492),AF492/COUNT(IF(ISNUMBER(_xlfn.ANCHORARRAY($CM$11)),_xlfn.ANCHORARRAY($CM$11))),NA())</f>
        <v>#N/A</v>
      </c>
      <c r="CO492" t="e">
        <f t="shared" si="188"/>
        <v>#N/A</v>
      </c>
      <c r="CQ492" t="e">
        <f t="shared" si="189"/>
        <v>#N/A</v>
      </c>
      <c r="CR492" t="e">
        <f t="shared" si="190"/>
        <v>#N/A</v>
      </c>
      <c r="CT492" t="e">
        <v>#N/A</v>
      </c>
      <c r="CU492" t="e">
        <v>#N/A</v>
      </c>
      <c r="CY492" t="e">
        <f t="shared" si="191"/>
        <v>#N/A</v>
      </c>
      <c r="CZ492" t="e">
        <v>#N/A</v>
      </c>
      <c r="DA492" t="e" cm="1">
        <f t="array" ref="DA492">IF(ISNUMBER(CZ492),AF492/COUNT(IF(ISNUMBER(_xlfn.ANCHORARRAY($CZ$11)),_xlfn.ANCHORARRAY($CZ$11))),NA())</f>
        <v>#N/A</v>
      </c>
      <c r="DB492" t="e">
        <f t="shared" si="192"/>
        <v>#N/A</v>
      </c>
      <c r="DD492" t="e">
        <f t="shared" si="193"/>
        <v>#N/A</v>
      </c>
      <c r="DE492" t="e">
        <f t="shared" si="194"/>
        <v>#N/A</v>
      </c>
      <c r="DG492" t="e">
        <v>#N/A</v>
      </c>
      <c r="DH492" t="e">
        <v>#N/A</v>
      </c>
    </row>
    <row r="493" spans="32:112">
      <c r="AF493">
        <v>483</v>
      </c>
      <c r="AG493" s="401">
        <f>'Lab test'!N486</f>
        <v>36.83</v>
      </c>
      <c r="AH493" s="401">
        <f>'Lab test'!M486</f>
        <v>5.8740031897926634E-2</v>
      </c>
      <c r="AI493">
        <f>IF('Lab test'!O486&gt;0,'Lab test'!O486,NA())</f>
        <v>180.84799999999998</v>
      </c>
      <c r="AJ493">
        <f>'Lab test'!Q486</f>
        <v>627</v>
      </c>
      <c r="AK493" s="401">
        <f>IF('Lab test'!V486&gt;0,'Lab test'!V486,NA())</f>
        <v>168921.55335999999</v>
      </c>
      <c r="AL493" s="7" t="e">
        <f>IF(MAX('Lab test'!W486,'Lab test'!X486)&gt;0,MAX('Lab test'!W486,'Lab test'!X486),NA())</f>
        <v>#N/A</v>
      </c>
      <c r="AM493" s="401">
        <f>IF('Lab test'!P486&gt;0,'Lab test'!P486,NA())</f>
        <v>0.19610028325778645</v>
      </c>
      <c r="AN493" s="401" t="e">
        <f>IF('Lab test'!AU486&gt;0,'Lab test'!AU486,NA())</f>
        <v>#N/A</v>
      </c>
      <c r="AO493" s="401">
        <f>IF('Lab test'!AT486&gt;0,'Lab test'!AT486,NA())</f>
        <v>0.8</v>
      </c>
      <c r="AP493" t="e">
        <f t="shared" si="198"/>
        <v>#N/A</v>
      </c>
      <c r="AQ493" s="401">
        <f>'Lab test'!AZ486</f>
        <v>1972</v>
      </c>
      <c r="AR493" t="str">
        <f>'Lab test'!AC486</f>
        <v>Electroforming</v>
      </c>
      <c r="AS493" t="str">
        <f>'Lab test'!T486</f>
        <v>Nickel</v>
      </c>
      <c r="AX493" t="e">
        <f t="shared" si="180"/>
        <v>#N/A</v>
      </c>
      <c r="AY493" t="e">
        <f t="shared" si="177"/>
        <v>#N/A</v>
      </c>
      <c r="AZ493" t="e">
        <f t="shared" si="195"/>
        <v>#N/A</v>
      </c>
      <c r="BA493" t="e">
        <f t="shared" si="195"/>
        <v>#N/A</v>
      </c>
      <c r="BB493" t="e">
        <f t="shared" si="195"/>
        <v>#N/A</v>
      </c>
      <c r="BC493" t="e">
        <f t="shared" si="195"/>
        <v>#N/A</v>
      </c>
      <c r="BD493" t="e">
        <f t="shared" si="195"/>
        <v>#N/A</v>
      </c>
      <c r="BG493" t="e">
        <f t="shared" si="181"/>
        <v>#N/A</v>
      </c>
      <c r="BH493" t="e">
        <f t="shared" si="178"/>
        <v>#N/A</v>
      </c>
      <c r="BI493" t="e">
        <f t="shared" si="196"/>
        <v>#N/A</v>
      </c>
      <c r="BJ493" t="e">
        <f t="shared" si="196"/>
        <v>#N/A</v>
      </c>
      <c r="BK493" t="e">
        <f t="shared" si="196"/>
        <v>#N/A</v>
      </c>
      <c r="BL493" t="e">
        <f t="shared" si="196"/>
        <v>#N/A</v>
      </c>
      <c r="BM493" t="e">
        <f t="shared" si="196"/>
        <v>#N/A</v>
      </c>
      <c r="BP493" t="e">
        <f t="shared" si="182"/>
        <v>#N/A</v>
      </c>
      <c r="BQ493" t="e">
        <f t="shared" si="179"/>
        <v>#N/A</v>
      </c>
      <c r="BR493" t="e">
        <f t="shared" si="197"/>
        <v>#N/A</v>
      </c>
      <c r="BS493" t="e">
        <f t="shared" si="197"/>
        <v>#N/A</v>
      </c>
      <c r="BT493" t="e">
        <f t="shared" si="197"/>
        <v>#N/A</v>
      </c>
      <c r="BU493" t="e">
        <f t="shared" si="197"/>
        <v>#N/A</v>
      </c>
      <c r="BV493" t="e">
        <f t="shared" si="197"/>
        <v>#N/A</v>
      </c>
      <c r="BY493" t="e">
        <f t="shared" si="183"/>
        <v>#N/A</v>
      </c>
      <c r="BZ493" t="e">
        <v>#N/A</v>
      </c>
      <c r="CA493" t="e" cm="1">
        <f t="array" ref="CA493">IF(ISNUMBER(BZ493),AF493/COUNT(IF(ISNUMBER(_xlfn.ANCHORARRAY($BZ$11)),_xlfn.ANCHORARRAY($BZ$11))),NA())</f>
        <v>#N/A</v>
      </c>
      <c r="CB493" t="e">
        <f t="shared" si="184"/>
        <v>#N/A</v>
      </c>
      <c r="CD493" t="e">
        <f t="shared" si="185"/>
        <v>#N/A</v>
      </c>
      <c r="CE493" t="e">
        <f t="shared" si="186"/>
        <v>#N/A</v>
      </c>
      <c r="CG493" t="e">
        <v>#N/A</v>
      </c>
      <c r="CH493" t="e">
        <v>#N/A</v>
      </c>
      <c r="CL493" t="e">
        <f t="shared" si="187"/>
        <v>#N/A</v>
      </c>
      <c r="CM493" t="e">
        <v>#N/A</v>
      </c>
      <c r="CN493" t="e" cm="1">
        <f t="array" ref="CN493">IF(ISNUMBER(CM493),AF493/COUNT(IF(ISNUMBER(_xlfn.ANCHORARRAY($CM$11)),_xlfn.ANCHORARRAY($CM$11))),NA())</f>
        <v>#N/A</v>
      </c>
      <c r="CO493" t="e">
        <f t="shared" si="188"/>
        <v>#N/A</v>
      </c>
      <c r="CQ493" t="e">
        <f t="shared" si="189"/>
        <v>#N/A</v>
      </c>
      <c r="CR493" t="e">
        <f t="shared" si="190"/>
        <v>#N/A</v>
      </c>
      <c r="CT493" t="e">
        <v>#N/A</v>
      </c>
      <c r="CU493" t="e">
        <v>#N/A</v>
      </c>
      <c r="CY493" t="e">
        <f t="shared" si="191"/>
        <v>#N/A</v>
      </c>
      <c r="CZ493" t="e">
        <v>#N/A</v>
      </c>
      <c r="DA493" t="e" cm="1">
        <f t="array" ref="DA493">IF(ISNUMBER(CZ493),AF493/COUNT(IF(ISNUMBER(_xlfn.ANCHORARRAY($CZ$11)),_xlfn.ANCHORARRAY($CZ$11))),NA())</f>
        <v>#N/A</v>
      </c>
      <c r="DB493" t="e">
        <f t="shared" si="192"/>
        <v>#N/A</v>
      </c>
      <c r="DD493" t="e">
        <f t="shared" si="193"/>
        <v>#N/A</v>
      </c>
      <c r="DE493" t="e">
        <f t="shared" si="194"/>
        <v>#N/A</v>
      </c>
      <c r="DG493" t="e">
        <v>#N/A</v>
      </c>
      <c r="DH493" t="e">
        <v>#N/A</v>
      </c>
    </row>
    <row r="494" spans="32:112">
      <c r="AF494">
        <v>484</v>
      </c>
      <c r="AG494" s="401">
        <f>'Lab test'!N487</f>
        <v>36.83</v>
      </c>
      <c r="AH494" s="401">
        <f>'Lab test'!M487</f>
        <v>5.2614285714285711E-2</v>
      </c>
      <c r="AI494">
        <f>IF('Lab test'!O487&gt;0,'Lab test'!O487,NA())</f>
        <v>180.84799999999998</v>
      </c>
      <c r="AJ494">
        <f>'Lab test'!Q487</f>
        <v>700</v>
      </c>
      <c r="AK494" s="401">
        <f>IF('Lab test'!V487&gt;0,'Lab test'!V487,NA())</f>
        <v>168921.55335999999</v>
      </c>
      <c r="AL494" s="7" t="e">
        <f>IF(MAX('Lab test'!W487,'Lab test'!X487)&gt;0,MAX('Lab test'!W487,'Lab test'!X487),NA())</f>
        <v>#N/A</v>
      </c>
      <c r="AM494" s="401">
        <f>IF('Lab test'!P487&gt;0,'Lab test'!P487,NA())</f>
        <v>0.18559358950522054</v>
      </c>
      <c r="AN494" s="401" t="e">
        <f>IF('Lab test'!AU487&gt;0,'Lab test'!AU487,NA())</f>
        <v>#N/A</v>
      </c>
      <c r="AO494" s="401">
        <f>IF('Lab test'!AT487&gt;0,'Lab test'!AT487,NA())</f>
        <v>0.86</v>
      </c>
      <c r="AP494" t="e">
        <f t="shared" si="198"/>
        <v>#N/A</v>
      </c>
      <c r="AQ494" s="401">
        <f>'Lab test'!AZ487</f>
        <v>1972</v>
      </c>
      <c r="AR494" t="str">
        <f>'Lab test'!AC487</f>
        <v>Electroforming</v>
      </c>
      <c r="AS494" t="str">
        <f>'Lab test'!T487</f>
        <v>Nickel</v>
      </c>
      <c r="AX494" t="e">
        <f t="shared" si="180"/>
        <v>#N/A</v>
      </c>
      <c r="AY494" t="e">
        <f t="shared" ref="AY494:AY557" si="199">IF(ISNUMBER($AJ494),IF(ISNUMBER($AP494),IF($AJ494&gt;AY$9,IF($AJ494&lt;=AY$10,IF($AR494=$AW$2,IF($AS494=$AW$6,$AK494,NA()),NA()),NA()),NA()),NA()),NA())</f>
        <v>#N/A</v>
      </c>
      <c r="AZ494" t="e">
        <f t="shared" si="195"/>
        <v>#N/A</v>
      </c>
      <c r="BA494" t="e">
        <f t="shared" si="195"/>
        <v>#N/A</v>
      </c>
      <c r="BB494" t="e">
        <f t="shared" si="195"/>
        <v>#N/A</v>
      </c>
      <c r="BC494" t="e">
        <f t="shared" si="195"/>
        <v>#N/A</v>
      </c>
      <c r="BD494" t="e">
        <f t="shared" si="195"/>
        <v>#N/A</v>
      </c>
      <c r="BG494" t="e">
        <f t="shared" si="181"/>
        <v>#N/A</v>
      </c>
      <c r="BH494" t="e">
        <f t="shared" ref="BH494:BH557" si="200">IF(ISNUMBER($AJ494),IF(ISNUMBER($AP494),IF($AJ494&gt;BH$9,IF($AJ494&lt;=BH$10,IF($AR494=$AW$2,IF($AS494=$BF$6,$AK494,NA()),NA()),NA()),NA()),NA()),NA())</f>
        <v>#N/A</v>
      </c>
      <c r="BI494" t="e">
        <f t="shared" si="196"/>
        <v>#N/A</v>
      </c>
      <c r="BJ494" t="e">
        <f t="shared" si="196"/>
        <v>#N/A</v>
      </c>
      <c r="BK494" t="e">
        <f t="shared" si="196"/>
        <v>#N/A</v>
      </c>
      <c r="BL494" t="e">
        <f t="shared" si="196"/>
        <v>#N/A</v>
      </c>
      <c r="BM494" t="e">
        <f t="shared" si="196"/>
        <v>#N/A</v>
      </c>
      <c r="BP494" t="e">
        <f t="shared" si="182"/>
        <v>#N/A</v>
      </c>
      <c r="BQ494" t="e">
        <f t="shared" ref="BQ494:BQ557" si="201">IF(ISNUMBER($AJ494),IF(ISNUMBER($AP494),IF($AJ494&gt;BQ$9,IF($AJ494&lt;=BQ$10,IF($AR494=$AW$2,IF($AS494=$BO$6,$AK494,NA()),NA()),NA()),NA()),NA()),NA())</f>
        <v>#N/A</v>
      </c>
      <c r="BR494" t="e">
        <f t="shared" si="197"/>
        <v>#N/A</v>
      </c>
      <c r="BS494" t="e">
        <f t="shared" si="197"/>
        <v>#N/A</v>
      </c>
      <c r="BT494" t="e">
        <f t="shared" si="197"/>
        <v>#N/A</v>
      </c>
      <c r="BU494" t="e">
        <f t="shared" si="197"/>
        <v>#N/A</v>
      </c>
      <c r="BV494" t="e">
        <f t="shared" si="197"/>
        <v>#N/A</v>
      </c>
      <c r="BY494" t="e">
        <f t="shared" si="183"/>
        <v>#N/A</v>
      </c>
      <c r="BZ494" t="e">
        <v>#N/A</v>
      </c>
      <c r="CA494" t="e" cm="1">
        <f t="array" ref="CA494">IF(ISNUMBER(BZ494),AF494/COUNT(IF(ISNUMBER(_xlfn.ANCHORARRAY($BZ$11)),_xlfn.ANCHORARRAY($BZ$11))),NA())</f>
        <v>#N/A</v>
      </c>
      <c r="CB494" t="e">
        <f t="shared" si="184"/>
        <v>#N/A</v>
      </c>
      <c r="CD494" t="e">
        <f t="shared" si="185"/>
        <v>#N/A</v>
      </c>
      <c r="CE494" t="e">
        <f t="shared" si="186"/>
        <v>#N/A</v>
      </c>
      <c r="CG494" t="e">
        <v>#N/A</v>
      </c>
      <c r="CH494" t="e">
        <v>#N/A</v>
      </c>
      <c r="CL494" t="e">
        <f t="shared" si="187"/>
        <v>#N/A</v>
      </c>
      <c r="CM494" t="e">
        <v>#N/A</v>
      </c>
      <c r="CN494" t="e" cm="1">
        <f t="array" ref="CN494">IF(ISNUMBER(CM494),AF494/COUNT(IF(ISNUMBER(_xlfn.ANCHORARRAY($CM$11)),_xlfn.ANCHORARRAY($CM$11))),NA())</f>
        <v>#N/A</v>
      </c>
      <c r="CO494" t="e">
        <f t="shared" si="188"/>
        <v>#N/A</v>
      </c>
      <c r="CQ494" t="e">
        <f t="shared" si="189"/>
        <v>#N/A</v>
      </c>
      <c r="CR494" t="e">
        <f t="shared" si="190"/>
        <v>#N/A</v>
      </c>
      <c r="CT494" t="e">
        <v>#N/A</v>
      </c>
      <c r="CU494" t="e">
        <v>#N/A</v>
      </c>
      <c r="CY494" t="e">
        <f t="shared" si="191"/>
        <v>#N/A</v>
      </c>
      <c r="CZ494" t="e">
        <v>#N/A</v>
      </c>
      <c r="DA494" t="e" cm="1">
        <f t="array" ref="DA494">IF(ISNUMBER(CZ494),AF494/COUNT(IF(ISNUMBER(_xlfn.ANCHORARRAY($CZ$11)),_xlfn.ANCHORARRAY($CZ$11))),NA())</f>
        <v>#N/A</v>
      </c>
      <c r="DB494" t="e">
        <f t="shared" si="192"/>
        <v>#N/A</v>
      </c>
      <c r="DD494" t="e">
        <f t="shared" si="193"/>
        <v>#N/A</v>
      </c>
      <c r="DE494" t="e">
        <f t="shared" si="194"/>
        <v>#N/A</v>
      </c>
      <c r="DG494" t="e">
        <v>#N/A</v>
      </c>
      <c r="DH494" t="e">
        <v>#N/A</v>
      </c>
    </row>
    <row r="495" spans="32:112">
      <c r="AF495">
        <v>485</v>
      </c>
      <c r="AG495" s="401">
        <f>'Lab test'!N488</f>
        <v>36.83</v>
      </c>
      <c r="AH495" s="401">
        <f>'Lab test'!M488</f>
        <v>3.9602150537634405E-2</v>
      </c>
      <c r="AI495">
        <f>IF('Lab test'!O488&gt;0,'Lab test'!O488,NA())</f>
        <v>180.84799999999998</v>
      </c>
      <c r="AJ495">
        <f>'Lab test'!Q488</f>
        <v>930</v>
      </c>
      <c r="AK495" s="401">
        <f>IF('Lab test'!V488&gt;0,'Lab test'!V488,NA())</f>
        <v>168921.55335999999</v>
      </c>
      <c r="AL495" s="7" t="e">
        <f>IF(MAX('Lab test'!W488,'Lab test'!X488)&gt;0,MAX('Lab test'!W488,'Lab test'!X488),NA())</f>
        <v>#N/A</v>
      </c>
      <c r="AM495" s="401">
        <f>IF('Lab test'!P488&gt;0,'Lab test'!P488,NA())</f>
        <v>0.16101655002695672</v>
      </c>
      <c r="AN495" s="401" t="e">
        <f>IF('Lab test'!AU488&gt;0,'Lab test'!AU488,NA())</f>
        <v>#N/A</v>
      </c>
      <c r="AO495" s="401">
        <f>IF('Lab test'!AT488&gt;0,'Lab test'!AT488,NA())</f>
        <v>0.84</v>
      </c>
      <c r="AP495" t="e">
        <f t="shared" si="198"/>
        <v>#N/A</v>
      </c>
      <c r="AQ495" s="401">
        <f>'Lab test'!AZ488</f>
        <v>1972</v>
      </c>
      <c r="AR495" t="str">
        <f>'Lab test'!AC488</f>
        <v>Electroforming</v>
      </c>
      <c r="AS495" t="str">
        <f>'Lab test'!T488</f>
        <v>Nickel</v>
      </c>
      <c r="AX495" t="e">
        <f t="shared" si="180"/>
        <v>#N/A</v>
      </c>
      <c r="AY495" t="e">
        <f t="shared" si="199"/>
        <v>#N/A</v>
      </c>
      <c r="AZ495" t="e">
        <f t="shared" si="195"/>
        <v>#N/A</v>
      </c>
      <c r="BA495" t="e">
        <f t="shared" si="195"/>
        <v>#N/A</v>
      </c>
      <c r="BB495" t="e">
        <f t="shared" si="195"/>
        <v>#N/A</v>
      </c>
      <c r="BC495" t="e">
        <f t="shared" si="195"/>
        <v>#N/A</v>
      </c>
      <c r="BD495" t="e">
        <f t="shared" si="195"/>
        <v>#N/A</v>
      </c>
      <c r="BG495" t="e">
        <f t="shared" si="181"/>
        <v>#N/A</v>
      </c>
      <c r="BH495" t="e">
        <f t="shared" si="200"/>
        <v>#N/A</v>
      </c>
      <c r="BI495" t="e">
        <f t="shared" si="196"/>
        <v>#N/A</v>
      </c>
      <c r="BJ495" t="e">
        <f t="shared" si="196"/>
        <v>#N/A</v>
      </c>
      <c r="BK495" t="e">
        <f t="shared" si="196"/>
        <v>#N/A</v>
      </c>
      <c r="BL495" t="e">
        <f t="shared" si="196"/>
        <v>#N/A</v>
      </c>
      <c r="BM495" t="e">
        <f t="shared" si="196"/>
        <v>#N/A</v>
      </c>
      <c r="BP495" t="e">
        <f t="shared" si="182"/>
        <v>#N/A</v>
      </c>
      <c r="BQ495" t="e">
        <f t="shared" si="201"/>
        <v>#N/A</v>
      </c>
      <c r="BR495" t="e">
        <f t="shared" si="197"/>
        <v>#N/A</v>
      </c>
      <c r="BS495" t="e">
        <f t="shared" si="197"/>
        <v>#N/A</v>
      </c>
      <c r="BT495" t="e">
        <f t="shared" si="197"/>
        <v>#N/A</v>
      </c>
      <c r="BU495" t="e">
        <f t="shared" si="197"/>
        <v>#N/A</v>
      </c>
      <c r="BV495" t="e">
        <f t="shared" si="197"/>
        <v>#N/A</v>
      </c>
      <c r="BY495" t="e">
        <f t="shared" si="183"/>
        <v>#N/A</v>
      </c>
      <c r="BZ495" t="e">
        <v>#N/A</v>
      </c>
      <c r="CA495" t="e" cm="1">
        <f t="array" ref="CA495">IF(ISNUMBER(BZ495),AF495/COUNT(IF(ISNUMBER(_xlfn.ANCHORARRAY($BZ$11)),_xlfn.ANCHORARRAY($BZ$11))),NA())</f>
        <v>#N/A</v>
      </c>
      <c r="CB495" t="e">
        <f t="shared" si="184"/>
        <v>#N/A</v>
      </c>
      <c r="CD495" t="e">
        <f t="shared" si="185"/>
        <v>#N/A</v>
      </c>
      <c r="CE495" t="e">
        <f t="shared" si="186"/>
        <v>#N/A</v>
      </c>
      <c r="CG495" t="e">
        <v>#N/A</v>
      </c>
      <c r="CH495" t="e">
        <v>#N/A</v>
      </c>
      <c r="CL495" t="e">
        <f t="shared" si="187"/>
        <v>#N/A</v>
      </c>
      <c r="CM495" t="e">
        <v>#N/A</v>
      </c>
      <c r="CN495" t="e" cm="1">
        <f t="array" ref="CN495">IF(ISNUMBER(CM495),AF495/COUNT(IF(ISNUMBER(_xlfn.ANCHORARRAY($CM$11)),_xlfn.ANCHORARRAY($CM$11))),NA())</f>
        <v>#N/A</v>
      </c>
      <c r="CO495" t="e">
        <f t="shared" si="188"/>
        <v>#N/A</v>
      </c>
      <c r="CQ495" t="e">
        <f t="shared" si="189"/>
        <v>#N/A</v>
      </c>
      <c r="CR495" t="e">
        <f t="shared" si="190"/>
        <v>#N/A</v>
      </c>
      <c r="CT495" t="e">
        <v>#N/A</v>
      </c>
      <c r="CU495" t="e">
        <v>#N/A</v>
      </c>
      <c r="CY495" t="e">
        <f t="shared" si="191"/>
        <v>#N/A</v>
      </c>
      <c r="CZ495" t="e">
        <v>#N/A</v>
      </c>
      <c r="DA495" t="e" cm="1">
        <f t="array" ref="DA495">IF(ISNUMBER(CZ495),AF495/COUNT(IF(ISNUMBER(_xlfn.ANCHORARRAY($CZ$11)),_xlfn.ANCHORARRAY($CZ$11))),NA())</f>
        <v>#N/A</v>
      </c>
      <c r="DB495" t="e">
        <f t="shared" si="192"/>
        <v>#N/A</v>
      </c>
      <c r="DD495" t="e">
        <f t="shared" si="193"/>
        <v>#N/A</v>
      </c>
      <c r="DE495" t="e">
        <f t="shared" si="194"/>
        <v>#N/A</v>
      </c>
      <c r="DG495" t="e">
        <v>#N/A</v>
      </c>
      <c r="DH495" t="e">
        <v>#N/A</v>
      </c>
    </row>
    <row r="496" spans="32:112">
      <c r="AF496">
        <v>486</v>
      </c>
      <c r="AG496" s="401">
        <f>'Lab test'!N489</f>
        <v>36.83</v>
      </c>
      <c r="AH496" s="401">
        <f>'Lab test'!M489</f>
        <v>4.977027027027027E-2</v>
      </c>
      <c r="AI496">
        <f>IF('Lab test'!O489&gt;0,'Lab test'!O489,NA())</f>
        <v>180.84799999999998</v>
      </c>
      <c r="AJ496">
        <f>'Lab test'!Q489</f>
        <v>740</v>
      </c>
      <c r="AK496" s="401">
        <f>IF('Lab test'!V489&gt;0,'Lab test'!V489,NA())</f>
        <v>168921.55335999999</v>
      </c>
      <c r="AL496" s="7" t="e">
        <f>IF(MAX('Lab test'!W489,'Lab test'!X489)&gt;0,MAX('Lab test'!W489,'Lab test'!X489),NA())</f>
        <v>#N/A</v>
      </c>
      <c r="AM496" s="401">
        <f>IF('Lab test'!P489&gt;0,'Lab test'!P489,NA())</f>
        <v>0.18050786583820383</v>
      </c>
      <c r="AN496" s="401" t="e">
        <f>IF('Lab test'!AU489&gt;0,'Lab test'!AU489,NA())</f>
        <v>#N/A</v>
      </c>
      <c r="AO496" s="401">
        <f>IF('Lab test'!AT489&gt;0,'Lab test'!AT489,NA())</f>
        <v>0.84</v>
      </c>
      <c r="AP496" t="e">
        <f t="shared" si="198"/>
        <v>#N/A</v>
      </c>
      <c r="AQ496" s="401">
        <f>'Lab test'!AZ489</f>
        <v>1972</v>
      </c>
      <c r="AR496" t="str">
        <f>'Lab test'!AC489</f>
        <v>Electroforming</v>
      </c>
      <c r="AS496" t="str">
        <f>'Lab test'!T489</f>
        <v>Nickel</v>
      </c>
      <c r="AX496" t="e">
        <f t="shared" si="180"/>
        <v>#N/A</v>
      </c>
      <c r="AY496" t="e">
        <f t="shared" si="199"/>
        <v>#N/A</v>
      </c>
      <c r="AZ496" t="e">
        <f t="shared" si="195"/>
        <v>#N/A</v>
      </c>
      <c r="BA496" t="e">
        <f t="shared" si="195"/>
        <v>#N/A</v>
      </c>
      <c r="BB496" t="e">
        <f t="shared" si="195"/>
        <v>#N/A</v>
      </c>
      <c r="BC496" t="e">
        <f t="shared" si="195"/>
        <v>#N/A</v>
      </c>
      <c r="BD496" t="e">
        <f t="shared" si="195"/>
        <v>#N/A</v>
      </c>
      <c r="BG496" t="e">
        <f t="shared" si="181"/>
        <v>#N/A</v>
      </c>
      <c r="BH496" t="e">
        <f t="shared" si="200"/>
        <v>#N/A</v>
      </c>
      <c r="BI496" t="e">
        <f t="shared" si="196"/>
        <v>#N/A</v>
      </c>
      <c r="BJ496" t="e">
        <f t="shared" si="196"/>
        <v>#N/A</v>
      </c>
      <c r="BK496" t="e">
        <f t="shared" si="196"/>
        <v>#N/A</v>
      </c>
      <c r="BL496" t="e">
        <f t="shared" si="196"/>
        <v>#N/A</v>
      </c>
      <c r="BM496" t="e">
        <f t="shared" si="196"/>
        <v>#N/A</v>
      </c>
      <c r="BP496" t="e">
        <f t="shared" si="182"/>
        <v>#N/A</v>
      </c>
      <c r="BQ496" t="e">
        <f t="shared" si="201"/>
        <v>#N/A</v>
      </c>
      <c r="BR496" t="e">
        <f t="shared" si="197"/>
        <v>#N/A</v>
      </c>
      <c r="BS496" t="e">
        <f t="shared" si="197"/>
        <v>#N/A</v>
      </c>
      <c r="BT496" t="e">
        <f t="shared" si="197"/>
        <v>#N/A</v>
      </c>
      <c r="BU496" t="e">
        <f t="shared" si="197"/>
        <v>#N/A</v>
      </c>
      <c r="BV496" t="e">
        <f t="shared" si="197"/>
        <v>#N/A</v>
      </c>
      <c r="BY496" t="e">
        <f t="shared" si="183"/>
        <v>#N/A</v>
      </c>
      <c r="BZ496" t="e">
        <v>#N/A</v>
      </c>
      <c r="CA496" t="e" cm="1">
        <f t="array" ref="CA496">IF(ISNUMBER(BZ496),AF496/COUNT(IF(ISNUMBER(_xlfn.ANCHORARRAY($BZ$11)),_xlfn.ANCHORARRAY($BZ$11))),NA())</f>
        <v>#N/A</v>
      </c>
      <c r="CB496" t="e">
        <f t="shared" si="184"/>
        <v>#N/A</v>
      </c>
      <c r="CD496" t="e">
        <f t="shared" si="185"/>
        <v>#N/A</v>
      </c>
      <c r="CE496" t="e">
        <f t="shared" si="186"/>
        <v>#N/A</v>
      </c>
      <c r="CG496" t="e">
        <v>#N/A</v>
      </c>
      <c r="CH496" t="e">
        <v>#N/A</v>
      </c>
      <c r="CL496" t="e">
        <f t="shared" si="187"/>
        <v>#N/A</v>
      </c>
      <c r="CM496" t="e">
        <v>#N/A</v>
      </c>
      <c r="CN496" t="e" cm="1">
        <f t="array" ref="CN496">IF(ISNUMBER(CM496),AF496/COUNT(IF(ISNUMBER(_xlfn.ANCHORARRAY($CM$11)),_xlfn.ANCHORARRAY($CM$11))),NA())</f>
        <v>#N/A</v>
      </c>
      <c r="CO496" t="e">
        <f t="shared" si="188"/>
        <v>#N/A</v>
      </c>
      <c r="CQ496" t="e">
        <f t="shared" si="189"/>
        <v>#N/A</v>
      </c>
      <c r="CR496" t="e">
        <f t="shared" si="190"/>
        <v>#N/A</v>
      </c>
      <c r="CT496" t="e">
        <v>#N/A</v>
      </c>
      <c r="CU496" t="e">
        <v>#N/A</v>
      </c>
      <c r="CY496" t="e">
        <f t="shared" si="191"/>
        <v>#N/A</v>
      </c>
      <c r="CZ496" t="e">
        <v>#N/A</v>
      </c>
      <c r="DA496" t="e" cm="1">
        <f t="array" ref="DA496">IF(ISNUMBER(CZ496),AF496/COUNT(IF(ISNUMBER(_xlfn.ANCHORARRAY($CZ$11)),_xlfn.ANCHORARRAY($CZ$11))),NA())</f>
        <v>#N/A</v>
      </c>
      <c r="DB496" t="e">
        <f t="shared" si="192"/>
        <v>#N/A</v>
      </c>
      <c r="DD496" t="e">
        <f t="shared" si="193"/>
        <v>#N/A</v>
      </c>
      <c r="DE496" t="e">
        <f t="shared" si="194"/>
        <v>#N/A</v>
      </c>
      <c r="DG496" t="e">
        <v>#N/A</v>
      </c>
      <c r="DH496" t="e">
        <v>#N/A</v>
      </c>
    </row>
    <row r="497" spans="32:112">
      <c r="AF497">
        <v>487</v>
      </c>
      <c r="AG497" s="401">
        <f>'Lab test'!N490</f>
        <v>36.83</v>
      </c>
      <c r="AH497" s="401">
        <f>'Lab test'!M490</f>
        <v>6.0775577557755769E-2</v>
      </c>
      <c r="AI497">
        <f>IF('Lab test'!O490&gt;0,'Lab test'!O490,NA())</f>
        <v>180.84799999999998</v>
      </c>
      <c r="AJ497">
        <f>'Lab test'!Q490</f>
        <v>606</v>
      </c>
      <c r="AK497" s="401">
        <f>IF('Lab test'!V490&gt;0,'Lab test'!V490,NA())</f>
        <v>168921.55335999999</v>
      </c>
      <c r="AL497" s="7" t="e">
        <f>IF(MAX('Lab test'!W490,'Lab test'!X490)&gt;0,MAX('Lab test'!W490,'Lab test'!X490),NA())</f>
        <v>#N/A</v>
      </c>
      <c r="AM497" s="401">
        <f>IF('Lab test'!P490&gt;0,'Lab test'!P490,NA())</f>
        <v>0.19946912350210338</v>
      </c>
      <c r="AN497" s="401" t="e">
        <f>IF('Lab test'!AU490&gt;0,'Lab test'!AU490,NA())</f>
        <v>#N/A</v>
      </c>
      <c r="AO497" s="401">
        <f>IF('Lab test'!AT490&gt;0,'Lab test'!AT490,NA())</f>
        <v>0.91</v>
      </c>
      <c r="AP497" t="e">
        <f t="shared" si="198"/>
        <v>#N/A</v>
      </c>
      <c r="AQ497" s="401">
        <f>'Lab test'!AZ490</f>
        <v>1972</v>
      </c>
      <c r="AR497" t="str">
        <f>'Lab test'!AC490</f>
        <v>Electroforming</v>
      </c>
      <c r="AS497" t="str">
        <f>'Lab test'!T490</f>
        <v>Nickel</v>
      </c>
      <c r="AX497" t="e">
        <f t="shared" si="180"/>
        <v>#N/A</v>
      </c>
      <c r="AY497" t="e">
        <f t="shared" si="199"/>
        <v>#N/A</v>
      </c>
      <c r="AZ497" t="e">
        <f t="shared" si="195"/>
        <v>#N/A</v>
      </c>
      <c r="BA497" t="e">
        <f t="shared" si="195"/>
        <v>#N/A</v>
      </c>
      <c r="BB497" t="e">
        <f t="shared" si="195"/>
        <v>#N/A</v>
      </c>
      <c r="BC497" t="e">
        <f t="shared" si="195"/>
        <v>#N/A</v>
      </c>
      <c r="BD497" t="e">
        <f t="shared" si="195"/>
        <v>#N/A</v>
      </c>
      <c r="BG497" t="e">
        <f t="shared" si="181"/>
        <v>#N/A</v>
      </c>
      <c r="BH497" t="e">
        <f t="shared" si="200"/>
        <v>#N/A</v>
      </c>
      <c r="BI497" t="e">
        <f t="shared" si="196"/>
        <v>#N/A</v>
      </c>
      <c r="BJ497" t="e">
        <f t="shared" si="196"/>
        <v>#N/A</v>
      </c>
      <c r="BK497" t="e">
        <f t="shared" si="196"/>
        <v>#N/A</v>
      </c>
      <c r="BL497" t="e">
        <f t="shared" si="196"/>
        <v>#N/A</v>
      </c>
      <c r="BM497" t="e">
        <f t="shared" si="196"/>
        <v>#N/A</v>
      </c>
      <c r="BP497" t="e">
        <f t="shared" si="182"/>
        <v>#N/A</v>
      </c>
      <c r="BQ497" t="e">
        <f t="shared" si="201"/>
        <v>#N/A</v>
      </c>
      <c r="BR497" t="e">
        <f t="shared" si="197"/>
        <v>#N/A</v>
      </c>
      <c r="BS497" t="e">
        <f t="shared" si="197"/>
        <v>#N/A</v>
      </c>
      <c r="BT497" t="e">
        <f t="shared" si="197"/>
        <v>#N/A</v>
      </c>
      <c r="BU497" t="e">
        <f t="shared" si="197"/>
        <v>#N/A</v>
      </c>
      <c r="BV497" t="e">
        <f t="shared" si="197"/>
        <v>#N/A</v>
      </c>
      <c r="BY497" t="e">
        <f t="shared" si="183"/>
        <v>#N/A</v>
      </c>
      <c r="BZ497" t="e">
        <v>#N/A</v>
      </c>
      <c r="CA497" t="e" cm="1">
        <f t="array" ref="CA497">IF(ISNUMBER(BZ497),AF497/COUNT(IF(ISNUMBER(_xlfn.ANCHORARRAY($BZ$11)),_xlfn.ANCHORARRAY($BZ$11))),NA())</f>
        <v>#N/A</v>
      </c>
      <c r="CB497" t="e">
        <f t="shared" si="184"/>
        <v>#N/A</v>
      </c>
      <c r="CD497" t="e">
        <f t="shared" si="185"/>
        <v>#N/A</v>
      </c>
      <c r="CE497" t="e">
        <f t="shared" si="186"/>
        <v>#N/A</v>
      </c>
      <c r="CG497" t="e">
        <v>#N/A</v>
      </c>
      <c r="CH497" t="e">
        <v>#N/A</v>
      </c>
      <c r="CL497" t="e">
        <f t="shared" si="187"/>
        <v>#N/A</v>
      </c>
      <c r="CM497" t="e">
        <v>#N/A</v>
      </c>
      <c r="CN497" t="e" cm="1">
        <f t="array" ref="CN497">IF(ISNUMBER(CM497),AF497/COUNT(IF(ISNUMBER(_xlfn.ANCHORARRAY($CM$11)),_xlfn.ANCHORARRAY($CM$11))),NA())</f>
        <v>#N/A</v>
      </c>
      <c r="CO497" t="e">
        <f t="shared" si="188"/>
        <v>#N/A</v>
      </c>
      <c r="CQ497" t="e">
        <f t="shared" si="189"/>
        <v>#N/A</v>
      </c>
      <c r="CR497" t="e">
        <f t="shared" si="190"/>
        <v>#N/A</v>
      </c>
      <c r="CT497" t="e">
        <v>#N/A</v>
      </c>
      <c r="CU497" t="e">
        <v>#N/A</v>
      </c>
      <c r="CY497" t="e">
        <f t="shared" si="191"/>
        <v>#N/A</v>
      </c>
      <c r="CZ497" t="e">
        <v>#N/A</v>
      </c>
      <c r="DA497" t="e" cm="1">
        <f t="array" ref="DA497">IF(ISNUMBER(CZ497),AF497/COUNT(IF(ISNUMBER(_xlfn.ANCHORARRAY($CZ$11)),_xlfn.ANCHORARRAY($CZ$11))),NA())</f>
        <v>#N/A</v>
      </c>
      <c r="DB497" t="e">
        <f t="shared" si="192"/>
        <v>#N/A</v>
      </c>
      <c r="DD497" t="e">
        <f t="shared" si="193"/>
        <v>#N/A</v>
      </c>
      <c r="DE497" t="e">
        <f t="shared" si="194"/>
        <v>#N/A</v>
      </c>
      <c r="DG497" t="e">
        <v>#N/A</v>
      </c>
      <c r="DH497" t="e">
        <v>#N/A</v>
      </c>
    </row>
    <row r="498" spans="32:112">
      <c r="AF498">
        <v>488</v>
      </c>
      <c r="AG498" s="401">
        <f>'Lab test'!N491</f>
        <v>36.83</v>
      </c>
      <c r="AH498" s="401">
        <f>'Lab test'!M491</f>
        <v>7.7050209205020911E-2</v>
      </c>
      <c r="AI498">
        <f>IF('Lab test'!O491&gt;0,'Lab test'!O491,NA())</f>
        <v>180.84799999999998</v>
      </c>
      <c r="AJ498">
        <f>'Lab test'!Q491</f>
        <v>478</v>
      </c>
      <c r="AK498" s="401">
        <f>IF('Lab test'!V491&gt;0,'Lab test'!V491,NA())</f>
        <v>168921.55335999999</v>
      </c>
      <c r="AL498" s="7" t="e">
        <f>IF(MAX('Lab test'!W491,'Lab test'!X491)&gt;0,MAX('Lab test'!W491,'Lab test'!X491),NA())</f>
        <v>#N/A</v>
      </c>
      <c r="AM498" s="401">
        <f>IF('Lab test'!P491&gt;0,'Lab test'!P491,NA())</f>
        <v>0.22459394473613789</v>
      </c>
      <c r="AN498" s="401" t="e">
        <f>IF('Lab test'!AU491&gt;0,'Lab test'!AU491,NA())</f>
        <v>#N/A</v>
      </c>
      <c r="AO498" s="401">
        <f>IF('Lab test'!AT491&gt;0,'Lab test'!AT491,NA())</f>
        <v>0.86</v>
      </c>
      <c r="AP498" t="e">
        <f t="shared" si="198"/>
        <v>#N/A</v>
      </c>
      <c r="AQ498" s="401">
        <f>'Lab test'!AZ491</f>
        <v>1972</v>
      </c>
      <c r="AR498" t="str">
        <f>'Lab test'!AC491</f>
        <v>Electroforming</v>
      </c>
      <c r="AS498" t="str">
        <f>'Lab test'!T491</f>
        <v>Nickel</v>
      </c>
      <c r="AX498" t="e">
        <f t="shared" si="180"/>
        <v>#N/A</v>
      </c>
      <c r="AY498" t="e">
        <f t="shared" si="199"/>
        <v>#N/A</v>
      </c>
      <c r="AZ498" t="e">
        <f t="shared" si="195"/>
        <v>#N/A</v>
      </c>
      <c r="BA498" t="e">
        <f t="shared" si="195"/>
        <v>#N/A</v>
      </c>
      <c r="BB498" t="e">
        <f t="shared" si="195"/>
        <v>#N/A</v>
      </c>
      <c r="BC498" t="e">
        <f t="shared" si="195"/>
        <v>#N/A</v>
      </c>
      <c r="BD498" t="e">
        <f t="shared" si="195"/>
        <v>#N/A</v>
      </c>
      <c r="BG498" t="e">
        <f t="shared" si="181"/>
        <v>#N/A</v>
      </c>
      <c r="BH498" t="e">
        <f t="shared" si="200"/>
        <v>#N/A</v>
      </c>
      <c r="BI498" t="e">
        <f t="shared" si="196"/>
        <v>#N/A</v>
      </c>
      <c r="BJ498" t="e">
        <f t="shared" si="196"/>
        <v>#N/A</v>
      </c>
      <c r="BK498" t="e">
        <f t="shared" si="196"/>
        <v>#N/A</v>
      </c>
      <c r="BL498" t="e">
        <f t="shared" si="196"/>
        <v>#N/A</v>
      </c>
      <c r="BM498" t="e">
        <f t="shared" si="196"/>
        <v>#N/A</v>
      </c>
      <c r="BP498" t="e">
        <f t="shared" si="182"/>
        <v>#N/A</v>
      </c>
      <c r="BQ498" t="e">
        <f t="shared" si="201"/>
        <v>#N/A</v>
      </c>
      <c r="BR498" t="e">
        <f t="shared" si="197"/>
        <v>#N/A</v>
      </c>
      <c r="BS498" t="e">
        <f t="shared" si="197"/>
        <v>#N/A</v>
      </c>
      <c r="BT498" t="e">
        <f t="shared" si="197"/>
        <v>#N/A</v>
      </c>
      <c r="BU498" t="e">
        <f t="shared" si="197"/>
        <v>#N/A</v>
      </c>
      <c r="BV498" t="e">
        <f t="shared" si="197"/>
        <v>#N/A</v>
      </c>
      <c r="BY498" t="e">
        <f t="shared" si="183"/>
        <v>#N/A</v>
      </c>
      <c r="BZ498" t="e">
        <v>#N/A</v>
      </c>
      <c r="CA498" t="e" cm="1">
        <f t="array" ref="CA498">IF(ISNUMBER(BZ498),AF498/COUNT(IF(ISNUMBER(_xlfn.ANCHORARRAY($BZ$11)),_xlfn.ANCHORARRAY($BZ$11))),NA())</f>
        <v>#N/A</v>
      </c>
      <c r="CB498" t="e">
        <f t="shared" si="184"/>
        <v>#N/A</v>
      </c>
      <c r="CD498" t="e">
        <f t="shared" si="185"/>
        <v>#N/A</v>
      </c>
      <c r="CE498" t="e">
        <f t="shared" si="186"/>
        <v>#N/A</v>
      </c>
      <c r="CG498" t="e">
        <v>#N/A</v>
      </c>
      <c r="CH498" t="e">
        <v>#N/A</v>
      </c>
      <c r="CL498" t="e">
        <f t="shared" si="187"/>
        <v>#N/A</v>
      </c>
      <c r="CM498" t="e">
        <v>#N/A</v>
      </c>
      <c r="CN498" t="e" cm="1">
        <f t="array" ref="CN498">IF(ISNUMBER(CM498),AF498/COUNT(IF(ISNUMBER(_xlfn.ANCHORARRAY($CM$11)),_xlfn.ANCHORARRAY($CM$11))),NA())</f>
        <v>#N/A</v>
      </c>
      <c r="CO498" t="e">
        <f t="shared" si="188"/>
        <v>#N/A</v>
      </c>
      <c r="CQ498" t="e">
        <f t="shared" si="189"/>
        <v>#N/A</v>
      </c>
      <c r="CR498" t="e">
        <f t="shared" si="190"/>
        <v>#N/A</v>
      </c>
      <c r="CT498" t="e">
        <v>#N/A</v>
      </c>
      <c r="CU498" t="e">
        <v>#N/A</v>
      </c>
      <c r="CY498" t="e">
        <f t="shared" si="191"/>
        <v>#N/A</v>
      </c>
      <c r="CZ498" t="e">
        <v>#N/A</v>
      </c>
      <c r="DA498" t="e" cm="1">
        <f t="array" ref="DA498">IF(ISNUMBER(CZ498),AF498/COUNT(IF(ISNUMBER(_xlfn.ANCHORARRAY($CZ$11)),_xlfn.ANCHORARRAY($CZ$11))),NA())</f>
        <v>#N/A</v>
      </c>
      <c r="DB498" t="e">
        <f t="shared" si="192"/>
        <v>#N/A</v>
      </c>
      <c r="DD498" t="e">
        <f t="shared" si="193"/>
        <v>#N/A</v>
      </c>
      <c r="DE498" t="e">
        <f t="shared" si="194"/>
        <v>#N/A</v>
      </c>
      <c r="DG498" t="e">
        <v>#N/A</v>
      </c>
      <c r="DH498" t="e">
        <v>#N/A</v>
      </c>
    </row>
    <row r="499" spans="32:112">
      <c r="AF499">
        <v>489</v>
      </c>
      <c r="AG499" s="401">
        <f>'Lab test'!N492</f>
        <v>36.83</v>
      </c>
      <c r="AH499" s="401">
        <f>'Lab test'!M492</f>
        <v>3.9902491874322855E-2</v>
      </c>
      <c r="AI499">
        <f>IF('Lab test'!O492&gt;0,'Lab test'!O492,NA())</f>
        <v>180.84799999999998</v>
      </c>
      <c r="AJ499">
        <f>'Lab test'!Q492</f>
        <v>923</v>
      </c>
      <c r="AK499" s="401">
        <f>IF('Lab test'!V492&gt;0,'Lab test'!V492,NA())</f>
        <v>168921.55335999999</v>
      </c>
      <c r="AL499" s="7" t="e">
        <f>IF(MAX('Lab test'!W492,'Lab test'!X492)&gt;0,MAX('Lab test'!W492,'Lab test'!X492),NA())</f>
        <v>#N/A</v>
      </c>
      <c r="AM499" s="401">
        <f>IF('Lab test'!P492&gt;0,'Lab test'!P492,NA())</f>
        <v>0.16162596872336651</v>
      </c>
      <c r="AN499" s="401" t="e">
        <f>IF('Lab test'!AU492&gt;0,'Lab test'!AU492,NA())</f>
        <v>#N/A</v>
      </c>
      <c r="AO499" s="401">
        <f>IF('Lab test'!AT492&gt;0,'Lab test'!AT492,NA())</f>
        <v>0.8</v>
      </c>
      <c r="AP499" t="e">
        <f t="shared" si="198"/>
        <v>#N/A</v>
      </c>
      <c r="AQ499" s="401">
        <f>'Lab test'!AZ492</f>
        <v>1972</v>
      </c>
      <c r="AR499" t="str">
        <f>'Lab test'!AC492</f>
        <v>Electroforming</v>
      </c>
      <c r="AS499" t="str">
        <f>'Lab test'!T492</f>
        <v>Nickel</v>
      </c>
      <c r="AX499" t="e">
        <f t="shared" si="180"/>
        <v>#N/A</v>
      </c>
      <c r="AY499" t="e">
        <f t="shared" si="199"/>
        <v>#N/A</v>
      </c>
      <c r="AZ499" t="e">
        <f t="shared" si="195"/>
        <v>#N/A</v>
      </c>
      <c r="BA499" t="e">
        <f t="shared" si="195"/>
        <v>#N/A</v>
      </c>
      <c r="BB499" t="e">
        <f t="shared" si="195"/>
        <v>#N/A</v>
      </c>
      <c r="BC499" t="e">
        <f t="shared" si="195"/>
        <v>#N/A</v>
      </c>
      <c r="BD499" t="e">
        <f t="shared" si="195"/>
        <v>#N/A</v>
      </c>
      <c r="BG499" t="e">
        <f t="shared" si="181"/>
        <v>#N/A</v>
      </c>
      <c r="BH499" t="e">
        <f t="shared" si="200"/>
        <v>#N/A</v>
      </c>
      <c r="BI499" t="e">
        <f t="shared" si="196"/>
        <v>#N/A</v>
      </c>
      <c r="BJ499" t="e">
        <f t="shared" si="196"/>
        <v>#N/A</v>
      </c>
      <c r="BK499" t="e">
        <f t="shared" si="196"/>
        <v>#N/A</v>
      </c>
      <c r="BL499" t="e">
        <f t="shared" si="196"/>
        <v>#N/A</v>
      </c>
      <c r="BM499" t="e">
        <f t="shared" si="196"/>
        <v>#N/A</v>
      </c>
      <c r="BP499" t="e">
        <f t="shared" si="182"/>
        <v>#N/A</v>
      </c>
      <c r="BQ499" t="e">
        <f t="shared" si="201"/>
        <v>#N/A</v>
      </c>
      <c r="BR499" t="e">
        <f t="shared" si="197"/>
        <v>#N/A</v>
      </c>
      <c r="BS499" t="e">
        <f t="shared" si="197"/>
        <v>#N/A</v>
      </c>
      <c r="BT499" t="e">
        <f t="shared" si="197"/>
        <v>#N/A</v>
      </c>
      <c r="BU499" t="e">
        <f t="shared" si="197"/>
        <v>#N/A</v>
      </c>
      <c r="BV499" t="e">
        <f t="shared" si="197"/>
        <v>#N/A</v>
      </c>
      <c r="BY499" t="e">
        <f t="shared" si="183"/>
        <v>#N/A</v>
      </c>
      <c r="BZ499" t="e">
        <v>#N/A</v>
      </c>
      <c r="CA499" t="e" cm="1">
        <f t="array" ref="CA499">IF(ISNUMBER(BZ499),AF499/COUNT(IF(ISNUMBER(_xlfn.ANCHORARRAY($BZ$11)),_xlfn.ANCHORARRAY($BZ$11))),NA())</f>
        <v>#N/A</v>
      </c>
      <c r="CB499" t="e">
        <f t="shared" si="184"/>
        <v>#N/A</v>
      </c>
      <c r="CD499" t="e">
        <f t="shared" si="185"/>
        <v>#N/A</v>
      </c>
      <c r="CE499" t="e">
        <f t="shared" si="186"/>
        <v>#N/A</v>
      </c>
      <c r="CG499" t="e">
        <v>#N/A</v>
      </c>
      <c r="CH499" t="e">
        <v>#N/A</v>
      </c>
      <c r="CL499" t="e">
        <f t="shared" si="187"/>
        <v>#N/A</v>
      </c>
      <c r="CM499" t="e">
        <v>#N/A</v>
      </c>
      <c r="CN499" t="e" cm="1">
        <f t="array" ref="CN499">IF(ISNUMBER(CM499),AF499/COUNT(IF(ISNUMBER(_xlfn.ANCHORARRAY($CM$11)),_xlfn.ANCHORARRAY($CM$11))),NA())</f>
        <v>#N/A</v>
      </c>
      <c r="CO499" t="e">
        <f t="shared" si="188"/>
        <v>#N/A</v>
      </c>
      <c r="CQ499" t="e">
        <f t="shared" si="189"/>
        <v>#N/A</v>
      </c>
      <c r="CR499" t="e">
        <f t="shared" si="190"/>
        <v>#N/A</v>
      </c>
      <c r="CT499" t="e">
        <v>#N/A</v>
      </c>
      <c r="CU499" t="e">
        <v>#N/A</v>
      </c>
      <c r="CY499" t="e">
        <f t="shared" si="191"/>
        <v>#N/A</v>
      </c>
      <c r="CZ499" t="e">
        <v>#N/A</v>
      </c>
      <c r="DA499" t="e" cm="1">
        <f t="array" ref="DA499">IF(ISNUMBER(CZ499),AF499/COUNT(IF(ISNUMBER(_xlfn.ANCHORARRAY($CZ$11)),_xlfn.ANCHORARRAY($CZ$11))),NA())</f>
        <v>#N/A</v>
      </c>
      <c r="DB499" t="e">
        <f t="shared" si="192"/>
        <v>#N/A</v>
      </c>
      <c r="DD499" t="e">
        <f t="shared" si="193"/>
        <v>#N/A</v>
      </c>
      <c r="DE499" t="e">
        <f t="shared" si="194"/>
        <v>#N/A</v>
      </c>
      <c r="DG499" t="e">
        <v>#N/A</v>
      </c>
      <c r="DH499" t="e">
        <v>#N/A</v>
      </c>
    </row>
    <row r="500" spans="32:112">
      <c r="AF500">
        <v>490</v>
      </c>
      <c r="AG500" s="401">
        <f>'Lab test'!N493</f>
        <v>36.83</v>
      </c>
      <c r="AH500" s="401">
        <f>'Lab test'!M493</f>
        <v>6.9886148007590132E-2</v>
      </c>
      <c r="AI500">
        <f>IF('Lab test'!O493&gt;0,'Lab test'!O493,NA())</f>
        <v>180.84799999999998</v>
      </c>
      <c r="AJ500">
        <f>'Lab test'!Q493</f>
        <v>527</v>
      </c>
      <c r="AK500" s="401">
        <f>IF('Lab test'!V493&gt;0,'Lab test'!V493,NA())</f>
        <v>168921.55335999999</v>
      </c>
      <c r="AL500" s="7" t="e">
        <f>IF(MAX('Lab test'!W493,'Lab test'!X493)&gt;0,MAX('Lab test'!W493,'Lab test'!X493),NA())</f>
        <v>#N/A</v>
      </c>
      <c r="AM500" s="401">
        <f>IF('Lab test'!P493&gt;0,'Lab test'!P493,NA())</f>
        <v>0.21389798028327645</v>
      </c>
      <c r="AN500" s="401" t="e">
        <f>IF('Lab test'!AU493&gt;0,'Lab test'!AU493,NA())</f>
        <v>#N/A</v>
      </c>
      <c r="AO500" s="401">
        <f>IF('Lab test'!AT493&gt;0,'Lab test'!AT493,NA())</f>
        <v>0.9</v>
      </c>
      <c r="AP500" t="e">
        <f t="shared" si="198"/>
        <v>#N/A</v>
      </c>
      <c r="AQ500" s="401">
        <f>'Lab test'!AZ493</f>
        <v>1972</v>
      </c>
      <c r="AR500" t="str">
        <f>'Lab test'!AC493</f>
        <v>Electroforming</v>
      </c>
      <c r="AS500" t="str">
        <f>'Lab test'!T493</f>
        <v>Nickel</v>
      </c>
      <c r="AX500" t="e">
        <f t="shared" si="180"/>
        <v>#N/A</v>
      </c>
      <c r="AY500" t="e">
        <f t="shared" si="199"/>
        <v>#N/A</v>
      </c>
      <c r="AZ500" t="e">
        <f t="shared" si="195"/>
        <v>#N/A</v>
      </c>
      <c r="BA500" t="e">
        <f t="shared" si="195"/>
        <v>#N/A</v>
      </c>
      <c r="BB500" t="e">
        <f t="shared" si="195"/>
        <v>#N/A</v>
      </c>
      <c r="BC500" t="e">
        <f t="shared" si="195"/>
        <v>#N/A</v>
      </c>
      <c r="BD500" t="e">
        <f t="shared" si="195"/>
        <v>#N/A</v>
      </c>
      <c r="BG500" t="e">
        <f t="shared" si="181"/>
        <v>#N/A</v>
      </c>
      <c r="BH500" t="e">
        <f t="shared" si="200"/>
        <v>#N/A</v>
      </c>
      <c r="BI500" t="e">
        <f t="shared" si="196"/>
        <v>#N/A</v>
      </c>
      <c r="BJ500" t="e">
        <f t="shared" si="196"/>
        <v>#N/A</v>
      </c>
      <c r="BK500" t="e">
        <f t="shared" si="196"/>
        <v>#N/A</v>
      </c>
      <c r="BL500" t="e">
        <f t="shared" si="196"/>
        <v>#N/A</v>
      </c>
      <c r="BM500" t="e">
        <f t="shared" si="196"/>
        <v>#N/A</v>
      </c>
      <c r="BP500" t="e">
        <f t="shared" si="182"/>
        <v>#N/A</v>
      </c>
      <c r="BQ500" t="e">
        <f t="shared" si="201"/>
        <v>#N/A</v>
      </c>
      <c r="BR500" t="e">
        <f t="shared" si="197"/>
        <v>#N/A</v>
      </c>
      <c r="BS500" t="e">
        <f t="shared" si="197"/>
        <v>#N/A</v>
      </c>
      <c r="BT500" t="e">
        <f t="shared" si="197"/>
        <v>#N/A</v>
      </c>
      <c r="BU500" t="e">
        <f t="shared" si="197"/>
        <v>#N/A</v>
      </c>
      <c r="BV500" t="e">
        <f t="shared" si="197"/>
        <v>#N/A</v>
      </c>
      <c r="BY500" t="e">
        <f t="shared" si="183"/>
        <v>#N/A</v>
      </c>
      <c r="BZ500" t="e">
        <v>#N/A</v>
      </c>
      <c r="CA500" t="e" cm="1">
        <f t="array" ref="CA500">IF(ISNUMBER(BZ500),AF500/COUNT(IF(ISNUMBER(_xlfn.ANCHORARRAY($BZ$11)),_xlfn.ANCHORARRAY($BZ$11))),NA())</f>
        <v>#N/A</v>
      </c>
      <c r="CB500" t="e">
        <f t="shared" si="184"/>
        <v>#N/A</v>
      </c>
      <c r="CD500" t="e">
        <f t="shared" si="185"/>
        <v>#N/A</v>
      </c>
      <c r="CE500" t="e">
        <f t="shared" si="186"/>
        <v>#N/A</v>
      </c>
      <c r="CG500" t="e">
        <v>#N/A</v>
      </c>
      <c r="CH500" t="e">
        <v>#N/A</v>
      </c>
      <c r="CL500" t="e">
        <f t="shared" si="187"/>
        <v>#N/A</v>
      </c>
      <c r="CM500" t="e">
        <v>#N/A</v>
      </c>
      <c r="CN500" t="e" cm="1">
        <f t="array" ref="CN500">IF(ISNUMBER(CM500),AF500/COUNT(IF(ISNUMBER(_xlfn.ANCHORARRAY($CM$11)),_xlfn.ANCHORARRAY($CM$11))),NA())</f>
        <v>#N/A</v>
      </c>
      <c r="CO500" t="e">
        <f t="shared" si="188"/>
        <v>#N/A</v>
      </c>
      <c r="CQ500" t="e">
        <f t="shared" si="189"/>
        <v>#N/A</v>
      </c>
      <c r="CR500" t="e">
        <f t="shared" si="190"/>
        <v>#N/A</v>
      </c>
      <c r="CT500" t="e">
        <v>#N/A</v>
      </c>
      <c r="CU500" t="e">
        <v>#N/A</v>
      </c>
      <c r="CY500" t="e">
        <f t="shared" si="191"/>
        <v>#N/A</v>
      </c>
      <c r="CZ500" t="e">
        <v>#N/A</v>
      </c>
      <c r="DA500" t="e" cm="1">
        <f t="array" ref="DA500">IF(ISNUMBER(CZ500),AF500/COUNT(IF(ISNUMBER(_xlfn.ANCHORARRAY($CZ$11)),_xlfn.ANCHORARRAY($CZ$11))),NA())</f>
        <v>#N/A</v>
      </c>
      <c r="DB500" t="e">
        <f t="shared" si="192"/>
        <v>#N/A</v>
      </c>
      <c r="DD500" t="e">
        <f t="shared" si="193"/>
        <v>#N/A</v>
      </c>
      <c r="DE500" t="e">
        <f t="shared" si="194"/>
        <v>#N/A</v>
      </c>
      <c r="DG500" t="e">
        <v>#N/A</v>
      </c>
      <c r="DH500" t="e">
        <v>#N/A</v>
      </c>
    </row>
    <row r="501" spans="32:112">
      <c r="AF501">
        <v>491</v>
      </c>
      <c r="AG501" s="401">
        <f>'Lab test'!N494</f>
        <v>36.83</v>
      </c>
      <c r="AH501" s="401">
        <f>'Lab test'!M494</f>
        <v>4.332941176470588E-2</v>
      </c>
      <c r="AI501">
        <f>IF('Lab test'!O494&gt;0,'Lab test'!O494,NA())</f>
        <v>180.84799999999998</v>
      </c>
      <c r="AJ501">
        <f>'Lab test'!Q494</f>
        <v>850</v>
      </c>
      <c r="AK501" s="401">
        <f>IF('Lab test'!V494&gt;0,'Lab test'!V494,NA())</f>
        <v>168921.55335999999</v>
      </c>
      <c r="AL501" s="7" t="e">
        <f>IF(MAX('Lab test'!W494,'Lab test'!X494)&gt;0,MAX('Lab test'!W494,'Lab test'!X494),NA())</f>
        <v>#N/A</v>
      </c>
      <c r="AM501" s="401">
        <f>IF('Lab test'!P494&gt;0,'Lab test'!P494,NA())</f>
        <v>0.16842343809857419</v>
      </c>
      <c r="AN501" s="401" t="e">
        <f>IF('Lab test'!AU494&gt;0,'Lab test'!AU494,NA())</f>
        <v>#N/A</v>
      </c>
      <c r="AO501" s="401">
        <f>IF('Lab test'!AT494&gt;0,'Lab test'!AT494,NA())</f>
        <v>0.81</v>
      </c>
      <c r="AP501" t="e">
        <f t="shared" si="198"/>
        <v>#N/A</v>
      </c>
      <c r="AQ501" s="401">
        <f>'Lab test'!AZ494</f>
        <v>1972</v>
      </c>
      <c r="AR501" t="str">
        <f>'Lab test'!AC494</f>
        <v>Electroforming</v>
      </c>
      <c r="AS501" t="str">
        <f>'Lab test'!T494</f>
        <v>Nickel</v>
      </c>
      <c r="AX501" t="e">
        <f t="shared" si="180"/>
        <v>#N/A</v>
      </c>
      <c r="AY501" t="e">
        <f t="shared" si="199"/>
        <v>#N/A</v>
      </c>
      <c r="AZ501" t="e">
        <f t="shared" si="195"/>
        <v>#N/A</v>
      </c>
      <c r="BA501" t="e">
        <f t="shared" si="195"/>
        <v>#N/A</v>
      </c>
      <c r="BB501" t="e">
        <f t="shared" si="195"/>
        <v>#N/A</v>
      </c>
      <c r="BC501" t="e">
        <f t="shared" si="195"/>
        <v>#N/A</v>
      </c>
      <c r="BD501" t="e">
        <f t="shared" si="195"/>
        <v>#N/A</v>
      </c>
      <c r="BG501" t="e">
        <f t="shared" si="181"/>
        <v>#N/A</v>
      </c>
      <c r="BH501" t="e">
        <f t="shared" si="200"/>
        <v>#N/A</v>
      </c>
      <c r="BI501" t="e">
        <f t="shared" si="196"/>
        <v>#N/A</v>
      </c>
      <c r="BJ501" t="e">
        <f t="shared" si="196"/>
        <v>#N/A</v>
      </c>
      <c r="BK501" t="e">
        <f t="shared" si="196"/>
        <v>#N/A</v>
      </c>
      <c r="BL501" t="e">
        <f t="shared" si="196"/>
        <v>#N/A</v>
      </c>
      <c r="BM501" t="e">
        <f t="shared" si="196"/>
        <v>#N/A</v>
      </c>
      <c r="BP501" t="e">
        <f t="shared" si="182"/>
        <v>#N/A</v>
      </c>
      <c r="BQ501" t="e">
        <f t="shared" si="201"/>
        <v>#N/A</v>
      </c>
      <c r="BR501" t="e">
        <f t="shared" si="197"/>
        <v>#N/A</v>
      </c>
      <c r="BS501" t="e">
        <f t="shared" si="197"/>
        <v>#N/A</v>
      </c>
      <c r="BT501" t="e">
        <f t="shared" si="197"/>
        <v>#N/A</v>
      </c>
      <c r="BU501" t="e">
        <f t="shared" si="197"/>
        <v>#N/A</v>
      </c>
      <c r="BV501" t="e">
        <f t="shared" si="197"/>
        <v>#N/A</v>
      </c>
      <c r="BY501" t="e">
        <f t="shared" si="183"/>
        <v>#N/A</v>
      </c>
      <c r="BZ501" t="e">
        <v>#N/A</v>
      </c>
      <c r="CA501" t="e" cm="1">
        <f t="array" ref="CA501">IF(ISNUMBER(BZ501),AF501/COUNT(IF(ISNUMBER(_xlfn.ANCHORARRAY($BZ$11)),_xlfn.ANCHORARRAY($BZ$11))),NA())</f>
        <v>#N/A</v>
      </c>
      <c r="CB501" t="e">
        <f t="shared" si="184"/>
        <v>#N/A</v>
      </c>
      <c r="CD501" t="e">
        <f t="shared" si="185"/>
        <v>#N/A</v>
      </c>
      <c r="CE501" t="e">
        <f t="shared" si="186"/>
        <v>#N/A</v>
      </c>
      <c r="CG501" t="e">
        <v>#N/A</v>
      </c>
      <c r="CH501" t="e">
        <v>#N/A</v>
      </c>
      <c r="CL501" t="e">
        <f t="shared" si="187"/>
        <v>#N/A</v>
      </c>
      <c r="CM501" t="e">
        <v>#N/A</v>
      </c>
      <c r="CN501" t="e" cm="1">
        <f t="array" ref="CN501">IF(ISNUMBER(CM501),AF501/COUNT(IF(ISNUMBER(_xlfn.ANCHORARRAY($CM$11)),_xlfn.ANCHORARRAY($CM$11))),NA())</f>
        <v>#N/A</v>
      </c>
      <c r="CO501" t="e">
        <f t="shared" si="188"/>
        <v>#N/A</v>
      </c>
      <c r="CQ501" t="e">
        <f t="shared" si="189"/>
        <v>#N/A</v>
      </c>
      <c r="CR501" t="e">
        <f t="shared" si="190"/>
        <v>#N/A</v>
      </c>
      <c r="CT501" t="e">
        <v>#N/A</v>
      </c>
      <c r="CU501" t="e">
        <v>#N/A</v>
      </c>
      <c r="CY501" t="e">
        <f t="shared" si="191"/>
        <v>#N/A</v>
      </c>
      <c r="CZ501" t="e">
        <v>#N/A</v>
      </c>
      <c r="DA501" t="e" cm="1">
        <f t="array" ref="DA501">IF(ISNUMBER(CZ501),AF501/COUNT(IF(ISNUMBER(_xlfn.ANCHORARRAY($CZ$11)),_xlfn.ANCHORARRAY($CZ$11))),NA())</f>
        <v>#N/A</v>
      </c>
      <c r="DB501" t="e">
        <f t="shared" si="192"/>
        <v>#N/A</v>
      </c>
      <c r="DD501" t="e">
        <f t="shared" si="193"/>
        <v>#N/A</v>
      </c>
      <c r="DE501" t="e">
        <f t="shared" si="194"/>
        <v>#N/A</v>
      </c>
      <c r="DG501" t="e">
        <v>#N/A</v>
      </c>
      <c r="DH501" t="e">
        <v>#N/A</v>
      </c>
    </row>
    <row r="502" spans="32:112">
      <c r="AF502">
        <v>492</v>
      </c>
      <c r="AG502" s="401">
        <f>'Lab test'!N495</f>
        <v>36.83</v>
      </c>
      <c r="AH502" s="401">
        <f>'Lab test'!M495</f>
        <v>6.5301418439716305E-2</v>
      </c>
      <c r="AI502">
        <f>IF('Lab test'!O495&gt;0,'Lab test'!O495,NA())</f>
        <v>180.84799999999998</v>
      </c>
      <c r="AJ502">
        <f>'Lab test'!Q495</f>
        <v>564</v>
      </c>
      <c r="AK502" s="401">
        <f>IF('Lab test'!V495&gt;0,'Lab test'!V495,NA())</f>
        <v>168921.55335999999</v>
      </c>
      <c r="AL502" s="7" t="e">
        <f>IF(MAX('Lab test'!W495,'Lab test'!X495)&gt;0,MAX('Lab test'!W495,'Lab test'!X495),NA())</f>
        <v>#N/A</v>
      </c>
      <c r="AM502" s="401">
        <f>IF('Lab test'!P495&gt;0,'Lab test'!P495,NA())</f>
        <v>0.20676281648253844</v>
      </c>
      <c r="AN502" s="401" t="e">
        <f>IF('Lab test'!AU495&gt;0,'Lab test'!AU495,NA())</f>
        <v>#N/A</v>
      </c>
      <c r="AO502" s="401">
        <f>IF('Lab test'!AT495&gt;0,'Lab test'!AT495,NA())</f>
        <v>0.85</v>
      </c>
      <c r="AP502" t="e">
        <f t="shared" si="198"/>
        <v>#N/A</v>
      </c>
      <c r="AQ502" s="401">
        <f>'Lab test'!AZ495</f>
        <v>1972</v>
      </c>
      <c r="AR502" t="str">
        <f>'Lab test'!AC495</f>
        <v>Electroforming</v>
      </c>
      <c r="AS502" t="str">
        <f>'Lab test'!T495</f>
        <v>Nickel</v>
      </c>
      <c r="AX502" t="e">
        <f t="shared" si="180"/>
        <v>#N/A</v>
      </c>
      <c r="AY502" t="e">
        <f t="shared" si="199"/>
        <v>#N/A</v>
      </c>
      <c r="AZ502" t="e">
        <f t="shared" si="195"/>
        <v>#N/A</v>
      </c>
      <c r="BA502" t="e">
        <f t="shared" si="195"/>
        <v>#N/A</v>
      </c>
      <c r="BB502" t="e">
        <f t="shared" si="195"/>
        <v>#N/A</v>
      </c>
      <c r="BC502" t="e">
        <f t="shared" si="195"/>
        <v>#N/A</v>
      </c>
      <c r="BD502" t="e">
        <f t="shared" si="195"/>
        <v>#N/A</v>
      </c>
      <c r="BG502" t="e">
        <f t="shared" si="181"/>
        <v>#N/A</v>
      </c>
      <c r="BH502" t="e">
        <f t="shared" si="200"/>
        <v>#N/A</v>
      </c>
      <c r="BI502" t="e">
        <f t="shared" si="196"/>
        <v>#N/A</v>
      </c>
      <c r="BJ502" t="e">
        <f t="shared" si="196"/>
        <v>#N/A</v>
      </c>
      <c r="BK502" t="e">
        <f t="shared" si="196"/>
        <v>#N/A</v>
      </c>
      <c r="BL502" t="e">
        <f t="shared" si="196"/>
        <v>#N/A</v>
      </c>
      <c r="BM502" t="e">
        <f t="shared" si="196"/>
        <v>#N/A</v>
      </c>
      <c r="BP502" t="e">
        <f t="shared" si="182"/>
        <v>#N/A</v>
      </c>
      <c r="BQ502" t="e">
        <f t="shared" si="201"/>
        <v>#N/A</v>
      </c>
      <c r="BR502" t="e">
        <f t="shared" si="197"/>
        <v>#N/A</v>
      </c>
      <c r="BS502" t="e">
        <f t="shared" si="197"/>
        <v>#N/A</v>
      </c>
      <c r="BT502" t="e">
        <f t="shared" si="197"/>
        <v>#N/A</v>
      </c>
      <c r="BU502" t="e">
        <f t="shared" si="197"/>
        <v>#N/A</v>
      </c>
      <c r="BV502" t="e">
        <f t="shared" si="197"/>
        <v>#N/A</v>
      </c>
      <c r="BY502" t="e">
        <f t="shared" si="183"/>
        <v>#N/A</v>
      </c>
      <c r="BZ502" t="e">
        <v>#N/A</v>
      </c>
      <c r="CA502" t="e" cm="1">
        <f t="array" ref="CA502">IF(ISNUMBER(BZ502),AF502/COUNT(IF(ISNUMBER(_xlfn.ANCHORARRAY($BZ$11)),_xlfn.ANCHORARRAY($BZ$11))),NA())</f>
        <v>#N/A</v>
      </c>
      <c r="CB502" t="e">
        <f t="shared" si="184"/>
        <v>#N/A</v>
      </c>
      <c r="CD502" t="e">
        <f t="shared" si="185"/>
        <v>#N/A</v>
      </c>
      <c r="CE502" t="e">
        <f t="shared" si="186"/>
        <v>#N/A</v>
      </c>
      <c r="CG502" t="e">
        <v>#N/A</v>
      </c>
      <c r="CH502" t="e">
        <v>#N/A</v>
      </c>
      <c r="CL502" t="e">
        <f t="shared" si="187"/>
        <v>#N/A</v>
      </c>
      <c r="CM502" t="e">
        <v>#N/A</v>
      </c>
      <c r="CN502" t="e" cm="1">
        <f t="array" ref="CN502">IF(ISNUMBER(CM502),AF502/COUNT(IF(ISNUMBER(_xlfn.ANCHORARRAY($CM$11)),_xlfn.ANCHORARRAY($CM$11))),NA())</f>
        <v>#N/A</v>
      </c>
      <c r="CO502" t="e">
        <f t="shared" si="188"/>
        <v>#N/A</v>
      </c>
      <c r="CQ502" t="e">
        <f t="shared" si="189"/>
        <v>#N/A</v>
      </c>
      <c r="CR502" t="e">
        <f t="shared" si="190"/>
        <v>#N/A</v>
      </c>
      <c r="CT502" t="e">
        <v>#N/A</v>
      </c>
      <c r="CU502" t="e">
        <v>#N/A</v>
      </c>
      <c r="CY502" t="e">
        <f t="shared" si="191"/>
        <v>#N/A</v>
      </c>
      <c r="CZ502" t="e">
        <v>#N/A</v>
      </c>
      <c r="DA502" t="e" cm="1">
        <f t="array" ref="DA502">IF(ISNUMBER(CZ502),AF502/COUNT(IF(ISNUMBER(_xlfn.ANCHORARRAY($CZ$11)),_xlfn.ANCHORARRAY($CZ$11))),NA())</f>
        <v>#N/A</v>
      </c>
      <c r="DB502" t="e">
        <f t="shared" si="192"/>
        <v>#N/A</v>
      </c>
      <c r="DD502" t="e">
        <f t="shared" si="193"/>
        <v>#N/A</v>
      </c>
      <c r="DE502" t="e">
        <f t="shared" si="194"/>
        <v>#N/A</v>
      </c>
      <c r="DG502" t="e">
        <v>#N/A</v>
      </c>
      <c r="DH502" t="e">
        <v>#N/A</v>
      </c>
    </row>
    <row r="503" spans="32:112">
      <c r="AF503">
        <v>493</v>
      </c>
      <c r="AG503" s="401">
        <f>'Lab test'!N496</f>
        <v>76</v>
      </c>
      <c r="AH503" s="401">
        <f>'Lab test'!M496</f>
        <v>0.76</v>
      </c>
      <c r="AI503">
        <f>IF('Lab test'!O496&gt;0,'Lab test'!O496,NA())</f>
        <v>25.46</v>
      </c>
      <c r="AJ503">
        <f>'Lab test'!Q496</f>
        <v>100</v>
      </c>
      <c r="AK503" s="401">
        <f>IF('Lab test'!V496&gt;0,'Lab test'!V496,NA())</f>
        <v>207000</v>
      </c>
      <c r="AL503" s="7">
        <f>IF(MAX('Lab test'!W496,'Lab test'!X496)&gt;0,MAX('Lab test'!W496,'Lab test'!X496),NA())</f>
        <v>270</v>
      </c>
      <c r="AM503" s="401">
        <f>IF('Lab test'!P496&gt;0,'Lab test'!P496,NA())</f>
        <v>3.3500000000000002E-2</v>
      </c>
      <c r="AN503" s="401">
        <f>IF('Lab test'!AU496&gt;0,'Lab test'!AU496,NA())</f>
        <v>0.82962962962962961</v>
      </c>
      <c r="AO503" s="401">
        <f>IF('Lab test'!AT496&gt;0,'Lab test'!AT496,NA())</f>
        <v>0.17879649312928794</v>
      </c>
      <c r="AP503">
        <f t="shared" si="198"/>
        <v>1</v>
      </c>
      <c r="AQ503" s="401">
        <f>'Lab test'!AZ496</f>
        <v>1985</v>
      </c>
      <c r="AR503" t="str">
        <f>'Lab test'!AC496</f>
        <v>LTWa</v>
      </c>
      <c r="AS503" t="str">
        <f>'Lab test'!T496</f>
        <v>Steel</v>
      </c>
      <c r="AX503" t="e">
        <f t="shared" si="180"/>
        <v>#N/A</v>
      </c>
      <c r="AY503" t="e">
        <f t="shared" si="199"/>
        <v>#N/A</v>
      </c>
      <c r="AZ503" t="e">
        <f t="shared" si="195"/>
        <v>#N/A</v>
      </c>
      <c r="BA503" t="e">
        <f t="shared" si="195"/>
        <v>#N/A</v>
      </c>
      <c r="BB503" t="e">
        <f t="shared" si="195"/>
        <v>#N/A</v>
      </c>
      <c r="BC503" t="e">
        <f t="shared" si="195"/>
        <v>#N/A</v>
      </c>
      <c r="BD503" t="e">
        <f t="shared" si="195"/>
        <v>#N/A</v>
      </c>
      <c r="BG503" t="e">
        <f t="shared" si="181"/>
        <v>#N/A</v>
      </c>
      <c r="BH503" t="e">
        <f t="shared" si="200"/>
        <v>#N/A</v>
      </c>
      <c r="BI503" t="e">
        <f t="shared" si="196"/>
        <v>#N/A</v>
      </c>
      <c r="BJ503" t="e">
        <f t="shared" si="196"/>
        <v>#N/A</v>
      </c>
      <c r="BK503" t="e">
        <f t="shared" si="196"/>
        <v>#N/A</v>
      </c>
      <c r="BL503" t="e">
        <f t="shared" si="196"/>
        <v>#N/A</v>
      </c>
      <c r="BM503" t="e">
        <f t="shared" si="196"/>
        <v>#N/A</v>
      </c>
      <c r="BP503" t="e">
        <f t="shared" si="182"/>
        <v>#N/A</v>
      </c>
      <c r="BQ503" t="e">
        <f t="shared" si="201"/>
        <v>#N/A</v>
      </c>
      <c r="BR503" t="e">
        <f t="shared" si="197"/>
        <v>#N/A</v>
      </c>
      <c r="BS503" t="e">
        <f t="shared" si="197"/>
        <v>#N/A</v>
      </c>
      <c r="BT503" t="e">
        <f t="shared" si="197"/>
        <v>#N/A</v>
      </c>
      <c r="BU503" t="e">
        <f t="shared" si="197"/>
        <v>#N/A</v>
      </c>
      <c r="BV503" t="e">
        <f t="shared" si="197"/>
        <v>#N/A</v>
      </c>
      <c r="BY503" t="e">
        <f t="shared" si="183"/>
        <v>#N/A</v>
      </c>
      <c r="BZ503" t="e">
        <v>#N/A</v>
      </c>
      <c r="CA503" t="e" cm="1">
        <f t="array" ref="CA503">IF(ISNUMBER(BZ503),AF503/COUNT(IF(ISNUMBER(_xlfn.ANCHORARRAY($BZ$11)),_xlfn.ANCHORARRAY($BZ$11))),NA())</f>
        <v>#N/A</v>
      </c>
      <c r="CB503" t="e">
        <f t="shared" si="184"/>
        <v>#N/A</v>
      </c>
      <c r="CD503" t="e">
        <f t="shared" si="185"/>
        <v>#N/A</v>
      </c>
      <c r="CE503" t="e">
        <f t="shared" si="186"/>
        <v>#N/A</v>
      </c>
      <c r="CG503" t="e">
        <v>#N/A</v>
      </c>
      <c r="CH503" t="e">
        <v>#N/A</v>
      </c>
      <c r="CL503" t="e">
        <f t="shared" si="187"/>
        <v>#N/A</v>
      </c>
      <c r="CM503" t="e">
        <v>#N/A</v>
      </c>
      <c r="CN503" t="e" cm="1">
        <f t="array" ref="CN503">IF(ISNUMBER(CM503),AF503/COUNT(IF(ISNUMBER(_xlfn.ANCHORARRAY($CM$11)),_xlfn.ANCHORARRAY($CM$11))),NA())</f>
        <v>#N/A</v>
      </c>
      <c r="CO503" t="e">
        <f t="shared" si="188"/>
        <v>#N/A</v>
      </c>
      <c r="CQ503" t="e">
        <f t="shared" si="189"/>
        <v>#N/A</v>
      </c>
      <c r="CR503" t="e">
        <f t="shared" si="190"/>
        <v>#N/A</v>
      </c>
      <c r="CT503" t="e">
        <v>#N/A</v>
      </c>
      <c r="CU503" t="e">
        <v>#N/A</v>
      </c>
      <c r="CY503" t="e">
        <f t="shared" si="191"/>
        <v>#N/A</v>
      </c>
      <c r="CZ503" t="e">
        <v>#N/A</v>
      </c>
      <c r="DA503" t="e" cm="1">
        <f t="array" ref="DA503">IF(ISNUMBER(CZ503),AF503/COUNT(IF(ISNUMBER(_xlfn.ANCHORARRAY($CZ$11)),_xlfn.ANCHORARRAY($CZ$11))),NA())</f>
        <v>#N/A</v>
      </c>
      <c r="DB503" t="e">
        <f t="shared" si="192"/>
        <v>#N/A</v>
      </c>
      <c r="DD503" t="e">
        <f t="shared" si="193"/>
        <v>#N/A</v>
      </c>
      <c r="DE503" t="e">
        <f t="shared" si="194"/>
        <v>#N/A</v>
      </c>
      <c r="DG503" t="e">
        <v>#N/A</v>
      </c>
      <c r="DH503" t="e">
        <v>#N/A</v>
      </c>
    </row>
    <row r="504" spans="32:112">
      <c r="AF504">
        <v>494</v>
      </c>
      <c r="AG504" s="401">
        <f>'Lab test'!N497</f>
        <v>76</v>
      </c>
      <c r="AH504" s="401">
        <f>'Lab test'!M497</f>
        <v>0.8</v>
      </c>
      <c r="AI504">
        <f>IF('Lab test'!O497&gt;0,'Lab test'!O497,NA())</f>
        <v>24.7</v>
      </c>
      <c r="AJ504">
        <f>'Lab test'!Q497</f>
        <v>95</v>
      </c>
      <c r="AK504" s="401">
        <f>IF('Lab test'!V497&gt;0,'Lab test'!V497,NA())</f>
        <v>207000</v>
      </c>
      <c r="AL504" s="7">
        <f>IF(MAX('Lab test'!W497,'Lab test'!X497)&gt;0,MAX('Lab test'!W497,'Lab test'!X497),NA())</f>
        <v>400</v>
      </c>
      <c r="AM504" s="401">
        <f>IF('Lab test'!P497&gt;0,'Lab test'!P497,NA())</f>
        <v>3.3344296442767513E-2</v>
      </c>
      <c r="AN504" s="401">
        <f>IF('Lab test'!AU497&gt;0,'Lab test'!AU497,NA())</f>
        <v>0.9</v>
      </c>
      <c r="AO504" s="401">
        <f>IF('Lab test'!AT497&gt;0,'Lab test'!AT497,NA())</f>
        <v>0.27298393147418071</v>
      </c>
      <c r="AP504">
        <f t="shared" si="198"/>
        <v>1</v>
      </c>
      <c r="AQ504" s="401">
        <f>'Lab test'!AZ497</f>
        <v>1985</v>
      </c>
      <c r="AR504" t="str">
        <f>'Lab test'!AC497</f>
        <v>LTWa</v>
      </c>
      <c r="AS504" t="str">
        <f>'Lab test'!T497</f>
        <v>Steel</v>
      </c>
      <c r="AX504" t="e">
        <f t="shared" si="180"/>
        <v>#N/A</v>
      </c>
      <c r="AY504" t="e">
        <f t="shared" si="199"/>
        <v>#N/A</v>
      </c>
      <c r="AZ504" t="e">
        <f t="shared" si="195"/>
        <v>#N/A</v>
      </c>
      <c r="BA504" t="e">
        <f t="shared" si="195"/>
        <v>#N/A</v>
      </c>
      <c r="BB504" t="e">
        <f t="shared" si="195"/>
        <v>#N/A</v>
      </c>
      <c r="BC504" t="e">
        <f t="shared" si="195"/>
        <v>#N/A</v>
      </c>
      <c r="BD504" t="e">
        <f t="shared" si="195"/>
        <v>#N/A</v>
      </c>
      <c r="BG504" t="e">
        <f t="shared" si="181"/>
        <v>#N/A</v>
      </c>
      <c r="BH504" t="e">
        <f t="shared" si="200"/>
        <v>#N/A</v>
      </c>
      <c r="BI504" t="e">
        <f t="shared" si="196"/>
        <v>#N/A</v>
      </c>
      <c r="BJ504" t="e">
        <f t="shared" si="196"/>
        <v>#N/A</v>
      </c>
      <c r="BK504" t="e">
        <f t="shared" si="196"/>
        <v>#N/A</v>
      </c>
      <c r="BL504" t="e">
        <f t="shared" si="196"/>
        <v>#N/A</v>
      </c>
      <c r="BM504" t="e">
        <f t="shared" si="196"/>
        <v>#N/A</v>
      </c>
      <c r="BP504" t="e">
        <f t="shared" si="182"/>
        <v>#N/A</v>
      </c>
      <c r="BQ504" t="e">
        <f t="shared" si="201"/>
        <v>#N/A</v>
      </c>
      <c r="BR504" t="e">
        <f t="shared" si="197"/>
        <v>#N/A</v>
      </c>
      <c r="BS504" t="e">
        <f t="shared" si="197"/>
        <v>#N/A</v>
      </c>
      <c r="BT504" t="e">
        <f t="shared" si="197"/>
        <v>#N/A</v>
      </c>
      <c r="BU504" t="e">
        <f t="shared" si="197"/>
        <v>#N/A</v>
      </c>
      <c r="BV504" t="e">
        <f t="shared" si="197"/>
        <v>#N/A</v>
      </c>
      <c r="BY504" t="e">
        <f t="shared" si="183"/>
        <v>#N/A</v>
      </c>
      <c r="BZ504" t="e">
        <v>#N/A</v>
      </c>
      <c r="CA504" t="e" cm="1">
        <f t="array" ref="CA504">IF(ISNUMBER(BZ504),AF504/COUNT(IF(ISNUMBER(_xlfn.ANCHORARRAY($BZ$11)),_xlfn.ANCHORARRAY($BZ$11))),NA())</f>
        <v>#N/A</v>
      </c>
      <c r="CB504" t="e">
        <f t="shared" si="184"/>
        <v>#N/A</v>
      </c>
      <c r="CD504" t="e">
        <f t="shared" si="185"/>
        <v>#N/A</v>
      </c>
      <c r="CE504" t="e">
        <f t="shared" si="186"/>
        <v>#N/A</v>
      </c>
      <c r="CG504" t="e">
        <v>#N/A</v>
      </c>
      <c r="CH504" t="e">
        <v>#N/A</v>
      </c>
      <c r="CL504" t="e">
        <f t="shared" si="187"/>
        <v>#N/A</v>
      </c>
      <c r="CM504" t="e">
        <v>#N/A</v>
      </c>
      <c r="CN504" t="e" cm="1">
        <f t="array" ref="CN504">IF(ISNUMBER(CM504),AF504/COUNT(IF(ISNUMBER(_xlfn.ANCHORARRAY($CM$11)),_xlfn.ANCHORARRAY($CM$11))),NA())</f>
        <v>#N/A</v>
      </c>
      <c r="CO504" t="e">
        <f t="shared" si="188"/>
        <v>#N/A</v>
      </c>
      <c r="CQ504" t="e">
        <f t="shared" si="189"/>
        <v>#N/A</v>
      </c>
      <c r="CR504" t="e">
        <f t="shared" si="190"/>
        <v>#N/A</v>
      </c>
      <c r="CT504" t="e">
        <v>#N/A</v>
      </c>
      <c r="CU504" t="e">
        <v>#N/A</v>
      </c>
      <c r="CY504" t="e">
        <f t="shared" si="191"/>
        <v>#N/A</v>
      </c>
      <c r="CZ504" t="e">
        <v>#N/A</v>
      </c>
      <c r="DA504" t="e" cm="1">
        <f t="array" ref="DA504">IF(ISNUMBER(CZ504),AF504/COUNT(IF(ISNUMBER(_xlfn.ANCHORARRAY($CZ$11)),_xlfn.ANCHORARRAY($CZ$11))),NA())</f>
        <v>#N/A</v>
      </c>
      <c r="DB504" t="e">
        <f t="shared" si="192"/>
        <v>#N/A</v>
      </c>
      <c r="DD504" t="e">
        <f t="shared" si="193"/>
        <v>#N/A</v>
      </c>
      <c r="DE504" t="e">
        <f t="shared" si="194"/>
        <v>#N/A</v>
      </c>
      <c r="DG504" t="e">
        <v>#N/A</v>
      </c>
      <c r="DH504" t="e">
        <v>#N/A</v>
      </c>
    </row>
    <row r="505" spans="32:112">
      <c r="AF505">
        <v>495</v>
      </c>
      <c r="AG505" s="401">
        <f>'Lab test'!N498</f>
        <v>76</v>
      </c>
      <c r="AH505" s="401">
        <f>'Lab test'!M498</f>
        <v>0.76</v>
      </c>
      <c r="AI505">
        <f>IF('Lab test'!O498&gt;0,'Lab test'!O498,NA())</f>
        <v>54.72</v>
      </c>
      <c r="AJ505">
        <f>'Lab test'!Q498</f>
        <v>100</v>
      </c>
      <c r="AK505" s="401">
        <f>IF('Lab test'!V498&gt;0,'Lab test'!V498,NA())</f>
        <v>207000</v>
      </c>
      <c r="AL505" s="7">
        <f>IF(MAX('Lab test'!W498,'Lab test'!X498)&gt;0,MAX('Lab test'!W498,'Lab test'!X498),NA())</f>
        <v>270</v>
      </c>
      <c r="AM505" s="401">
        <f>IF('Lab test'!P498&gt;0,'Lab test'!P498,NA())</f>
        <v>7.1999999999999995E-2</v>
      </c>
      <c r="AN505" s="401">
        <f>IF('Lab test'!AU498&gt;0,'Lab test'!AU498,NA())</f>
        <v>0.81481481481481477</v>
      </c>
      <c r="AO505" s="401">
        <f>IF('Lab test'!AT498&gt;0,'Lab test'!AT498,NA())</f>
        <v>0.17560369860912209</v>
      </c>
      <c r="AP505">
        <f t="shared" si="198"/>
        <v>1</v>
      </c>
      <c r="AQ505" s="401">
        <f>'Lab test'!AZ498</f>
        <v>1985</v>
      </c>
      <c r="AR505" t="str">
        <f>'Lab test'!AC498</f>
        <v>LTWa</v>
      </c>
      <c r="AS505" t="str">
        <f>'Lab test'!T498</f>
        <v>Steel</v>
      </c>
      <c r="AX505" t="e">
        <f t="shared" si="180"/>
        <v>#N/A</v>
      </c>
      <c r="AY505" t="e">
        <f t="shared" si="199"/>
        <v>#N/A</v>
      </c>
      <c r="AZ505" t="e">
        <f t="shared" si="195"/>
        <v>#N/A</v>
      </c>
      <c r="BA505" t="e">
        <f t="shared" si="195"/>
        <v>#N/A</v>
      </c>
      <c r="BB505" t="e">
        <f t="shared" si="195"/>
        <v>#N/A</v>
      </c>
      <c r="BC505" t="e">
        <f t="shared" si="195"/>
        <v>#N/A</v>
      </c>
      <c r="BD505" t="e">
        <f t="shared" si="195"/>
        <v>#N/A</v>
      </c>
      <c r="BG505" t="e">
        <f t="shared" si="181"/>
        <v>#N/A</v>
      </c>
      <c r="BH505" t="e">
        <f t="shared" si="200"/>
        <v>#N/A</v>
      </c>
      <c r="BI505" t="e">
        <f t="shared" si="196"/>
        <v>#N/A</v>
      </c>
      <c r="BJ505" t="e">
        <f t="shared" si="196"/>
        <v>#N/A</v>
      </c>
      <c r="BK505" t="e">
        <f t="shared" si="196"/>
        <v>#N/A</v>
      </c>
      <c r="BL505" t="e">
        <f t="shared" si="196"/>
        <v>#N/A</v>
      </c>
      <c r="BM505" t="e">
        <f t="shared" si="196"/>
        <v>#N/A</v>
      </c>
      <c r="BP505" t="e">
        <f t="shared" si="182"/>
        <v>#N/A</v>
      </c>
      <c r="BQ505" t="e">
        <f t="shared" si="201"/>
        <v>#N/A</v>
      </c>
      <c r="BR505" t="e">
        <f t="shared" si="197"/>
        <v>#N/A</v>
      </c>
      <c r="BS505" t="e">
        <f t="shared" si="197"/>
        <v>#N/A</v>
      </c>
      <c r="BT505" t="e">
        <f t="shared" si="197"/>
        <v>#N/A</v>
      </c>
      <c r="BU505" t="e">
        <f t="shared" si="197"/>
        <v>#N/A</v>
      </c>
      <c r="BV505" t="e">
        <f t="shared" si="197"/>
        <v>#N/A</v>
      </c>
      <c r="BY505" t="e">
        <f t="shared" si="183"/>
        <v>#N/A</v>
      </c>
      <c r="BZ505" t="e">
        <v>#N/A</v>
      </c>
      <c r="CA505" t="e" cm="1">
        <f t="array" ref="CA505">IF(ISNUMBER(BZ505),AF505/COUNT(IF(ISNUMBER(_xlfn.ANCHORARRAY($BZ$11)),_xlfn.ANCHORARRAY($BZ$11))),NA())</f>
        <v>#N/A</v>
      </c>
      <c r="CB505" t="e">
        <f t="shared" si="184"/>
        <v>#N/A</v>
      </c>
      <c r="CD505" t="e">
        <f t="shared" si="185"/>
        <v>#N/A</v>
      </c>
      <c r="CE505" t="e">
        <f t="shared" si="186"/>
        <v>#N/A</v>
      </c>
      <c r="CG505" t="e">
        <v>#N/A</v>
      </c>
      <c r="CH505" t="e">
        <v>#N/A</v>
      </c>
      <c r="CL505" t="e">
        <f t="shared" si="187"/>
        <v>#N/A</v>
      </c>
      <c r="CM505" t="e">
        <v>#N/A</v>
      </c>
      <c r="CN505" t="e" cm="1">
        <f t="array" ref="CN505">IF(ISNUMBER(CM505),AF505/COUNT(IF(ISNUMBER(_xlfn.ANCHORARRAY($CM$11)),_xlfn.ANCHORARRAY($CM$11))),NA())</f>
        <v>#N/A</v>
      </c>
      <c r="CO505" t="e">
        <f t="shared" si="188"/>
        <v>#N/A</v>
      </c>
      <c r="CQ505" t="e">
        <f t="shared" si="189"/>
        <v>#N/A</v>
      </c>
      <c r="CR505" t="e">
        <f t="shared" si="190"/>
        <v>#N/A</v>
      </c>
      <c r="CT505" t="e">
        <v>#N/A</v>
      </c>
      <c r="CU505" t="e">
        <v>#N/A</v>
      </c>
      <c r="CY505" t="e">
        <f t="shared" si="191"/>
        <v>#N/A</v>
      </c>
      <c r="CZ505" t="e">
        <v>#N/A</v>
      </c>
      <c r="DA505" t="e" cm="1">
        <f t="array" ref="DA505">IF(ISNUMBER(CZ505),AF505/COUNT(IF(ISNUMBER(_xlfn.ANCHORARRAY($CZ$11)),_xlfn.ANCHORARRAY($CZ$11))),NA())</f>
        <v>#N/A</v>
      </c>
      <c r="DB505" t="e">
        <f t="shared" si="192"/>
        <v>#N/A</v>
      </c>
      <c r="DD505" t="e">
        <f t="shared" si="193"/>
        <v>#N/A</v>
      </c>
      <c r="DE505" t="e">
        <f t="shared" si="194"/>
        <v>#N/A</v>
      </c>
      <c r="DG505" t="e">
        <v>#N/A</v>
      </c>
      <c r="DH505" t="e">
        <v>#N/A</v>
      </c>
    </row>
    <row r="506" spans="32:112">
      <c r="AF506">
        <v>496</v>
      </c>
      <c r="AG506" s="401">
        <f>'Lab test'!N499</f>
        <v>76</v>
      </c>
      <c r="AH506" s="401">
        <f>'Lab test'!M499</f>
        <v>0.8</v>
      </c>
      <c r="AI506">
        <f>IF('Lab test'!O499&gt;0,'Lab test'!O499,NA())</f>
        <v>55.1</v>
      </c>
      <c r="AJ506">
        <f>'Lab test'!Q499</f>
        <v>95</v>
      </c>
      <c r="AK506" s="401">
        <f>IF('Lab test'!V499&gt;0,'Lab test'!V499,NA())</f>
        <v>207000</v>
      </c>
      <c r="AL506" s="7">
        <f>IF(MAX('Lab test'!W499,'Lab test'!X499)&gt;0,MAX('Lab test'!W499,'Lab test'!X499),NA())</f>
        <v>400</v>
      </c>
      <c r="AM506" s="401">
        <f>IF('Lab test'!P499&gt;0,'Lab test'!P499,NA())</f>
        <v>7.4383430526173674E-2</v>
      </c>
      <c r="AN506" s="401">
        <f>IF('Lab test'!AU499&gt;0,'Lab test'!AU499,NA())</f>
        <v>0.88500000000000001</v>
      </c>
      <c r="AO506" s="401">
        <f>IF('Lab test'!AT499&gt;0,'Lab test'!AT499,NA())</f>
        <v>0.26843419928294437</v>
      </c>
      <c r="AP506">
        <f t="shared" si="198"/>
        <v>1</v>
      </c>
      <c r="AQ506" s="401">
        <f>'Lab test'!AZ499</f>
        <v>1985</v>
      </c>
      <c r="AR506" t="str">
        <f>'Lab test'!AC499</f>
        <v>LTWa</v>
      </c>
      <c r="AS506" t="str">
        <f>'Lab test'!T499</f>
        <v>Steel</v>
      </c>
      <c r="AX506" t="e">
        <f t="shared" si="180"/>
        <v>#N/A</v>
      </c>
      <c r="AY506" t="e">
        <f t="shared" si="199"/>
        <v>#N/A</v>
      </c>
      <c r="AZ506" t="e">
        <f t="shared" si="195"/>
        <v>#N/A</v>
      </c>
      <c r="BA506" t="e">
        <f t="shared" si="195"/>
        <v>#N/A</v>
      </c>
      <c r="BB506" t="e">
        <f t="shared" si="195"/>
        <v>#N/A</v>
      </c>
      <c r="BC506" t="e">
        <f t="shared" si="195"/>
        <v>#N/A</v>
      </c>
      <c r="BD506" t="e">
        <f t="shared" si="195"/>
        <v>#N/A</v>
      </c>
      <c r="BG506" t="e">
        <f t="shared" si="181"/>
        <v>#N/A</v>
      </c>
      <c r="BH506" t="e">
        <f t="shared" si="200"/>
        <v>#N/A</v>
      </c>
      <c r="BI506" t="e">
        <f t="shared" si="196"/>
        <v>#N/A</v>
      </c>
      <c r="BJ506" t="e">
        <f t="shared" si="196"/>
        <v>#N/A</v>
      </c>
      <c r="BK506" t="e">
        <f t="shared" si="196"/>
        <v>#N/A</v>
      </c>
      <c r="BL506" t="e">
        <f t="shared" si="196"/>
        <v>#N/A</v>
      </c>
      <c r="BM506" t="e">
        <f t="shared" si="196"/>
        <v>#N/A</v>
      </c>
      <c r="BP506" t="e">
        <f t="shared" si="182"/>
        <v>#N/A</v>
      </c>
      <c r="BQ506" t="e">
        <f t="shared" si="201"/>
        <v>#N/A</v>
      </c>
      <c r="BR506" t="e">
        <f t="shared" si="197"/>
        <v>#N/A</v>
      </c>
      <c r="BS506" t="e">
        <f t="shared" si="197"/>
        <v>#N/A</v>
      </c>
      <c r="BT506" t="e">
        <f t="shared" si="197"/>
        <v>#N/A</v>
      </c>
      <c r="BU506" t="e">
        <f t="shared" si="197"/>
        <v>#N/A</v>
      </c>
      <c r="BV506" t="e">
        <f t="shared" si="197"/>
        <v>#N/A</v>
      </c>
      <c r="BY506" t="e">
        <f t="shared" si="183"/>
        <v>#N/A</v>
      </c>
      <c r="BZ506" t="e">
        <v>#N/A</v>
      </c>
      <c r="CA506" t="e" cm="1">
        <f t="array" ref="CA506">IF(ISNUMBER(BZ506),AF506/COUNT(IF(ISNUMBER(_xlfn.ANCHORARRAY($BZ$11)),_xlfn.ANCHORARRAY($BZ$11))),NA())</f>
        <v>#N/A</v>
      </c>
      <c r="CB506" t="e">
        <f t="shared" si="184"/>
        <v>#N/A</v>
      </c>
      <c r="CD506" t="e">
        <f t="shared" si="185"/>
        <v>#N/A</v>
      </c>
      <c r="CE506" t="e">
        <f t="shared" si="186"/>
        <v>#N/A</v>
      </c>
      <c r="CG506" t="e">
        <v>#N/A</v>
      </c>
      <c r="CH506" t="e">
        <v>#N/A</v>
      </c>
      <c r="CL506" t="e">
        <f t="shared" si="187"/>
        <v>#N/A</v>
      </c>
      <c r="CM506" t="e">
        <v>#N/A</v>
      </c>
      <c r="CN506" t="e" cm="1">
        <f t="array" ref="CN506">IF(ISNUMBER(CM506),AF506/COUNT(IF(ISNUMBER(_xlfn.ANCHORARRAY($CM$11)),_xlfn.ANCHORARRAY($CM$11))),NA())</f>
        <v>#N/A</v>
      </c>
      <c r="CO506" t="e">
        <f t="shared" si="188"/>
        <v>#N/A</v>
      </c>
      <c r="CQ506" t="e">
        <f t="shared" si="189"/>
        <v>#N/A</v>
      </c>
      <c r="CR506" t="e">
        <f t="shared" si="190"/>
        <v>#N/A</v>
      </c>
      <c r="CT506" t="e">
        <v>#N/A</v>
      </c>
      <c r="CU506" t="e">
        <v>#N/A</v>
      </c>
      <c r="CY506" t="e">
        <f t="shared" si="191"/>
        <v>#N/A</v>
      </c>
      <c r="CZ506" t="e">
        <v>#N/A</v>
      </c>
      <c r="DA506" t="e" cm="1">
        <f t="array" ref="DA506">IF(ISNUMBER(CZ506),AF506/COUNT(IF(ISNUMBER(_xlfn.ANCHORARRAY($CZ$11)),_xlfn.ANCHORARRAY($CZ$11))),NA())</f>
        <v>#N/A</v>
      </c>
      <c r="DB506" t="e">
        <f t="shared" si="192"/>
        <v>#N/A</v>
      </c>
      <c r="DD506" t="e">
        <f t="shared" si="193"/>
        <v>#N/A</v>
      </c>
      <c r="DE506" t="e">
        <f t="shared" si="194"/>
        <v>#N/A</v>
      </c>
      <c r="DG506" t="e">
        <v>#N/A</v>
      </c>
      <c r="DH506" t="e">
        <v>#N/A</v>
      </c>
    </row>
    <row r="507" spans="32:112">
      <c r="AF507">
        <v>497</v>
      </c>
      <c r="AG507" s="401">
        <f>'Lab test'!N500</f>
        <v>76</v>
      </c>
      <c r="AH507" s="401">
        <f>'Lab test'!M500</f>
        <v>0.76</v>
      </c>
      <c r="AI507">
        <f>IF('Lab test'!O500&gt;0,'Lab test'!O500,NA())</f>
        <v>109.82000000000001</v>
      </c>
      <c r="AJ507">
        <f>'Lab test'!Q500</f>
        <v>100</v>
      </c>
      <c r="AK507" s="401">
        <f>IF('Lab test'!V500&gt;0,'Lab test'!V500,NA())</f>
        <v>207000</v>
      </c>
      <c r="AL507" s="7">
        <f>IF(MAX('Lab test'!W500,'Lab test'!X500)&gt;0,MAX('Lab test'!W500,'Lab test'!X500),NA())</f>
        <v>225</v>
      </c>
      <c r="AM507" s="401">
        <f>IF('Lab test'!P500&gt;0,'Lab test'!P500,NA())</f>
        <v>0.14450000000000002</v>
      </c>
      <c r="AN507" s="401">
        <f>IF('Lab test'!AU500&gt;0,'Lab test'!AU500,NA())</f>
        <v>0.80888888888888888</v>
      </c>
      <c r="AO507" s="401">
        <f>IF('Lab test'!AT500&gt;0,'Lab test'!AT500,NA())</f>
        <v>0.14527215066754645</v>
      </c>
      <c r="AP507">
        <f t="shared" si="198"/>
        <v>1</v>
      </c>
      <c r="AQ507" s="401">
        <f>'Lab test'!AZ500</f>
        <v>1985</v>
      </c>
      <c r="AR507" t="str">
        <f>'Lab test'!AC500</f>
        <v>LTWa</v>
      </c>
      <c r="AS507" t="str">
        <f>'Lab test'!T500</f>
        <v>Steel</v>
      </c>
      <c r="AX507" t="e">
        <f t="shared" si="180"/>
        <v>#N/A</v>
      </c>
      <c r="AY507" t="e">
        <f t="shared" si="199"/>
        <v>#N/A</v>
      </c>
      <c r="AZ507" t="e">
        <f t="shared" si="195"/>
        <v>#N/A</v>
      </c>
      <c r="BA507" t="e">
        <f t="shared" si="195"/>
        <v>#N/A</v>
      </c>
      <c r="BB507" t="e">
        <f t="shared" si="195"/>
        <v>#N/A</v>
      </c>
      <c r="BC507" t="e">
        <f t="shared" si="195"/>
        <v>#N/A</v>
      </c>
      <c r="BD507" t="e">
        <f t="shared" si="195"/>
        <v>#N/A</v>
      </c>
      <c r="BG507" t="e">
        <f t="shared" si="181"/>
        <v>#N/A</v>
      </c>
      <c r="BH507" t="e">
        <f t="shared" si="200"/>
        <v>#N/A</v>
      </c>
      <c r="BI507" t="e">
        <f t="shared" si="196"/>
        <v>#N/A</v>
      </c>
      <c r="BJ507" t="e">
        <f t="shared" si="196"/>
        <v>#N/A</v>
      </c>
      <c r="BK507" t="e">
        <f t="shared" si="196"/>
        <v>#N/A</v>
      </c>
      <c r="BL507" t="e">
        <f t="shared" si="196"/>
        <v>#N/A</v>
      </c>
      <c r="BM507" t="e">
        <f t="shared" si="196"/>
        <v>#N/A</v>
      </c>
      <c r="BP507" t="e">
        <f t="shared" si="182"/>
        <v>#N/A</v>
      </c>
      <c r="BQ507" t="e">
        <f t="shared" si="201"/>
        <v>#N/A</v>
      </c>
      <c r="BR507" t="e">
        <f t="shared" si="197"/>
        <v>#N/A</v>
      </c>
      <c r="BS507" t="e">
        <f t="shared" si="197"/>
        <v>#N/A</v>
      </c>
      <c r="BT507" t="e">
        <f t="shared" si="197"/>
        <v>#N/A</v>
      </c>
      <c r="BU507" t="e">
        <f t="shared" si="197"/>
        <v>#N/A</v>
      </c>
      <c r="BV507" t="e">
        <f t="shared" si="197"/>
        <v>#N/A</v>
      </c>
      <c r="BY507" t="e">
        <f t="shared" si="183"/>
        <v>#N/A</v>
      </c>
      <c r="BZ507" t="e">
        <v>#N/A</v>
      </c>
      <c r="CA507" t="e" cm="1">
        <f t="array" ref="CA507">IF(ISNUMBER(BZ507),AF507/COUNT(IF(ISNUMBER(_xlfn.ANCHORARRAY($BZ$11)),_xlfn.ANCHORARRAY($BZ$11))),NA())</f>
        <v>#N/A</v>
      </c>
      <c r="CB507" t="e">
        <f t="shared" si="184"/>
        <v>#N/A</v>
      </c>
      <c r="CD507" t="e">
        <f t="shared" si="185"/>
        <v>#N/A</v>
      </c>
      <c r="CE507" t="e">
        <f t="shared" si="186"/>
        <v>#N/A</v>
      </c>
      <c r="CG507" t="e">
        <v>#N/A</v>
      </c>
      <c r="CH507" t="e">
        <v>#N/A</v>
      </c>
      <c r="CL507" t="e">
        <f t="shared" si="187"/>
        <v>#N/A</v>
      </c>
      <c r="CM507" t="e">
        <v>#N/A</v>
      </c>
      <c r="CN507" t="e" cm="1">
        <f t="array" ref="CN507">IF(ISNUMBER(CM507),AF507/COUNT(IF(ISNUMBER(_xlfn.ANCHORARRAY($CM$11)),_xlfn.ANCHORARRAY($CM$11))),NA())</f>
        <v>#N/A</v>
      </c>
      <c r="CO507" t="e">
        <f t="shared" si="188"/>
        <v>#N/A</v>
      </c>
      <c r="CQ507" t="e">
        <f t="shared" si="189"/>
        <v>#N/A</v>
      </c>
      <c r="CR507" t="e">
        <f t="shared" si="190"/>
        <v>#N/A</v>
      </c>
      <c r="CT507" t="e">
        <v>#N/A</v>
      </c>
      <c r="CU507" t="e">
        <v>#N/A</v>
      </c>
      <c r="CY507" t="e">
        <f t="shared" si="191"/>
        <v>#N/A</v>
      </c>
      <c r="CZ507" t="e">
        <v>#N/A</v>
      </c>
      <c r="DA507" t="e" cm="1">
        <f t="array" ref="DA507">IF(ISNUMBER(CZ507),AF507/COUNT(IF(ISNUMBER(_xlfn.ANCHORARRAY($CZ$11)),_xlfn.ANCHORARRAY($CZ$11))),NA())</f>
        <v>#N/A</v>
      </c>
      <c r="DB507" t="e">
        <f t="shared" si="192"/>
        <v>#N/A</v>
      </c>
      <c r="DD507" t="e">
        <f t="shared" si="193"/>
        <v>#N/A</v>
      </c>
      <c r="DE507" t="e">
        <f t="shared" si="194"/>
        <v>#N/A</v>
      </c>
      <c r="DG507" t="e">
        <v>#N/A</v>
      </c>
      <c r="DH507" t="e">
        <v>#N/A</v>
      </c>
    </row>
    <row r="508" spans="32:112">
      <c r="AF508">
        <v>498</v>
      </c>
      <c r="AG508" s="401">
        <f>'Lab test'!N501</f>
        <v>76</v>
      </c>
      <c r="AH508" s="401">
        <f>'Lab test'!M501</f>
        <v>0.80851063829787229</v>
      </c>
      <c r="AI508">
        <f>IF('Lab test'!O501&gt;0,'Lab test'!O501,NA())</f>
        <v>110.2</v>
      </c>
      <c r="AJ508">
        <f>'Lab test'!Q501</f>
        <v>94</v>
      </c>
      <c r="AK508" s="401">
        <f>IF('Lab test'!V501&gt;0,'Lab test'!V501,NA())</f>
        <v>207000</v>
      </c>
      <c r="AL508" s="7">
        <f>IF(MAX('Lab test'!W501,'Lab test'!X501)&gt;0,MAX('Lab test'!W501,'Lab test'!X501),NA())</f>
        <v>400</v>
      </c>
      <c r="AM508" s="401">
        <f>IF('Lab test'!P501&gt;0,'Lab test'!P501,NA())</f>
        <v>0.14955608070752505</v>
      </c>
      <c r="AN508" s="401">
        <f>IF('Lab test'!AU501&gt;0,'Lab test'!AU501,NA())</f>
        <v>0.91249999999999998</v>
      </c>
      <c r="AO508" s="401">
        <f>IF('Lab test'!AT501&gt;0,'Lab test'!AT501,NA())</f>
        <v>0.27386194996722629</v>
      </c>
      <c r="AP508">
        <f t="shared" si="198"/>
        <v>1</v>
      </c>
      <c r="AQ508" s="401">
        <f>'Lab test'!AZ501</f>
        <v>1985</v>
      </c>
      <c r="AR508" t="str">
        <f>'Lab test'!AC501</f>
        <v>LTWa</v>
      </c>
      <c r="AS508" t="str">
        <f>'Lab test'!T501</f>
        <v>Steel</v>
      </c>
      <c r="AX508" t="e">
        <f t="shared" si="180"/>
        <v>#N/A</v>
      </c>
      <c r="AY508" t="e">
        <f t="shared" si="199"/>
        <v>#N/A</v>
      </c>
      <c r="AZ508" t="e">
        <f t="shared" si="195"/>
        <v>#N/A</v>
      </c>
      <c r="BA508" t="e">
        <f t="shared" si="195"/>
        <v>#N/A</v>
      </c>
      <c r="BB508" t="e">
        <f t="shared" si="195"/>
        <v>#N/A</v>
      </c>
      <c r="BC508" t="e">
        <f t="shared" si="195"/>
        <v>#N/A</v>
      </c>
      <c r="BD508" t="e">
        <f t="shared" si="195"/>
        <v>#N/A</v>
      </c>
      <c r="BG508" t="e">
        <f t="shared" si="181"/>
        <v>#N/A</v>
      </c>
      <c r="BH508" t="e">
        <f t="shared" si="200"/>
        <v>#N/A</v>
      </c>
      <c r="BI508" t="e">
        <f t="shared" si="196"/>
        <v>#N/A</v>
      </c>
      <c r="BJ508" t="e">
        <f t="shared" si="196"/>
        <v>#N/A</v>
      </c>
      <c r="BK508" t="e">
        <f t="shared" si="196"/>
        <v>#N/A</v>
      </c>
      <c r="BL508" t="e">
        <f t="shared" si="196"/>
        <v>#N/A</v>
      </c>
      <c r="BM508" t="e">
        <f t="shared" si="196"/>
        <v>#N/A</v>
      </c>
      <c r="BP508" t="e">
        <f t="shared" si="182"/>
        <v>#N/A</v>
      </c>
      <c r="BQ508" t="e">
        <f t="shared" si="201"/>
        <v>#N/A</v>
      </c>
      <c r="BR508" t="e">
        <f t="shared" si="197"/>
        <v>#N/A</v>
      </c>
      <c r="BS508" t="e">
        <f t="shared" si="197"/>
        <v>#N/A</v>
      </c>
      <c r="BT508" t="e">
        <f t="shared" si="197"/>
        <v>#N/A</v>
      </c>
      <c r="BU508" t="e">
        <f t="shared" si="197"/>
        <v>#N/A</v>
      </c>
      <c r="BV508" t="e">
        <f t="shared" si="197"/>
        <v>#N/A</v>
      </c>
      <c r="BY508" t="e">
        <f t="shared" si="183"/>
        <v>#N/A</v>
      </c>
      <c r="BZ508" t="e">
        <v>#N/A</v>
      </c>
      <c r="CA508" t="e" cm="1">
        <f t="array" ref="CA508">IF(ISNUMBER(BZ508),AF508/COUNT(IF(ISNUMBER(_xlfn.ANCHORARRAY($BZ$11)),_xlfn.ANCHORARRAY($BZ$11))),NA())</f>
        <v>#N/A</v>
      </c>
      <c r="CB508" t="e">
        <f t="shared" si="184"/>
        <v>#N/A</v>
      </c>
      <c r="CD508" t="e">
        <f t="shared" si="185"/>
        <v>#N/A</v>
      </c>
      <c r="CE508" t="e">
        <f t="shared" si="186"/>
        <v>#N/A</v>
      </c>
      <c r="CG508" t="e">
        <v>#N/A</v>
      </c>
      <c r="CH508" t="e">
        <v>#N/A</v>
      </c>
      <c r="CL508" t="e">
        <f t="shared" si="187"/>
        <v>#N/A</v>
      </c>
      <c r="CM508" t="e">
        <v>#N/A</v>
      </c>
      <c r="CN508" t="e" cm="1">
        <f t="array" ref="CN508">IF(ISNUMBER(CM508),AF508/COUNT(IF(ISNUMBER(_xlfn.ANCHORARRAY($CM$11)),_xlfn.ANCHORARRAY($CM$11))),NA())</f>
        <v>#N/A</v>
      </c>
      <c r="CO508" t="e">
        <f t="shared" si="188"/>
        <v>#N/A</v>
      </c>
      <c r="CQ508" t="e">
        <f t="shared" si="189"/>
        <v>#N/A</v>
      </c>
      <c r="CR508" t="e">
        <f t="shared" si="190"/>
        <v>#N/A</v>
      </c>
      <c r="CT508" t="e">
        <v>#N/A</v>
      </c>
      <c r="CU508" t="e">
        <v>#N/A</v>
      </c>
      <c r="CY508" t="e">
        <f t="shared" si="191"/>
        <v>#N/A</v>
      </c>
      <c r="CZ508" t="e">
        <v>#N/A</v>
      </c>
      <c r="DA508" t="e" cm="1">
        <f t="array" ref="DA508">IF(ISNUMBER(CZ508),AF508/COUNT(IF(ISNUMBER(_xlfn.ANCHORARRAY($CZ$11)),_xlfn.ANCHORARRAY($CZ$11))),NA())</f>
        <v>#N/A</v>
      </c>
      <c r="DB508" t="e">
        <f t="shared" si="192"/>
        <v>#N/A</v>
      </c>
      <c r="DD508" t="e">
        <f t="shared" si="193"/>
        <v>#N/A</v>
      </c>
      <c r="DE508" t="e">
        <f t="shared" si="194"/>
        <v>#N/A</v>
      </c>
      <c r="DG508" t="e">
        <v>#N/A</v>
      </c>
      <c r="DH508" t="e">
        <v>#N/A</v>
      </c>
    </row>
    <row r="509" spans="32:112">
      <c r="AF509">
        <v>499</v>
      </c>
      <c r="AG509" s="401">
        <f>'Lab test'!N502</f>
        <v>76</v>
      </c>
      <c r="AH509" s="401">
        <f>'Lab test'!M502</f>
        <v>0.76</v>
      </c>
      <c r="AI509">
        <f>IF('Lab test'!O502&gt;0,'Lab test'!O502,NA())</f>
        <v>24.7</v>
      </c>
      <c r="AJ509">
        <f>'Lab test'!Q502</f>
        <v>100</v>
      </c>
      <c r="AK509" s="401">
        <f>IF('Lab test'!V502&gt;0,'Lab test'!V502,NA())</f>
        <v>207000</v>
      </c>
      <c r="AL509" s="7">
        <f>IF(MAX('Lab test'!W502,'Lab test'!X502)&gt;0,MAX('Lab test'!W502,'Lab test'!X502),NA())</f>
        <v>425</v>
      </c>
      <c r="AM509" s="401">
        <f>IF('Lab test'!P502&gt;0,'Lab test'!P502,NA())</f>
        <v>3.2500000000000001E-2</v>
      </c>
      <c r="AN509" s="401">
        <f>IF('Lab test'!AU502&gt;0,'Lab test'!AU502,NA())</f>
        <v>0.87058823529411766</v>
      </c>
      <c r="AO509" s="401">
        <f>IF('Lab test'!AT502&gt;0,'Lab test'!AT502,NA())</f>
        <v>0.29533349311534168</v>
      </c>
      <c r="AP509">
        <f t="shared" si="198"/>
        <v>1</v>
      </c>
      <c r="AQ509" s="401">
        <f>'Lab test'!AZ502</f>
        <v>1985</v>
      </c>
      <c r="AR509" t="str">
        <f>'Lab test'!AC502</f>
        <v>Machined</v>
      </c>
      <c r="AS509" t="str">
        <f>'Lab test'!T502</f>
        <v>Steel</v>
      </c>
      <c r="AX509" t="e">
        <f t="shared" si="180"/>
        <v>#N/A</v>
      </c>
      <c r="AY509" t="e">
        <f t="shared" si="199"/>
        <v>#N/A</v>
      </c>
      <c r="AZ509" t="e">
        <f t="shared" si="195"/>
        <v>#N/A</v>
      </c>
      <c r="BA509" t="e">
        <f t="shared" si="195"/>
        <v>#N/A</v>
      </c>
      <c r="BB509" t="e">
        <f t="shared" si="195"/>
        <v>#N/A</v>
      </c>
      <c r="BC509" t="e">
        <f t="shared" si="195"/>
        <v>#N/A</v>
      </c>
      <c r="BD509" t="e">
        <f t="shared" si="195"/>
        <v>#N/A</v>
      </c>
      <c r="BG509" t="e">
        <f t="shared" si="181"/>
        <v>#N/A</v>
      </c>
      <c r="BH509" t="e">
        <f t="shared" si="200"/>
        <v>#N/A</v>
      </c>
      <c r="BI509" t="e">
        <f t="shared" si="196"/>
        <v>#N/A</v>
      </c>
      <c r="BJ509" t="e">
        <f t="shared" si="196"/>
        <v>#N/A</v>
      </c>
      <c r="BK509" t="e">
        <f t="shared" si="196"/>
        <v>#N/A</v>
      </c>
      <c r="BL509" t="e">
        <f t="shared" si="196"/>
        <v>#N/A</v>
      </c>
      <c r="BM509" t="e">
        <f t="shared" si="196"/>
        <v>#N/A</v>
      </c>
      <c r="BP509" t="e">
        <f t="shared" si="182"/>
        <v>#N/A</v>
      </c>
      <c r="BQ509" t="e">
        <f t="shared" si="201"/>
        <v>#N/A</v>
      </c>
      <c r="BR509" t="e">
        <f t="shared" si="197"/>
        <v>#N/A</v>
      </c>
      <c r="BS509" t="e">
        <f t="shared" si="197"/>
        <v>#N/A</v>
      </c>
      <c r="BT509" t="e">
        <f t="shared" si="197"/>
        <v>#N/A</v>
      </c>
      <c r="BU509" t="e">
        <f t="shared" si="197"/>
        <v>#N/A</v>
      </c>
      <c r="BV509" t="e">
        <f t="shared" si="197"/>
        <v>#N/A</v>
      </c>
      <c r="BY509" t="e">
        <f t="shared" si="183"/>
        <v>#N/A</v>
      </c>
      <c r="BZ509" t="e">
        <v>#N/A</v>
      </c>
      <c r="CA509" t="e" cm="1">
        <f t="array" ref="CA509">IF(ISNUMBER(BZ509),AF509/COUNT(IF(ISNUMBER(_xlfn.ANCHORARRAY($BZ$11)),_xlfn.ANCHORARRAY($BZ$11))),NA())</f>
        <v>#N/A</v>
      </c>
      <c r="CB509" t="e">
        <f t="shared" si="184"/>
        <v>#N/A</v>
      </c>
      <c r="CD509" t="e">
        <f t="shared" si="185"/>
        <v>#N/A</v>
      </c>
      <c r="CE509" t="e">
        <f t="shared" si="186"/>
        <v>#N/A</v>
      </c>
      <c r="CG509" t="e">
        <v>#N/A</v>
      </c>
      <c r="CH509" t="e">
        <v>#N/A</v>
      </c>
      <c r="CL509" t="e">
        <f t="shared" si="187"/>
        <v>#N/A</v>
      </c>
      <c r="CM509" t="e">
        <v>#N/A</v>
      </c>
      <c r="CN509" t="e" cm="1">
        <f t="array" ref="CN509">IF(ISNUMBER(CM509),AF509/COUNT(IF(ISNUMBER(_xlfn.ANCHORARRAY($CM$11)),_xlfn.ANCHORARRAY($CM$11))),NA())</f>
        <v>#N/A</v>
      </c>
      <c r="CO509" t="e">
        <f t="shared" si="188"/>
        <v>#N/A</v>
      </c>
      <c r="CQ509" t="e">
        <f t="shared" si="189"/>
        <v>#N/A</v>
      </c>
      <c r="CR509" t="e">
        <f t="shared" si="190"/>
        <v>#N/A</v>
      </c>
      <c r="CT509" t="e">
        <v>#N/A</v>
      </c>
      <c r="CU509" t="e">
        <v>#N/A</v>
      </c>
      <c r="CY509" t="e">
        <f t="shared" si="191"/>
        <v>#N/A</v>
      </c>
      <c r="CZ509" t="e">
        <v>#N/A</v>
      </c>
      <c r="DA509" t="e" cm="1">
        <f t="array" ref="DA509">IF(ISNUMBER(CZ509),AF509/COUNT(IF(ISNUMBER(_xlfn.ANCHORARRAY($CZ$11)),_xlfn.ANCHORARRAY($CZ$11))),NA())</f>
        <v>#N/A</v>
      </c>
      <c r="DB509" t="e">
        <f t="shared" si="192"/>
        <v>#N/A</v>
      </c>
      <c r="DD509" t="e">
        <f t="shared" si="193"/>
        <v>#N/A</v>
      </c>
      <c r="DE509" t="e">
        <f t="shared" si="194"/>
        <v>#N/A</v>
      </c>
      <c r="DG509" t="e">
        <v>#N/A</v>
      </c>
      <c r="DH509" t="e">
        <v>#N/A</v>
      </c>
    </row>
    <row r="510" spans="32:112">
      <c r="AF510">
        <v>500</v>
      </c>
      <c r="AG510" s="401">
        <f>'Lab test'!N503</f>
        <v>76</v>
      </c>
      <c r="AH510" s="401">
        <f>'Lab test'!M503</f>
        <v>0.64406779661016944</v>
      </c>
      <c r="AI510">
        <f>IF('Lab test'!O503&gt;0,'Lab test'!O503,NA())</f>
        <v>24.7</v>
      </c>
      <c r="AJ510">
        <f>'Lab test'!Q503</f>
        <v>118</v>
      </c>
      <c r="AK510" s="401">
        <f>IF('Lab test'!V503&gt;0,'Lab test'!V503,NA())</f>
        <v>207000</v>
      </c>
      <c r="AL510" s="7">
        <f>IF(MAX('Lab test'!W503,'Lab test'!X503)&gt;0,MAX('Lab test'!W503,'Lab test'!X503),NA())</f>
        <v>340</v>
      </c>
      <c r="AM510" s="401">
        <f>IF('Lab test'!P503&gt;0,'Lab test'!P503,NA())</f>
        <v>2.991867508169551E-2</v>
      </c>
      <c r="AN510" s="401">
        <f>IF('Lab test'!AU503&gt;0,'Lab test'!AU503,NA())</f>
        <v>0.91176470588235292</v>
      </c>
      <c r="AO510" s="401">
        <f>IF('Lab test'!AT503&gt;0,'Lab test'!AT503,NA())</f>
        <v>0.29198105886916753</v>
      </c>
      <c r="AP510">
        <f t="shared" si="198"/>
        <v>1</v>
      </c>
      <c r="AQ510" s="401">
        <f>'Lab test'!AZ503</f>
        <v>1985</v>
      </c>
      <c r="AR510" t="str">
        <f>'Lab test'!AC503</f>
        <v>Machined</v>
      </c>
      <c r="AS510" t="str">
        <f>'Lab test'!T503</f>
        <v>Steel</v>
      </c>
      <c r="AX510" t="e">
        <f t="shared" si="180"/>
        <v>#N/A</v>
      </c>
      <c r="AY510" t="e">
        <f t="shared" si="199"/>
        <v>#N/A</v>
      </c>
      <c r="AZ510" t="e">
        <f t="shared" si="195"/>
        <v>#N/A</v>
      </c>
      <c r="BA510" t="e">
        <f t="shared" si="195"/>
        <v>#N/A</v>
      </c>
      <c r="BB510" t="e">
        <f t="shared" si="195"/>
        <v>#N/A</v>
      </c>
      <c r="BC510" t="e">
        <f t="shared" si="195"/>
        <v>#N/A</v>
      </c>
      <c r="BD510" t="e">
        <f t="shared" si="195"/>
        <v>#N/A</v>
      </c>
      <c r="BG510" t="e">
        <f t="shared" si="181"/>
        <v>#N/A</v>
      </c>
      <c r="BH510" t="e">
        <f t="shared" si="200"/>
        <v>#N/A</v>
      </c>
      <c r="BI510" t="e">
        <f t="shared" si="196"/>
        <v>#N/A</v>
      </c>
      <c r="BJ510" t="e">
        <f t="shared" si="196"/>
        <v>#N/A</v>
      </c>
      <c r="BK510" t="e">
        <f t="shared" si="196"/>
        <v>#N/A</v>
      </c>
      <c r="BL510" t="e">
        <f t="shared" si="196"/>
        <v>#N/A</v>
      </c>
      <c r="BM510" t="e">
        <f t="shared" si="196"/>
        <v>#N/A</v>
      </c>
      <c r="BP510" t="e">
        <f t="shared" si="182"/>
        <v>#N/A</v>
      </c>
      <c r="BQ510" t="e">
        <f t="shared" si="201"/>
        <v>#N/A</v>
      </c>
      <c r="BR510" t="e">
        <f t="shared" si="197"/>
        <v>#N/A</v>
      </c>
      <c r="BS510" t="e">
        <f t="shared" si="197"/>
        <v>#N/A</v>
      </c>
      <c r="BT510" t="e">
        <f t="shared" si="197"/>
        <v>#N/A</v>
      </c>
      <c r="BU510" t="e">
        <f t="shared" si="197"/>
        <v>#N/A</v>
      </c>
      <c r="BV510" t="e">
        <f t="shared" si="197"/>
        <v>#N/A</v>
      </c>
      <c r="BY510" t="e">
        <f t="shared" si="183"/>
        <v>#N/A</v>
      </c>
      <c r="BZ510" t="e">
        <v>#N/A</v>
      </c>
      <c r="CA510" t="e" cm="1">
        <f t="array" ref="CA510">IF(ISNUMBER(BZ510),AF510/COUNT(IF(ISNUMBER(_xlfn.ANCHORARRAY($BZ$11)),_xlfn.ANCHORARRAY($BZ$11))),NA())</f>
        <v>#N/A</v>
      </c>
      <c r="CB510" t="e">
        <f t="shared" si="184"/>
        <v>#N/A</v>
      </c>
      <c r="CD510" t="e">
        <f t="shared" si="185"/>
        <v>#N/A</v>
      </c>
      <c r="CE510" t="e">
        <f t="shared" si="186"/>
        <v>#N/A</v>
      </c>
      <c r="CG510" t="e">
        <v>#N/A</v>
      </c>
      <c r="CH510" t="e">
        <v>#N/A</v>
      </c>
      <c r="CL510" t="e">
        <f t="shared" si="187"/>
        <v>#N/A</v>
      </c>
      <c r="CM510" t="e">
        <v>#N/A</v>
      </c>
      <c r="CN510" t="e" cm="1">
        <f t="array" ref="CN510">IF(ISNUMBER(CM510),AF510/COUNT(IF(ISNUMBER(_xlfn.ANCHORARRAY($CM$11)),_xlfn.ANCHORARRAY($CM$11))),NA())</f>
        <v>#N/A</v>
      </c>
      <c r="CO510" t="e">
        <f t="shared" si="188"/>
        <v>#N/A</v>
      </c>
      <c r="CQ510" t="e">
        <f t="shared" si="189"/>
        <v>#N/A</v>
      </c>
      <c r="CR510" t="e">
        <f t="shared" si="190"/>
        <v>#N/A</v>
      </c>
      <c r="CT510" t="e">
        <v>#N/A</v>
      </c>
      <c r="CU510" t="e">
        <v>#N/A</v>
      </c>
      <c r="CY510" t="e">
        <f t="shared" si="191"/>
        <v>#N/A</v>
      </c>
      <c r="CZ510" t="e">
        <v>#N/A</v>
      </c>
      <c r="DA510" t="e" cm="1">
        <f t="array" ref="DA510">IF(ISNUMBER(CZ510),AF510/COUNT(IF(ISNUMBER(_xlfn.ANCHORARRAY($CZ$11)),_xlfn.ANCHORARRAY($CZ$11))),NA())</f>
        <v>#N/A</v>
      </c>
      <c r="DB510" t="e">
        <f t="shared" si="192"/>
        <v>#N/A</v>
      </c>
      <c r="DD510" t="e">
        <f t="shared" si="193"/>
        <v>#N/A</v>
      </c>
      <c r="DE510" t="e">
        <f t="shared" si="194"/>
        <v>#N/A</v>
      </c>
      <c r="DG510" t="e">
        <v>#N/A</v>
      </c>
      <c r="DH510" t="e">
        <v>#N/A</v>
      </c>
    </row>
    <row r="511" spans="32:112">
      <c r="AF511">
        <v>501</v>
      </c>
      <c r="AG511" s="401">
        <f>'Lab test'!N504</f>
        <v>76</v>
      </c>
      <c r="AH511" s="401">
        <f>'Lab test'!M504</f>
        <v>0.76</v>
      </c>
      <c r="AI511">
        <f>IF('Lab test'!O504&gt;0,'Lab test'!O504,NA())</f>
        <v>54.72</v>
      </c>
      <c r="AJ511">
        <f>'Lab test'!Q504</f>
        <v>100</v>
      </c>
      <c r="AK511" s="401">
        <f>IF('Lab test'!V504&gt;0,'Lab test'!V504,NA())</f>
        <v>207000</v>
      </c>
      <c r="AL511" s="7">
        <f>IF(MAX('Lab test'!W504,'Lab test'!X504)&gt;0,MAX('Lab test'!W504,'Lab test'!X504),NA())</f>
        <v>425</v>
      </c>
      <c r="AM511" s="401">
        <f>IF('Lab test'!P504&gt;0,'Lab test'!P504,NA())</f>
        <v>7.1999999999999995E-2</v>
      </c>
      <c r="AN511" s="401">
        <f>IF('Lab test'!AU504&gt;0,'Lab test'!AU504,NA())</f>
        <v>0.90352941176470591</v>
      </c>
      <c r="AO511" s="401">
        <f>IF('Lab test'!AT504&gt;0,'Lab test'!AT504,NA())</f>
        <v>0.30650827393592217</v>
      </c>
      <c r="AP511">
        <f t="shared" si="198"/>
        <v>1</v>
      </c>
      <c r="AQ511" s="401">
        <f>'Lab test'!AZ504</f>
        <v>1985</v>
      </c>
      <c r="AR511" t="str">
        <f>'Lab test'!AC504</f>
        <v>Machined</v>
      </c>
      <c r="AS511" t="str">
        <f>'Lab test'!T504</f>
        <v>Steel</v>
      </c>
      <c r="AX511" t="e">
        <f t="shared" si="180"/>
        <v>#N/A</v>
      </c>
      <c r="AY511" t="e">
        <f t="shared" si="199"/>
        <v>#N/A</v>
      </c>
      <c r="AZ511" t="e">
        <f t="shared" si="195"/>
        <v>#N/A</v>
      </c>
      <c r="BA511" t="e">
        <f t="shared" si="195"/>
        <v>#N/A</v>
      </c>
      <c r="BB511" t="e">
        <f t="shared" si="195"/>
        <v>#N/A</v>
      </c>
      <c r="BC511" t="e">
        <f t="shared" si="195"/>
        <v>#N/A</v>
      </c>
      <c r="BD511" t="e">
        <f t="shared" si="195"/>
        <v>#N/A</v>
      </c>
      <c r="BG511" t="e">
        <f t="shared" si="181"/>
        <v>#N/A</v>
      </c>
      <c r="BH511" t="e">
        <f t="shared" si="200"/>
        <v>#N/A</v>
      </c>
      <c r="BI511" t="e">
        <f t="shared" si="196"/>
        <v>#N/A</v>
      </c>
      <c r="BJ511" t="e">
        <f t="shared" si="196"/>
        <v>#N/A</v>
      </c>
      <c r="BK511" t="e">
        <f t="shared" si="196"/>
        <v>#N/A</v>
      </c>
      <c r="BL511" t="e">
        <f t="shared" si="196"/>
        <v>#N/A</v>
      </c>
      <c r="BM511" t="e">
        <f t="shared" si="196"/>
        <v>#N/A</v>
      </c>
      <c r="BP511" t="e">
        <f t="shared" si="182"/>
        <v>#N/A</v>
      </c>
      <c r="BQ511" t="e">
        <f t="shared" si="201"/>
        <v>#N/A</v>
      </c>
      <c r="BR511" t="e">
        <f t="shared" si="197"/>
        <v>#N/A</v>
      </c>
      <c r="BS511" t="e">
        <f t="shared" si="197"/>
        <v>#N/A</v>
      </c>
      <c r="BT511" t="e">
        <f t="shared" si="197"/>
        <v>#N/A</v>
      </c>
      <c r="BU511" t="e">
        <f t="shared" si="197"/>
        <v>#N/A</v>
      </c>
      <c r="BV511" t="e">
        <f t="shared" si="197"/>
        <v>#N/A</v>
      </c>
      <c r="BY511" t="e">
        <f t="shared" si="183"/>
        <v>#N/A</v>
      </c>
      <c r="BZ511" t="e">
        <v>#N/A</v>
      </c>
      <c r="CA511" t="e" cm="1">
        <f t="array" ref="CA511">IF(ISNUMBER(BZ511),AF511/COUNT(IF(ISNUMBER(_xlfn.ANCHORARRAY($BZ$11)),_xlfn.ANCHORARRAY($BZ$11))),NA())</f>
        <v>#N/A</v>
      </c>
      <c r="CB511" t="e">
        <f t="shared" si="184"/>
        <v>#N/A</v>
      </c>
      <c r="CD511" t="e">
        <f t="shared" si="185"/>
        <v>#N/A</v>
      </c>
      <c r="CE511" t="e">
        <f t="shared" si="186"/>
        <v>#N/A</v>
      </c>
      <c r="CG511" t="e">
        <v>#N/A</v>
      </c>
      <c r="CH511" t="e">
        <v>#N/A</v>
      </c>
      <c r="CL511" t="e">
        <f t="shared" si="187"/>
        <v>#N/A</v>
      </c>
      <c r="CM511" t="e">
        <v>#N/A</v>
      </c>
      <c r="CN511" t="e" cm="1">
        <f t="array" ref="CN511">IF(ISNUMBER(CM511),AF511/COUNT(IF(ISNUMBER(_xlfn.ANCHORARRAY($CM$11)),_xlfn.ANCHORARRAY($CM$11))),NA())</f>
        <v>#N/A</v>
      </c>
      <c r="CO511" t="e">
        <f t="shared" si="188"/>
        <v>#N/A</v>
      </c>
      <c r="CQ511" t="e">
        <f t="shared" si="189"/>
        <v>#N/A</v>
      </c>
      <c r="CR511" t="e">
        <f t="shared" si="190"/>
        <v>#N/A</v>
      </c>
      <c r="CT511" t="e">
        <v>#N/A</v>
      </c>
      <c r="CU511" t="e">
        <v>#N/A</v>
      </c>
      <c r="CY511" t="e">
        <f t="shared" si="191"/>
        <v>#N/A</v>
      </c>
      <c r="CZ511" t="e">
        <v>#N/A</v>
      </c>
      <c r="DA511" t="e" cm="1">
        <f t="array" ref="DA511">IF(ISNUMBER(CZ511),AF511/COUNT(IF(ISNUMBER(_xlfn.ANCHORARRAY($CZ$11)),_xlfn.ANCHORARRAY($CZ$11))),NA())</f>
        <v>#N/A</v>
      </c>
      <c r="DB511" t="e">
        <f t="shared" si="192"/>
        <v>#N/A</v>
      </c>
      <c r="DD511" t="e">
        <f t="shared" si="193"/>
        <v>#N/A</v>
      </c>
      <c r="DE511" t="e">
        <f t="shared" si="194"/>
        <v>#N/A</v>
      </c>
      <c r="DG511" t="e">
        <v>#N/A</v>
      </c>
      <c r="DH511" t="e">
        <v>#N/A</v>
      </c>
    </row>
    <row r="512" spans="32:112">
      <c r="AF512">
        <v>502</v>
      </c>
      <c r="AG512" s="401">
        <f>'Lab test'!N505</f>
        <v>76</v>
      </c>
      <c r="AH512" s="401">
        <f>'Lab test'!M505</f>
        <v>0.8</v>
      </c>
      <c r="AI512">
        <f>IF('Lab test'!O505&gt;0,'Lab test'!O505,NA())</f>
        <v>54.72</v>
      </c>
      <c r="AJ512">
        <f>'Lab test'!Q505</f>
        <v>95</v>
      </c>
      <c r="AK512" s="401">
        <f>IF('Lab test'!V505&gt;0,'Lab test'!V505,NA())</f>
        <v>207000</v>
      </c>
      <c r="AL512" s="7">
        <f>IF(MAX('Lab test'!W505,'Lab test'!X505)&gt;0,MAX('Lab test'!W505,'Lab test'!X505),NA())</f>
        <v>340</v>
      </c>
      <c r="AM512" s="401">
        <f>IF('Lab test'!P505&gt;0,'Lab test'!P505,NA())</f>
        <v>7.38704413501311E-2</v>
      </c>
      <c r="AN512" s="401">
        <f>IF('Lab test'!AU505&gt;0,'Lab test'!AU505,NA())</f>
        <v>0.88823529411764701</v>
      </c>
      <c r="AO512" s="401">
        <f>IF('Lab test'!AT505&gt;0,'Lab test'!AT505,NA())</f>
        <v>0.22900318695889604</v>
      </c>
      <c r="AP512">
        <f t="shared" si="198"/>
        <v>1</v>
      </c>
      <c r="AQ512" s="401">
        <f>'Lab test'!AZ505</f>
        <v>1985</v>
      </c>
      <c r="AR512" t="str">
        <f>'Lab test'!AC505</f>
        <v>Machined</v>
      </c>
      <c r="AS512" t="str">
        <f>'Lab test'!T505</f>
        <v>Steel</v>
      </c>
      <c r="AX512" t="e">
        <f t="shared" si="180"/>
        <v>#N/A</v>
      </c>
      <c r="AY512" t="e">
        <f t="shared" si="199"/>
        <v>#N/A</v>
      </c>
      <c r="AZ512" t="e">
        <f t="shared" si="195"/>
        <v>#N/A</v>
      </c>
      <c r="BA512" t="e">
        <f t="shared" si="195"/>
        <v>#N/A</v>
      </c>
      <c r="BB512" t="e">
        <f t="shared" si="195"/>
        <v>#N/A</v>
      </c>
      <c r="BC512" t="e">
        <f t="shared" si="195"/>
        <v>#N/A</v>
      </c>
      <c r="BD512" t="e">
        <f t="shared" si="195"/>
        <v>#N/A</v>
      </c>
      <c r="BG512" t="e">
        <f t="shared" si="181"/>
        <v>#N/A</v>
      </c>
      <c r="BH512" t="e">
        <f t="shared" si="200"/>
        <v>#N/A</v>
      </c>
      <c r="BI512" t="e">
        <f t="shared" si="196"/>
        <v>#N/A</v>
      </c>
      <c r="BJ512" t="e">
        <f t="shared" si="196"/>
        <v>#N/A</v>
      </c>
      <c r="BK512" t="e">
        <f t="shared" si="196"/>
        <v>#N/A</v>
      </c>
      <c r="BL512" t="e">
        <f t="shared" si="196"/>
        <v>#N/A</v>
      </c>
      <c r="BM512" t="e">
        <f t="shared" si="196"/>
        <v>#N/A</v>
      </c>
      <c r="BP512" t="e">
        <f t="shared" si="182"/>
        <v>#N/A</v>
      </c>
      <c r="BQ512" t="e">
        <f t="shared" si="201"/>
        <v>#N/A</v>
      </c>
      <c r="BR512" t="e">
        <f t="shared" si="197"/>
        <v>#N/A</v>
      </c>
      <c r="BS512" t="e">
        <f t="shared" si="197"/>
        <v>#N/A</v>
      </c>
      <c r="BT512" t="e">
        <f t="shared" si="197"/>
        <v>#N/A</v>
      </c>
      <c r="BU512" t="e">
        <f t="shared" si="197"/>
        <v>#N/A</v>
      </c>
      <c r="BV512" t="e">
        <f t="shared" si="197"/>
        <v>#N/A</v>
      </c>
      <c r="BY512" t="e">
        <f t="shared" si="183"/>
        <v>#N/A</v>
      </c>
      <c r="BZ512" t="e">
        <v>#N/A</v>
      </c>
      <c r="CA512" t="e" cm="1">
        <f t="array" ref="CA512">IF(ISNUMBER(BZ512),AF512/COUNT(IF(ISNUMBER(_xlfn.ANCHORARRAY($BZ$11)),_xlfn.ANCHORARRAY($BZ$11))),NA())</f>
        <v>#N/A</v>
      </c>
      <c r="CB512" t="e">
        <f t="shared" si="184"/>
        <v>#N/A</v>
      </c>
      <c r="CD512" t="e">
        <f t="shared" si="185"/>
        <v>#N/A</v>
      </c>
      <c r="CE512" t="e">
        <f t="shared" si="186"/>
        <v>#N/A</v>
      </c>
      <c r="CG512" t="e">
        <v>#N/A</v>
      </c>
      <c r="CH512" t="e">
        <v>#N/A</v>
      </c>
      <c r="CL512" t="e">
        <f t="shared" si="187"/>
        <v>#N/A</v>
      </c>
      <c r="CM512" t="e">
        <v>#N/A</v>
      </c>
      <c r="CN512" t="e" cm="1">
        <f t="array" ref="CN512">IF(ISNUMBER(CM512),AF512/COUNT(IF(ISNUMBER(_xlfn.ANCHORARRAY($CM$11)),_xlfn.ANCHORARRAY($CM$11))),NA())</f>
        <v>#N/A</v>
      </c>
      <c r="CO512" t="e">
        <f t="shared" si="188"/>
        <v>#N/A</v>
      </c>
      <c r="CQ512" t="e">
        <f t="shared" si="189"/>
        <v>#N/A</v>
      </c>
      <c r="CR512" t="e">
        <f t="shared" si="190"/>
        <v>#N/A</v>
      </c>
      <c r="CT512" t="e">
        <v>#N/A</v>
      </c>
      <c r="CU512" t="e">
        <v>#N/A</v>
      </c>
      <c r="CY512" t="e">
        <f t="shared" si="191"/>
        <v>#N/A</v>
      </c>
      <c r="CZ512" t="e">
        <v>#N/A</v>
      </c>
      <c r="DA512" t="e" cm="1">
        <f t="array" ref="DA512">IF(ISNUMBER(CZ512),AF512/COUNT(IF(ISNUMBER(_xlfn.ANCHORARRAY($CZ$11)),_xlfn.ANCHORARRAY($CZ$11))),NA())</f>
        <v>#N/A</v>
      </c>
      <c r="DB512" t="e">
        <f t="shared" si="192"/>
        <v>#N/A</v>
      </c>
      <c r="DD512" t="e">
        <f t="shared" si="193"/>
        <v>#N/A</v>
      </c>
      <c r="DE512" t="e">
        <f t="shared" si="194"/>
        <v>#N/A</v>
      </c>
      <c r="DG512" t="e">
        <v>#N/A</v>
      </c>
      <c r="DH512" t="e">
        <v>#N/A</v>
      </c>
    </row>
    <row r="513" spans="32:112">
      <c r="AF513">
        <v>503</v>
      </c>
      <c r="AG513" s="401">
        <f>'Lab test'!N506</f>
        <v>76</v>
      </c>
      <c r="AH513" s="401">
        <f>'Lab test'!M506</f>
        <v>0.76</v>
      </c>
      <c r="AI513">
        <f>IF('Lab test'!O506&gt;0,'Lab test'!O506,NA())</f>
        <v>110.2</v>
      </c>
      <c r="AJ513">
        <f>'Lab test'!Q506</f>
        <v>100</v>
      </c>
      <c r="AK513" s="401">
        <f>IF('Lab test'!V506&gt;0,'Lab test'!V506,NA())</f>
        <v>207000</v>
      </c>
      <c r="AL513" s="7">
        <f>IF(MAX('Lab test'!W506,'Lab test'!X506)&gt;0,MAX('Lab test'!W506,'Lab test'!X506),NA())</f>
        <v>340</v>
      </c>
      <c r="AM513" s="401">
        <f>IF('Lab test'!P506&gt;0,'Lab test'!P506,NA())</f>
        <v>0.14499999999999999</v>
      </c>
      <c r="AN513" s="401">
        <f>IF('Lab test'!AU506&gt;0,'Lab test'!AU506,NA())</f>
        <v>0.8529411764705882</v>
      </c>
      <c r="AO513" s="401">
        <f>IF('Lab test'!AT506&gt;0,'Lab test'!AT506,NA())</f>
        <v>0.23147760271202458</v>
      </c>
      <c r="AP513">
        <f t="shared" si="198"/>
        <v>1</v>
      </c>
      <c r="AQ513" s="401">
        <f>'Lab test'!AZ506</f>
        <v>1985</v>
      </c>
      <c r="AR513" t="str">
        <f>'Lab test'!AC506</f>
        <v>Machined</v>
      </c>
      <c r="AS513" t="str">
        <f>'Lab test'!T506</f>
        <v>Steel</v>
      </c>
      <c r="AX513" t="e">
        <f t="shared" si="180"/>
        <v>#N/A</v>
      </c>
      <c r="AY513" t="e">
        <f t="shared" si="199"/>
        <v>#N/A</v>
      </c>
      <c r="AZ513" t="e">
        <f t="shared" si="195"/>
        <v>#N/A</v>
      </c>
      <c r="BA513" t="e">
        <f t="shared" si="195"/>
        <v>#N/A</v>
      </c>
      <c r="BB513" t="e">
        <f t="shared" si="195"/>
        <v>#N/A</v>
      </c>
      <c r="BC513" t="e">
        <f t="shared" si="195"/>
        <v>#N/A</v>
      </c>
      <c r="BD513" t="e">
        <f t="shared" si="195"/>
        <v>#N/A</v>
      </c>
      <c r="BG513" t="e">
        <f t="shared" si="181"/>
        <v>#N/A</v>
      </c>
      <c r="BH513" t="e">
        <f t="shared" si="200"/>
        <v>#N/A</v>
      </c>
      <c r="BI513" t="e">
        <f t="shared" si="196"/>
        <v>#N/A</v>
      </c>
      <c r="BJ513" t="e">
        <f t="shared" si="196"/>
        <v>#N/A</v>
      </c>
      <c r="BK513" t="e">
        <f t="shared" si="196"/>
        <v>#N/A</v>
      </c>
      <c r="BL513" t="e">
        <f t="shared" si="196"/>
        <v>#N/A</v>
      </c>
      <c r="BM513" t="e">
        <f t="shared" si="196"/>
        <v>#N/A</v>
      </c>
      <c r="BP513" t="e">
        <f t="shared" si="182"/>
        <v>#N/A</v>
      </c>
      <c r="BQ513" t="e">
        <f t="shared" si="201"/>
        <v>#N/A</v>
      </c>
      <c r="BR513" t="e">
        <f t="shared" si="197"/>
        <v>#N/A</v>
      </c>
      <c r="BS513" t="e">
        <f t="shared" si="197"/>
        <v>#N/A</v>
      </c>
      <c r="BT513" t="e">
        <f t="shared" si="197"/>
        <v>#N/A</v>
      </c>
      <c r="BU513" t="e">
        <f t="shared" si="197"/>
        <v>#N/A</v>
      </c>
      <c r="BV513" t="e">
        <f t="shared" si="197"/>
        <v>#N/A</v>
      </c>
      <c r="BY513" t="e">
        <f t="shared" si="183"/>
        <v>#N/A</v>
      </c>
      <c r="BZ513" t="e">
        <v>#N/A</v>
      </c>
      <c r="CA513" t="e" cm="1">
        <f t="array" ref="CA513">IF(ISNUMBER(BZ513),AF513/COUNT(IF(ISNUMBER(_xlfn.ANCHORARRAY($BZ$11)),_xlfn.ANCHORARRAY($BZ$11))),NA())</f>
        <v>#N/A</v>
      </c>
      <c r="CB513" t="e">
        <f t="shared" si="184"/>
        <v>#N/A</v>
      </c>
      <c r="CD513" t="e">
        <f t="shared" si="185"/>
        <v>#N/A</v>
      </c>
      <c r="CE513" t="e">
        <f t="shared" si="186"/>
        <v>#N/A</v>
      </c>
      <c r="CG513" t="e">
        <v>#N/A</v>
      </c>
      <c r="CH513" t="e">
        <v>#N/A</v>
      </c>
      <c r="CL513" t="e">
        <f t="shared" si="187"/>
        <v>#N/A</v>
      </c>
      <c r="CM513" t="e">
        <v>#N/A</v>
      </c>
      <c r="CN513" t="e" cm="1">
        <f t="array" ref="CN513">IF(ISNUMBER(CM513),AF513/COUNT(IF(ISNUMBER(_xlfn.ANCHORARRAY($CM$11)),_xlfn.ANCHORARRAY($CM$11))),NA())</f>
        <v>#N/A</v>
      </c>
      <c r="CO513" t="e">
        <f t="shared" si="188"/>
        <v>#N/A</v>
      </c>
      <c r="CQ513" t="e">
        <f t="shared" si="189"/>
        <v>#N/A</v>
      </c>
      <c r="CR513" t="e">
        <f t="shared" si="190"/>
        <v>#N/A</v>
      </c>
      <c r="CT513" t="e">
        <v>#N/A</v>
      </c>
      <c r="CU513" t="e">
        <v>#N/A</v>
      </c>
      <c r="CY513" t="e">
        <f t="shared" si="191"/>
        <v>#N/A</v>
      </c>
      <c r="CZ513" t="e">
        <v>#N/A</v>
      </c>
      <c r="DA513" t="e" cm="1">
        <f t="array" ref="DA513">IF(ISNUMBER(CZ513),AF513/COUNT(IF(ISNUMBER(_xlfn.ANCHORARRAY($CZ$11)),_xlfn.ANCHORARRAY($CZ$11))),NA())</f>
        <v>#N/A</v>
      </c>
      <c r="DB513" t="e">
        <f t="shared" si="192"/>
        <v>#N/A</v>
      </c>
      <c r="DD513" t="e">
        <f t="shared" si="193"/>
        <v>#N/A</v>
      </c>
      <c r="DE513" t="e">
        <f t="shared" si="194"/>
        <v>#N/A</v>
      </c>
      <c r="DG513" t="e">
        <v>#N/A</v>
      </c>
      <c r="DH513" t="e">
        <v>#N/A</v>
      </c>
    </row>
    <row r="514" spans="32:112">
      <c r="AF514">
        <v>504</v>
      </c>
      <c r="AG514" s="401">
        <f>'Lab test'!N507</f>
        <v>76.2</v>
      </c>
      <c r="AH514" s="401">
        <f>'Lab test'!M507</f>
        <v>2.032</v>
      </c>
      <c r="AI514">
        <f>IF('Lab test'!O507&gt;0,'Lab test'!O507,NA())</f>
        <v>76.2</v>
      </c>
      <c r="AJ514">
        <f>'Lab test'!Q507</f>
        <v>37.5</v>
      </c>
      <c r="AK514" s="401">
        <f>IF('Lab test'!V507&gt;0,'Lab test'!V507,NA())</f>
        <v>201326.91296051617</v>
      </c>
      <c r="AL514" s="7">
        <f>IF(MAX('Lab test'!W507,'Lab test'!X507)&gt;0,MAX('Lab test'!W507,'Lab test'!X507),NA())</f>
        <v>189.19214012453986</v>
      </c>
      <c r="AM514" s="401">
        <f>IF('Lab test'!P507&gt;0,'Lab test'!P507,NA())</f>
        <v>0.16329931618554519</v>
      </c>
      <c r="AN514" s="401">
        <f>IF('Lab test'!AU507&gt;0,'Lab test'!AU507,NA())</f>
        <v>1.3702623906705538</v>
      </c>
      <c r="AO514" s="401">
        <f>IF('Lab test'!AT507&gt;0,'Lab test'!AT507,NA())</f>
        <v>7.9784326763767843E-2</v>
      </c>
      <c r="AP514">
        <f t="shared" si="198"/>
        <v>1</v>
      </c>
      <c r="AQ514" s="401">
        <f>'Lab test'!AZ507</f>
        <v>1909</v>
      </c>
      <c r="AR514" t="str">
        <f>'Lab test'!AC507</f>
        <v>Tubes</v>
      </c>
      <c r="AS514" t="str">
        <f>'Lab test'!T507</f>
        <v>Steel</v>
      </c>
      <c r="AX514" t="e">
        <f t="shared" si="180"/>
        <v>#N/A</v>
      </c>
      <c r="AY514" t="e">
        <f t="shared" si="199"/>
        <v>#N/A</v>
      </c>
      <c r="AZ514" t="e">
        <f t="shared" si="195"/>
        <v>#N/A</v>
      </c>
      <c r="BA514" t="e">
        <f t="shared" si="195"/>
        <v>#N/A</v>
      </c>
      <c r="BB514" t="e">
        <f t="shared" si="195"/>
        <v>#N/A</v>
      </c>
      <c r="BC514" t="e">
        <f t="shared" si="195"/>
        <v>#N/A</v>
      </c>
      <c r="BD514" t="e">
        <f t="shared" si="195"/>
        <v>#N/A</v>
      </c>
      <c r="BG514" t="e">
        <f t="shared" si="181"/>
        <v>#N/A</v>
      </c>
      <c r="BH514" t="e">
        <f t="shared" si="200"/>
        <v>#N/A</v>
      </c>
      <c r="BI514" t="e">
        <f t="shared" si="196"/>
        <v>#N/A</v>
      </c>
      <c r="BJ514" t="e">
        <f t="shared" si="196"/>
        <v>#N/A</v>
      </c>
      <c r="BK514" t="e">
        <f t="shared" si="196"/>
        <v>#N/A</v>
      </c>
      <c r="BL514" t="e">
        <f t="shared" si="196"/>
        <v>#N/A</v>
      </c>
      <c r="BM514" t="e">
        <f t="shared" si="196"/>
        <v>#N/A</v>
      </c>
      <c r="BP514" t="e">
        <f t="shared" si="182"/>
        <v>#N/A</v>
      </c>
      <c r="BQ514" t="e">
        <f t="shared" si="201"/>
        <v>#N/A</v>
      </c>
      <c r="BR514" t="e">
        <f t="shared" si="197"/>
        <v>#N/A</v>
      </c>
      <c r="BS514" t="e">
        <f t="shared" si="197"/>
        <v>#N/A</v>
      </c>
      <c r="BT514" t="e">
        <f t="shared" si="197"/>
        <v>#N/A</v>
      </c>
      <c r="BU514" t="e">
        <f t="shared" si="197"/>
        <v>#N/A</v>
      </c>
      <c r="BV514" t="e">
        <f t="shared" si="197"/>
        <v>#N/A</v>
      </c>
      <c r="BY514" t="e">
        <f t="shared" si="183"/>
        <v>#N/A</v>
      </c>
      <c r="BZ514" t="e">
        <v>#N/A</v>
      </c>
      <c r="CA514" t="e" cm="1">
        <f t="array" ref="CA514">IF(ISNUMBER(BZ514),AF514/COUNT(IF(ISNUMBER(_xlfn.ANCHORARRAY($BZ$11)),_xlfn.ANCHORARRAY($BZ$11))),NA())</f>
        <v>#N/A</v>
      </c>
      <c r="CB514" t="e">
        <f t="shared" si="184"/>
        <v>#N/A</v>
      </c>
      <c r="CD514" t="e">
        <f t="shared" si="185"/>
        <v>#N/A</v>
      </c>
      <c r="CE514" t="e">
        <f t="shared" si="186"/>
        <v>#N/A</v>
      </c>
      <c r="CG514" t="e">
        <v>#N/A</v>
      </c>
      <c r="CH514" t="e">
        <v>#N/A</v>
      </c>
      <c r="CL514" t="e">
        <f t="shared" si="187"/>
        <v>#N/A</v>
      </c>
      <c r="CM514" t="e">
        <v>#N/A</v>
      </c>
      <c r="CN514" t="e" cm="1">
        <f t="array" ref="CN514">IF(ISNUMBER(CM514),AF514/COUNT(IF(ISNUMBER(_xlfn.ANCHORARRAY($CM$11)),_xlfn.ANCHORARRAY($CM$11))),NA())</f>
        <v>#N/A</v>
      </c>
      <c r="CO514" t="e">
        <f t="shared" si="188"/>
        <v>#N/A</v>
      </c>
      <c r="CQ514" t="e">
        <f t="shared" si="189"/>
        <v>#N/A</v>
      </c>
      <c r="CR514" t="e">
        <f t="shared" si="190"/>
        <v>#N/A</v>
      </c>
      <c r="CT514" t="e">
        <v>#N/A</v>
      </c>
      <c r="CU514" t="e">
        <v>#N/A</v>
      </c>
      <c r="CY514" t="e">
        <f t="shared" si="191"/>
        <v>#N/A</v>
      </c>
      <c r="CZ514" t="e">
        <v>#N/A</v>
      </c>
      <c r="DA514" t="e" cm="1">
        <f t="array" ref="DA514">IF(ISNUMBER(CZ514),AF514/COUNT(IF(ISNUMBER(_xlfn.ANCHORARRAY($CZ$11)),_xlfn.ANCHORARRAY($CZ$11))),NA())</f>
        <v>#N/A</v>
      </c>
      <c r="DB514" t="e">
        <f t="shared" si="192"/>
        <v>#N/A</v>
      </c>
      <c r="DD514" t="e">
        <f t="shared" si="193"/>
        <v>#N/A</v>
      </c>
      <c r="DE514" t="e">
        <f t="shared" si="194"/>
        <v>#N/A</v>
      </c>
      <c r="DG514" t="e">
        <v>#N/A</v>
      </c>
      <c r="DH514" t="e">
        <v>#N/A</v>
      </c>
    </row>
    <row r="515" spans="32:112">
      <c r="AF515">
        <v>505</v>
      </c>
      <c r="AG515" s="401">
        <f>'Lab test'!N508</f>
        <v>76.2</v>
      </c>
      <c r="AH515" s="401">
        <f>'Lab test'!M508</f>
        <v>2.032</v>
      </c>
      <c r="AI515">
        <f>IF('Lab test'!O508&gt;0,'Lab test'!O508,NA())</f>
        <v>101.6</v>
      </c>
      <c r="AJ515">
        <f>'Lab test'!Q508</f>
        <v>37.5</v>
      </c>
      <c r="AK515" s="401">
        <f>IF('Lab test'!V508&gt;0,'Lab test'!V508,NA())</f>
        <v>201326.91296051617</v>
      </c>
      <c r="AL515" s="7">
        <f>IF(MAX('Lab test'!W508,'Lab test'!X508)&gt;0,MAX('Lab test'!W508,'Lab test'!X508),NA())</f>
        <v>213.73747608821924</v>
      </c>
      <c r="AM515" s="401">
        <f>IF('Lab test'!P508&gt;0,'Lab test'!P508,NA())</f>
        <v>0.21773242158072692</v>
      </c>
      <c r="AN515" s="401">
        <f>IF('Lab test'!AU508&gt;0,'Lab test'!AU508,NA())</f>
        <v>1.296774193548387</v>
      </c>
      <c r="AO515" s="401">
        <f>IF('Lab test'!AT508&gt;0,'Lab test'!AT508,NA())</f>
        <v>8.5301328082539027E-2</v>
      </c>
      <c r="AP515">
        <f t="shared" si="198"/>
        <v>1</v>
      </c>
      <c r="AQ515" s="401">
        <f>'Lab test'!AZ508</f>
        <v>1909</v>
      </c>
      <c r="AR515" t="str">
        <f>'Lab test'!AC508</f>
        <v>Tubes</v>
      </c>
      <c r="AS515" t="str">
        <f>'Lab test'!T508</f>
        <v>Steel</v>
      </c>
      <c r="AX515" t="e">
        <f t="shared" si="180"/>
        <v>#N/A</v>
      </c>
      <c r="AY515" t="e">
        <f t="shared" si="199"/>
        <v>#N/A</v>
      </c>
      <c r="AZ515" t="e">
        <f t="shared" si="195"/>
        <v>#N/A</v>
      </c>
      <c r="BA515" t="e">
        <f t="shared" si="195"/>
        <v>#N/A</v>
      </c>
      <c r="BB515" t="e">
        <f t="shared" si="195"/>
        <v>#N/A</v>
      </c>
      <c r="BC515" t="e">
        <f t="shared" si="195"/>
        <v>#N/A</v>
      </c>
      <c r="BD515" t="e">
        <f t="shared" si="195"/>
        <v>#N/A</v>
      </c>
      <c r="BG515" t="e">
        <f t="shared" si="181"/>
        <v>#N/A</v>
      </c>
      <c r="BH515" t="e">
        <f t="shared" si="200"/>
        <v>#N/A</v>
      </c>
      <c r="BI515" t="e">
        <f t="shared" si="196"/>
        <v>#N/A</v>
      </c>
      <c r="BJ515" t="e">
        <f t="shared" si="196"/>
        <v>#N/A</v>
      </c>
      <c r="BK515" t="e">
        <f t="shared" si="196"/>
        <v>#N/A</v>
      </c>
      <c r="BL515" t="e">
        <f t="shared" si="196"/>
        <v>#N/A</v>
      </c>
      <c r="BM515" t="e">
        <f t="shared" si="196"/>
        <v>#N/A</v>
      </c>
      <c r="BP515" t="e">
        <f t="shared" si="182"/>
        <v>#N/A</v>
      </c>
      <c r="BQ515" t="e">
        <f t="shared" si="201"/>
        <v>#N/A</v>
      </c>
      <c r="BR515" t="e">
        <f t="shared" si="197"/>
        <v>#N/A</v>
      </c>
      <c r="BS515" t="e">
        <f t="shared" si="197"/>
        <v>#N/A</v>
      </c>
      <c r="BT515" t="e">
        <f t="shared" si="197"/>
        <v>#N/A</v>
      </c>
      <c r="BU515" t="e">
        <f t="shared" si="197"/>
        <v>#N/A</v>
      </c>
      <c r="BV515" t="e">
        <f t="shared" si="197"/>
        <v>#N/A</v>
      </c>
      <c r="BY515" t="e">
        <f t="shared" si="183"/>
        <v>#N/A</v>
      </c>
      <c r="BZ515" t="e">
        <v>#N/A</v>
      </c>
      <c r="CA515" t="e" cm="1">
        <f t="array" ref="CA515">IF(ISNUMBER(BZ515),AF515/COUNT(IF(ISNUMBER(_xlfn.ANCHORARRAY($BZ$11)),_xlfn.ANCHORARRAY($BZ$11))),NA())</f>
        <v>#N/A</v>
      </c>
      <c r="CB515" t="e">
        <f t="shared" si="184"/>
        <v>#N/A</v>
      </c>
      <c r="CD515" t="e">
        <f t="shared" si="185"/>
        <v>#N/A</v>
      </c>
      <c r="CE515" t="e">
        <f t="shared" si="186"/>
        <v>#N/A</v>
      </c>
      <c r="CG515" t="e">
        <v>#N/A</v>
      </c>
      <c r="CH515" t="e">
        <v>#N/A</v>
      </c>
      <c r="CL515" t="e">
        <f t="shared" si="187"/>
        <v>#N/A</v>
      </c>
      <c r="CM515" t="e">
        <v>#N/A</v>
      </c>
      <c r="CN515" t="e" cm="1">
        <f t="array" ref="CN515">IF(ISNUMBER(CM515),AF515/COUNT(IF(ISNUMBER(_xlfn.ANCHORARRAY($CM$11)),_xlfn.ANCHORARRAY($CM$11))),NA())</f>
        <v>#N/A</v>
      </c>
      <c r="CO515" t="e">
        <f t="shared" si="188"/>
        <v>#N/A</v>
      </c>
      <c r="CQ515" t="e">
        <f t="shared" si="189"/>
        <v>#N/A</v>
      </c>
      <c r="CR515" t="e">
        <f t="shared" si="190"/>
        <v>#N/A</v>
      </c>
      <c r="CT515" t="e">
        <v>#N/A</v>
      </c>
      <c r="CU515" t="e">
        <v>#N/A</v>
      </c>
      <c r="CY515" t="e">
        <f t="shared" si="191"/>
        <v>#N/A</v>
      </c>
      <c r="CZ515" t="e">
        <v>#N/A</v>
      </c>
      <c r="DA515" t="e" cm="1">
        <f t="array" ref="DA515">IF(ISNUMBER(CZ515),AF515/COUNT(IF(ISNUMBER(_xlfn.ANCHORARRAY($CZ$11)),_xlfn.ANCHORARRAY($CZ$11))),NA())</f>
        <v>#N/A</v>
      </c>
      <c r="DB515" t="e">
        <f t="shared" si="192"/>
        <v>#N/A</v>
      </c>
      <c r="DD515" t="e">
        <f t="shared" si="193"/>
        <v>#N/A</v>
      </c>
      <c r="DE515" t="e">
        <f t="shared" si="194"/>
        <v>#N/A</v>
      </c>
      <c r="DG515" t="e">
        <v>#N/A</v>
      </c>
      <c r="DH515" t="e">
        <v>#N/A</v>
      </c>
    </row>
    <row r="516" spans="32:112">
      <c r="AF516">
        <v>506</v>
      </c>
      <c r="AG516" s="401">
        <f>'Lab test'!N509</f>
        <v>76.2</v>
      </c>
      <c r="AH516" s="401">
        <f>'Lab test'!M509</f>
        <v>2.032</v>
      </c>
      <c r="AI516">
        <f>IF('Lab test'!O509&gt;0,'Lab test'!O509,NA())</f>
        <v>177.8</v>
      </c>
      <c r="AJ516">
        <f>'Lab test'!Q509</f>
        <v>37.5</v>
      </c>
      <c r="AK516" s="401">
        <f>IF('Lab test'!V509&gt;0,'Lab test'!V509,NA())</f>
        <v>201326.91296051617</v>
      </c>
      <c r="AL516" s="7">
        <f>IF(MAX('Lab test'!W509,'Lab test'!X509)&gt;0,MAX('Lab test'!W509,'Lab test'!X509),NA())</f>
        <v>225.45856348660547</v>
      </c>
      <c r="AM516" s="401">
        <f>IF('Lab test'!P509&gt;0,'Lab test'!P509,NA())</f>
        <v>0.38103173776627214</v>
      </c>
      <c r="AN516" s="401">
        <f>IF('Lab test'!AU509&gt;0,'Lab test'!AU509,NA())</f>
        <v>1.1559633027522933</v>
      </c>
      <c r="AO516" s="401">
        <f>IF('Lab test'!AT509&gt;0,'Lab test'!AT509,NA())</f>
        <v>8.0208711480596384E-2</v>
      </c>
      <c r="AP516">
        <f t="shared" si="198"/>
        <v>1</v>
      </c>
      <c r="AQ516" s="401">
        <f>'Lab test'!AZ509</f>
        <v>1909</v>
      </c>
      <c r="AR516" t="str">
        <f>'Lab test'!AC509</f>
        <v>Tubes</v>
      </c>
      <c r="AS516" t="str">
        <f>'Lab test'!T509</f>
        <v>Steel</v>
      </c>
      <c r="AX516" t="e">
        <f t="shared" si="180"/>
        <v>#N/A</v>
      </c>
      <c r="AY516" t="e">
        <f t="shared" si="199"/>
        <v>#N/A</v>
      </c>
      <c r="AZ516" t="e">
        <f t="shared" si="195"/>
        <v>#N/A</v>
      </c>
      <c r="BA516" t="e">
        <f t="shared" si="195"/>
        <v>#N/A</v>
      </c>
      <c r="BB516" t="e">
        <f t="shared" si="195"/>
        <v>#N/A</v>
      </c>
      <c r="BC516" t="e">
        <f t="shared" si="195"/>
        <v>#N/A</v>
      </c>
      <c r="BD516" t="e">
        <f t="shared" si="195"/>
        <v>#N/A</v>
      </c>
      <c r="BG516" t="e">
        <f t="shared" si="181"/>
        <v>#N/A</v>
      </c>
      <c r="BH516" t="e">
        <f t="shared" si="200"/>
        <v>#N/A</v>
      </c>
      <c r="BI516" t="e">
        <f t="shared" si="196"/>
        <v>#N/A</v>
      </c>
      <c r="BJ516" t="e">
        <f t="shared" si="196"/>
        <v>#N/A</v>
      </c>
      <c r="BK516" t="e">
        <f t="shared" si="196"/>
        <v>#N/A</v>
      </c>
      <c r="BL516" t="e">
        <f t="shared" si="196"/>
        <v>#N/A</v>
      </c>
      <c r="BM516" t="e">
        <f t="shared" si="196"/>
        <v>#N/A</v>
      </c>
      <c r="BP516" t="e">
        <f t="shared" si="182"/>
        <v>#N/A</v>
      </c>
      <c r="BQ516" t="e">
        <f t="shared" si="201"/>
        <v>#N/A</v>
      </c>
      <c r="BR516" t="e">
        <f t="shared" si="197"/>
        <v>#N/A</v>
      </c>
      <c r="BS516" t="e">
        <f t="shared" si="197"/>
        <v>#N/A</v>
      </c>
      <c r="BT516" t="e">
        <f t="shared" si="197"/>
        <v>#N/A</v>
      </c>
      <c r="BU516" t="e">
        <f t="shared" si="197"/>
        <v>#N/A</v>
      </c>
      <c r="BV516" t="e">
        <f t="shared" si="197"/>
        <v>#N/A</v>
      </c>
      <c r="BY516" t="e">
        <f t="shared" si="183"/>
        <v>#N/A</v>
      </c>
      <c r="BZ516" t="e">
        <v>#N/A</v>
      </c>
      <c r="CA516" t="e" cm="1">
        <f t="array" ref="CA516">IF(ISNUMBER(BZ516),AF516/COUNT(IF(ISNUMBER(_xlfn.ANCHORARRAY($BZ$11)),_xlfn.ANCHORARRAY($BZ$11))),NA())</f>
        <v>#N/A</v>
      </c>
      <c r="CB516" t="e">
        <f t="shared" si="184"/>
        <v>#N/A</v>
      </c>
      <c r="CD516" t="e">
        <f t="shared" si="185"/>
        <v>#N/A</v>
      </c>
      <c r="CE516" t="e">
        <f t="shared" si="186"/>
        <v>#N/A</v>
      </c>
      <c r="CG516" t="e">
        <v>#N/A</v>
      </c>
      <c r="CH516" t="e">
        <v>#N/A</v>
      </c>
      <c r="CL516" t="e">
        <f t="shared" si="187"/>
        <v>#N/A</v>
      </c>
      <c r="CM516" t="e">
        <v>#N/A</v>
      </c>
      <c r="CN516" t="e" cm="1">
        <f t="array" ref="CN516">IF(ISNUMBER(CM516),AF516/COUNT(IF(ISNUMBER(_xlfn.ANCHORARRAY($CM$11)),_xlfn.ANCHORARRAY($CM$11))),NA())</f>
        <v>#N/A</v>
      </c>
      <c r="CO516" t="e">
        <f t="shared" si="188"/>
        <v>#N/A</v>
      </c>
      <c r="CQ516" t="e">
        <f t="shared" si="189"/>
        <v>#N/A</v>
      </c>
      <c r="CR516" t="e">
        <f t="shared" si="190"/>
        <v>#N/A</v>
      </c>
      <c r="CT516" t="e">
        <v>#N/A</v>
      </c>
      <c r="CU516" t="e">
        <v>#N/A</v>
      </c>
      <c r="CY516" t="e">
        <f t="shared" si="191"/>
        <v>#N/A</v>
      </c>
      <c r="CZ516" t="e">
        <v>#N/A</v>
      </c>
      <c r="DA516" t="e" cm="1">
        <f t="array" ref="DA516">IF(ISNUMBER(CZ516),AF516/COUNT(IF(ISNUMBER(_xlfn.ANCHORARRAY($CZ$11)),_xlfn.ANCHORARRAY($CZ$11))),NA())</f>
        <v>#N/A</v>
      </c>
      <c r="DB516" t="e">
        <f t="shared" si="192"/>
        <v>#N/A</v>
      </c>
      <c r="DD516" t="e">
        <f t="shared" si="193"/>
        <v>#N/A</v>
      </c>
      <c r="DE516" t="e">
        <f t="shared" si="194"/>
        <v>#N/A</v>
      </c>
      <c r="DG516" t="e">
        <v>#N/A</v>
      </c>
      <c r="DH516" t="e">
        <v>#N/A</v>
      </c>
    </row>
    <row r="517" spans="32:112">
      <c r="AF517">
        <v>507</v>
      </c>
      <c r="AG517" s="401">
        <f>'Lab test'!N510</f>
        <v>76.2</v>
      </c>
      <c r="AH517" s="401">
        <f>'Lab test'!M510</f>
        <v>2.032</v>
      </c>
      <c r="AI517">
        <f>IF('Lab test'!O510&gt;0,'Lab test'!O510,NA())</f>
        <v>101.6</v>
      </c>
      <c r="AJ517">
        <f>'Lab test'!Q510</f>
        <v>37.5</v>
      </c>
      <c r="AK517" s="401">
        <f>IF('Lab test'!V510&gt;0,'Lab test'!V510,NA())</f>
        <v>201326.91296051617</v>
      </c>
      <c r="AL517" s="7">
        <f>IF(MAX('Lab test'!W510,'Lab test'!X510)&gt;0,MAX('Lab test'!W510,'Lab test'!X510),NA())</f>
        <v>168.92155368262485</v>
      </c>
      <c r="AM517" s="401">
        <f>IF('Lab test'!P510&gt;0,'Lab test'!P510,NA())</f>
        <v>0.21773242158072692</v>
      </c>
      <c r="AN517" s="401">
        <f>IF('Lab test'!AU510&gt;0,'Lab test'!AU510,NA())</f>
        <v>1.546938775510204</v>
      </c>
      <c r="AO517" s="401">
        <f>IF('Lab test'!AT510&gt;0,'Lab test'!AT510,NA())</f>
        <v>8.0420903839010655E-2</v>
      </c>
      <c r="AP517">
        <f t="shared" si="198"/>
        <v>1</v>
      </c>
      <c r="AQ517" s="401">
        <f>'Lab test'!AZ510</f>
        <v>1909</v>
      </c>
      <c r="AR517" t="str">
        <f>'Lab test'!AC510</f>
        <v>Tubes</v>
      </c>
      <c r="AS517" t="str">
        <f>'Lab test'!T510</f>
        <v>Steel</v>
      </c>
      <c r="AX517" t="e">
        <f t="shared" si="180"/>
        <v>#N/A</v>
      </c>
      <c r="AY517" t="e">
        <f t="shared" si="199"/>
        <v>#N/A</v>
      </c>
      <c r="AZ517" t="e">
        <f t="shared" si="195"/>
        <v>#N/A</v>
      </c>
      <c r="BA517" t="e">
        <f t="shared" si="195"/>
        <v>#N/A</v>
      </c>
      <c r="BB517" t="e">
        <f t="shared" ref="AZ517:BD568" si="202">IF(ISNUMBER($AJ517),IF(ISNUMBER($AP517),IF($AJ517&gt;BB$9,IF($AJ517&lt;=BB$10,IF($AR517=$AW$2,IF($AS517=$AW$6,$AK517,NA()),NA()),NA()),NA()),NA()),NA())</f>
        <v>#N/A</v>
      </c>
      <c r="BC517" t="e">
        <f t="shared" si="202"/>
        <v>#N/A</v>
      </c>
      <c r="BD517" t="e">
        <f t="shared" si="202"/>
        <v>#N/A</v>
      </c>
      <c r="BG517" t="e">
        <f t="shared" si="181"/>
        <v>#N/A</v>
      </c>
      <c r="BH517" t="e">
        <f t="shared" si="200"/>
        <v>#N/A</v>
      </c>
      <c r="BI517" t="e">
        <f t="shared" si="196"/>
        <v>#N/A</v>
      </c>
      <c r="BJ517" t="e">
        <f t="shared" si="196"/>
        <v>#N/A</v>
      </c>
      <c r="BK517" t="e">
        <f t="shared" ref="BI517:BM568" si="203">IF(ISNUMBER($AJ517),IF(ISNUMBER($AP517),IF($AJ517&gt;BK$9,IF($AJ517&lt;=BK$10,IF($AR517=$AW$2,IF($AS517=$BF$6,$AK517,NA()),NA()),NA()),NA()),NA()),NA())</f>
        <v>#N/A</v>
      </c>
      <c r="BL517" t="e">
        <f t="shared" si="203"/>
        <v>#N/A</v>
      </c>
      <c r="BM517" t="e">
        <f t="shared" si="203"/>
        <v>#N/A</v>
      </c>
      <c r="BP517" t="e">
        <f t="shared" si="182"/>
        <v>#N/A</v>
      </c>
      <c r="BQ517" t="e">
        <f t="shared" si="201"/>
        <v>#N/A</v>
      </c>
      <c r="BR517" t="e">
        <f t="shared" si="197"/>
        <v>#N/A</v>
      </c>
      <c r="BS517" t="e">
        <f t="shared" si="197"/>
        <v>#N/A</v>
      </c>
      <c r="BT517" t="e">
        <f t="shared" ref="BR517:BV568" si="204">IF(ISNUMBER($AJ517),IF(ISNUMBER($AP517),IF($AJ517&gt;BT$9,IF($AJ517&lt;=BT$10,IF($AR517=$AW$2,IF($AS517=$BO$6,$AK517,NA()),NA()),NA()),NA()),NA()),NA())</f>
        <v>#N/A</v>
      </c>
      <c r="BU517" t="e">
        <f t="shared" si="204"/>
        <v>#N/A</v>
      </c>
      <c r="BV517" t="e">
        <f t="shared" si="204"/>
        <v>#N/A</v>
      </c>
      <c r="BY517" t="e">
        <f t="shared" si="183"/>
        <v>#N/A</v>
      </c>
      <c r="BZ517" t="e">
        <v>#N/A</v>
      </c>
      <c r="CA517" t="e" cm="1">
        <f t="array" ref="CA517">IF(ISNUMBER(BZ517),AF517/COUNT(IF(ISNUMBER(_xlfn.ANCHORARRAY($BZ$11)),_xlfn.ANCHORARRAY($BZ$11))),NA())</f>
        <v>#N/A</v>
      </c>
      <c r="CB517" t="e">
        <f t="shared" si="184"/>
        <v>#N/A</v>
      </c>
      <c r="CD517" t="e">
        <f t="shared" si="185"/>
        <v>#N/A</v>
      </c>
      <c r="CE517" t="e">
        <f t="shared" si="186"/>
        <v>#N/A</v>
      </c>
      <c r="CG517" t="e">
        <v>#N/A</v>
      </c>
      <c r="CH517" t="e">
        <v>#N/A</v>
      </c>
      <c r="CL517" t="e">
        <f t="shared" si="187"/>
        <v>#N/A</v>
      </c>
      <c r="CM517" t="e">
        <v>#N/A</v>
      </c>
      <c r="CN517" t="e" cm="1">
        <f t="array" ref="CN517">IF(ISNUMBER(CM517),AF517/COUNT(IF(ISNUMBER(_xlfn.ANCHORARRAY($CM$11)),_xlfn.ANCHORARRAY($CM$11))),NA())</f>
        <v>#N/A</v>
      </c>
      <c r="CO517" t="e">
        <f t="shared" si="188"/>
        <v>#N/A</v>
      </c>
      <c r="CQ517" t="e">
        <f t="shared" si="189"/>
        <v>#N/A</v>
      </c>
      <c r="CR517" t="e">
        <f t="shared" si="190"/>
        <v>#N/A</v>
      </c>
      <c r="CT517" t="e">
        <v>#N/A</v>
      </c>
      <c r="CU517" t="e">
        <v>#N/A</v>
      </c>
      <c r="CY517" t="e">
        <f t="shared" si="191"/>
        <v>#N/A</v>
      </c>
      <c r="CZ517" t="e">
        <v>#N/A</v>
      </c>
      <c r="DA517" t="e" cm="1">
        <f t="array" ref="DA517">IF(ISNUMBER(CZ517),AF517/COUNT(IF(ISNUMBER(_xlfn.ANCHORARRAY($CZ$11)),_xlfn.ANCHORARRAY($CZ$11))),NA())</f>
        <v>#N/A</v>
      </c>
      <c r="DB517" t="e">
        <f t="shared" si="192"/>
        <v>#N/A</v>
      </c>
      <c r="DD517" t="e">
        <f t="shared" si="193"/>
        <v>#N/A</v>
      </c>
      <c r="DE517" t="e">
        <f t="shared" si="194"/>
        <v>#N/A</v>
      </c>
      <c r="DG517" t="e">
        <v>#N/A</v>
      </c>
      <c r="DH517" t="e">
        <v>#N/A</v>
      </c>
    </row>
    <row r="518" spans="32:112">
      <c r="AF518">
        <v>508</v>
      </c>
      <c r="AG518" s="401">
        <f>'Lab test'!N511</f>
        <v>76.2</v>
      </c>
      <c r="AH518" s="401">
        <f>'Lab test'!M511</f>
        <v>2.032</v>
      </c>
      <c r="AI518">
        <f>IF('Lab test'!O511&gt;0,'Lab test'!O511,NA())</f>
        <v>177.8</v>
      </c>
      <c r="AJ518">
        <f>'Lab test'!Q511</f>
        <v>37.5</v>
      </c>
      <c r="AK518" s="401">
        <f>IF('Lab test'!V511&gt;0,'Lab test'!V511,NA())</f>
        <v>201326.91296051617</v>
      </c>
      <c r="AL518" s="7">
        <f>IF(MAX('Lab test'!W511,'Lab test'!X511)&gt;0,MAX('Lab test'!W511,'Lab test'!X511),NA())</f>
        <v>217.87433046412025</v>
      </c>
      <c r="AM518" s="401">
        <f>IF('Lab test'!P511&gt;0,'Lab test'!P511,NA())</f>
        <v>0.38103173776627214</v>
      </c>
      <c r="AN518" s="401">
        <f>IF('Lab test'!AU511&gt;0,'Lab test'!AU511,NA())</f>
        <v>1.221518987341772</v>
      </c>
      <c r="AO518" s="401">
        <f>IF('Lab test'!AT511&gt;0,'Lab test'!AT511,NA())</f>
        <v>8.1906250347910603E-2</v>
      </c>
      <c r="AP518">
        <f t="shared" si="198"/>
        <v>1</v>
      </c>
      <c r="AQ518" s="401">
        <f>'Lab test'!AZ511</f>
        <v>1909</v>
      </c>
      <c r="AR518" t="str">
        <f>'Lab test'!AC511</f>
        <v>Tubes</v>
      </c>
      <c r="AS518" t="str">
        <f>'Lab test'!T511</f>
        <v>Steel</v>
      </c>
      <c r="AX518" t="e">
        <f t="shared" si="180"/>
        <v>#N/A</v>
      </c>
      <c r="AY518" t="e">
        <f t="shared" si="199"/>
        <v>#N/A</v>
      </c>
      <c r="AZ518" t="e">
        <f t="shared" si="202"/>
        <v>#N/A</v>
      </c>
      <c r="BA518" t="e">
        <f t="shared" si="202"/>
        <v>#N/A</v>
      </c>
      <c r="BB518" t="e">
        <f t="shared" si="202"/>
        <v>#N/A</v>
      </c>
      <c r="BC518" t="e">
        <f t="shared" si="202"/>
        <v>#N/A</v>
      </c>
      <c r="BD518" t="e">
        <f t="shared" si="202"/>
        <v>#N/A</v>
      </c>
      <c r="BG518" t="e">
        <f t="shared" si="181"/>
        <v>#N/A</v>
      </c>
      <c r="BH518" t="e">
        <f t="shared" si="200"/>
        <v>#N/A</v>
      </c>
      <c r="BI518" t="e">
        <f t="shared" si="203"/>
        <v>#N/A</v>
      </c>
      <c r="BJ518" t="e">
        <f t="shared" si="203"/>
        <v>#N/A</v>
      </c>
      <c r="BK518" t="e">
        <f t="shared" si="203"/>
        <v>#N/A</v>
      </c>
      <c r="BL518" t="e">
        <f t="shared" si="203"/>
        <v>#N/A</v>
      </c>
      <c r="BM518" t="e">
        <f t="shared" si="203"/>
        <v>#N/A</v>
      </c>
      <c r="BP518" t="e">
        <f t="shared" si="182"/>
        <v>#N/A</v>
      </c>
      <c r="BQ518" t="e">
        <f t="shared" si="201"/>
        <v>#N/A</v>
      </c>
      <c r="BR518" t="e">
        <f t="shared" si="204"/>
        <v>#N/A</v>
      </c>
      <c r="BS518" t="e">
        <f t="shared" si="204"/>
        <v>#N/A</v>
      </c>
      <c r="BT518" t="e">
        <f t="shared" si="204"/>
        <v>#N/A</v>
      </c>
      <c r="BU518" t="e">
        <f t="shared" si="204"/>
        <v>#N/A</v>
      </c>
      <c r="BV518" t="e">
        <f t="shared" si="204"/>
        <v>#N/A</v>
      </c>
      <c r="BY518" t="e">
        <f t="shared" si="183"/>
        <v>#N/A</v>
      </c>
      <c r="BZ518" t="e">
        <v>#N/A</v>
      </c>
      <c r="CA518" t="e" cm="1">
        <f t="array" ref="CA518">IF(ISNUMBER(BZ518),AF518/COUNT(IF(ISNUMBER(_xlfn.ANCHORARRAY($BZ$11)),_xlfn.ANCHORARRAY($BZ$11))),NA())</f>
        <v>#N/A</v>
      </c>
      <c r="CB518" t="e">
        <f t="shared" si="184"/>
        <v>#N/A</v>
      </c>
      <c r="CD518" t="e">
        <f t="shared" si="185"/>
        <v>#N/A</v>
      </c>
      <c r="CE518" t="e">
        <f t="shared" si="186"/>
        <v>#N/A</v>
      </c>
      <c r="CG518" t="e">
        <v>#N/A</v>
      </c>
      <c r="CH518" t="e">
        <v>#N/A</v>
      </c>
      <c r="CL518" t="e">
        <f t="shared" si="187"/>
        <v>#N/A</v>
      </c>
      <c r="CM518" t="e">
        <v>#N/A</v>
      </c>
      <c r="CN518" t="e" cm="1">
        <f t="array" ref="CN518">IF(ISNUMBER(CM518),AF518/COUNT(IF(ISNUMBER(_xlfn.ANCHORARRAY($CM$11)),_xlfn.ANCHORARRAY($CM$11))),NA())</f>
        <v>#N/A</v>
      </c>
      <c r="CO518" t="e">
        <f t="shared" si="188"/>
        <v>#N/A</v>
      </c>
      <c r="CQ518" t="e">
        <f t="shared" si="189"/>
        <v>#N/A</v>
      </c>
      <c r="CR518" t="e">
        <f t="shared" si="190"/>
        <v>#N/A</v>
      </c>
      <c r="CT518" t="e">
        <v>#N/A</v>
      </c>
      <c r="CU518" t="e">
        <v>#N/A</v>
      </c>
      <c r="CY518" t="e">
        <f t="shared" si="191"/>
        <v>#N/A</v>
      </c>
      <c r="CZ518" t="e">
        <v>#N/A</v>
      </c>
      <c r="DA518" t="e" cm="1">
        <f t="array" ref="DA518">IF(ISNUMBER(CZ518),AF518/COUNT(IF(ISNUMBER(_xlfn.ANCHORARRAY($CZ$11)),_xlfn.ANCHORARRAY($CZ$11))),NA())</f>
        <v>#N/A</v>
      </c>
      <c r="DB518" t="e">
        <f t="shared" si="192"/>
        <v>#N/A</v>
      </c>
      <c r="DD518" t="e">
        <f t="shared" si="193"/>
        <v>#N/A</v>
      </c>
      <c r="DE518" t="e">
        <f t="shared" si="194"/>
        <v>#N/A</v>
      </c>
      <c r="DG518" t="e">
        <v>#N/A</v>
      </c>
      <c r="DH518" t="e">
        <v>#N/A</v>
      </c>
    </row>
    <row r="519" spans="32:112">
      <c r="AF519">
        <v>509</v>
      </c>
      <c r="AG519" s="401">
        <f>'Lab test'!N512</f>
        <v>76.2</v>
      </c>
      <c r="AH519" s="401">
        <f>'Lab test'!M512</f>
        <v>2.032</v>
      </c>
      <c r="AI519">
        <f>IF('Lab test'!O512&gt;0,'Lab test'!O512,NA())</f>
        <v>107.95</v>
      </c>
      <c r="AJ519">
        <f>'Lab test'!Q512</f>
        <v>37.5</v>
      </c>
      <c r="AK519" s="401">
        <f>IF('Lab test'!V512&gt;0,'Lab test'!V512,NA())</f>
        <v>201326.91296051617</v>
      </c>
      <c r="AL519" s="7">
        <f>IF(MAX('Lab test'!W512,'Lab test'!X512)&gt;0,MAX('Lab test'!W512,'Lab test'!X512),NA())</f>
        <v>152.09834588729404</v>
      </c>
      <c r="AM519" s="401">
        <f>IF('Lab test'!P512&gt;0,'Lab test'!P512,NA())</f>
        <v>0.23134069792952236</v>
      </c>
      <c r="AN519" s="401">
        <f>IF('Lab test'!AU512&gt;0,'Lab test'!AU512,NA())</f>
        <v>1.4732547597461469</v>
      </c>
      <c r="AO519" s="401">
        <f>IF('Lab test'!AT512&gt;0,'Lab test'!AT512,NA())</f>
        <v>6.8962516484639746E-2</v>
      </c>
      <c r="AP519">
        <f t="shared" si="198"/>
        <v>1</v>
      </c>
      <c r="AQ519" s="401">
        <f>'Lab test'!AZ512</f>
        <v>1909</v>
      </c>
      <c r="AR519" t="str">
        <f>'Lab test'!AC512</f>
        <v>Tubes</v>
      </c>
      <c r="AS519" t="str">
        <f>'Lab test'!T512</f>
        <v>Steel</v>
      </c>
      <c r="AX519" t="e">
        <f t="shared" si="180"/>
        <v>#N/A</v>
      </c>
      <c r="AY519" t="e">
        <f t="shared" si="199"/>
        <v>#N/A</v>
      </c>
      <c r="AZ519" t="e">
        <f t="shared" si="202"/>
        <v>#N/A</v>
      </c>
      <c r="BA519" t="e">
        <f t="shared" si="202"/>
        <v>#N/A</v>
      </c>
      <c r="BB519" t="e">
        <f t="shared" si="202"/>
        <v>#N/A</v>
      </c>
      <c r="BC519" t="e">
        <f t="shared" si="202"/>
        <v>#N/A</v>
      </c>
      <c r="BD519" t="e">
        <f t="shared" si="202"/>
        <v>#N/A</v>
      </c>
      <c r="BG519" t="e">
        <f t="shared" si="181"/>
        <v>#N/A</v>
      </c>
      <c r="BH519" t="e">
        <f t="shared" si="200"/>
        <v>#N/A</v>
      </c>
      <c r="BI519" t="e">
        <f t="shared" si="203"/>
        <v>#N/A</v>
      </c>
      <c r="BJ519" t="e">
        <f t="shared" si="203"/>
        <v>#N/A</v>
      </c>
      <c r="BK519" t="e">
        <f t="shared" si="203"/>
        <v>#N/A</v>
      </c>
      <c r="BL519" t="e">
        <f t="shared" si="203"/>
        <v>#N/A</v>
      </c>
      <c r="BM519" t="e">
        <f t="shared" si="203"/>
        <v>#N/A</v>
      </c>
      <c r="BP519" t="e">
        <f t="shared" si="182"/>
        <v>#N/A</v>
      </c>
      <c r="BQ519" t="e">
        <f t="shared" si="201"/>
        <v>#N/A</v>
      </c>
      <c r="BR519" t="e">
        <f t="shared" si="204"/>
        <v>#N/A</v>
      </c>
      <c r="BS519" t="e">
        <f t="shared" si="204"/>
        <v>#N/A</v>
      </c>
      <c r="BT519" t="e">
        <f t="shared" si="204"/>
        <v>#N/A</v>
      </c>
      <c r="BU519" t="e">
        <f t="shared" si="204"/>
        <v>#N/A</v>
      </c>
      <c r="BV519" t="e">
        <f t="shared" si="204"/>
        <v>#N/A</v>
      </c>
      <c r="BY519" t="e">
        <f t="shared" si="183"/>
        <v>#N/A</v>
      </c>
      <c r="BZ519" t="e">
        <v>#N/A</v>
      </c>
      <c r="CA519" t="e" cm="1">
        <f t="array" ref="CA519">IF(ISNUMBER(BZ519),AF519/COUNT(IF(ISNUMBER(_xlfn.ANCHORARRAY($BZ$11)),_xlfn.ANCHORARRAY($BZ$11))),NA())</f>
        <v>#N/A</v>
      </c>
      <c r="CB519" t="e">
        <f t="shared" si="184"/>
        <v>#N/A</v>
      </c>
      <c r="CD519" t="e">
        <f t="shared" si="185"/>
        <v>#N/A</v>
      </c>
      <c r="CE519" t="e">
        <f t="shared" si="186"/>
        <v>#N/A</v>
      </c>
      <c r="CG519" t="e">
        <v>#N/A</v>
      </c>
      <c r="CH519" t="e">
        <v>#N/A</v>
      </c>
      <c r="CL519" t="e">
        <f t="shared" si="187"/>
        <v>#N/A</v>
      </c>
      <c r="CM519" t="e">
        <v>#N/A</v>
      </c>
      <c r="CN519" t="e" cm="1">
        <f t="array" ref="CN519">IF(ISNUMBER(CM519),AF519/COUNT(IF(ISNUMBER(_xlfn.ANCHORARRAY($CM$11)),_xlfn.ANCHORARRAY($CM$11))),NA())</f>
        <v>#N/A</v>
      </c>
      <c r="CO519" t="e">
        <f t="shared" si="188"/>
        <v>#N/A</v>
      </c>
      <c r="CQ519" t="e">
        <f t="shared" si="189"/>
        <v>#N/A</v>
      </c>
      <c r="CR519" t="e">
        <f t="shared" si="190"/>
        <v>#N/A</v>
      </c>
      <c r="CT519" t="e">
        <v>#N/A</v>
      </c>
      <c r="CU519" t="e">
        <v>#N/A</v>
      </c>
      <c r="CY519" t="e">
        <f t="shared" si="191"/>
        <v>#N/A</v>
      </c>
      <c r="CZ519" t="e">
        <v>#N/A</v>
      </c>
      <c r="DA519" t="e" cm="1">
        <f t="array" ref="DA519">IF(ISNUMBER(CZ519),AF519/COUNT(IF(ISNUMBER(_xlfn.ANCHORARRAY($CZ$11)),_xlfn.ANCHORARRAY($CZ$11))),NA())</f>
        <v>#N/A</v>
      </c>
      <c r="DB519" t="e">
        <f t="shared" si="192"/>
        <v>#N/A</v>
      </c>
      <c r="DD519" t="e">
        <f t="shared" si="193"/>
        <v>#N/A</v>
      </c>
      <c r="DE519" t="e">
        <f t="shared" si="194"/>
        <v>#N/A</v>
      </c>
      <c r="DG519" t="e">
        <v>#N/A</v>
      </c>
      <c r="DH519" t="e">
        <v>#N/A</v>
      </c>
    </row>
    <row r="520" spans="32:112">
      <c r="AF520">
        <v>510</v>
      </c>
      <c r="AG520" s="401">
        <f>'Lab test'!N513</f>
        <v>76.2</v>
      </c>
      <c r="AH520" s="401">
        <f>'Lab test'!M513</f>
        <v>2.032</v>
      </c>
      <c r="AI520">
        <f>IF('Lab test'!O513&gt;0,'Lab test'!O513,NA())</f>
        <v>101.6</v>
      </c>
      <c r="AJ520">
        <f>'Lab test'!Q513</f>
        <v>37.5</v>
      </c>
      <c r="AK520" s="401">
        <f>IF('Lab test'!V513&gt;0,'Lab test'!V513,NA())</f>
        <v>201326.91296051617</v>
      </c>
      <c r="AL520" s="7">
        <f>IF(MAX('Lab test'!W513,'Lab test'!X513)&gt;0,MAX('Lab test'!W513,'Lab test'!X513),NA())</f>
        <v>152.37413617902078</v>
      </c>
      <c r="AM520" s="401">
        <f>IF('Lab test'!P513&gt;0,'Lab test'!P513,NA())</f>
        <v>0.21773242158072692</v>
      </c>
      <c r="AN520" s="401">
        <f>IF('Lab test'!AU513&gt;0,'Lab test'!AU513,NA())</f>
        <v>1.5882352941176472</v>
      </c>
      <c r="AO520" s="401">
        <f>IF('Lab test'!AT513&gt;0,'Lab test'!AT513,NA())</f>
        <v>7.447951780341093E-2</v>
      </c>
      <c r="AP520">
        <f t="shared" si="198"/>
        <v>1</v>
      </c>
      <c r="AQ520" s="401">
        <f>'Lab test'!AZ513</f>
        <v>1909</v>
      </c>
      <c r="AR520" t="str">
        <f>'Lab test'!AC513</f>
        <v>Tubes</v>
      </c>
      <c r="AS520" t="str">
        <f>'Lab test'!T513</f>
        <v>Steel</v>
      </c>
      <c r="AX520" t="e">
        <f t="shared" si="180"/>
        <v>#N/A</v>
      </c>
      <c r="AY520" t="e">
        <f t="shared" si="199"/>
        <v>#N/A</v>
      </c>
      <c r="AZ520" t="e">
        <f t="shared" si="202"/>
        <v>#N/A</v>
      </c>
      <c r="BA520" t="e">
        <f t="shared" si="202"/>
        <v>#N/A</v>
      </c>
      <c r="BB520" t="e">
        <f t="shared" si="202"/>
        <v>#N/A</v>
      </c>
      <c r="BC520" t="e">
        <f t="shared" si="202"/>
        <v>#N/A</v>
      </c>
      <c r="BD520" t="e">
        <f t="shared" si="202"/>
        <v>#N/A</v>
      </c>
      <c r="BG520" t="e">
        <f t="shared" si="181"/>
        <v>#N/A</v>
      </c>
      <c r="BH520" t="e">
        <f t="shared" si="200"/>
        <v>#N/A</v>
      </c>
      <c r="BI520" t="e">
        <f t="shared" si="203"/>
        <v>#N/A</v>
      </c>
      <c r="BJ520" t="e">
        <f t="shared" si="203"/>
        <v>#N/A</v>
      </c>
      <c r="BK520" t="e">
        <f t="shared" si="203"/>
        <v>#N/A</v>
      </c>
      <c r="BL520" t="e">
        <f t="shared" si="203"/>
        <v>#N/A</v>
      </c>
      <c r="BM520" t="e">
        <f t="shared" si="203"/>
        <v>#N/A</v>
      </c>
      <c r="BP520" t="e">
        <f t="shared" si="182"/>
        <v>#N/A</v>
      </c>
      <c r="BQ520" t="e">
        <f t="shared" si="201"/>
        <v>#N/A</v>
      </c>
      <c r="BR520" t="e">
        <f t="shared" si="204"/>
        <v>#N/A</v>
      </c>
      <c r="BS520" t="e">
        <f t="shared" si="204"/>
        <v>#N/A</v>
      </c>
      <c r="BT520" t="e">
        <f t="shared" si="204"/>
        <v>#N/A</v>
      </c>
      <c r="BU520" t="e">
        <f t="shared" si="204"/>
        <v>#N/A</v>
      </c>
      <c r="BV520" t="e">
        <f t="shared" si="204"/>
        <v>#N/A</v>
      </c>
      <c r="BY520" t="e">
        <f t="shared" si="183"/>
        <v>#N/A</v>
      </c>
      <c r="BZ520" t="e">
        <v>#N/A</v>
      </c>
      <c r="CA520" t="e" cm="1">
        <f t="array" ref="CA520">IF(ISNUMBER(BZ520),AF520/COUNT(IF(ISNUMBER(_xlfn.ANCHORARRAY($BZ$11)),_xlfn.ANCHORARRAY($BZ$11))),NA())</f>
        <v>#N/A</v>
      </c>
      <c r="CB520" t="e">
        <f t="shared" si="184"/>
        <v>#N/A</v>
      </c>
      <c r="CD520" t="e">
        <f t="shared" si="185"/>
        <v>#N/A</v>
      </c>
      <c r="CE520" t="e">
        <f t="shared" si="186"/>
        <v>#N/A</v>
      </c>
      <c r="CG520" t="e">
        <v>#N/A</v>
      </c>
      <c r="CH520" t="e">
        <v>#N/A</v>
      </c>
      <c r="CL520" t="e">
        <f t="shared" si="187"/>
        <v>#N/A</v>
      </c>
      <c r="CM520" t="e">
        <v>#N/A</v>
      </c>
      <c r="CN520" t="e" cm="1">
        <f t="array" ref="CN520">IF(ISNUMBER(CM520),AF520/COUNT(IF(ISNUMBER(_xlfn.ANCHORARRAY($CM$11)),_xlfn.ANCHORARRAY($CM$11))),NA())</f>
        <v>#N/A</v>
      </c>
      <c r="CO520" t="e">
        <f t="shared" si="188"/>
        <v>#N/A</v>
      </c>
      <c r="CQ520" t="e">
        <f t="shared" si="189"/>
        <v>#N/A</v>
      </c>
      <c r="CR520" t="e">
        <f t="shared" si="190"/>
        <v>#N/A</v>
      </c>
      <c r="CT520" t="e">
        <v>#N/A</v>
      </c>
      <c r="CU520" t="e">
        <v>#N/A</v>
      </c>
      <c r="CY520" t="e">
        <f t="shared" si="191"/>
        <v>#N/A</v>
      </c>
      <c r="CZ520" t="e">
        <v>#N/A</v>
      </c>
      <c r="DA520" t="e" cm="1">
        <f t="array" ref="DA520">IF(ISNUMBER(CZ520),AF520/COUNT(IF(ISNUMBER(_xlfn.ANCHORARRAY($CZ$11)),_xlfn.ANCHORARRAY($CZ$11))),NA())</f>
        <v>#N/A</v>
      </c>
      <c r="DB520" t="e">
        <f t="shared" si="192"/>
        <v>#N/A</v>
      </c>
      <c r="DD520" t="e">
        <f t="shared" si="193"/>
        <v>#N/A</v>
      </c>
      <c r="DE520" t="e">
        <f t="shared" si="194"/>
        <v>#N/A</v>
      </c>
      <c r="DG520" t="e">
        <v>#N/A</v>
      </c>
      <c r="DH520" t="e">
        <v>#N/A</v>
      </c>
    </row>
    <row r="521" spans="32:112">
      <c r="AF521">
        <v>511</v>
      </c>
      <c r="AG521" s="401">
        <f>'Lab test'!N514</f>
        <v>69.849999999999994</v>
      </c>
      <c r="AH521" s="401">
        <f>'Lab test'!M514</f>
        <v>3.2258</v>
      </c>
      <c r="AI521">
        <f>IF('Lab test'!O514&gt;0,'Lab test'!O514,NA())</f>
        <v>114.3</v>
      </c>
      <c r="AJ521">
        <f>'Lab test'!Q514</f>
        <v>21.653543307086611</v>
      </c>
      <c r="AK521" s="401">
        <f>IF('Lab test'!V514&gt;0,'Lab test'!V514,NA())</f>
        <v>201326.91296051617</v>
      </c>
      <c r="AL521" s="7">
        <f>IF(MAX('Lab test'!W514,'Lab test'!X514)&gt;0,MAX('Lab test'!W514,'Lab test'!X514),NA())</f>
        <v>224.76908775728862</v>
      </c>
      <c r="AM521" s="401">
        <f>IF('Lab test'!P514&gt;0,'Lab test'!P514,NA())</f>
        <v>0.35165381515062866</v>
      </c>
      <c r="AN521" s="401">
        <f>IF('Lab test'!AU514&gt;0,'Lab test'!AU514,NA())</f>
        <v>1.5214723926380367</v>
      </c>
      <c r="AO521" s="401">
        <f>IF('Lab test'!AT514&gt;0,'Lab test'!AT514,NA())</f>
        <v>6.077278254636697E-2</v>
      </c>
      <c r="AP521">
        <f t="shared" si="198"/>
        <v>1</v>
      </c>
      <c r="AQ521" s="401">
        <f>'Lab test'!AZ514</f>
        <v>1909</v>
      </c>
      <c r="AR521" t="str">
        <f>'Lab test'!AC514</f>
        <v>Tubes</v>
      </c>
      <c r="AS521" t="str">
        <f>'Lab test'!T514</f>
        <v>Steel</v>
      </c>
      <c r="AX521" t="e">
        <f t="shared" si="180"/>
        <v>#N/A</v>
      </c>
      <c r="AY521" t="e">
        <f t="shared" si="199"/>
        <v>#N/A</v>
      </c>
      <c r="AZ521" t="e">
        <f t="shared" si="202"/>
        <v>#N/A</v>
      </c>
      <c r="BA521" t="e">
        <f t="shared" si="202"/>
        <v>#N/A</v>
      </c>
      <c r="BB521" t="e">
        <f t="shared" si="202"/>
        <v>#N/A</v>
      </c>
      <c r="BC521" t="e">
        <f t="shared" si="202"/>
        <v>#N/A</v>
      </c>
      <c r="BD521" t="e">
        <f t="shared" si="202"/>
        <v>#N/A</v>
      </c>
      <c r="BG521" t="e">
        <f t="shared" si="181"/>
        <v>#N/A</v>
      </c>
      <c r="BH521" t="e">
        <f t="shared" si="200"/>
        <v>#N/A</v>
      </c>
      <c r="BI521" t="e">
        <f t="shared" si="203"/>
        <v>#N/A</v>
      </c>
      <c r="BJ521" t="e">
        <f t="shared" si="203"/>
        <v>#N/A</v>
      </c>
      <c r="BK521" t="e">
        <f t="shared" si="203"/>
        <v>#N/A</v>
      </c>
      <c r="BL521" t="e">
        <f t="shared" si="203"/>
        <v>#N/A</v>
      </c>
      <c r="BM521" t="e">
        <f t="shared" si="203"/>
        <v>#N/A</v>
      </c>
      <c r="BP521" t="e">
        <f t="shared" si="182"/>
        <v>#N/A</v>
      </c>
      <c r="BQ521" t="e">
        <f t="shared" si="201"/>
        <v>#N/A</v>
      </c>
      <c r="BR521" t="e">
        <f t="shared" si="204"/>
        <v>#N/A</v>
      </c>
      <c r="BS521" t="e">
        <f t="shared" si="204"/>
        <v>#N/A</v>
      </c>
      <c r="BT521" t="e">
        <f t="shared" si="204"/>
        <v>#N/A</v>
      </c>
      <c r="BU521" t="e">
        <f t="shared" si="204"/>
        <v>#N/A</v>
      </c>
      <c r="BV521" t="e">
        <f t="shared" si="204"/>
        <v>#N/A</v>
      </c>
      <c r="BY521" t="e">
        <f t="shared" si="183"/>
        <v>#N/A</v>
      </c>
      <c r="BZ521" t="e">
        <v>#N/A</v>
      </c>
      <c r="CA521" t="e" cm="1">
        <f t="array" ref="CA521">IF(ISNUMBER(BZ521),AF521/COUNT(IF(ISNUMBER(_xlfn.ANCHORARRAY($BZ$11)),_xlfn.ANCHORARRAY($BZ$11))),NA())</f>
        <v>#N/A</v>
      </c>
      <c r="CB521" t="e">
        <f t="shared" si="184"/>
        <v>#N/A</v>
      </c>
      <c r="CD521" t="e">
        <f t="shared" si="185"/>
        <v>#N/A</v>
      </c>
      <c r="CE521" t="e">
        <f t="shared" si="186"/>
        <v>#N/A</v>
      </c>
      <c r="CG521" t="e">
        <v>#N/A</v>
      </c>
      <c r="CH521" t="e">
        <v>#N/A</v>
      </c>
      <c r="CL521" t="e">
        <f t="shared" si="187"/>
        <v>#N/A</v>
      </c>
      <c r="CM521" t="e">
        <v>#N/A</v>
      </c>
      <c r="CN521" t="e" cm="1">
        <f t="array" ref="CN521">IF(ISNUMBER(CM521),AF521/COUNT(IF(ISNUMBER(_xlfn.ANCHORARRAY($CM$11)),_xlfn.ANCHORARRAY($CM$11))),NA())</f>
        <v>#N/A</v>
      </c>
      <c r="CO521" t="e">
        <f t="shared" si="188"/>
        <v>#N/A</v>
      </c>
      <c r="CQ521" t="e">
        <f t="shared" si="189"/>
        <v>#N/A</v>
      </c>
      <c r="CR521" t="e">
        <f t="shared" si="190"/>
        <v>#N/A</v>
      </c>
      <c r="CT521" t="e">
        <v>#N/A</v>
      </c>
      <c r="CU521" t="e">
        <v>#N/A</v>
      </c>
      <c r="CY521" t="e">
        <f t="shared" si="191"/>
        <v>#N/A</v>
      </c>
      <c r="CZ521" t="e">
        <v>#N/A</v>
      </c>
      <c r="DA521" t="e" cm="1">
        <f t="array" ref="DA521">IF(ISNUMBER(CZ521),AF521/COUNT(IF(ISNUMBER(_xlfn.ANCHORARRAY($CZ$11)),_xlfn.ANCHORARRAY($CZ$11))),NA())</f>
        <v>#N/A</v>
      </c>
      <c r="DB521" t="e">
        <f t="shared" si="192"/>
        <v>#N/A</v>
      </c>
      <c r="DD521" t="e">
        <f t="shared" si="193"/>
        <v>#N/A</v>
      </c>
      <c r="DE521" t="e">
        <f t="shared" si="194"/>
        <v>#N/A</v>
      </c>
      <c r="DG521" t="e">
        <v>#N/A</v>
      </c>
      <c r="DH521" t="e">
        <v>#N/A</v>
      </c>
    </row>
    <row r="522" spans="32:112">
      <c r="AF522">
        <v>512</v>
      </c>
      <c r="AG522" s="401">
        <f>'Lab test'!N515</f>
        <v>76.2</v>
      </c>
      <c r="AH522" s="401">
        <f>'Lab test'!M515</f>
        <v>2.032</v>
      </c>
      <c r="AI522">
        <f>IF('Lab test'!O515&gt;0,'Lab test'!O515,NA())</f>
        <v>101.6</v>
      </c>
      <c r="AJ522">
        <f>'Lab test'!Q515</f>
        <v>37.5</v>
      </c>
      <c r="AK522" s="401">
        <f>IF('Lab test'!V515&gt;0,'Lab test'!V515,NA())</f>
        <v>201326.91296051617</v>
      </c>
      <c r="AL522" s="7">
        <f>IF(MAX('Lab test'!W515,'Lab test'!X515)&gt;0,MAX('Lab test'!W515,'Lab test'!X515),NA())</f>
        <v>263.37972859903141</v>
      </c>
      <c r="AM522" s="401">
        <f>IF('Lab test'!P515&gt;0,'Lab test'!P515,NA())</f>
        <v>0.21773242158072692</v>
      </c>
      <c r="AN522" s="401">
        <f>IF('Lab test'!AU515&gt;0,'Lab test'!AU515,NA())</f>
        <v>1.2041884816753927</v>
      </c>
      <c r="AO522" s="401">
        <f>IF('Lab test'!AT515&gt;0,'Lab test'!AT515,NA())</f>
        <v>9.7608484870567044E-2</v>
      </c>
      <c r="AP522">
        <f t="shared" si="198"/>
        <v>1</v>
      </c>
      <c r="AQ522" s="401">
        <f>'Lab test'!AZ515</f>
        <v>1909</v>
      </c>
      <c r="AR522" t="str">
        <f>'Lab test'!AC515</f>
        <v>Tubes</v>
      </c>
      <c r="AS522" t="str">
        <f>'Lab test'!T515</f>
        <v>Steel</v>
      </c>
      <c r="AX522" t="e">
        <f t="shared" si="180"/>
        <v>#N/A</v>
      </c>
      <c r="AY522" t="e">
        <f t="shared" si="199"/>
        <v>#N/A</v>
      </c>
      <c r="AZ522" t="e">
        <f t="shared" si="202"/>
        <v>#N/A</v>
      </c>
      <c r="BA522" t="e">
        <f t="shared" si="202"/>
        <v>#N/A</v>
      </c>
      <c r="BB522" t="e">
        <f t="shared" si="202"/>
        <v>#N/A</v>
      </c>
      <c r="BC522" t="e">
        <f t="shared" si="202"/>
        <v>#N/A</v>
      </c>
      <c r="BD522" t="e">
        <f t="shared" si="202"/>
        <v>#N/A</v>
      </c>
      <c r="BG522" t="e">
        <f t="shared" si="181"/>
        <v>#N/A</v>
      </c>
      <c r="BH522" t="e">
        <f t="shared" si="200"/>
        <v>#N/A</v>
      </c>
      <c r="BI522" t="e">
        <f t="shared" si="203"/>
        <v>#N/A</v>
      </c>
      <c r="BJ522" t="e">
        <f t="shared" si="203"/>
        <v>#N/A</v>
      </c>
      <c r="BK522" t="e">
        <f t="shared" si="203"/>
        <v>#N/A</v>
      </c>
      <c r="BL522" t="e">
        <f t="shared" si="203"/>
        <v>#N/A</v>
      </c>
      <c r="BM522" t="e">
        <f t="shared" si="203"/>
        <v>#N/A</v>
      </c>
      <c r="BP522" t="e">
        <f t="shared" si="182"/>
        <v>#N/A</v>
      </c>
      <c r="BQ522" t="e">
        <f t="shared" si="201"/>
        <v>#N/A</v>
      </c>
      <c r="BR522" t="e">
        <f t="shared" si="204"/>
        <v>#N/A</v>
      </c>
      <c r="BS522" t="e">
        <f t="shared" si="204"/>
        <v>#N/A</v>
      </c>
      <c r="BT522" t="e">
        <f t="shared" si="204"/>
        <v>#N/A</v>
      </c>
      <c r="BU522" t="e">
        <f t="shared" si="204"/>
        <v>#N/A</v>
      </c>
      <c r="BV522" t="e">
        <f t="shared" si="204"/>
        <v>#N/A</v>
      </c>
      <c r="BY522" t="e">
        <f t="shared" si="183"/>
        <v>#N/A</v>
      </c>
      <c r="BZ522" t="e">
        <v>#N/A</v>
      </c>
      <c r="CA522" t="e" cm="1">
        <f t="array" ref="CA522">IF(ISNUMBER(BZ522),AF522/COUNT(IF(ISNUMBER(_xlfn.ANCHORARRAY($BZ$11)),_xlfn.ANCHORARRAY($BZ$11))),NA())</f>
        <v>#N/A</v>
      </c>
      <c r="CB522" t="e">
        <f t="shared" si="184"/>
        <v>#N/A</v>
      </c>
      <c r="CD522" t="e">
        <f t="shared" si="185"/>
        <v>#N/A</v>
      </c>
      <c r="CE522" t="e">
        <f t="shared" si="186"/>
        <v>#N/A</v>
      </c>
      <c r="CG522" t="e">
        <v>#N/A</v>
      </c>
      <c r="CH522" t="e">
        <v>#N/A</v>
      </c>
      <c r="CL522" t="e">
        <f t="shared" si="187"/>
        <v>#N/A</v>
      </c>
      <c r="CM522" t="e">
        <v>#N/A</v>
      </c>
      <c r="CN522" t="e" cm="1">
        <f t="array" ref="CN522">IF(ISNUMBER(CM522),AF522/COUNT(IF(ISNUMBER(_xlfn.ANCHORARRAY($CM$11)),_xlfn.ANCHORARRAY($CM$11))),NA())</f>
        <v>#N/A</v>
      </c>
      <c r="CO522" t="e">
        <f t="shared" si="188"/>
        <v>#N/A</v>
      </c>
      <c r="CQ522" t="e">
        <f t="shared" si="189"/>
        <v>#N/A</v>
      </c>
      <c r="CR522" t="e">
        <f t="shared" si="190"/>
        <v>#N/A</v>
      </c>
      <c r="CT522" t="e">
        <v>#N/A</v>
      </c>
      <c r="CU522" t="e">
        <v>#N/A</v>
      </c>
      <c r="CY522" t="e">
        <f t="shared" si="191"/>
        <v>#N/A</v>
      </c>
      <c r="CZ522" t="e">
        <v>#N/A</v>
      </c>
      <c r="DA522" t="e" cm="1">
        <f t="array" ref="DA522">IF(ISNUMBER(CZ522),AF522/COUNT(IF(ISNUMBER(_xlfn.ANCHORARRAY($CZ$11)),_xlfn.ANCHORARRAY($CZ$11))),NA())</f>
        <v>#N/A</v>
      </c>
      <c r="DB522" t="e">
        <f t="shared" si="192"/>
        <v>#N/A</v>
      </c>
      <c r="DD522" t="e">
        <f t="shared" si="193"/>
        <v>#N/A</v>
      </c>
      <c r="DE522" t="e">
        <f t="shared" si="194"/>
        <v>#N/A</v>
      </c>
      <c r="DG522" t="e">
        <v>#N/A</v>
      </c>
      <c r="DH522" t="e">
        <v>#N/A</v>
      </c>
    </row>
    <row r="523" spans="32:112">
      <c r="AF523">
        <v>513</v>
      </c>
      <c r="AG523" s="401">
        <f>'Lab test'!N516</f>
        <v>76.2</v>
      </c>
      <c r="AH523" s="401">
        <f>'Lab test'!M516</f>
        <v>2.032</v>
      </c>
      <c r="AI523">
        <f>IF('Lab test'!O516&gt;0,'Lab test'!O516,NA())</f>
        <v>50.8</v>
      </c>
      <c r="AJ523">
        <f>'Lab test'!Q516</f>
        <v>37.5</v>
      </c>
      <c r="AK523" s="401">
        <f>IF('Lab test'!V516&gt;0,'Lab test'!V516,NA())</f>
        <v>201326.91296051617</v>
      </c>
      <c r="AL523" s="7">
        <f>IF(MAX('Lab test'!W516,'Lab test'!X516)&gt;0,MAX('Lab test'!W516,'Lab test'!X516),NA())</f>
        <v>238.5586023436253</v>
      </c>
      <c r="AM523" s="401">
        <f>IF('Lab test'!P516&gt;0,'Lab test'!P516,NA())</f>
        <v>0.10886621079036346</v>
      </c>
      <c r="AN523" s="401">
        <f>IF('Lab test'!AU516&gt;0,'Lab test'!AU516,NA())</f>
        <v>1.3179190751445087</v>
      </c>
      <c r="AO523" s="401">
        <f>IF('Lab test'!AT516&gt;0,'Lab test'!AT516,NA())</f>
        <v>9.6759715436909935E-2</v>
      </c>
      <c r="AP523">
        <f t="shared" si="198"/>
        <v>1</v>
      </c>
      <c r="AQ523" s="401">
        <f>'Lab test'!AZ516</f>
        <v>1909</v>
      </c>
      <c r="AR523" t="str">
        <f>'Lab test'!AC516</f>
        <v>Tubes</v>
      </c>
      <c r="AS523" t="str">
        <f>'Lab test'!T516</f>
        <v>Steel</v>
      </c>
      <c r="AX523" t="e">
        <f t="shared" si="180"/>
        <v>#N/A</v>
      </c>
      <c r="AY523" t="e">
        <f t="shared" si="199"/>
        <v>#N/A</v>
      </c>
      <c r="AZ523" t="e">
        <f t="shared" si="202"/>
        <v>#N/A</v>
      </c>
      <c r="BA523" t="e">
        <f t="shared" si="202"/>
        <v>#N/A</v>
      </c>
      <c r="BB523" t="e">
        <f t="shared" si="202"/>
        <v>#N/A</v>
      </c>
      <c r="BC523" t="e">
        <f t="shared" si="202"/>
        <v>#N/A</v>
      </c>
      <c r="BD523" t="e">
        <f t="shared" si="202"/>
        <v>#N/A</v>
      </c>
      <c r="BG523" t="e">
        <f t="shared" si="181"/>
        <v>#N/A</v>
      </c>
      <c r="BH523" t="e">
        <f t="shared" si="200"/>
        <v>#N/A</v>
      </c>
      <c r="BI523" t="e">
        <f t="shared" si="203"/>
        <v>#N/A</v>
      </c>
      <c r="BJ523" t="e">
        <f t="shared" si="203"/>
        <v>#N/A</v>
      </c>
      <c r="BK523" t="e">
        <f t="shared" si="203"/>
        <v>#N/A</v>
      </c>
      <c r="BL523" t="e">
        <f t="shared" si="203"/>
        <v>#N/A</v>
      </c>
      <c r="BM523" t="e">
        <f t="shared" si="203"/>
        <v>#N/A</v>
      </c>
      <c r="BP523" t="e">
        <f t="shared" si="182"/>
        <v>#N/A</v>
      </c>
      <c r="BQ523" t="e">
        <f t="shared" si="201"/>
        <v>#N/A</v>
      </c>
      <c r="BR523" t="e">
        <f t="shared" si="204"/>
        <v>#N/A</v>
      </c>
      <c r="BS523" t="e">
        <f t="shared" si="204"/>
        <v>#N/A</v>
      </c>
      <c r="BT523" t="e">
        <f t="shared" si="204"/>
        <v>#N/A</v>
      </c>
      <c r="BU523" t="e">
        <f t="shared" si="204"/>
        <v>#N/A</v>
      </c>
      <c r="BV523" t="e">
        <f t="shared" si="204"/>
        <v>#N/A</v>
      </c>
      <c r="BY523" t="e">
        <f t="shared" si="183"/>
        <v>#N/A</v>
      </c>
      <c r="BZ523" t="e">
        <v>#N/A</v>
      </c>
      <c r="CA523" t="e" cm="1">
        <f t="array" ref="CA523">IF(ISNUMBER(BZ523),AF523/COUNT(IF(ISNUMBER(_xlfn.ANCHORARRAY($BZ$11)),_xlfn.ANCHORARRAY($BZ$11))),NA())</f>
        <v>#N/A</v>
      </c>
      <c r="CB523" t="e">
        <f t="shared" si="184"/>
        <v>#N/A</v>
      </c>
      <c r="CD523" t="e">
        <f t="shared" si="185"/>
        <v>#N/A</v>
      </c>
      <c r="CE523" t="e">
        <f t="shared" si="186"/>
        <v>#N/A</v>
      </c>
      <c r="CG523" t="e">
        <v>#N/A</v>
      </c>
      <c r="CH523" t="e">
        <v>#N/A</v>
      </c>
      <c r="CL523" t="e">
        <f t="shared" si="187"/>
        <v>#N/A</v>
      </c>
      <c r="CM523" t="e">
        <v>#N/A</v>
      </c>
      <c r="CN523" t="e" cm="1">
        <f t="array" ref="CN523">IF(ISNUMBER(CM523),AF523/COUNT(IF(ISNUMBER(_xlfn.ANCHORARRAY($CM$11)),_xlfn.ANCHORARRAY($CM$11))),NA())</f>
        <v>#N/A</v>
      </c>
      <c r="CO523" t="e">
        <f t="shared" si="188"/>
        <v>#N/A</v>
      </c>
      <c r="CQ523" t="e">
        <f t="shared" si="189"/>
        <v>#N/A</v>
      </c>
      <c r="CR523" t="e">
        <f t="shared" si="190"/>
        <v>#N/A</v>
      </c>
      <c r="CT523" t="e">
        <v>#N/A</v>
      </c>
      <c r="CU523" t="e">
        <v>#N/A</v>
      </c>
      <c r="CY523" t="e">
        <f t="shared" si="191"/>
        <v>#N/A</v>
      </c>
      <c r="CZ523" t="e">
        <v>#N/A</v>
      </c>
      <c r="DA523" t="e" cm="1">
        <f t="array" ref="DA523">IF(ISNUMBER(CZ523),AF523/COUNT(IF(ISNUMBER(_xlfn.ANCHORARRAY($CZ$11)),_xlfn.ANCHORARRAY($CZ$11))),NA())</f>
        <v>#N/A</v>
      </c>
      <c r="DB523" t="e">
        <f t="shared" si="192"/>
        <v>#N/A</v>
      </c>
      <c r="DD523" t="e">
        <f t="shared" si="193"/>
        <v>#N/A</v>
      </c>
      <c r="DE523" t="e">
        <f t="shared" si="194"/>
        <v>#N/A</v>
      </c>
      <c r="DG523" t="e">
        <v>#N/A</v>
      </c>
      <c r="DH523" t="e">
        <v>#N/A</v>
      </c>
    </row>
    <row r="524" spans="32:112">
      <c r="AF524">
        <v>514</v>
      </c>
      <c r="AG524" s="401">
        <f>'Lab test'!N517</f>
        <v>76.2</v>
      </c>
      <c r="AH524" s="401">
        <f>'Lab test'!M517</f>
        <v>2.032</v>
      </c>
      <c r="AI524">
        <f>IF('Lab test'!O517&gt;0,'Lab test'!O517,NA())</f>
        <v>76.2</v>
      </c>
      <c r="AJ524">
        <f>'Lab test'!Q517</f>
        <v>37.5</v>
      </c>
      <c r="AK524" s="401">
        <f>IF('Lab test'!V517&gt;0,'Lab test'!V517,NA())</f>
        <v>201326.91296051617</v>
      </c>
      <c r="AL524" s="7">
        <f>IF(MAX('Lab test'!W517,'Lab test'!X517)&gt;0,MAX('Lab test'!W517,'Lab test'!X517),NA())</f>
        <v>230.9743693211401</v>
      </c>
      <c r="AM524" s="401">
        <f>IF('Lab test'!P517&gt;0,'Lab test'!P517,NA())</f>
        <v>0.16329931618554519</v>
      </c>
      <c r="AN524" s="401">
        <f>IF('Lab test'!AU517&gt;0,'Lab test'!AU517,NA())</f>
        <v>1.3134328358208955</v>
      </c>
      <c r="AO524" s="401">
        <f>IF('Lab test'!AT517&gt;0,'Lab test'!AT517,NA())</f>
        <v>9.3364637702281511E-2</v>
      </c>
      <c r="AP524">
        <f t="shared" si="198"/>
        <v>1</v>
      </c>
      <c r="AQ524" s="401">
        <f>'Lab test'!AZ517</f>
        <v>1909</v>
      </c>
      <c r="AR524" t="str">
        <f>'Lab test'!AC517</f>
        <v>Tubes</v>
      </c>
      <c r="AS524" t="str">
        <f>'Lab test'!T517</f>
        <v>Steel</v>
      </c>
      <c r="AX524" t="e">
        <f t="shared" ref="AX524:AX587" si="205">IF(ISNUMBER($AJ524),IF(ISNUMBER($AP524),IF($AJ524&gt;=AX$9,IF($AJ524&lt;=AX$10,IF($AR524=$AW$2,IF($AS524=$AW$6,$AK524,NA()),NA()),NA()),NA()),NA()),NA())</f>
        <v>#N/A</v>
      </c>
      <c r="AY524" t="e">
        <f t="shared" si="199"/>
        <v>#N/A</v>
      </c>
      <c r="AZ524" t="e">
        <f t="shared" si="202"/>
        <v>#N/A</v>
      </c>
      <c r="BA524" t="e">
        <f t="shared" si="202"/>
        <v>#N/A</v>
      </c>
      <c r="BB524" t="e">
        <f t="shared" si="202"/>
        <v>#N/A</v>
      </c>
      <c r="BC524" t="e">
        <f t="shared" si="202"/>
        <v>#N/A</v>
      </c>
      <c r="BD524" t="e">
        <f t="shared" si="202"/>
        <v>#N/A</v>
      </c>
      <c r="BG524" t="e">
        <f t="shared" ref="BG524:BG587" si="206">IF(ISNUMBER($AJ524),IF(ISNUMBER($AP524),IF($AJ524&gt;=BG$9,IF($AJ524&lt;=BG$10,IF($AR524=$AW$2,IF($AS524=$BF$6,$AK524,NA()),NA()),NA()),NA()),NA()),NA())</f>
        <v>#N/A</v>
      </c>
      <c r="BH524" t="e">
        <f t="shared" si="200"/>
        <v>#N/A</v>
      </c>
      <c r="BI524" t="e">
        <f t="shared" si="203"/>
        <v>#N/A</v>
      </c>
      <c r="BJ524" t="e">
        <f t="shared" si="203"/>
        <v>#N/A</v>
      </c>
      <c r="BK524" t="e">
        <f t="shared" si="203"/>
        <v>#N/A</v>
      </c>
      <c r="BL524" t="e">
        <f t="shared" si="203"/>
        <v>#N/A</v>
      </c>
      <c r="BM524" t="e">
        <f t="shared" si="203"/>
        <v>#N/A</v>
      </c>
      <c r="BP524" t="e">
        <f t="shared" ref="BP524:BP587" si="207">IF(ISNUMBER($AJ524),IF(ISNUMBER($AP524),IF($AJ524&gt;=BP$9,IF($AJ524&lt;=BP$10,IF($AR524=$AW$2,IF($AS524=$BO$6,$AK524,NA()),NA()),NA()),NA()),NA()),NA())</f>
        <v>#N/A</v>
      </c>
      <c r="BQ524" t="e">
        <f t="shared" si="201"/>
        <v>#N/A</v>
      </c>
      <c r="BR524" t="e">
        <f t="shared" si="204"/>
        <v>#N/A</v>
      </c>
      <c r="BS524" t="e">
        <f t="shared" si="204"/>
        <v>#N/A</v>
      </c>
      <c r="BT524" t="e">
        <f t="shared" si="204"/>
        <v>#N/A</v>
      </c>
      <c r="BU524" t="e">
        <f t="shared" si="204"/>
        <v>#N/A</v>
      </c>
      <c r="BV524" t="e">
        <f t="shared" si="204"/>
        <v>#N/A</v>
      </c>
      <c r="BY524" t="e">
        <f t="shared" ref="BY524:BY587" si="208">IF(ISNUMBER(AP524),IF($AR524=$AW$2,IF($AS524=$AW$6,$AK524,NA()),NA()),NA())</f>
        <v>#N/A</v>
      </c>
      <c r="BZ524" t="e">
        <v>#N/A</v>
      </c>
      <c r="CA524" t="e" cm="1">
        <f t="array" ref="CA524">IF(ISNUMBER(BZ524),AF524/COUNT(IF(ISNUMBER(_xlfn.ANCHORARRAY($BZ$11)),_xlfn.ANCHORARRAY($BZ$11))),NA())</f>
        <v>#N/A</v>
      </c>
      <c r="CB524" t="e">
        <f t="shared" ref="CB524:CB587" si="209">IF(BZ524=BZ525,NA(),CA524)</f>
        <v>#N/A</v>
      </c>
      <c r="CD524" t="e">
        <f t="shared" ref="CD524:CD587" si="210">CB524</f>
        <v>#N/A</v>
      </c>
      <c r="CE524" t="e">
        <f t="shared" ref="CE524:CE587" si="211">BZ524</f>
        <v>#N/A</v>
      </c>
      <c r="CG524" t="e">
        <v>#N/A</v>
      </c>
      <c r="CH524" t="e">
        <v>#N/A</v>
      </c>
      <c r="CL524" t="e">
        <f t="shared" ref="CL524:CL587" si="212">IF(ISNUMBER(AP524),IF($AR524=$AW$2,IF($AS524=$BF$6,$AK524,NA()),NA()),NA())</f>
        <v>#N/A</v>
      </c>
      <c r="CM524" t="e">
        <v>#N/A</v>
      </c>
      <c r="CN524" t="e" cm="1">
        <f t="array" ref="CN524">IF(ISNUMBER(CM524),AF524/COUNT(IF(ISNUMBER(_xlfn.ANCHORARRAY($CM$11)),_xlfn.ANCHORARRAY($CM$11))),NA())</f>
        <v>#N/A</v>
      </c>
      <c r="CO524" t="e">
        <f t="shared" ref="CO524:CO587" si="213">IF(CM524=CM525,NA(),CN524)</f>
        <v>#N/A</v>
      </c>
      <c r="CQ524" t="e">
        <f t="shared" ref="CQ524:CQ587" si="214">CO524</f>
        <v>#N/A</v>
      </c>
      <c r="CR524" t="e">
        <f t="shared" ref="CR524:CR587" si="215">CM524</f>
        <v>#N/A</v>
      </c>
      <c r="CT524" t="e">
        <v>#N/A</v>
      </c>
      <c r="CU524" t="e">
        <v>#N/A</v>
      </c>
      <c r="CY524" t="e">
        <f t="shared" ref="CY524:CY587" si="216">IF(ISNUMBER(AP524),IF($AR524=$AW$2,IF($AS524=$BO$6,$AK524,NA()),NA()),NA())</f>
        <v>#N/A</v>
      </c>
      <c r="CZ524" t="e">
        <v>#N/A</v>
      </c>
      <c r="DA524" t="e" cm="1">
        <f t="array" ref="DA524">IF(ISNUMBER(CZ524),AF524/COUNT(IF(ISNUMBER(_xlfn.ANCHORARRAY($CZ$11)),_xlfn.ANCHORARRAY($CZ$11))),NA())</f>
        <v>#N/A</v>
      </c>
      <c r="DB524" t="e">
        <f t="shared" ref="DB524:DB587" si="217">IF(CZ524=CZ525,NA(),DA524)</f>
        <v>#N/A</v>
      </c>
      <c r="DD524" t="e">
        <f t="shared" ref="DD524:DD587" si="218">DB524</f>
        <v>#N/A</v>
      </c>
      <c r="DE524" t="e">
        <f t="shared" ref="DE524:DE587" si="219">CZ524</f>
        <v>#N/A</v>
      </c>
      <c r="DG524" t="e">
        <v>#N/A</v>
      </c>
      <c r="DH524" t="e">
        <v>#N/A</v>
      </c>
    </row>
    <row r="525" spans="32:112">
      <c r="AF525">
        <v>515</v>
      </c>
      <c r="AG525" s="401">
        <f>'Lab test'!N518</f>
        <v>76.2</v>
      </c>
      <c r="AH525" s="401">
        <f>'Lab test'!M518</f>
        <v>2.032</v>
      </c>
      <c r="AI525">
        <f>IF('Lab test'!O518&gt;0,'Lab test'!O518,NA())</f>
        <v>101.6</v>
      </c>
      <c r="AJ525">
        <f>'Lab test'!Q518</f>
        <v>37.5</v>
      </c>
      <c r="AK525" s="401">
        <f>IF('Lab test'!V518&gt;0,'Lab test'!V518,NA())</f>
        <v>201326.91296051617</v>
      </c>
      <c r="AL525" s="7">
        <f>IF(MAX('Lab test'!W518,'Lab test'!X518)&gt;0,MAX('Lab test'!W518,'Lab test'!X518),NA())</f>
        <v>282.68504901990281</v>
      </c>
      <c r="AM525" s="401">
        <f>IF('Lab test'!P518&gt;0,'Lab test'!P518,NA())</f>
        <v>0.21773242158072692</v>
      </c>
      <c r="AN525" s="401">
        <f>IF('Lab test'!AU518&gt;0,'Lab test'!AU518,NA())</f>
        <v>1.0780487804878049</v>
      </c>
      <c r="AO525" s="401">
        <f>IF('Lab test'!AT518&gt;0,'Lab test'!AT518,NA())</f>
        <v>9.3789022419110066E-2</v>
      </c>
      <c r="AP525">
        <f t="shared" si="198"/>
        <v>1</v>
      </c>
      <c r="AQ525" s="401">
        <f>'Lab test'!AZ518</f>
        <v>1909</v>
      </c>
      <c r="AR525" t="str">
        <f>'Lab test'!AC518</f>
        <v>Tubes</v>
      </c>
      <c r="AS525" t="str">
        <f>'Lab test'!T518</f>
        <v>Steel</v>
      </c>
      <c r="AX525" t="e">
        <f t="shared" si="205"/>
        <v>#N/A</v>
      </c>
      <c r="AY525" t="e">
        <f t="shared" si="199"/>
        <v>#N/A</v>
      </c>
      <c r="AZ525" t="e">
        <f t="shared" si="202"/>
        <v>#N/A</v>
      </c>
      <c r="BA525" t="e">
        <f t="shared" si="202"/>
        <v>#N/A</v>
      </c>
      <c r="BB525" t="e">
        <f t="shared" si="202"/>
        <v>#N/A</v>
      </c>
      <c r="BC525" t="e">
        <f t="shared" si="202"/>
        <v>#N/A</v>
      </c>
      <c r="BD525" t="e">
        <f t="shared" si="202"/>
        <v>#N/A</v>
      </c>
      <c r="BG525" t="e">
        <f t="shared" si="206"/>
        <v>#N/A</v>
      </c>
      <c r="BH525" t="e">
        <f t="shared" si="200"/>
        <v>#N/A</v>
      </c>
      <c r="BI525" t="e">
        <f t="shared" si="203"/>
        <v>#N/A</v>
      </c>
      <c r="BJ525" t="e">
        <f t="shared" si="203"/>
        <v>#N/A</v>
      </c>
      <c r="BK525" t="e">
        <f t="shared" si="203"/>
        <v>#N/A</v>
      </c>
      <c r="BL525" t="e">
        <f t="shared" si="203"/>
        <v>#N/A</v>
      </c>
      <c r="BM525" t="e">
        <f t="shared" si="203"/>
        <v>#N/A</v>
      </c>
      <c r="BP525" t="e">
        <f t="shared" si="207"/>
        <v>#N/A</v>
      </c>
      <c r="BQ525" t="e">
        <f t="shared" si="201"/>
        <v>#N/A</v>
      </c>
      <c r="BR525" t="e">
        <f t="shared" si="204"/>
        <v>#N/A</v>
      </c>
      <c r="BS525" t="e">
        <f t="shared" si="204"/>
        <v>#N/A</v>
      </c>
      <c r="BT525" t="e">
        <f t="shared" si="204"/>
        <v>#N/A</v>
      </c>
      <c r="BU525" t="e">
        <f t="shared" si="204"/>
        <v>#N/A</v>
      </c>
      <c r="BV525" t="e">
        <f t="shared" si="204"/>
        <v>#N/A</v>
      </c>
      <c r="BY525" t="e">
        <f t="shared" si="208"/>
        <v>#N/A</v>
      </c>
      <c r="BZ525" t="e">
        <v>#N/A</v>
      </c>
      <c r="CA525" t="e" cm="1">
        <f t="array" ref="CA525">IF(ISNUMBER(BZ525),AF525/COUNT(IF(ISNUMBER(_xlfn.ANCHORARRAY($BZ$11)),_xlfn.ANCHORARRAY($BZ$11))),NA())</f>
        <v>#N/A</v>
      </c>
      <c r="CB525" t="e">
        <f t="shared" si="209"/>
        <v>#N/A</v>
      </c>
      <c r="CD525" t="e">
        <f t="shared" si="210"/>
        <v>#N/A</v>
      </c>
      <c r="CE525" t="e">
        <f t="shared" si="211"/>
        <v>#N/A</v>
      </c>
      <c r="CG525" t="e">
        <v>#N/A</v>
      </c>
      <c r="CH525" t="e">
        <v>#N/A</v>
      </c>
      <c r="CL525" t="e">
        <f t="shared" si="212"/>
        <v>#N/A</v>
      </c>
      <c r="CM525" t="e">
        <v>#N/A</v>
      </c>
      <c r="CN525" t="e" cm="1">
        <f t="array" ref="CN525">IF(ISNUMBER(CM525),AF525/COUNT(IF(ISNUMBER(_xlfn.ANCHORARRAY($CM$11)),_xlfn.ANCHORARRAY($CM$11))),NA())</f>
        <v>#N/A</v>
      </c>
      <c r="CO525" t="e">
        <f t="shared" si="213"/>
        <v>#N/A</v>
      </c>
      <c r="CQ525" t="e">
        <f t="shared" si="214"/>
        <v>#N/A</v>
      </c>
      <c r="CR525" t="e">
        <f t="shared" si="215"/>
        <v>#N/A</v>
      </c>
      <c r="CT525" t="e">
        <v>#N/A</v>
      </c>
      <c r="CU525" t="e">
        <v>#N/A</v>
      </c>
      <c r="CY525" t="e">
        <f t="shared" si="216"/>
        <v>#N/A</v>
      </c>
      <c r="CZ525" t="e">
        <v>#N/A</v>
      </c>
      <c r="DA525" t="e" cm="1">
        <f t="array" ref="DA525">IF(ISNUMBER(CZ525),AF525/COUNT(IF(ISNUMBER(_xlfn.ANCHORARRAY($CZ$11)),_xlfn.ANCHORARRAY($CZ$11))),NA())</f>
        <v>#N/A</v>
      </c>
      <c r="DB525" t="e">
        <f t="shared" si="217"/>
        <v>#N/A</v>
      </c>
      <c r="DD525" t="e">
        <f t="shared" si="218"/>
        <v>#N/A</v>
      </c>
      <c r="DE525" t="e">
        <f t="shared" si="219"/>
        <v>#N/A</v>
      </c>
      <c r="DG525" t="e">
        <v>#N/A</v>
      </c>
      <c r="DH525" t="e">
        <v>#N/A</v>
      </c>
    </row>
    <row r="526" spans="32:112">
      <c r="AF526">
        <v>516</v>
      </c>
      <c r="AG526" s="401">
        <f>'Lab test'!N519</f>
        <v>76.2</v>
      </c>
      <c r="AH526" s="401">
        <f>'Lab test'!M519</f>
        <v>2.032</v>
      </c>
      <c r="AI526">
        <f>IF('Lab test'!O519&gt;0,'Lab test'!O519,NA())</f>
        <v>101.6</v>
      </c>
      <c r="AJ526">
        <f>'Lab test'!Q519</f>
        <v>37.5</v>
      </c>
      <c r="AK526" s="401">
        <f>IF('Lab test'!V519&gt;0,'Lab test'!V519,NA())</f>
        <v>201326.91296051617</v>
      </c>
      <c r="AL526" s="7">
        <f>IF(MAX('Lab test'!W519,'Lab test'!X519)&gt;0,MAX('Lab test'!W519,'Lab test'!X519),NA())</f>
        <v>282.68504901990281</v>
      </c>
      <c r="AM526" s="401">
        <f>IF('Lab test'!P519&gt;0,'Lab test'!P519,NA())</f>
        <v>0.21773242158072692</v>
      </c>
      <c r="AN526" s="401">
        <f>IF('Lab test'!AU519&gt;0,'Lab test'!AU519,NA())</f>
        <v>1.1219512195121952</v>
      </c>
      <c r="AO526" s="401">
        <f>IF('Lab test'!AT519&gt;0,'Lab test'!AT519,NA())</f>
        <v>9.7608484870567044E-2</v>
      </c>
      <c r="AP526">
        <f t="shared" si="198"/>
        <v>1</v>
      </c>
      <c r="AQ526" s="401">
        <f>'Lab test'!AZ519</f>
        <v>1909</v>
      </c>
      <c r="AR526" t="str">
        <f>'Lab test'!AC519</f>
        <v>Tubes</v>
      </c>
      <c r="AS526" t="str">
        <f>'Lab test'!T519</f>
        <v>Steel</v>
      </c>
      <c r="AX526" t="e">
        <f t="shared" si="205"/>
        <v>#N/A</v>
      </c>
      <c r="AY526" t="e">
        <f t="shared" si="199"/>
        <v>#N/A</v>
      </c>
      <c r="AZ526" t="e">
        <f t="shared" si="202"/>
        <v>#N/A</v>
      </c>
      <c r="BA526" t="e">
        <f t="shared" si="202"/>
        <v>#N/A</v>
      </c>
      <c r="BB526" t="e">
        <f t="shared" si="202"/>
        <v>#N/A</v>
      </c>
      <c r="BC526" t="e">
        <f t="shared" si="202"/>
        <v>#N/A</v>
      </c>
      <c r="BD526" t="e">
        <f t="shared" si="202"/>
        <v>#N/A</v>
      </c>
      <c r="BG526" t="e">
        <f t="shared" si="206"/>
        <v>#N/A</v>
      </c>
      <c r="BH526" t="e">
        <f t="shared" si="200"/>
        <v>#N/A</v>
      </c>
      <c r="BI526" t="e">
        <f t="shared" si="203"/>
        <v>#N/A</v>
      </c>
      <c r="BJ526" t="e">
        <f t="shared" si="203"/>
        <v>#N/A</v>
      </c>
      <c r="BK526" t="e">
        <f t="shared" si="203"/>
        <v>#N/A</v>
      </c>
      <c r="BL526" t="e">
        <f t="shared" si="203"/>
        <v>#N/A</v>
      </c>
      <c r="BM526" t="e">
        <f t="shared" si="203"/>
        <v>#N/A</v>
      </c>
      <c r="BP526" t="e">
        <f t="shared" si="207"/>
        <v>#N/A</v>
      </c>
      <c r="BQ526" t="e">
        <f t="shared" si="201"/>
        <v>#N/A</v>
      </c>
      <c r="BR526" t="e">
        <f t="shared" si="204"/>
        <v>#N/A</v>
      </c>
      <c r="BS526" t="e">
        <f t="shared" si="204"/>
        <v>#N/A</v>
      </c>
      <c r="BT526" t="e">
        <f t="shared" si="204"/>
        <v>#N/A</v>
      </c>
      <c r="BU526" t="e">
        <f t="shared" si="204"/>
        <v>#N/A</v>
      </c>
      <c r="BV526" t="e">
        <f t="shared" si="204"/>
        <v>#N/A</v>
      </c>
      <c r="BY526" t="e">
        <f t="shared" si="208"/>
        <v>#N/A</v>
      </c>
      <c r="BZ526" t="e">
        <v>#N/A</v>
      </c>
      <c r="CA526" t="e" cm="1">
        <f t="array" ref="CA526">IF(ISNUMBER(BZ526),AF526/COUNT(IF(ISNUMBER(_xlfn.ANCHORARRAY($BZ$11)),_xlfn.ANCHORARRAY($BZ$11))),NA())</f>
        <v>#N/A</v>
      </c>
      <c r="CB526" t="e">
        <f t="shared" si="209"/>
        <v>#N/A</v>
      </c>
      <c r="CD526" t="e">
        <f t="shared" si="210"/>
        <v>#N/A</v>
      </c>
      <c r="CE526" t="e">
        <f t="shared" si="211"/>
        <v>#N/A</v>
      </c>
      <c r="CG526" t="e">
        <v>#N/A</v>
      </c>
      <c r="CH526" t="e">
        <v>#N/A</v>
      </c>
      <c r="CL526" t="e">
        <f t="shared" si="212"/>
        <v>#N/A</v>
      </c>
      <c r="CM526" t="e">
        <v>#N/A</v>
      </c>
      <c r="CN526" t="e" cm="1">
        <f t="array" ref="CN526">IF(ISNUMBER(CM526),AF526/COUNT(IF(ISNUMBER(_xlfn.ANCHORARRAY($CM$11)),_xlfn.ANCHORARRAY($CM$11))),NA())</f>
        <v>#N/A</v>
      </c>
      <c r="CO526" t="e">
        <f t="shared" si="213"/>
        <v>#N/A</v>
      </c>
      <c r="CQ526" t="e">
        <f t="shared" si="214"/>
        <v>#N/A</v>
      </c>
      <c r="CR526" t="e">
        <f t="shared" si="215"/>
        <v>#N/A</v>
      </c>
      <c r="CT526" t="e">
        <v>#N/A</v>
      </c>
      <c r="CU526" t="e">
        <v>#N/A</v>
      </c>
      <c r="CY526" t="e">
        <f t="shared" si="216"/>
        <v>#N/A</v>
      </c>
      <c r="CZ526" t="e">
        <v>#N/A</v>
      </c>
      <c r="DA526" t="e" cm="1">
        <f t="array" ref="DA526">IF(ISNUMBER(CZ526),AF526/COUNT(IF(ISNUMBER(_xlfn.ANCHORARRAY($CZ$11)),_xlfn.ANCHORARRAY($CZ$11))),NA())</f>
        <v>#N/A</v>
      </c>
      <c r="DB526" t="e">
        <f t="shared" si="217"/>
        <v>#N/A</v>
      </c>
      <c r="DD526" t="e">
        <f t="shared" si="218"/>
        <v>#N/A</v>
      </c>
      <c r="DE526" t="e">
        <f t="shared" si="219"/>
        <v>#N/A</v>
      </c>
      <c r="DG526" t="e">
        <v>#N/A</v>
      </c>
      <c r="DH526" t="e">
        <v>#N/A</v>
      </c>
    </row>
    <row r="527" spans="32:112">
      <c r="AF527">
        <v>517</v>
      </c>
      <c r="AG527" s="401">
        <f>'Lab test'!N520</f>
        <v>76.2</v>
      </c>
      <c r="AH527" s="401">
        <f>'Lab test'!M520</f>
        <v>2.032</v>
      </c>
      <c r="AI527">
        <f>IF('Lab test'!O520&gt;0,'Lab test'!O520,NA())</f>
        <v>152.4</v>
      </c>
      <c r="AJ527">
        <f>'Lab test'!Q520</f>
        <v>37.5</v>
      </c>
      <c r="AK527" s="401">
        <f>IF('Lab test'!V520&gt;0,'Lab test'!V520,NA())</f>
        <v>201326.91296051617</v>
      </c>
      <c r="AL527" s="7">
        <f>IF(MAX('Lab test'!W520,'Lab test'!X520)&gt;0,MAX('Lab test'!W520,'Lab test'!X520),NA())</f>
        <v>246.83231109542734</v>
      </c>
      <c r="AM527" s="401">
        <f>IF('Lab test'!P520&gt;0,'Lab test'!P520,NA())</f>
        <v>0.32659863237109038</v>
      </c>
      <c r="AN527" s="401">
        <f>IF('Lab test'!AU520&gt;0,'Lab test'!AU520,NA())</f>
        <v>1.240223463687151</v>
      </c>
      <c r="AO527" s="401">
        <f>IF('Lab test'!AT520&gt;0,'Lab test'!AT520,NA())</f>
        <v>9.421340713593862E-2</v>
      </c>
      <c r="AP527">
        <f t="shared" si="198"/>
        <v>1</v>
      </c>
      <c r="AQ527" s="401">
        <f>'Lab test'!AZ520</f>
        <v>1909</v>
      </c>
      <c r="AR527" t="str">
        <f>'Lab test'!AC520</f>
        <v>Tubes</v>
      </c>
      <c r="AS527" t="str">
        <f>'Lab test'!T520</f>
        <v>Steel</v>
      </c>
      <c r="AX527" t="e">
        <f t="shared" si="205"/>
        <v>#N/A</v>
      </c>
      <c r="AY527" t="e">
        <f t="shared" si="199"/>
        <v>#N/A</v>
      </c>
      <c r="AZ527" t="e">
        <f t="shared" si="202"/>
        <v>#N/A</v>
      </c>
      <c r="BA527" t="e">
        <f t="shared" si="202"/>
        <v>#N/A</v>
      </c>
      <c r="BB527" t="e">
        <f t="shared" si="202"/>
        <v>#N/A</v>
      </c>
      <c r="BC527" t="e">
        <f t="shared" si="202"/>
        <v>#N/A</v>
      </c>
      <c r="BD527" t="e">
        <f t="shared" si="202"/>
        <v>#N/A</v>
      </c>
      <c r="BG527" t="e">
        <f t="shared" si="206"/>
        <v>#N/A</v>
      </c>
      <c r="BH527" t="e">
        <f t="shared" si="200"/>
        <v>#N/A</v>
      </c>
      <c r="BI527" t="e">
        <f t="shared" si="203"/>
        <v>#N/A</v>
      </c>
      <c r="BJ527" t="e">
        <f t="shared" si="203"/>
        <v>#N/A</v>
      </c>
      <c r="BK527" t="e">
        <f t="shared" si="203"/>
        <v>#N/A</v>
      </c>
      <c r="BL527" t="e">
        <f t="shared" si="203"/>
        <v>#N/A</v>
      </c>
      <c r="BM527" t="e">
        <f t="shared" si="203"/>
        <v>#N/A</v>
      </c>
      <c r="BP527" t="e">
        <f t="shared" si="207"/>
        <v>#N/A</v>
      </c>
      <c r="BQ527" t="e">
        <f t="shared" si="201"/>
        <v>#N/A</v>
      </c>
      <c r="BR527" t="e">
        <f t="shared" si="204"/>
        <v>#N/A</v>
      </c>
      <c r="BS527" t="e">
        <f t="shared" si="204"/>
        <v>#N/A</v>
      </c>
      <c r="BT527" t="e">
        <f t="shared" si="204"/>
        <v>#N/A</v>
      </c>
      <c r="BU527" t="e">
        <f t="shared" si="204"/>
        <v>#N/A</v>
      </c>
      <c r="BV527" t="e">
        <f t="shared" si="204"/>
        <v>#N/A</v>
      </c>
      <c r="BY527" t="e">
        <f t="shared" si="208"/>
        <v>#N/A</v>
      </c>
      <c r="BZ527" t="e">
        <v>#N/A</v>
      </c>
      <c r="CA527" t="e" cm="1">
        <f t="array" ref="CA527">IF(ISNUMBER(BZ527),AF527/COUNT(IF(ISNUMBER(_xlfn.ANCHORARRAY($BZ$11)),_xlfn.ANCHORARRAY($BZ$11))),NA())</f>
        <v>#N/A</v>
      </c>
      <c r="CB527" t="e">
        <f t="shared" si="209"/>
        <v>#N/A</v>
      </c>
      <c r="CD527" t="e">
        <f t="shared" si="210"/>
        <v>#N/A</v>
      </c>
      <c r="CE527" t="e">
        <f t="shared" si="211"/>
        <v>#N/A</v>
      </c>
      <c r="CG527" t="e">
        <v>#N/A</v>
      </c>
      <c r="CH527" t="e">
        <v>#N/A</v>
      </c>
      <c r="CL527" t="e">
        <f t="shared" si="212"/>
        <v>#N/A</v>
      </c>
      <c r="CM527" t="e">
        <v>#N/A</v>
      </c>
      <c r="CN527" t="e" cm="1">
        <f t="array" ref="CN527">IF(ISNUMBER(CM527),AF527/COUNT(IF(ISNUMBER(_xlfn.ANCHORARRAY($CM$11)),_xlfn.ANCHORARRAY($CM$11))),NA())</f>
        <v>#N/A</v>
      </c>
      <c r="CO527" t="e">
        <f t="shared" si="213"/>
        <v>#N/A</v>
      </c>
      <c r="CQ527" t="e">
        <f t="shared" si="214"/>
        <v>#N/A</v>
      </c>
      <c r="CR527" t="e">
        <f t="shared" si="215"/>
        <v>#N/A</v>
      </c>
      <c r="CT527" t="e">
        <v>#N/A</v>
      </c>
      <c r="CU527" t="e">
        <v>#N/A</v>
      </c>
      <c r="CY527" t="e">
        <f t="shared" si="216"/>
        <v>#N/A</v>
      </c>
      <c r="CZ527" t="e">
        <v>#N/A</v>
      </c>
      <c r="DA527" t="e" cm="1">
        <f t="array" ref="DA527">IF(ISNUMBER(CZ527),AF527/COUNT(IF(ISNUMBER(_xlfn.ANCHORARRAY($CZ$11)),_xlfn.ANCHORARRAY($CZ$11))),NA())</f>
        <v>#N/A</v>
      </c>
      <c r="DB527" t="e">
        <f t="shared" si="217"/>
        <v>#N/A</v>
      </c>
      <c r="DD527" t="e">
        <f t="shared" si="218"/>
        <v>#N/A</v>
      </c>
      <c r="DE527" t="e">
        <f t="shared" si="219"/>
        <v>#N/A</v>
      </c>
      <c r="DG527" t="e">
        <v>#N/A</v>
      </c>
      <c r="DH527" t="e">
        <v>#N/A</v>
      </c>
    </row>
    <row r="528" spans="32:112">
      <c r="AF528">
        <v>518</v>
      </c>
      <c r="AG528" s="401">
        <f>'Lab test'!N521</f>
        <v>12.7</v>
      </c>
      <c r="AH528" s="401">
        <f>'Lab test'!M521</f>
        <v>1.651</v>
      </c>
      <c r="AI528" t="e">
        <f>IF('Lab test'!O521&gt;0,'Lab test'!O521,NA())</f>
        <v>#N/A</v>
      </c>
      <c r="AJ528">
        <f>'Lab test'!Q521</f>
        <v>7.75</v>
      </c>
      <c r="AK528" s="401">
        <f>IF('Lab test'!V521&gt;0,'Lab test'!V521,NA())</f>
        <v>205463.766944</v>
      </c>
      <c r="AL528" s="7">
        <f>IF(MAX('Lab test'!W521,'Lab test'!X521)&gt;0,MAX('Lab test'!W521,'Lab test'!X521),NA())</f>
        <v>619.04245331205118</v>
      </c>
      <c r="AM528" s="401" t="e">
        <f>IF('Lab test'!P521&gt;0,'Lab test'!P521,NA())</f>
        <v>#N/A</v>
      </c>
      <c r="AN528" s="401">
        <f>IF('Lab test'!AU521&gt;0,'Lab test'!AU521,NA())</f>
        <v>1.2529999999999999</v>
      </c>
      <c r="AO528" s="401">
        <f>IF('Lab test'!AT521&gt;0,'Lab test'!AT521,NA())</f>
        <v>4.8341406754178563E-2</v>
      </c>
      <c r="AP528">
        <f t="shared" si="198"/>
        <v>1</v>
      </c>
      <c r="AQ528" s="401">
        <f>'Lab test'!AZ521</f>
        <v>1938</v>
      </c>
      <c r="AR528" t="str">
        <f>'Lab test'!AC521</f>
        <v>Tubes</v>
      </c>
      <c r="AS528" t="str">
        <f>'Lab test'!T521</f>
        <v>Steel</v>
      </c>
      <c r="AX528" t="e">
        <f t="shared" si="205"/>
        <v>#N/A</v>
      </c>
      <c r="AY528" t="e">
        <f t="shared" si="199"/>
        <v>#N/A</v>
      </c>
      <c r="AZ528" t="e">
        <f t="shared" si="202"/>
        <v>#N/A</v>
      </c>
      <c r="BA528" t="e">
        <f t="shared" si="202"/>
        <v>#N/A</v>
      </c>
      <c r="BB528" t="e">
        <f t="shared" si="202"/>
        <v>#N/A</v>
      </c>
      <c r="BC528" t="e">
        <f t="shared" si="202"/>
        <v>#N/A</v>
      </c>
      <c r="BD528" t="e">
        <f t="shared" si="202"/>
        <v>#N/A</v>
      </c>
      <c r="BG528" t="e">
        <f t="shared" si="206"/>
        <v>#N/A</v>
      </c>
      <c r="BH528" t="e">
        <f t="shared" si="200"/>
        <v>#N/A</v>
      </c>
      <c r="BI528" t="e">
        <f t="shared" si="203"/>
        <v>#N/A</v>
      </c>
      <c r="BJ528" t="e">
        <f t="shared" si="203"/>
        <v>#N/A</v>
      </c>
      <c r="BK528" t="e">
        <f t="shared" si="203"/>
        <v>#N/A</v>
      </c>
      <c r="BL528" t="e">
        <f t="shared" si="203"/>
        <v>#N/A</v>
      </c>
      <c r="BM528" t="e">
        <f t="shared" si="203"/>
        <v>#N/A</v>
      </c>
      <c r="BP528" t="e">
        <f t="shared" si="207"/>
        <v>#N/A</v>
      </c>
      <c r="BQ528" t="e">
        <f t="shared" si="201"/>
        <v>#N/A</v>
      </c>
      <c r="BR528" t="e">
        <f t="shared" si="204"/>
        <v>#N/A</v>
      </c>
      <c r="BS528" t="e">
        <f t="shared" si="204"/>
        <v>#N/A</v>
      </c>
      <c r="BT528" t="e">
        <f t="shared" si="204"/>
        <v>#N/A</v>
      </c>
      <c r="BU528" t="e">
        <f t="shared" si="204"/>
        <v>#N/A</v>
      </c>
      <c r="BV528" t="e">
        <f t="shared" si="204"/>
        <v>#N/A</v>
      </c>
      <c r="BY528" t="e">
        <f t="shared" si="208"/>
        <v>#N/A</v>
      </c>
      <c r="BZ528" t="e">
        <v>#N/A</v>
      </c>
      <c r="CA528" t="e" cm="1">
        <f t="array" ref="CA528">IF(ISNUMBER(BZ528),AF528/COUNT(IF(ISNUMBER(_xlfn.ANCHORARRAY($BZ$11)),_xlfn.ANCHORARRAY($BZ$11))),NA())</f>
        <v>#N/A</v>
      </c>
      <c r="CB528" t="e">
        <f t="shared" si="209"/>
        <v>#N/A</v>
      </c>
      <c r="CD528" t="e">
        <f t="shared" si="210"/>
        <v>#N/A</v>
      </c>
      <c r="CE528" t="e">
        <f t="shared" si="211"/>
        <v>#N/A</v>
      </c>
      <c r="CG528" t="e">
        <v>#N/A</v>
      </c>
      <c r="CH528" t="e">
        <v>#N/A</v>
      </c>
      <c r="CL528" t="e">
        <f t="shared" si="212"/>
        <v>#N/A</v>
      </c>
      <c r="CM528" t="e">
        <v>#N/A</v>
      </c>
      <c r="CN528" t="e" cm="1">
        <f t="array" ref="CN528">IF(ISNUMBER(CM528),AF528/COUNT(IF(ISNUMBER(_xlfn.ANCHORARRAY($CM$11)),_xlfn.ANCHORARRAY($CM$11))),NA())</f>
        <v>#N/A</v>
      </c>
      <c r="CO528" t="e">
        <f t="shared" si="213"/>
        <v>#N/A</v>
      </c>
      <c r="CQ528" t="e">
        <f t="shared" si="214"/>
        <v>#N/A</v>
      </c>
      <c r="CR528" t="e">
        <f t="shared" si="215"/>
        <v>#N/A</v>
      </c>
      <c r="CT528" t="e">
        <v>#N/A</v>
      </c>
      <c r="CU528" t="e">
        <v>#N/A</v>
      </c>
      <c r="CY528" t="e">
        <f t="shared" si="216"/>
        <v>#N/A</v>
      </c>
      <c r="CZ528" t="e">
        <v>#N/A</v>
      </c>
      <c r="DA528" t="e" cm="1">
        <f t="array" ref="DA528">IF(ISNUMBER(CZ528),AF528/COUNT(IF(ISNUMBER(_xlfn.ANCHORARRAY($CZ$11)),_xlfn.ANCHORARRAY($CZ$11))),NA())</f>
        <v>#N/A</v>
      </c>
      <c r="DB528" t="e">
        <f t="shared" si="217"/>
        <v>#N/A</v>
      </c>
      <c r="DD528" t="e">
        <f t="shared" si="218"/>
        <v>#N/A</v>
      </c>
      <c r="DE528" t="e">
        <f t="shared" si="219"/>
        <v>#N/A</v>
      </c>
      <c r="DG528" t="e">
        <v>#N/A</v>
      </c>
      <c r="DH528" t="e">
        <v>#N/A</v>
      </c>
    </row>
    <row r="529" spans="32:112">
      <c r="AF529">
        <v>519</v>
      </c>
      <c r="AG529" s="401">
        <f>'Lab test'!N522</f>
        <v>12.7</v>
      </c>
      <c r="AH529" s="401">
        <f>'Lab test'!M522</f>
        <v>1.651</v>
      </c>
      <c r="AI529" t="e">
        <f>IF('Lab test'!O522&gt;0,'Lab test'!O522,NA())</f>
        <v>#N/A</v>
      </c>
      <c r="AJ529">
        <f>'Lab test'!Q522</f>
        <v>7.8</v>
      </c>
      <c r="AK529" s="401">
        <f>IF('Lab test'!V522&gt;0,'Lab test'!V522,NA())</f>
        <v>205463.766944</v>
      </c>
      <c r="AL529" s="7">
        <f>IF(MAX('Lab test'!W522,'Lab test'!X522)&gt;0,MAX('Lab test'!W522,'Lab test'!X522),NA())</f>
        <v>619.26658465552907</v>
      </c>
      <c r="AM529" s="401" t="e">
        <f>IF('Lab test'!P522&gt;0,'Lab test'!P522,NA())</f>
        <v>#N/A</v>
      </c>
      <c r="AN529" s="401">
        <f>IF('Lab test'!AU522&gt;0,'Lab test'!AU522,NA())</f>
        <v>1.2569999999999999</v>
      </c>
      <c r="AO529" s="401">
        <f>IF('Lab test'!AT522&gt;0,'Lab test'!AT522,NA())</f>
        <v>4.8826276261923693E-2</v>
      </c>
      <c r="AP529">
        <f t="shared" si="198"/>
        <v>1</v>
      </c>
      <c r="AQ529" s="401">
        <f>'Lab test'!AZ522</f>
        <v>1938</v>
      </c>
      <c r="AR529" t="str">
        <f>'Lab test'!AC522</f>
        <v>Tubes</v>
      </c>
      <c r="AS529" t="str">
        <f>'Lab test'!T522</f>
        <v>Steel</v>
      </c>
      <c r="AX529" t="e">
        <f t="shared" si="205"/>
        <v>#N/A</v>
      </c>
      <c r="AY529" t="e">
        <f t="shared" si="199"/>
        <v>#N/A</v>
      </c>
      <c r="AZ529" t="e">
        <f t="shared" si="202"/>
        <v>#N/A</v>
      </c>
      <c r="BA529" t="e">
        <f t="shared" si="202"/>
        <v>#N/A</v>
      </c>
      <c r="BB529" t="e">
        <f t="shared" si="202"/>
        <v>#N/A</v>
      </c>
      <c r="BC529" t="e">
        <f t="shared" si="202"/>
        <v>#N/A</v>
      </c>
      <c r="BD529" t="e">
        <f t="shared" si="202"/>
        <v>#N/A</v>
      </c>
      <c r="BG529" t="e">
        <f t="shared" si="206"/>
        <v>#N/A</v>
      </c>
      <c r="BH529" t="e">
        <f t="shared" si="200"/>
        <v>#N/A</v>
      </c>
      <c r="BI529" t="e">
        <f t="shared" si="203"/>
        <v>#N/A</v>
      </c>
      <c r="BJ529" t="e">
        <f t="shared" si="203"/>
        <v>#N/A</v>
      </c>
      <c r="BK529" t="e">
        <f t="shared" si="203"/>
        <v>#N/A</v>
      </c>
      <c r="BL529" t="e">
        <f t="shared" si="203"/>
        <v>#N/A</v>
      </c>
      <c r="BM529" t="e">
        <f t="shared" si="203"/>
        <v>#N/A</v>
      </c>
      <c r="BP529" t="e">
        <f t="shared" si="207"/>
        <v>#N/A</v>
      </c>
      <c r="BQ529" t="e">
        <f t="shared" si="201"/>
        <v>#N/A</v>
      </c>
      <c r="BR529" t="e">
        <f t="shared" si="204"/>
        <v>#N/A</v>
      </c>
      <c r="BS529" t="e">
        <f t="shared" si="204"/>
        <v>#N/A</v>
      </c>
      <c r="BT529" t="e">
        <f t="shared" si="204"/>
        <v>#N/A</v>
      </c>
      <c r="BU529" t="e">
        <f t="shared" si="204"/>
        <v>#N/A</v>
      </c>
      <c r="BV529" t="e">
        <f t="shared" si="204"/>
        <v>#N/A</v>
      </c>
      <c r="BY529" t="e">
        <f t="shared" si="208"/>
        <v>#N/A</v>
      </c>
      <c r="BZ529" t="e">
        <v>#N/A</v>
      </c>
      <c r="CA529" t="e" cm="1">
        <f t="array" ref="CA529">IF(ISNUMBER(BZ529),AF529/COUNT(IF(ISNUMBER(_xlfn.ANCHORARRAY($BZ$11)),_xlfn.ANCHORARRAY($BZ$11))),NA())</f>
        <v>#N/A</v>
      </c>
      <c r="CB529" t="e">
        <f t="shared" si="209"/>
        <v>#N/A</v>
      </c>
      <c r="CD529" t="e">
        <f t="shared" si="210"/>
        <v>#N/A</v>
      </c>
      <c r="CE529" t="e">
        <f t="shared" si="211"/>
        <v>#N/A</v>
      </c>
      <c r="CG529" t="e">
        <v>#N/A</v>
      </c>
      <c r="CH529" t="e">
        <v>#N/A</v>
      </c>
      <c r="CL529" t="e">
        <f t="shared" si="212"/>
        <v>#N/A</v>
      </c>
      <c r="CM529" t="e">
        <v>#N/A</v>
      </c>
      <c r="CN529" t="e" cm="1">
        <f t="array" ref="CN529">IF(ISNUMBER(CM529),AF529/COUNT(IF(ISNUMBER(_xlfn.ANCHORARRAY($CM$11)),_xlfn.ANCHORARRAY($CM$11))),NA())</f>
        <v>#N/A</v>
      </c>
      <c r="CO529" t="e">
        <f t="shared" si="213"/>
        <v>#N/A</v>
      </c>
      <c r="CQ529" t="e">
        <f t="shared" si="214"/>
        <v>#N/A</v>
      </c>
      <c r="CR529" t="e">
        <f t="shared" si="215"/>
        <v>#N/A</v>
      </c>
      <c r="CT529" t="e">
        <v>#N/A</v>
      </c>
      <c r="CU529" t="e">
        <v>#N/A</v>
      </c>
      <c r="CY529" t="e">
        <f t="shared" si="216"/>
        <v>#N/A</v>
      </c>
      <c r="CZ529" t="e">
        <v>#N/A</v>
      </c>
      <c r="DA529" t="e" cm="1">
        <f t="array" ref="DA529">IF(ISNUMBER(CZ529),AF529/COUNT(IF(ISNUMBER(_xlfn.ANCHORARRAY($CZ$11)),_xlfn.ANCHORARRAY($CZ$11))),NA())</f>
        <v>#N/A</v>
      </c>
      <c r="DB529" t="e">
        <f t="shared" si="217"/>
        <v>#N/A</v>
      </c>
      <c r="DD529" t="e">
        <f t="shared" si="218"/>
        <v>#N/A</v>
      </c>
      <c r="DE529" t="e">
        <f t="shared" si="219"/>
        <v>#N/A</v>
      </c>
      <c r="DG529" t="e">
        <v>#N/A</v>
      </c>
      <c r="DH529" t="e">
        <v>#N/A</v>
      </c>
    </row>
    <row r="530" spans="32:112">
      <c r="AF530">
        <v>520</v>
      </c>
      <c r="AG530" s="401">
        <f>'Lab test'!N523</f>
        <v>19.049999999999997</v>
      </c>
      <c r="AH530" s="401">
        <f>'Lab test'!M523</f>
        <v>1.4732000000000001</v>
      </c>
      <c r="AI530" t="e">
        <f>IF('Lab test'!O523&gt;0,'Lab test'!O523,NA())</f>
        <v>#N/A</v>
      </c>
      <c r="AJ530">
        <f>'Lab test'!Q523</f>
        <v>12</v>
      </c>
      <c r="AK530" s="401">
        <f>IF('Lab test'!V523&gt;0,'Lab test'!V523,NA())</f>
        <v>205463.766944</v>
      </c>
      <c r="AL530" s="7">
        <f>IF(MAX('Lab test'!W523,'Lab test'!X523)&gt;0,MAX('Lab test'!W523,'Lab test'!X523),NA())</f>
        <v>665.78449153127758</v>
      </c>
      <c r="AM530" s="401" t="e">
        <f>IF('Lab test'!P523&gt;0,'Lab test'!P523,NA())</f>
        <v>#N/A</v>
      </c>
      <c r="AN530" s="401">
        <f>IF('Lab test'!AU523&gt;0,'Lab test'!AU523,NA())</f>
        <v>1.135</v>
      </c>
      <c r="AO530" s="401">
        <f>IF('Lab test'!AT523&gt;0,'Lab test'!AT523,NA())</f>
        <v>7.2921712588496793E-2</v>
      </c>
      <c r="AP530">
        <f t="shared" si="198"/>
        <v>1</v>
      </c>
      <c r="AQ530" s="401">
        <f>'Lab test'!AZ523</f>
        <v>1938</v>
      </c>
      <c r="AR530" t="str">
        <f>'Lab test'!AC523</f>
        <v>Tubes</v>
      </c>
      <c r="AS530" t="str">
        <f>'Lab test'!T523</f>
        <v>Steel</v>
      </c>
      <c r="AX530" t="e">
        <f t="shared" si="205"/>
        <v>#N/A</v>
      </c>
      <c r="AY530" t="e">
        <f t="shared" si="199"/>
        <v>#N/A</v>
      </c>
      <c r="AZ530" t="e">
        <f t="shared" si="202"/>
        <v>#N/A</v>
      </c>
      <c r="BA530" t="e">
        <f t="shared" si="202"/>
        <v>#N/A</v>
      </c>
      <c r="BB530" t="e">
        <f t="shared" si="202"/>
        <v>#N/A</v>
      </c>
      <c r="BC530" t="e">
        <f t="shared" si="202"/>
        <v>#N/A</v>
      </c>
      <c r="BD530" t="e">
        <f t="shared" si="202"/>
        <v>#N/A</v>
      </c>
      <c r="BG530" t="e">
        <f t="shared" si="206"/>
        <v>#N/A</v>
      </c>
      <c r="BH530" t="e">
        <f t="shared" si="200"/>
        <v>#N/A</v>
      </c>
      <c r="BI530" t="e">
        <f t="shared" si="203"/>
        <v>#N/A</v>
      </c>
      <c r="BJ530" t="e">
        <f t="shared" si="203"/>
        <v>#N/A</v>
      </c>
      <c r="BK530" t="e">
        <f t="shared" si="203"/>
        <v>#N/A</v>
      </c>
      <c r="BL530" t="e">
        <f t="shared" si="203"/>
        <v>#N/A</v>
      </c>
      <c r="BM530" t="e">
        <f t="shared" si="203"/>
        <v>#N/A</v>
      </c>
      <c r="BP530" t="e">
        <f t="shared" si="207"/>
        <v>#N/A</v>
      </c>
      <c r="BQ530" t="e">
        <f t="shared" si="201"/>
        <v>#N/A</v>
      </c>
      <c r="BR530" t="e">
        <f t="shared" si="204"/>
        <v>#N/A</v>
      </c>
      <c r="BS530" t="e">
        <f t="shared" si="204"/>
        <v>#N/A</v>
      </c>
      <c r="BT530" t="e">
        <f t="shared" si="204"/>
        <v>#N/A</v>
      </c>
      <c r="BU530" t="e">
        <f t="shared" si="204"/>
        <v>#N/A</v>
      </c>
      <c r="BV530" t="e">
        <f t="shared" si="204"/>
        <v>#N/A</v>
      </c>
      <c r="BY530" t="e">
        <f t="shared" si="208"/>
        <v>#N/A</v>
      </c>
      <c r="BZ530" t="e">
        <v>#N/A</v>
      </c>
      <c r="CA530" t="e" cm="1">
        <f t="array" ref="CA530">IF(ISNUMBER(BZ530),AF530/COUNT(IF(ISNUMBER(_xlfn.ANCHORARRAY($BZ$11)),_xlfn.ANCHORARRAY($BZ$11))),NA())</f>
        <v>#N/A</v>
      </c>
      <c r="CB530" t="e">
        <f t="shared" si="209"/>
        <v>#N/A</v>
      </c>
      <c r="CD530" t="e">
        <f t="shared" si="210"/>
        <v>#N/A</v>
      </c>
      <c r="CE530" t="e">
        <f t="shared" si="211"/>
        <v>#N/A</v>
      </c>
      <c r="CG530" t="e">
        <v>#N/A</v>
      </c>
      <c r="CH530" t="e">
        <v>#N/A</v>
      </c>
      <c r="CL530" t="e">
        <f t="shared" si="212"/>
        <v>#N/A</v>
      </c>
      <c r="CM530" t="e">
        <v>#N/A</v>
      </c>
      <c r="CN530" t="e" cm="1">
        <f t="array" ref="CN530">IF(ISNUMBER(CM530),AF530/COUNT(IF(ISNUMBER(_xlfn.ANCHORARRAY($CM$11)),_xlfn.ANCHORARRAY($CM$11))),NA())</f>
        <v>#N/A</v>
      </c>
      <c r="CO530" t="e">
        <f t="shared" si="213"/>
        <v>#N/A</v>
      </c>
      <c r="CQ530" t="e">
        <f t="shared" si="214"/>
        <v>#N/A</v>
      </c>
      <c r="CR530" t="e">
        <f t="shared" si="215"/>
        <v>#N/A</v>
      </c>
      <c r="CT530" t="e">
        <v>#N/A</v>
      </c>
      <c r="CU530" t="e">
        <v>#N/A</v>
      </c>
      <c r="CY530" t="e">
        <f t="shared" si="216"/>
        <v>#N/A</v>
      </c>
      <c r="CZ530" t="e">
        <v>#N/A</v>
      </c>
      <c r="DA530" t="e" cm="1">
        <f t="array" ref="DA530">IF(ISNUMBER(CZ530),AF530/COUNT(IF(ISNUMBER(_xlfn.ANCHORARRAY($CZ$11)),_xlfn.ANCHORARRAY($CZ$11))),NA())</f>
        <v>#N/A</v>
      </c>
      <c r="DB530" t="e">
        <f t="shared" si="217"/>
        <v>#N/A</v>
      </c>
      <c r="DD530" t="e">
        <f t="shared" si="218"/>
        <v>#N/A</v>
      </c>
      <c r="DE530" t="e">
        <f t="shared" si="219"/>
        <v>#N/A</v>
      </c>
      <c r="DG530" t="e">
        <v>#N/A</v>
      </c>
      <c r="DH530" t="e">
        <v>#N/A</v>
      </c>
    </row>
    <row r="531" spans="32:112">
      <c r="AF531">
        <v>521</v>
      </c>
      <c r="AG531" s="401">
        <f>'Lab test'!N524</f>
        <v>19.049999999999997</v>
      </c>
      <c r="AH531" s="401">
        <f>'Lab test'!M524</f>
        <v>1.4732000000000001</v>
      </c>
      <c r="AI531" t="e">
        <f>IF('Lab test'!O524&gt;0,'Lab test'!O524,NA())</f>
        <v>#N/A</v>
      </c>
      <c r="AJ531">
        <f>'Lab test'!Q524</f>
        <v>12</v>
      </c>
      <c r="AK531" s="401">
        <f>IF('Lab test'!V524&gt;0,'Lab test'!V524,NA())</f>
        <v>205463.766944</v>
      </c>
      <c r="AL531" s="7">
        <f>IF(MAX('Lab test'!W524,'Lab test'!X524)&gt;0,MAX('Lab test'!W524,'Lab test'!X524),NA())</f>
        <v>666.2280991943212</v>
      </c>
      <c r="AM531" s="401" t="e">
        <f>IF('Lab test'!P524&gt;0,'Lab test'!P524,NA())</f>
        <v>#N/A</v>
      </c>
      <c r="AN531" s="401">
        <f>IF('Lab test'!AU524&gt;0,'Lab test'!AU524,NA())</f>
        <v>1.127</v>
      </c>
      <c r="AO531" s="401">
        <f>IF('Lab test'!AT524&gt;0,'Lab test'!AT524,NA())</f>
        <v>7.2455971723424287E-2</v>
      </c>
      <c r="AP531">
        <f t="shared" si="198"/>
        <v>1</v>
      </c>
      <c r="AQ531" s="401">
        <f>'Lab test'!AZ524</f>
        <v>1938</v>
      </c>
      <c r="AR531" t="str">
        <f>'Lab test'!AC524</f>
        <v>Tubes</v>
      </c>
      <c r="AS531" t="str">
        <f>'Lab test'!T524</f>
        <v>Steel</v>
      </c>
      <c r="AX531" t="e">
        <f t="shared" si="205"/>
        <v>#N/A</v>
      </c>
      <c r="AY531" t="e">
        <f t="shared" si="199"/>
        <v>#N/A</v>
      </c>
      <c r="AZ531" t="e">
        <f t="shared" si="202"/>
        <v>#N/A</v>
      </c>
      <c r="BA531" t="e">
        <f t="shared" si="202"/>
        <v>#N/A</v>
      </c>
      <c r="BB531" t="e">
        <f t="shared" si="202"/>
        <v>#N/A</v>
      </c>
      <c r="BC531" t="e">
        <f t="shared" si="202"/>
        <v>#N/A</v>
      </c>
      <c r="BD531" t="e">
        <f t="shared" si="202"/>
        <v>#N/A</v>
      </c>
      <c r="BG531" t="e">
        <f t="shared" si="206"/>
        <v>#N/A</v>
      </c>
      <c r="BH531" t="e">
        <f t="shared" si="200"/>
        <v>#N/A</v>
      </c>
      <c r="BI531" t="e">
        <f t="shared" si="203"/>
        <v>#N/A</v>
      </c>
      <c r="BJ531" t="e">
        <f t="shared" si="203"/>
        <v>#N/A</v>
      </c>
      <c r="BK531" t="e">
        <f t="shared" si="203"/>
        <v>#N/A</v>
      </c>
      <c r="BL531" t="e">
        <f t="shared" si="203"/>
        <v>#N/A</v>
      </c>
      <c r="BM531" t="e">
        <f t="shared" si="203"/>
        <v>#N/A</v>
      </c>
      <c r="BP531" t="e">
        <f t="shared" si="207"/>
        <v>#N/A</v>
      </c>
      <c r="BQ531" t="e">
        <f t="shared" si="201"/>
        <v>#N/A</v>
      </c>
      <c r="BR531" t="e">
        <f t="shared" si="204"/>
        <v>#N/A</v>
      </c>
      <c r="BS531" t="e">
        <f t="shared" si="204"/>
        <v>#N/A</v>
      </c>
      <c r="BT531" t="e">
        <f t="shared" si="204"/>
        <v>#N/A</v>
      </c>
      <c r="BU531" t="e">
        <f t="shared" si="204"/>
        <v>#N/A</v>
      </c>
      <c r="BV531" t="e">
        <f t="shared" si="204"/>
        <v>#N/A</v>
      </c>
      <c r="BY531" t="e">
        <f t="shared" si="208"/>
        <v>#N/A</v>
      </c>
      <c r="BZ531" t="e">
        <v>#N/A</v>
      </c>
      <c r="CA531" t="e" cm="1">
        <f t="array" ref="CA531">IF(ISNUMBER(BZ531),AF531/COUNT(IF(ISNUMBER(_xlfn.ANCHORARRAY($BZ$11)),_xlfn.ANCHORARRAY($BZ$11))),NA())</f>
        <v>#N/A</v>
      </c>
      <c r="CB531" t="e">
        <f t="shared" si="209"/>
        <v>#N/A</v>
      </c>
      <c r="CD531" t="e">
        <f t="shared" si="210"/>
        <v>#N/A</v>
      </c>
      <c r="CE531" t="e">
        <f t="shared" si="211"/>
        <v>#N/A</v>
      </c>
      <c r="CG531" t="e">
        <v>#N/A</v>
      </c>
      <c r="CH531" t="e">
        <v>#N/A</v>
      </c>
      <c r="CL531" t="e">
        <f t="shared" si="212"/>
        <v>#N/A</v>
      </c>
      <c r="CM531" t="e">
        <v>#N/A</v>
      </c>
      <c r="CN531" t="e" cm="1">
        <f t="array" ref="CN531">IF(ISNUMBER(CM531),AF531/COUNT(IF(ISNUMBER(_xlfn.ANCHORARRAY($CM$11)),_xlfn.ANCHORARRAY($CM$11))),NA())</f>
        <v>#N/A</v>
      </c>
      <c r="CO531" t="e">
        <f t="shared" si="213"/>
        <v>#N/A</v>
      </c>
      <c r="CQ531" t="e">
        <f t="shared" si="214"/>
        <v>#N/A</v>
      </c>
      <c r="CR531" t="e">
        <f t="shared" si="215"/>
        <v>#N/A</v>
      </c>
      <c r="CT531" t="e">
        <v>#N/A</v>
      </c>
      <c r="CU531" t="e">
        <v>#N/A</v>
      </c>
      <c r="CY531" t="e">
        <f t="shared" si="216"/>
        <v>#N/A</v>
      </c>
      <c r="CZ531" t="e">
        <v>#N/A</v>
      </c>
      <c r="DA531" t="e" cm="1">
        <f t="array" ref="DA531">IF(ISNUMBER(CZ531),AF531/COUNT(IF(ISNUMBER(_xlfn.ANCHORARRAY($CZ$11)),_xlfn.ANCHORARRAY($CZ$11))),NA())</f>
        <v>#N/A</v>
      </c>
      <c r="DB531" t="e">
        <f t="shared" si="217"/>
        <v>#N/A</v>
      </c>
      <c r="DD531" t="e">
        <f t="shared" si="218"/>
        <v>#N/A</v>
      </c>
      <c r="DE531" t="e">
        <f t="shared" si="219"/>
        <v>#N/A</v>
      </c>
      <c r="DG531" t="e">
        <v>#N/A</v>
      </c>
      <c r="DH531" t="e">
        <v>#N/A</v>
      </c>
    </row>
    <row r="532" spans="32:112">
      <c r="AF532">
        <v>522</v>
      </c>
      <c r="AG532" s="401">
        <f>'Lab test'!N525</f>
        <v>19.049999999999997</v>
      </c>
      <c r="AH532" s="401">
        <f>'Lab test'!M525</f>
        <v>1.4732000000000001</v>
      </c>
      <c r="AI532" t="e">
        <f>IF('Lab test'!O525&gt;0,'Lab test'!O525,NA())</f>
        <v>#N/A</v>
      </c>
      <c r="AJ532">
        <f>'Lab test'!Q525</f>
        <v>12.3</v>
      </c>
      <c r="AK532" s="401">
        <f>IF('Lab test'!V525&gt;0,'Lab test'!V525,NA())</f>
        <v>205463.766944</v>
      </c>
      <c r="AL532" s="7">
        <f>IF(MAX('Lab test'!W525,'Lab test'!X525)&gt;0,MAX('Lab test'!W525,'Lab test'!X525),NA())</f>
        <v>631.60457032490967</v>
      </c>
      <c r="AM532" s="401" t="e">
        <f>IF('Lab test'!P525&gt;0,'Lab test'!P525,NA())</f>
        <v>#N/A</v>
      </c>
      <c r="AN532" s="401">
        <f>IF('Lab test'!AU525&gt;0,'Lab test'!AU525,NA())</f>
        <v>1.1080000000000001</v>
      </c>
      <c r="AO532" s="401">
        <f>IF('Lab test'!AT525&gt;0,'Lab test'!AT525,NA())</f>
        <v>6.9220736071402708E-2</v>
      </c>
      <c r="AP532">
        <f t="shared" si="198"/>
        <v>1</v>
      </c>
      <c r="AQ532" s="401">
        <f>'Lab test'!AZ525</f>
        <v>1938</v>
      </c>
      <c r="AR532" t="str">
        <f>'Lab test'!AC525</f>
        <v>Tubes</v>
      </c>
      <c r="AS532" t="str">
        <f>'Lab test'!T525</f>
        <v>Steel</v>
      </c>
      <c r="AX532" t="e">
        <f t="shared" si="205"/>
        <v>#N/A</v>
      </c>
      <c r="AY532" t="e">
        <f t="shared" si="199"/>
        <v>#N/A</v>
      </c>
      <c r="AZ532" t="e">
        <f t="shared" si="202"/>
        <v>#N/A</v>
      </c>
      <c r="BA532" t="e">
        <f t="shared" si="202"/>
        <v>#N/A</v>
      </c>
      <c r="BB532" t="e">
        <f t="shared" si="202"/>
        <v>#N/A</v>
      </c>
      <c r="BC532" t="e">
        <f t="shared" si="202"/>
        <v>#N/A</v>
      </c>
      <c r="BD532" t="e">
        <f t="shared" si="202"/>
        <v>#N/A</v>
      </c>
      <c r="BG532" t="e">
        <f t="shared" si="206"/>
        <v>#N/A</v>
      </c>
      <c r="BH532" t="e">
        <f t="shared" si="200"/>
        <v>#N/A</v>
      </c>
      <c r="BI532" t="e">
        <f t="shared" si="203"/>
        <v>#N/A</v>
      </c>
      <c r="BJ532" t="e">
        <f t="shared" si="203"/>
        <v>#N/A</v>
      </c>
      <c r="BK532" t="e">
        <f t="shared" si="203"/>
        <v>#N/A</v>
      </c>
      <c r="BL532" t="e">
        <f t="shared" si="203"/>
        <v>#N/A</v>
      </c>
      <c r="BM532" t="e">
        <f t="shared" si="203"/>
        <v>#N/A</v>
      </c>
      <c r="BP532" t="e">
        <f t="shared" si="207"/>
        <v>#N/A</v>
      </c>
      <c r="BQ532" t="e">
        <f t="shared" si="201"/>
        <v>#N/A</v>
      </c>
      <c r="BR532" t="e">
        <f t="shared" si="204"/>
        <v>#N/A</v>
      </c>
      <c r="BS532" t="e">
        <f t="shared" si="204"/>
        <v>#N/A</v>
      </c>
      <c r="BT532" t="e">
        <f t="shared" si="204"/>
        <v>#N/A</v>
      </c>
      <c r="BU532" t="e">
        <f t="shared" si="204"/>
        <v>#N/A</v>
      </c>
      <c r="BV532" t="e">
        <f t="shared" si="204"/>
        <v>#N/A</v>
      </c>
      <c r="BY532" t="e">
        <f t="shared" si="208"/>
        <v>#N/A</v>
      </c>
      <c r="BZ532" t="e">
        <v>#N/A</v>
      </c>
      <c r="CA532" t="e" cm="1">
        <f t="array" ref="CA532">IF(ISNUMBER(BZ532),AF532/COUNT(IF(ISNUMBER(_xlfn.ANCHORARRAY($BZ$11)),_xlfn.ANCHORARRAY($BZ$11))),NA())</f>
        <v>#N/A</v>
      </c>
      <c r="CB532" t="e">
        <f t="shared" si="209"/>
        <v>#N/A</v>
      </c>
      <c r="CD532" t="e">
        <f t="shared" si="210"/>
        <v>#N/A</v>
      </c>
      <c r="CE532" t="e">
        <f t="shared" si="211"/>
        <v>#N/A</v>
      </c>
      <c r="CG532" t="e">
        <v>#N/A</v>
      </c>
      <c r="CH532" t="e">
        <v>#N/A</v>
      </c>
      <c r="CL532" t="e">
        <f t="shared" si="212"/>
        <v>#N/A</v>
      </c>
      <c r="CM532" t="e">
        <v>#N/A</v>
      </c>
      <c r="CN532" t="e" cm="1">
        <f t="array" ref="CN532">IF(ISNUMBER(CM532),AF532/COUNT(IF(ISNUMBER(_xlfn.ANCHORARRAY($CM$11)),_xlfn.ANCHORARRAY($CM$11))),NA())</f>
        <v>#N/A</v>
      </c>
      <c r="CO532" t="e">
        <f t="shared" si="213"/>
        <v>#N/A</v>
      </c>
      <c r="CQ532" t="e">
        <f t="shared" si="214"/>
        <v>#N/A</v>
      </c>
      <c r="CR532" t="e">
        <f t="shared" si="215"/>
        <v>#N/A</v>
      </c>
      <c r="CT532" t="e">
        <v>#N/A</v>
      </c>
      <c r="CU532" t="e">
        <v>#N/A</v>
      </c>
      <c r="CY532" t="e">
        <f t="shared" si="216"/>
        <v>#N/A</v>
      </c>
      <c r="CZ532" t="e">
        <v>#N/A</v>
      </c>
      <c r="DA532" t="e" cm="1">
        <f t="array" ref="DA532">IF(ISNUMBER(CZ532),AF532/COUNT(IF(ISNUMBER(_xlfn.ANCHORARRAY($CZ$11)),_xlfn.ANCHORARRAY($CZ$11))),NA())</f>
        <v>#N/A</v>
      </c>
      <c r="DB532" t="e">
        <f t="shared" si="217"/>
        <v>#N/A</v>
      </c>
      <c r="DD532" t="e">
        <f t="shared" si="218"/>
        <v>#N/A</v>
      </c>
      <c r="DE532" t="e">
        <f t="shared" si="219"/>
        <v>#N/A</v>
      </c>
      <c r="DG532" t="e">
        <v>#N/A</v>
      </c>
      <c r="DH532" t="e">
        <v>#N/A</v>
      </c>
    </row>
    <row r="533" spans="32:112">
      <c r="AF533">
        <v>523</v>
      </c>
      <c r="AG533" s="401">
        <f>'Lab test'!N526</f>
        <v>12.7</v>
      </c>
      <c r="AH533" s="401">
        <f>'Lab test'!M526</f>
        <v>0.71119999999999994</v>
      </c>
      <c r="AI533" t="e">
        <f>IF('Lab test'!O526&gt;0,'Lab test'!O526,NA())</f>
        <v>#N/A</v>
      </c>
      <c r="AJ533">
        <f>'Lab test'!Q526</f>
        <v>17</v>
      </c>
      <c r="AK533" s="401">
        <f>IF('Lab test'!V526&gt;0,'Lab test'!V526,NA())</f>
        <v>205463.766944</v>
      </c>
      <c r="AL533" s="7">
        <f>IF(MAX('Lab test'!W526,'Lab test'!X526)&gt;0,MAX('Lab test'!W526,'Lab test'!X526),NA())</f>
        <v>651.13716733991032</v>
      </c>
      <c r="AM533" s="401" t="e">
        <f>IF('Lab test'!P526&gt;0,'Lab test'!P526,NA())</f>
        <v>#N/A</v>
      </c>
      <c r="AN533" s="401">
        <f>IF('Lab test'!AU526&gt;0,'Lab test'!AU526,NA())</f>
        <v>1.115</v>
      </c>
      <c r="AO533" s="401">
        <f>IF('Lab test'!AT526&gt;0,'Lab test'!AT526,NA())</f>
        <v>9.9252705067417971E-2</v>
      </c>
      <c r="AP533">
        <f t="shared" si="198"/>
        <v>1</v>
      </c>
      <c r="AQ533" s="401">
        <f>'Lab test'!AZ526</f>
        <v>1938</v>
      </c>
      <c r="AR533" t="str">
        <f>'Lab test'!AC526</f>
        <v>Tubes</v>
      </c>
      <c r="AS533" t="str">
        <f>'Lab test'!T526</f>
        <v>Steel</v>
      </c>
      <c r="AX533" t="e">
        <f t="shared" si="205"/>
        <v>#N/A</v>
      </c>
      <c r="AY533" t="e">
        <f t="shared" si="199"/>
        <v>#N/A</v>
      </c>
      <c r="AZ533" t="e">
        <f t="shared" si="202"/>
        <v>#N/A</v>
      </c>
      <c r="BA533" t="e">
        <f t="shared" si="202"/>
        <v>#N/A</v>
      </c>
      <c r="BB533" t="e">
        <f t="shared" si="202"/>
        <v>#N/A</v>
      </c>
      <c r="BC533" t="e">
        <f t="shared" si="202"/>
        <v>#N/A</v>
      </c>
      <c r="BD533" t="e">
        <f t="shared" si="202"/>
        <v>#N/A</v>
      </c>
      <c r="BG533" t="e">
        <f t="shared" si="206"/>
        <v>#N/A</v>
      </c>
      <c r="BH533" t="e">
        <f t="shared" si="200"/>
        <v>#N/A</v>
      </c>
      <c r="BI533" t="e">
        <f t="shared" si="203"/>
        <v>#N/A</v>
      </c>
      <c r="BJ533" t="e">
        <f t="shared" si="203"/>
        <v>#N/A</v>
      </c>
      <c r="BK533" t="e">
        <f t="shared" si="203"/>
        <v>#N/A</v>
      </c>
      <c r="BL533" t="e">
        <f t="shared" si="203"/>
        <v>#N/A</v>
      </c>
      <c r="BM533" t="e">
        <f t="shared" si="203"/>
        <v>#N/A</v>
      </c>
      <c r="BP533" t="e">
        <f t="shared" si="207"/>
        <v>#N/A</v>
      </c>
      <c r="BQ533" t="e">
        <f t="shared" si="201"/>
        <v>#N/A</v>
      </c>
      <c r="BR533" t="e">
        <f t="shared" si="204"/>
        <v>#N/A</v>
      </c>
      <c r="BS533" t="e">
        <f t="shared" si="204"/>
        <v>#N/A</v>
      </c>
      <c r="BT533" t="e">
        <f t="shared" si="204"/>
        <v>#N/A</v>
      </c>
      <c r="BU533" t="e">
        <f t="shared" si="204"/>
        <v>#N/A</v>
      </c>
      <c r="BV533" t="e">
        <f t="shared" si="204"/>
        <v>#N/A</v>
      </c>
      <c r="BY533" t="e">
        <f t="shared" si="208"/>
        <v>#N/A</v>
      </c>
      <c r="BZ533" t="e">
        <v>#N/A</v>
      </c>
      <c r="CA533" t="e" cm="1">
        <f t="array" ref="CA533">IF(ISNUMBER(BZ533),AF533/COUNT(IF(ISNUMBER(_xlfn.ANCHORARRAY($BZ$11)),_xlfn.ANCHORARRAY($BZ$11))),NA())</f>
        <v>#N/A</v>
      </c>
      <c r="CB533" t="e">
        <f t="shared" si="209"/>
        <v>#N/A</v>
      </c>
      <c r="CD533" t="e">
        <f t="shared" si="210"/>
        <v>#N/A</v>
      </c>
      <c r="CE533" t="e">
        <f t="shared" si="211"/>
        <v>#N/A</v>
      </c>
      <c r="CG533" t="e">
        <v>#N/A</v>
      </c>
      <c r="CH533" t="e">
        <v>#N/A</v>
      </c>
      <c r="CL533" t="e">
        <f t="shared" si="212"/>
        <v>#N/A</v>
      </c>
      <c r="CM533" t="e">
        <v>#N/A</v>
      </c>
      <c r="CN533" t="e" cm="1">
        <f t="array" ref="CN533">IF(ISNUMBER(CM533),AF533/COUNT(IF(ISNUMBER(_xlfn.ANCHORARRAY($CM$11)),_xlfn.ANCHORARRAY($CM$11))),NA())</f>
        <v>#N/A</v>
      </c>
      <c r="CO533" t="e">
        <f t="shared" si="213"/>
        <v>#N/A</v>
      </c>
      <c r="CQ533" t="e">
        <f t="shared" si="214"/>
        <v>#N/A</v>
      </c>
      <c r="CR533" t="e">
        <f t="shared" si="215"/>
        <v>#N/A</v>
      </c>
      <c r="CT533" t="e">
        <v>#N/A</v>
      </c>
      <c r="CU533" t="e">
        <v>#N/A</v>
      </c>
      <c r="CY533" t="e">
        <f t="shared" si="216"/>
        <v>#N/A</v>
      </c>
      <c r="CZ533" t="e">
        <v>#N/A</v>
      </c>
      <c r="DA533" t="e" cm="1">
        <f t="array" ref="DA533">IF(ISNUMBER(CZ533),AF533/COUNT(IF(ISNUMBER(_xlfn.ANCHORARRAY($CZ$11)),_xlfn.ANCHORARRAY($CZ$11))),NA())</f>
        <v>#N/A</v>
      </c>
      <c r="DB533" t="e">
        <f t="shared" si="217"/>
        <v>#N/A</v>
      </c>
      <c r="DD533" t="e">
        <f t="shared" si="218"/>
        <v>#N/A</v>
      </c>
      <c r="DE533" t="e">
        <f t="shared" si="219"/>
        <v>#N/A</v>
      </c>
      <c r="DG533" t="e">
        <v>#N/A</v>
      </c>
      <c r="DH533" t="e">
        <v>#N/A</v>
      </c>
    </row>
    <row r="534" spans="32:112">
      <c r="AF534">
        <v>524</v>
      </c>
      <c r="AG534" s="401">
        <f>'Lab test'!N527</f>
        <v>12.7</v>
      </c>
      <c r="AH534" s="401">
        <f>'Lab test'!M527</f>
        <v>0.71119999999999994</v>
      </c>
      <c r="AI534" t="e">
        <f>IF('Lab test'!O527&gt;0,'Lab test'!O527,NA())</f>
        <v>#N/A</v>
      </c>
      <c r="AJ534">
        <f>'Lab test'!Q527</f>
        <v>17</v>
      </c>
      <c r="AK534" s="401">
        <f>IF('Lab test'!V527&gt;0,'Lab test'!V527,NA())</f>
        <v>205463.766944</v>
      </c>
      <c r="AL534" s="7">
        <f>IF(MAX('Lab test'!W527,'Lab test'!X527)&gt;0,MAX('Lab test'!W527,'Lab test'!X527),NA())</f>
        <v>650.96447112072065</v>
      </c>
      <c r="AM534" s="401" t="e">
        <f>IF('Lab test'!P527&gt;0,'Lab test'!P527,NA())</f>
        <v>#N/A</v>
      </c>
      <c r="AN534" s="401">
        <f>IF('Lab test'!AU527&gt;0,'Lab test'!AU527,NA())</f>
        <v>1.1100000000000001</v>
      </c>
      <c r="AO534" s="401">
        <f>IF('Lab test'!AT527&gt;0,'Lab test'!AT527,NA())</f>
        <v>9.8781419668237447E-2</v>
      </c>
      <c r="AP534">
        <f t="shared" si="198"/>
        <v>1</v>
      </c>
      <c r="AQ534" s="401">
        <f>'Lab test'!AZ527</f>
        <v>1938</v>
      </c>
      <c r="AR534" t="str">
        <f>'Lab test'!AC527</f>
        <v>Tubes</v>
      </c>
      <c r="AS534" t="str">
        <f>'Lab test'!T527</f>
        <v>Steel</v>
      </c>
      <c r="AX534" t="e">
        <f t="shared" si="205"/>
        <v>#N/A</v>
      </c>
      <c r="AY534" t="e">
        <f t="shared" si="199"/>
        <v>#N/A</v>
      </c>
      <c r="AZ534" t="e">
        <f t="shared" si="202"/>
        <v>#N/A</v>
      </c>
      <c r="BA534" t="e">
        <f t="shared" si="202"/>
        <v>#N/A</v>
      </c>
      <c r="BB534" t="e">
        <f t="shared" si="202"/>
        <v>#N/A</v>
      </c>
      <c r="BC534" t="e">
        <f t="shared" si="202"/>
        <v>#N/A</v>
      </c>
      <c r="BD534" t="e">
        <f t="shared" si="202"/>
        <v>#N/A</v>
      </c>
      <c r="BG534" t="e">
        <f t="shared" si="206"/>
        <v>#N/A</v>
      </c>
      <c r="BH534" t="e">
        <f t="shared" si="200"/>
        <v>#N/A</v>
      </c>
      <c r="BI534" t="e">
        <f t="shared" si="203"/>
        <v>#N/A</v>
      </c>
      <c r="BJ534" t="e">
        <f t="shared" si="203"/>
        <v>#N/A</v>
      </c>
      <c r="BK534" t="e">
        <f t="shared" si="203"/>
        <v>#N/A</v>
      </c>
      <c r="BL534" t="e">
        <f t="shared" si="203"/>
        <v>#N/A</v>
      </c>
      <c r="BM534" t="e">
        <f t="shared" si="203"/>
        <v>#N/A</v>
      </c>
      <c r="BP534" t="e">
        <f t="shared" si="207"/>
        <v>#N/A</v>
      </c>
      <c r="BQ534" t="e">
        <f t="shared" si="201"/>
        <v>#N/A</v>
      </c>
      <c r="BR534" t="e">
        <f t="shared" si="204"/>
        <v>#N/A</v>
      </c>
      <c r="BS534" t="e">
        <f t="shared" si="204"/>
        <v>#N/A</v>
      </c>
      <c r="BT534" t="e">
        <f t="shared" si="204"/>
        <v>#N/A</v>
      </c>
      <c r="BU534" t="e">
        <f t="shared" si="204"/>
        <v>#N/A</v>
      </c>
      <c r="BV534" t="e">
        <f t="shared" si="204"/>
        <v>#N/A</v>
      </c>
      <c r="BY534" t="e">
        <f t="shared" si="208"/>
        <v>#N/A</v>
      </c>
      <c r="BZ534" t="e">
        <v>#N/A</v>
      </c>
      <c r="CA534" t="e" cm="1">
        <f t="array" ref="CA534">IF(ISNUMBER(BZ534),AF534/COUNT(IF(ISNUMBER(_xlfn.ANCHORARRAY($BZ$11)),_xlfn.ANCHORARRAY($BZ$11))),NA())</f>
        <v>#N/A</v>
      </c>
      <c r="CB534" t="e">
        <f t="shared" si="209"/>
        <v>#N/A</v>
      </c>
      <c r="CD534" t="e">
        <f t="shared" si="210"/>
        <v>#N/A</v>
      </c>
      <c r="CE534" t="e">
        <f t="shared" si="211"/>
        <v>#N/A</v>
      </c>
      <c r="CG534" t="e">
        <v>#N/A</v>
      </c>
      <c r="CH534" t="e">
        <v>#N/A</v>
      </c>
      <c r="CL534" t="e">
        <f t="shared" si="212"/>
        <v>#N/A</v>
      </c>
      <c r="CM534" t="e">
        <v>#N/A</v>
      </c>
      <c r="CN534" t="e" cm="1">
        <f t="array" ref="CN534">IF(ISNUMBER(CM534),AF534/COUNT(IF(ISNUMBER(_xlfn.ANCHORARRAY($CM$11)),_xlfn.ANCHORARRAY($CM$11))),NA())</f>
        <v>#N/A</v>
      </c>
      <c r="CO534" t="e">
        <f t="shared" si="213"/>
        <v>#N/A</v>
      </c>
      <c r="CQ534" t="e">
        <f t="shared" si="214"/>
        <v>#N/A</v>
      </c>
      <c r="CR534" t="e">
        <f t="shared" si="215"/>
        <v>#N/A</v>
      </c>
      <c r="CT534" t="e">
        <v>#N/A</v>
      </c>
      <c r="CU534" t="e">
        <v>#N/A</v>
      </c>
      <c r="CY534" t="e">
        <f t="shared" si="216"/>
        <v>#N/A</v>
      </c>
      <c r="CZ534" t="e">
        <v>#N/A</v>
      </c>
      <c r="DA534" t="e" cm="1">
        <f t="array" ref="DA534">IF(ISNUMBER(CZ534),AF534/COUNT(IF(ISNUMBER(_xlfn.ANCHORARRAY($CZ$11)),_xlfn.ANCHORARRAY($CZ$11))),NA())</f>
        <v>#N/A</v>
      </c>
      <c r="DB534" t="e">
        <f t="shared" si="217"/>
        <v>#N/A</v>
      </c>
      <c r="DD534" t="e">
        <f t="shared" si="218"/>
        <v>#N/A</v>
      </c>
      <c r="DE534" t="e">
        <f t="shared" si="219"/>
        <v>#N/A</v>
      </c>
      <c r="DG534" t="e">
        <v>#N/A</v>
      </c>
      <c r="DH534" t="e">
        <v>#N/A</v>
      </c>
    </row>
    <row r="535" spans="32:112">
      <c r="AF535">
        <v>525</v>
      </c>
      <c r="AG535" s="401">
        <f>'Lab test'!N528</f>
        <v>19.049999999999997</v>
      </c>
      <c r="AH535" s="401">
        <f>'Lab test'!M528</f>
        <v>0.88900000000000001</v>
      </c>
      <c r="AI535" t="e">
        <f>IF('Lab test'!O528&gt;0,'Lab test'!O528,NA())</f>
        <v>#N/A</v>
      </c>
      <c r="AJ535">
        <f>'Lab test'!Q528</f>
        <v>21.35</v>
      </c>
      <c r="AK535" s="401">
        <f>IF('Lab test'!V528&gt;0,'Lab test'!V528,NA())</f>
        <v>205463.766944</v>
      </c>
      <c r="AL535" s="7">
        <f>IF(MAX('Lab test'!W528,'Lab test'!X528)&gt;0,MAX('Lab test'!W528,'Lab test'!X528),NA())</f>
        <v>635.07792816730034</v>
      </c>
      <c r="AM535" s="401" t="e">
        <f>IF('Lab test'!P528&gt;0,'Lab test'!P528,NA())</f>
        <v>#N/A</v>
      </c>
      <c r="AN535" s="401">
        <f>IF('Lab test'!AU528&gt;0,'Lab test'!AU528,NA())</f>
        <v>1.052</v>
      </c>
      <c r="AO535" s="401">
        <f>IF('Lab test'!AT528&gt;0,'Lab test'!AT528,NA())</f>
        <v>0.11470615330654728</v>
      </c>
      <c r="AP535">
        <f t="shared" ref="AP535:AP598" si="220">IF(AND(OR(ISNUMBER(AN535),ISNUMBER(AO535)),ISNUMBER(AK535),ISNUMBER(AL535)),1,NA())</f>
        <v>1</v>
      </c>
      <c r="AQ535" s="401">
        <f>'Lab test'!AZ528</f>
        <v>1938</v>
      </c>
      <c r="AR535" t="str">
        <f>'Lab test'!AC528</f>
        <v>Tubes</v>
      </c>
      <c r="AS535" t="str">
        <f>'Lab test'!T528</f>
        <v>Steel</v>
      </c>
      <c r="AX535" t="e">
        <f t="shared" si="205"/>
        <v>#N/A</v>
      </c>
      <c r="AY535" t="e">
        <f t="shared" si="199"/>
        <v>#N/A</v>
      </c>
      <c r="AZ535" t="e">
        <f t="shared" si="202"/>
        <v>#N/A</v>
      </c>
      <c r="BA535" t="e">
        <f t="shared" si="202"/>
        <v>#N/A</v>
      </c>
      <c r="BB535" t="e">
        <f t="shared" si="202"/>
        <v>#N/A</v>
      </c>
      <c r="BC535" t="e">
        <f t="shared" si="202"/>
        <v>#N/A</v>
      </c>
      <c r="BD535" t="e">
        <f t="shared" si="202"/>
        <v>#N/A</v>
      </c>
      <c r="BG535" t="e">
        <f t="shared" si="206"/>
        <v>#N/A</v>
      </c>
      <c r="BH535" t="e">
        <f t="shared" si="200"/>
        <v>#N/A</v>
      </c>
      <c r="BI535" t="e">
        <f t="shared" si="203"/>
        <v>#N/A</v>
      </c>
      <c r="BJ535" t="e">
        <f t="shared" si="203"/>
        <v>#N/A</v>
      </c>
      <c r="BK535" t="e">
        <f t="shared" si="203"/>
        <v>#N/A</v>
      </c>
      <c r="BL535" t="e">
        <f t="shared" si="203"/>
        <v>#N/A</v>
      </c>
      <c r="BM535" t="e">
        <f t="shared" si="203"/>
        <v>#N/A</v>
      </c>
      <c r="BP535" t="e">
        <f t="shared" si="207"/>
        <v>#N/A</v>
      </c>
      <c r="BQ535" t="e">
        <f t="shared" si="201"/>
        <v>#N/A</v>
      </c>
      <c r="BR535" t="e">
        <f t="shared" si="204"/>
        <v>#N/A</v>
      </c>
      <c r="BS535" t="e">
        <f t="shared" si="204"/>
        <v>#N/A</v>
      </c>
      <c r="BT535" t="e">
        <f t="shared" si="204"/>
        <v>#N/A</v>
      </c>
      <c r="BU535" t="e">
        <f t="shared" si="204"/>
        <v>#N/A</v>
      </c>
      <c r="BV535" t="e">
        <f t="shared" si="204"/>
        <v>#N/A</v>
      </c>
      <c r="BY535" t="e">
        <f t="shared" si="208"/>
        <v>#N/A</v>
      </c>
      <c r="BZ535" t="e">
        <v>#N/A</v>
      </c>
      <c r="CA535" t="e" cm="1">
        <f t="array" ref="CA535">IF(ISNUMBER(BZ535),AF535/COUNT(IF(ISNUMBER(_xlfn.ANCHORARRAY($BZ$11)),_xlfn.ANCHORARRAY($BZ$11))),NA())</f>
        <v>#N/A</v>
      </c>
      <c r="CB535" t="e">
        <f t="shared" si="209"/>
        <v>#N/A</v>
      </c>
      <c r="CD535" t="e">
        <f t="shared" si="210"/>
        <v>#N/A</v>
      </c>
      <c r="CE535" t="e">
        <f t="shared" si="211"/>
        <v>#N/A</v>
      </c>
      <c r="CG535" t="e">
        <v>#N/A</v>
      </c>
      <c r="CH535" t="e">
        <v>#N/A</v>
      </c>
      <c r="CL535" t="e">
        <f t="shared" si="212"/>
        <v>#N/A</v>
      </c>
      <c r="CM535" t="e">
        <v>#N/A</v>
      </c>
      <c r="CN535" t="e" cm="1">
        <f t="array" ref="CN535">IF(ISNUMBER(CM535),AF535/COUNT(IF(ISNUMBER(_xlfn.ANCHORARRAY($CM$11)),_xlfn.ANCHORARRAY($CM$11))),NA())</f>
        <v>#N/A</v>
      </c>
      <c r="CO535" t="e">
        <f t="shared" si="213"/>
        <v>#N/A</v>
      </c>
      <c r="CQ535" t="e">
        <f t="shared" si="214"/>
        <v>#N/A</v>
      </c>
      <c r="CR535" t="e">
        <f t="shared" si="215"/>
        <v>#N/A</v>
      </c>
      <c r="CT535" t="e">
        <v>#N/A</v>
      </c>
      <c r="CU535" t="e">
        <v>#N/A</v>
      </c>
      <c r="CY535" t="e">
        <f t="shared" si="216"/>
        <v>#N/A</v>
      </c>
      <c r="CZ535" t="e">
        <v>#N/A</v>
      </c>
      <c r="DA535" t="e" cm="1">
        <f t="array" ref="DA535">IF(ISNUMBER(CZ535),AF535/COUNT(IF(ISNUMBER(_xlfn.ANCHORARRAY($CZ$11)),_xlfn.ANCHORARRAY($CZ$11))),NA())</f>
        <v>#N/A</v>
      </c>
      <c r="DB535" t="e">
        <f t="shared" si="217"/>
        <v>#N/A</v>
      </c>
      <c r="DD535" t="e">
        <f t="shared" si="218"/>
        <v>#N/A</v>
      </c>
      <c r="DE535" t="e">
        <f t="shared" si="219"/>
        <v>#N/A</v>
      </c>
      <c r="DG535" t="e">
        <v>#N/A</v>
      </c>
      <c r="DH535" t="e">
        <v>#N/A</v>
      </c>
    </row>
    <row r="536" spans="32:112">
      <c r="AF536">
        <v>526</v>
      </c>
      <c r="AG536" s="401">
        <f>'Lab test'!N529</f>
        <v>20.637499999999999</v>
      </c>
      <c r="AH536" s="401">
        <f>'Lab test'!M529</f>
        <v>0.88900000000000001</v>
      </c>
      <c r="AI536" t="e">
        <f>IF('Lab test'!O529&gt;0,'Lab test'!O529,NA())</f>
        <v>#N/A</v>
      </c>
      <c r="AJ536">
        <f>'Lab test'!Q529</f>
        <v>22.6</v>
      </c>
      <c r="AK536" s="401">
        <f>IF('Lab test'!V529&gt;0,'Lab test'!V529,NA())</f>
        <v>205463.766944</v>
      </c>
      <c r="AL536" s="7">
        <f>IF(MAX('Lab test'!W529,'Lab test'!X529)&gt;0,MAX('Lab test'!W529,'Lab test'!X529),NA())</f>
        <v>646.54368917472118</v>
      </c>
      <c r="AM536" s="401" t="e">
        <f>IF('Lab test'!P529&gt;0,'Lab test'!P529,NA())</f>
        <v>#N/A</v>
      </c>
      <c r="AN536" s="401">
        <f>IF('Lab test'!AU529&gt;0,'Lab test'!AU529,NA())</f>
        <v>1.0760000000000001</v>
      </c>
      <c r="AO536" s="401">
        <f>IF('Lab test'!AT529&gt;0,'Lab test'!AT529,NA())</f>
        <v>0.12643422907850727</v>
      </c>
      <c r="AP536">
        <f t="shared" si="220"/>
        <v>1</v>
      </c>
      <c r="AQ536" s="401">
        <f>'Lab test'!AZ529</f>
        <v>1938</v>
      </c>
      <c r="AR536" t="str">
        <f>'Lab test'!AC529</f>
        <v>Tubes</v>
      </c>
      <c r="AS536" t="str">
        <f>'Lab test'!T529</f>
        <v>Steel</v>
      </c>
      <c r="AX536" t="e">
        <f t="shared" si="205"/>
        <v>#N/A</v>
      </c>
      <c r="AY536" t="e">
        <f t="shared" si="199"/>
        <v>#N/A</v>
      </c>
      <c r="AZ536" t="e">
        <f t="shared" si="202"/>
        <v>#N/A</v>
      </c>
      <c r="BA536" t="e">
        <f t="shared" si="202"/>
        <v>#N/A</v>
      </c>
      <c r="BB536" t="e">
        <f t="shared" si="202"/>
        <v>#N/A</v>
      </c>
      <c r="BC536" t="e">
        <f t="shared" si="202"/>
        <v>#N/A</v>
      </c>
      <c r="BD536" t="e">
        <f t="shared" si="202"/>
        <v>#N/A</v>
      </c>
      <c r="BG536" t="e">
        <f t="shared" si="206"/>
        <v>#N/A</v>
      </c>
      <c r="BH536" t="e">
        <f t="shared" si="200"/>
        <v>#N/A</v>
      </c>
      <c r="BI536" t="e">
        <f t="shared" si="203"/>
        <v>#N/A</v>
      </c>
      <c r="BJ536" t="e">
        <f t="shared" si="203"/>
        <v>#N/A</v>
      </c>
      <c r="BK536" t="e">
        <f t="shared" si="203"/>
        <v>#N/A</v>
      </c>
      <c r="BL536" t="e">
        <f t="shared" si="203"/>
        <v>#N/A</v>
      </c>
      <c r="BM536" t="e">
        <f t="shared" si="203"/>
        <v>#N/A</v>
      </c>
      <c r="BP536" t="e">
        <f t="shared" si="207"/>
        <v>#N/A</v>
      </c>
      <c r="BQ536" t="e">
        <f t="shared" si="201"/>
        <v>#N/A</v>
      </c>
      <c r="BR536" t="e">
        <f t="shared" si="204"/>
        <v>#N/A</v>
      </c>
      <c r="BS536" t="e">
        <f t="shared" si="204"/>
        <v>#N/A</v>
      </c>
      <c r="BT536" t="e">
        <f t="shared" si="204"/>
        <v>#N/A</v>
      </c>
      <c r="BU536" t="e">
        <f t="shared" si="204"/>
        <v>#N/A</v>
      </c>
      <c r="BV536" t="e">
        <f t="shared" si="204"/>
        <v>#N/A</v>
      </c>
      <c r="BY536" t="e">
        <f t="shared" si="208"/>
        <v>#N/A</v>
      </c>
      <c r="BZ536" t="e">
        <v>#N/A</v>
      </c>
      <c r="CA536" t="e" cm="1">
        <f t="array" ref="CA536">IF(ISNUMBER(BZ536),AF536/COUNT(IF(ISNUMBER(_xlfn.ANCHORARRAY($BZ$11)),_xlfn.ANCHORARRAY($BZ$11))),NA())</f>
        <v>#N/A</v>
      </c>
      <c r="CB536" t="e">
        <f t="shared" si="209"/>
        <v>#N/A</v>
      </c>
      <c r="CD536" t="e">
        <f t="shared" si="210"/>
        <v>#N/A</v>
      </c>
      <c r="CE536" t="e">
        <f t="shared" si="211"/>
        <v>#N/A</v>
      </c>
      <c r="CG536" t="e">
        <v>#N/A</v>
      </c>
      <c r="CH536" t="e">
        <v>#N/A</v>
      </c>
      <c r="CL536" t="e">
        <f t="shared" si="212"/>
        <v>#N/A</v>
      </c>
      <c r="CM536" t="e">
        <v>#N/A</v>
      </c>
      <c r="CN536" t="e" cm="1">
        <f t="array" ref="CN536">IF(ISNUMBER(CM536),AF536/COUNT(IF(ISNUMBER(_xlfn.ANCHORARRAY($CM$11)),_xlfn.ANCHORARRAY($CM$11))),NA())</f>
        <v>#N/A</v>
      </c>
      <c r="CO536" t="e">
        <f t="shared" si="213"/>
        <v>#N/A</v>
      </c>
      <c r="CQ536" t="e">
        <f t="shared" si="214"/>
        <v>#N/A</v>
      </c>
      <c r="CR536" t="e">
        <f t="shared" si="215"/>
        <v>#N/A</v>
      </c>
      <c r="CT536" t="e">
        <v>#N/A</v>
      </c>
      <c r="CU536" t="e">
        <v>#N/A</v>
      </c>
      <c r="CY536" t="e">
        <f t="shared" si="216"/>
        <v>#N/A</v>
      </c>
      <c r="CZ536" t="e">
        <v>#N/A</v>
      </c>
      <c r="DA536" t="e" cm="1">
        <f t="array" ref="DA536">IF(ISNUMBER(CZ536),AF536/COUNT(IF(ISNUMBER(_xlfn.ANCHORARRAY($CZ$11)),_xlfn.ANCHORARRAY($CZ$11))),NA())</f>
        <v>#N/A</v>
      </c>
      <c r="DB536" t="e">
        <f t="shared" si="217"/>
        <v>#N/A</v>
      </c>
      <c r="DD536" t="e">
        <f t="shared" si="218"/>
        <v>#N/A</v>
      </c>
      <c r="DE536" t="e">
        <f t="shared" si="219"/>
        <v>#N/A</v>
      </c>
      <c r="DG536" t="e">
        <v>#N/A</v>
      </c>
      <c r="DH536" t="e">
        <v>#N/A</v>
      </c>
    </row>
    <row r="537" spans="32:112">
      <c r="AF537">
        <v>527</v>
      </c>
      <c r="AG537" s="401">
        <f>'Lab test'!N530</f>
        <v>20.637499999999999</v>
      </c>
      <c r="AH537" s="401">
        <f>'Lab test'!M530</f>
        <v>0.88900000000000001</v>
      </c>
      <c r="AI537" t="e">
        <f>IF('Lab test'!O530&gt;0,'Lab test'!O530,NA())</f>
        <v>#N/A</v>
      </c>
      <c r="AJ537">
        <f>'Lab test'!Q530</f>
        <v>22.6</v>
      </c>
      <c r="AK537" s="401">
        <f>IF('Lab test'!V530&gt;0,'Lab test'!V530,NA())</f>
        <v>205463.766944</v>
      </c>
      <c r="AL537" s="7">
        <f>IF(MAX('Lab test'!W530,'Lab test'!X530)&gt;0,MAX('Lab test'!W530,'Lab test'!X530),NA())</f>
        <v>646.90753525163711</v>
      </c>
      <c r="AM537" s="401" t="e">
        <f>IF('Lab test'!P530&gt;0,'Lab test'!P530,NA())</f>
        <v>#N/A</v>
      </c>
      <c r="AN537" s="401">
        <f>IF('Lab test'!AU530&gt;0,'Lab test'!AU530,NA())</f>
        <v>1.069</v>
      </c>
      <c r="AO537" s="401">
        <f>IF('Lab test'!AT530&gt;0,'Lab test'!AT530,NA())</f>
        <v>0.12568239025346165</v>
      </c>
      <c r="AP537">
        <f t="shared" si="220"/>
        <v>1</v>
      </c>
      <c r="AQ537" s="401">
        <f>'Lab test'!AZ530</f>
        <v>1938</v>
      </c>
      <c r="AR537" t="str">
        <f>'Lab test'!AC530</f>
        <v>Tubes</v>
      </c>
      <c r="AS537" t="str">
        <f>'Lab test'!T530</f>
        <v>Steel</v>
      </c>
      <c r="AX537" t="e">
        <f t="shared" si="205"/>
        <v>#N/A</v>
      </c>
      <c r="AY537" t="e">
        <f t="shared" si="199"/>
        <v>#N/A</v>
      </c>
      <c r="AZ537" t="e">
        <f t="shared" si="202"/>
        <v>#N/A</v>
      </c>
      <c r="BA537" t="e">
        <f t="shared" si="202"/>
        <v>#N/A</v>
      </c>
      <c r="BB537" t="e">
        <f t="shared" si="202"/>
        <v>#N/A</v>
      </c>
      <c r="BC537" t="e">
        <f t="shared" si="202"/>
        <v>#N/A</v>
      </c>
      <c r="BD537" t="e">
        <f t="shared" si="202"/>
        <v>#N/A</v>
      </c>
      <c r="BG537" t="e">
        <f t="shared" si="206"/>
        <v>#N/A</v>
      </c>
      <c r="BH537" t="e">
        <f t="shared" si="200"/>
        <v>#N/A</v>
      </c>
      <c r="BI537" t="e">
        <f t="shared" si="203"/>
        <v>#N/A</v>
      </c>
      <c r="BJ537" t="e">
        <f t="shared" si="203"/>
        <v>#N/A</v>
      </c>
      <c r="BK537" t="e">
        <f t="shared" si="203"/>
        <v>#N/A</v>
      </c>
      <c r="BL537" t="e">
        <f t="shared" si="203"/>
        <v>#N/A</v>
      </c>
      <c r="BM537" t="e">
        <f t="shared" si="203"/>
        <v>#N/A</v>
      </c>
      <c r="BP537" t="e">
        <f t="shared" si="207"/>
        <v>#N/A</v>
      </c>
      <c r="BQ537" t="e">
        <f t="shared" si="201"/>
        <v>#N/A</v>
      </c>
      <c r="BR537" t="e">
        <f t="shared" si="204"/>
        <v>#N/A</v>
      </c>
      <c r="BS537" t="e">
        <f t="shared" si="204"/>
        <v>#N/A</v>
      </c>
      <c r="BT537" t="e">
        <f t="shared" si="204"/>
        <v>#N/A</v>
      </c>
      <c r="BU537" t="e">
        <f t="shared" si="204"/>
        <v>#N/A</v>
      </c>
      <c r="BV537" t="e">
        <f t="shared" si="204"/>
        <v>#N/A</v>
      </c>
      <c r="BY537" t="e">
        <f t="shared" si="208"/>
        <v>#N/A</v>
      </c>
      <c r="BZ537" t="e">
        <v>#N/A</v>
      </c>
      <c r="CA537" t="e" cm="1">
        <f t="array" ref="CA537">IF(ISNUMBER(BZ537),AF537/COUNT(IF(ISNUMBER(_xlfn.ANCHORARRAY($BZ$11)),_xlfn.ANCHORARRAY($BZ$11))),NA())</f>
        <v>#N/A</v>
      </c>
      <c r="CB537" t="e">
        <f t="shared" si="209"/>
        <v>#N/A</v>
      </c>
      <c r="CD537" t="e">
        <f t="shared" si="210"/>
        <v>#N/A</v>
      </c>
      <c r="CE537" t="e">
        <f t="shared" si="211"/>
        <v>#N/A</v>
      </c>
      <c r="CG537" t="e">
        <v>#N/A</v>
      </c>
      <c r="CH537" t="e">
        <v>#N/A</v>
      </c>
      <c r="CL537" t="e">
        <f t="shared" si="212"/>
        <v>#N/A</v>
      </c>
      <c r="CM537" t="e">
        <v>#N/A</v>
      </c>
      <c r="CN537" t="e" cm="1">
        <f t="array" ref="CN537">IF(ISNUMBER(CM537),AF537/COUNT(IF(ISNUMBER(_xlfn.ANCHORARRAY($CM$11)),_xlfn.ANCHORARRAY($CM$11))),NA())</f>
        <v>#N/A</v>
      </c>
      <c r="CO537" t="e">
        <f t="shared" si="213"/>
        <v>#N/A</v>
      </c>
      <c r="CQ537" t="e">
        <f t="shared" si="214"/>
        <v>#N/A</v>
      </c>
      <c r="CR537" t="e">
        <f t="shared" si="215"/>
        <v>#N/A</v>
      </c>
      <c r="CT537" t="e">
        <v>#N/A</v>
      </c>
      <c r="CU537" t="e">
        <v>#N/A</v>
      </c>
      <c r="CY537" t="e">
        <f t="shared" si="216"/>
        <v>#N/A</v>
      </c>
      <c r="CZ537" t="e">
        <v>#N/A</v>
      </c>
      <c r="DA537" t="e" cm="1">
        <f t="array" ref="DA537">IF(ISNUMBER(CZ537),AF537/COUNT(IF(ISNUMBER(_xlfn.ANCHORARRAY($CZ$11)),_xlfn.ANCHORARRAY($CZ$11))),NA())</f>
        <v>#N/A</v>
      </c>
      <c r="DB537" t="e">
        <f t="shared" si="217"/>
        <v>#N/A</v>
      </c>
      <c r="DD537" t="e">
        <f t="shared" si="218"/>
        <v>#N/A</v>
      </c>
      <c r="DE537" t="e">
        <f t="shared" si="219"/>
        <v>#N/A</v>
      </c>
      <c r="DG537" t="e">
        <v>#N/A</v>
      </c>
      <c r="DH537" t="e">
        <v>#N/A</v>
      </c>
    </row>
    <row r="538" spans="32:112">
      <c r="AF538">
        <v>528</v>
      </c>
      <c r="AG538" s="401">
        <f>'Lab test'!N531</f>
        <v>19.049999999999997</v>
      </c>
      <c r="AH538" s="401">
        <f>'Lab test'!M531</f>
        <v>0.71119999999999994</v>
      </c>
      <c r="AI538" t="e">
        <f>IF('Lab test'!O531&gt;0,'Lab test'!O531,NA())</f>
        <v>#N/A</v>
      </c>
      <c r="AJ538">
        <f>'Lab test'!Q531</f>
        <v>26.35</v>
      </c>
      <c r="AK538" s="401">
        <f>IF('Lab test'!V531&gt;0,'Lab test'!V531,NA())</f>
        <v>205463.766944</v>
      </c>
      <c r="AL538" s="7">
        <f>IF(MAX('Lab test'!W531,'Lab test'!X531)&gt;0,MAX('Lab test'!W531,'Lab test'!X531),NA())</f>
        <v>594.74893514425912</v>
      </c>
      <c r="AM538" s="401" t="e">
        <f>IF('Lab test'!P531&gt;0,'Lab test'!P531,NA())</f>
        <v>#N/A</v>
      </c>
      <c r="AN538" s="401">
        <f>IF('Lab test'!AU531&gt;0,'Lab test'!AU531,NA())</f>
        <v>1.0189999999999999</v>
      </c>
      <c r="AO538" s="401">
        <f>IF('Lab test'!AT531&gt;0,'Lab test'!AT531,NA())</f>
        <v>0.1284205584227005</v>
      </c>
      <c r="AP538">
        <f t="shared" si="220"/>
        <v>1</v>
      </c>
      <c r="AQ538" s="401">
        <f>'Lab test'!AZ531</f>
        <v>1938</v>
      </c>
      <c r="AR538" t="str">
        <f>'Lab test'!AC531</f>
        <v>Tubes</v>
      </c>
      <c r="AS538" t="str">
        <f>'Lab test'!T531</f>
        <v>Steel</v>
      </c>
      <c r="AX538" t="e">
        <f t="shared" si="205"/>
        <v>#N/A</v>
      </c>
      <c r="AY538" t="e">
        <f t="shared" si="199"/>
        <v>#N/A</v>
      </c>
      <c r="AZ538" t="e">
        <f t="shared" si="202"/>
        <v>#N/A</v>
      </c>
      <c r="BA538" t="e">
        <f t="shared" si="202"/>
        <v>#N/A</v>
      </c>
      <c r="BB538" t="e">
        <f t="shared" si="202"/>
        <v>#N/A</v>
      </c>
      <c r="BC538" t="e">
        <f t="shared" si="202"/>
        <v>#N/A</v>
      </c>
      <c r="BD538" t="e">
        <f t="shared" si="202"/>
        <v>#N/A</v>
      </c>
      <c r="BG538" t="e">
        <f t="shared" si="206"/>
        <v>#N/A</v>
      </c>
      <c r="BH538" t="e">
        <f t="shared" si="200"/>
        <v>#N/A</v>
      </c>
      <c r="BI538" t="e">
        <f t="shared" si="203"/>
        <v>#N/A</v>
      </c>
      <c r="BJ538" t="e">
        <f t="shared" si="203"/>
        <v>#N/A</v>
      </c>
      <c r="BK538" t="e">
        <f t="shared" si="203"/>
        <v>#N/A</v>
      </c>
      <c r="BL538" t="e">
        <f t="shared" si="203"/>
        <v>#N/A</v>
      </c>
      <c r="BM538" t="e">
        <f t="shared" si="203"/>
        <v>#N/A</v>
      </c>
      <c r="BP538" t="e">
        <f t="shared" si="207"/>
        <v>#N/A</v>
      </c>
      <c r="BQ538" t="e">
        <f t="shared" si="201"/>
        <v>#N/A</v>
      </c>
      <c r="BR538" t="e">
        <f t="shared" si="204"/>
        <v>#N/A</v>
      </c>
      <c r="BS538" t="e">
        <f t="shared" si="204"/>
        <v>#N/A</v>
      </c>
      <c r="BT538" t="e">
        <f t="shared" si="204"/>
        <v>#N/A</v>
      </c>
      <c r="BU538" t="e">
        <f t="shared" si="204"/>
        <v>#N/A</v>
      </c>
      <c r="BV538" t="e">
        <f t="shared" si="204"/>
        <v>#N/A</v>
      </c>
      <c r="BY538" t="e">
        <f t="shared" si="208"/>
        <v>#N/A</v>
      </c>
      <c r="BZ538" t="e">
        <v>#N/A</v>
      </c>
      <c r="CA538" t="e" cm="1">
        <f t="array" ref="CA538">IF(ISNUMBER(BZ538),AF538/COUNT(IF(ISNUMBER(_xlfn.ANCHORARRAY($BZ$11)),_xlfn.ANCHORARRAY($BZ$11))),NA())</f>
        <v>#N/A</v>
      </c>
      <c r="CB538" t="e">
        <f t="shared" si="209"/>
        <v>#N/A</v>
      </c>
      <c r="CD538" t="e">
        <f t="shared" si="210"/>
        <v>#N/A</v>
      </c>
      <c r="CE538" t="e">
        <f t="shared" si="211"/>
        <v>#N/A</v>
      </c>
      <c r="CG538" t="e">
        <v>#N/A</v>
      </c>
      <c r="CH538" t="e">
        <v>#N/A</v>
      </c>
      <c r="CL538" t="e">
        <f t="shared" si="212"/>
        <v>#N/A</v>
      </c>
      <c r="CM538" t="e">
        <v>#N/A</v>
      </c>
      <c r="CN538" t="e" cm="1">
        <f t="array" ref="CN538">IF(ISNUMBER(CM538),AF538/COUNT(IF(ISNUMBER(_xlfn.ANCHORARRAY($CM$11)),_xlfn.ANCHORARRAY($CM$11))),NA())</f>
        <v>#N/A</v>
      </c>
      <c r="CO538" t="e">
        <f t="shared" si="213"/>
        <v>#N/A</v>
      </c>
      <c r="CQ538" t="e">
        <f t="shared" si="214"/>
        <v>#N/A</v>
      </c>
      <c r="CR538" t="e">
        <f t="shared" si="215"/>
        <v>#N/A</v>
      </c>
      <c r="CT538" t="e">
        <v>#N/A</v>
      </c>
      <c r="CU538" t="e">
        <v>#N/A</v>
      </c>
      <c r="CY538" t="e">
        <f t="shared" si="216"/>
        <v>#N/A</v>
      </c>
      <c r="CZ538" t="e">
        <v>#N/A</v>
      </c>
      <c r="DA538" t="e" cm="1">
        <f t="array" ref="DA538">IF(ISNUMBER(CZ538),AF538/COUNT(IF(ISNUMBER(_xlfn.ANCHORARRAY($CZ$11)),_xlfn.ANCHORARRAY($CZ$11))),NA())</f>
        <v>#N/A</v>
      </c>
      <c r="DB538" t="e">
        <f t="shared" si="217"/>
        <v>#N/A</v>
      </c>
      <c r="DD538" t="e">
        <f t="shared" si="218"/>
        <v>#N/A</v>
      </c>
      <c r="DE538" t="e">
        <f t="shared" si="219"/>
        <v>#N/A</v>
      </c>
      <c r="DG538" t="e">
        <v>#N/A</v>
      </c>
      <c r="DH538" t="e">
        <v>#N/A</v>
      </c>
    </row>
    <row r="539" spans="32:112">
      <c r="AF539">
        <v>529</v>
      </c>
      <c r="AG539" s="401">
        <f>'Lab test'!N532</f>
        <v>19.049999999999997</v>
      </c>
      <c r="AH539" s="401">
        <f>'Lab test'!M532</f>
        <v>0.71119999999999994</v>
      </c>
      <c r="AI539" t="e">
        <f>IF('Lab test'!O532&gt;0,'Lab test'!O532,NA())</f>
        <v>#N/A</v>
      </c>
      <c r="AJ539">
        <f>'Lab test'!Q532</f>
        <v>27.05</v>
      </c>
      <c r="AK539" s="401">
        <f>IF('Lab test'!V532&gt;0,'Lab test'!V532,NA())</f>
        <v>205463.766944</v>
      </c>
      <c r="AL539" s="7">
        <f>IF(MAX('Lab test'!W532,'Lab test'!X532)&gt;0,MAX('Lab test'!W532,'Lab test'!X532),NA())</f>
        <v>636.64752880157164</v>
      </c>
      <c r="AM539" s="401" t="e">
        <f>IF('Lab test'!P532&gt;0,'Lab test'!P532,NA())</f>
        <v>#N/A</v>
      </c>
      <c r="AN539" s="401">
        <f>IF('Lab test'!AU532&gt;0,'Lab test'!AU532,NA())</f>
        <v>1.018</v>
      </c>
      <c r="AO539" s="401">
        <f>IF('Lab test'!AT532&gt;0,'Lab test'!AT532,NA())</f>
        <v>0.14098086876427218</v>
      </c>
      <c r="AP539">
        <f t="shared" si="220"/>
        <v>1</v>
      </c>
      <c r="AQ539" s="401">
        <f>'Lab test'!AZ532</f>
        <v>1938</v>
      </c>
      <c r="AR539" t="str">
        <f>'Lab test'!AC532</f>
        <v>Tubes</v>
      </c>
      <c r="AS539" t="str">
        <f>'Lab test'!T532</f>
        <v>Steel</v>
      </c>
      <c r="AX539" t="e">
        <f t="shared" si="205"/>
        <v>#N/A</v>
      </c>
      <c r="AY539" t="e">
        <f t="shared" si="199"/>
        <v>#N/A</v>
      </c>
      <c r="AZ539" t="e">
        <f t="shared" si="202"/>
        <v>#N/A</v>
      </c>
      <c r="BA539" t="e">
        <f t="shared" si="202"/>
        <v>#N/A</v>
      </c>
      <c r="BB539" t="e">
        <f t="shared" si="202"/>
        <v>#N/A</v>
      </c>
      <c r="BC539" t="e">
        <f t="shared" si="202"/>
        <v>#N/A</v>
      </c>
      <c r="BD539" t="e">
        <f t="shared" si="202"/>
        <v>#N/A</v>
      </c>
      <c r="BG539" t="e">
        <f t="shared" si="206"/>
        <v>#N/A</v>
      </c>
      <c r="BH539" t="e">
        <f t="shared" si="200"/>
        <v>#N/A</v>
      </c>
      <c r="BI539" t="e">
        <f t="shared" si="203"/>
        <v>#N/A</v>
      </c>
      <c r="BJ539" t="e">
        <f t="shared" si="203"/>
        <v>#N/A</v>
      </c>
      <c r="BK539" t="e">
        <f t="shared" si="203"/>
        <v>#N/A</v>
      </c>
      <c r="BL539" t="e">
        <f t="shared" si="203"/>
        <v>#N/A</v>
      </c>
      <c r="BM539" t="e">
        <f t="shared" si="203"/>
        <v>#N/A</v>
      </c>
      <c r="BP539" t="e">
        <f t="shared" si="207"/>
        <v>#N/A</v>
      </c>
      <c r="BQ539" t="e">
        <f t="shared" si="201"/>
        <v>#N/A</v>
      </c>
      <c r="BR539" t="e">
        <f t="shared" si="204"/>
        <v>#N/A</v>
      </c>
      <c r="BS539" t="e">
        <f t="shared" si="204"/>
        <v>#N/A</v>
      </c>
      <c r="BT539" t="e">
        <f t="shared" si="204"/>
        <v>#N/A</v>
      </c>
      <c r="BU539" t="e">
        <f t="shared" si="204"/>
        <v>#N/A</v>
      </c>
      <c r="BV539" t="e">
        <f t="shared" si="204"/>
        <v>#N/A</v>
      </c>
      <c r="BY539" t="e">
        <f t="shared" si="208"/>
        <v>#N/A</v>
      </c>
      <c r="BZ539" t="e">
        <v>#N/A</v>
      </c>
      <c r="CA539" t="e" cm="1">
        <f t="array" ref="CA539">IF(ISNUMBER(BZ539),AF539/COUNT(IF(ISNUMBER(_xlfn.ANCHORARRAY($BZ$11)),_xlfn.ANCHORARRAY($BZ$11))),NA())</f>
        <v>#N/A</v>
      </c>
      <c r="CB539" t="e">
        <f t="shared" si="209"/>
        <v>#N/A</v>
      </c>
      <c r="CD539" t="e">
        <f t="shared" si="210"/>
        <v>#N/A</v>
      </c>
      <c r="CE539" t="e">
        <f t="shared" si="211"/>
        <v>#N/A</v>
      </c>
      <c r="CG539" t="e">
        <v>#N/A</v>
      </c>
      <c r="CH539" t="e">
        <v>#N/A</v>
      </c>
      <c r="CL539" t="e">
        <f t="shared" si="212"/>
        <v>#N/A</v>
      </c>
      <c r="CM539" t="e">
        <v>#N/A</v>
      </c>
      <c r="CN539" t="e" cm="1">
        <f t="array" ref="CN539">IF(ISNUMBER(CM539),AF539/COUNT(IF(ISNUMBER(_xlfn.ANCHORARRAY($CM$11)),_xlfn.ANCHORARRAY($CM$11))),NA())</f>
        <v>#N/A</v>
      </c>
      <c r="CO539" t="e">
        <f t="shared" si="213"/>
        <v>#N/A</v>
      </c>
      <c r="CQ539" t="e">
        <f t="shared" si="214"/>
        <v>#N/A</v>
      </c>
      <c r="CR539" t="e">
        <f t="shared" si="215"/>
        <v>#N/A</v>
      </c>
      <c r="CT539" t="e">
        <v>#N/A</v>
      </c>
      <c r="CU539" t="e">
        <v>#N/A</v>
      </c>
      <c r="CY539" t="e">
        <f t="shared" si="216"/>
        <v>#N/A</v>
      </c>
      <c r="CZ539" t="e">
        <v>#N/A</v>
      </c>
      <c r="DA539" t="e" cm="1">
        <f t="array" ref="DA539">IF(ISNUMBER(CZ539),AF539/COUNT(IF(ISNUMBER(_xlfn.ANCHORARRAY($CZ$11)),_xlfn.ANCHORARRAY($CZ$11))),NA())</f>
        <v>#N/A</v>
      </c>
      <c r="DB539" t="e">
        <f t="shared" si="217"/>
        <v>#N/A</v>
      </c>
      <c r="DD539" t="e">
        <f t="shared" si="218"/>
        <v>#N/A</v>
      </c>
      <c r="DE539" t="e">
        <f t="shared" si="219"/>
        <v>#N/A</v>
      </c>
      <c r="DG539" t="e">
        <v>#N/A</v>
      </c>
      <c r="DH539" t="e">
        <v>#N/A</v>
      </c>
    </row>
    <row r="540" spans="32:112">
      <c r="AF540">
        <v>530</v>
      </c>
      <c r="AG540" s="401">
        <f>'Lab test'!N533</f>
        <v>25.4</v>
      </c>
      <c r="AH540" s="401">
        <f>'Lab test'!M533</f>
        <v>0.88900000000000001</v>
      </c>
      <c r="AI540" t="e">
        <f>IF('Lab test'!O533&gt;0,'Lab test'!O533,NA())</f>
        <v>#N/A</v>
      </c>
      <c r="AJ540">
        <f>'Lab test'!Q533</f>
        <v>28.35</v>
      </c>
      <c r="AK540" s="401">
        <f>IF('Lab test'!V533&gt;0,'Lab test'!V533,NA())</f>
        <v>205463.766944</v>
      </c>
      <c r="AL540" s="7">
        <f>IF(MAX('Lab test'!W533,'Lab test'!X533)&gt;0,MAX('Lab test'!W533,'Lab test'!X533),NA())</f>
        <v>643.51067946666672</v>
      </c>
      <c r="AM540" s="401" t="e">
        <f>IF('Lab test'!P533&gt;0,'Lab test'!P533,NA())</f>
        <v>#N/A</v>
      </c>
      <c r="AN540" s="401">
        <f>IF('Lab test'!AU533&gt;0,'Lab test'!AU533,NA())</f>
        <v>0.94499999999999995</v>
      </c>
      <c r="AO540" s="401">
        <f>IF('Lab test'!AT533&gt;0,'Lab test'!AT533,NA())</f>
        <v>0.1386394120104612</v>
      </c>
      <c r="AP540">
        <f t="shared" si="220"/>
        <v>1</v>
      </c>
      <c r="AQ540" s="401">
        <f>'Lab test'!AZ533</f>
        <v>1938</v>
      </c>
      <c r="AR540" t="str">
        <f>'Lab test'!AC533</f>
        <v>Tubes</v>
      </c>
      <c r="AS540" t="str">
        <f>'Lab test'!T533</f>
        <v>Steel</v>
      </c>
      <c r="AX540" t="e">
        <f t="shared" si="205"/>
        <v>#N/A</v>
      </c>
      <c r="AY540" t="e">
        <f t="shared" si="199"/>
        <v>#N/A</v>
      </c>
      <c r="AZ540" t="e">
        <f t="shared" si="202"/>
        <v>#N/A</v>
      </c>
      <c r="BA540" t="e">
        <f t="shared" si="202"/>
        <v>#N/A</v>
      </c>
      <c r="BB540" t="e">
        <f t="shared" si="202"/>
        <v>#N/A</v>
      </c>
      <c r="BC540" t="e">
        <f t="shared" si="202"/>
        <v>#N/A</v>
      </c>
      <c r="BD540" t="e">
        <f t="shared" si="202"/>
        <v>#N/A</v>
      </c>
      <c r="BG540" t="e">
        <f t="shared" si="206"/>
        <v>#N/A</v>
      </c>
      <c r="BH540" t="e">
        <f t="shared" si="200"/>
        <v>#N/A</v>
      </c>
      <c r="BI540" t="e">
        <f t="shared" si="203"/>
        <v>#N/A</v>
      </c>
      <c r="BJ540" t="e">
        <f t="shared" si="203"/>
        <v>#N/A</v>
      </c>
      <c r="BK540" t="e">
        <f t="shared" si="203"/>
        <v>#N/A</v>
      </c>
      <c r="BL540" t="e">
        <f t="shared" si="203"/>
        <v>#N/A</v>
      </c>
      <c r="BM540" t="e">
        <f t="shared" si="203"/>
        <v>#N/A</v>
      </c>
      <c r="BP540" t="e">
        <f t="shared" si="207"/>
        <v>#N/A</v>
      </c>
      <c r="BQ540" t="e">
        <f t="shared" si="201"/>
        <v>#N/A</v>
      </c>
      <c r="BR540" t="e">
        <f t="shared" si="204"/>
        <v>#N/A</v>
      </c>
      <c r="BS540" t="e">
        <f t="shared" si="204"/>
        <v>#N/A</v>
      </c>
      <c r="BT540" t="e">
        <f t="shared" si="204"/>
        <v>#N/A</v>
      </c>
      <c r="BU540" t="e">
        <f t="shared" si="204"/>
        <v>#N/A</v>
      </c>
      <c r="BV540" t="e">
        <f t="shared" si="204"/>
        <v>#N/A</v>
      </c>
      <c r="BY540" t="e">
        <f t="shared" si="208"/>
        <v>#N/A</v>
      </c>
      <c r="BZ540" t="e">
        <v>#N/A</v>
      </c>
      <c r="CA540" t="e" cm="1">
        <f t="array" ref="CA540">IF(ISNUMBER(BZ540),AF540/COUNT(IF(ISNUMBER(_xlfn.ANCHORARRAY($BZ$11)),_xlfn.ANCHORARRAY($BZ$11))),NA())</f>
        <v>#N/A</v>
      </c>
      <c r="CB540" t="e">
        <f t="shared" si="209"/>
        <v>#N/A</v>
      </c>
      <c r="CD540" t="e">
        <f t="shared" si="210"/>
        <v>#N/A</v>
      </c>
      <c r="CE540" t="e">
        <f t="shared" si="211"/>
        <v>#N/A</v>
      </c>
      <c r="CG540" t="e">
        <v>#N/A</v>
      </c>
      <c r="CH540" t="e">
        <v>#N/A</v>
      </c>
      <c r="CL540" t="e">
        <f t="shared" si="212"/>
        <v>#N/A</v>
      </c>
      <c r="CM540" t="e">
        <v>#N/A</v>
      </c>
      <c r="CN540" t="e" cm="1">
        <f t="array" ref="CN540">IF(ISNUMBER(CM540),AF540/COUNT(IF(ISNUMBER(_xlfn.ANCHORARRAY($CM$11)),_xlfn.ANCHORARRAY($CM$11))),NA())</f>
        <v>#N/A</v>
      </c>
      <c r="CO540" t="e">
        <f t="shared" si="213"/>
        <v>#N/A</v>
      </c>
      <c r="CQ540" t="e">
        <f t="shared" si="214"/>
        <v>#N/A</v>
      </c>
      <c r="CR540" t="e">
        <f t="shared" si="215"/>
        <v>#N/A</v>
      </c>
      <c r="CT540" t="e">
        <v>#N/A</v>
      </c>
      <c r="CU540" t="e">
        <v>#N/A</v>
      </c>
      <c r="CY540" t="e">
        <f t="shared" si="216"/>
        <v>#N/A</v>
      </c>
      <c r="CZ540" t="e">
        <v>#N/A</v>
      </c>
      <c r="DA540" t="e" cm="1">
        <f t="array" ref="DA540">IF(ISNUMBER(CZ540),AF540/COUNT(IF(ISNUMBER(_xlfn.ANCHORARRAY($CZ$11)),_xlfn.ANCHORARRAY($CZ$11))),NA())</f>
        <v>#N/A</v>
      </c>
      <c r="DB540" t="e">
        <f t="shared" si="217"/>
        <v>#N/A</v>
      </c>
      <c r="DD540" t="e">
        <f t="shared" si="218"/>
        <v>#N/A</v>
      </c>
      <c r="DE540" t="e">
        <f t="shared" si="219"/>
        <v>#N/A</v>
      </c>
      <c r="DG540" t="e">
        <v>#N/A</v>
      </c>
      <c r="DH540" t="e">
        <v>#N/A</v>
      </c>
    </row>
    <row r="541" spans="32:112">
      <c r="AF541">
        <v>531</v>
      </c>
      <c r="AG541" s="401">
        <f>'Lab test'!N534</f>
        <v>25.4</v>
      </c>
      <c r="AH541" s="401">
        <f>'Lab test'!M534</f>
        <v>0.88900000000000001</v>
      </c>
      <c r="AI541" t="e">
        <f>IF('Lab test'!O534&gt;0,'Lab test'!O534,NA())</f>
        <v>#N/A</v>
      </c>
      <c r="AJ541">
        <f>'Lab test'!Q534</f>
        <v>28.45</v>
      </c>
      <c r="AK541" s="401">
        <f>IF('Lab test'!V534&gt;0,'Lab test'!V534,NA())</f>
        <v>205463.766944</v>
      </c>
      <c r="AL541" s="7">
        <f>IF(MAX('Lab test'!W534,'Lab test'!X534)&gt;0,MAX('Lab test'!W534,'Lab test'!X534),NA())</f>
        <v>643.46274928050059</v>
      </c>
      <c r="AM541" s="401" t="e">
        <f>IF('Lab test'!P534&gt;0,'Lab test'!P534,NA())</f>
        <v>#N/A</v>
      </c>
      <c r="AN541" s="401">
        <f>IF('Lab test'!AU534&gt;0,'Lab test'!AU534,NA())</f>
        <v>0.95899999999999996</v>
      </c>
      <c r="AO541" s="401">
        <f>IF('Lab test'!AT534&gt;0,'Lab test'!AT534,NA())</f>
        <v>0.1411790858586334</v>
      </c>
      <c r="AP541">
        <f t="shared" si="220"/>
        <v>1</v>
      </c>
      <c r="AQ541" s="401">
        <f>'Lab test'!AZ534</f>
        <v>1938</v>
      </c>
      <c r="AR541" t="str">
        <f>'Lab test'!AC534</f>
        <v>Tubes</v>
      </c>
      <c r="AS541" t="str">
        <f>'Lab test'!T534</f>
        <v>Steel</v>
      </c>
      <c r="AX541" t="e">
        <f t="shared" si="205"/>
        <v>#N/A</v>
      </c>
      <c r="AY541" t="e">
        <f t="shared" si="199"/>
        <v>#N/A</v>
      </c>
      <c r="AZ541" t="e">
        <f t="shared" si="202"/>
        <v>#N/A</v>
      </c>
      <c r="BA541" t="e">
        <f t="shared" si="202"/>
        <v>#N/A</v>
      </c>
      <c r="BB541" t="e">
        <f t="shared" si="202"/>
        <v>#N/A</v>
      </c>
      <c r="BC541" t="e">
        <f t="shared" si="202"/>
        <v>#N/A</v>
      </c>
      <c r="BD541" t="e">
        <f t="shared" si="202"/>
        <v>#N/A</v>
      </c>
      <c r="BG541" t="e">
        <f t="shared" si="206"/>
        <v>#N/A</v>
      </c>
      <c r="BH541" t="e">
        <f t="shared" si="200"/>
        <v>#N/A</v>
      </c>
      <c r="BI541" t="e">
        <f t="shared" si="203"/>
        <v>#N/A</v>
      </c>
      <c r="BJ541" t="e">
        <f t="shared" si="203"/>
        <v>#N/A</v>
      </c>
      <c r="BK541" t="e">
        <f t="shared" si="203"/>
        <v>#N/A</v>
      </c>
      <c r="BL541" t="e">
        <f t="shared" si="203"/>
        <v>#N/A</v>
      </c>
      <c r="BM541" t="e">
        <f t="shared" si="203"/>
        <v>#N/A</v>
      </c>
      <c r="BP541" t="e">
        <f t="shared" si="207"/>
        <v>#N/A</v>
      </c>
      <c r="BQ541" t="e">
        <f t="shared" si="201"/>
        <v>#N/A</v>
      </c>
      <c r="BR541" t="e">
        <f t="shared" si="204"/>
        <v>#N/A</v>
      </c>
      <c r="BS541" t="e">
        <f t="shared" si="204"/>
        <v>#N/A</v>
      </c>
      <c r="BT541" t="e">
        <f t="shared" si="204"/>
        <v>#N/A</v>
      </c>
      <c r="BU541" t="e">
        <f t="shared" si="204"/>
        <v>#N/A</v>
      </c>
      <c r="BV541" t="e">
        <f t="shared" si="204"/>
        <v>#N/A</v>
      </c>
      <c r="BY541" t="e">
        <f t="shared" si="208"/>
        <v>#N/A</v>
      </c>
      <c r="BZ541" t="e">
        <v>#N/A</v>
      </c>
      <c r="CA541" t="e" cm="1">
        <f t="array" ref="CA541">IF(ISNUMBER(BZ541),AF541/COUNT(IF(ISNUMBER(_xlfn.ANCHORARRAY($BZ$11)),_xlfn.ANCHORARRAY($BZ$11))),NA())</f>
        <v>#N/A</v>
      </c>
      <c r="CB541" t="e">
        <f t="shared" si="209"/>
        <v>#N/A</v>
      </c>
      <c r="CD541" t="e">
        <f t="shared" si="210"/>
        <v>#N/A</v>
      </c>
      <c r="CE541" t="e">
        <f t="shared" si="211"/>
        <v>#N/A</v>
      </c>
      <c r="CG541" t="e">
        <v>#N/A</v>
      </c>
      <c r="CH541" t="e">
        <v>#N/A</v>
      </c>
      <c r="CL541" t="e">
        <f t="shared" si="212"/>
        <v>#N/A</v>
      </c>
      <c r="CM541" t="e">
        <v>#N/A</v>
      </c>
      <c r="CN541" t="e" cm="1">
        <f t="array" ref="CN541">IF(ISNUMBER(CM541),AF541/COUNT(IF(ISNUMBER(_xlfn.ANCHORARRAY($CM$11)),_xlfn.ANCHORARRAY($CM$11))),NA())</f>
        <v>#N/A</v>
      </c>
      <c r="CO541" t="e">
        <f t="shared" si="213"/>
        <v>#N/A</v>
      </c>
      <c r="CQ541" t="e">
        <f t="shared" si="214"/>
        <v>#N/A</v>
      </c>
      <c r="CR541" t="e">
        <f t="shared" si="215"/>
        <v>#N/A</v>
      </c>
      <c r="CT541" t="e">
        <v>#N/A</v>
      </c>
      <c r="CU541" t="e">
        <v>#N/A</v>
      </c>
      <c r="CY541" t="e">
        <f t="shared" si="216"/>
        <v>#N/A</v>
      </c>
      <c r="CZ541" t="e">
        <v>#N/A</v>
      </c>
      <c r="DA541" t="e" cm="1">
        <f t="array" ref="DA541">IF(ISNUMBER(CZ541),AF541/COUNT(IF(ISNUMBER(_xlfn.ANCHORARRAY($CZ$11)),_xlfn.ANCHORARRAY($CZ$11))),NA())</f>
        <v>#N/A</v>
      </c>
      <c r="DB541" t="e">
        <f t="shared" si="217"/>
        <v>#N/A</v>
      </c>
      <c r="DD541" t="e">
        <f t="shared" si="218"/>
        <v>#N/A</v>
      </c>
      <c r="DE541" t="e">
        <f t="shared" si="219"/>
        <v>#N/A</v>
      </c>
      <c r="DG541" t="e">
        <v>#N/A</v>
      </c>
      <c r="DH541" t="e">
        <v>#N/A</v>
      </c>
    </row>
    <row r="542" spans="32:112">
      <c r="AF542">
        <v>532</v>
      </c>
      <c r="AG542" s="401">
        <f>'Lab test'!N535</f>
        <v>25.4</v>
      </c>
      <c r="AH542" s="401">
        <f>'Lab test'!M535</f>
        <v>0.88900000000000001</v>
      </c>
      <c r="AI542" t="e">
        <f>IF('Lab test'!O535&gt;0,'Lab test'!O535,NA())</f>
        <v>#N/A</v>
      </c>
      <c r="AJ542">
        <f>'Lab test'!Q535</f>
        <v>30.9</v>
      </c>
      <c r="AK542" s="401">
        <f>IF('Lab test'!V535&gt;0,'Lab test'!V535,NA())</f>
        <v>205463.766944</v>
      </c>
      <c r="AL542" s="7">
        <f>IF(MAX('Lab test'!W535,'Lab test'!X535)&gt;0,MAX('Lab test'!W535,'Lab test'!X535),NA())</f>
        <v>666.88191450317129</v>
      </c>
      <c r="AM542" s="401" t="e">
        <f>IF('Lab test'!P535&gt;0,'Lab test'!P535,NA())</f>
        <v>#N/A</v>
      </c>
      <c r="AN542" s="401">
        <f>IF('Lab test'!AU535&gt;0,'Lab test'!AU535,NA())</f>
        <v>0.94599999999999995</v>
      </c>
      <c r="AO542" s="401">
        <f>IF('Lab test'!AT535&gt;0,'Lab test'!AT535,NA())</f>
        <v>0.15676338510271168</v>
      </c>
      <c r="AP542">
        <f t="shared" si="220"/>
        <v>1</v>
      </c>
      <c r="AQ542" s="401">
        <f>'Lab test'!AZ535</f>
        <v>1938</v>
      </c>
      <c r="AR542" t="str">
        <f>'Lab test'!AC535</f>
        <v>Tubes</v>
      </c>
      <c r="AS542" t="str">
        <f>'Lab test'!T535</f>
        <v>Steel</v>
      </c>
      <c r="AX542" t="e">
        <f t="shared" si="205"/>
        <v>#N/A</v>
      </c>
      <c r="AY542" t="e">
        <f t="shared" si="199"/>
        <v>#N/A</v>
      </c>
      <c r="AZ542" t="e">
        <f t="shared" si="202"/>
        <v>#N/A</v>
      </c>
      <c r="BA542" t="e">
        <f t="shared" si="202"/>
        <v>#N/A</v>
      </c>
      <c r="BB542" t="e">
        <f t="shared" si="202"/>
        <v>#N/A</v>
      </c>
      <c r="BC542" t="e">
        <f t="shared" si="202"/>
        <v>#N/A</v>
      </c>
      <c r="BD542" t="e">
        <f t="shared" si="202"/>
        <v>#N/A</v>
      </c>
      <c r="BG542" t="e">
        <f t="shared" si="206"/>
        <v>#N/A</v>
      </c>
      <c r="BH542" t="e">
        <f t="shared" si="200"/>
        <v>#N/A</v>
      </c>
      <c r="BI542" t="e">
        <f t="shared" si="203"/>
        <v>#N/A</v>
      </c>
      <c r="BJ542" t="e">
        <f t="shared" si="203"/>
        <v>#N/A</v>
      </c>
      <c r="BK542" t="e">
        <f t="shared" si="203"/>
        <v>#N/A</v>
      </c>
      <c r="BL542" t="e">
        <f t="shared" si="203"/>
        <v>#N/A</v>
      </c>
      <c r="BM542" t="e">
        <f t="shared" si="203"/>
        <v>#N/A</v>
      </c>
      <c r="BP542" t="e">
        <f t="shared" si="207"/>
        <v>#N/A</v>
      </c>
      <c r="BQ542" t="e">
        <f t="shared" si="201"/>
        <v>#N/A</v>
      </c>
      <c r="BR542" t="e">
        <f t="shared" si="204"/>
        <v>#N/A</v>
      </c>
      <c r="BS542" t="e">
        <f t="shared" si="204"/>
        <v>#N/A</v>
      </c>
      <c r="BT542" t="e">
        <f t="shared" si="204"/>
        <v>#N/A</v>
      </c>
      <c r="BU542" t="e">
        <f t="shared" si="204"/>
        <v>#N/A</v>
      </c>
      <c r="BV542" t="e">
        <f t="shared" si="204"/>
        <v>#N/A</v>
      </c>
      <c r="BY542" t="e">
        <f t="shared" si="208"/>
        <v>#N/A</v>
      </c>
      <c r="BZ542" t="e">
        <v>#N/A</v>
      </c>
      <c r="CA542" t="e" cm="1">
        <f t="array" ref="CA542">IF(ISNUMBER(BZ542),AF542/COUNT(IF(ISNUMBER(_xlfn.ANCHORARRAY($BZ$11)),_xlfn.ANCHORARRAY($BZ$11))),NA())</f>
        <v>#N/A</v>
      </c>
      <c r="CB542" t="e">
        <f t="shared" si="209"/>
        <v>#N/A</v>
      </c>
      <c r="CD542" t="e">
        <f t="shared" si="210"/>
        <v>#N/A</v>
      </c>
      <c r="CE542" t="e">
        <f t="shared" si="211"/>
        <v>#N/A</v>
      </c>
      <c r="CG542" t="e">
        <v>#N/A</v>
      </c>
      <c r="CH542" t="e">
        <v>#N/A</v>
      </c>
      <c r="CL542" t="e">
        <f t="shared" si="212"/>
        <v>#N/A</v>
      </c>
      <c r="CM542" t="e">
        <v>#N/A</v>
      </c>
      <c r="CN542" t="e" cm="1">
        <f t="array" ref="CN542">IF(ISNUMBER(CM542),AF542/COUNT(IF(ISNUMBER(_xlfn.ANCHORARRAY($CM$11)),_xlfn.ANCHORARRAY($CM$11))),NA())</f>
        <v>#N/A</v>
      </c>
      <c r="CO542" t="e">
        <f t="shared" si="213"/>
        <v>#N/A</v>
      </c>
      <c r="CQ542" t="e">
        <f t="shared" si="214"/>
        <v>#N/A</v>
      </c>
      <c r="CR542" t="e">
        <f t="shared" si="215"/>
        <v>#N/A</v>
      </c>
      <c r="CT542" t="e">
        <v>#N/A</v>
      </c>
      <c r="CU542" t="e">
        <v>#N/A</v>
      </c>
      <c r="CY542" t="e">
        <f t="shared" si="216"/>
        <v>#N/A</v>
      </c>
      <c r="CZ542" t="e">
        <v>#N/A</v>
      </c>
      <c r="DA542" t="e" cm="1">
        <f t="array" ref="DA542">IF(ISNUMBER(CZ542),AF542/COUNT(IF(ISNUMBER(_xlfn.ANCHORARRAY($CZ$11)),_xlfn.ANCHORARRAY($CZ$11))),NA())</f>
        <v>#N/A</v>
      </c>
      <c r="DB542" t="e">
        <f t="shared" si="217"/>
        <v>#N/A</v>
      </c>
      <c r="DD542" t="e">
        <f t="shared" si="218"/>
        <v>#N/A</v>
      </c>
      <c r="DE542" t="e">
        <f t="shared" si="219"/>
        <v>#N/A</v>
      </c>
      <c r="DG542" t="e">
        <v>#N/A</v>
      </c>
      <c r="DH542" t="e">
        <v>#N/A</v>
      </c>
    </row>
    <row r="543" spans="32:112">
      <c r="AF543">
        <v>533</v>
      </c>
      <c r="AG543" s="401">
        <f>'Lab test'!N536</f>
        <v>25.4</v>
      </c>
      <c r="AH543" s="401">
        <f>'Lab test'!M536</f>
        <v>0.88900000000000001</v>
      </c>
      <c r="AI543" t="e">
        <f>IF('Lab test'!O536&gt;0,'Lab test'!O536,NA())</f>
        <v>#N/A</v>
      </c>
      <c r="AJ543">
        <f>'Lab test'!Q536</f>
        <v>30.9</v>
      </c>
      <c r="AK543" s="401">
        <f>IF('Lab test'!V536&gt;0,'Lab test'!V536,NA())</f>
        <v>205463.766944</v>
      </c>
      <c r="AL543" s="7">
        <f>IF(MAX('Lab test'!W536,'Lab test'!X536)&gt;0,MAX('Lab test'!W536,'Lab test'!X536),NA())</f>
        <v>655.64104123882225</v>
      </c>
      <c r="AM543" s="401" t="e">
        <f>IF('Lab test'!P536&gt;0,'Lab test'!P536,NA())</f>
        <v>#N/A</v>
      </c>
      <c r="AN543" s="401">
        <f>IF('Lab test'!AU536&gt;0,'Lab test'!AU536,NA())</f>
        <v>0.91700000000000004</v>
      </c>
      <c r="AO543" s="401">
        <f>IF('Lab test'!AT536&gt;0,'Lab test'!AT536,NA())</f>
        <v>0.14939636263340392</v>
      </c>
      <c r="AP543">
        <f t="shared" si="220"/>
        <v>1</v>
      </c>
      <c r="AQ543" s="401">
        <f>'Lab test'!AZ536</f>
        <v>1938</v>
      </c>
      <c r="AR543" t="str">
        <f>'Lab test'!AC536</f>
        <v>Tubes</v>
      </c>
      <c r="AS543" t="str">
        <f>'Lab test'!T536</f>
        <v>Steel</v>
      </c>
      <c r="AX543" t="e">
        <f t="shared" si="205"/>
        <v>#N/A</v>
      </c>
      <c r="AY543" t="e">
        <f t="shared" si="199"/>
        <v>#N/A</v>
      </c>
      <c r="AZ543" t="e">
        <f t="shared" si="202"/>
        <v>#N/A</v>
      </c>
      <c r="BA543" t="e">
        <f t="shared" si="202"/>
        <v>#N/A</v>
      </c>
      <c r="BB543" t="e">
        <f t="shared" si="202"/>
        <v>#N/A</v>
      </c>
      <c r="BC543" t="e">
        <f t="shared" si="202"/>
        <v>#N/A</v>
      </c>
      <c r="BD543" t="e">
        <f t="shared" si="202"/>
        <v>#N/A</v>
      </c>
      <c r="BG543" t="e">
        <f t="shared" si="206"/>
        <v>#N/A</v>
      </c>
      <c r="BH543" t="e">
        <f t="shared" si="200"/>
        <v>#N/A</v>
      </c>
      <c r="BI543" t="e">
        <f t="shared" si="203"/>
        <v>#N/A</v>
      </c>
      <c r="BJ543" t="e">
        <f t="shared" si="203"/>
        <v>#N/A</v>
      </c>
      <c r="BK543" t="e">
        <f t="shared" si="203"/>
        <v>#N/A</v>
      </c>
      <c r="BL543" t="e">
        <f t="shared" si="203"/>
        <v>#N/A</v>
      </c>
      <c r="BM543" t="e">
        <f t="shared" si="203"/>
        <v>#N/A</v>
      </c>
      <c r="BP543" t="e">
        <f t="shared" si="207"/>
        <v>#N/A</v>
      </c>
      <c r="BQ543" t="e">
        <f t="shared" si="201"/>
        <v>#N/A</v>
      </c>
      <c r="BR543" t="e">
        <f t="shared" si="204"/>
        <v>#N/A</v>
      </c>
      <c r="BS543" t="e">
        <f t="shared" si="204"/>
        <v>#N/A</v>
      </c>
      <c r="BT543" t="e">
        <f t="shared" si="204"/>
        <v>#N/A</v>
      </c>
      <c r="BU543" t="e">
        <f t="shared" si="204"/>
        <v>#N/A</v>
      </c>
      <c r="BV543" t="e">
        <f t="shared" si="204"/>
        <v>#N/A</v>
      </c>
      <c r="BY543" t="e">
        <f t="shared" si="208"/>
        <v>#N/A</v>
      </c>
      <c r="BZ543" t="e">
        <v>#N/A</v>
      </c>
      <c r="CA543" t="e" cm="1">
        <f t="array" ref="CA543">IF(ISNUMBER(BZ543),AF543/COUNT(IF(ISNUMBER(_xlfn.ANCHORARRAY($BZ$11)),_xlfn.ANCHORARRAY($BZ$11))),NA())</f>
        <v>#N/A</v>
      </c>
      <c r="CB543" t="e">
        <f t="shared" si="209"/>
        <v>#N/A</v>
      </c>
      <c r="CD543" t="e">
        <f t="shared" si="210"/>
        <v>#N/A</v>
      </c>
      <c r="CE543" t="e">
        <f t="shared" si="211"/>
        <v>#N/A</v>
      </c>
      <c r="CG543" t="e">
        <v>#N/A</v>
      </c>
      <c r="CH543" t="e">
        <v>#N/A</v>
      </c>
      <c r="CL543" t="e">
        <f t="shared" si="212"/>
        <v>#N/A</v>
      </c>
      <c r="CM543" t="e">
        <v>#N/A</v>
      </c>
      <c r="CN543" t="e" cm="1">
        <f t="array" ref="CN543">IF(ISNUMBER(CM543),AF543/COUNT(IF(ISNUMBER(_xlfn.ANCHORARRAY($CM$11)),_xlfn.ANCHORARRAY($CM$11))),NA())</f>
        <v>#N/A</v>
      </c>
      <c r="CO543" t="e">
        <f t="shared" si="213"/>
        <v>#N/A</v>
      </c>
      <c r="CQ543" t="e">
        <f t="shared" si="214"/>
        <v>#N/A</v>
      </c>
      <c r="CR543" t="e">
        <f t="shared" si="215"/>
        <v>#N/A</v>
      </c>
      <c r="CT543" t="e">
        <v>#N/A</v>
      </c>
      <c r="CU543" t="e">
        <v>#N/A</v>
      </c>
      <c r="CY543" t="e">
        <f t="shared" si="216"/>
        <v>#N/A</v>
      </c>
      <c r="CZ543" t="e">
        <v>#N/A</v>
      </c>
      <c r="DA543" t="e" cm="1">
        <f t="array" ref="DA543">IF(ISNUMBER(CZ543),AF543/COUNT(IF(ISNUMBER(_xlfn.ANCHORARRAY($CZ$11)),_xlfn.ANCHORARRAY($CZ$11))),NA())</f>
        <v>#N/A</v>
      </c>
      <c r="DB543" t="e">
        <f t="shared" si="217"/>
        <v>#N/A</v>
      </c>
      <c r="DD543" t="e">
        <f t="shared" si="218"/>
        <v>#N/A</v>
      </c>
      <c r="DE543" t="e">
        <f t="shared" si="219"/>
        <v>#N/A</v>
      </c>
      <c r="DG543" t="e">
        <v>#N/A</v>
      </c>
      <c r="DH543" t="e">
        <v>#N/A</v>
      </c>
    </row>
    <row r="544" spans="32:112">
      <c r="AF544">
        <v>534</v>
      </c>
      <c r="AG544" s="401">
        <f>'Lab test'!N537</f>
        <v>12.7</v>
      </c>
      <c r="AH544" s="401">
        <f>'Lab test'!M537</f>
        <v>0.3175</v>
      </c>
      <c r="AI544" t="e">
        <f>IF('Lab test'!O537&gt;0,'Lab test'!O537,NA())</f>
        <v>#N/A</v>
      </c>
      <c r="AJ544">
        <f>'Lab test'!Q537</f>
        <v>39.200000000000003</v>
      </c>
      <c r="AK544" s="401">
        <f>IF('Lab test'!V537&gt;0,'Lab test'!V537,NA())</f>
        <v>205463.766944</v>
      </c>
      <c r="AL544" s="7">
        <f>IF(MAX('Lab test'!W537,'Lab test'!X537)&gt;0,MAX('Lab test'!W537,'Lab test'!X537),NA())</f>
        <v>461.31991808878126</v>
      </c>
      <c r="AM544" s="401" t="e">
        <f>IF('Lab test'!P537&gt;0,'Lab test'!P537,NA())</f>
        <v>#N/A</v>
      </c>
      <c r="AN544" s="401">
        <f>IF('Lab test'!AU537&gt;0,'Lab test'!AU537,NA())</f>
        <v>1.2390000000000001</v>
      </c>
      <c r="AO544" s="401">
        <f>IF('Lab test'!AT537&gt;0,'Lab test'!AT537,NA())</f>
        <v>0.18017961600105406</v>
      </c>
      <c r="AP544">
        <f t="shared" si="220"/>
        <v>1</v>
      </c>
      <c r="AQ544" s="401">
        <f>'Lab test'!AZ537</f>
        <v>1938</v>
      </c>
      <c r="AR544" t="str">
        <f>'Lab test'!AC537</f>
        <v>Tubes</v>
      </c>
      <c r="AS544" t="str">
        <f>'Lab test'!T537</f>
        <v>Steel</v>
      </c>
      <c r="AX544" t="e">
        <f t="shared" si="205"/>
        <v>#N/A</v>
      </c>
      <c r="AY544" t="e">
        <f t="shared" si="199"/>
        <v>#N/A</v>
      </c>
      <c r="AZ544" t="e">
        <f t="shared" si="202"/>
        <v>#N/A</v>
      </c>
      <c r="BA544" t="e">
        <f t="shared" si="202"/>
        <v>#N/A</v>
      </c>
      <c r="BB544" t="e">
        <f t="shared" si="202"/>
        <v>#N/A</v>
      </c>
      <c r="BC544" t="e">
        <f t="shared" si="202"/>
        <v>#N/A</v>
      </c>
      <c r="BD544" t="e">
        <f t="shared" si="202"/>
        <v>#N/A</v>
      </c>
      <c r="BG544" t="e">
        <f t="shared" si="206"/>
        <v>#N/A</v>
      </c>
      <c r="BH544" t="e">
        <f t="shared" si="200"/>
        <v>#N/A</v>
      </c>
      <c r="BI544" t="e">
        <f t="shared" si="203"/>
        <v>#N/A</v>
      </c>
      <c r="BJ544" t="e">
        <f t="shared" si="203"/>
        <v>#N/A</v>
      </c>
      <c r="BK544" t="e">
        <f t="shared" si="203"/>
        <v>#N/A</v>
      </c>
      <c r="BL544" t="e">
        <f t="shared" si="203"/>
        <v>#N/A</v>
      </c>
      <c r="BM544" t="e">
        <f t="shared" si="203"/>
        <v>#N/A</v>
      </c>
      <c r="BP544" t="e">
        <f t="shared" si="207"/>
        <v>#N/A</v>
      </c>
      <c r="BQ544" t="e">
        <f t="shared" si="201"/>
        <v>#N/A</v>
      </c>
      <c r="BR544" t="e">
        <f t="shared" si="204"/>
        <v>#N/A</v>
      </c>
      <c r="BS544" t="e">
        <f t="shared" si="204"/>
        <v>#N/A</v>
      </c>
      <c r="BT544" t="e">
        <f t="shared" si="204"/>
        <v>#N/A</v>
      </c>
      <c r="BU544" t="e">
        <f t="shared" si="204"/>
        <v>#N/A</v>
      </c>
      <c r="BV544" t="e">
        <f t="shared" si="204"/>
        <v>#N/A</v>
      </c>
      <c r="BY544" t="e">
        <f t="shared" si="208"/>
        <v>#N/A</v>
      </c>
      <c r="BZ544" t="e">
        <v>#N/A</v>
      </c>
      <c r="CA544" t="e" cm="1">
        <f t="array" ref="CA544">IF(ISNUMBER(BZ544),AF544/COUNT(IF(ISNUMBER(_xlfn.ANCHORARRAY($BZ$11)),_xlfn.ANCHORARRAY($BZ$11))),NA())</f>
        <v>#N/A</v>
      </c>
      <c r="CB544" t="e">
        <f t="shared" si="209"/>
        <v>#N/A</v>
      </c>
      <c r="CD544" t="e">
        <f t="shared" si="210"/>
        <v>#N/A</v>
      </c>
      <c r="CE544" t="e">
        <f t="shared" si="211"/>
        <v>#N/A</v>
      </c>
      <c r="CG544" t="e">
        <v>#N/A</v>
      </c>
      <c r="CH544" t="e">
        <v>#N/A</v>
      </c>
      <c r="CL544" t="e">
        <f t="shared" si="212"/>
        <v>#N/A</v>
      </c>
      <c r="CM544" t="e">
        <v>#N/A</v>
      </c>
      <c r="CN544" t="e" cm="1">
        <f t="array" ref="CN544">IF(ISNUMBER(CM544),AF544/COUNT(IF(ISNUMBER(_xlfn.ANCHORARRAY($CM$11)),_xlfn.ANCHORARRAY($CM$11))),NA())</f>
        <v>#N/A</v>
      </c>
      <c r="CO544" t="e">
        <f t="shared" si="213"/>
        <v>#N/A</v>
      </c>
      <c r="CQ544" t="e">
        <f t="shared" si="214"/>
        <v>#N/A</v>
      </c>
      <c r="CR544" t="e">
        <f t="shared" si="215"/>
        <v>#N/A</v>
      </c>
      <c r="CT544" t="e">
        <v>#N/A</v>
      </c>
      <c r="CU544" t="e">
        <v>#N/A</v>
      </c>
      <c r="CY544" t="e">
        <f t="shared" si="216"/>
        <v>#N/A</v>
      </c>
      <c r="CZ544" t="e">
        <v>#N/A</v>
      </c>
      <c r="DA544" t="e" cm="1">
        <f t="array" ref="DA544">IF(ISNUMBER(CZ544),AF544/COUNT(IF(ISNUMBER(_xlfn.ANCHORARRAY($CZ$11)),_xlfn.ANCHORARRAY($CZ$11))),NA())</f>
        <v>#N/A</v>
      </c>
      <c r="DB544" t="e">
        <f t="shared" si="217"/>
        <v>#N/A</v>
      </c>
      <c r="DD544" t="e">
        <f t="shared" si="218"/>
        <v>#N/A</v>
      </c>
      <c r="DE544" t="e">
        <f t="shared" si="219"/>
        <v>#N/A</v>
      </c>
      <c r="DG544" t="e">
        <v>#N/A</v>
      </c>
      <c r="DH544" t="e">
        <v>#N/A</v>
      </c>
    </row>
    <row r="545" spans="32:112">
      <c r="AF545">
        <v>535</v>
      </c>
      <c r="AG545" s="401">
        <f>'Lab test'!N538</f>
        <v>12.7</v>
      </c>
      <c r="AH545" s="401">
        <f>'Lab test'!M538</f>
        <v>0.3175</v>
      </c>
      <c r="AI545" t="e">
        <f>IF('Lab test'!O538&gt;0,'Lab test'!O538,NA())</f>
        <v>#N/A</v>
      </c>
      <c r="AJ545">
        <f>'Lab test'!Q538</f>
        <v>39.549999999999997</v>
      </c>
      <c r="AK545" s="401">
        <f>IF('Lab test'!V538&gt;0,'Lab test'!V538,NA())</f>
        <v>205463.766944</v>
      </c>
      <c r="AL545" s="7">
        <f>IF(MAX('Lab test'!W538,'Lab test'!X538)&gt;0,MAX('Lab test'!W538,'Lab test'!X538),NA())</f>
        <v>461.5129265218801</v>
      </c>
      <c r="AM545" s="401" t="e">
        <f>IF('Lab test'!P538&gt;0,'Lab test'!P538,NA())</f>
        <v>#N/A</v>
      </c>
      <c r="AN545" s="401">
        <f>IF('Lab test'!AU538&gt;0,'Lab test'!AU538,NA())</f>
        <v>1.234</v>
      </c>
      <c r="AO545" s="401">
        <f>IF('Lab test'!AT538&gt;0,'Lab test'!AT538,NA())</f>
        <v>0.18113050360057709</v>
      </c>
      <c r="AP545">
        <f t="shared" si="220"/>
        <v>1</v>
      </c>
      <c r="AQ545" s="401">
        <f>'Lab test'!AZ538</f>
        <v>1938</v>
      </c>
      <c r="AR545" t="str">
        <f>'Lab test'!AC538</f>
        <v>Tubes</v>
      </c>
      <c r="AS545" t="str">
        <f>'Lab test'!T538</f>
        <v>Steel</v>
      </c>
      <c r="AX545" t="e">
        <f t="shared" si="205"/>
        <v>#N/A</v>
      </c>
      <c r="AY545" t="e">
        <f t="shared" si="199"/>
        <v>#N/A</v>
      </c>
      <c r="AZ545" t="e">
        <f t="shared" si="202"/>
        <v>#N/A</v>
      </c>
      <c r="BA545" t="e">
        <f t="shared" si="202"/>
        <v>#N/A</v>
      </c>
      <c r="BB545" t="e">
        <f t="shared" si="202"/>
        <v>#N/A</v>
      </c>
      <c r="BC545" t="e">
        <f t="shared" si="202"/>
        <v>#N/A</v>
      </c>
      <c r="BD545" t="e">
        <f t="shared" si="202"/>
        <v>#N/A</v>
      </c>
      <c r="BG545" t="e">
        <f t="shared" si="206"/>
        <v>#N/A</v>
      </c>
      <c r="BH545" t="e">
        <f t="shared" si="200"/>
        <v>#N/A</v>
      </c>
      <c r="BI545" t="e">
        <f t="shared" si="203"/>
        <v>#N/A</v>
      </c>
      <c r="BJ545" t="e">
        <f t="shared" si="203"/>
        <v>#N/A</v>
      </c>
      <c r="BK545" t="e">
        <f t="shared" si="203"/>
        <v>#N/A</v>
      </c>
      <c r="BL545" t="e">
        <f t="shared" si="203"/>
        <v>#N/A</v>
      </c>
      <c r="BM545" t="e">
        <f t="shared" si="203"/>
        <v>#N/A</v>
      </c>
      <c r="BP545" t="e">
        <f t="shared" si="207"/>
        <v>#N/A</v>
      </c>
      <c r="BQ545" t="e">
        <f t="shared" si="201"/>
        <v>#N/A</v>
      </c>
      <c r="BR545" t="e">
        <f t="shared" si="204"/>
        <v>#N/A</v>
      </c>
      <c r="BS545" t="e">
        <f t="shared" si="204"/>
        <v>#N/A</v>
      </c>
      <c r="BT545" t="e">
        <f t="shared" si="204"/>
        <v>#N/A</v>
      </c>
      <c r="BU545" t="e">
        <f t="shared" si="204"/>
        <v>#N/A</v>
      </c>
      <c r="BV545" t="e">
        <f t="shared" si="204"/>
        <v>#N/A</v>
      </c>
      <c r="BY545" t="e">
        <f t="shared" si="208"/>
        <v>#N/A</v>
      </c>
      <c r="BZ545" t="e">
        <v>#N/A</v>
      </c>
      <c r="CA545" t="e" cm="1">
        <f t="array" ref="CA545">IF(ISNUMBER(BZ545),AF545/COUNT(IF(ISNUMBER(_xlfn.ANCHORARRAY($BZ$11)),_xlfn.ANCHORARRAY($BZ$11))),NA())</f>
        <v>#N/A</v>
      </c>
      <c r="CB545" t="e">
        <f t="shared" si="209"/>
        <v>#N/A</v>
      </c>
      <c r="CD545" t="e">
        <f t="shared" si="210"/>
        <v>#N/A</v>
      </c>
      <c r="CE545" t="e">
        <f t="shared" si="211"/>
        <v>#N/A</v>
      </c>
      <c r="CG545" t="e">
        <v>#N/A</v>
      </c>
      <c r="CH545" t="e">
        <v>#N/A</v>
      </c>
      <c r="CL545" t="e">
        <f t="shared" si="212"/>
        <v>#N/A</v>
      </c>
      <c r="CM545" t="e">
        <v>#N/A</v>
      </c>
      <c r="CN545" t="e" cm="1">
        <f t="array" ref="CN545">IF(ISNUMBER(CM545),AF545/COUNT(IF(ISNUMBER(_xlfn.ANCHORARRAY($CM$11)),_xlfn.ANCHORARRAY($CM$11))),NA())</f>
        <v>#N/A</v>
      </c>
      <c r="CO545" t="e">
        <f t="shared" si="213"/>
        <v>#N/A</v>
      </c>
      <c r="CQ545" t="e">
        <f t="shared" si="214"/>
        <v>#N/A</v>
      </c>
      <c r="CR545" t="e">
        <f t="shared" si="215"/>
        <v>#N/A</v>
      </c>
      <c r="CT545" t="e">
        <v>#N/A</v>
      </c>
      <c r="CU545" t="e">
        <v>#N/A</v>
      </c>
      <c r="CY545" t="e">
        <f t="shared" si="216"/>
        <v>#N/A</v>
      </c>
      <c r="CZ545" t="e">
        <v>#N/A</v>
      </c>
      <c r="DA545" t="e" cm="1">
        <f t="array" ref="DA545">IF(ISNUMBER(CZ545),AF545/COUNT(IF(ISNUMBER(_xlfn.ANCHORARRAY($CZ$11)),_xlfn.ANCHORARRAY($CZ$11))),NA())</f>
        <v>#N/A</v>
      </c>
      <c r="DB545" t="e">
        <f t="shared" si="217"/>
        <v>#N/A</v>
      </c>
      <c r="DD545" t="e">
        <f t="shared" si="218"/>
        <v>#N/A</v>
      </c>
      <c r="DE545" t="e">
        <f t="shared" si="219"/>
        <v>#N/A</v>
      </c>
      <c r="DG545" t="e">
        <v>#N/A</v>
      </c>
      <c r="DH545" t="e">
        <v>#N/A</v>
      </c>
    </row>
    <row r="546" spans="32:112">
      <c r="AF546">
        <v>536</v>
      </c>
      <c r="AG546" s="401">
        <f>'Lab test'!N539</f>
        <v>25.4</v>
      </c>
      <c r="AH546" s="401">
        <f>'Lab test'!M539</f>
        <v>0.56388000000000005</v>
      </c>
      <c r="AI546" t="e">
        <f>IF('Lab test'!O539&gt;0,'Lab test'!O539,NA())</f>
        <v>#N/A</v>
      </c>
      <c r="AJ546">
        <f>'Lab test'!Q539</f>
        <v>44.9</v>
      </c>
      <c r="AK546" s="401">
        <f>IF('Lab test'!V539&gt;0,'Lab test'!V539,NA())</f>
        <v>205463.766944</v>
      </c>
      <c r="AL546" s="7">
        <f>IF(MAX('Lab test'!W539,'Lab test'!X539)&gt;0,MAX('Lab test'!W539,'Lab test'!X539),NA())</f>
        <v>530.1650484242424</v>
      </c>
      <c r="AM546" s="401" t="e">
        <f>IF('Lab test'!P539&gt;0,'Lab test'!P539,NA())</f>
        <v>#N/A</v>
      </c>
      <c r="AN546" s="401">
        <f>IF('Lab test'!AU539&gt;0,'Lab test'!AU539,NA())</f>
        <v>1.056</v>
      </c>
      <c r="AO546" s="401">
        <f>IF('Lab test'!AT539&gt;0,'Lab test'!AT539,NA())</f>
        <v>0.20214706013697437</v>
      </c>
      <c r="AP546">
        <f t="shared" si="220"/>
        <v>1</v>
      </c>
      <c r="AQ546" s="401">
        <f>'Lab test'!AZ539</f>
        <v>1938</v>
      </c>
      <c r="AR546" t="str">
        <f>'Lab test'!AC539</f>
        <v>Tubes</v>
      </c>
      <c r="AS546" t="str">
        <f>'Lab test'!T539</f>
        <v>Steel</v>
      </c>
      <c r="AX546" t="e">
        <f t="shared" si="205"/>
        <v>#N/A</v>
      </c>
      <c r="AY546" t="e">
        <f t="shared" si="199"/>
        <v>#N/A</v>
      </c>
      <c r="AZ546" t="e">
        <f t="shared" si="202"/>
        <v>#N/A</v>
      </c>
      <c r="BA546" t="e">
        <f t="shared" si="202"/>
        <v>#N/A</v>
      </c>
      <c r="BB546" t="e">
        <f t="shared" si="202"/>
        <v>#N/A</v>
      </c>
      <c r="BC546" t="e">
        <f t="shared" si="202"/>
        <v>#N/A</v>
      </c>
      <c r="BD546" t="e">
        <f t="shared" si="202"/>
        <v>#N/A</v>
      </c>
      <c r="BG546" t="e">
        <f t="shared" si="206"/>
        <v>#N/A</v>
      </c>
      <c r="BH546" t="e">
        <f t="shared" si="200"/>
        <v>#N/A</v>
      </c>
      <c r="BI546" t="e">
        <f t="shared" si="203"/>
        <v>#N/A</v>
      </c>
      <c r="BJ546" t="e">
        <f t="shared" si="203"/>
        <v>#N/A</v>
      </c>
      <c r="BK546" t="e">
        <f t="shared" si="203"/>
        <v>#N/A</v>
      </c>
      <c r="BL546" t="e">
        <f t="shared" si="203"/>
        <v>#N/A</v>
      </c>
      <c r="BM546" t="e">
        <f t="shared" si="203"/>
        <v>#N/A</v>
      </c>
      <c r="BP546" t="e">
        <f t="shared" si="207"/>
        <v>#N/A</v>
      </c>
      <c r="BQ546" t="e">
        <f t="shared" si="201"/>
        <v>#N/A</v>
      </c>
      <c r="BR546" t="e">
        <f t="shared" si="204"/>
        <v>#N/A</v>
      </c>
      <c r="BS546" t="e">
        <f t="shared" si="204"/>
        <v>#N/A</v>
      </c>
      <c r="BT546" t="e">
        <f t="shared" si="204"/>
        <v>#N/A</v>
      </c>
      <c r="BU546" t="e">
        <f t="shared" si="204"/>
        <v>#N/A</v>
      </c>
      <c r="BV546" t="e">
        <f t="shared" si="204"/>
        <v>#N/A</v>
      </c>
      <c r="BY546" t="e">
        <f t="shared" si="208"/>
        <v>#N/A</v>
      </c>
      <c r="BZ546" t="e">
        <v>#N/A</v>
      </c>
      <c r="CA546" t="e" cm="1">
        <f t="array" ref="CA546">IF(ISNUMBER(BZ546),AF546/COUNT(IF(ISNUMBER(_xlfn.ANCHORARRAY($BZ$11)),_xlfn.ANCHORARRAY($BZ$11))),NA())</f>
        <v>#N/A</v>
      </c>
      <c r="CB546" t="e">
        <f t="shared" si="209"/>
        <v>#N/A</v>
      </c>
      <c r="CD546" t="e">
        <f t="shared" si="210"/>
        <v>#N/A</v>
      </c>
      <c r="CE546" t="e">
        <f t="shared" si="211"/>
        <v>#N/A</v>
      </c>
      <c r="CG546" t="e">
        <v>#N/A</v>
      </c>
      <c r="CH546" t="e">
        <v>#N/A</v>
      </c>
      <c r="CL546" t="e">
        <f t="shared" si="212"/>
        <v>#N/A</v>
      </c>
      <c r="CM546" t="e">
        <v>#N/A</v>
      </c>
      <c r="CN546" t="e" cm="1">
        <f t="array" ref="CN546">IF(ISNUMBER(CM546),AF546/COUNT(IF(ISNUMBER(_xlfn.ANCHORARRAY($CM$11)),_xlfn.ANCHORARRAY($CM$11))),NA())</f>
        <v>#N/A</v>
      </c>
      <c r="CO546" t="e">
        <f t="shared" si="213"/>
        <v>#N/A</v>
      </c>
      <c r="CQ546" t="e">
        <f t="shared" si="214"/>
        <v>#N/A</v>
      </c>
      <c r="CR546" t="e">
        <f t="shared" si="215"/>
        <v>#N/A</v>
      </c>
      <c r="CT546" t="e">
        <v>#N/A</v>
      </c>
      <c r="CU546" t="e">
        <v>#N/A</v>
      </c>
      <c r="CY546" t="e">
        <f t="shared" si="216"/>
        <v>#N/A</v>
      </c>
      <c r="CZ546" t="e">
        <v>#N/A</v>
      </c>
      <c r="DA546" t="e" cm="1">
        <f t="array" ref="DA546">IF(ISNUMBER(CZ546),AF546/COUNT(IF(ISNUMBER(_xlfn.ANCHORARRAY($CZ$11)),_xlfn.ANCHORARRAY($CZ$11))),NA())</f>
        <v>#N/A</v>
      </c>
      <c r="DB546" t="e">
        <f t="shared" si="217"/>
        <v>#N/A</v>
      </c>
      <c r="DD546" t="e">
        <f t="shared" si="218"/>
        <v>#N/A</v>
      </c>
      <c r="DE546" t="e">
        <f t="shared" si="219"/>
        <v>#N/A</v>
      </c>
      <c r="DG546" t="e">
        <v>#N/A</v>
      </c>
      <c r="DH546" t="e">
        <v>#N/A</v>
      </c>
    </row>
    <row r="547" spans="32:112">
      <c r="AF547">
        <v>537</v>
      </c>
      <c r="AG547" s="401">
        <f>'Lab test'!N540</f>
        <v>25.4</v>
      </c>
      <c r="AH547" s="401">
        <f>'Lab test'!M540</f>
        <v>0.56388000000000005</v>
      </c>
      <c r="AI547" t="e">
        <f>IF('Lab test'!O540&gt;0,'Lab test'!O540,NA())</f>
        <v>#N/A</v>
      </c>
      <c r="AJ547">
        <f>'Lab test'!Q540</f>
        <v>44.9</v>
      </c>
      <c r="AK547" s="401">
        <f>IF('Lab test'!V540&gt;0,'Lab test'!V540,NA())</f>
        <v>205463.766944</v>
      </c>
      <c r="AL547" s="7">
        <f>IF(MAX('Lab test'!W540,'Lab test'!X540)&gt;0,MAX('Lab test'!W540,'Lab test'!X540),NA())</f>
        <v>530.51690266413664</v>
      </c>
      <c r="AM547" s="401" t="e">
        <f>IF('Lab test'!P540&gt;0,'Lab test'!P540,NA())</f>
        <v>#N/A</v>
      </c>
      <c r="AN547" s="401">
        <f>IF('Lab test'!AU540&gt;0,'Lab test'!AU540,NA())</f>
        <v>1.054</v>
      </c>
      <c r="AO547" s="401">
        <f>IF('Lab test'!AT540&gt;0,'Lab test'!AT540,NA())</f>
        <v>0.20189811055552487</v>
      </c>
      <c r="AP547">
        <f t="shared" si="220"/>
        <v>1</v>
      </c>
      <c r="AQ547" s="401">
        <f>'Lab test'!AZ540</f>
        <v>1938</v>
      </c>
      <c r="AR547" t="str">
        <f>'Lab test'!AC540</f>
        <v>Tubes</v>
      </c>
      <c r="AS547" t="str">
        <f>'Lab test'!T540</f>
        <v>Steel</v>
      </c>
      <c r="AX547" t="e">
        <f t="shared" si="205"/>
        <v>#N/A</v>
      </c>
      <c r="AY547" t="e">
        <f t="shared" si="199"/>
        <v>#N/A</v>
      </c>
      <c r="AZ547" t="e">
        <f t="shared" si="202"/>
        <v>#N/A</v>
      </c>
      <c r="BA547" t="e">
        <f t="shared" si="202"/>
        <v>#N/A</v>
      </c>
      <c r="BB547" t="e">
        <f t="shared" si="202"/>
        <v>#N/A</v>
      </c>
      <c r="BC547" t="e">
        <f t="shared" si="202"/>
        <v>#N/A</v>
      </c>
      <c r="BD547" t="e">
        <f t="shared" si="202"/>
        <v>#N/A</v>
      </c>
      <c r="BG547" t="e">
        <f t="shared" si="206"/>
        <v>#N/A</v>
      </c>
      <c r="BH547" t="e">
        <f t="shared" si="200"/>
        <v>#N/A</v>
      </c>
      <c r="BI547" t="e">
        <f t="shared" si="203"/>
        <v>#N/A</v>
      </c>
      <c r="BJ547" t="e">
        <f t="shared" si="203"/>
        <v>#N/A</v>
      </c>
      <c r="BK547" t="e">
        <f t="shared" si="203"/>
        <v>#N/A</v>
      </c>
      <c r="BL547" t="e">
        <f t="shared" si="203"/>
        <v>#N/A</v>
      </c>
      <c r="BM547" t="e">
        <f t="shared" si="203"/>
        <v>#N/A</v>
      </c>
      <c r="BP547" t="e">
        <f t="shared" si="207"/>
        <v>#N/A</v>
      </c>
      <c r="BQ547" t="e">
        <f t="shared" si="201"/>
        <v>#N/A</v>
      </c>
      <c r="BR547" t="e">
        <f t="shared" si="204"/>
        <v>#N/A</v>
      </c>
      <c r="BS547" t="e">
        <f t="shared" si="204"/>
        <v>#N/A</v>
      </c>
      <c r="BT547" t="e">
        <f t="shared" si="204"/>
        <v>#N/A</v>
      </c>
      <c r="BU547" t="e">
        <f t="shared" si="204"/>
        <v>#N/A</v>
      </c>
      <c r="BV547" t="e">
        <f t="shared" si="204"/>
        <v>#N/A</v>
      </c>
      <c r="BY547" t="e">
        <f t="shared" si="208"/>
        <v>#N/A</v>
      </c>
      <c r="BZ547" t="e">
        <v>#N/A</v>
      </c>
      <c r="CA547" t="e" cm="1">
        <f t="array" ref="CA547">IF(ISNUMBER(BZ547),AF547/COUNT(IF(ISNUMBER(_xlfn.ANCHORARRAY($BZ$11)),_xlfn.ANCHORARRAY($BZ$11))),NA())</f>
        <v>#N/A</v>
      </c>
      <c r="CB547" t="e">
        <f t="shared" si="209"/>
        <v>#N/A</v>
      </c>
      <c r="CD547" t="e">
        <f t="shared" si="210"/>
        <v>#N/A</v>
      </c>
      <c r="CE547" t="e">
        <f t="shared" si="211"/>
        <v>#N/A</v>
      </c>
      <c r="CG547" t="e">
        <v>#N/A</v>
      </c>
      <c r="CH547" t="e">
        <v>#N/A</v>
      </c>
      <c r="CL547" t="e">
        <f t="shared" si="212"/>
        <v>#N/A</v>
      </c>
      <c r="CM547" t="e">
        <v>#N/A</v>
      </c>
      <c r="CN547" t="e" cm="1">
        <f t="array" ref="CN547">IF(ISNUMBER(CM547),AF547/COUNT(IF(ISNUMBER(_xlfn.ANCHORARRAY($CM$11)),_xlfn.ANCHORARRAY($CM$11))),NA())</f>
        <v>#N/A</v>
      </c>
      <c r="CO547" t="e">
        <f t="shared" si="213"/>
        <v>#N/A</v>
      </c>
      <c r="CQ547" t="e">
        <f t="shared" si="214"/>
        <v>#N/A</v>
      </c>
      <c r="CR547" t="e">
        <f t="shared" si="215"/>
        <v>#N/A</v>
      </c>
      <c r="CT547" t="e">
        <v>#N/A</v>
      </c>
      <c r="CU547" t="e">
        <v>#N/A</v>
      </c>
      <c r="CY547" t="e">
        <f t="shared" si="216"/>
        <v>#N/A</v>
      </c>
      <c r="CZ547" t="e">
        <v>#N/A</v>
      </c>
      <c r="DA547" t="e" cm="1">
        <f t="array" ref="DA547">IF(ISNUMBER(CZ547),AF547/COUNT(IF(ISNUMBER(_xlfn.ANCHORARRAY($CZ$11)),_xlfn.ANCHORARRAY($CZ$11))),NA())</f>
        <v>#N/A</v>
      </c>
      <c r="DB547" t="e">
        <f t="shared" si="217"/>
        <v>#N/A</v>
      </c>
      <c r="DD547" t="e">
        <f t="shared" si="218"/>
        <v>#N/A</v>
      </c>
      <c r="DE547" t="e">
        <f t="shared" si="219"/>
        <v>#N/A</v>
      </c>
      <c r="DG547" t="e">
        <v>#N/A</v>
      </c>
      <c r="DH547" t="e">
        <v>#N/A</v>
      </c>
    </row>
    <row r="548" spans="32:112">
      <c r="AF548">
        <v>538</v>
      </c>
      <c r="AG548" s="401">
        <f>'Lab test'!N541</f>
        <v>19.049999999999997</v>
      </c>
      <c r="AH548" s="401">
        <f>'Lab test'!M541</f>
        <v>0.38099999999999995</v>
      </c>
      <c r="AI548" t="e">
        <f>IF('Lab test'!O541&gt;0,'Lab test'!O541,NA())</f>
        <v>#N/A</v>
      </c>
      <c r="AJ548">
        <f>'Lab test'!Q541</f>
        <v>49.65</v>
      </c>
      <c r="AK548" s="401">
        <f>IF('Lab test'!V541&gt;0,'Lab test'!V541,NA())</f>
        <v>205463.766944</v>
      </c>
      <c r="AL548" s="7">
        <f>IF(MAX('Lab test'!W541,'Lab test'!X541)&gt;0,MAX('Lab test'!W541,'Lab test'!X541),NA())</f>
        <v>509.18878852296825</v>
      </c>
      <c r="AM548" s="401" t="e">
        <f>IF('Lab test'!P541&gt;0,'Lab test'!P541,NA())</f>
        <v>#N/A</v>
      </c>
      <c r="AN548" s="401">
        <f>IF('Lab test'!AU541&gt;0,'Lab test'!AU541,NA())</f>
        <v>1.1319999999999999</v>
      </c>
      <c r="AO548" s="401">
        <f>IF('Lab test'!AT541&gt;0,'Lab test'!AT541,NA())</f>
        <v>0.23013919503465416</v>
      </c>
      <c r="AP548">
        <f t="shared" si="220"/>
        <v>1</v>
      </c>
      <c r="AQ548" s="401">
        <f>'Lab test'!AZ541</f>
        <v>1938</v>
      </c>
      <c r="AR548" t="str">
        <f>'Lab test'!AC541</f>
        <v>Tubes</v>
      </c>
      <c r="AS548" t="str">
        <f>'Lab test'!T541</f>
        <v>Steel</v>
      </c>
      <c r="AX548" t="e">
        <f t="shared" si="205"/>
        <v>#N/A</v>
      </c>
      <c r="AY548" t="e">
        <f t="shared" si="199"/>
        <v>#N/A</v>
      </c>
      <c r="AZ548" t="e">
        <f t="shared" si="202"/>
        <v>#N/A</v>
      </c>
      <c r="BA548" t="e">
        <f t="shared" si="202"/>
        <v>#N/A</v>
      </c>
      <c r="BB548" t="e">
        <f t="shared" si="202"/>
        <v>#N/A</v>
      </c>
      <c r="BC548" t="e">
        <f t="shared" si="202"/>
        <v>#N/A</v>
      </c>
      <c r="BD548" t="e">
        <f t="shared" si="202"/>
        <v>#N/A</v>
      </c>
      <c r="BG548" t="e">
        <f t="shared" si="206"/>
        <v>#N/A</v>
      </c>
      <c r="BH548" t="e">
        <f t="shared" si="200"/>
        <v>#N/A</v>
      </c>
      <c r="BI548" t="e">
        <f t="shared" si="203"/>
        <v>#N/A</v>
      </c>
      <c r="BJ548" t="e">
        <f t="shared" si="203"/>
        <v>#N/A</v>
      </c>
      <c r="BK548" t="e">
        <f t="shared" si="203"/>
        <v>#N/A</v>
      </c>
      <c r="BL548" t="e">
        <f t="shared" si="203"/>
        <v>#N/A</v>
      </c>
      <c r="BM548" t="e">
        <f t="shared" si="203"/>
        <v>#N/A</v>
      </c>
      <c r="BP548" t="e">
        <f t="shared" si="207"/>
        <v>#N/A</v>
      </c>
      <c r="BQ548" t="e">
        <f t="shared" si="201"/>
        <v>#N/A</v>
      </c>
      <c r="BR548" t="e">
        <f t="shared" si="204"/>
        <v>#N/A</v>
      </c>
      <c r="BS548" t="e">
        <f t="shared" si="204"/>
        <v>#N/A</v>
      </c>
      <c r="BT548" t="e">
        <f t="shared" si="204"/>
        <v>#N/A</v>
      </c>
      <c r="BU548" t="e">
        <f t="shared" si="204"/>
        <v>#N/A</v>
      </c>
      <c r="BV548" t="e">
        <f t="shared" si="204"/>
        <v>#N/A</v>
      </c>
      <c r="BY548" t="e">
        <f t="shared" si="208"/>
        <v>#N/A</v>
      </c>
      <c r="BZ548" t="e">
        <v>#N/A</v>
      </c>
      <c r="CA548" t="e" cm="1">
        <f t="array" ref="CA548">IF(ISNUMBER(BZ548),AF548/COUNT(IF(ISNUMBER(_xlfn.ANCHORARRAY($BZ$11)),_xlfn.ANCHORARRAY($BZ$11))),NA())</f>
        <v>#N/A</v>
      </c>
      <c r="CB548" t="e">
        <f t="shared" si="209"/>
        <v>#N/A</v>
      </c>
      <c r="CD548" t="e">
        <f t="shared" si="210"/>
        <v>#N/A</v>
      </c>
      <c r="CE548" t="e">
        <f t="shared" si="211"/>
        <v>#N/A</v>
      </c>
      <c r="CG548" t="e">
        <v>#N/A</v>
      </c>
      <c r="CH548" t="e">
        <v>#N/A</v>
      </c>
      <c r="CL548" t="e">
        <f t="shared" si="212"/>
        <v>#N/A</v>
      </c>
      <c r="CM548" t="e">
        <v>#N/A</v>
      </c>
      <c r="CN548" t="e" cm="1">
        <f t="array" ref="CN548">IF(ISNUMBER(CM548),AF548/COUNT(IF(ISNUMBER(_xlfn.ANCHORARRAY($CM$11)),_xlfn.ANCHORARRAY($CM$11))),NA())</f>
        <v>#N/A</v>
      </c>
      <c r="CO548" t="e">
        <f t="shared" si="213"/>
        <v>#N/A</v>
      </c>
      <c r="CQ548" t="e">
        <f t="shared" si="214"/>
        <v>#N/A</v>
      </c>
      <c r="CR548" t="e">
        <f t="shared" si="215"/>
        <v>#N/A</v>
      </c>
      <c r="CT548" t="e">
        <v>#N/A</v>
      </c>
      <c r="CU548" t="e">
        <v>#N/A</v>
      </c>
      <c r="CY548" t="e">
        <f t="shared" si="216"/>
        <v>#N/A</v>
      </c>
      <c r="CZ548" t="e">
        <v>#N/A</v>
      </c>
      <c r="DA548" t="e" cm="1">
        <f t="array" ref="DA548">IF(ISNUMBER(CZ548),AF548/COUNT(IF(ISNUMBER(_xlfn.ANCHORARRAY($CZ$11)),_xlfn.ANCHORARRAY($CZ$11))),NA())</f>
        <v>#N/A</v>
      </c>
      <c r="DB548" t="e">
        <f t="shared" si="217"/>
        <v>#N/A</v>
      </c>
      <c r="DD548" t="e">
        <f t="shared" si="218"/>
        <v>#N/A</v>
      </c>
      <c r="DE548" t="e">
        <f t="shared" si="219"/>
        <v>#N/A</v>
      </c>
      <c r="DG548" t="e">
        <v>#N/A</v>
      </c>
      <c r="DH548" t="e">
        <v>#N/A</v>
      </c>
    </row>
    <row r="549" spans="32:112">
      <c r="AF549">
        <v>539</v>
      </c>
      <c r="AG549" s="401">
        <f>'Lab test'!N542</f>
        <v>19.049999999999997</v>
      </c>
      <c r="AH549" s="401">
        <f>'Lab test'!M542</f>
        <v>0.38099999999999995</v>
      </c>
      <c r="AI549" t="e">
        <f>IF('Lab test'!O542&gt;0,'Lab test'!O542,NA())</f>
        <v>#N/A</v>
      </c>
      <c r="AJ549">
        <f>'Lab test'!Q542</f>
        <v>49.7</v>
      </c>
      <c r="AK549" s="401">
        <f>IF('Lab test'!V542&gt;0,'Lab test'!V542,NA())</f>
        <v>205463.766944</v>
      </c>
      <c r="AL549" s="7">
        <f>IF(MAX('Lab test'!W542,'Lab test'!X542)&gt;0,MAX('Lab test'!W542,'Lab test'!X542),NA())</f>
        <v>509.79786602120146</v>
      </c>
      <c r="AM549" s="401" t="e">
        <f>IF('Lab test'!P542&gt;0,'Lab test'!P542,NA())</f>
        <v>#N/A</v>
      </c>
      <c r="AN549" s="401">
        <f>IF('Lab test'!AU542&gt;0,'Lab test'!AU542,NA())</f>
        <v>1.1319999999999999</v>
      </c>
      <c r="AO549" s="401">
        <f>IF('Lab test'!AT542&gt;0,'Lab test'!AT542,NA())</f>
        <v>0.23064651990553675</v>
      </c>
      <c r="AP549">
        <f t="shared" si="220"/>
        <v>1</v>
      </c>
      <c r="AQ549" s="401">
        <f>'Lab test'!AZ542</f>
        <v>1938</v>
      </c>
      <c r="AR549" t="str">
        <f>'Lab test'!AC542</f>
        <v>Tubes</v>
      </c>
      <c r="AS549" t="str">
        <f>'Lab test'!T542</f>
        <v>Steel</v>
      </c>
      <c r="AX549" t="e">
        <f t="shared" si="205"/>
        <v>#N/A</v>
      </c>
      <c r="AY549" t="e">
        <f t="shared" si="199"/>
        <v>#N/A</v>
      </c>
      <c r="AZ549" t="e">
        <f t="shared" si="202"/>
        <v>#N/A</v>
      </c>
      <c r="BA549" t="e">
        <f t="shared" si="202"/>
        <v>#N/A</v>
      </c>
      <c r="BB549" t="e">
        <f t="shared" si="202"/>
        <v>#N/A</v>
      </c>
      <c r="BC549" t="e">
        <f t="shared" si="202"/>
        <v>#N/A</v>
      </c>
      <c r="BD549" t="e">
        <f t="shared" si="202"/>
        <v>#N/A</v>
      </c>
      <c r="BG549" t="e">
        <f t="shared" si="206"/>
        <v>#N/A</v>
      </c>
      <c r="BH549" t="e">
        <f t="shared" si="200"/>
        <v>#N/A</v>
      </c>
      <c r="BI549" t="e">
        <f t="shared" si="203"/>
        <v>#N/A</v>
      </c>
      <c r="BJ549" t="e">
        <f t="shared" si="203"/>
        <v>#N/A</v>
      </c>
      <c r="BK549" t="e">
        <f t="shared" si="203"/>
        <v>#N/A</v>
      </c>
      <c r="BL549" t="e">
        <f t="shared" si="203"/>
        <v>#N/A</v>
      </c>
      <c r="BM549" t="e">
        <f t="shared" si="203"/>
        <v>#N/A</v>
      </c>
      <c r="BP549" t="e">
        <f t="shared" si="207"/>
        <v>#N/A</v>
      </c>
      <c r="BQ549" t="e">
        <f t="shared" si="201"/>
        <v>#N/A</v>
      </c>
      <c r="BR549" t="e">
        <f t="shared" si="204"/>
        <v>#N/A</v>
      </c>
      <c r="BS549" t="e">
        <f t="shared" si="204"/>
        <v>#N/A</v>
      </c>
      <c r="BT549" t="e">
        <f t="shared" si="204"/>
        <v>#N/A</v>
      </c>
      <c r="BU549" t="e">
        <f t="shared" si="204"/>
        <v>#N/A</v>
      </c>
      <c r="BV549" t="e">
        <f t="shared" si="204"/>
        <v>#N/A</v>
      </c>
      <c r="BY549" t="e">
        <f t="shared" si="208"/>
        <v>#N/A</v>
      </c>
      <c r="BZ549" t="e">
        <v>#N/A</v>
      </c>
      <c r="CA549" t="e" cm="1">
        <f t="array" ref="CA549">IF(ISNUMBER(BZ549),AF549/COUNT(IF(ISNUMBER(_xlfn.ANCHORARRAY($BZ$11)),_xlfn.ANCHORARRAY($BZ$11))),NA())</f>
        <v>#N/A</v>
      </c>
      <c r="CB549" t="e">
        <f t="shared" si="209"/>
        <v>#N/A</v>
      </c>
      <c r="CD549" t="e">
        <f t="shared" si="210"/>
        <v>#N/A</v>
      </c>
      <c r="CE549" t="e">
        <f t="shared" si="211"/>
        <v>#N/A</v>
      </c>
      <c r="CG549" t="e">
        <v>#N/A</v>
      </c>
      <c r="CH549" t="e">
        <v>#N/A</v>
      </c>
      <c r="CL549" t="e">
        <f t="shared" si="212"/>
        <v>#N/A</v>
      </c>
      <c r="CM549" t="e">
        <v>#N/A</v>
      </c>
      <c r="CN549" t="e" cm="1">
        <f t="array" ref="CN549">IF(ISNUMBER(CM549),AF549/COUNT(IF(ISNUMBER(_xlfn.ANCHORARRAY($CM$11)),_xlfn.ANCHORARRAY($CM$11))),NA())</f>
        <v>#N/A</v>
      </c>
      <c r="CO549" t="e">
        <f t="shared" si="213"/>
        <v>#N/A</v>
      </c>
      <c r="CQ549" t="e">
        <f t="shared" si="214"/>
        <v>#N/A</v>
      </c>
      <c r="CR549" t="e">
        <f t="shared" si="215"/>
        <v>#N/A</v>
      </c>
      <c r="CT549" t="e">
        <v>#N/A</v>
      </c>
      <c r="CU549" t="e">
        <v>#N/A</v>
      </c>
      <c r="CY549" t="e">
        <f t="shared" si="216"/>
        <v>#N/A</v>
      </c>
      <c r="CZ549" t="e">
        <v>#N/A</v>
      </c>
      <c r="DA549" t="e" cm="1">
        <f t="array" ref="DA549">IF(ISNUMBER(CZ549),AF549/COUNT(IF(ISNUMBER(_xlfn.ANCHORARRAY($CZ$11)),_xlfn.ANCHORARRAY($CZ$11))),NA())</f>
        <v>#N/A</v>
      </c>
      <c r="DB549" t="e">
        <f t="shared" si="217"/>
        <v>#N/A</v>
      </c>
      <c r="DD549" t="e">
        <f t="shared" si="218"/>
        <v>#N/A</v>
      </c>
      <c r="DE549" t="e">
        <f t="shared" si="219"/>
        <v>#N/A</v>
      </c>
      <c r="DG549" t="e">
        <v>#N/A</v>
      </c>
      <c r="DH549" t="e">
        <v>#N/A</v>
      </c>
    </row>
    <row r="550" spans="32:112">
      <c r="AF550">
        <v>540</v>
      </c>
      <c r="AG550" s="401">
        <f>'Lab test'!N543</f>
        <v>19.049999999999997</v>
      </c>
      <c r="AH550" s="401">
        <f>'Lab test'!M543</f>
        <v>2.7685999999999997</v>
      </c>
      <c r="AI550" t="e">
        <f>IF('Lab test'!O543&gt;0,'Lab test'!O543,NA())</f>
        <v>#N/A</v>
      </c>
      <c r="AJ550">
        <f>'Lab test'!Q543</f>
        <v>6.75</v>
      </c>
      <c r="AK550" s="401">
        <f>IF('Lab test'!V543&gt;0,'Lab test'!V543,NA())</f>
        <v>73153.374740800005</v>
      </c>
      <c r="AL550" s="7">
        <f>IF(MAX('Lab test'!W543,'Lab test'!X543)&gt;0,MAX('Lab test'!W543,'Lab test'!X543),NA())</f>
        <v>284.66395375854216</v>
      </c>
      <c r="AM550" s="401" t="e">
        <f>IF('Lab test'!P543&gt;0,'Lab test'!P543,NA())</f>
        <v>#N/A</v>
      </c>
      <c r="AN550" s="401">
        <f>IF('Lab test'!AU543&gt;0,'Lab test'!AU543,NA())</f>
        <v>1.756</v>
      </c>
      <c r="AO550" s="401">
        <f>IF('Lab test'!AT543&gt;0,'Lab test'!AT543,NA())</f>
        <v>7.6209255511163129E-2</v>
      </c>
      <c r="AP550">
        <f t="shared" si="220"/>
        <v>1</v>
      </c>
      <c r="AQ550" s="401">
        <f>'Lab test'!AZ543</f>
        <v>1938</v>
      </c>
      <c r="AR550" t="str">
        <f>'Lab test'!AC543</f>
        <v>Tubes</v>
      </c>
      <c r="AS550" t="str">
        <f>'Lab test'!T543</f>
        <v>Aluminium</v>
      </c>
      <c r="AX550" t="e">
        <f t="shared" si="205"/>
        <v>#N/A</v>
      </c>
      <c r="AY550" t="e">
        <f t="shared" si="199"/>
        <v>#N/A</v>
      </c>
      <c r="AZ550" t="e">
        <f t="shared" si="202"/>
        <v>#N/A</v>
      </c>
      <c r="BA550" t="e">
        <f t="shared" si="202"/>
        <v>#N/A</v>
      </c>
      <c r="BB550" t="e">
        <f t="shared" si="202"/>
        <v>#N/A</v>
      </c>
      <c r="BC550" t="e">
        <f t="shared" si="202"/>
        <v>#N/A</v>
      </c>
      <c r="BD550" t="e">
        <f t="shared" si="202"/>
        <v>#N/A</v>
      </c>
      <c r="BG550" t="e">
        <f t="shared" si="206"/>
        <v>#N/A</v>
      </c>
      <c r="BH550" t="e">
        <f t="shared" si="200"/>
        <v>#N/A</v>
      </c>
      <c r="BI550" t="e">
        <f t="shared" si="203"/>
        <v>#N/A</v>
      </c>
      <c r="BJ550" t="e">
        <f t="shared" si="203"/>
        <v>#N/A</v>
      </c>
      <c r="BK550" t="e">
        <f t="shared" si="203"/>
        <v>#N/A</v>
      </c>
      <c r="BL550" t="e">
        <f t="shared" si="203"/>
        <v>#N/A</v>
      </c>
      <c r="BM550" t="e">
        <f t="shared" si="203"/>
        <v>#N/A</v>
      </c>
      <c r="BP550" t="e">
        <f t="shared" si="207"/>
        <v>#N/A</v>
      </c>
      <c r="BQ550" t="e">
        <f t="shared" si="201"/>
        <v>#N/A</v>
      </c>
      <c r="BR550" t="e">
        <f t="shared" si="204"/>
        <v>#N/A</v>
      </c>
      <c r="BS550" t="e">
        <f t="shared" si="204"/>
        <v>#N/A</v>
      </c>
      <c r="BT550" t="e">
        <f t="shared" si="204"/>
        <v>#N/A</v>
      </c>
      <c r="BU550" t="e">
        <f t="shared" si="204"/>
        <v>#N/A</v>
      </c>
      <c r="BV550" t="e">
        <f t="shared" si="204"/>
        <v>#N/A</v>
      </c>
      <c r="BY550" t="e">
        <f t="shared" si="208"/>
        <v>#N/A</v>
      </c>
      <c r="BZ550" t="e">
        <v>#N/A</v>
      </c>
      <c r="CA550" t="e" cm="1">
        <f t="array" ref="CA550">IF(ISNUMBER(BZ550),AF550/COUNT(IF(ISNUMBER(_xlfn.ANCHORARRAY($BZ$11)),_xlfn.ANCHORARRAY($BZ$11))),NA())</f>
        <v>#N/A</v>
      </c>
      <c r="CB550" t="e">
        <f t="shared" si="209"/>
        <v>#N/A</v>
      </c>
      <c r="CD550" t="e">
        <f t="shared" si="210"/>
        <v>#N/A</v>
      </c>
      <c r="CE550" t="e">
        <f t="shared" si="211"/>
        <v>#N/A</v>
      </c>
      <c r="CG550" t="e">
        <v>#N/A</v>
      </c>
      <c r="CH550" t="e">
        <v>#N/A</v>
      </c>
      <c r="CL550" t="e">
        <f t="shared" si="212"/>
        <v>#N/A</v>
      </c>
      <c r="CM550" t="e">
        <v>#N/A</v>
      </c>
      <c r="CN550" t="e" cm="1">
        <f t="array" ref="CN550">IF(ISNUMBER(CM550),AF550/COUNT(IF(ISNUMBER(_xlfn.ANCHORARRAY($CM$11)),_xlfn.ANCHORARRAY($CM$11))),NA())</f>
        <v>#N/A</v>
      </c>
      <c r="CO550" t="e">
        <f t="shared" si="213"/>
        <v>#N/A</v>
      </c>
      <c r="CQ550" t="e">
        <f t="shared" si="214"/>
        <v>#N/A</v>
      </c>
      <c r="CR550" t="e">
        <f t="shared" si="215"/>
        <v>#N/A</v>
      </c>
      <c r="CT550" t="e">
        <v>#N/A</v>
      </c>
      <c r="CU550" t="e">
        <v>#N/A</v>
      </c>
      <c r="CY550" t="e">
        <f t="shared" si="216"/>
        <v>#N/A</v>
      </c>
      <c r="CZ550" t="e">
        <v>#N/A</v>
      </c>
      <c r="DA550" t="e" cm="1">
        <f t="array" ref="DA550">IF(ISNUMBER(CZ550),AF550/COUNT(IF(ISNUMBER(_xlfn.ANCHORARRAY($CZ$11)),_xlfn.ANCHORARRAY($CZ$11))),NA())</f>
        <v>#N/A</v>
      </c>
      <c r="DB550" t="e">
        <f t="shared" si="217"/>
        <v>#N/A</v>
      </c>
      <c r="DD550" t="e">
        <f t="shared" si="218"/>
        <v>#N/A</v>
      </c>
      <c r="DE550" t="e">
        <f t="shared" si="219"/>
        <v>#N/A</v>
      </c>
      <c r="DG550" t="e">
        <v>#N/A</v>
      </c>
      <c r="DH550" t="e">
        <v>#N/A</v>
      </c>
    </row>
    <row r="551" spans="32:112">
      <c r="AF551">
        <v>541</v>
      </c>
      <c r="AG551" s="401">
        <f>'Lab test'!N544</f>
        <v>19.049999999999997</v>
      </c>
      <c r="AH551" s="401">
        <f>'Lab test'!M544</f>
        <v>2.7685999999999997</v>
      </c>
      <c r="AI551" t="e">
        <f>IF('Lab test'!O544&gt;0,'Lab test'!O544,NA())</f>
        <v>#N/A</v>
      </c>
      <c r="AJ551">
        <f>'Lab test'!Q544</f>
        <v>6.75</v>
      </c>
      <c r="AK551" s="401">
        <f>IF('Lab test'!V544&gt;0,'Lab test'!V544,NA())</f>
        <v>73153.374740800005</v>
      </c>
      <c r="AL551" s="7">
        <f>IF(MAX('Lab test'!W544,'Lab test'!X544)&gt;0,MAX('Lab test'!W544,'Lab test'!X544),NA())</f>
        <v>281.44374636720147</v>
      </c>
      <c r="AM551" s="401" t="e">
        <f>IF('Lab test'!P544&gt;0,'Lab test'!P544,NA())</f>
        <v>#N/A</v>
      </c>
      <c r="AN551" s="401">
        <f>IF('Lab test'!AU544&gt;0,'Lab test'!AU544,NA())</f>
        <v>1.6830000000000001</v>
      </c>
      <c r="AO551" s="401">
        <f>IF('Lab test'!AT544&gt;0,'Lab test'!AT544,NA())</f>
        <v>7.2214839360233207E-2</v>
      </c>
      <c r="AP551">
        <f t="shared" si="220"/>
        <v>1</v>
      </c>
      <c r="AQ551" s="401">
        <f>'Lab test'!AZ544</f>
        <v>1938</v>
      </c>
      <c r="AR551" t="str">
        <f>'Lab test'!AC544</f>
        <v>Tubes</v>
      </c>
      <c r="AS551" t="str">
        <f>'Lab test'!T544</f>
        <v>Aluminium</v>
      </c>
      <c r="AX551" t="e">
        <f t="shared" si="205"/>
        <v>#N/A</v>
      </c>
      <c r="AY551" t="e">
        <f t="shared" si="199"/>
        <v>#N/A</v>
      </c>
      <c r="AZ551" t="e">
        <f t="shared" si="202"/>
        <v>#N/A</v>
      </c>
      <c r="BA551" t="e">
        <f t="shared" si="202"/>
        <v>#N/A</v>
      </c>
      <c r="BB551" t="e">
        <f t="shared" si="202"/>
        <v>#N/A</v>
      </c>
      <c r="BC551" t="e">
        <f t="shared" si="202"/>
        <v>#N/A</v>
      </c>
      <c r="BD551" t="e">
        <f t="shared" si="202"/>
        <v>#N/A</v>
      </c>
      <c r="BG551" t="e">
        <f t="shared" si="206"/>
        <v>#N/A</v>
      </c>
      <c r="BH551" t="e">
        <f t="shared" si="200"/>
        <v>#N/A</v>
      </c>
      <c r="BI551" t="e">
        <f t="shared" si="203"/>
        <v>#N/A</v>
      </c>
      <c r="BJ551" t="e">
        <f t="shared" si="203"/>
        <v>#N/A</v>
      </c>
      <c r="BK551" t="e">
        <f t="shared" si="203"/>
        <v>#N/A</v>
      </c>
      <c r="BL551" t="e">
        <f t="shared" si="203"/>
        <v>#N/A</v>
      </c>
      <c r="BM551" t="e">
        <f t="shared" si="203"/>
        <v>#N/A</v>
      </c>
      <c r="BP551" t="e">
        <f t="shared" si="207"/>
        <v>#N/A</v>
      </c>
      <c r="BQ551" t="e">
        <f t="shared" si="201"/>
        <v>#N/A</v>
      </c>
      <c r="BR551" t="e">
        <f t="shared" si="204"/>
        <v>#N/A</v>
      </c>
      <c r="BS551" t="e">
        <f t="shared" si="204"/>
        <v>#N/A</v>
      </c>
      <c r="BT551" t="e">
        <f t="shared" si="204"/>
        <v>#N/A</v>
      </c>
      <c r="BU551" t="e">
        <f t="shared" si="204"/>
        <v>#N/A</v>
      </c>
      <c r="BV551" t="e">
        <f t="shared" si="204"/>
        <v>#N/A</v>
      </c>
      <c r="BY551" t="e">
        <f t="shared" si="208"/>
        <v>#N/A</v>
      </c>
      <c r="BZ551" t="e">
        <v>#N/A</v>
      </c>
      <c r="CA551" t="e" cm="1">
        <f t="array" ref="CA551">IF(ISNUMBER(BZ551),AF551/COUNT(IF(ISNUMBER(_xlfn.ANCHORARRAY($BZ$11)),_xlfn.ANCHORARRAY($BZ$11))),NA())</f>
        <v>#N/A</v>
      </c>
      <c r="CB551" t="e">
        <f t="shared" si="209"/>
        <v>#N/A</v>
      </c>
      <c r="CD551" t="e">
        <f t="shared" si="210"/>
        <v>#N/A</v>
      </c>
      <c r="CE551" t="e">
        <f t="shared" si="211"/>
        <v>#N/A</v>
      </c>
      <c r="CG551" t="e">
        <v>#N/A</v>
      </c>
      <c r="CH551" t="e">
        <v>#N/A</v>
      </c>
      <c r="CL551" t="e">
        <f t="shared" si="212"/>
        <v>#N/A</v>
      </c>
      <c r="CM551" t="e">
        <v>#N/A</v>
      </c>
      <c r="CN551" t="e" cm="1">
        <f t="array" ref="CN551">IF(ISNUMBER(CM551),AF551/COUNT(IF(ISNUMBER(_xlfn.ANCHORARRAY($CM$11)),_xlfn.ANCHORARRAY($CM$11))),NA())</f>
        <v>#N/A</v>
      </c>
      <c r="CO551" t="e">
        <f t="shared" si="213"/>
        <v>#N/A</v>
      </c>
      <c r="CQ551" t="e">
        <f t="shared" si="214"/>
        <v>#N/A</v>
      </c>
      <c r="CR551" t="e">
        <f t="shared" si="215"/>
        <v>#N/A</v>
      </c>
      <c r="CT551" t="e">
        <v>#N/A</v>
      </c>
      <c r="CU551" t="e">
        <v>#N/A</v>
      </c>
      <c r="CY551" t="e">
        <f t="shared" si="216"/>
        <v>#N/A</v>
      </c>
      <c r="CZ551" t="e">
        <v>#N/A</v>
      </c>
      <c r="DA551" t="e" cm="1">
        <f t="array" ref="DA551">IF(ISNUMBER(CZ551),AF551/COUNT(IF(ISNUMBER(_xlfn.ANCHORARRAY($CZ$11)),_xlfn.ANCHORARRAY($CZ$11))),NA())</f>
        <v>#N/A</v>
      </c>
      <c r="DB551" t="e">
        <f t="shared" si="217"/>
        <v>#N/A</v>
      </c>
      <c r="DD551" t="e">
        <f t="shared" si="218"/>
        <v>#N/A</v>
      </c>
      <c r="DE551" t="e">
        <f t="shared" si="219"/>
        <v>#N/A</v>
      </c>
      <c r="DG551" t="e">
        <v>#N/A</v>
      </c>
      <c r="DH551" t="e">
        <v>#N/A</v>
      </c>
    </row>
    <row r="552" spans="32:112">
      <c r="AF552">
        <v>542</v>
      </c>
      <c r="AG552" s="401">
        <f>'Lab test'!N545</f>
        <v>12.7</v>
      </c>
      <c r="AH552" s="401">
        <f>'Lab test'!M545</f>
        <v>1.651</v>
      </c>
      <c r="AI552" t="e">
        <f>IF('Lab test'!O545&gt;0,'Lab test'!O545,NA())</f>
        <v>#N/A</v>
      </c>
      <c r="AJ552">
        <f>'Lab test'!Q545</f>
        <v>7.85</v>
      </c>
      <c r="AK552" s="401">
        <f>IF('Lab test'!V545&gt;0,'Lab test'!V545,NA())</f>
        <v>73153.374740800005</v>
      </c>
      <c r="AL552" s="7">
        <f>IF(MAX('Lab test'!W545,'Lab test'!X545)&gt;0,MAX('Lab test'!W545,'Lab test'!X545),NA())</f>
        <v>301.8186921767068</v>
      </c>
      <c r="AM552" s="401" t="e">
        <f>IF('Lab test'!P545&gt;0,'Lab test'!P545,NA())</f>
        <v>#N/A</v>
      </c>
      <c r="AN552" s="401">
        <f>IF('Lab test'!AU545&gt;0,'Lab test'!AU545,NA())</f>
        <v>1.494</v>
      </c>
      <c r="AO552" s="401">
        <f>IF('Lab test'!AT545&gt;0,'Lab test'!AT545,NA())</f>
        <v>7.9949056831419743E-2</v>
      </c>
      <c r="AP552">
        <f t="shared" si="220"/>
        <v>1</v>
      </c>
      <c r="AQ552" s="401">
        <f>'Lab test'!AZ545</f>
        <v>1938</v>
      </c>
      <c r="AR552" t="str">
        <f>'Lab test'!AC545</f>
        <v>Tubes</v>
      </c>
      <c r="AS552" t="str">
        <f>'Lab test'!T545</f>
        <v>Aluminium</v>
      </c>
      <c r="AX552" t="e">
        <f t="shared" si="205"/>
        <v>#N/A</v>
      </c>
      <c r="AY552" t="e">
        <f t="shared" si="199"/>
        <v>#N/A</v>
      </c>
      <c r="AZ552" t="e">
        <f t="shared" si="202"/>
        <v>#N/A</v>
      </c>
      <c r="BA552" t="e">
        <f t="shared" si="202"/>
        <v>#N/A</v>
      </c>
      <c r="BB552" t="e">
        <f t="shared" si="202"/>
        <v>#N/A</v>
      </c>
      <c r="BC552" t="e">
        <f t="shared" si="202"/>
        <v>#N/A</v>
      </c>
      <c r="BD552" t="e">
        <f t="shared" si="202"/>
        <v>#N/A</v>
      </c>
      <c r="BG552" t="e">
        <f t="shared" si="206"/>
        <v>#N/A</v>
      </c>
      <c r="BH552" t="e">
        <f t="shared" si="200"/>
        <v>#N/A</v>
      </c>
      <c r="BI552" t="e">
        <f t="shared" si="203"/>
        <v>#N/A</v>
      </c>
      <c r="BJ552" t="e">
        <f t="shared" si="203"/>
        <v>#N/A</v>
      </c>
      <c r="BK552" t="e">
        <f t="shared" si="203"/>
        <v>#N/A</v>
      </c>
      <c r="BL552" t="e">
        <f t="shared" si="203"/>
        <v>#N/A</v>
      </c>
      <c r="BM552" t="e">
        <f t="shared" si="203"/>
        <v>#N/A</v>
      </c>
      <c r="BP552" t="e">
        <f t="shared" si="207"/>
        <v>#N/A</v>
      </c>
      <c r="BQ552" t="e">
        <f t="shared" si="201"/>
        <v>#N/A</v>
      </c>
      <c r="BR552" t="e">
        <f t="shared" si="204"/>
        <v>#N/A</v>
      </c>
      <c r="BS552" t="e">
        <f t="shared" si="204"/>
        <v>#N/A</v>
      </c>
      <c r="BT552" t="e">
        <f t="shared" si="204"/>
        <v>#N/A</v>
      </c>
      <c r="BU552" t="e">
        <f t="shared" si="204"/>
        <v>#N/A</v>
      </c>
      <c r="BV552" t="e">
        <f t="shared" si="204"/>
        <v>#N/A</v>
      </c>
      <c r="BY552" t="e">
        <f t="shared" si="208"/>
        <v>#N/A</v>
      </c>
      <c r="BZ552" t="e">
        <v>#N/A</v>
      </c>
      <c r="CA552" t="e" cm="1">
        <f t="array" ref="CA552">IF(ISNUMBER(BZ552),AF552/COUNT(IF(ISNUMBER(_xlfn.ANCHORARRAY($BZ$11)),_xlfn.ANCHORARRAY($BZ$11))),NA())</f>
        <v>#N/A</v>
      </c>
      <c r="CB552" t="e">
        <f t="shared" si="209"/>
        <v>#N/A</v>
      </c>
      <c r="CD552" t="e">
        <f t="shared" si="210"/>
        <v>#N/A</v>
      </c>
      <c r="CE552" t="e">
        <f t="shared" si="211"/>
        <v>#N/A</v>
      </c>
      <c r="CG552" t="e">
        <v>#N/A</v>
      </c>
      <c r="CH552" t="e">
        <v>#N/A</v>
      </c>
      <c r="CL552" t="e">
        <f t="shared" si="212"/>
        <v>#N/A</v>
      </c>
      <c r="CM552" t="e">
        <v>#N/A</v>
      </c>
      <c r="CN552" t="e" cm="1">
        <f t="array" ref="CN552">IF(ISNUMBER(CM552),AF552/COUNT(IF(ISNUMBER(_xlfn.ANCHORARRAY($CM$11)),_xlfn.ANCHORARRAY($CM$11))),NA())</f>
        <v>#N/A</v>
      </c>
      <c r="CO552" t="e">
        <f t="shared" si="213"/>
        <v>#N/A</v>
      </c>
      <c r="CQ552" t="e">
        <f t="shared" si="214"/>
        <v>#N/A</v>
      </c>
      <c r="CR552" t="e">
        <f t="shared" si="215"/>
        <v>#N/A</v>
      </c>
      <c r="CT552" t="e">
        <v>#N/A</v>
      </c>
      <c r="CU552" t="e">
        <v>#N/A</v>
      </c>
      <c r="CY552" t="e">
        <f t="shared" si="216"/>
        <v>#N/A</v>
      </c>
      <c r="CZ552" t="e">
        <v>#N/A</v>
      </c>
      <c r="DA552" t="e" cm="1">
        <f t="array" ref="DA552">IF(ISNUMBER(CZ552),AF552/COUNT(IF(ISNUMBER(_xlfn.ANCHORARRAY($CZ$11)),_xlfn.ANCHORARRAY($CZ$11))),NA())</f>
        <v>#N/A</v>
      </c>
      <c r="DB552" t="e">
        <f t="shared" si="217"/>
        <v>#N/A</v>
      </c>
      <c r="DD552" t="e">
        <f t="shared" si="218"/>
        <v>#N/A</v>
      </c>
      <c r="DE552" t="e">
        <f t="shared" si="219"/>
        <v>#N/A</v>
      </c>
      <c r="DG552" t="e">
        <v>#N/A</v>
      </c>
      <c r="DH552" t="e">
        <v>#N/A</v>
      </c>
    </row>
    <row r="553" spans="32:112">
      <c r="AF553">
        <v>543</v>
      </c>
      <c r="AG553" s="401">
        <f>'Lab test'!N546</f>
        <v>12.7</v>
      </c>
      <c r="AH553" s="401">
        <f>'Lab test'!M546</f>
        <v>1.2445999999999999</v>
      </c>
      <c r="AI553" t="e">
        <f>IF('Lab test'!O546&gt;0,'Lab test'!O546,NA())</f>
        <v>#N/A</v>
      </c>
      <c r="AJ553">
        <f>'Lab test'!Q546</f>
        <v>10.050000000000001</v>
      </c>
      <c r="AK553" s="401">
        <f>IF('Lab test'!V546&gt;0,'Lab test'!V546,NA())</f>
        <v>73153.374740800005</v>
      </c>
      <c r="AL553" s="7">
        <f>IF(MAX('Lab test'!W546,'Lab test'!X546)&gt;0,MAX('Lab test'!W546,'Lab test'!X546),NA())</f>
        <v>297.01991107344634</v>
      </c>
      <c r="AM553" s="401" t="e">
        <f>IF('Lab test'!P546&gt;0,'Lab test'!P546,NA())</f>
        <v>#N/A</v>
      </c>
      <c r="AN553" s="401">
        <f>IF('Lab test'!AU546&gt;0,'Lab test'!AU546,NA())</f>
        <v>1.4159999999999999</v>
      </c>
      <c r="AO553" s="401">
        <f>IF('Lab test'!AT546&gt;0,'Lab test'!AT546,NA())</f>
        <v>9.5468881923103058E-2</v>
      </c>
      <c r="AP553">
        <f t="shared" si="220"/>
        <v>1</v>
      </c>
      <c r="AQ553" s="401">
        <f>'Lab test'!AZ546</f>
        <v>1938</v>
      </c>
      <c r="AR553" t="str">
        <f>'Lab test'!AC546</f>
        <v>Tubes</v>
      </c>
      <c r="AS553" t="str">
        <f>'Lab test'!T546</f>
        <v>Aluminium</v>
      </c>
      <c r="AX553" t="e">
        <f t="shared" si="205"/>
        <v>#N/A</v>
      </c>
      <c r="AY553" t="e">
        <f t="shared" si="199"/>
        <v>#N/A</v>
      </c>
      <c r="AZ553" t="e">
        <f t="shared" si="202"/>
        <v>#N/A</v>
      </c>
      <c r="BA553" t="e">
        <f t="shared" si="202"/>
        <v>#N/A</v>
      </c>
      <c r="BB553" t="e">
        <f t="shared" si="202"/>
        <v>#N/A</v>
      </c>
      <c r="BC553" t="e">
        <f t="shared" si="202"/>
        <v>#N/A</v>
      </c>
      <c r="BD553" t="e">
        <f t="shared" si="202"/>
        <v>#N/A</v>
      </c>
      <c r="BG553" t="e">
        <f t="shared" si="206"/>
        <v>#N/A</v>
      </c>
      <c r="BH553" t="e">
        <f t="shared" si="200"/>
        <v>#N/A</v>
      </c>
      <c r="BI553" t="e">
        <f t="shared" si="203"/>
        <v>#N/A</v>
      </c>
      <c r="BJ553" t="e">
        <f t="shared" si="203"/>
        <v>#N/A</v>
      </c>
      <c r="BK553" t="e">
        <f t="shared" si="203"/>
        <v>#N/A</v>
      </c>
      <c r="BL553" t="e">
        <f t="shared" si="203"/>
        <v>#N/A</v>
      </c>
      <c r="BM553" t="e">
        <f t="shared" si="203"/>
        <v>#N/A</v>
      </c>
      <c r="BP553" t="e">
        <f t="shared" si="207"/>
        <v>#N/A</v>
      </c>
      <c r="BQ553" t="e">
        <f t="shared" si="201"/>
        <v>#N/A</v>
      </c>
      <c r="BR553" t="e">
        <f t="shared" si="204"/>
        <v>#N/A</v>
      </c>
      <c r="BS553" t="e">
        <f t="shared" si="204"/>
        <v>#N/A</v>
      </c>
      <c r="BT553" t="e">
        <f t="shared" si="204"/>
        <v>#N/A</v>
      </c>
      <c r="BU553" t="e">
        <f t="shared" si="204"/>
        <v>#N/A</v>
      </c>
      <c r="BV553" t="e">
        <f t="shared" si="204"/>
        <v>#N/A</v>
      </c>
      <c r="BY553" t="e">
        <f t="shared" si="208"/>
        <v>#N/A</v>
      </c>
      <c r="BZ553" t="e">
        <v>#N/A</v>
      </c>
      <c r="CA553" t="e" cm="1">
        <f t="array" ref="CA553">IF(ISNUMBER(BZ553),AF553/COUNT(IF(ISNUMBER(_xlfn.ANCHORARRAY($BZ$11)),_xlfn.ANCHORARRAY($BZ$11))),NA())</f>
        <v>#N/A</v>
      </c>
      <c r="CB553" t="e">
        <f t="shared" si="209"/>
        <v>#N/A</v>
      </c>
      <c r="CD553" t="e">
        <f t="shared" si="210"/>
        <v>#N/A</v>
      </c>
      <c r="CE553" t="e">
        <f t="shared" si="211"/>
        <v>#N/A</v>
      </c>
      <c r="CG553" t="e">
        <v>#N/A</v>
      </c>
      <c r="CH553" t="e">
        <v>#N/A</v>
      </c>
      <c r="CL553" t="e">
        <f t="shared" si="212"/>
        <v>#N/A</v>
      </c>
      <c r="CM553" t="e">
        <v>#N/A</v>
      </c>
      <c r="CN553" t="e" cm="1">
        <f t="array" ref="CN553">IF(ISNUMBER(CM553),AF553/COUNT(IF(ISNUMBER(_xlfn.ANCHORARRAY($CM$11)),_xlfn.ANCHORARRAY($CM$11))),NA())</f>
        <v>#N/A</v>
      </c>
      <c r="CO553" t="e">
        <f t="shared" si="213"/>
        <v>#N/A</v>
      </c>
      <c r="CQ553" t="e">
        <f t="shared" si="214"/>
        <v>#N/A</v>
      </c>
      <c r="CR553" t="e">
        <f t="shared" si="215"/>
        <v>#N/A</v>
      </c>
      <c r="CT553" t="e">
        <v>#N/A</v>
      </c>
      <c r="CU553" t="e">
        <v>#N/A</v>
      </c>
      <c r="CY553" t="e">
        <f t="shared" si="216"/>
        <v>#N/A</v>
      </c>
      <c r="CZ553" t="e">
        <v>#N/A</v>
      </c>
      <c r="DA553" t="e" cm="1">
        <f t="array" ref="DA553">IF(ISNUMBER(CZ553),AF553/COUNT(IF(ISNUMBER(_xlfn.ANCHORARRAY($CZ$11)),_xlfn.ANCHORARRAY($CZ$11))),NA())</f>
        <v>#N/A</v>
      </c>
      <c r="DB553" t="e">
        <f t="shared" si="217"/>
        <v>#N/A</v>
      </c>
      <c r="DD553" t="e">
        <f t="shared" si="218"/>
        <v>#N/A</v>
      </c>
      <c r="DE553" t="e">
        <f t="shared" si="219"/>
        <v>#N/A</v>
      </c>
      <c r="DG553" t="e">
        <v>#N/A</v>
      </c>
      <c r="DH553" t="e">
        <v>#N/A</v>
      </c>
    </row>
    <row r="554" spans="32:112">
      <c r="AF554">
        <v>544</v>
      </c>
      <c r="AG554" s="401">
        <f>'Lab test'!N547</f>
        <v>12.7</v>
      </c>
      <c r="AH554" s="401">
        <f>'Lab test'!M547</f>
        <v>1.2445999999999999</v>
      </c>
      <c r="AI554" t="e">
        <f>IF('Lab test'!O547&gt;0,'Lab test'!O547,NA())</f>
        <v>#N/A</v>
      </c>
      <c r="AJ554">
        <f>'Lab test'!Q547</f>
        <v>10.1</v>
      </c>
      <c r="AK554" s="401">
        <f>IF('Lab test'!V547&gt;0,'Lab test'!V547,NA())</f>
        <v>73153.374740800005</v>
      </c>
      <c r="AL554" s="7">
        <f>IF(MAX('Lab test'!W547,'Lab test'!X547)&gt;0,MAX('Lab test'!W547,'Lab test'!X547),NA())</f>
        <v>297.01238317919888</v>
      </c>
      <c r="AM554" s="401" t="e">
        <f>IF('Lab test'!P547&gt;0,'Lab test'!P547,NA())</f>
        <v>#N/A</v>
      </c>
      <c r="AN554" s="401">
        <f>IF('Lab test'!AU547&gt;0,'Lab test'!AU547,NA())</f>
        <v>1.423</v>
      </c>
      <c r="AO554" s="401">
        <f>IF('Lab test'!AT547&gt;0,'Lab test'!AT547,NA())</f>
        <v>9.6415706492212386E-2</v>
      </c>
      <c r="AP554">
        <f t="shared" si="220"/>
        <v>1</v>
      </c>
      <c r="AQ554" s="401">
        <f>'Lab test'!AZ547</f>
        <v>1938</v>
      </c>
      <c r="AR554" t="str">
        <f>'Lab test'!AC547</f>
        <v>Tubes</v>
      </c>
      <c r="AS554" t="str">
        <f>'Lab test'!T547</f>
        <v>Aluminium</v>
      </c>
      <c r="AX554" t="e">
        <f t="shared" si="205"/>
        <v>#N/A</v>
      </c>
      <c r="AY554" t="e">
        <f t="shared" si="199"/>
        <v>#N/A</v>
      </c>
      <c r="AZ554" t="e">
        <f t="shared" si="202"/>
        <v>#N/A</v>
      </c>
      <c r="BA554" t="e">
        <f t="shared" si="202"/>
        <v>#N/A</v>
      </c>
      <c r="BB554" t="e">
        <f t="shared" si="202"/>
        <v>#N/A</v>
      </c>
      <c r="BC554" t="e">
        <f t="shared" si="202"/>
        <v>#N/A</v>
      </c>
      <c r="BD554" t="e">
        <f t="shared" si="202"/>
        <v>#N/A</v>
      </c>
      <c r="BG554" t="e">
        <f t="shared" si="206"/>
        <v>#N/A</v>
      </c>
      <c r="BH554" t="e">
        <f t="shared" si="200"/>
        <v>#N/A</v>
      </c>
      <c r="BI554" t="e">
        <f t="shared" si="203"/>
        <v>#N/A</v>
      </c>
      <c r="BJ554" t="e">
        <f t="shared" si="203"/>
        <v>#N/A</v>
      </c>
      <c r="BK554" t="e">
        <f t="shared" si="203"/>
        <v>#N/A</v>
      </c>
      <c r="BL554" t="e">
        <f t="shared" si="203"/>
        <v>#N/A</v>
      </c>
      <c r="BM554" t="e">
        <f t="shared" si="203"/>
        <v>#N/A</v>
      </c>
      <c r="BP554" t="e">
        <f t="shared" si="207"/>
        <v>#N/A</v>
      </c>
      <c r="BQ554" t="e">
        <f t="shared" si="201"/>
        <v>#N/A</v>
      </c>
      <c r="BR554" t="e">
        <f t="shared" si="204"/>
        <v>#N/A</v>
      </c>
      <c r="BS554" t="e">
        <f t="shared" si="204"/>
        <v>#N/A</v>
      </c>
      <c r="BT554" t="e">
        <f t="shared" si="204"/>
        <v>#N/A</v>
      </c>
      <c r="BU554" t="e">
        <f t="shared" si="204"/>
        <v>#N/A</v>
      </c>
      <c r="BV554" t="e">
        <f t="shared" si="204"/>
        <v>#N/A</v>
      </c>
      <c r="BY554" t="e">
        <f t="shared" si="208"/>
        <v>#N/A</v>
      </c>
      <c r="BZ554" t="e">
        <v>#N/A</v>
      </c>
      <c r="CA554" t="e" cm="1">
        <f t="array" ref="CA554">IF(ISNUMBER(BZ554),AF554/COUNT(IF(ISNUMBER(_xlfn.ANCHORARRAY($BZ$11)),_xlfn.ANCHORARRAY($BZ$11))),NA())</f>
        <v>#N/A</v>
      </c>
      <c r="CB554" t="e">
        <f t="shared" si="209"/>
        <v>#N/A</v>
      </c>
      <c r="CD554" t="e">
        <f t="shared" si="210"/>
        <v>#N/A</v>
      </c>
      <c r="CE554" t="e">
        <f t="shared" si="211"/>
        <v>#N/A</v>
      </c>
      <c r="CG554" t="e">
        <v>#N/A</v>
      </c>
      <c r="CH554" t="e">
        <v>#N/A</v>
      </c>
      <c r="CL554" t="e">
        <f t="shared" si="212"/>
        <v>#N/A</v>
      </c>
      <c r="CM554" t="e">
        <v>#N/A</v>
      </c>
      <c r="CN554" t="e" cm="1">
        <f t="array" ref="CN554">IF(ISNUMBER(CM554),AF554/COUNT(IF(ISNUMBER(_xlfn.ANCHORARRAY($CM$11)),_xlfn.ANCHORARRAY($CM$11))),NA())</f>
        <v>#N/A</v>
      </c>
      <c r="CO554" t="e">
        <f t="shared" si="213"/>
        <v>#N/A</v>
      </c>
      <c r="CQ554" t="e">
        <f t="shared" si="214"/>
        <v>#N/A</v>
      </c>
      <c r="CR554" t="e">
        <f t="shared" si="215"/>
        <v>#N/A</v>
      </c>
      <c r="CT554" t="e">
        <v>#N/A</v>
      </c>
      <c r="CU554" t="e">
        <v>#N/A</v>
      </c>
      <c r="CY554" t="e">
        <f t="shared" si="216"/>
        <v>#N/A</v>
      </c>
      <c r="CZ554" t="e">
        <v>#N/A</v>
      </c>
      <c r="DA554" t="e" cm="1">
        <f t="array" ref="DA554">IF(ISNUMBER(CZ554),AF554/COUNT(IF(ISNUMBER(_xlfn.ANCHORARRAY($CZ$11)),_xlfn.ANCHORARRAY($CZ$11))),NA())</f>
        <v>#N/A</v>
      </c>
      <c r="DB554" t="e">
        <f t="shared" si="217"/>
        <v>#N/A</v>
      </c>
      <c r="DD554" t="e">
        <f t="shared" si="218"/>
        <v>#N/A</v>
      </c>
      <c r="DE554" t="e">
        <f t="shared" si="219"/>
        <v>#N/A</v>
      </c>
      <c r="DG554" t="e">
        <v>#N/A</v>
      </c>
      <c r="DH554" t="e">
        <v>#N/A</v>
      </c>
    </row>
    <row r="555" spans="32:112">
      <c r="AF555">
        <v>545</v>
      </c>
      <c r="AG555" s="401">
        <f>'Lab test'!N548</f>
        <v>19.049999999999997</v>
      </c>
      <c r="AH555" s="401">
        <f>'Lab test'!M548</f>
        <v>1.4732000000000001</v>
      </c>
      <c r="AI555" t="e">
        <f>IF('Lab test'!O548&gt;0,'Lab test'!O548,NA())</f>
        <v>#N/A</v>
      </c>
      <c r="AJ555">
        <f>'Lab test'!Q548</f>
        <v>12.8</v>
      </c>
      <c r="AK555" s="401">
        <f>IF('Lab test'!V548&gt;0,'Lab test'!V548,NA())</f>
        <v>73153.374740800005</v>
      </c>
      <c r="AL555" s="7">
        <f>IF(MAX('Lab test'!W548,'Lab test'!X548)&gt;0,MAX('Lab test'!W548,'Lab test'!X548),NA())</f>
        <v>286.93438529305132</v>
      </c>
      <c r="AM555" s="401" t="e">
        <f>IF('Lab test'!P548&gt;0,'Lab test'!P548,NA())</f>
        <v>#N/A</v>
      </c>
      <c r="AN555" s="401">
        <f>IF('Lab test'!AU548&gt;0,'Lab test'!AU548,NA())</f>
        <v>1.3240000000000001</v>
      </c>
      <c r="AO555" s="401">
        <f>IF('Lab test'!AT548&gt;0,'Lab test'!AT548,NA())</f>
        <v>0.10983165001668073</v>
      </c>
      <c r="AP555">
        <f t="shared" si="220"/>
        <v>1</v>
      </c>
      <c r="AQ555" s="401">
        <f>'Lab test'!AZ548</f>
        <v>1938</v>
      </c>
      <c r="AR555" t="str">
        <f>'Lab test'!AC548</f>
        <v>Tubes</v>
      </c>
      <c r="AS555" t="str">
        <f>'Lab test'!T548</f>
        <v>Aluminium</v>
      </c>
      <c r="AX555" t="e">
        <f t="shared" si="205"/>
        <v>#N/A</v>
      </c>
      <c r="AY555" t="e">
        <f t="shared" si="199"/>
        <v>#N/A</v>
      </c>
      <c r="AZ555" t="e">
        <f t="shared" si="202"/>
        <v>#N/A</v>
      </c>
      <c r="BA555" t="e">
        <f t="shared" si="202"/>
        <v>#N/A</v>
      </c>
      <c r="BB555" t="e">
        <f t="shared" si="202"/>
        <v>#N/A</v>
      </c>
      <c r="BC555" t="e">
        <f t="shared" si="202"/>
        <v>#N/A</v>
      </c>
      <c r="BD555" t="e">
        <f t="shared" si="202"/>
        <v>#N/A</v>
      </c>
      <c r="BG555" t="e">
        <f t="shared" si="206"/>
        <v>#N/A</v>
      </c>
      <c r="BH555" t="e">
        <f t="shared" si="200"/>
        <v>#N/A</v>
      </c>
      <c r="BI555" t="e">
        <f t="shared" si="203"/>
        <v>#N/A</v>
      </c>
      <c r="BJ555" t="e">
        <f t="shared" si="203"/>
        <v>#N/A</v>
      </c>
      <c r="BK555" t="e">
        <f t="shared" si="203"/>
        <v>#N/A</v>
      </c>
      <c r="BL555" t="e">
        <f t="shared" si="203"/>
        <v>#N/A</v>
      </c>
      <c r="BM555" t="e">
        <f t="shared" si="203"/>
        <v>#N/A</v>
      </c>
      <c r="BP555" t="e">
        <f t="shared" si="207"/>
        <v>#N/A</v>
      </c>
      <c r="BQ555" t="e">
        <f t="shared" si="201"/>
        <v>#N/A</v>
      </c>
      <c r="BR555" t="e">
        <f t="shared" si="204"/>
        <v>#N/A</v>
      </c>
      <c r="BS555" t="e">
        <f t="shared" si="204"/>
        <v>#N/A</v>
      </c>
      <c r="BT555" t="e">
        <f t="shared" si="204"/>
        <v>#N/A</v>
      </c>
      <c r="BU555" t="e">
        <f t="shared" si="204"/>
        <v>#N/A</v>
      </c>
      <c r="BV555" t="e">
        <f t="shared" si="204"/>
        <v>#N/A</v>
      </c>
      <c r="BY555" t="e">
        <f t="shared" si="208"/>
        <v>#N/A</v>
      </c>
      <c r="BZ555" t="e">
        <v>#N/A</v>
      </c>
      <c r="CA555" t="e" cm="1">
        <f t="array" ref="CA555">IF(ISNUMBER(BZ555),AF555/COUNT(IF(ISNUMBER(_xlfn.ANCHORARRAY($BZ$11)),_xlfn.ANCHORARRAY($BZ$11))),NA())</f>
        <v>#N/A</v>
      </c>
      <c r="CB555" t="e">
        <f t="shared" si="209"/>
        <v>#N/A</v>
      </c>
      <c r="CD555" t="e">
        <f t="shared" si="210"/>
        <v>#N/A</v>
      </c>
      <c r="CE555" t="e">
        <f t="shared" si="211"/>
        <v>#N/A</v>
      </c>
      <c r="CG555" t="e">
        <v>#N/A</v>
      </c>
      <c r="CH555" t="e">
        <v>#N/A</v>
      </c>
      <c r="CL555" t="e">
        <f t="shared" si="212"/>
        <v>#N/A</v>
      </c>
      <c r="CM555" t="e">
        <v>#N/A</v>
      </c>
      <c r="CN555" t="e" cm="1">
        <f t="array" ref="CN555">IF(ISNUMBER(CM555),AF555/COUNT(IF(ISNUMBER(_xlfn.ANCHORARRAY($CM$11)),_xlfn.ANCHORARRAY($CM$11))),NA())</f>
        <v>#N/A</v>
      </c>
      <c r="CO555" t="e">
        <f t="shared" si="213"/>
        <v>#N/A</v>
      </c>
      <c r="CQ555" t="e">
        <f t="shared" si="214"/>
        <v>#N/A</v>
      </c>
      <c r="CR555" t="e">
        <f t="shared" si="215"/>
        <v>#N/A</v>
      </c>
      <c r="CT555" t="e">
        <v>#N/A</v>
      </c>
      <c r="CU555" t="e">
        <v>#N/A</v>
      </c>
      <c r="CY555" t="e">
        <f t="shared" si="216"/>
        <v>#N/A</v>
      </c>
      <c r="CZ555" t="e">
        <v>#N/A</v>
      </c>
      <c r="DA555" t="e" cm="1">
        <f t="array" ref="DA555">IF(ISNUMBER(CZ555),AF555/COUNT(IF(ISNUMBER(_xlfn.ANCHORARRAY($CZ$11)),_xlfn.ANCHORARRAY($CZ$11))),NA())</f>
        <v>#N/A</v>
      </c>
      <c r="DB555" t="e">
        <f t="shared" si="217"/>
        <v>#N/A</v>
      </c>
      <c r="DD555" t="e">
        <f t="shared" si="218"/>
        <v>#N/A</v>
      </c>
      <c r="DE555" t="e">
        <f t="shared" si="219"/>
        <v>#N/A</v>
      </c>
      <c r="DG555" t="e">
        <v>#N/A</v>
      </c>
      <c r="DH555" t="e">
        <v>#N/A</v>
      </c>
    </row>
    <row r="556" spans="32:112">
      <c r="AF556">
        <v>546</v>
      </c>
      <c r="AG556" s="401">
        <f>'Lab test'!N549</f>
        <v>19.049999999999997</v>
      </c>
      <c r="AH556" s="401">
        <f>'Lab test'!M549</f>
        <v>1.4732000000000001</v>
      </c>
      <c r="AI556" t="e">
        <f>IF('Lab test'!O549&gt;0,'Lab test'!O549,NA())</f>
        <v>#N/A</v>
      </c>
      <c r="AJ556">
        <f>'Lab test'!Q549</f>
        <v>12.9</v>
      </c>
      <c r="AK556" s="401">
        <f>IF('Lab test'!V549&gt;0,'Lab test'!V549,NA())</f>
        <v>73153.374740800005</v>
      </c>
      <c r="AL556" s="7">
        <f>IF(MAX('Lab test'!W549,'Lab test'!X549)&gt;0,MAX('Lab test'!W549,'Lab test'!X549),NA())</f>
        <v>265.47947318518516</v>
      </c>
      <c r="AM556" s="401" t="e">
        <f>IF('Lab test'!P549&gt;0,'Lab test'!P549,NA())</f>
        <v>#N/A</v>
      </c>
      <c r="AN556" s="401">
        <f>IF('Lab test'!AU549&gt;0,'Lab test'!AU549,NA())</f>
        <v>1.431</v>
      </c>
      <c r="AO556" s="401">
        <f>IF('Lab test'!AT549&gt;0,'Lab test'!AT549,NA())</f>
        <v>0.11068970978243604</v>
      </c>
      <c r="AP556">
        <f t="shared" si="220"/>
        <v>1</v>
      </c>
      <c r="AQ556" s="401">
        <f>'Lab test'!AZ549</f>
        <v>1938</v>
      </c>
      <c r="AR556" t="str">
        <f>'Lab test'!AC549</f>
        <v>Tubes</v>
      </c>
      <c r="AS556" t="str">
        <f>'Lab test'!T549</f>
        <v>Aluminium</v>
      </c>
      <c r="AX556" t="e">
        <f t="shared" si="205"/>
        <v>#N/A</v>
      </c>
      <c r="AY556" t="e">
        <f t="shared" si="199"/>
        <v>#N/A</v>
      </c>
      <c r="AZ556" t="e">
        <f t="shared" si="202"/>
        <v>#N/A</v>
      </c>
      <c r="BA556" t="e">
        <f t="shared" si="202"/>
        <v>#N/A</v>
      </c>
      <c r="BB556" t="e">
        <f t="shared" si="202"/>
        <v>#N/A</v>
      </c>
      <c r="BC556" t="e">
        <f t="shared" si="202"/>
        <v>#N/A</v>
      </c>
      <c r="BD556" t="e">
        <f t="shared" si="202"/>
        <v>#N/A</v>
      </c>
      <c r="BG556" t="e">
        <f t="shared" si="206"/>
        <v>#N/A</v>
      </c>
      <c r="BH556" t="e">
        <f t="shared" si="200"/>
        <v>#N/A</v>
      </c>
      <c r="BI556" t="e">
        <f t="shared" si="203"/>
        <v>#N/A</v>
      </c>
      <c r="BJ556" t="e">
        <f t="shared" si="203"/>
        <v>#N/A</v>
      </c>
      <c r="BK556" t="e">
        <f t="shared" si="203"/>
        <v>#N/A</v>
      </c>
      <c r="BL556" t="e">
        <f t="shared" si="203"/>
        <v>#N/A</v>
      </c>
      <c r="BM556" t="e">
        <f t="shared" si="203"/>
        <v>#N/A</v>
      </c>
      <c r="BP556" t="e">
        <f t="shared" si="207"/>
        <v>#N/A</v>
      </c>
      <c r="BQ556" t="e">
        <f t="shared" si="201"/>
        <v>#N/A</v>
      </c>
      <c r="BR556" t="e">
        <f t="shared" si="204"/>
        <v>#N/A</v>
      </c>
      <c r="BS556" t="e">
        <f t="shared" si="204"/>
        <v>#N/A</v>
      </c>
      <c r="BT556" t="e">
        <f t="shared" si="204"/>
        <v>#N/A</v>
      </c>
      <c r="BU556" t="e">
        <f t="shared" si="204"/>
        <v>#N/A</v>
      </c>
      <c r="BV556" t="e">
        <f t="shared" si="204"/>
        <v>#N/A</v>
      </c>
      <c r="BY556" t="e">
        <f t="shared" si="208"/>
        <v>#N/A</v>
      </c>
      <c r="BZ556" t="e">
        <v>#N/A</v>
      </c>
      <c r="CA556" t="e" cm="1">
        <f t="array" ref="CA556">IF(ISNUMBER(BZ556),AF556/COUNT(IF(ISNUMBER(_xlfn.ANCHORARRAY($BZ$11)),_xlfn.ANCHORARRAY($BZ$11))),NA())</f>
        <v>#N/A</v>
      </c>
      <c r="CB556" t="e">
        <f t="shared" si="209"/>
        <v>#N/A</v>
      </c>
      <c r="CD556" t="e">
        <f t="shared" si="210"/>
        <v>#N/A</v>
      </c>
      <c r="CE556" t="e">
        <f t="shared" si="211"/>
        <v>#N/A</v>
      </c>
      <c r="CG556" t="e">
        <v>#N/A</v>
      </c>
      <c r="CH556" t="e">
        <v>#N/A</v>
      </c>
      <c r="CL556" t="e">
        <f t="shared" si="212"/>
        <v>#N/A</v>
      </c>
      <c r="CM556" t="e">
        <v>#N/A</v>
      </c>
      <c r="CN556" t="e" cm="1">
        <f t="array" ref="CN556">IF(ISNUMBER(CM556),AF556/COUNT(IF(ISNUMBER(_xlfn.ANCHORARRAY($CM$11)),_xlfn.ANCHORARRAY($CM$11))),NA())</f>
        <v>#N/A</v>
      </c>
      <c r="CO556" t="e">
        <f t="shared" si="213"/>
        <v>#N/A</v>
      </c>
      <c r="CQ556" t="e">
        <f t="shared" si="214"/>
        <v>#N/A</v>
      </c>
      <c r="CR556" t="e">
        <f t="shared" si="215"/>
        <v>#N/A</v>
      </c>
      <c r="CT556" t="e">
        <v>#N/A</v>
      </c>
      <c r="CU556" t="e">
        <v>#N/A</v>
      </c>
      <c r="CY556" t="e">
        <f t="shared" si="216"/>
        <v>#N/A</v>
      </c>
      <c r="CZ556" t="e">
        <v>#N/A</v>
      </c>
      <c r="DA556" t="e" cm="1">
        <f t="array" ref="DA556">IF(ISNUMBER(CZ556),AF556/COUNT(IF(ISNUMBER(_xlfn.ANCHORARRAY($CZ$11)),_xlfn.ANCHORARRAY($CZ$11))),NA())</f>
        <v>#N/A</v>
      </c>
      <c r="DB556" t="e">
        <f t="shared" si="217"/>
        <v>#N/A</v>
      </c>
      <c r="DD556" t="e">
        <f t="shared" si="218"/>
        <v>#N/A</v>
      </c>
      <c r="DE556" t="e">
        <f t="shared" si="219"/>
        <v>#N/A</v>
      </c>
      <c r="DG556" t="e">
        <v>#N/A</v>
      </c>
      <c r="DH556" t="e">
        <v>#N/A</v>
      </c>
    </row>
    <row r="557" spans="32:112">
      <c r="AF557">
        <v>547</v>
      </c>
      <c r="AG557" s="401">
        <f>'Lab test'!N550</f>
        <v>19.049999999999997</v>
      </c>
      <c r="AH557" s="401">
        <f>'Lab test'!M550</f>
        <v>1.4732000000000001</v>
      </c>
      <c r="AI557" t="e">
        <f>IF('Lab test'!O550&gt;0,'Lab test'!O550,NA())</f>
        <v>#N/A</v>
      </c>
      <c r="AJ557">
        <f>'Lab test'!Q550</f>
        <v>12.95</v>
      </c>
      <c r="AK557" s="401">
        <f>IF('Lab test'!V550&gt;0,'Lab test'!V550,NA())</f>
        <v>73153.374740800005</v>
      </c>
      <c r="AL557" s="7">
        <f>IF(MAX('Lab test'!W550,'Lab test'!X550)&gt;0,MAX('Lab test'!W550,'Lab test'!X550),NA())</f>
        <v>286.51546919111109</v>
      </c>
      <c r="AM557" s="401" t="e">
        <f>IF('Lab test'!P550&gt;0,'Lab test'!P550,NA())</f>
        <v>#N/A</v>
      </c>
      <c r="AN557" s="401">
        <f>IF('Lab test'!AU550&gt;0,'Lab test'!AU550,NA())</f>
        <v>1.35</v>
      </c>
      <c r="AO557" s="401">
        <f>IF('Lab test'!AT550&gt;0,'Lab test'!AT550,NA())</f>
        <v>0.11313541370642648</v>
      </c>
      <c r="AP557">
        <f t="shared" si="220"/>
        <v>1</v>
      </c>
      <c r="AQ557" s="401">
        <f>'Lab test'!AZ550</f>
        <v>1938</v>
      </c>
      <c r="AR557" t="str">
        <f>'Lab test'!AC550</f>
        <v>Tubes</v>
      </c>
      <c r="AS557" t="str">
        <f>'Lab test'!T550</f>
        <v>Aluminium</v>
      </c>
      <c r="AX557" t="e">
        <f t="shared" si="205"/>
        <v>#N/A</v>
      </c>
      <c r="AY557" t="e">
        <f t="shared" si="199"/>
        <v>#N/A</v>
      </c>
      <c r="AZ557" t="e">
        <f t="shared" si="202"/>
        <v>#N/A</v>
      </c>
      <c r="BA557" t="e">
        <f t="shared" si="202"/>
        <v>#N/A</v>
      </c>
      <c r="BB557" t="e">
        <f t="shared" si="202"/>
        <v>#N/A</v>
      </c>
      <c r="BC557" t="e">
        <f t="shared" si="202"/>
        <v>#N/A</v>
      </c>
      <c r="BD557" t="e">
        <f t="shared" si="202"/>
        <v>#N/A</v>
      </c>
      <c r="BG557" t="e">
        <f t="shared" si="206"/>
        <v>#N/A</v>
      </c>
      <c r="BH557" t="e">
        <f t="shared" si="200"/>
        <v>#N/A</v>
      </c>
      <c r="BI557" t="e">
        <f t="shared" si="203"/>
        <v>#N/A</v>
      </c>
      <c r="BJ557" t="e">
        <f t="shared" si="203"/>
        <v>#N/A</v>
      </c>
      <c r="BK557" t="e">
        <f t="shared" si="203"/>
        <v>#N/A</v>
      </c>
      <c r="BL557" t="e">
        <f t="shared" si="203"/>
        <v>#N/A</v>
      </c>
      <c r="BM557" t="e">
        <f t="shared" si="203"/>
        <v>#N/A</v>
      </c>
      <c r="BP557" t="e">
        <f t="shared" si="207"/>
        <v>#N/A</v>
      </c>
      <c r="BQ557" t="e">
        <f t="shared" si="201"/>
        <v>#N/A</v>
      </c>
      <c r="BR557" t="e">
        <f t="shared" si="204"/>
        <v>#N/A</v>
      </c>
      <c r="BS557" t="e">
        <f t="shared" si="204"/>
        <v>#N/A</v>
      </c>
      <c r="BT557" t="e">
        <f t="shared" si="204"/>
        <v>#N/A</v>
      </c>
      <c r="BU557" t="e">
        <f t="shared" si="204"/>
        <v>#N/A</v>
      </c>
      <c r="BV557" t="e">
        <f t="shared" si="204"/>
        <v>#N/A</v>
      </c>
      <c r="BY557" t="e">
        <f t="shared" si="208"/>
        <v>#N/A</v>
      </c>
      <c r="BZ557" t="e">
        <v>#N/A</v>
      </c>
      <c r="CA557" t="e" cm="1">
        <f t="array" ref="CA557">IF(ISNUMBER(BZ557),AF557/COUNT(IF(ISNUMBER(_xlfn.ANCHORARRAY($BZ$11)),_xlfn.ANCHORARRAY($BZ$11))),NA())</f>
        <v>#N/A</v>
      </c>
      <c r="CB557" t="e">
        <f t="shared" si="209"/>
        <v>#N/A</v>
      </c>
      <c r="CD557" t="e">
        <f t="shared" si="210"/>
        <v>#N/A</v>
      </c>
      <c r="CE557" t="e">
        <f t="shared" si="211"/>
        <v>#N/A</v>
      </c>
      <c r="CG557" t="e">
        <v>#N/A</v>
      </c>
      <c r="CH557" t="e">
        <v>#N/A</v>
      </c>
      <c r="CL557" t="e">
        <f t="shared" si="212"/>
        <v>#N/A</v>
      </c>
      <c r="CM557" t="e">
        <v>#N/A</v>
      </c>
      <c r="CN557" t="e" cm="1">
        <f t="array" ref="CN557">IF(ISNUMBER(CM557),AF557/COUNT(IF(ISNUMBER(_xlfn.ANCHORARRAY($CM$11)),_xlfn.ANCHORARRAY($CM$11))),NA())</f>
        <v>#N/A</v>
      </c>
      <c r="CO557" t="e">
        <f t="shared" si="213"/>
        <v>#N/A</v>
      </c>
      <c r="CQ557" t="e">
        <f t="shared" si="214"/>
        <v>#N/A</v>
      </c>
      <c r="CR557" t="e">
        <f t="shared" si="215"/>
        <v>#N/A</v>
      </c>
      <c r="CT557" t="e">
        <v>#N/A</v>
      </c>
      <c r="CU557" t="e">
        <v>#N/A</v>
      </c>
      <c r="CY557" t="e">
        <f t="shared" si="216"/>
        <v>#N/A</v>
      </c>
      <c r="CZ557" t="e">
        <v>#N/A</v>
      </c>
      <c r="DA557" t="e" cm="1">
        <f t="array" ref="DA557">IF(ISNUMBER(CZ557),AF557/COUNT(IF(ISNUMBER(_xlfn.ANCHORARRAY($CZ$11)),_xlfn.ANCHORARRAY($CZ$11))),NA())</f>
        <v>#N/A</v>
      </c>
      <c r="DB557" t="e">
        <f t="shared" si="217"/>
        <v>#N/A</v>
      </c>
      <c r="DD557" t="e">
        <f t="shared" si="218"/>
        <v>#N/A</v>
      </c>
      <c r="DE557" t="e">
        <f t="shared" si="219"/>
        <v>#N/A</v>
      </c>
      <c r="DG557" t="e">
        <v>#N/A</v>
      </c>
      <c r="DH557" t="e">
        <v>#N/A</v>
      </c>
    </row>
    <row r="558" spans="32:112">
      <c r="AF558">
        <v>548</v>
      </c>
      <c r="AG558" s="401">
        <f>'Lab test'!N551</f>
        <v>19.049999999999997</v>
      </c>
      <c r="AH558" s="401">
        <f>'Lab test'!M551</f>
        <v>1.4732000000000001</v>
      </c>
      <c r="AI558" t="e">
        <f>IF('Lab test'!O551&gt;0,'Lab test'!O551,NA())</f>
        <v>#N/A</v>
      </c>
      <c r="AJ558">
        <f>'Lab test'!Q551</f>
        <v>12.95</v>
      </c>
      <c r="AK558" s="401">
        <f>IF('Lab test'!V551&gt;0,'Lab test'!V551,NA())</f>
        <v>73153.374740800005</v>
      </c>
      <c r="AL558" s="7">
        <f>IF(MAX('Lab test'!W551,'Lab test'!X551)&gt;0,MAX('Lab test'!W551,'Lab test'!X551),NA())</f>
        <v>265.44571552158527</v>
      </c>
      <c r="AM558" s="401" t="e">
        <f>IF('Lab test'!P551&gt;0,'Lab test'!P551,NA())</f>
        <v>#N/A</v>
      </c>
      <c r="AN558" s="401">
        <f>IF('Lab test'!AU551&gt;0,'Lab test'!AU551,NA())</f>
        <v>1.413</v>
      </c>
      <c r="AO558" s="401">
        <f>IF('Lab test'!AT551&gt;0,'Lab test'!AT551,NA())</f>
        <v>0.10970706783653476</v>
      </c>
      <c r="AP558">
        <f t="shared" si="220"/>
        <v>1</v>
      </c>
      <c r="AQ558" s="401">
        <f>'Lab test'!AZ551</f>
        <v>1938</v>
      </c>
      <c r="AR558" t="str">
        <f>'Lab test'!AC551</f>
        <v>Tubes</v>
      </c>
      <c r="AS558" t="str">
        <f>'Lab test'!T551</f>
        <v>Aluminium</v>
      </c>
      <c r="AX558" t="e">
        <f t="shared" si="205"/>
        <v>#N/A</v>
      </c>
      <c r="AY558" t="e">
        <f t="shared" ref="AY558:AY621" si="221">IF(ISNUMBER($AJ558),IF(ISNUMBER($AP558),IF($AJ558&gt;AY$9,IF($AJ558&lt;=AY$10,IF($AR558=$AW$2,IF($AS558=$AW$6,$AK558,NA()),NA()),NA()),NA()),NA()),NA())</f>
        <v>#N/A</v>
      </c>
      <c r="AZ558" t="e">
        <f t="shared" si="202"/>
        <v>#N/A</v>
      </c>
      <c r="BA558" t="e">
        <f t="shared" si="202"/>
        <v>#N/A</v>
      </c>
      <c r="BB558" t="e">
        <f t="shared" si="202"/>
        <v>#N/A</v>
      </c>
      <c r="BC558" t="e">
        <f t="shared" si="202"/>
        <v>#N/A</v>
      </c>
      <c r="BD558" t="e">
        <f t="shared" si="202"/>
        <v>#N/A</v>
      </c>
      <c r="BG558" t="e">
        <f t="shared" si="206"/>
        <v>#N/A</v>
      </c>
      <c r="BH558" t="e">
        <f t="shared" ref="BH558:BH621" si="222">IF(ISNUMBER($AJ558),IF(ISNUMBER($AP558),IF($AJ558&gt;BH$9,IF($AJ558&lt;=BH$10,IF($AR558=$AW$2,IF($AS558=$BF$6,$AK558,NA()),NA()),NA()),NA()),NA()),NA())</f>
        <v>#N/A</v>
      </c>
      <c r="BI558" t="e">
        <f t="shared" si="203"/>
        <v>#N/A</v>
      </c>
      <c r="BJ558" t="e">
        <f t="shared" si="203"/>
        <v>#N/A</v>
      </c>
      <c r="BK558" t="e">
        <f t="shared" si="203"/>
        <v>#N/A</v>
      </c>
      <c r="BL558" t="e">
        <f t="shared" si="203"/>
        <v>#N/A</v>
      </c>
      <c r="BM558" t="e">
        <f t="shared" si="203"/>
        <v>#N/A</v>
      </c>
      <c r="BP558" t="e">
        <f t="shared" si="207"/>
        <v>#N/A</v>
      </c>
      <c r="BQ558" t="e">
        <f t="shared" ref="BQ558:BQ621" si="223">IF(ISNUMBER($AJ558),IF(ISNUMBER($AP558),IF($AJ558&gt;BQ$9,IF($AJ558&lt;=BQ$10,IF($AR558=$AW$2,IF($AS558=$BO$6,$AK558,NA()),NA()),NA()),NA()),NA()),NA())</f>
        <v>#N/A</v>
      </c>
      <c r="BR558" t="e">
        <f t="shared" si="204"/>
        <v>#N/A</v>
      </c>
      <c r="BS558" t="e">
        <f t="shared" si="204"/>
        <v>#N/A</v>
      </c>
      <c r="BT558" t="e">
        <f t="shared" si="204"/>
        <v>#N/A</v>
      </c>
      <c r="BU558" t="e">
        <f t="shared" si="204"/>
        <v>#N/A</v>
      </c>
      <c r="BV558" t="e">
        <f t="shared" si="204"/>
        <v>#N/A</v>
      </c>
      <c r="BY558" t="e">
        <f t="shared" si="208"/>
        <v>#N/A</v>
      </c>
      <c r="BZ558" t="e">
        <v>#N/A</v>
      </c>
      <c r="CA558" t="e" cm="1">
        <f t="array" ref="CA558">IF(ISNUMBER(BZ558),AF558/COUNT(IF(ISNUMBER(_xlfn.ANCHORARRAY($BZ$11)),_xlfn.ANCHORARRAY($BZ$11))),NA())</f>
        <v>#N/A</v>
      </c>
      <c r="CB558" t="e">
        <f t="shared" si="209"/>
        <v>#N/A</v>
      </c>
      <c r="CD558" t="e">
        <f t="shared" si="210"/>
        <v>#N/A</v>
      </c>
      <c r="CE558" t="e">
        <f t="shared" si="211"/>
        <v>#N/A</v>
      </c>
      <c r="CG558" t="e">
        <v>#N/A</v>
      </c>
      <c r="CH558" t="e">
        <v>#N/A</v>
      </c>
      <c r="CL558" t="e">
        <f t="shared" si="212"/>
        <v>#N/A</v>
      </c>
      <c r="CM558" t="e">
        <v>#N/A</v>
      </c>
      <c r="CN558" t="e" cm="1">
        <f t="array" ref="CN558">IF(ISNUMBER(CM558),AF558/COUNT(IF(ISNUMBER(_xlfn.ANCHORARRAY($CM$11)),_xlfn.ANCHORARRAY($CM$11))),NA())</f>
        <v>#N/A</v>
      </c>
      <c r="CO558" t="e">
        <f t="shared" si="213"/>
        <v>#N/A</v>
      </c>
      <c r="CQ558" t="e">
        <f t="shared" si="214"/>
        <v>#N/A</v>
      </c>
      <c r="CR558" t="e">
        <f t="shared" si="215"/>
        <v>#N/A</v>
      </c>
      <c r="CT558" t="e">
        <v>#N/A</v>
      </c>
      <c r="CU558" t="e">
        <v>#N/A</v>
      </c>
      <c r="CY558" t="e">
        <f t="shared" si="216"/>
        <v>#N/A</v>
      </c>
      <c r="CZ558" t="e">
        <v>#N/A</v>
      </c>
      <c r="DA558" t="e" cm="1">
        <f t="array" ref="DA558">IF(ISNUMBER(CZ558),AF558/COUNT(IF(ISNUMBER(_xlfn.ANCHORARRAY($CZ$11)),_xlfn.ANCHORARRAY($CZ$11))),NA())</f>
        <v>#N/A</v>
      </c>
      <c r="DB558" t="e">
        <f t="shared" si="217"/>
        <v>#N/A</v>
      </c>
      <c r="DD558" t="e">
        <f t="shared" si="218"/>
        <v>#N/A</v>
      </c>
      <c r="DE558" t="e">
        <f t="shared" si="219"/>
        <v>#N/A</v>
      </c>
      <c r="DG558" t="e">
        <v>#N/A</v>
      </c>
      <c r="DH558" t="e">
        <v>#N/A</v>
      </c>
    </row>
    <row r="559" spans="32:112">
      <c r="AF559">
        <v>549</v>
      </c>
      <c r="AG559" s="401">
        <f>'Lab test'!N552</f>
        <v>12.7</v>
      </c>
      <c r="AH559" s="401">
        <f>'Lab test'!M552</f>
        <v>0.71119999999999994</v>
      </c>
      <c r="AI559" t="e">
        <f>IF('Lab test'!O552&gt;0,'Lab test'!O552,NA())</f>
        <v>#N/A</v>
      </c>
      <c r="AJ559">
        <f>'Lab test'!Q552</f>
        <v>17.649999999999999</v>
      </c>
      <c r="AK559" s="401">
        <f>IF('Lab test'!V552&gt;0,'Lab test'!V552,NA())</f>
        <v>73153.374740800005</v>
      </c>
      <c r="AL559" s="7">
        <f>IF(MAX('Lab test'!W552,'Lab test'!X552)&gt;0,MAX('Lab test'!W552,'Lab test'!X552),NA())</f>
        <v>262.18768271084338</v>
      </c>
      <c r="AM559" s="401" t="e">
        <f>IF('Lab test'!P552&gt;0,'Lab test'!P552,NA())</f>
        <v>#N/A</v>
      </c>
      <c r="AN559" s="401">
        <f>IF('Lab test'!AU552&gt;0,'Lab test'!AU552,NA())</f>
        <v>1.3280000000000001</v>
      </c>
      <c r="AO559" s="401">
        <f>IF('Lab test'!AT552&gt;0,'Lab test'!AT552,NA())</f>
        <v>0.13880401464825026</v>
      </c>
      <c r="AP559">
        <f t="shared" si="220"/>
        <v>1</v>
      </c>
      <c r="AQ559" s="401">
        <f>'Lab test'!AZ552</f>
        <v>1938</v>
      </c>
      <c r="AR559" t="str">
        <f>'Lab test'!AC552</f>
        <v>Tubes</v>
      </c>
      <c r="AS559" t="str">
        <f>'Lab test'!T552</f>
        <v>Aluminium</v>
      </c>
      <c r="AX559" t="e">
        <f t="shared" si="205"/>
        <v>#N/A</v>
      </c>
      <c r="AY559" t="e">
        <f t="shared" si="221"/>
        <v>#N/A</v>
      </c>
      <c r="AZ559" t="e">
        <f t="shared" si="202"/>
        <v>#N/A</v>
      </c>
      <c r="BA559" t="e">
        <f t="shared" si="202"/>
        <v>#N/A</v>
      </c>
      <c r="BB559" t="e">
        <f t="shared" si="202"/>
        <v>#N/A</v>
      </c>
      <c r="BC559" t="e">
        <f t="shared" si="202"/>
        <v>#N/A</v>
      </c>
      <c r="BD559" t="e">
        <f t="shared" si="202"/>
        <v>#N/A</v>
      </c>
      <c r="BG559" t="e">
        <f t="shared" si="206"/>
        <v>#N/A</v>
      </c>
      <c r="BH559" t="e">
        <f t="shared" si="222"/>
        <v>#N/A</v>
      </c>
      <c r="BI559" t="e">
        <f t="shared" si="203"/>
        <v>#N/A</v>
      </c>
      <c r="BJ559" t="e">
        <f t="shared" si="203"/>
        <v>#N/A</v>
      </c>
      <c r="BK559" t="e">
        <f t="shared" si="203"/>
        <v>#N/A</v>
      </c>
      <c r="BL559" t="e">
        <f t="shared" si="203"/>
        <v>#N/A</v>
      </c>
      <c r="BM559" t="e">
        <f t="shared" si="203"/>
        <v>#N/A</v>
      </c>
      <c r="BP559" t="e">
        <f t="shared" si="207"/>
        <v>#N/A</v>
      </c>
      <c r="BQ559" t="e">
        <f t="shared" si="223"/>
        <v>#N/A</v>
      </c>
      <c r="BR559" t="e">
        <f t="shared" si="204"/>
        <v>#N/A</v>
      </c>
      <c r="BS559" t="e">
        <f t="shared" si="204"/>
        <v>#N/A</v>
      </c>
      <c r="BT559" t="e">
        <f t="shared" si="204"/>
        <v>#N/A</v>
      </c>
      <c r="BU559" t="e">
        <f t="shared" si="204"/>
        <v>#N/A</v>
      </c>
      <c r="BV559" t="e">
        <f t="shared" si="204"/>
        <v>#N/A</v>
      </c>
      <c r="BY559" t="e">
        <f t="shared" si="208"/>
        <v>#N/A</v>
      </c>
      <c r="BZ559" t="e">
        <v>#N/A</v>
      </c>
      <c r="CA559" t="e" cm="1">
        <f t="array" ref="CA559">IF(ISNUMBER(BZ559),AF559/COUNT(IF(ISNUMBER(_xlfn.ANCHORARRAY($BZ$11)),_xlfn.ANCHORARRAY($BZ$11))),NA())</f>
        <v>#N/A</v>
      </c>
      <c r="CB559" t="e">
        <f t="shared" si="209"/>
        <v>#N/A</v>
      </c>
      <c r="CD559" t="e">
        <f t="shared" si="210"/>
        <v>#N/A</v>
      </c>
      <c r="CE559" t="e">
        <f t="shared" si="211"/>
        <v>#N/A</v>
      </c>
      <c r="CG559" t="e">
        <v>#N/A</v>
      </c>
      <c r="CH559" t="e">
        <v>#N/A</v>
      </c>
      <c r="CL559" t="e">
        <f t="shared" si="212"/>
        <v>#N/A</v>
      </c>
      <c r="CM559" t="e">
        <v>#N/A</v>
      </c>
      <c r="CN559" t="e" cm="1">
        <f t="array" ref="CN559">IF(ISNUMBER(CM559),AF559/COUNT(IF(ISNUMBER(_xlfn.ANCHORARRAY($CM$11)),_xlfn.ANCHORARRAY($CM$11))),NA())</f>
        <v>#N/A</v>
      </c>
      <c r="CO559" t="e">
        <f t="shared" si="213"/>
        <v>#N/A</v>
      </c>
      <c r="CQ559" t="e">
        <f t="shared" si="214"/>
        <v>#N/A</v>
      </c>
      <c r="CR559" t="e">
        <f t="shared" si="215"/>
        <v>#N/A</v>
      </c>
      <c r="CT559" t="e">
        <v>#N/A</v>
      </c>
      <c r="CU559" t="e">
        <v>#N/A</v>
      </c>
      <c r="CY559" t="e">
        <f t="shared" si="216"/>
        <v>#N/A</v>
      </c>
      <c r="CZ559" t="e">
        <v>#N/A</v>
      </c>
      <c r="DA559" t="e" cm="1">
        <f t="array" ref="DA559">IF(ISNUMBER(CZ559),AF559/COUNT(IF(ISNUMBER(_xlfn.ANCHORARRAY($CZ$11)),_xlfn.ANCHORARRAY($CZ$11))),NA())</f>
        <v>#N/A</v>
      </c>
      <c r="DB559" t="e">
        <f t="shared" si="217"/>
        <v>#N/A</v>
      </c>
      <c r="DD559" t="e">
        <f t="shared" si="218"/>
        <v>#N/A</v>
      </c>
      <c r="DE559" t="e">
        <f t="shared" si="219"/>
        <v>#N/A</v>
      </c>
      <c r="DG559" t="e">
        <v>#N/A</v>
      </c>
      <c r="DH559" t="e">
        <v>#N/A</v>
      </c>
    </row>
    <row r="560" spans="32:112">
      <c r="AF560">
        <v>550</v>
      </c>
      <c r="AG560" s="401">
        <f>'Lab test'!N553</f>
        <v>12.7</v>
      </c>
      <c r="AH560" s="401">
        <f>'Lab test'!M553</f>
        <v>0.71119999999999994</v>
      </c>
      <c r="AI560" t="e">
        <f>IF('Lab test'!O553&gt;0,'Lab test'!O553,NA())</f>
        <v>#N/A</v>
      </c>
      <c r="AJ560">
        <f>'Lab test'!Q553</f>
        <v>17.649999999999999</v>
      </c>
      <c r="AK560" s="401">
        <f>IF('Lab test'!V553&gt;0,'Lab test'!V553,NA())</f>
        <v>73153.374740800005</v>
      </c>
      <c r="AL560" s="7">
        <f>IF(MAX('Lab test'!W553,'Lab test'!X553)&gt;0,MAX('Lab test'!W553,'Lab test'!X553),NA())</f>
        <v>262.18768271084338</v>
      </c>
      <c r="AM560" s="401" t="e">
        <f>IF('Lab test'!P553&gt;0,'Lab test'!P553,NA())</f>
        <v>#N/A</v>
      </c>
      <c r="AN560" s="401">
        <f>IF('Lab test'!AU553&gt;0,'Lab test'!AU553,NA())</f>
        <v>1.3280000000000001</v>
      </c>
      <c r="AO560" s="401">
        <f>IF('Lab test'!AT553&gt;0,'Lab test'!AT553,NA())</f>
        <v>0.13880401464825026</v>
      </c>
      <c r="AP560">
        <f t="shared" si="220"/>
        <v>1</v>
      </c>
      <c r="AQ560" s="401">
        <f>'Lab test'!AZ553</f>
        <v>1938</v>
      </c>
      <c r="AR560" t="str">
        <f>'Lab test'!AC553</f>
        <v>Tubes</v>
      </c>
      <c r="AS560" t="str">
        <f>'Lab test'!T553</f>
        <v>Aluminium</v>
      </c>
      <c r="AX560" t="e">
        <f t="shared" si="205"/>
        <v>#N/A</v>
      </c>
      <c r="AY560" t="e">
        <f t="shared" si="221"/>
        <v>#N/A</v>
      </c>
      <c r="AZ560" t="e">
        <f t="shared" si="202"/>
        <v>#N/A</v>
      </c>
      <c r="BA560" t="e">
        <f t="shared" si="202"/>
        <v>#N/A</v>
      </c>
      <c r="BB560" t="e">
        <f t="shared" si="202"/>
        <v>#N/A</v>
      </c>
      <c r="BC560" t="e">
        <f t="shared" si="202"/>
        <v>#N/A</v>
      </c>
      <c r="BD560" t="e">
        <f t="shared" si="202"/>
        <v>#N/A</v>
      </c>
      <c r="BG560" t="e">
        <f t="shared" si="206"/>
        <v>#N/A</v>
      </c>
      <c r="BH560" t="e">
        <f t="shared" si="222"/>
        <v>#N/A</v>
      </c>
      <c r="BI560" t="e">
        <f t="shared" si="203"/>
        <v>#N/A</v>
      </c>
      <c r="BJ560" t="e">
        <f t="shared" si="203"/>
        <v>#N/A</v>
      </c>
      <c r="BK560" t="e">
        <f t="shared" si="203"/>
        <v>#N/A</v>
      </c>
      <c r="BL560" t="e">
        <f t="shared" si="203"/>
        <v>#N/A</v>
      </c>
      <c r="BM560" t="e">
        <f t="shared" si="203"/>
        <v>#N/A</v>
      </c>
      <c r="BP560" t="e">
        <f t="shared" si="207"/>
        <v>#N/A</v>
      </c>
      <c r="BQ560" t="e">
        <f t="shared" si="223"/>
        <v>#N/A</v>
      </c>
      <c r="BR560" t="e">
        <f t="shared" si="204"/>
        <v>#N/A</v>
      </c>
      <c r="BS560" t="e">
        <f t="shared" si="204"/>
        <v>#N/A</v>
      </c>
      <c r="BT560" t="e">
        <f t="shared" si="204"/>
        <v>#N/A</v>
      </c>
      <c r="BU560" t="e">
        <f t="shared" si="204"/>
        <v>#N/A</v>
      </c>
      <c r="BV560" t="e">
        <f t="shared" si="204"/>
        <v>#N/A</v>
      </c>
      <c r="BY560" t="e">
        <f t="shared" si="208"/>
        <v>#N/A</v>
      </c>
      <c r="BZ560" t="e">
        <v>#N/A</v>
      </c>
      <c r="CA560" t="e" cm="1">
        <f t="array" ref="CA560">IF(ISNUMBER(BZ560),AF560/COUNT(IF(ISNUMBER(_xlfn.ANCHORARRAY($BZ$11)),_xlfn.ANCHORARRAY($BZ$11))),NA())</f>
        <v>#N/A</v>
      </c>
      <c r="CB560" t="e">
        <f t="shared" si="209"/>
        <v>#N/A</v>
      </c>
      <c r="CD560" t="e">
        <f t="shared" si="210"/>
        <v>#N/A</v>
      </c>
      <c r="CE560" t="e">
        <f t="shared" si="211"/>
        <v>#N/A</v>
      </c>
      <c r="CG560" t="e">
        <v>#N/A</v>
      </c>
      <c r="CH560" t="e">
        <v>#N/A</v>
      </c>
      <c r="CL560" t="e">
        <f t="shared" si="212"/>
        <v>#N/A</v>
      </c>
      <c r="CM560" t="e">
        <v>#N/A</v>
      </c>
      <c r="CN560" t="e" cm="1">
        <f t="array" ref="CN560">IF(ISNUMBER(CM560),AF560/COUNT(IF(ISNUMBER(_xlfn.ANCHORARRAY($CM$11)),_xlfn.ANCHORARRAY($CM$11))),NA())</f>
        <v>#N/A</v>
      </c>
      <c r="CO560" t="e">
        <f t="shared" si="213"/>
        <v>#N/A</v>
      </c>
      <c r="CQ560" t="e">
        <f t="shared" si="214"/>
        <v>#N/A</v>
      </c>
      <c r="CR560" t="e">
        <f t="shared" si="215"/>
        <v>#N/A</v>
      </c>
      <c r="CT560" t="e">
        <v>#N/A</v>
      </c>
      <c r="CU560" t="e">
        <v>#N/A</v>
      </c>
      <c r="CY560" t="e">
        <f t="shared" si="216"/>
        <v>#N/A</v>
      </c>
      <c r="CZ560" t="e">
        <v>#N/A</v>
      </c>
      <c r="DA560" t="e" cm="1">
        <f t="array" ref="DA560">IF(ISNUMBER(CZ560),AF560/COUNT(IF(ISNUMBER(_xlfn.ANCHORARRAY($CZ$11)),_xlfn.ANCHORARRAY($CZ$11))),NA())</f>
        <v>#N/A</v>
      </c>
      <c r="DB560" t="e">
        <f t="shared" si="217"/>
        <v>#N/A</v>
      </c>
      <c r="DD560" t="e">
        <f t="shared" si="218"/>
        <v>#N/A</v>
      </c>
      <c r="DE560" t="e">
        <f t="shared" si="219"/>
        <v>#N/A</v>
      </c>
      <c r="DG560" t="e">
        <v>#N/A</v>
      </c>
      <c r="DH560" t="e">
        <v>#N/A</v>
      </c>
    </row>
    <row r="561" spans="32:112">
      <c r="AF561">
        <v>551</v>
      </c>
      <c r="AG561" s="401">
        <f>'Lab test'!N554</f>
        <v>19.049999999999997</v>
      </c>
      <c r="AH561" s="401">
        <f>'Lab test'!M554</f>
        <v>0.81279999999999997</v>
      </c>
      <c r="AI561" t="e">
        <f>IF('Lab test'!O554&gt;0,'Lab test'!O554,NA())</f>
        <v>#N/A</v>
      </c>
      <c r="AJ561">
        <f>'Lab test'!Q554</f>
        <v>22.95</v>
      </c>
      <c r="AK561" s="401">
        <f>IF('Lab test'!V554&gt;0,'Lab test'!V554,NA())</f>
        <v>73153.374740800005</v>
      </c>
      <c r="AL561" s="7">
        <f>IF(MAX('Lab test'!W554,'Lab test'!X554)&gt;0,MAX('Lab test'!W554,'Lab test'!X554),NA())</f>
        <v>273.26111388835727</v>
      </c>
      <c r="AM561" s="401" t="e">
        <f>IF('Lab test'!P554&gt;0,'Lab test'!P554,NA())</f>
        <v>#N/A</v>
      </c>
      <c r="AN561" s="401">
        <f>IF('Lab test'!AU554&gt;0,'Lab test'!AU554,NA())</f>
        <v>1.254</v>
      </c>
      <c r="AO561" s="401">
        <f>IF('Lab test'!AT554&gt;0,'Lab test'!AT554,NA())</f>
        <v>0.17762537925898408</v>
      </c>
      <c r="AP561">
        <f t="shared" si="220"/>
        <v>1</v>
      </c>
      <c r="AQ561" s="401">
        <f>'Lab test'!AZ554</f>
        <v>1938</v>
      </c>
      <c r="AR561" t="str">
        <f>'Lab test'!AC554</f>
        <v>Tubes</v>
      </c>
      <c r="AS561" t="str">
        <f>'Lab test'!T554</f>
        <v>Aluminium</v>
      </c>
      <c r="AX561" t="e">
        <f t="shared" si="205"/>
        <v>#N/A</v>
      </c>
      <c r="AY561" t="e">
        <f t="shared" si="221"/>
        <v>#N/A</v>
      </c>
      <c r="AZ561" t="e">
        <f t="shared" si="202"/>
        <v>#N/A</v>
      </c>
      <c r="BA561" t="e">
        <f t="shared" si="202"/>
        <v>#N/A</v>
      </c>
      <c r="BB561" t="e">
        <f t="shared" si="202"/>
        <v>#N/A</v>
      </c>
      <c r="BC561" t="e">
        <f t="shared" si="202"/>
        <v>#N/A</v>
      </c>
      <c r="BD561" t="e">
        <f t="shared" si="202"/>
        <v>#N/A</v>
      </c>
      <c r="BG561" t="e">
        <f t="shared" si="206"/>
        <v>#N/A</v>
      </c>
      <c r="BH561" t="e">
        <f t="shared" si="222"/>
        <v>#N/A</v>
      </c>
      <c r="BI561" t="e">
        <f t="shared" si="203"/>
        <v>#N/A</v>
      </c>
      <c r="BJ561" t="e">
        <f t="shared" si="203"/>
        <v>#N/A</v>
      </c>
      <c r="BK561" t="e">
        <f t="shared" si="203"/>
        <v>#N/A</v>
      </c>
      <c r="BL561" t="e">
        <f t="shared" si="203"/>
        <v>#N/A</v>
      </c>
      <c r="BM561" t="e">
        <f t="shared" si="203"/>
        <v>#N/A</v>
      </c>
      <c r="BP561" t="e">
        <f t="shared" si="207"/>
        <v>#N/A</v>
      </c>
      <c r="BQ561" t="e">
        <f t="shared" si="223"/>
        <v>#N/A</v>
      </c>
      <c r="BR561" t="e">
        <f t="shared" si="204"/>
        <v>#N/A</v>
      </c>
      <c r="BS561" t="e">
        <f t="shared" si="204"/>
        <v>#N/A</v>
      </c>
      <c r="BT561" t="e">
        <f t="shared" si="204"/>
        <v>#N/A</v>
      </c>
      <c r="BU561" t="e">
        <f t="shared" si="204"/>
        <v>#N/A</v>
      </c>
      <c r="BV561" t="e">
        <f t="shared" si="204"/>
        <v>#N/A</v>
      </c>
      <c r="BY561" t="e">
        <f t="shared" si="208"/>
        <v>#N/A</v>
      </c>
      <c r="BZ561" t="e">
        <v>#N/A</v>
      </c>
      <c r="CA561" t="e" cm="1">
        <f t="array" ref="CA561">IF(ISNUMBER(BZ561),AF561/COUNT(IF(ISNUMBER(_xlfn.ANCHORARRAY($BZ$11)),_xlfn.ANCHORARRAY($BZ$11))),NA())</f>
        <v>#N/A</v>
      </c>
      <c r="CB561" t="e">
        <f t="shared" si="209"/>
        <v>#N/A</v>
      </c>
      <c r="CD561" t="e">
        <f t="shared" si="210"/>
        <v>#N/A</v>
      </c>
      <c r="CE561" t="e">
        <f t="shared" si="211"/>
        <v>#N/A</v>
      </c>
      <c r="CG561" t="e">
        <v>#N/A</v>
      </c>
      <c r="CH561" t="e">
        <v>#N/A</v>
      </c>
      <c r="CL561" t="e">
        <f t="shared" si="212"/>
        <v>#N/A</v>
      </c>
      <c r="CM561" t="e">
        <v>#N/A</v>
      </c>
      <c r="CN561" t="e" cm="1">
        <f t="array" ref="CN561">IF(ISNUMBER(CM561),AF561/COUNT(IF(ISNUMBER(_xlfn.ANCHORARRAY($CM$11)),_xlfn.ANCHORARRAY($CM$11))),NA())</f>
        <v>#N/A</v>
      </c>
      <c r="CO561" t="e">
        <f t="shared" si="213"/>
        <v>#N/A</v>
      </c>
      <c r="CQ561" t="e">
        <f t="shared" si="214"/>
        <v>#N/A</v>
      </c>
      <c r="CR561" t="e">
        <f t="shared" si="215"/>
        <v>#N/A</v>
      </c>
      <c r="CT561" t="e">
        <v>#N/A</v>
      </c>
      <c r="CU561" t="e">
        <v>#N/A</v>
      </c>
      <c r="CY561" t="e">
        <f t="shared" si="216"/>
        <v>#N/A</v>
      </c>
      <c r="CZ561" t="e">
        <v>#N/A</v>
      </c>
      <c r="DA561" t="e" cm="1">
        <f t="array" ref="DA561">IF(ISNUMBER(CZ561),AF561/COUNT(IF(ISNUMBER(_xlfn.ANCHORARRAY($CZ$11)),_xlfn.ANCHORARRAY($CZ$11))),NA())</f>
        <v>#N/A</v>
      </c>
      <c r="DB561" t="e">
        <f t="shared" si="217"/>
        <v>#N/A</v>
      </c>
      <c r="DD561" t="e">
        <f t="shared" si="218"/>
        <v>#N/A</v>
      </c>
      <c r="DE561" t="e">
        <f t="shared" si="219"/>
        <v>#N/A</v>
      </c>
      <c r="DG561" t="e">
        <v>#N/A</v>
      </c>
      <c r="DH561" t="e">
        <v>#N/A</v>
      </c>
    </row>
    <row r="562" spans="32:112">
      <c r="AF562">
        <v>552</v>
      </c>
      <c r="AG562" s="401">
        <f>'Lab test'!N555</f>
        <v>19.049999999999997</v>
      </c>
      <c r="AH562" s="401">
        <f>'Lab test'!M555</f>
        <v>0.81279999999999997</v>
      </c>
      <c r="AI562" t="e">
        <f>IF('Lab test'!O555&gt;0,'Lab test'!O555,NA())</f>
        <v>#N/A</v>
      </c>
      <c r="AJ562">
        <f>'Lab test'!Q555</f>
        <v>22.95</v>
      </c>
      <c r="AK562" s="401">
        <f>IF('Lab test'!V555&gt;0,'Lab test'!V555,NA())</f>
        <v>73153.374740800005</v>
      </c>
      <c r="AL562" s="7">
        <f>IF(MAX('Lab test'!W555,'Lab test'!X555)&gt;0,MAX('Lab test'!W555,'Lab test'!X555),NA())</f>
        <v>277.35601061476075</v>
      </c>
      <c r="AM562" s="401" t="e">
        <f>IF('Lab test'!P555&gt;0,'Lab test'!P555,NA())</f>
        <v>#N/A</v>
      </c>
      <c r="AN562" s="401">
        <f>IF('Lab test'!AU555&gt;0,'Lab test'!AU555,NA())</f>
        <v>1.2330000000000001</v>
      </c>
      <c r="AO562" s="401">
        <f>IF('Lab test'!AT555&gt;0,'Lab test'!AT555,NA())</f>
        <v>0.17726798412969036</v>
      </c>
      <c r="AP562">
        <f t="shared" si="220"/>
        <v>1</v>
      </c>
      <c r="AQ562" s="401">
        <f>'Lab test'!AZ555</f>
        <v>1938</v>
      </c>
      <c r="AR562" t="str">
        <f>'Lab test'!AC555</f>
        <v>Tubes</v>
      </c>
      <c r="AS562" t="str">
        <f>'Lab test'!T555</f>
        <v>Aluminium</v>
      </c>
      <c r="AX562" t="e">
        <f t="shared" si="205"/>
        <v>#N/A</v>
      </c>
      <c r="AY562" t="e">
        <f t="shared" si="221"/>
        <v>#N/A</v>
      </c>
      <c r="AZ562" t="e">
        <f t="shared" si="202"/>
        <v>#N/A</v>
      </c>
      <c r="BA562" t="e">
        <f t="shared" si="202"/>
        <v>#N/A</v>
      </c>
      <c r="BB562" t="e">
        <f t="shared" si="202"/>
        <v>#N/A</v>
      </c>
      <c r="BC562" t="e">
        <f t="shared" si="202"/>
        <v>#N/A</v>
      </c>
      <c r="BD562" t="e">
        <f t="shared" si="202"/>
        <v>#N/A</v>
      </c>
      <c r="BG562" t="e">
        <f t="shared" si="206"/>
        <v>#N/A</v>
      </c>
      <c r="BH562" t="e">
        <f t="shared" si="222"/>
        <v>#N/A</v>
      </c>
      <c r="BI562" t="e">
        <f t="shared" si="203"/>
        <v>#N/A</v>
      </c>
      <c r="BJ562" t="e">
        <f t="shared" si="203"/>
        <v>#N/A</v>
      </c>
      <c r="BK562" t="e">
        <f t="shared" si="203"/>
        <v>#N/A</v>
      </c>
      <c r="BL562" t="e">
        <f t="shared" si="203"/>
        <v>#N/A</v>
      </c>
      <c r="BM562" t="e">
        <f t="shared" si="203"/>
        <v>#N/A</v>
      </c>
      <c r="BP562" t="e">
        <f t="shared" si="207"/>
        <v>#N/A</v>
      </c>
      <c r="BQ562" t="e">
        <f t="shared" si="223"/>
        <v>#N/A</v>
      </c>
      <c r="BR562" t="e">
        <f t="shared" si="204"/>
        <v>#N/A</v>
      </c>
      <c r="BS562" t="e">
        <f t="shared" si="204"/>
        <v>#N/A</v>
      </c>
      <c r="BT562" t="e">
        <f t="shared" si="204"/>
        <v>#N/A</v>
      </c>
      <c r="BU562" t="e">
        <f t="shared" si="204"/>
        <v>#N/A</v>
      </c>
      <c r="BV562" t="e">
        <f t="shared" si="204"/>
        <v>#N/A</v>
      </c>
      <c r="BY562" t="e">
        <f t="shared" si="208"/>
        <v>#N/A</v>
      </c>
      <c r="BZ562" t="e">
        <v>#N/A</v>
      </c>
      <c r="CA562" t="e" cm="1">
        <f t="array" ref="CA562">IF(ISNUMBER(BZ562),AF562/COUNT(IF(ISNUMBER(_xlfn.ANCHORARRAY($BZ$11)),_xlfn.ANCHORARRAY($BZ$11))),NA())</f>
        <v>#N/A</v>
      </c>
      <c r="CB562" t="e">
        <f t="shared" si="209"/>
        <v>#N/A</v>
      </c>
      <c r="CD562" t="e">
        <f t="shared" si="210"/>
        <v>#N/A</v>
      </c>
      <c r="CE562" t="e">
        <f t="shared" si="211"/>
        <v>#N/A</v>
      </c>
      <c r="CG562" t="e">
        <v>#N/A</v>
      </c>
      <c r="CH562" t="e">
        <v>#N/A</v>
      </c>
      <c r="CL562" t="e">
        <f t="shared" si="212"/>
        <v>#N/A</v>
      </c>
      <c r="CM562" t="e">
        <v>#N/A</v>
      </c>
      <c r="CN562" t="e" cm="1">
        <f t="array" ref="CN562">IF(ISNUMBER(CM562),AF562/COUNT(IF(ISNUMBER(_xlfn.ANCHORARRAY($CM$11)),_xlfn.ANCHORARRAY($CM$11))),NA())</f>
        <v>#N/A</v>
      </c>
      <c r="CO562" t="e">
        <f t="shared" si="213"/>
        <v>#N/A</v>
      </c>
      <c r="CQ562" t="e">
        <f t="shared" si="214"/>
        <v>#N/A</v>
      </c>
      <c r="CR562" t="e">
        <f t="shared" si="215"/>
        <v>#N/A</v>
      </c>
      <c r="CT562" t="e">
        <v>#N/A</v>
      </c>
      <c r="CU562" t="e">
        <v>#N/A</v>
      </c>
      <c r="CY562" t="e">
        <f t="shared" si="216"/>
        <v>#N/A</v>
      </c>
      <c r="CZ562" t="e">
        <v>#N/A</v>
      </c>
      <c r="DA562" t="e" cm="1">
        <f t="array" ref="DA562">IF(ISNUMBER(CZ562),AF562/COUNT(IF(ISNUMBER(_xlfn.ANCHORARRAY($CZ$11)),_xlfn.ANCHORARRAY($CZ$11))),NA())</f>
        <v>#N/A</v>
      </c>
      <c r="DB562" t="e">
        <f t="shared" si="217"/>
        <v>#N/A</v>
      </c>
      <c r="DD562" t="e">
        <f t="shared" si="218"/>
        <v>#N/A</v>
      </c>
      <c r="DE562" t="e">
        <f t="shared" si="219"/>
        <v>#N/A</v>
      </c>
      <c r="DG562" t="e">
        <v>#N/A</v>
      </c>
      <c r="DH562" t="e">
        <v>#N/A</v>
      </c>
    </row>
    <row r="563" spans="32:112">
      <c r="AF563">
        <v>553</v>
      </c>
      <c r="AG563" s="401">
        <f>'Lab test'!N556</f>
        <v>25.4</v>
      </c>
      <c r="AH563" s="401">
        <f>'Lab test'!M556</f>
        <v>1.0668</v>
      </c>
      <c r="AI563" t="e">
        <f>IF('Lab test'!O556&gt;0,'Lab test'!O556,NA())</f>
        <v>#N/A</v>
      </c>
      <c r="AJ563">
        <f>'Lab test'!Q556</f>
        <v>23.65</v>
      </c>
      <c r="AK563" s="401">
        <f>IF('Lab test'!V556&gt;0,'Lab test'!V556,NA())</f>
        <v>73153.374740800005</v>
      </c>
      <c r="AL563" s="7">
        <f>IF(MAX('Lab test'!W556,'Lab test'!X556)&gt;0,MAX('Lab test'!W556,'Lab test'!X556),NA())</f>
        <v>286.03458832721208</v>
      </c>
      <c r="AM563" s="401" t="e">
        <f>IF('Lab test'!P556&gt;0,'Lab test'!P556,NA())</f>
        <v>#N/A</v>
      </c>
      <c r="AN563" s="401">
        <f>IF('Lab test'!AU556&gt;0,'Lab test'!AU556,NA())</f>
        <v>1.198</v>
      </c>
      <c r="AO563" s="401">
        <f>IF('Lab test'!AT556&gt;0,'Lab test'!AT556,NA())</f>
        <v>0.18304314681808162</v>
      </c>
      <c r="AP563">
        <f t="shared" si="220"/>
        <v>1</v>
      </c>
      <c r="AQ563" s="401">
        <f>'Lab test'!AZ556</f>
        <v>1938</v>
      </c>
      <c r="AR563" t="str">
        <f>'Lab test'!AC556</f>
        <v>Tubes</v>
      </c>
      <c r="AS563" t="str">
        <f>'Lab test'!T556</f>
        <v>Aluminium</v>
      </c>
      <c r="AX563" t="e">
        <f t="shared" si="205"/>
        <v>#N/A</v>
      </c>
      <c r="AY563" t="e">
        <f t="shared" si="221"/>
        <v>#N/A</v>
      </c>
      <c r="AZ563" t="e">
        <f t="shared" si="202"/>
        <v>#N/A</v>
      </c>
      <c r="BA563" t="e">
        <f t="shared" si="202"/>
        <v>#N/A</v>
      </c>
      <c r="BB563" t="e">
        <f t="shared" si="202"/>
        <v>#N/A</v>
      </c>
      <c r="BC563" t="e">
        <f t="shared" si="202"/>
        <v>#N/A</v>
      </c>
      <c r="BD563" t="e">
        <f t="shared" si="202"/>
        <v>#N/A</v>
      </c>
      <c r="BG563" t="e">
        <f t="shared" si="206"/>
        <v>#N/A</v>
      </c>
      <c r="BH563" t="e">
        <f t="shared" si="222"/>
        <v>#N/A</v>
      </c>
      <c r="BI563" t="e">
        <f t="shared" si="203"/>
        <v>#N/A</v>
      </c>
      <c r="BJ563" t="e">
        <f t="shared" si="203"/>
        <v>#N/A</v>
      </c>
      <c r="BK563" t="e">
        <f t="shared" si="203"/>
        <v>#N/A</v>
      </c>
      <c r="BL563" t="e">
        <f t="shared" si="203"/>
        <v>#N/A</v>
      </c>
      <c r="BM563" t="e">
        <f t="shared" si="203"/>
        <v>#N/A</v>
      </c>
      <c r="BP563" t="e">
        <f t="shared" si="207"/>
        <v>#N/A</v>
      </c>
      <c r="BQ563" t="e">
        <f t="shared" si="223"/>
        <v>#N/A</v>
      </c>
      <c r="BR563" t="e">
        <f t="shared" si="204"/>
        <v>#N/A</v>
      </c>
      <c r="BS563" t="e">
        <f t="shared" si="204"/>
        <v>#N/A</v>
      </c>
      <c r="BT563" t="e">
        <f t="shared" si="204"/>
        <v>#N/A</v>
      </c>
      <c r="BU563" t="e">
        <f t="shared" si="204"/>
        <v>#N/A</v>
      </c>
      <c r="BV563" t="e">
        <f t="shared" si="204"/>
        <v>#N/A</v>
      </c>
      <c r="BY563" t="e">
        <f t="shared" si="208"/>
        <v>#N/A</v>
      </c>
      <c r="BZ563" t="e">
        <v>#N/A</v>
      </c>
      <c r="CA563" t="e" cm="1">
        <f t="array" ref="CA563">IF(ISNUMBER(BZ563),AF563/COUNT(IF(ISNUMBER(_xlfn.ANCHORARRAY($BZ$11)),_xlfn.ANCHORARRAY($BZ$11))),NA())</f>
        <v>#N/A</v>
      </c>
      <c r="CB563" t="e">
        <f t="shared" si="209"/>
        <v>#N/A</v>
      </c>
      <c r="CD563" t="e">
        <f t="shared" si="210"/>
        <v>#N/A</v>
      </c>
      <c r="CE563" t="e">
        <f t="shared" si="211"/>
        <v>#N/A</v>
      </c>
      <c r="CG563" t="e">
        <v>#N/A</v>
      </c>
      <c r="CH563" t="e">
        <v>#N/A</v>
      </c>
      <c r="CL563" t="e">
        <f t="shared" si="212"/>
        <v>#N/A</v>
      </c>
      <c r="CM563" t="e">
        <v>#N/A</v>
      </c>
      <c r="CN563" t="e" cm="1">
        <f t="array" ref="CN563">IF(ISNUMBER(CM563),AF563/COUNT(IF(ISNUMBER(_xlfn.ANCHORARRAY($CM$11)),_xlfn.ANCHORARRAY($CM$11))),NA())</f>
        <v>#N/A</v>
      </c>
      <c r="CO563" t="e">
        <f t="shared" si="213"/>
        <v>#N/A</v>
      </c>
      <c r="CQ563" t="e">
        <f t="shared" si="214"/>
        <v>#N/A</v>
      </c>
      <c r="CR563" t="e">
        <f t="shared" si="215"/>
        <v>#N/A</v>
      </c>
      <c r="CT563" t="e">
        <v>#N/A</v>
      </c>
      <c r="CU563" t="e">
        <v>#N/A</v>
      </c>
      <c r="CY563" t="e">
        <f t="shared" si="216"/>
        <v>#N/A</v>
      </c>
      <c r="CZ563" t="e">
        <v>#N/A</v>
      </c>
      <c r="DA563" t="e" cm="1">
        <f t="array" ref="DA563">IF(ISNUMBER(CZ563),AF563/COUNT(IF(ISNUMBER(_xlfn.ANCHORARRAY($CZ$11)),_xlfn.ANCHORARRAY($CZ$11))),NA())</f>
        <v>#N/A</v>
      </c>
      <c r="DB563" t="e">
        <f t="shared" si="217"/>
        <v>#N/A</v>
      </c>
      <c r="DD563" t="e">
        <f t="shared" si="218"/>
        <v>#N/A</v>
      </c>
      <c r="DE563" t="e">
        <f t="shared" si="219"/>
        <v>#N/A</v>
      </c>
      <c r="DG563" t="e">
        <v>#N/A</v>
      </c>
      <c r="DH563" t="e">
        <v>#N/A</v>
      </c>
    </row>
    <row r="564" spans="32:112">
      <c r="AF564">
        <v>554</v>
      </c>
      <c r="AG564" s="401">
        <f>'Lab test'!N557</f>
        <v>25.4</v>
      </c>
      <c r="AH564" s="401">
        <f>'Lab test'!M557</f>
        <v>1.0668</v>
      </c>
      <c r="AI564" t="e">
        <f>IF('Lab test'!O557&gt;0,'Lab test'!O557,NA())</f>
        <v>#N/A</v>
      </c>
      <c r="AJ564">
        <f>'Lab test'!Q557</f>
        <v>23.7</v>
      </c>
      <c r="AK564" s="401">
        <f>IF('Lab test'!V557&gt;0,'Lab test'!V557,NA())</f>
        <v>73153.374740800005</v>
      </c>
      <c r="AL564" s="7">
        <f>IF(MAX('Lab test'!W557,'Lab test'!X557)&gt;0,MAX('Lab test'!W557,'Lab test'!X557),NA())</f>
        <v>284.10271533608585</v>
      </c>
      <c r="AM564" s="401" t="e">
        <f>IF('Lab test'!P557&gt;0,'Lab test'!P557,NA())</f>
        <v>#N/A</v>
      </c>
      <c r="AN564" s="401">
        <f>IF('Lab test'!AU557&gt;0,'Lab test'!AU557,NA())</f>
        <v>1.2110000000000001</v>
      </c>
      <c r="AO564" s="401">
        <f>IF('Lab test'!AT557&gt;0,'Lab test'!AT557,NA())</f>
        <v>0.18416827963252486</v>
      </c>
      <c r="AP564">
        <f t="shared" si="220"/>
        <v>1</v>
      </c>
      <c r="AQ564" s="401">
        <f>'Lab test'!AZ557</f>
        <v>1938</v>
      </c>
      <c r="AR564" t="str">
        <f>'Lab test'!AC557</f>
        <v>Tubes</v>
      </c>
      <c r="AS564" t="str">
        <f>'Lab test'!T557</f>
        <v>Aluminium</v>
      </c>
      <c r="AX564" t="e">
        <f t="shared" si="205"/>
        <v>#N/A</v>
      </c>
      <c r="AY564" t="e">
        <f t="shared" si="221"/>
        <v>#N/A</v>
      </c>
      <c r="AZ564" t="e">
        <f t="shared" si="202"/>
        <v>#N/A</v>
      </c>
      <c r="BA564" t="e">
        <f t="shared" si="202"/>
        <v>#N/A</v>
      </c>
      <c r="BB564" t="e">
        <f t="shared" si="202"/>
        <v>#N/A</v>
      </c>
      <c r="BC564" t="e">
        <f t="shared" si="202"/>
        <v>#N/A</v>
      </c>
      <c r="BD564" t="e">
        <f t="shared" si="202"/>
        <v>#N/A</v>
      </c>
      <c r="BG564" t="e">
        <f t="shared" si="206"/>
        <v>#N/A</v>
      </c>
      <c r="BH564" t="e">
        <f t="shared" si="222"/>
        <v>#N/A</v>
      </c>
      <c r="BI564" t="e">
        <f t="shared" si="203"/>
        <v>#N/A</v>
      </c>
      <c r="BJ564" t="e">
        <f t="shared" si="203"/>
        <v>#N/A</v>
      </c>
      <c r="BK564" t="e">
        <f t="shared" si="203"/>
        <v>#N/A</v>
      </c>
      <c r="BL564" t="e">
        <f t="shared" si="203"/>
        <v>#N/A</v>
      </c>
      <c r="BM564" t="e">
        <f t="shared" si="203"/>
        <v>#N/A</v>
      </c>
      <c r="BP564" t="e">
        <f t="shared" si="207"/>
        <v>#N/A</v>
      </c>
      <c r="BQ564" t="e">
        <f t="shared" si="223"/>
        <v>#N/A</v>
      </c>
      <c r="BR564" t="e">
        <f t="shared" si="204"/>
        <v>#N/A</v>
      </c>
      <c r="BS564" t="e">
        <f t="shared" si="204"/>
        <v>#N/A</v>
      </c>
      <c r="BT564" t="e">
        <f t="shared" si="204"/>
        <v>#N/A</v>
      </c>
      <c r="BU564" t="e">
        <f t="shared" si="204"/>
        <v>#N/A</v>
      </c>
      <c r="BV564" t="e">
        <f t="shared" si="204"/>
        <v>#N/A</v>
      </c>
      <c r="BY564" t="e">
        <f t="shared" si="208"/>
        <v>#N/A</v>
      </c>
      <c r="BZ564" t="e">
        <v>#N/A</v>
      </c>
      <c r="CA564" t="e" cm="1">
        <f t="array" ref="CA564">IF(ISNUMBER(BZ564),AF564/COUNT(IF(ISNUMBER(_xlfn.ANCHORARRAY($BZ$11)),_xlfn.ANCHORARRAY($BZ$11))),NA())</f>
        <v>#N/A</v>
      </c>
      <c r="CB564" t="e">
        <f t="shared" si="209"/>
        <v>#N/A</v>
      </c>
      <c r="CD564" t="e">
        <f t="shared" si="210"/>
        <v>#N/A</v>
      </c>
      <c r="CE564" t="e">
        <f t="shared" si="211"/>
        <v>#N/A</v>
      </c>
      <c r="CG564" t="e">
        <v>#N/A</v>
      </c>
      <c r="CH564" t="e">
        <v>#N/A</v>
      </c>
      <c r="CL564" t="e">
        <f t="shared" si="212"/>
        <v>#N/A</v>
      </c>
      <c r="CM564" t="e">
        <v>#N/A</v>
      </c>
      <c r="CN564" t="e" cm="1">
        <f t="array" ref="CN564">IF(ISNUMBER(CM564),AF564/COUNT(IF(ISNUMBER(_xlfn.ANCHORARRAY($CM$11)),_xlfn.ANCHORARRAY($CM$11))),NA())</f>
        <v>#N/A</v>
      </c>
      <c r="CO564" t="e">
        <f t="shared" si="213"/>
        <v>#N/A</v>
      </c>
      <c r="CQ564" t="e">
        <f t="shared" si="214"/>
        <v>#N/A</v>
      </c>
      <c r="CR564" t="e">
        <f t="shared" si="215"/>
        <v>#N/A</v>
      </c>
      <c r="CT564" t="e">
        <v>#N/A</v>
      </c>
      <c r="CU564" t="e">
        <v>#N/A</v>
      </c>
      <c r="CY564" t="e">
        <f t="shared" si="216"/>
        <v>#N/A</v>
      </c>
      <c r="CZ564" t="e">
        <v>#N/A</v>
      </c>
      <c r="DA564" t="e" cm="1">
        <f t="array" ref="DA564">IF(ISNUMBER(CZ564),AF564/COUNT(IF(ISNUMBER(_xlfn.ANCHORARRAY($CZ$11)),_xlfn.ANCHORARRAY($CZ$11))),NA())</f>
        <v>#N/A</v>
      </c>
      <c r="DB564" t="e">
        <f t="shared" si="217"/>
        <v>#N/A</v>
      </c>
      <c r="DD564" t="e">
        <f t="shared" si="218"/>
        <v>#N/A</v>
      </c>
      <c r="DE564" t="e">
        <f t="shared" si="219"/>
        <v>#N/A</v>
      </c>
      <c r="DG564" t="e">
        <v>#N/A</v>
      </c>
      <c r="DH564" t="e">
        <v>#N/A</v>
      </c>
    </row>
    <row r="565" spans="32:112">
      <c r="AF565">
        <v>555</v>
      </c>
      <c r="AG565" s="401">
        <f>'Lab test'!N558</f>
        <v>25.4</v>
      </c>
      <c r="AH565" s="401">
        <f>'Lab test'!M558</f>
        <v>0.88900000000000001</v>
      </c>
      <c r="AI565" t="e">
        <f>IF('Lab test'!O558&gt;0,'Lab test'!O558,NA())</f>
        <v>#N/A</v>
      </c>
      <c r="AJ565">
        <f>'Lab test'!Q558</f>
        <v>27.9</v>
      </c>
      <c r="AK565" s="401">
        <f>IF('Lab test'!V558&gt;0,'Lab test'!V558,NA())</f>
        <v>73153.374740800005</v>
      </c>
      <c r="AL565" s="7">
        <f>IF(MAX('Lab test'!W558,'Lab test'!X558)&gt;0,MAX('Lab test'!W558,'Lab test'!X558),NA())</f>
        <v>285.62322178607809</v>
      </c>
      <c r="AM565" s="401" t="e">
        <f>IF('Lab test'!P558&gt;0,'Lab test'!P558,NA())</f>
        <v>#N/A</v>
      </c>
      <c r="AN565" s="401">
        <f>IF('Lab test'!AU558&gt;0,'Lab test'!AU558,NA())</f>
        <v>1.1779999999999999</v>
      </c>
      <c r="AO565" s="401">
        <f>IF('Lab test'!AT558&gt;0,'Lab test'!AT558,NA())</f>
        <v>0.21202641239041395</v>
      </c>
      <c r="AP565">
        <f t="shared" si="220"/>
        <v>1</v>
      </c>
      <c r="AQ565" s="401">
        <f>'Lab test'!AZ558</f>
        <v>1938</v>
      </c>
      <c r="AR565" t="str">
        <f>'Lab test'!AC558</f>
        <v>Tubes</v>
      </c>
      <c r="AS565" t="str">
        <f>'Lab test'!T558</f>
        <v>Aluminium</v>
      </c>
      <c r="AX565" t="e">
        <f t="shared" si="205"/>
        <v>#N/A</v>
      </c>
      <c r="AY565" t="e">
        <f t="shared" si="221"/>
        <v>#N/A</v>
      </c>
      <c r="AZ565" t="e">
        <f t="shared" si="202"/>
        <v>#N/A</v>
      </c>
      <c r="BA565" t="e">
        <f t="shared" si="202"/>
        <v>#N/A</v>
      </c>
      <c r="BB565" t="e">
        <f t="shared" si="202"/>
        <v>#N/A</v>
      </c>
      <c r="BC565" t="e">
        <f t="shared" si="202"/>
        <v>#N/A</v>
      </c>
      <c r="BD565" t="e">
        <f t="shared" si="202"/>
        <v>#N/A</v>
      </c>
      <c r="BG565" t="e">
        <f t="shared" si="206"/>
        <v>#N/A</v>
      </c>
      <c r="BH565" t="e">
        <f t="shared" si="222"/>
        <v>#N/A</v>
      </c>
      <c r="BI565" t="e">
        <f t="shared" si="203"/>
        <v>#N/A</v>
      </c>
      <c r="BJ565" t="e">
        <f t="shared" si="203"/>
        <v>#N/A</v>
      </c>
      <c r="BK565" t="e">
        <f t="shared" si="203"/>
        <v>#N/A</v>
      </c>
      <c r="BL565" t="e">
        <f t="shared" si="203"/>
        <v>#N/A</v>
      </c>
      <c r="BM565" t="e">
        <f t="shared" si="203"/>
        <v>#N/A</v>
      </c>
      <c r="BP565" t="e">
        <f t="shared" si="207"/>
        <v>#N/A</v>
      </c>
      <c r="BQ565" t="e">
        <f t="shared" si="223"/>
        <v>#N/A</v>
      </c>
      <c r="BR565" t="e">
        <f t="shared" si="204"/>
        <v>#N/A</v>
      </c>
      <c r="BS565" t="e">
        <f t="shared" si="204"/>
        <v>#N/A</v>
      </c>
      <c r="BT565" t="e">
        <f t="shared" si="204"/>
        <v>#N/A</v>
      </c>
      <c r="BU565" t="e">
        <f t="shared" si="204"/>
        <v>#N/A</v>
      </c>
      <c r="BV565" t="e">
        <f t="shared" si="204"/>
        <v>#N/A</v>
      </c>
      <c r="BY565" t="e">
        <f t="shared" si="208"/>
        <v>#N/A</v>
      </c>
      <c r="BZ565" t="e">
        <v>#N/A</v>
      </c>
      <c r="CA565" t="e" cm="1">
        <f t="array" ref="CA565">IF(ISNUMBER(BZ565),AF565/COUNT(IF(ISNUMBER(_xlfn.ANCHORARRAY($BZ$11)),_xlfn.ANCHORARRAY($BZ$11))),NA())</f>
        <v>#N/A</v>
      </c>
      <c r="CB565" t="e">
        <f t="shared" si="209"/>
        <v>#N/A</v>
      </c>
      <c r="CD565" t="e">
        <f t="shared" si="210"/>
        <v>#N/A</v>
      </c>
      <c r="CE565" t="e">
        <f t="shared" si="211"/>
        <v>#N/A</v>
      </c>
      <c r="CG565" t="e">
        <v>#N/A</v>
      </c>
      <c r="CH565" t="e">
        <v>#N/A</v>
      </c>
      <c r="CL565" t="e">
        <f t="shared" si="212"/>
        <v>#N/A</v>
      </c>
      <c r="CM565" t="e">
        <v>#N/A</v>
      </c>
      <c r="CN565" t="e" cm="1">
        <f t="array" ref="CN565">IF(ISNUMBER(CM565),AF565/COUNT(IF(ISNUMBER(_xlfn.ANCHORARRAY($CM$11)),_xlfn.ANCHORARRAY($CM$11))),NA())</f>
        <v>#N/A</v>
      </c>
      <c r="CO565" t="e">
        <f t="shared" si="213"/>
        <v>#N/A</v>
      </c>
      <c r="CQ565" t="e">
        <f t="shared" si="214"/>
        <v>#N/A</v>
      </c>
      <c r="CR565" t="e">
        <f t="shared" si="215"/>
        <v>#N/A</v>
      </c>
      <c r="CT565" t="e">
        <v>#N/A</v>
      </c>
      <c r="CU565" t="e">
        <v>#N/A</v>
      </c>
      <c r="CY565" t="e">
        <f t="shared" si="216"/>
        <v>#N/A</v>
      </c>
      <c r="CZ565" t="e">
        <v>#N/A</v>
      </c>
      <c r="DA565" t="e" cm="1">
        <f t="array" ref="DA565">IF(ISNUMBER(CZ565),AF565/COUNT(IF(ISNUMBER(_xlfn.ANCHORARRAY($CZ$11)),_xlfn.ANCHORARRAY($CZ$11))),NA())</f>
        <v>#N/A</v>
      </c>
      <c r="DB565" t="e">
        <f t="shared" si="217"/>
        <v>#N/A</v>
      </c>
      <c r="DD565" t="e">
        <f t="shared" si="218"/>
        <v>#N/A</v>
      </c>
      <c r="DE565" t="e">
        <f t="shared" si="219"/>
        <v>#N/A</v>
      </c>
      <c r="DG565" t="e">
        <v>#N/A</v>
      </c>
      <c r="DH565" t="e">
        <v>#N/A</v>
      </c>
    </row>
    <row r="566" spans="32:112">
      <c r="AF566">
        <v>556</v>
      </c>
      <c r="AG566" s="401">
        <f>'Lab test'!N559</f>
        <v>25.4</v>
      </c>
      <c r="AH566" s="401">
        <f>'Lab test'!M559</f>
        <v>0.88900000000000001</v>
      </c>
      <c r="AI566" t="e">
        <f>IF('Lab test'!O559&gt;0,'Lab test'!O559,NA())</f>
        <v>#N/A</v>
      </c>
      <c r="AJ566">
        <f>'Lab test'!Q559</f>
        <v>27.95</v>
      </c>
      <c r="AK566" s="401">
        <f>IF('Lab test'!V559&gt;0,'Lab test'!V559,NA())</f>
        <v>73153.374740800005</v>
      </c>
      <c r="AL566" s="7">
        <f>IF(MAX('Lab test'!W559,'Lab test'!X559)&gt;0,MAX('Lab test'!W559,'Lab test'!X559),NA())</f>
        <v>284.00532115063834</v>
      </c>
      <c r="AM566" s="401" t="e">
        <f>IF('Lab test'!P559&gt;0,'Lab test'!P559,NA())</f>
        <v>#N/A</v>
      </c>
      <c r="AN566" s="401">
        <f>IF('Lab test'!AU559&gt;0,'Lab test'!AU559,NA())</f>
        <v>1.175</v>
      </c>
      <c r="AO566" s="401">
        <f>IF('Lab test'!AT559&gt;0,'Lab test'!AT559,NA())</f>
        <v>0.21066535207231932</v>
      </c>
      <c r="AP566">
        <f t="shared" si="220"/>
        <v>1</v>
      </c>
      <c r="AQ566" s="401">
        <f>'Lab test'!AZ559</f>
        <v>1938</v>
      </c>
      <c r="AR566" t="str">
        <f>'Lab test'!AC559</f>
        <v>Tubes</v>
      </c>
      <c r="AS566" t="str">
        <f>'Lab test'!T559</f>
        <v>Aluminium</v>
      </c>
      <c r="AX566" t="e">
        <f t="shared" si="205"/>
        <v>#N/A</v>
      </c>
      <c r="AY566" t="e">
        <f t="shared" si="221"/>
        <v>#N/A</v>
      </c>
      <c r="AZ566" t="e">
        <f t="shared" si="202"/>
        <v>#N/A</v>
      </c>
      <c r="BA566" t="e">
        <f t="shared" si="202"/>
        <v>#N/A</v>
      </c>
      <c r="BB566" t="e">
        <f t="shared" si="202"/>
        <v>#N/A</v>
      </c>
      <c r="BC566" t="e">
        <f t="shared" si="202"/>
        <v>#N/A</v>
      </c>
      <c r="BD566" t="e">
        <f t="shared" si="202"/>
        <v>#N/A</v>
      </c>
      <c r="BG566" t="e">
        <f t="shared" si="206"/>
        <v>#N/A</v>
      </c>
      <c r="BH566" t="e">
        <f t="shared" si="222"/>
        <v>#N/A</v>
      </c>
      <c r="BI566" t="e">
        <f t="shared" si="203"/>
        <v>#N/A</v>
      </c>
      <c r="BJ566" t="e">
        <f t="shared" si="203"/>
        <v>#N/A</v>
      </c>
      <c r="BK566" t="e">
        <f t="shared" si="203"/>
        <v>#N/A</v>
      </c>
      <c r="BL566" t="e">
        <f t="shared" si="203"/>
        <v>#N/A</v>
      </c>
      <c r="BM566" t="e">
        <f t="shared" si="203"/>
        <v>#N/A</v>
      </c>
      <c r="BP566" t="e">
        <f t="shared" si="207"/>
        <v>#N/A</v>
      </c>
      <c r="BQ566" t="e">
        <f t="shared" si="223"/>
        <v>#N/A</v>
      </c>
      <c r="BR566" t="e">
        <f t="shared" si="204"/>
        <v>#N/A</v>
      </c>
      <c r="BS566" t="e">
        <f t="shared" si="204"/>
        <v>#N/A</v>
      </c>
      <c r="BT566" t="e">
        <f t="shared" si="204"/>
        <v>#N/A</v>
      </c>
      <c r="BU566" t="e">
        <f t="shared" si="204"/>
        <v>#N/A</v>
      </c>
      <c r="BV566" t="e">
        <f t="shared" si="204"/>
        <v>#N/A</v>
      </c>
      <c r="BY566" t="e">
        <f t="shared" si="208"/>
        <v>#N/A</v>
      </c>
      <c r="BZ566" t="e">
        <v>#N/A</v>
      </c>
      <c r="CA566" t="e" cm="1">
        <f t="array" ref="CA566">IF(ISNUMBER(BZ566),AF566/COUNT(IF(ISNUMBER(_xlfn.ANCHORARRAY($BZ$11)),_xlfn.ANCHORARRAY($BZ$11))),NA())</f>
        <v>#N/A</v>
      </c>
      <c r="CB566" t="e">
        <f t="shared" si="209"/>
        <v>#N/A</v>
      </c>
      <c r="CD566" t="e">
        <f t="shared" si="210"/>
        <v>#N/A</v>
      </c>
      <c r="CE566" t="e">
        <f t="shared" si="211"/>
        <v>#N/A</v>
      </c>
      <c r="CG566" t="e">
        <v>#N/A</v>
      </c>
      <c r="CH566" t="e">
        <v>#N/A</v>
      </c>
      <c r="CL566" t="e">
        <f t="shared" si="212"/>
        <v>#N/A</v>
      </c>
      <c r="CM566" t="e">
        <v>#N/A</v>
      </c>
      <c r="CN566" t="e" cm="1">
        <f t="array" ref="CN566">IF(ISNUMBER(CM566),AF566/COUNT(IF(ISNUMBER(_xlfn.ANCHORARRAY($CM$11)),_xlfn.ANCHORARRAY($CM$11))),NA())</f>
        <v>#N/A</v>
      </c>
      <c r="CO566" t="e">
        <f t="shared" si="213"/>
        <v>#N/A</v>
      </c>
      <c r="CQ566" t="e">
        <f t="shared" si="214"/>
        <v>#N/A</v>
      </c>
      <c r="CR566" t="e">
        <f t="shared" si="215"/>
        <v>#N/A</v>
      </c>
      <c r="CT566" t="e">
        <v>#N/A</v>
      </c>
      <c r="CU566" t="e">
        <v>#N/A</v>
      </c>
      <c r="CY566" t="e">
        <f t="shared" si="216"/>
        <v>#N/A</v>
      </c>
      <c r="CZ566" t="e">
        <v>#N/A</v>
      </c>
      <c r="DA566" t="e" cm="1">
        <f t="array" ref="DA566">IF(ISNUMBER(CZ566),AF566/COUNT(IF(ISNUMBER(_xlfn.ANCHORARRAY($CZ$11)),_xlfn.ANCHORARRAY($CZ$11))),NA())</f>
        <v>#N/A</v>
      </c>
      <c r="DB566" t="e">
        <f t="shared" si="217"/>
        <v>#N/A</v>
      </c>
      <c r="DD566" t="e">
        <f t="shared" si="218"/>
        <v>#N/A</v>
      </c>
      <c r="DE566" t="e">
        <f t="shared" si="219"/>
        <v>#N/A</v>
      </c>
      <c r="DG566" t="e">
        <v>#N/A</v>
      </c>
      <c r="DH566" t="e">
        <v>#N/A</v>
      </c>
    </row>
    <row r="567" spans="32:112">
      <c r="AF567">
        <v>557</v>
      </c>
      <c r="AG567" s="401">
        <f>'Lab test'!N560</f>
        <v>19.049999999999997</v>
      </c>
      <c r="AH567" s="401">
        <f>'Lab test'!M560</f>
        <v>0.63500000000000001</v>
      </c>
      <c r="AI567" t="e">
        <f>IF('Lab test'!O560&gt;0,'Lab test'!O560,NA())</f>
        <v>#N/A</v>
      </c>
      <c r="AJ567">
        <f>'Lab test'!Q560</f>
        <v>30.7</v>
      </c>
      <c r="AK567" s="401">
        <f>IF('Lab test'!V560&gt;0,'Lab test'!V560,NA())</f>
        <v>73153.374740800005</v>
      </c>
      <c r="AL567" s="7">
        <f>IF(MAX('Lab test'!W560,'Lab test'!X560)&gt;0,MAX('Lab test'!W560,'Lab test'!X560),NA())</f>
        <v>267.6445863966245</v>
      </c>
      <c r="AM567" s="401" t="e">
        <f>IF('Lab test'!P560&gt;0,'Lab test'!P560,NA())</f>
        <v>#N/A</v>
      </c>
      <c r="AN567" s="401">
        <f>IF('Lab test'!AU560&gt;0,'Lab test'!AU560,NA())</f>
        <v>1.1850000000000001</v>
      </c>
      <c r="AO567" s="401">
        <f>IF('Lab test'!AT560&gt;0,'Lab test'!AT560,NA())</f>
        <v>0.21991869350266069</v>
      </c>
      <c r="AP567">
        <f t="shared" si="220"/>
        <v>1</v>
      </c>
      <c r="AQ567" s="401">
        <f>'Lab test'!AZ560</f>
        <v>1938</v>
      </c>
      <c r="AR567" t="str">
        <f>'Lab test'!AC560</f>
        <v>Tubes</v>
      </c>
      <c r="AS567" t="str">
        <f>'Lab test'!T560</f>
        <v>Aluminium</v>
      </c>
      <c r="AX567" t="e">
        <f t="shared" si="205"/>
        <v>#N/A</v>
      </c>
      <c r="AY567" t="e">
        <f t="shared" si="221"/>
        <v>#N/A</v>
      </c>
      <c r="AZ567" t="e">
        <f t="shared" si="202"/>
        <v>#N/A</v>
      </c>
      <c r="BA567" t="e">
        <f t="shared" si="202"/>
        <v>#N/A</v>
      </c>
      <c r="BB567" t="e">
        <f t="shared" si="202"/>
        <v>#N/A</v>
      </c>
      <c r="BC567" t="e">
        <f t="shared" si="202"/>
        <v>#N/A</v>
      </c>
      <c r="BD567" t="e">
        <f t="shared" si="202"/>
        <v>#N/A</v>
      </c>
      <c r="BG567" t="e">
        <f t="shared" si="206"/>
        <v>#N/A</v>
      </c>
      <c r="BH567" t="e">
        <f t="shared" si="222"/>
        <v>#N/A</v>
      </c>
      <c r="BI567" t="e">
        <f t="shared" si="203"/>
        <v>#N/A</v>
      </c>
      <c r="BJ567" t="e">
        <f t="shared" si="203"/>
        <v>#N/A</v>
      </c>
      <c r="BK567" t="e">
        <f t="shared" si="203"/>
        <v>#N/A</v>
      </c>
      <c r="BL567" t="e">
        <f t="shared" si="203"/>
        <v>#N/A</v>
      </c>
      <c r="BM567" t="e">
        <f t="shared" si="203"/>
        <v>#N/A</v>
      </c>
      <c r="BP567" t="e">
        <f t="shared" si="207"/>
        <v>#N/A</v>
      </c>
      <c r="BQ567" t="e">
        <f t="shared" si="223"/>
        <v>#N/A</v>
      </c>
      <c r="BR567" t="e">
        <f t="shared" si="204"/>
        <v>#N/A</v>
      </c>
      <c r="BS567" t="e">
        <f t="shared" si="204"/>
        <v>#N/A</v>
      </c>
      <c r="BT567" t="e">
        <f t="shared" si="204"/>
        <v>#N/A</v>
      </c>
      <c r="BU567" t="e">
        <f t="shared" si="204"/>
        <v>#N/A</v>
      </c>
      <c r="BV567" t="e">
        <f t="shared" si="204"/>
        <v>#N/A</v>
      </c>
      <c r="BY567" t="e">
        <f t="shared" si="208"/>
        <v>#N/A</v>
      </c>
      <c r="BZ567" t="e">
        <v>#N/A</v>
      </c>
      <c r="CA567" t="e" cm="1">
        <f t="array" ref="CA567">IF(ISNUMBER(BZ567),AF567/COUNT(IF(ISNUMBER(_xlfn.ANCHORARRAY($BZ$11)),_xlfn.ANCHORARRAY($BZ$11))),NA())</f>
        <v>#N/A</v>
      </c>
      <c r="CB567" t="e">
        <f t="shared" si="209"/>
        <v>#N/A</v>
      </c>
      <c r="CD567" t="e">
        <f t="shared" si="210"/>
        <v>#N/A</v>
      </c>
      <c r="CE567" t="e">
        <f t="shared" si="211"/>
        <v>#N/A</v>
      </c>
      <c r="CG567" t="e">
        <v>#N/A</v>
      </c>
      <c r="CH567" t="e">
        <v>#N/A</v>
      </c>
      <c r="CL567" t="e">
        <f t="shared" si="212"/>
        <v>#N/A</v>
      </c>
      <c r="CM567" t="e">
        <v>#N/A</v>
      </c>
      <c r="CN567" t="e" cm="1">
        <f t="array" ref="CN567">IF(ISNUMBER(CM567),AF567/COUNT(IF(ISNUMBER(_xlfn.ANCHORARRAY($CM$11)),_xlfn.ANCHORARRAY($CM$11))),NA())</f>
        <v>#N/A</v>
      </c>
      <c r="CO567" t="e">
        <f t="shared" si="213"/>
        <v>#N/A</v>
      </c>
      <c r="CQ567" t="e">
        <f t="shared" si="214"/>
        <v>#N/A</v>
      </c>
      <c r="CR567" t="e">
        <f t="shared" si="215"/>
        <v>#N/A</v>
      </c>
      <c r="CT567" t="e">
        <v>#N/A</v>
      </c>
      <c r="CU567" t="e">
        <v>#N/A</v>
      </c>
      <c r="CY567" t="e">
        <f t="shared" si="216"/>
        <v>#N/A</v>
      </c>
      <c r="CZ567" t="e">
        <v>#N/A</v>
      </c>
      <c r="DA567" t="e" cm="1">
        <f t="array" ref="DA567">IF(ISNUMBER(CZ567),AF567/COUNT(IF(ISNUMBER(_xlfn.ANCHORARRAY($CZ$11)),_xlfn.ANCHORARRAY($CZ$11))),NA())</f>
        <v>#N/A</v>
      </c>
      <c r="DB567" t="e">
        <f t="shared" si="217"/>
        <v>#N/A</v>
      </c>
      <c r="DD567" t="e">
        <f t="shared" si="218"/>
        <v>#N/A</v>
      </c>
      <c r="DE567" t="e">
        <f t="shared" si="219"/>
        <v>#N/A</v>
      </c>
      <c r="DG567" t="e">
        <v>#N/A</v>
      </c>
      <c r="DH567" t="e">
        <v>#N/A</v>
      </c>
    </row>
    <row r="568" spans="32:112">
      <c r="AF568">
        <v>558</v>
      </c>
      <c r="AG568" s="401">
        <f>'Lab test'!N561</f>
        <v>19.049999999999997</v>
      </c>
      <c r="AH568" s="401">
        <f>'Lab test'!M561</f>
        <v>0.63500000000000001</v>
      </c>
      <c r="AI568" t="e">
        <f>IF('Lab test'!O561&gt;0,'Lab test'!O561,NA())</f>
        <v>#N/A</v>
      </c>
      <c r="AJ568">
        <f>'Lab test'!Q561</f>
        <v>30.75</v>
      </c>
      <c r="AK568" s="401">
        <f>IF('Lab test'!V561&gt;0,'Lab test'!V561,NA())</f>
        <v>73153.374740800005</v>
      </c>
      <c r="AL568" s="7">
        <f>IF(MAX('Lab test'!W561,'Lab test'!X561)&gt;0,MAX('Lab test'!W561,'Lab test'!X561),NA())</f>
        <v>266.55881701757323</v>
      </c>
      <c r="AM568" s="401" t="e">
        <f>IF('Lab test'!P561&gt;0,'Lab test'!P561,NA())</f>
        <v>#N/A</v>
      </c>
      <c r="AN568" s="401">
        <f>IF('Lab test'!AU561&gt;0,'Lab test'!AU561,NA())</f>
        <v>1.1950000000000001</v>
      </c>
      <c r="AO568" s="401">
        <f>IF('Lab test'!AT561&gt;0,'Lab test'!AT561,NA())</f>
        <v>0.2212345927804524</v>
      </c>
      <c r="AP568">
        <f t="shared" si="220"/>
        <v>1</v>
      </c>
      <c r="AQ568" s="401">
        <f>'Lab test'!AZ561</f>
        <v>1938</v>
      </c>
      <c r="AR568" t="str">
        <f>'Lab test'!AC561</f>
        <v>Tubes</v>
      </c>
      <c r="AS568" t="str">
        <f>'Lab test'!T561</f>
        <v>Aluminium</v>
      </c>
      <c r="AX568" t="e">
        <f t="shared" si="205"/>
        <v>#N/A</v>
      </c>
      <c r="AY568" t="e">
        <f t="shared" si="221"/>
        <v>#N/A</v>
      </c>
      <c r="AZ568" t="e">
        <f t="shared" si="202"/>
        <v>#N/A</v>
      </c>
      <c r="BA568" t="e">
        <f t="shared" si="202"/>
        <v>#N/A</v>
      </c>
      <c r="BB568" t="e">
        <f t="shared" ref="AZ568:BD619" si="224">IF(ISNUMBER($AJ568),IF(ISNUMBER($AP568),IF($AJ568&gt;BB$9,IF($AJ568&lt;=BB$10,IF($AR568=$AW$2,IF($AS568=$AW$6,$AK568,NA()),NA()),NA()),NA()),NA()),NA())</f>
        <v>#N/A</v>
      </c>
      <c r="BC568" t="e">
        <f t="shared" si="224"/>
        <v>#N/A</v>
      </c>
      <c r="BD568" t="e">
        <f t="shared" si="224"/>
        <v>#N/A</v>
      </c>
      <c r="BG568" t="e">
        <f t="shared" si="206"/>
        <v>#N/A</v>
      </c>
      <c r="BH568" t="e">
        <f t="shared" si="222"/>
        <v>#N/A</v>
      </c>
      <c r="BI568" t="e">
        <f t="shared" si="203"/>
        <v>#N/A</v>
      </c>
      <c r="BJ568" t="e">
        <f t="shared" si="203"/>
        <v>#N/A</v>
      </c>
      <c r="BK568" t="e">
        <f t="shared" ref="BI568:BM619" si="225">IF(ISNUMBER($AJ568),IF(ISNUMBER($AP568),IF($AJ568&gt;BK$9,IF($AJ568&lt;=BK$10,IF($AR568=$AW$2,IF($AS568=$BF$6,$AK568,NA()),NA()),NA()),NA()),NA()),NA())</f>
        <v>#N/A</v>
      </c>
      <c r="BL568" t="e">
        <f t="shared" si="225"/>
        <v>#N/A</v>
      </c>
      <c r="BM568" t="e">
        <f t="shared" si="225"/>
        <v>#N/A</v>
      </c>
      <c r="BP568" t="e">
        <f t="shared" si="207"/>
        <v>#N/A</v>
      </c>
      <c r="BQ568" t="e">
        <f t="shared" si="223"/>
        <v>#N/A</v>
      </c>
      <c r="BR568" t="e">
        <f t="shared" si="204"/>
        <v>#N/A</v>
      </c>
      <c r="BS568" t="e">
        <f t="shared" si="204"/>
        <v>#N/A</v>
      </c>
      <c r="BT568" t="e">
        <f t="shared" ref="BR568:BV619" si="226">IF(ISNUMBER($AJ568),IF(ISNUMBER($AP568),IF($AJ568&gt;BT$9,IF($AJ568&lt;=BT$10,IF($AR568=$AW$2,IF($AS568=$BO$6,$AK568,NA()),NA()),NA()),NA()),NA()),NA())</f>
        <v>#N/A</v>
      </c>
      <c r="BU568" t="e">
        <f t="shared" si="226"/>
        <v>#N/A</v>
      </c>
      <c r="BV568" t="e">
        <f t="shared" si="226"/>
        <v>#N/A</v>
      </c>
      <c r="BY568" t="e">
        <f t="shared" si="208"/>
        <v>#N/A</v>
      </c>
      <c r="BZ568" t="e">
        <v>#N/A</v>
      </c>
      <c r="CA568" t="e" cm="1">
        <f t="array" ref="CA568">IF(ISNUMBER(BZ568),AF568/COUNT(IF(ISNUMBER(_xlfn.ANCHORARRAY($BZ$11)),_xlfn.ANCHORARRAY($BZ$11))),NA())</f>
        <v>#N/A</v>
      </c>
      <c r="CB568" t="e">
        <f t="shared" si="209"/>
        <v>#N/A</v>
      </c>
      <c r="CD568" t="e">
        <f t="shared" si="210"/>
        <v>#N/A</v>
      </c>
      <c r="CE568" t="e">
        <f t="shared" si="211"/>
        <v>#N/A</v>
      </c>
      <c r="CG568" t="e">
        <v>#N/A</v>
      </c>
      <c r="CH568" t="e">
        <v>#N/A</v>
      </c>
      <c r="CL568" t="e">
        <f t="shared" si="212"/>
        <v>#N/A</v>
      </c>
      <c r="CM568" t="e">
        <v>#N/A</v>
      </c>
      <c r="CN568" t="e" cm="1">
        <f t="array" ref="CN568">IF(ISNUMBER(CM568),AF568/COUNT(IF(ISNUMBER(_xlfn.ANCHORARRAY($CM$11)),_xlfn.ANCHORARRAY($CM$11))),NA())</f>
        <v>#N/A</v>
      </c>
      <c r="CO568" t="e">
        <f t="shared" si="213"/>
        <v>#N/A</v>
      </c>
      <c r="CQ568" t="e">
        <f t="shared" si="214"/>
        <v>#N/A</v>
      </c>
      <c r="CR568" t="e">
        <f t="shared" si="215"/>
        <v>#N/A</v>
      </c>
      <c r="CT568" t="e">
        <v>#N/A</v>
      </c>
      <c r="CU568" t="e">
        <v>#N/A</v>
      </c>
      <c r="CY568" t="e">
        <f t="shared" si="216"/>
        <v>#N/A</v>
      </c>
      <c r="CZ568" t="e">
        <v>#N/A</v>
      </c>
      <c r="DA568" t="e" cm="1">
        <f t="array" ref="DA568">IF(ISNUMBER(CZ568),AF568/COUNT(IF(ISNUMBER(_xlfn.ANCHORARRAY($CZ$11)),_xlfn.ANCHORARRAY($CZ$11))),NA())</f>
        <v>#N/A</v>
      </c>
      <c r="DB568" t="e">
        <f t="shared" si="217"/>
        <v>#N/A</v>
      </c>
      <c r="DD568" t="e">
        <f t="shared" si="218"/>
        <v>#N/A</v>
      </c>
      <c r="DE568" t="e">
        <f t="shared" si="219"/>
        <v>#N/A</v>
      </c>
      <c r="DG568" t="e">
        <v>#N/A</v>
      </c>
      <c r="DH568" t="e">
        <v>#N/A</v>
      </c>
    </row>
    <row r="569" spans="32:112">
      <c r="AF569">
        <v>559</v>
      </c>
      <c r="AG569" s="401">
        <f>'Lab test'!N562</f>
        <v>19.049999999999997</v>
      </c>
      <c r="AH569" s="401">
        <f>'Lab test'!M562</f>
        <v>0.63500000000000001</v>
      </c>
      <c r="AI569" t="e">
        <f>IF('Lab test'!O562&gt;0,'Lab test'!O562,NA())</f>
        <v>#N/A</v>
      </c>
      <c r="AJ569">
        <f>'Lab test'!Q562</f>
        <v>30.75</v>
      </c>
      <c r="AK569" s="401">
        <f>IF('Lab test'!V562&gt;0,'Lab test'!V562,NA())</f>
        <v>73153.374740800005</v>
      </c>
      <c r="AL569" s="7">
        <f>IF(MAX('Lab test'!W562,'Lab test'!X562)&gt;0,MAX('Lab test'!W562,'Lab test'!X562),NA())</f>
        <v>267.6445863966245</v>
      </c>
      <c r="AM569" s="401" t="e">
        <f>IF('Lab test'!P562&gt;0,'Lab test'!P562,NA())</f>
        <v>#N/A</v>
      </c>
      <c r="AN569" s="401">
        <f>IF('Lab test'!AU562&gt;0,'Lab test'!AU562,NA())</f>
        <v>1.1850000000000001</v>
      </c>
      <c r="AO569" s="401">
        <f>IF('Lab test'!AT562&gt;0,'Lab test'!AT562,NA())</f>
        <v>0.22027686727058032</v>
      </c>
      <c r="AP569">
        <f t="shared" si="220"/>
        <v>1</v>
      </c>
      <c r="AQ569" s="401">
        <f>'Lab test'!AZ562</f>
        <v>1938</v>
      </c>
      <c r="AR569" t="str">
        <f>'Lab test'!AC562</f>
        <v>Tubes</v>
      </c>
      <c r="AS569" t="str">
        <f>'Lab test'!T562</f>
        <v>Aluminium</v>
      </c>
      <c r="AX569" t="e">
        <f t="shared" si="205"/>
        <v>#N/A</v>
      </c>
      <c r="AY569" t="e">
        <f t="shared" si="221"/>
        <v>#N/A</v>
      </c>
      <c r="AZ569" t="e">
        <f t="shared" si="224"/>
        <v>#N/A</v>
      </c>
      <c r="BA569" t="e">
        <f t="shared" si="224"/>
        <v>#N/A</v>
      </c>
      <c r="BB569" t="e">
        <f t="shared" si="224"/>
        <v>#N/A</v>
      </c>
      <c r="BC569" t="e">
        <f t="shared" si="224"/>
        <v>#N/A</v>
      </c>
      <c r="BD569" t="e">
        <f t="shared" si="224"/>
        <v>#N/A</v>
      </c>
      <c r="BG569" t="e">
        <f t="shared" si="206"/>
        <v>#N/A</v>
      </c>
      <c r="BH569" t="e">
        <f t="shared" si="222"/>
        <v>#N/A</v>
      </c>
      <c r="BI569" t="e">
        <f t="shared" si="225"/>
        <v>#N/A</v>
      </c>
      <c r="BJ569" t="e">
        <f t="shared" si="225"/>
        <v>#N/A</v>
      </c>
      <c r="BK569" t="e">
        <f t="shared" si="225"/>
        <v>#N/A</v>
      </c>
      <c r="BL569" t="e">
        <f t="shared" si="225"/>
        <v>#N/A</v>
      </c>
      <c r="BM569" t="e">
        <f t="shared" si="225"/>
        <v>#N/A</v>
      </c>
      <c r="BP569" t="e">
        <f t="shared" si="207"/>
        <v>#N/A</v>
      </c>
      <c r="BQ569" t="e">
        <f t="shared" si="223"/>
        <v>#N/A</v>
      </c>
      <c r="BR569" t="e">
        <f t="shared" si="226"/>
        <v>#N/A</v>
      </c>
      <c r="BS569" t="e">
        <f t="shared" si="226"/>
        <v>#N/A</v>
      </c>
      <c r="BT569" t="e">
        <f t="shared" si="226"/>
        <v>#N/A</v>
      </c>
      <c r="BU569" t="e">
        <f t="shared" si="226"/>
        <v>#N/A</v>
      </c>
      <c r="BV569" t="e">
        <f t="shared" si="226"/>
        <v>#N/A</v>
      </c>
      <c r="BY569" t="e">
        <f t="shared" si="208"/>
        <v>#N/A</v>
      </c>
      <c r="BZ569" t="e">
        <v>#N/A</v>
      </c>
      <c r="CA569" t="e" cm="1">
        <f t="array" ref="CA569">IF(ISNUMBER(BZ569),AF569/COUNT(IF(ISNUMBER(_xlfn.ANCHORARRAY($BZ$11)),_xlfn.ANCHORARRAY($BZ$11))),NA())</f>
        <v>#N/A</v>
      </c>
      <c r="CB569" t="e">
        <f t="shared" si="209"/>
        <v>#N/A</v>
      </c>
      <c r="CD569" t="e">
        <f t="shared" si="210"/>
        <v>#N/A</v>
      </c>
      <c r="CE569" t="e">
        <f t="shared" si="211"/>
        <v>#N/A</v>
      </c>
      <c r="CG569" t="e">
        <v>#N/A</v>
      </c>
      <c r="CH569" t="e">
        <v>#N/A</v>
      </c>
      <c r="CL569" t="e">
        <f t="shared" si="212"/>
        <v>#N/A</v>
      </c>
      <c r="CM569" t="e">
        <v>#N/A</v>
      </c>
      <c r="CN569" t="e" cm="1">
        <f t="array" ref="CN569">IF(ISNUMBER(CM569),AF569/COUNT(IF(ISNUMBER(_xlfn.ANCHORARRAY($CM$11)),_xlfn.ANCHORARRAY($CM$11))),NA())</f>
        <v>#N/A</v>
      </c>
      <c r="CO569" t="e">
        <f t="shared" si="213"/>
        <v>#N/A</v>
      </c>
      <c r="CQ569" t="e">
        <f t="shared" si="214"/>
        <v>#N/A</v>
      </c>
      <c r="CR569" t="e">
        <f t="shared" si="215"/>
        <v>#N/A</v>
      </c>
      <c r="CT569" t="e">
        <v>#N/A</v>
      </c>
      <c r="CU569" t="e">
        <v>#N/A</v>
      </c>
      <c r="CY569" t="e">
        <f t="shared" si="216"/>
        <v>#N/A</v>
      </c>
      <c r="CZ569" t="e">
        <v>#N/A</v>
      </c>
      <c r="DA569" t="e" cm="1">
        <f t="array" ref="DA569">IF(ISNUMBER(CZ569),AF569/COUNT(IF(ISNUMBER(_xlfn.ANCHORARRAY($CZ$11)),_xlfn.ANCHORARRAY($CZ$11))),NA())</f>
        <v>#N/A</v>
      </c>
      <c r="DB569" t="e">
        <f t="shared" si="217"/>
        <v>#N/A</v>
      </c>
      <c r="DD569" t="e">
        <f t="shared" si="218"/>
        <v>#N/A</v>
      </c>
      <c r="DE569" t="e">
        <f t="shared" si="219"/>
        <v>#N/A</v>
      </c>
      <c r="DG569" t="e">
        <v>#N/A</v>
      </c>
      <c r="DH569" t="e">
        <v>#N/A</v>
      </c>
    </row>
    <row r="570" spans="32:112">
      <c r="AF570">
        <v>560</v>
      </c>
      <c r="AG570" s="401">
        <f>'Lab test'!N563</f>
        <v>25.4</v>
      </c>
      <c r="AH570" s="401">
        <f>'Lab test'!M563</f>
        <v>0.81279999999999997</v>
      </c>
      <c r="AI570" t="e">
        <f>IF('Lab test'!O563&gt;0,'Lab test'!O563,NA())</f>
        <v>#N/A</v>
      </c>
      <c r="AJ570">
        <f>'Lab test'!Q563</f>
        <v>31.1</v>
      </c>
      <c r="AK570" s="401">
        <f>IF('Lab test'!V563&gt;0,'Lab test'!V563,NA())</f>
        <v>73153.374740800005</v>
      </c>
      <c r="AL570" s="7">
        <f>IF(MAX('Lab test'!W563,'Lab test'!X563)&gt;0,MAX('Lab test'!W563,'Lab test'!X563),NA())</f>
        <v>272.37820995221847</v>
      </c>
      <c r="AM570" s="401" t="e">
        <f>IF('Lab test'!P563&gt;0,'Lab test'!P563,NA())</f>
        <v>#N/A</v>
      </c>
      <c r="AN570" s="401">
        <f>IF('Lab test'!AU563&gt;0,'Lab test'!AU563,NA())</f>
        <v>1.1719999999999999</v>
      </c>
      <c r="AO570" s="401">
        <f>IF('Lab test'!AT563&gt;0,'Lab test'!AT563,NA())</f>
        <v>0.22423702332197012</v>
      </c>
      <c r="AP570">
        <f t="shared" si="220"/>
        <v>1</v>
      </c>
      <c r="AQ570" s="401">
        <f>'Lab test'!AZ563</f>
        <v>1938</v>
      </c>
      <c r="AR570" t="str">
        <f>'Lab test'!AC563</f>
        <v>Tubes</v>
      </c>
      <c r="AS570" t="str">
        <f>'Lab test'!T563</f>
        <v>Aluminium</v>
      </c>
      <c r="AX570" t="e">
        <f t="shared" si="205"/>
        <v>#N/A</v>
      </c>
      <c r="AY570" t="e">
        <f t="shared" si="221"/>
        <v>#N/A</v>
      </c>
      <c r="AZ570" t="e">
        <f t="shared" si="224"/>
        <v>#N/A</v>
      </c>
      <c r="BA570" t="e">
        <f t="shared" si="224"/>
        <v>#N/A</v>
      </c>
      <c r="BB570" t="e">
        <f t="shared" si="224"/>
        <v>#N/A</v>
      </c>
      <c r="BC570" t="e">
        <f t="shared" si="224"/>
        <v>#N/A</v>
      </c>
      <c r="BD570" t="e">
        <f t="shared" si="224"/>
        <v>#N/A</v>
      </c>
      <c r="BG570" t="e">
        <f t="shared" si="206"/>
        <v>#N/A</v>
      </c>
      <c r="BH570" t="e">
        <f t="shared" si="222"/>
        <v>#N/A</v>
      </c>
      <c r="BI570" t="e">
        <f t="shared" si="225"/>
        <v>#N/A</v>
      </c>
      <c r="BJ570" t="e">
        <f t="shared" si="225"/>
        <v>#N/A</v>
      </c>
      <c r="BK570" t="e">
        <f t="shared" si="225"/>
        <v>#N/A</v>
      </c>
      <c r="BL570" t="e">
        <f t="shared" si="225"/>
        <v>#N/A</v>
      </c>
      <c r="BM570" t="e">
        <f t="shared" si="225"/>
        <v>#N/A</v>
      </c>
      <c r="BP570" t="e">
        <f t="shared" si="207"/>
        <v>#N/A</v>
      </c>
      <c r="BQ570" t="e">
        <f t="shared" si="223"/>
        <v>#N/A</v>
      </c>
      <c r="BR570" t="e">
        <f t="shared" si="226"/>
        <v>#N/A</v>
      </c>
      <c r="BS570" t="e">
        <f t="shared" si="226"/>
        <v>#N/A</v>
      </c>
      <c r="BT570" t="e">
        <f t="shared" si="226"/>
        <v>#N/A</v>
      </c>
      <c r="BU570" t="e">
        <f t="shared" si="226"/>
        <v>#N/A</v>
      </c>
      <c r="BV570" t="e">
        <f t="shared" si="226"/>
        <v>#N/A</v>
      </c>
      <c r="BY570" t="e">
        <f t="shared" si="208"/>
        <v>#N/A</v>
      </c>
      <c r="BZ570" t="e">
        <v>#N/A</v>
      </c>
      <c r="CA570" t="e" cm="1">
        <f t="array" ref="CA570">IF(ISNUMBER(BZ570),AF570/COUNT(IF(ISNUMBER(_xlfn.ANCHORARRAY($BZ$11)),_xlfn.ANCHORARRAY($BZ$11))),NA())</f>
        <v>#N/A</v>
      </c>
      <c r="CB570" t="e">
        <f t="shared" si="209"/>
        <v>#N/A</v>
      </c>
      <c r="CD570" t="e">
        <f t="shared" si="210"/>
        <v>#N/A</v>
      </c>
      <c r="CE570" t="e">
        <f t="shared" si="211"/>
        <v>#N/A</v>
      </c>
      <c r="CG570" t="e">
        <v>#N/A</v>
      </c>
      <c r="CH570" t="e">
        <v>#N/A</v>
      </c>
      <c r="CL570" t="e">
        <f t="shared" si="212"/>
        <v>#N/A</v>
      </c>
      <c r="CM570" t="e">
        <v>#N/A</v>
      </c>
      <c r="CN570" t="e" cm="1">
        <f t="array" ref="CN570">IF(ISNUMBER(CM570),AF570/COUNT(IF(ISNUMBER(_xlfn.ANCHORARRAY($CM$11)),_xlfn.ANCHORARRAY($CM$11))),NA())</f>
        <v>#N/A</v>
      </c>
      <c r="CO570" t="e">
        <f t="shared" si="213"/>
        <v>#N/A</v>
      </c>
      <c r="CQ570" t="e">
        <f t="shared" si="214"/>
        <v>#N/A</v>
      </c>
      <c r="CR570" t="e">
        <f t="shared" si="215"/>
        <v>#N/A</v>
      </c>
      <c r="CT570" t="e">
        <v>#N/A</v>
      </c>
      <c r="CU570" t="e">
        <v>#N/A</v>
      </c>
      <c r="CY570" t="e">
        <f t="shared" si="216"/>
        <v>#N/A</v>
      </c>
      <c r="CZ570" t="e">
        <v>#N/A</v>
      </c>
      <c r="DA570" t="e" cm="1">
        <f t="array" ref="DA570">IF(ISNUMBER(CZ570),AF570/COUNT(IF(ISNUMBER(_xlfn.ANCHORARRAY($CZ$11)),_xlfn.ANCHORARRAY($CZ$11))),NA())</f>
        <v>#N/A</v>
      </c>
      <c r="DB570" t="e">
        <f t="shared" si="217"/>
        <v>#N/A</v>
      </c>
      <c r="DD570" t="e">
        <f t="shared" si="218"/>
        <v>#N/A</v>
      </c>
      <c r="DE570" t="e">
        <f t="shared" si="219"/>
        <v>#N/A</v>
      </c>
      <c r="DG570" t="e">
        <v>#N/A</v>
      </c>
      <c r="DH570" t="e">
        <v>#N/A</v>
      </c>
    </row>
    <row r="571" spans="32:112">
      <c r="AF571">
        <v>561</v>
      </c>
      <c r="AG571" s="401">
        <f>'Lab test'!N564</f>
        <v>25.4</v>
      </c>
      <c r="AH571" s="401">
        <f>'Lab test'!M564</f>
        <v>0.81279999999999997</v>
      </c>
      <c r="AI571" t="e">
        <f>IF('Lab test'!O564&gt;0,'Lab test'!O564,NA())</f>
        <v>#N/A</v>
      </c>
      <c r="AJ571">
        <f>'Lab test'!Q564</f>
        <v>31.85</v>
      </c>
      <c r="AK571" s="401">
        <f>IF('Lab test'!V564&gt;0,'Lab test'!V564,NA())</f>
        <v>73153.374740800005</v>
      </c>
      <c r="AL571" s="7">
        <f>IF(MAX('Lab test'!W564,'Lab test'!X564)&gt;0,MAX('Lab test'!W564,'Lab test'!X564),NA())</f>
        <v>285.42488652576418</v>
      </c>
      <c r="AM571" s="401" t="e">
        <f>IF('Lab test'!P564&gt;0,'Lab test'!P564,NA())</f>
        <v>#N/A</v>
      </c>
      <c r="AN571" s="401">
        <f>IF('Lab test'!AU564&gt;0,'Lab test'!AU564,NA())</f>
        <v>1.145</v>
      </c>
      <c r="AO571" s="401">
        <f>IF('Lab test'!AT564&gt;0,'Lab test'!AT564,NA())</f>
        <v>0.23510058943069806</v>
      </c>
      <c r="AP571">
        <f t="shared" si="220"/>
        <v>1</v>
      </c>
      <c r="AQ571" s="401">
        <f>'Lab test'!AZ564</f>
        <v>1938</v>
      </c>
      <c r="AR571" t="str">
        <f>'Lab test'!AC564</f>
        <v>Tubes</v>
      </c>
      <c r="AS571" t="str">
        <f>'Lab test'!T564</f>
        <v>Aluminium</v>
      </c>
      <c r="AX571" t="e">
        <f t="shared" si="205"/>
        <v>#N/A</v>
      </c>
      <c r="AY571" t="e">
        <f t="shared" si="221"/>
        <v>#N/A</v>
      </c>
      <c r="AZ571" t="e">
        <f t="shared" si="224"/>
        <v>#N/A</v>
      </c>
      <c r="BA571" t="e">
        <f t="shared" si="224"/>
        <v>#N/A</v>
      </c>
      <c r="BB571" t="e">
        <f t="shared" si="224"/>
        <v>#N/A</v>
      </c>
      <c r="BC571" t="e">
        <f t="shared" si="224"/>
        <v>#N/A</v>
      </c>
      <c r="BD571" t="e">
        <f t="shared" si="224"/>
        <v>#N/A</v>
      </c>
      <c r="BG571" t="e">
        <f t="shared" si="206"/>
        <v>#N/A</v>
      </c>
      <c r="BH571" t="e">
        <f t="shared" si="222"/>
        <v>#N/A</v>
      </c>
      <c r="BI571" t="e">
        <f t="shared" si="225"/>
        <v>#N/A</v>
      </c>
      <c r="BJ571" t="e">
        <f t="shared" si="225"/>
        <v>#N/A</v>
      </c>
      <c r="BK571" t="e">
        <f t="shared" si="225"/>
        <v>#N/A</v>
      </c>
      <c r="BL571" t="e">
        <f t="shared" si="225"/>
        <v>#N/A</v>
      </c>
      <c r="BM571" t="e">
        <f t="shared" si="225"/>
        <v>#N/A</v>
      </c>
      <c r="BP571" t="e">
        <f t="shared" si="207"/>
        <v>#N/A</v>
      </c>
      <c r="BQ571" t="e">
        <f t="shared" si="223"/>
        <v>#N/A</v>
      </c>
      <c r="BR571" t="e">
        <f t="shared" si="226"/>
        <v>#N/A</v>
      </c>
      <c r="BS571" t="e">
        <f t="shared" si="226"/>
        <v>#N/A</v>
      </c>
      <c r="BT571" t="e">
        <f t="shared" si="226"/>
        <v>#N/A</v>
      </c>
      <c r="BU571" t="e">
        <f t="shared" si="226"/>
        <v>#N/A</v>
      </c>
      <c r="BV571" t="e">
        <f t="shared" si="226"/>
        <v>#N/A</v>
      </c>
      <c r="BY571" t="e">
        <f t="shared" si="208"/>
        <v>#N/A</v>
      </c>
      <c r="BZ571" t="e">
        <v>#N/A</v>
      </c>
      <c r="CA571" t="e" cm="1">
        <f t="array" ref="CA571">IF(ISNUMBER(BZ571),AF571/COUNT(IF(ISNUMBER(_xlfn.ANCHORARRAY($BZ$11)),_xlfn.ANCHORARRAY($BZ$11))),NA())</f>
        <v>#N/A</v>
      </c>
      <c r="CB571" t="e">
        <f t="shared" si="209"/>
        <v>#N/A</v>
      </c>
      <c r="CD571" t="e">
        <f t="shared" si="210"/>
        <v>#N/A</v>
      </c>
      <c r="CE571" t="e">
        <f t="shared" si="211"/>
        <v>#N/A</v>
      </c>
      <c r="CG571" t="e">
        <v>#N/A</v>
      </c>
      <c r="CH571" t="e">
        <v>#N/A</v>
      </c>
      <c r="CL571" t="e">
        <f t="shared" si="212"/>
        <v>#N/A</v>
      </c>
      <c r="CM571" t="e">
        <v>#N/A</v>
      </c>
      <c r="CN571" t="e" cm="1">
        <f t="array" ref="CN571">IF(ISNUMBER(CM571),AF571/COUNT(IF(ISNUMBER(_xlfn.ANCHORARRAY($CM$11)),_xlfn.ANCHORARRAY($CM$11))),NA())</f>
        <v>#N/A</v>
      </c>
      <c r="CO571" t="e">
        <f t="shared" si="213"/>
        <v>#N/A</v>
      </c>
      <c r="CQ571" t="e">
        <f t="shared" si="214"/>
        <v>#N/A</v>
      </c>
      <c r="CR571" t="e">
        <f t="shared" si="215"/>
        <v>#N/A</v>
      </c>
      <c r="CT571" t="e">
        <v>#N/A</v>
      </c>
      <c r="CU571" t="e">
        <v>#N/A</v>
      </c>
      <c r="CY571" t="e">
        <f t="shared" si="216"/>
        <v>#N/A</v>
      </c>
      <c r="CZ571" t="e">
        <v>#N/A</v>
      </c>
      <c r="DA571" t="e" cm="1">
        <f t="array" ref="DA571">IF(ISNUMBER(CZ571),AF571/COUNT(IF(ISNUMBER(_xlfn.ANCHORARRAY($CZ$11)),_xlfn.ANCHORARRAY($CZ$11))),NA())</f>
        <v>#N/A</v>
      </c>
      <c r="DB571" t="e">
        <f t="shared" si="217"/>
        <v>#N/A</v>
      </c>
      <c r="DD571" t="e">
        <f t="shared" si="218"/>
        <v>#N/A</v>
      </c>
      <c r="DE571" t="e">
        <f t="shared" si="219"/>
        <v>#N/A</v>
      </c>
      <c r="DG571" t="e">
        <v>#N/A</v>
      </c>
      <c r="DH571" t="e">
        <v>#N/A</v>
      </c>
    </row>
    <row r="572" spans="32:112">
      <c r="AF572">
        <v>562</v>
      </c>
      <c r="AG572" s="401">
        <f>'Lab test'!N565</f>
        <v>25.4</v>
      </c>
      <c r="AH572" s="401">
        <f>'Lab test'!M565</f>
        <v>0.81279999999999997</v>
      </c>
      <c r="AI572" t="e">
        <f>IF('Lab test'!O565&gt;0,'Lab test'!O565,NA())</f>
        <v>#N/A</v>
      </c>
      <c r="AJ572">
        <f>'Lab test'!Q565</f>
        <v>31.85</v>
      </c>
      <c r="AK572" s="401">
        <f>IF('Lab test'!V565&gt;0,'Lab test'!V565,NA())</f>
        <v>73153.374740800005</v>
      </c>
      <c r="AL572" s="7">
        <f>IF(MAX('Lab test'!W565,'Lab test'!X565)&gt;0,MAX('Lab test'!W565,'Lab test'!X565),NA())</f>
        <v>284.00840680105171</v>
      </c>
      <c r="AM572" s="401" t="e">
        <f>IF('Lab test'!P565&gt;0,'Lab test'!P565,NA())</f>
        <v>#N/A</v>
      </c>
      <c r="AN572" s="401">
        <f>IF('Lab test'!AU565&gt;0,'Lab test'!AU565,NA())</f>
        <v>1.141</v>
      </c>
      <c r="AO572" s="401">
        <f>IF('Lab test'!AT565&gt;0,'Lab test'!AT565,NA())</f>
        <v>0.2331166182118736</v>
      </c>
      <c r="AP572">
        <f t="shared" si="220"/>
        <v>1</v>
      </c>
      <c r="AQ572" s="401">
        <f>'Lab test'!AZ565</f>
        <v>1938</v>
      </c>
      <c r="AR572" t="str">
        <f>'Lab test'!AC565</f>
        <v>Tubes</v>
      </c>
      <c r="AS572" t="str">
        <f>'Lab test'!T565</f>
        <v>Aluminium</v>
      </c>
      <c r="AX572" t="e">
        <f t="shared" si="205"/>
        <v>#N/A</v>
      </c>
      <c r="AY572" t="e">
        <f t="shared" si="221"/>
        <v>#N/A</v>
      </c>
      <c r="AZ572" t="e">
        <f t="shared" si="224"/>
        <v>#N/A</v>
      </c>
      <c r="BA572" t="e">
        <f t="shared" si="224"/>
        <v>#N/A</v>
      </c>
      <c r="BB572" t="e">
        <f t="shared" si="224"/>
        <v>#N/A</v>
      </c>
      <c r="BC572" t="e">
        <f t="shared" si="224"/>
        <v>#N/A</v>
      </c>
      <c r="BD572" t="e">
        <f t="shared" si="224"/>
        <v>#N/A</v>
      </c>
      <c r="BG572" t="e">
        <f t="shared" si="206"/>
        <v>#N/A</v>
      </c>
      <c r="BH572" t="e">
        <f t="shared" si="222"/>
        <v>#N/A</v>
      </c>
      <c r="BI572" t="e">
        <f t="shared" si="225"/>
        <v>#N/A</v>
      </c>
      <c r="BJ572" t="e">
        <f t="shared" si="225"/>
        <v>#N/A</v>
      </c>
      <c r="BK572" t="e">
        <f t="shared" si="225"/>
        <v>#N/A</v>
      </c>
      <c r="BL572" t="e">
        <f t="shared" si="225"/>
        <v>#N/A</v>
      </c>
      <c r="BM572" t="e">
        <f t="shared" si="225"/>
        <v>#N/A</v>
      </c>
      <c r="BP572" t="e">
        <f t="shared" si="207"/>
        <v>#N/A</v>
      </c>
      <c r="BQ572" t="e">
        <f t="shared" si="223"/>
        <v>#N/A</v>
      </c>
      <c r="BR572" t="e">
        <f t="shared" si="226"/>
        <v>#N/A</v>
      </c>
      <c r="BS572" t="e">
        <f t="shared" si="226"/>
        <v>#N/A</v>
      </c>
      <c r="BT572" t="e">
        <f t="shared" si="226"/>
        <v>#N/A</v>
      </c>
      <c r="BU572" t="e">
        <f t="shared" si="226"/>
        <v>#N/A</v>
      </c>
      <c r="BV572" t="e">
        <f t="shared" si="226"/>
        <v>#N/A</v>
      </c>
      <c r="BY572" t="e">
        <f t="shared" si="208"/>
        <v>#N/A</v>
      </c>
      <c r="BZ572" t="e">
        <v>#N/A</v>
      </c>
      <c r="CA572" t="e" cm="1">
        <f t="array" ref="CA572">IF(ISNUMBER(BZ572),AF572/COUNT(IF(ISNUMBER(_xlfn.ANCHORARRAY($BZ$11)),_xlfn.ANCHORARRAY($BZ$11))),NA())</f>
        <v>#N/A</v>
      </c>
      <c r="CB572" t="e">
        <f t="shared" si="209"/>
        <v>#N/A</v>
      </c>
      <c r="CD572" t="e">
        <f t="shared" si="210"/>
        <v>#N/A</v>
      </c>
      <c r="CE572" t="e">
        <f t="shared" si="211"/>
        <v>#N/A</v>
      </c>
      <c r="CG572" t="e">
        <v>#N/A</v>
      </c>
      <c r="CH572" t="e">
        <v>#N/A</v>
      </c>
      <c r="CL572" t="e">
        <f t="shared" si="212"/>
        <v>#N/A</v>
      </c>
      <c r="CM572" t="e">
        <v>#N/A</v>
      </c>
      <c r="CN572" t="e" cm="1">
        <f t="array" ref="CN572">IF(ISNUMBER(CM572),AF572/COUNT(IF(ISNUMBER(_xlfn.ANCHORARRAY($CM$11)),_xlfn.ANCHORARRAY($CM$11))),NA())</f>
        <v>#N/A</v>
      </c>
      <c r="CO572" t="e">
        <f t="shared" si="213"/>
        <v>#N/A</v>
      </c>
      <c r="CQ572" t="e">
        <f t="shared" si="214"/>
        <v>#N/A</v>
      </c>
      <c r="CR572" t="e">
        <f t="shared" si="215"/>
        <v>#N/A</v>
      </c>
      <c r="CT572" t="e">
        <v>#N/A</v>
      </c>
      <c r="CU572" t="e">
        <v>#N/A</v>
      </c>
      <c r="CY572" t="e">
        <f t="shared" si="216"/>
        <v>#N/A</v>
      </c>
      <c r="CZ572" t="e">
        <v>#N/A</v>
      </c>
      <c r="DA572" t="e" cm="1">
        <f t="array" ref="DA572">IF(ISNUMBER(CZ572),AF572/COUNT(IF(ISNUMBER(_xlfn.ANCHORARRAY($CZ$11)),_xlfn.ANCHORARRAY($CZ$11))),NA())</f>
        <v>#N/A</v>
      </c>
      <c r="DB572" t="e">
        <f t="shared" si="217"/>
        <v>#N/A</v>
      </c>
      <c r="DD572" t="e">
        <f t="shared" si="218"/>
        <v>#N/A</v>
      </c>
      <c r="DE572" t="e">
        <f t="shared" si="219"/>
        <v>#N/A</v>
      </c>
      <c r="DG572" t="e">
        <v>#N/A</v>
      </c>
      <c r="DH572" t="e">
        <v>#N/A</v>
      </c>
    </row>
    <row r="573" spans="32:112">
      <c r="AF573">
        <v>563</v>
      </c>
      <c r="AG573" s="401">
        <f>'Lab test'!N566</f>
        <v>25.4</v>
      </c>
      <c r="AH573" s="401">
        <f>'Lab test'!M566</f>
        <v>0.63500000000000001</v>
      </c>
      <c r="AI573" t="e">
        <f>IF('Lab test'!O566&gt;0,'Lab test'!O566,NA())</f>
        <v>#N/A</v>
      </c>
      <c r="AJ573">
        <f>'Lab test'!Q566</f>
        <v>39.049999999999997</v>
      </c>
      <c r="AK573" s="401">
        <f>IF('Lab test'!V566&gt;0,'Lab test'!V566,NA())</f>
        <v>73153.374740800005</v>
      </c>
      <c r="AL573" s="7">
        <f>IF(MAX('Lab test'!W566,'Lab test'!X566)&gt;0,MAX('Lab test'!W566,'Lab test'!X566),NA())</f>
        <v>289.60637515221583</v>
      </c>
      <c r="AM573" s="401" t="e">
        <f>IF('Lab test'!P566&gt;0,'Lab test'!P566,NA())</f>
        <v>#N/A</v>
      </c>
      <c r="AN573" s="401">
        <f>IF('Lab test'!AU566&gt;0,'Lab test'!AU566,NA())</f>
        <v>1.038</v>
      </c>
      <c r="AO573" s="401">
        <f>IF('Lab test'!AT566&gt;0,'Lab test'!AT566,NA())</f>
        <v>0.26513891034114151</v>
      </c>
      <c r="AP573">
        <f t="shared" si="220"/>
        <v>1</v>
      </c>
      <c r="AQ573" s="401">
        <f>'Lab test'!AZ566</f>
        <v>1938</v>
      </c>
      <c r="AR573" t="str">
        <f>'Lab test'!AC566</f>
        <v>Tubes</v>
      </c>
      <c r="AS573" t="str">
        <f>'Lab test'!T566</f>
        <v>Aluminium</v>
      </c>
      <c r="AX573" t="e">
        <f t="shared" si="205"/>
        <v>#N/A</v>
      </c>
      <c r="AY573" t="e">
        <f t="shared" si="221"/>
        <v>#N/A</v>
      </c>
      <c r="AZ573" t="e">
        <f t="shared" si="224"/>
        <v>#N/A</v>
      </c>
      <c r="BA573" t="e">
        <f t="shared" si="224"/>
        <v>#N/A</v>
      </c>
      <c r="BB573" t="e">
        <f t="shared" si="224"/>
        <v>#N/A</v>
      </c>
      <c r="BC573" t="e">
        <f t="shared" si="224"/>
        <v>#N/A</v>
      </c>
      <c r="BD573" t="e">
        <f t="shared" si="224"/>
        <v>#N/A</v>
      </c>
      <c r="BG573" t="e">
        <f t="shared" si="206"/>
        <v>#N/A</v>
      </c>
      <c r="BH573" t="e">
        <f t="shared" si="222"/>
        <v>#N/A</v>
      </c>
      <c r="BI573" t="e">
        <f t="shared" si="225"/>
        <v>#N/A</v>
      </c>
      <c r="BJ573" t="e">
        <f t="shared" si="225"/>
        <v>#N/A</v>
      </c>
      <c r="BK573" t="e">
        <f t="shared" si="225"/>
        <v>#N/A</v>
      </c>
      <c r="BL573" t="e">
        <f t="shared" si="225"/>
        <v>#N/A</v>
      </c>
      <c r="BM573" t="e">
        <f t="shared" si="225"/>
        <v>#N/A</v>
      </c>
      <c r="BP573" t="e">
        <f t="shared" si="207"/>
        <v>#N/A</v>
      </c>
      <c r="BQ573" t="e">
        <f t="shared" si="223"/>
        <v>#N/A</v>
      </c>
      <c r="BR573" t="e">
        <f t="shared" si="226"/>
        <v>#N/A</v>
      </c>
      <c r="BS573" t="e">
        <f t="shared" si="226"/>
        <v>#N/A</v>
      </c>
      <c r="BT573" t="e">
        <f t="shared" si="226"/>
        <v>#N/A</v>
      </c>
      <c r="BU573" t="e">
        <f t="shared" si="226"/>
        <v>#N/A</v>
      </c>
      <c r="BV573" t="e">
        <f t="shared" si="226"/>
        <v>#N/A</v>
      </c>
      <c r="BY573" t="e">
        <f t="shared" si="208"/>
        <v>#N/A</v>
      </c>
      <c r="BZ573" t="e">
        <v>#N/A</v>
      </c>
      <c r="CA573" t="e" cm="1">
        <f t="array" ref="CA573">IF(ISNUMBER(BZ573),AF573/COUNT(IF(ISNUMBER(_xlfn.ANCHORARRAY($BZ$11)),_xlfn.ANCHORARRAY($BZ$11))),NA())</f>
        <v>#N/A</v>
      </c>
      <c r="CB573" t="e">
        <f t="shared" si="209"/>
        <v>#N/A</v>
      </c>
      <c r="CD573" t="e">
        <f t="shared" si="210"/>
        <v>#N/A</v>
      </c>
      <c r="CE573" t="e">
        <f t="shared" si="211"/>
        <v>#N/A</v>
      </c>
      <c r="CG573" t="e">
        <v>#N/A</v>
      </c>
      <c r="CH573" t="e">
        <v>#N/A</v>
      </c>
      <c r="CL573" t="e">
        <f t="shared" si="212"/>
        <v>#N/A</v>
      </c>
      <c r="CM573" t="e">
        <v>#N/A</v>
      </c>
      <c r="CN573" t="e" cm="1">
        <f t="array" ref="CN573">IF(ISNUMBER(CM573),AF573/COUNT(IF(ISNUMBER(_xlfn.ANCHORARRAY($CM$11)),_xlfn.ANCHORARRAY($CM$11))),NA())</f>
        <v>#N/A</v>
      </c>
      <c r="CO573" t="e">
        <f t="shared" si="213"/>
        <v>#N/A</v>
      </c>
      <c r="CQ573" t="e">
        <f t="shared" si="214"/>
        <v>#N/A</v>
      </c>
      <c r="CR573" t="e">
        <f t="shared" si="215"/>
        <v>#N/A</v>
      </c>
      <c r="CT573" t="e">
        <v>#N/A</v>
      </c>
      <c r="CU573" t="e">
        <v>#N/A</v>
      </c>
      <c r="CY573" t="e">
        <f t="shared" si="216"/>
        <v>#N/A</v>
      </c>
      <c r="CZ573" t="e">
        <v>#N/A</v>
      </c>
      <c r="DA573" t="e" cm="1">
        <f t="array" ref="DA573">IF(ISNUMBER(CZ573),AF573/COUNT(IF(ISNUMBER(_xlfn.ANCHORARRAY($CZ$11)),_xlfn.ANCHORARRAY($CZ$11))),NA())</f>
        <v>#N/A</v>
      </c>
      <c r="DB573" t="e">
        <f t="shared" si="217"/>
        <v>#N/A</v>
      </c>
      <c r="DD573" t="e">
        <f t="shared" si="218"/>
        <v>#N/A</v>
      </c>
      <c r="DE573" t="e">
        <f t="shared" si="219"/>
        <v>#N/A</v>
      </c>
      <c r="DG573" t="e">
        <v>#N/A</v>
      </c>
      <c r="DH573" t="e">
        <v>#N/A</v>
      </c>
    </row>
    <row r="574" spans="32:112">
      <c r="AF574">
        <v>564</v>
      </c>
      <c r="AG574" s="401">
        <f>'Lab test'!N567</f>
        <v>25.4</v>
      </c>
      <c r="AH574" s="401">
        <f>'Lab test'!M567</f>
        <v>0.63500000000000001</v>
      </c>
      <c r="AI574" t="e">
        <f>IF('Lab test'!O567&gt;0,'Lab test'!O567,NA())</f>
        <v>#N/A</v>
      </c>
      <c r="AJ574">
        <f>'Lab test'!Q567</f>
        <v>39.200000000000003</v>
      </c>
      <c r="AK574" s="401">
        <f>IF('Lab test'!V567&gt;0,'Lab test'!V567,NA())</f>
        <v>73153.374740800005</v>
      </c>
      <c r="AL574" s="7">
        <f>IF(MAX('Lab test'!W567,'Lab test'!X567)&gt;0,MAX('Lab test'!W567,'Lab test'!X567),NA())</f>
        <v>290.84267527104532</v>
      </c>
      <c r="AM574" s="401" t="e">
        <f>IF('Lab test'!P567&gt;0,'Lab test'!P567,NA())</f>
        <v>#N/A</v>
      </c>
      <c r="AN574" s="401">
        <f>IF('Lab test'!AU567&gt;0,'Lab test'!AU567,NA())</f>
        <v>1.081</v>
      </c>
      <c r="AO574" s="401">
        <f>IF('Lab test'!AT567&gt;0,'Lab test'!AT567,NA())</f>
        <v>0.2783664233181391</v>
      </c>
      <c r="AP574">
        <f t="shared" si="220"/>
        <v>1</v>
      </c>
      <c r="AQ574" s="401">
        <f>'Lab test'!AZ567</f>
        <v>1938</v>
      </c>
      <c r="AR574" t="str">
        <f>'Lab test'!AC567</f>
        <v>Tubes</v>
      </c>
      <c r="AS574" t="str">
        <f>'Lab test'!T567</f>
        <v>Aluminium</v>
      </c>
      <c r="AX574" t="e">
        <f t="shared" si="205"/>
        <v>#N/A</v>
      </c>
      <c r="AY574" t="e">
        <f t="shared" si="221"/>
        <v>#N/A</v>
      </c>
      <c r="AZ574" t="e">
        <f t="shared" si="224"/>
        <v>#N/A</v>
      </c>
      <c r="BA574" t="e">
        <f t="shared" si="224"/>
        <v>#N/A</v>
      </c>
      <c r="BB574" t="e">
        <f t="shared" si="224"/>
        <v>#N/A</v>
      </c>
      <c r="BC574" t="e">
        <f t="shared" si="224"/>
        <v>#N/A</v>
      </c>
      <c r="BD574" t="e">
        <f t="shared" si="224"/>
        <v>#N/A</v>
      </c>
      <c r="BG574" t="e">
        <f t="shared" si="206"/>
        <v>#N/A</v>
      </c>
      <c r="BH574" t="e">
        <f t="shared" si="222"/>
        <v>#N/A</v>
      </c>
      <c r="BI574" t="e">
        <f t="shared" si="225"/>
        <v>#N/A</v>
      </c>
      <c r="BJ574" t="e">
        <f t="shared" si="225"/>
        <v>#N/A</v>
      </c>
      <c r="BK574" t="e">
        <f t="shared" si="225"/>
        <v>#N/A</v>
      </c>
      <c r="BL574" t="e">
        <f t="shared" si="225"/>
        <v>#N/A</v>
      </c>
      <c r="BM574" t="e">
        <f t="shared" si="225"/>
        <v>#N/A</v>
      </c>
      <c r="BP574" t="e">
        <f t="shared" si="207"/>
        <v>#N/A</v>
      </c>
      <c r="BQ574" t="e">
        <f t="shared" si="223"/>
        <v>#N/A</v>
      </c>
      <c r="BR574" t="e">
        <f t="shared" si="226"/>
        <v>#N/A</v>
      </c>
      <c r="BS574" t="e">
        <f t="shared" si="226"/>
        <v>#N/A</v>
      </c>
      <c r="BT574" t="e">
        <f t="shared" si="226"/>
        <v>#N/A</v>
      </c>
      <c r="BU574" t="e">
        <f t="shared" si="226"/>
        <v>#N/A</v>
      </c>
      <c r="BV574" t="e">
        <f t="shared" si="226"/>
        <v>#N/A</v>
      </c>
      <c r="BY574" t="e">
        <f t="shared" si="208"/>
        <v>#N/A</v>
      </c>
      <c r="BZ574" t="e">
        <v>#N/A</v>
      </c>
      <c r="CA574" t="e" cm="1">
        <f t="array" ref="CA574">IF(ISNUMBER(BZ574),AF574/COUNT(IF(ISNUMBER(_xlfn.ANCHORARRAY($BZ$11)),_xlfn.ANCHORARRAY($BZ$11))),NA())</f>
        <v>#N/A</v>
      </c>
      <c r="CB574" t="e">
        <f t="shared" si="209"/>
        <v>#N/A</v>
      </c>
      <c r="CD574" t="e">
        <f t="shared" si="210"/>
        <v>#N/A</v>
      </c>
      <c r="CE574" t="e">
        <f t="shared" si="211"/>
        <v>#N/A</v>
      </c>
      <c r="CG574" t="e">
        <v>#N/A</v>
      </c>
      <c r="CH574" t="e">
        <v>#N/A</v>
      </c>
      <c r="CL574" t="e">
        <f t="shared" si="212"/>
        <v>#N/A</v>
      </c>
      <c r="CM574" t="e">
        <v>#N/A</v>
      </c>
      <c r="CN574" t="e" cm="1">
        <f t="array" ref="CN574">IF(ISNUMBER(CM574),AF574/COUNT(IF(ISNUMBER(_xlfn.ANCHORARRAY($CM$11)),_xlfn.ANCHORARRAY($CM$11))),NA())</f>
        <v>#N/A</v>
      </c>
      <c r="CO574" t="e">
        <f t="shared" si="213"/>
        <v>#N/A</v>
      </c>
      <c r="CQ574" t="e">
        <f t="shared" si="214"/>
        <v>#N/A</v>
      </c>
      <c r="CR574" t="e">
        <f t="shared" si="215"/>
        <v>#N/A</v>
      </c>
      <c r="CT574" t="e">
        <v>#N/A</v>
      </c>
      <c r="CU574" t="e">
        <v>#N/A</v>
      </c>
      <c r="CY574" t="e">
        <f t="shared" si="216"/>
        <v>#N/A</v>
      </c>
      <c r="CZ574" t="e">
        <v>#N/A</v>
      </c>
      <c r="DA574" t="e" cm="1">
        <f t="array" ref="DA574">IF(ISNUMBER(CZ574),AF574/COUNT(IF(ISNUMBER(_xlfn.ANCHORARRAY($CZ$11)),_xlfn.ANCHORARRAY($CZ$11))),NA())</f>
        <v>#N/A</v>
      </c>
      <c r="DB574" t="e">
        <f t="shared" si="217"/>
        <v>#N/A</v>
      </c>
      <c r="DD574" t="e">
        <f t="shared" si="218"/>
        <v>#N/A</v>
      </c>
      <c r="DE574" t="e">
        <f t="shared" si="219"/>
        <v>#N/A</v>
      </c>
      <c r="DG574" t="e">
        <v>#N/A</v>
      </c>
      <c r="DH574" t="e">
        <v>#N/A</v>
      </c>
    </row>
    <row r="575" spans="32:112">
      <c r="AF575">
        <v>565</v>
      </c>
      <c r="AG575" s="401">
        <f>'Lab test'!N568</f>
        <v>25.4</v>
      </c>
      <c r="AH575" s="401">
        <f>'Lab test'!M568</f>
        <v>0.63500000000000001</v>
      </c>
      <c r="AI575" t="e">
        <f>IF('Lab test'!O568&gt;0,'Lab test'!O568,NA())</f>
        <v>#N/A</v>
      </c>
      <c r="AJ575">
        <f>'Lab test'!Q568</f>
        <v>39.6</v>
      </c>
      <c r="AK575" s="401">
        <f>IF('Lab test'!V568&gt;0,'Lab test'!V568,NA())</f>
        <v>73153.374740800005</v>
      </c>
      <c r="AL575" s="7">
        <f>IF(MAX('Lab test'!W568,'Lab test'!X568)&gt;0,MAX('Lab test'!W568,'Lab test'!X568),NA())</f>
        <v>281.01265018575293</v>
      </c>
      <c r="AM575" s="401" t="e">
        <f>IF('Lab test'!P568&gt;0,'Lab test'!P568,NA())</f>
        <v>#N/A</v>
      </c>
      <c r="AN575" s="401">
        <f>IF('Lab test'!AU568&gt;0,'Lab test'!AU568,NA())</f>
        <v>1.109</v>
      </c>
      <c r="AO575" s="401">
        <f>IF('Lab test'!AT568&gt;0,'Lab test'!AT568,NA())</f>
        <v>0.27874016985857697</v>
      </c>
      <c r="AP575">
        <f t="shared" si="220"/>
        <v>1</v>
      </c>
      <c r="AQ575" s="401">
        <f>'Lab test'!AZ568</f>
        <v>1938</v>
      </c>
      <c r="AR575" t="str">
        <f>'Lab test'!AC568</f>
        <v>Tubes</v>
      </c>
      <c r="AS575" t="str">
        <f>'Lab test'!T568</f>
        <v>Aluminium</v>
      </c>
      <c r="AX575" t="e">
        <f t="shared" si="205"/>
        <v>#N/A</v>
      </c>
      <c r="AY575" t="e">
        <f t="shared" si="221"/>
        <v>#N/A</v>
      </c>
      <c r="AZ575" t="e">
        <f t="shared" si="224"/>
        <v>#N/A</v>
      </c>
      <c r="BA575" t="e">
        <f t="shared" si="224"/>
        <v>#N/A</v>
      </c>
      <c r="BB575" t="e">
        <f t="shared" si="224"/>
        <v>#N/A</v>
      </c>
      <c r="BC575" t="e">
        <f t="shared" si="224"/>
        <v>#N/A</v>
      </c>
      <c r="BD575" t="e">
        <f t="shared" si="224"/>
        <v>#N/A</v>
      </c>
      <c r="BG575" t="e">
        <f t="shared" si="206"/>
        <v>#N/A</v>
      </c>
      <c r="BH575" t="e">
        <f t="shared" si="222"/>
        <v>#N/A</v>
      </c>
      <c r="BI575" t="e">
        <f t="shared" si="225"/>
        <v>#N/A</v>
      </c>
      <c r="BJ575" t="e">
        <f t="shared" si="225"/>
        <v>#N/A</v>
      </c>
      <c r="BK575" t="e">
        <f t="shared" si="225"/>
        <v>#N/A</v>
      </c>
      <c r="BL575" t="e">
        <f t="shared" si="225"/>
        <v>#N/A</v>
      </c>
      <c r="BM575" t="e">
        <f t="shared" si="225"/>
        <v>#N/A</v>
      </c>
      <c r="BP575" t="e">
        <f t="shared" si="207"/>
        <v>#N/A</v>
      </c>
      <c r="BQ575" t="e">
        <f t="shared" si="223"/>
        <v>#N/A</v>
      </c>
      <c r="BR575" t="e">
        <f t="shared" si="226"/>
        <v>#N/A</v>
      </c>
      <c r="BS575" t="e">
        <f t="shared" si="226"/>
        <v>#N/A</v>
      </c>
      <c r="BT575" t="e">
        <f t="shared" si="226"/>
        <v>#N/A</v>
      </c>
      <c r="BU575" t="e">
        <f t="shared" si="226"/>
        <v>#N/A</v>
      </c>
      <c r="BV575" t="e">
        <f t="shared" si="226"/>
        <v>#N/A</v>
      </c>
      <c r="BY575" t="e">
        <f t="shared" si="208"/>
        <v>#N/A</v>
      </c>
      <c r="BZ575" t="e">
        <v>#N/A</v>
      </c>
      <c r="CA575" t="e" cm="1">
        <f t="array" ref="CA575">IF(ISNUMBER(BZ575),AF575/COUNT(IF(ISNUMBER(_xlfn.ANCHORARRAY($BZ$11)),_xlfn.ANCHORARRAY($BZ$11))),NA())</f>
        <v>#N/A</v>
      </c>
      <c r="CB575" t="e">
        <f t="shared" si="209"/>
        <v>#N/A</v>
      </c>
      <c r="CD575" t="e">
        <f t="shared" si="210"/>
        <v>#N/A</v>
      </c>
      <c r="CE575" t="e">
        <f t="shared" si="211"/>
        <v>#N/A</v>
      </c>
      <c r="CG575" t="e">
        <v>#N/A</v>
      </c>
      <c r="CH575" t="e">
        <v>#N/A</v>
      </c>
      <c r="CL575" t="e">
        <f t="shared" si="212"/>
        <v>#N/A</v>
      </c>
      <c r="CM575" t="e">
        <v>#N/A</v>
      </c>
      <c r="CN575" t="e" cm="1">
        <f t="array" ref="CN575">IF(ISNUMBER(CM575),AF575/COUNT(IF(ISNUMBER(_xlfn.ANCHORARRAY($CM$11)),_xlfn.ANCHORARRAY($CM$11))),NA())</f>
        <v>#N/A</v>
      </c>
      <c r="CO575" t="e">
        <f t="shared" si="213"/>
        <v>#N/A</v>
      </c>
      <c r="CQ575" t="e">
        <f t="shared" si="214"/>
        <v>#N/A</v>
      </c>
      <c r="CR575" t="e">
        <f t="shared" si="215"/>
        <v>#N/A</v>
      </c>
      <c r="CT575" t="e">
        <v>#N/A</v>
      </c>
      <c r="CU575" t="e">
        <v>#N/A</v>
      </c>
      <c r="CY575" t="e">
        <f t="shared" si="216"/>
        <v>#N/A</v>
      </c>
      <c r="CZ575" t="e">
        <v>#N/A</v>
      </c>
      <c r="DA575" t="e" cm="1">
        <f t="array" ref="DA575">IF(ISNUMBER(CZ575),AF575/COUNT(IF(ISNUMBER(_xlfn.ANCHORARRAY($CZ$11)),_xlfn.ANCHORARRAY($CZ$11))),NA())</f>
        <v>#N/A</v>
      </c>
      <c r="DB575" t="e">
        <f t="shared" si="217"/>
        <v>#N/A</v>
      </c>
      <c r="DD575" t="e">
        <f t="shared" si="218"/>
        <v>#N/A</v>
      </c>
      <c r="DE575" t="e">
        <f t="shared" si="219"/>
        <v>#N/A</v>
      </c>
      <c r="DG575" t="e">
        <v>#N/A</v>
      </c>
      <c r="DH575" t="e">
        <v>#N/A</v>
      </c>
    </row>
    <row r="576" spans="32:112">
      <c r="AF576">
        <v>566</v>
      </c>
      <c r="AG576" s="401">
        <f>'Lab test'!N569</f>
        <v>25.4</v>
      </c>
      <c r="AH576" s="401">
        <f>'Lab test'!M569</f>
        <v>0.50800000000000001</v>
      </c>
      <c r="AI576" t="e">
        <f>IF('Lab test'!O569&gt;0,'Lab test'!O569,NA())</f>
        <v>#N/A</v>
      </c>
      <c r="AJ576">
        <f>'Lab test'!Q569</f>
        <v>48.95</v>
      </c>
      <c r="AK576" s="401">
        <f>IF('Lab test'!V569&gt;0,'Lab test'!V569,NA())</f>
        <v>73153.374740800005</v>
      </c>
      <c r="AL576" s="7">
        <f>IF(MAX('Lab test'!W569,'Lab test'!X569)&gt;0,MAX('Lab test'!W569,'Lab test'!X569),NA())</f>
        <v>290.63413484104626</v>
      </c>
      <c r="AM576" s="401" t="e">
        <f>IF('Lab test'!P569&gt;0,'Lab test'!P569,NA())</f>
        <v>#N/A</v>
      </c>
      <c r="AN576" s="401">
        <f>IF('Lab test'!AU569&gt;0,'Lab test'!AU569,NA())</f>
        <v>0.99399999999999999</v>
      </c>
      <c r="AO576" s="401">
        <f>IF('Lab test'!AT569&gt;0,'Lab test'!AT569,NA())</f>
        <v>0.31939834298783781</v>
      </c>
      <c r="AP576">
        <f t="shared" si="220"/>
        <v>1</v>
      </c>
      <c r="AQ576" s="401">
        <f>'Lab test'!AZ569</f>
        <v>1938</v>
      </c>
      <c r="AR576" t="str">
        <f>'Lab test'!AC569</f>
        <v>Tubes</v>
      </c>
      <c r="AS576" t="str">
        <f>'Lab test'!T569</f>
        <v>Aluminium</v>
      </c>
      <c r="AX576" t="e">
        <f t="shared" si="205"/>
        <v>#N/A</v>
      </c>
      <c r="AY576" t="e">
        <f t="shared" si="221"/>
        <v>#N/A</v>
      </c>
      <c r="AZ576" t="e">
        <f t="shared" si="224"/>
        <v>#N/A</v>
      </c>
      <c r="BA576" t="e">
        <f t="shared" si="224"/>
        <v>#N/A</v>
      </c>
      <c r="BB576" t="e">
        <f t="shared" si="224"/>
        <v>#N/A</v>
      </c>
      <c r="BC576" t="e">
        <f t="shared" si="224"/>
        <v>#N/A</v>
      </c>
      <c r="BD576" t="e">
        <f t="shared" si="224"/>
        <v>#N/A</v>
      </c>
      <c r="BG576" t="e">
        <f t="shared" si="206"/>
        <v>#N/A</v>
      </c>
      <c r="BH576" t="e">
        <f t="shared" si="222"/>
        <v>#N/A</v>
      </c>
      <c r="BI576" t="e">
        <f t="shared" si="225"/>
        <v>#N/A</v>
      </c>
      <c r="BJ576" t="e">
        <f t="shared" si="225"/>
        <v>#N/A</v>
      </c>
      <c r="BK576" t="e">
        <f t="shared" si="225"/>
        <v>#N/A</v>
      </c>
      <c r="BL576" t="e">
        <f t="shared" si="225"/>
        <v>#N/A</v>
      </c>
      <c r="BM576" t="e">
        <f t="shared" si="225"/>
        <v>#N/A</v>
      </c>
      <c r="BP576" t="e">
        <f t="shared" si="207"/>
        <v>#N/A</v>
      </c>
      <c r="BQ576" t="e">
        <f t="shared" si="223"/>
        <v>#N/A</v>
      </c>
      <c r="BR576" t="e">
        <f t="shared" si="226"/>
        <v>#N/A</v>
      </c>
      <c r="BS576" t="e">
        <f t="shared" si="226"/>
        <v>#N/A</v>
      </c>
      <c r="BT576" t="e">
        <f t="shared" si="226"/>
        <v>#N/A</v>
      </c>
      <c r="BU576" t="e">
        <f t="shared" si="226"/>
        <v>#N/A</v>
      </c>
      <c r="BV576" t="e">
        <f t="shared" si="226"/>
        <v>#N/A</v>
      </c>
      <c r="BY576" t="e">
        <f t="shared" si="208"/>
        <v>#N/A</v>
      </c>
      <c r="BZ576" t="e">
        <v>#N/A</v>
      </c>
      <c r="CA576" t="e" cm="1">
        <f t="array" ref="CA576">IF(ISNUMBER(BZ576),AF576/COUNT(IF(ISNUMBER(_xlfn.ANCHORARRAY($BZ$11)),_xlfn.ANCHORARRAY($BZ$11))),NA())</f>
        <v>#N/A</v>
      </c>
      <c r="CB576" t="e">
        <f t="shared" si="209"/>
        <v>#N/A</v>
      </c>
      <c r="CD576" t="e">
        <f t="shared" si="210"/>
        <v>#N/A</v>
      </c>
      <c r="CE576" t="e">
        <f t="shared" si="211"/>
        <v>#N/A</v>
      </c>
      <c r="CG576" t="e">
        <v>#N/A</v>
      </c>
      <c r="CH576" t="e">
        <v>#N/A</v>
      </c>
      <c r="CL576" t="e">
        <f t="shared" si="212"/>
        <v>#N/A</v>
      </c>
      <c r="CM576" t="e">
        <v>#N/A</v>
      </c>
      <c r="CN576" t="e" cm="1">
        <f t="array" ref="CN576">IF(ISNUMBER(CM576),AF576/COUNT(IF(ISNUMBER(_xlfn.ANCHORARRAY($CM$11)),_xlfn.ANCHORARRAY($CM$11))),NA())</f>
        <v>#N/A</v>
      </c>
      <c r="CO576" t="e">
        <f t="shared" si="213"/>
        <v>#N/A</v>
      </c>
      <c r="CQ576" t="e">
        <f t="shared" si="214"/>
        <v>#N/A</v>
      </c>
      <c r="CR576" t="e">
        <f t="shared" si="215"/>
        <v>#N/A</v>
      </c>
      <c r="CT576" t="e">
        <v>#N/A</v>
      </c>
      <c r="CU576" t="e">
        <v>#N/A</v>
      </c>
      <c r="CY576" t="e">
        <f t="shared" si="216"/>
        <v>#N/A</v>
      </c>
      <c r="CZ576" t="e">
        <v>#N/A</v>
      </c>
      <c r="DA576" t="e" cm="1">
        <f t="array" ref="DA576">IF(ISNUMBER(CZ576),AF576/COUNT(IF(ISNUMBER(_xlfn.ANCHORARRAY($CZ$11)),_xlfn.ANCHORARRAY($CZ$11))),NA())</f>
        <v>#N/A</v>
      </c>
      <c r="DB576" t="e">
        <f t="shared" si="217"/>
        <v>#N/A</v>
      </c>
      <c r="DD576" t="e">
        <f t="shared" si="218"/>
        <v>#N/A</v>
      </c>
      <c r="DE576" t="e">
        <f t="shared" si="219"/>
        <v>#N/A</v>
      </c>
      <c r="DG576" t="e">
        <v>#N/A</v>
      </c>
      <c r="DH576" t="e">
        <v>#N/A</v>
      </c>
    </row>
    <row r="577" spans="32:112">
      <c r="AF577">
        <v>567</v>
      </c>
      <c r="AG577" s="401">
        <f>'Lab test'!N570</f>
        <v>25.4</v>
      </c>
      <c r="AH577" s="401">
        <f>'Lab test'!M570</f>
        <v>0.50800000000000001</v>
      </c>
      <c r="AI577" t="e">
        <f>IF('Lab test'!O570&gt;0,'Lab test'!O570,NA())</f>
        <v>#N/A</v>
      </c>
      <c r="AJ577">
        <f>'Lab test'!Q570</f>
        <v>49.2</v>
      </c>
      <c r="AK577" s="401">
        <f>IF('Lab test'!V570&gt;0,'Lab test'!V570,NA())</f>
        <v>73153.374740800005</v>
      </c>
      <c r="AL577" s="7">
        <f>IF(MAX('Lab test'!W570,'Lab test'!X570)&gt;0,MAX('Lab test'!W570,'Lab test'!X570),NA())</f>
        <v>289.64909980301508</v>
      </c>
      <c r="AM577" s="401" t="e">
        <f>IF('Lab test'!P570&gt;0,'Lab test'!P570,NA())</f>
        <v>#N/A</v>
      </c>
      <c r="AN577" s="401">
        <f>IF('Lab test'!AU570&gt;0,'Lab test'!AU570,NA())</f>
        <v>0.995</v>
      </c>
      <c r="AO577" s="401">
        <f>IF('Lab test'!AT570&gt;0,'Lab test'!AT570,NA())</f>
        <v>0.32026341050122636</v>
      </c>
      <c r="AP577">
        <f t="shared" si="220"/>
        <v>1</v>
      </c>
      <c r="AQ577" s="401">
        <f>'Lab test'!AZ570</f>
        <v>1938</v>
      </c>
      <c r="AR577" t="str">
        <f>'Lab test'!AC570</f>
        <v>Tubes</v>
      </c>
      <c r="AS577" t="str">
        <f>'Lab test'!T570</f>
        <v>Aluminium</v>
      </c>
      <c r="AX577" t="e">
        <f t="shared" si="205"/>
        <v>#N/A</v>
      </c>
      <c r="AY577" t="e">
        <f t="shared" si="221"/>
        <v>#N/A</v>
      </c>
      <c r="AZ577" t="e">
        <f t="shared" si="224"/>
        <v>#N/A</v>
      </c>
      <c r="BA577" t="e">
        <f t="shared" si="224"/>
        <v>#N/A</v>
      </c>
      <c r="BB577" t="e">
        <f t="shared" si="224"/>
        <v>#N/A</v>
      </c>
      <c r="BC577" t="e">
        <f t="shared" si="224"/>
        <v>#N/A</v>
      </c>
      <c r="BD577" t="e">
        <f t="shared" si="224"/>
        <v>#N/A</v>
      </c>
      <c r="BG577" t="e">
        <f t="shared" si="206"/>
        <v>#N/A</v>
      </c>
      <c r="BH577" t="e">
        <f t="shared" si="222"/>
        <v>#N/A</v>
      </c>
      <c r="BI577" t="e">
        <f t="shared" si="225"/>
        <v>#N/A</v>
      </c>
      <c r="BJ577" t="e">
        <f t="shared" si="225"/>
        <v>#N/A</v>
      </c>
      <c r="BK577" t="e">
        <f t="shared" si="225"/>
        <v>#N/A</v>
      </c>
      <c r="BL577" t="e">
        <f t="shared" si="225"/>
        <v>#N/A</v>
      </c>
      <c r="BM577" t="e">
        <f t="shared" si="225"/>
        <v>#N/A</v>
      </c>
      <c r="BP577" t="e">
        <f t="shared" si="207"/>
        <v>#N/A</v>
      </c>
      <c r="BQ577" t="e">
        <f t="shared" si="223"/>
        <v>#N/A</v>
      </c>
      <c r="BR577" t="e">
        <f t="shared" si="226"/>
        <v>#N/A</v>
      </c>
      <c r="BS577" t="e">
        <f t="shared" si="226"/>
        <v>#N/A</v>
      </c>
      <c r="BT577" t="e">
        <f t="shared" si="226"/>
        <v>#N/A</v>
      </c>
      <c r="BU577" t="e">
        <f t="shared" si="226"/>
        <v>#N/A</v>
      </c>
      <c r="BV577" t="e">
        <f t="shared" si="226"/>
        <v>#N/A</v>
      </c>
      <c r="BY577" t="e">
        <f t="shared" si="208"/>
        <v>#N/A</v>
      </c>
      <c r="BZ577" t="e">
        <v>#N/A</v>
      </c>
      <c r="CA577" t="e" cm="1">
        <f t="array" ref="CA577">IF(ISNUMBER(BZ577),AF577/COUNT(IF(ISNUMBER(_xlfn.ANCHORARRAY($BZ$11)),_xlfn.ANCHORARRAY($BZ$11))),NA())</f>
        <v>#N/A</v>
      </c>
      <c r="CB577" t="e">
        <f t="shared" si="209"/>
        <v>#N/A</v>
      </c>
      <c r="CD577" t="e">
        <f t="shared" si="210"/>
        <v>#N/A</v>
      </c>
      <c r="CE577" t="e">
        <f t="shared" si="211"/>
        <v>#N/A</v>
      </c>
      <c r="CG577" t="e">
        <v>#N/A</v>
      </c>
      <c r="CH577" t="e">
        <v>#N/A</v>
      </c>
      <c r="CL577" t="e">
        <f t="shared" si="212"/>
        <v>#N/A</v>
      </c>
      <c r="CM577" t="e">
        <v>#N/A</v>
      </c>
      <c r="CN577" t="e" cm="1">
        <f t="array" ref="CN577">IF(ISNUMBER(CM577),AF577/COUNT(IF(ISNUMBER(_xlfn.ANCHORARRAY($CM$11)),_xlfn.ANCHORARRAY($CM$11))),NA())</f>
        <v>#N/A</v>
      </c>
      <c r="CO577" t="e">
        <f t="shared" si="213"/>
        <v>#N/A</v>
      </c>
      <c r="CQ577" t="e">
        <f t="shared" si="214"/>
        <v>#N/A</v>
      </c>
      <c r="CR577" t="e">
        <f t="shared" si="215"/>
        <v>#N/A</v>
      </c>
      <c r="CT577" t="e">
        <v>#N/A</v>
      </c>
      <c r="CU577" t="e">
        <v>#N/A</v>
      </c>
      <c r="CY577" t="e">
        <f t="shared" si="216"/>
        <v>#N/A</v>
      </c>
      <c r="CZ577" t="e">
        <v>#N/A</v>
      </c>
      <c r="DA577" t="e" cm="1">
        <f t="array" ref="DA577">IF(ISNUMBER(CZ577),AF577/COUNT(IF(ISNUMBER(_xlfn.ANCHORARRAY($CZ$11)),_xlfn.ANCHORARRAY($CZ$11))),NA())</f>
        <v>#N/A</v>
      </c>
      <c r="DB577" t="e">
        <f t="shared" si="217"/>
        <v>#N/A</v>
      </c>
      <c r="DD577" t="e">
        <f t="shared" si="218"/>
        <v>#N/A</v>
      </c>
      <c r="DE577" t="e">
        <f t="shared" si="219"/>
        <v>#N/A</v>
      </c>
      <c r="DG577" t="e">
        <v>#N/A</v>
      </c>
      <c r="DH577" t="e">
        <v>#N/A</v>
      </c>
    </row>
    <row r="578" spans="32:112">
      <c r="AF578">
        <v>568</v>
      </c>
      <c r="AG578" s="401">
        <f>'Lab test'!N571</f>
        <v>190.5</v>
      </c>
      <c r="AH578" s="401">
        <f>'Lab test'!M571</f>
        <v>0.89</v>
      </c>
      <c r="AI578">
        <f>IF('Lab test'!O571&gt;0,'Lab test'!O571,NA())</f>
        <v>381</v>
      </c>
      <c r="AJ578">
        <f>'Lab test'!Q571</f>
        <v>214.3</v>
      </c>
      <c r="AK578" s="401">
        <f>IF('Lab test'!V571&gt;0,'Lab test'!V571,NA())</f>
        <v>195800</v>
      </c>
      <c r="AL578" s="7">
        <f>IF(MAX('Lab test'!W571,'Lab test'!X571)&gt;0,MAX('Lab test'!W571,'Lab test'!X571),NA())</f>
        <v>239</v>
      </c>
      <c r="AM578" s="401">
        <f>IF('Lab test'!P571&gt;0,'Lab test'!P571,NA())</f>
        <v>0.1367028311411097</v>
      </c>
      <c r="AN578" s="401" t="e">
        <f>IF('Lab test'!AU571&gt;0,'Lab test'!AU571,NA())</f>
        <v>#N/A</v>
      </c>
      <c r="AO578" s="401" t="e">
        <f>IF('Lab test'!AT571&gt;0,'Lab test'!AT571,NA())</f>
        <v>#N/A</v>
      </c>
      <c r="AP578" t="e">
        <f t="shared" si="220"/>
        <v>#N/A</v>
      </c>
      <c r="AQ578" s="401">
        <f>'Lab test'!AZ571</f>
        <v>1982</v>
      </c>
      <c r="AR578" t="str">
        <f>'Lab test'!AC571</f>
        <v>LTWa</v>
      </c>
      <c r="AS578" t="str">
        <f>'Lab test'!T571</f>
        <v>Steel</v>
      </c>
      <c r="AX578" t="e">
        <f t="shared" si="205"/>
        <v>#N/A</v>
      </c>
      <c r="AY578" t="e">
        <f t="shared" si="221"/>
        <v>#N/A</v>
      </c>
      <c r="AZ578" t="e">
        <f t="shared" si="224"/>
        <v>#N/A</v>
      </c>
      <c r="BA578" t="e">
        <f t="shared" si="224"/>
        <v>#N/A</v>
      </c>
      <c r="BB578" t="e">
        <f t="shared" si="224"/>
        <v>#N/A</v>
      </c>
      <c r="BC578" t="e">
        <f t="shared" si="224"/>
        <v>#N/A</v>
      </c>
      <c r="BD578" t="e">
        <f t="shared" si="224"/>
        <v>#N/A</v>
      </c>
      <c r="BG578" t="e">
        <f t="shared" si="206"/>
        <v>#N/A</v>
      </c>
      <c r="BH578" t="e">
        <f t="shared" si="222"/>
        <v>#N/A</v>
      </c>
      <c r="BI578" t="e">
        <f t="shared" si="225"/>
        <v>#N/A</v>
      </c>
      <c r="BJ578" t="e">
        <f t="shared" si="225"/>
        <v>#N/A</v>
      </c>
      <c r="BK578" t="e">
        <f t="shared" si="225"/>
        <v>#N/A</v>
      </c>
      <c r="BL578" t="e">
        <f t="shared" si="225"/>
        <v>#N/A</v>
      </c>
      <c r="BM578" t="e">
        <f t="shared" si="225"/>
        <v>#N/A</v>
      </c>
      <c r="BP578" t="e">
        <f t="shared" si="207"/>
        <v>#N/A</v>
      </c>
      <c r="BQ578" t="e">
        <f t="shared" si="223"/>
        <v>#N/A</v>
      </c>
      <c r="BR578" t="e">
        <f t="shared" si="226"/>
        <v>#N/A</v>
      </c>
      <c r="BS578" t="e">
        <f t="shared" si="226"/>
        <v>#N/A</v>
      </c>
      <c r="BT578" t="e">
        <f t="shared" si="226"/>
        <v>#N/A</v>
      </c>
      <c r="BU578" t="e">
        <f t="shared" si="226"/>
        <v>#N/A</v>
      </c>
      <c r="BV578" t="e">
        <f t="shared" si="226"/>
        <v>#N/A</v>
      </c>
      <c r="BY578" t="e">
        <f t="shared" si="208"/>
        <v>#N/A</v>
      </c>
      <c r="BZ578" t="e">
        <v>#N/A</v>
      </c>
      <c r="CA578" t="e" cm="1">
        <f t="array" ref="CA578">IF(ISNUMBER(BZ578),AF578/COUNT(IF(ISNUMBER(_xlfn.ANCHORARRAY($BZ$11)),_xlfn.ANCHORARRAY($BZ$11))),NA())</f>
        <v>#N/A</v>
      </c>
      <c r="CB578" t="e">
        <f t="shared" si="209"/>
        <v>#N/A</v>
      </c>
      <c r="CD578" t="e">
        <f t="shared" si="210"/>
        <v>#N/A</v>
      </c>
      <c r="CE578" t="e">
        <f t="shared" si="211"/>
        <v>#N/A</v>
      </c>
      <c r="CG578" t="e">
        <v>#N/A</v>
      </c>
      <c r="CH578" t="e">
        <v>#N/A</v>
      </c>
      <c r="CL578" t="e">
        <f t="shared" si="212"/>
        <v>#N/A</v>
      </c>
      <c r="CM578" t="e">
        <v>#N/A</v>
      </c>
      <c r="CN578" t="e" cm="1">
        <f t="array" ref="CN578">IF(ISNUMBER(CM578),AF578/COUNT(IF(ISNUMBER(_xlfn.ANCHORARRAY($CM$11)),_xlfn.ANCHORARRAY($CM$11))),NA())</f>
        <v>#N/A</v>
      </c>
      <c r="CO578" t="e">
        <f t="shared" si="213"/>
        <v>#N/A</v>
      </c>
      <c r="CQ578" t="e">
        <f t="shared" si="214"/>
        <v>#N/A</v>
      </c>
      <c r="CR578" t="e">
        <f t="shared" si="215"/>
        <v>#N/A</v>
      </c>
      <c r="CT578" t="e">
        <v>#N/A</v>
      </c>
      <c r="CU578" t="e">
        <v>#N/A</v>
      </c>
      <c r="CY578" t="e">
        <f t="shared" si="216"/>
        <v>#N/A</v>
      </c>
      <c r="CZ578" t="e">
        <v>#N/A</v>
      </c>
      <c r="DA578" t="e" cm="1">
        <f t="array" ref="DA578">IF(ISNUMBER(CZ578),AF578/COUNT(IF(ISNUMBER(_xlfn.ANCHORARRAY($CZ$11)),_xlfn.ANCHORARRAY($CZ$11))),NA())</f>
        <v>#N/A</v>
      </c>
      <c r="DB578" t="e">
        <f t="shared" si="217"/>
        <v>#N/A</v>
      </c>
      <c r="DD578" t="e">
        <f t="shared" si="218"/>
        <v>#N/A</v>
      </c>
      <c r="DE578" t="e">
        <f t="shared" si="219"/>
        <v>#N/A</v>
      </c>
      <c r="DG578" t="e">
        <v>#N/A</v>
      </c>
      <c r="DH578" t="e">
        <v>#N/A</v>
      </c>
    </row>
    <row r="579" spans="32:112">
      <c r="AF579">
        <v>569</v>
      </c>
      <c r="AG579" s="401">
        <f>'Lab test'!N572</f>
        <v>190.5</v>
      </c>
      <c r="AH579" s="401">
        <f>'Lab test'!M572</f>
        <v>0.89</v>
      </c>
      <c r="AI579">
        <f>IF('Lab test'!O572&gt;0,'Lab test'!O572,NA())</f>
        <v>381</v>
      </c>
      <c r="AJ579">
        <f>'Lab test'!Q572</f>
        <v>214.3</v>
      </c>
      <c r="AK579" s="401">
        <f>IF('Lab test'!V572&gt;0,'Lab test'!V572,NA())</f>
        <v>195800</v>
      </c>
      <c r="AL579" s="7">
        <f>IF(MAX('Lab test'!W572,'Lab test'!X572)&gt;0,MAX('Lab test'!W572,'Lab test'!X572),NA())</f>
        <v>239</v>
      </c>
      <c r="AM579" s="401">
        <f>IF('Lab test'!P572&gt;0,'Lab test'!P572,NA())</f>
        <v>0.1367028311411097</v>
      </c>
      <c r="AN579" s="401" t="e">
        <f>IF('Lab test'!AU572&gt;0,'Lab test'!AU572,NA())</f>
        <v>#N/A</v>
      </c>
      <c r="AO579" s="401" t="e">
        <f>IF('Lab test'!AT572&gt;0,'Lab test'!AT572,NA())</f>
        <v>#N/A</v>
      </c>
      <c r="AP579" t="e">
        <f t="shared" si="220"/>
        <v>#N/A</v>
      </c>
      <c r="AQ579" s="401">
        <f>'Lab test'!AZ572</f>
        <v>1982</v>
      </c>
      <c r="AR579" t="str">
        <f>'Lab test'!AC572</f>
        <v>LTWa</v>
      </c>
      <c r="AS579" t="str">
        <f>'Lab test'!T572</f>
        <v>Steel</v>
      </c>
      <c r="AX579" t="e">
        <f t="shared" si="205"/>
        <v>#N/A</v>
      </c>
      <c r="AY579" t="e">
        <f t="shared" si="221"/>
        <v>#N/A</v>
      </c>
      <c r="AZ579" t="e">
        <f t="shared" si="224"/>
        <v>#N/A</v>
      </c>
      <c r="BA579" t="e">
        <f t="shared" si="224"/>
        <v>#N/A</v>
      </c>
      <c r="BB579" t="e">
        <f t="shared" si="224"/>
        <v>#N/A</v>
      </c>
      <c r="BC579" t="e">
        <f t="shared" si="224"/>
        <v>#N/A</v>
      </c>
      <c r="BD579" t="e">
        <f t="shared" si="224"/>
        <v>#N/A</v>
      </c>
      <c r="BG579" t="e">
        <f t="shared" si="206"/>
        <v>#N/A</v>
      </c>
      <c r="BH579" t="e">
        <f t="shared" si="222"/>
        <v>#N/A</v>
      </c>
      <c r="BI579" t="e">
        <f t="shared" si="225"/>
        <v>#N/A</v>
      </c>
      <c r="BJ579" t="e">
        <f t="shared" si="225"/>
        <v>#N/A</v>
      </c>
      <c r="BK579" t="e">
        <f t="shared" si="225"/>
        <v>#N/A</v>
      </c>
      <c r="BL579" t="e">
        <f t="shared" si="225"/>
        <v>#N/A</v>
      </c>
      <c r="BM579" t="e">
        <f t="shared" si="225"/>
        <v>#N/A</v>
      </c>
      <c r="BP579" t="e">
        <f t="shared" si="207"/>
        <v>#N/A</v>
      </c>
      <c r="BQ579" t="e">
        <f t="shared" si="223"/>
        <v>#N/A</v>
      </c>
      <c r="BR579" t="e">
        <f t="shared" si="226"/>
        <v>#N/A</v>
      </c>
      <c r="BS579" t="e">
        <f t="shared" si="226"/>
        <v>#N/A</v>
      </c>
      <c r="BT579" t="e">
        <f t="shared" si="226"/>
        <v>#N/A</v>
      </c>
      <c r="BU579" t="e">
        <f t="shared" si="226"/>
        <v>#N/A</v>
      </c>
      <c r="BV579" t="e">
        <f t="shared" si="226"/>
        <v>#N/A</v>
      </c>
      <c r="BY579" t="e">
        <f t="shared" si="208"/>
        <v>#N/A</v>
      </c>
      <c r="BZ579" t="e">
        <v>#N/A</v>
      </c>
      <c r="CA579" t="e" cm="1">
        <f t="array" ref="CA579">IF(ISNUMBER(BZ579),AF579/COUNT(IF(ISNUMBER(_xlfn.ANCHORARRAY($BZ$11)),_xlfn.ANCHORARRAY($BZ$11))),NA())</f>
        <v>#N/A</v>
      </c>
      <c r="CB579" t="e">
        <f t="shared" si="209"/>
        <v>#N/A</v>
      </c>
      <c r="CD579" t="e">
        <f t="shared" si="210"/>
        <v>#N/A</v>
      </c>
      <c r="CE579" t="e">
        <f t="shared" si="211"/>
        <v>#N/A</v>
      </c>
      <c r="CG579" t="e">
        <v>#N/A</v>
      </c>
      <c r="CH579" t="e">
        <v>#N/A</v>
      </c>
      <c r="CL579" t="e">
        <f t="shared" si="212"/>
        <v>#N/A</v>
      </c>
      <c r="CM579" t="e">
        <v>#N/A</v>
      </c>
      <c r="CN579" t="e" cm="1">
        <f t="array" ref="CN579">IF(ISNUMBER(CM579),AF579/COUNT(IF(ISNUMBER(_xlfn.ANCHORARRAY($CM$11)),_xlfn.ANCHORARRAY($CM$11))),NA())</f>
        <v>#N/A</v>
      </c>
      <c r="CO579" t="e">
        <f t="shared" si="213"/>
        <v>#N/A</v>
      </c>
      <c r="CQ579" t="e">
        <f t="shared" si="214"/>
        <v>#N/A</v>
      </c>
      <c r="CR579" t="e">
        <f t="shared" si="215"/>
        <v>#N/A</v>
      </c>
      <c r="CT579" t="e">
        <v>#N/A</v>
      </c>
      <c r="CU579" t="e">
        <v>#N/A</v>
      </c>
      <c r="CY579" t="e">
        <f t="shared" si="216"/>
        <v>#N/A</v>
      </c>
      <c r="CZ579" t="e">
        <v>#N/A</v>
      </c>
      <c r="DA579" t="e" cm="1">
        <f t="array" ref="DA579">IF(ISNUMBER(CZ579),AF579/COUNT(IF(ISNUMBER(_xlfn.ANCHORARRAY($CZ$11)),_xlfn.ANCHORARRAY($CZ$11))),NA())</f>
        <v>#N/A</v>
      </c>
      <c r="DB579" t="e">
        <f t="shared" si="217"/>
        <v>#N/A</v>
      </c>
      <c r="DD579" t="e">
        <f t="shared" si="218"/>
        <v>#N/A</v>
      </c>
      <c r="DE579" t="e">
        <f t="shared" si="219"/>
        <v>#N/A</v>
      </c>
      <c r="DG579" t="e">
        <v>#N/A</v>
      </c>
      <c r="DH579" t="e">
        <v>#N/A</v>
      </c>
    </row>
    <row r="580" spans="32:112">
      <c r="AF580">
        <v>570</v>
      </c>
      <c r="AG580" s="401">
        <f>'Lab test'!N573</f>
        <v>190.5</v>
      </c>
      <c r="AH580" s="401">
        <f>'Lab test'!M573</f>
        <v>0.89</v>
      </c>
      <c r="AI580">
        <f>IF('Lab test'!O573&gt;0,'Lab test'!O573,NA())</f>
        <v>381</v>
      </c>
      <c r="AJ580">
        <f>'Lab test'!Q573</f>
        <v>214.3</v>
      </c>
      <c r="AK580" s="401">
        <f>IF('Lab test'!V573&gt;0,'Lab test'!V573,NA())</f>
        <v>195800</v>
      </c>
      <c r="AL580" s="7">
        <f>IF(MAX('Lab test'!W573,'Lab test'!X573)&gt;0,MAX('Lab test'!W573,'Lab test'!X573),NA())</f>
        <v>239</v>
      </c>
      <c r="AM580" s="401">
        <f>IF('Lab test'!P573&gt;0,'Lab test'!P573,NA())</f>
        <v>0.1367028311411097</v>
      </c>
      <c r="AN580" s="401">
        <f>IF('Lab test'!AU573&gt;0,'Lab test'!AU573,NA())</f>
        <v>0.61087866108786615</v>
      </c>
      <c r="AO580" s="401">
        <f>IF('Lab test'!AT573&gt;0,'Lab test'!AT573,NA())</f>
        <v>0.26370991891233025</v>
      </c>
      <c r="AP580">
        <f t="shared" si="220"/>
        <v>1</v>
      </c>
      <c r="AQ580" s="401">
        <f>'Lab test'!AZ573</f>
        <v>1982</v>
      </c>
      <c r="AR580" t="str">
        <f>'Lab test'!AC573</f>
        <v>LTWa</v>
      </c>
      <c r="AS580" t="str">
        <f>'Lab test'!T573</f>
        <v>Steel</v>
      </c>
      <c r="AX580" t="e">
        <f t="shared" si="205"/>
        <v>#N/A</v>
      </c>
      <c r="AY580" t="e">
        <f t="shared" si="221"/>
        <v>#N/A</v>
      </c>
      <c r="AZ580" t="e">
        <f t="shared" si="224"/>
        <v>#N/A</v>
      </c>
      <c r="BA580" t="e">
        <f t="shared" si="224"/>
        <v>#N/A</v>
      </c>
      <c r="BB580" t="e">
        <f t="shared" si="224"/>
        <v>#N/A</v>
      </c>
      <c r="BC580" t="e">
        <f t="shared" si="224"/>
        <v>#N/A</v>
      </c>
      <c r="BD580" t="e">
        <f t="shared" si="224"/>
        <v>#N/A</v>
      </c>
      <c r="BG580" t="e">
        <f t="shared" si="206"/>
        <v>#N/A</v>
      </c>
      <c r="BH580" t="e">
        <f t="shared" si="222"/>
        <v>#N/A</v>
      </c>
      <c r="BI580" t="e">
        <f t="shared" si="225"/>
        <v>#N/A</v>
      </c>
      <c r="BJ580" t="e">
        <f t="shared" si="225"/>
        <v>#N/A</v>
      </c>
      <c r="BK580" t="e">
        <f t="shared" si="225"/>
        <v>#N/A</v>
      </c>
      <c r="BL580" t="e">
        <f t="shared" si="225"/>
        <v>#N/A</v>
      </c>
      <c r="BM580" t="e">
        <f t="shared" si="225"/>
        <v>#N/A</v>
      </c>
      <c r="BP580" t="e">
        <f t="shared" si="207"/>
        <v>#N/A</v>
      </c>
      <c r="BQ580" t="e">
        <f t="shared" si="223"/>
        <v>#N/A</v>
      </c>
      <c r="BR580" t="e">
        <f t="shared" si="226"/>
        <v>#N/A</v>
      </c>
      <c r="BS580" t="e">
        <f t="shared" si="226"/>
        <v>#N/A</v>
      </c>
      <c r="BT580" t="e">
        <f t="shared" si="226"/>
        <v>#N/A</v>
      </c>
      <c r="BU580" t="e">
        <f t="shared" si="226"/>
        <v>#N/A</v>
      </c>
      <c r="BV580" t="e">
        <f t="shared" si="226"/>
        <v>#N/A</v>
      </c>
      <c r="BY580" t="e">
        <f t="shared" si="208"/>
        <v>#N/A</v>
      </c>
      <c r="BZ580" t="e">
        <v>#N/A</v>
      </c>
      <c r="CA580" t="e" cm="1">
        <f t="array" ref="CA580">IF(ISNUMBER(BZ580),AF580/COUNT(IF(ISNUMBER(_xlfn.ANCHORARRAY($BZ$11)),_xlfn.ANCHORARRAY($BZ$11))),NA())</f>
        <v>#N/A</v>
      </c>
      <c r="CB580" t="e">
        <f t="shared" si="209"/>
        <v>#N/A</v>
      </c>
      <c r="CD580" t="e">
        <f t="shared" si="210"/>
        <v>#N/A</v>
      </c>
      <c r="CE580" t="e">
        <f t="shared" si="211"/>
        <v>#N/A</v>
      </c>
      <c r="CG580" t="e">
        <v>#N/A</v>
      </c>
      <c r="CH580" t="e">
        <v>#N/A</v>
      </c>
      <c r="CL580" t="e">
        <f t="shared" si="212"/>
        <v>#N/A</v>
      </c>
      <c r="CM580" t="e">
        <v>#N/A</v>
      </c>
      <c r="CN580" t="e" cm="1">
        <f t="array" ref="CN580">IF(ISNUMBER(CM580),AF580/COUNT(IF(ISNUMBER(_xlfn.ANCHORARRAY($CM$11)),_xlfn.ANCHORARRAY($CM$11))),NA())</f>
        <v>#N/A</v>
      </c>
      <c r="CO580" t="e">
        <f t="shared" si="213"/>
        <v>#N/A</v>
      </c>
      <c r="CQ580" t="e">
        <f t="shared" si="214"/>
        <v>#N/A</v>
      </c>
      <c r="CR580" t="e">
        <f t="shared" si="215"/>
        <v>#N/A</v>
      </c>
      <c r="CT580" t="e">
        <v>#N/A</v>
      </c>
      <c r="CU580" t="e">
        <v>#N/A</v>
      </c>
      <c r="CY580" t="e">
        <f t="shared" si="216"/>
        <v>#N/A</v>
      </c>
      <c r="CZ580" t="e">
        <v>#N/A</v>
      </c>
      <c r="DA580" t="e" cm="1">
        <f t="array" ref="DA580">IF(ISNUMBER(CZ580),AF580/COUNT(IF(ISNUMBER(_xlfn.ANCHORARRAY($CZ$11)),_xlfn.ANCHORARRAY($CZ$11))),NA())</f>
        <v>#N/A</v>
      </c>
      <c r="DB580" t="e">
        <f t="shared" si="217"/>
        <v>#N/A</v>
      </c>
      <c r="DD580" t="e">
        <f t="shared" si="218"/>
        <v>#N/A</v>
      </c>
      <c r="DE580" t="e">
        <f t="shared" si="219"/>
        <v>#N/A</v>
      </c>
      <c r="DG580" t="e">
        <v>#N/A</v>
      </c>
      <c r="DH580" t="e">
        <v>#N/A</v>
      </c>
    </row>
    <row r="581" spans="32:112">
      <c r="AF581">
        <v>571</v>
      </c>
      <c r="AG581" s="401">
        <f>'Lab test'!N574</f>
        <v>186</v>
      </c>
      <c r="AH581" s="401">
        <f>'Lab test'!M574</f>
        <v>0.86</v>
      </c>
      <c r="AI581">
        <f>IF('Lab test'!O574&gt;0,'Lab test'!O574,NA())</f>
        <v>381</v>
      </c>
      <c r="AJ581">
        <f>'Lab test'!Q574</f>
        <v>215.6</v>
      </c>
      <c r="AK581" s="401">
        <f>IF('Lab test'!V574&gt;0,'Lab test'!V574,NA())</f>
        <v>205100</v>
      </c>
      <c r="AL581" s="7">
        <f>IF(MAX('Lab test'!W574,'Lab test'!X574)&gt;0,MAX('Lab test'!W574,'Lab test'!X574),NA())</f>
        <v>203</v>
      </c>
      <c r="AM581" s="401">
        <f>IF('Lab test'!P574&gt;0,'Lab test'!P574,NA())</f>
        <v>0.13928513997418118</v>
      </c>
      <c r="AN581" s="401">
        <f>IF('Lab test'!AU574&gt;0,'Lab test'!AU574,NA())</f>
        <v>0.60591133004926112</v>
      </c>
      <c r="AO581" s="401">
        <f>IF('Lab test'!AT574&gt;0,'Lab test'!AT574,NA())</f>
        <v>0.21430646249840371</v>
      </c>
      <c r="AP581">
        <f t="shared" si="220"/>
        <v>1</v>
      </c>
      <c r="AQ581" s="401">
        <f>'Lab test'!AZ574</f>
        <v>1982</v>
      </c>
      <c r="AR581" t="str">
        <f>'Lab test'!AC574</f>
        <v>LTWa</v>
      </c>
      <c r="AS581" t="str">
        <f>'Lab test'!T574</f>
        <v>Steel</v>
      </c>
      <c r="AX581" t="e">
        <f t="shared" si="205"/>
        <v>#N/A</v>
      </c>
      <c r="AY581" t="e">
        <f t="shared" si="221"/>
        <v>#N/A</v>
      </c>
      <c r="AZ581" t="e">
        <f t="shared" si="224"/>
        <v>#N/A</v>
      </c>
      <c r="BA581" t="e">
        <f t="shared" si="224"/>
        <v>#N/A</v>
      </c>
      <c r="BB581" t="e">
        <f t="shared" si="224"/>
        <v>#N/A</v>
      </c>
      <c r="BC581" t="e">
        <f t="shared" si="224"/>
        <v>#N/A</v>
      </c>
      <c r="BD581" t="e">
        <f t="shared" si="224"/>
        <v>#N/A</v>
      </c>
      <c r="BG581" t="e">
        <f t="shared" si="206"/>
        <v>#N/A</v>
      </c>
      <c r="BH581" t="e">
        <f t="shared" si="222"/>
        <v>#N/A</v>
      </c>
      <c r="BI581" t="e">
        <f t="shared" si="225"/>
        <v>#N/A</v>
      </c>
      <c r="BJ581" t="e">
        <f t="shared" si="225"/>
        <v>#N/A</v>
      </c>
      <c r="BK581" t="e">
        <f t="shared" si="225"/>
        <v>#N/A</v>
      </c>
      <c r="BL581" t="e">
        <f t="shared" si="225"/>
        <v>#N/A</v>
      </c>
      <c r="BM581" t="e">
        <f t="shared" si="225"/>
        <v>#N/A</v>
      </c>
      <c r="BP581" t="e">
        <f t="shared" si="207"/>
        <v>#N/A</v>
      </c>
      <c r="BQ581" t="e">
        <f t="shared" si="223"/>
        <v>#N/A</v>
      </c>
      <c r="BR581" t="e">
        <f t="shared" si="226"/>
        <v>#N/A</v>
      </c>
      <c r="BS581" t="e">
        <f t="shared" si="226"/>
        <v>#N/A</v>
      </c>
      <c r="BT581" t="e">
        <f t="shared" si="226"/>
        <v>#N/A</v>
      </c>
      <c r="BU581" t="e">
        <f t="shared" si="226"/>
        <v>#N/A</v>
      </c>
      <c r="BV581" t="e">
        <f t="shared" si="226"/>
        <v>#N/A</v>
      </c>
      <c r="BY581" t="e">
        <f t="shared" si="208"/>
        <v>#N/A</v>
      </c>
      <c r="BZ581" t="e">
        <v>#N/A</v>
      </c>
      <c r="CA581" t="e" cm="1">
        <f t="array" ref="CA581">IF(ISNUMBER(BZ581),AF581/COUNT(IF(ISNUMBER(_xlfn.ANCHORARRAY($BZ$11)),_xlfn.ANCHORARRAY($BZ$11))),NA())</f>
        <v>#N/A</v>
      </c>
      <c r="CB581" t="e">
        <f t="shared" si="209"/>
        <v>#N/A</v>
      </c>
      <c r="CD581" t="e">
        <f t="shared" si="210"/>
        <v>#N/A</v>
      </c>
      <c r="CE581" t="e">
        <f t="shared" si="211"/>
        <v>#N/A</v>
      </c>
      <c r="CG581" t="e">
        <v>#N/A</v>
      </c>
      <c r="CH581" t="e">
        <v>#N/A</v>
      </c>
      <c r="CL581" t="e">
        <f t="shared" si="212"/>
        <v>#N/A</v>
      </c>
      <c r="CM581" t="e">
        <v>#N/A</v>
      </c>
      <c r="CN581" t="e" cm="1">
        <f t="array" ref="CN581">IF(ISNUMBER(CM581),AF581/COUNT(IF(ISNUMBER(_xlfn.ANCHORARRAY($CM$11)),_xlfn.ANCHORARRAY($CM$11))),NA())</f>
        <v>#N/A</v>
      </c>
      <c r="CO581" t="e">
        <f t="shared" si="213"/>
        <v>#N/A</v>
      </c>
      <c r="CQ581" t="e">
        <f t="shared" si="214"/>
        <v>#N/A</v>
      </c>
      <c r="CR581" t="e">
        <f t="shared" si="215"/>
        <v>#N/A</v>
      </c>
      <c r="CT581" t="e">
        <v>#N/A</v>
      </c>
      <c r="CU581" t="e">
        <v>#N/A</v>
      </c>
      <c r="CY581" t="e">
        <f t="shared" si="216"/>
        <v>#N/A</v>
      </c>
      <c r="CZ581" t="e">
        <v>#N/A</v>
      </c>
      <c r="DA581" t="e" cm="1">
        <f t="array" ref="DA581">IF(ISNUMBER(CZ581),AF581/COUNT(IF(ISNUMBER(_xlfn.ANCHORARRAY($CZ$11)),_xlfn.ANCHORARRAY($CZ$11))),NA())</f>
        <v>#N/A</v>
      </c>
      <c r="DB581" t="e">
        <f t="shared" si="217"/>
        <v>#N/A</v>
      </c>
      <c r="DD581" t="e">
        <f t="shared" si="218"/>
        <v>#N/A</v>
      </c>
      <c r="DE581" t="e">
        <f t="shared" si="219"/>
        <v>#N/A</v>
      </c>
      <c r="DG581" t="e">
        <v>#N/A</v>
      </c>
      <c r="DH581" t="e">
        <v>#N/A</v>
      </c>
    </row>
    <row r="582" spans="32:112">
      <c r="AF582">
        <v>572</v>
      </c>
      <c r="AG582" s="401">
        <f>'Lab test'!N575</f>
        <v>186</v>
      </c>
      <c r="AH582" s="401">
        <f>'Lab test'!M575</f>
        <v>0.86</v>
      </c>
      <c r="AI582">
        <f>IF('Lab test'!O575&gt;0,'Lab test'!O575,NA())</f>
        <v>381</v>
      </c>
      <c r="AJ582">
        <f>'Lab test'!Q575</f>
        <v>215.6</v>
      </c>
      <c r="AK582" s="401">
        <f>IF('Lab test'!V575&gt;0,'Lab test'!V575,NA())</f>
        <v>205100</v>
      </c>
      <c r="AL582" s="7">
        <f>IF(MAX('Lab test'!W575,'Lab test'!X575)&gt;0,MAX('Lab test'!W575,'Lab test'!X575),NA())</f>
        <v>203</v>
      </c>
      <c r="AM582" s="401">
        <f>IF('Lab test'!P575&gt;0,'Lab test'!P575,NA())</f>
        <v>0.13928513997418118</v>
      </c>
      <c r="AN582" s="401">
        <f>IF('Lab test'!AU575&gt;0,'Lab test'!AU575,NA())</f>
        <v>0.5714285714285714</v>
      </c>
      <c r="AO582" s="401">
        <f>IF('Lab test'!AT575&gt;0,'Lab test'!AT575,NA())</f>
        <v>0.20211015975459209</v>
      </c>
      <c r="AP582">
        <f t="shared" si="220"/>
        <v>1</v>
      </c>
      <c r="AQ582" s="401">
        <f>'Lab test'!AZ575</f>
        <v>1982</v>
      </c>
      <c r="AR582" t="str">
        <f>'Lab test'!AC575</f>
        <v>LTWa</v>
      </c>
      <c r="AS582" t="str">
        <f>'Lab test'!T575</f>
        <v>Steel</v>
      </c>
      <c r="AX582" t="e">
        <f t="shared" si="205"/>
        <v>#N/A</v>
      </c>
      <c r="AY582" t="e">
        <f t="shared" si="221"/>
        <v>#N/A</v>
      </c>
      <c r="AZ582" t="e">
        <f t="shared" si="224"/>
        <v>#N/A</v>
      </c>
      <c r="BA582" t="e">
        <f t="shared" si="224"/>
        <v>#N/A</v>
      </c>
      <c r="BB582" t="e">
        <f t="shared" si="224"/>
        <v>#N/A</v>
      </c>
      <c r="BC582" t="e">
        <f t="shared" si="224"/>
        <v>#N/A</v>
      </c>
      <c r="BD582" t="e">
        <f t="shared" si="224"/>
        <v>#N/A</v>
      </c>
      <c r="BG582" t="e">
        <f t="shared" si="206"/>
        <v>#N/A</v>
      </c>
      <c r="BH582" t="e">
        <f t="shared" si="222"/>
        <v>#N/A</v>
      </c>
      <c r="BI582" t="e">
        <f t="shared" si="225"/>
        <v>#N/A</v>
      </c>
      <c r="BJ582" t="e">
        <f t="shared" si="225"/>
        <v>#N/A</v>
      </c>
      <c r="BK582" t="e">
        <f t="shared" si="225"/>
        <v>#N/A</v>
      </c>
      <c r="BL582" t="e">
        <f t="shared" si="225"/>
        <v>#N/A</v>
      </c>
      <c r="BM582" t="e">
        <f t="shared" si="225"/>
        <v>#N/A</v>
      </c>
      <c r="BP582" t="e">
        <f t="shared" si="207"/>
        <v>#N/A</v>
      </c>
      <c r="BQ582" t="e">
        <f t="shared" si="223"/>
        <v>#N/A</v>
      </c>
      <c r="BR582" t="e">
        <f t="shared" si="226"/>
        <v>#N/A</v>
      </c>
      <c r="BS582" t="e">
        <f t="shared" si="226"/>
        <v>#N/A</v>
      </c>
      <c r="BT582" t="e">
        <f t="shared" si="226"/>
        <v>#N/A</v>
      </c>
      <c r="BU582" t="e">
        <f t="shared" si="226"/>
        <v>#N/A</v>
      </c>
      <c r="BV582" t="e">
        <f t="shared" si="226"/>
        <v>#N/A</v>
      </c>
      <c r="BY582" t="e">
        <f t="shared" si="208"/>
        <v>#N/A</v>
      </c>
      <c r="BZ582" t="e">
        <v>#N/A</v>
      </c>
      <c r="CA582" t="e" cm="1">
        <f t="array" ref="CA582">IF(ISNUMBER(BZ582),AF582/COUNT(IF(ISNUMBER(_xlfn.ANCHORARRAY($BZ$11)),_xlfn.ANCHORARRAY($BZ$11))),NA())</f>
        <v>#N/A</v>
      </c>
      <c r="CB582" t="e">
        <f t="shared" si="209"/>
        <v>#N/A</v>
      </c>
      <c r="CD582" t="e">
        <f t="shared" si="210"/>
        <v>#N/A</v>
      </c>
      <c r="CE582" t="e">
        <f t="shared" si="211"/>
        <v>#N/A</v>
      </c>
      <c r="CG582" t="e">
        <v>#N/A</v>
      </c>
      <c r="CH582" t="e">
        <v>#N/A</v>
      </c>
      <c r="CL582" t="e">
        <f t="shared" si="212"/>
        <v>#N/A</v>
      </c>
      <c r="CM582" t="e">
        <v>#N/A</v>
      </c>
      <c r="CN582" t="e" cm="1">
        <f t="array" ref="CN582">IF(ISNUMBER(CM582),AF582/COUNT(IF(ISNUMBER(_xlfn.ANCHORARRAY($CM$11)),_xlfn.ANCHORARRAY($CM$11))),NA())</f>
        <v>#N/A</v>
      </c>
      <c r="CO582" t="e">
        <f t="shared" si="213"/>
        <v>#N/A</v>
      </c>
      <c r="CQ582" t="e">
        <f t="shared" si="214"/>
        <v>#N/A</v>
      </c>
      <c r="CR582" t="e">
        <f t="shared" si="215"/>
        <v>#N/A</v>
      </c>
      <c r="CT582" t="e">
        <v>#N/A</v>
      </c>
      <c r="CU582" t="e">
        <v>#N/A</v>
      </c>
      <c r="CY582" t="e">
        <f t="shared" si="216"/>
        <v>#N/A</v>
      </c>
      <c r="CZ582" t="e">
        <v>#N/A</v>
      </c>
      <c r="DA582" t="e" cm="1">
        <f t="array" ref="DA582">IF(ISNUMBER(CZ582),AF582/COUNT(IF(ISNUMBER(_xlfn.ANCHORARRAY($CZ$11)),_xlfn.ANCHORARRAY($CZ$11))),NA())</f>
        <v>#N/A</v>
      </c>
      <c r="DB582" t="e">
        <f t="shared" si="217"/>
        <v>#N/A</v>
      </c>
      <c r="DD582" t="e">
        <f t="shared" si="218"/>
        <v>#N/A</v>
      </c>
      <c r="DE582" t="e">
        <f t="shared" si="219"/>
        <v>#N/A</v>
      </c>
      <c r="DG582" t="e">
        <v>#N/A</v>
      </c>
      <c r="DH582" t="e">
        <v>#N/A</v>
      </c>
    </row>
    <row r="583" spans="32:112">
      <c r="AF583">
        <v>573</v>
      </c>
      <c r="AG583" s="401">
        <f>'Lab test'!N576</f>
        <v>764.5</v>
      </c>
      <c r="AH583" s="401">
        <f>'Lab test'!M576</f>
        <v>5.13</v>
      </c>
      <c r="AI583">
        <f>IF('Lab test'!O576&gt;0,'Lab test'!O576,NA())</f>
        <v>1524</v>
      </c>
      <c r="AJ583">
        <f>'Lab test'!Q576</f>
        <v>149</v>
      </c>
      <c r="AK583" s="401">
        <f>IF('Lab test'!V576&gt;0,'Lab test'!V576,NA())</f>
        <v>202000</v>
      </c>
      <c r="AL583" s="7">
        <f>IF(MAX('Lab test'!W576,'Lab test'!X576)&gt;0,MAX('Lab test'!W576,'Lab test'!X576),NA())</f>
        <v>376</v>
      </c>
      <c r="AM583" s="401">
        <f>IF('Lab test'!P576&gt;0,'Lab test'!P576,NA())</f>
        <v>0.16329670248209641</v>
      </c>
      <c r="AN583" s="401">
        <f>IF('Lab test'!AU576&gt;0,'Lab test'!AU576,NA())</f>
        <v>0.60904255319148937</v>
      </c>
      <c r="AO583" s="401">
        <f>IF('Lab test'!AT576&gt;0,'Lab test'!AT576,NA())</f>
        <v>0.2791422411842544</v>
      </c>
      <c r="AP583">
        <f t="shared" si="220"/>
        <v>1</v>
      </c>
      <c r="AQ583" s="401">
        <f>'Lab test'!AZ576</f>
        <v>1982</v>
      </c>
      <c r="AR583" t="str">
        <f>'Lab test'!AC576</f>
        <v>LTWa</v>
      </c>
      <c r="AS583" t="str">
        <f>'Lab test'!T576</f>
        <v>Steel</v>
      </c>
      <c r="AX583" t="e">
        <f t="shared" si="205"/>
        <v>#N/A</v>
      </c>
      <c r="AY583" t="e">
        <f t="shared" si="221"/>
        <v>#N/A</v>
      </c>
      <c r="AZ583" t="e">
        <f t="shared" si="224"/>
        <v>#N/A</v>
      </c>
      <c r="BA583" t="e">
        <f t="shared" si="224"/>
        <v>#N/A</v>
      </c>
      <c r="BB583" t="e">
        <f t="shared" si="224"/>
        <v>#N/A</v>
      </c>
      <c r="BC583" t="e">
        <f t="shared" si="224"/>
        <v>#N/A</v>
      </c>
      <c r="BD583" t="e">
        <f t="shared" si="224"/>
        <v>#N/A</v>
      </c>
      <c r="BG583" t="e">
        <f t="shared" si="206"/>
        <v>#N/A</v>
      </c>
      <c r="BH583" t="e">
        <f t="shared" si="222"/>
        <v>#N/A</v>
      </c>
      <c r="BI583" t="e">
        <f t="shared" si="225"/>
        <v>#N/A</v>
      </c>
      <c r="BJ583" t="e">
        <f t="shared" si="225"/>
        <v>#N/A</v>
      </c>
      <c r="BK583" t="e">
        <f t="shared" si="225"/>
        <v>#N/A</v>
      </c>
      <c r="BL583" t="e">
        <f t="shared" si="225"/>
        <v>#N/A</v>
      </c>
      <c r="BM583" t="e">
        <f t="shared" si="225"/>
        <v>#N/A</v>
      </c>
      <c r="BP583" t="e">
        <f t="shared" si="207"/>
        <v>#N/A</v>
      </c>
      <c r="BQ583" t="e">
        <f t="shared" si="223"/>
        <v>#N/A</v>
      </c>
      <c r="BR583" t="e">
        <f t="shared" si="226"/>
        <v>#N/A</v>
      </c>
      <c r="BS583" t="e">
        <f t="shared" si="226"/>
        <v>#N/A</v>
      </c>
      <c r="BT583" t="e">
        <f t="shared" si="226"/>
        <v>#N/A</v>
      </c>
      <c r="BU583" t="e">
        <f t="shared" si="226"/>
        <v>#N/A</v>
      </c>
      <c r="BV583" t="e">
        <f t="shared" si="226"/>
        <v>#N/A</v>
      </c>
      <c r="BY583" t="e">
        <f t="shared" si="208"/>
        <v>#N/A</v>
      </c>
      <c r="BZ583" t="e">
        <v>#N/A</v>
      </c>
      <c r="CA583" t="e" cm="1">
        <f t="array" ref="CA583">IF(ISNUMBER(BZ583),AF583/COUNT(IF(ISNUMBER(_xlfn.ANCHORARRAY($BZ$11)),_xlfn.ANCHORARRAY($BZ$11))),NA())</f>
        <v>#N/A</v>
      </c>
      <c r="CB583" t="e">
        <f t="shared" si="209"/>
        <v>#N/A</v>
      </c>
      <c r="CD583" t="e">
        <f t="shared" si="210"/>
        <v>#N/A</v>
      </c>
      <c r="CE583" t="e">
        <f t="shared" si="211"/>
        <v>#N/A</v>
      </c>
      <c r="CG583" t="e">
        <v>#N/A</v>
      </c>
      <c r="CH583" t="e">
        <v>#N/A</v>
      </c>
      <c r="CL583" t="e">
        <f t="shared" si="212"/>
        <v>#N/A</v>
      </c>
      <c r="CM583" t="e">
        <v>#N/A</v>
      </c>
      <c r="CN583" t="e" cm="1">
        <f t="array" ref="CN583">IF(ISNUMBER(CM583),AF583/COUNT(IF(ISNUMBER(_xlfn.ANCHORARRAY($CM$11)),_xlfn.ANCHORARRAY($CM$11))),NA())</f>
        <v>#N/A</v>
      </c>
      <c r="CO583" t="e">
        <f t="shared" si="213"/>
        <v>#N/A</v>
      </c>
      <c r="CQ583" t="e">
        <f t="shared" si="214"/>
        <v>#N/A</v>
      </c>
      <c r="CR583" t="e">
        <f t="shared" si="215"/>
        <v>#N/A</v>
      </c>
      <c r="CT583" t="e">
        <v>#N/A</v>
      </c>
      <c r="CU583" t="e">
        <v>#N/A</v>
      </c>
      <c r="CY583" t="e">
        <f t="shared" si="216"/>
        <v>#N/A</v>
      </c>
      <c r="CZ583" t="e">
        <v>#N/A</v>
      </c>
      <c r="DA583" t="e" cm="1">
        <f t="array" ref="DA583">IF(ISNUMBER(CZ583),AF583/COUNT(IF(ISNUMBER(_xlfn.ANCHORARRAY($CZ$11)),_xlfn.ANCHORARRAY($CZ$11))),NA())</f>
        <v>#N/A</v>
      </c>
      <c r="DB583" t="e">
        <f t="shared" si="217"/>
        <v>#N/A</v>
      </c>
      <c r="DD583" t="e">
        <f t="shared" si="218"/>
        <v>#N/A</v>
      </c>
      <c r="DE583" t="e">
        <f t="shared" si="219"/>
        <v>#N/A</v>
      </c>
      <c r="DG583" t="e">
        <v>#N/A</v>
      </c>
      <c r="DH583" t="e">
        <v>#N/A</v>
      </c>
    </row>
    <row r="584" spans="32:112">
      <c r="AF584">
        <v>574</v>
      </c>
      <c r="AG584" s="401">
        <f>'Lab test'!N577</f>
        <v>761.7</v>
      </c>
      <c r="AH584" s="401">
        <f>'Lab test'!M577</f>
        <v>3.43</v>
      </c>
      <c r="AI584">
        <f>IF('Lab test'!O577&gt;0,'Lab test'!O577,NA())</f>
        <v>1828.8</v>
      </c>
      <c r="AJ584">
        <f>'Lab test'!Q577</f>
        <v>222.2</v>
      </c>
      <c r="AK584" s="401">
        <f>IF('Lab test'!V577&gt;0,'Lab test'!V577,NA())</f>
        <v>204000</v>
      </c>
      <c r="AL584" s="7">
        <f>IF(MAX('Lab test'!W577,'Lab test'!X577)&gt;0,MAX('Lab test'!W577,'Lab test'!X577),NA())</f>
        <v>306</v>
      </c>
      <c r="AM584" s="401">
        <f>IF('Lab test'!P577&gt;0,'Lab test'!P577,NA())</f>
        <v>0.16111550603487476</v>
      </c>
      <c r="AN584" s="401">
        <f>IF('Lab test'!AU577&gt;0,'Lab test'!AU577,NA())</f>
        <v>0.57843137254901966</v>
      </c>
      <c r="AO584" s="401">
        <f>IF('Lab test'!AT577&gt;0,'Lab test'!AT577,NA())</f>
        <v>0.31835689332816192</v>
      </c>
      <c r="AP584">
        <f t="shared" si="220"/>
        <v>1</v>
      </c>
      <c r="AQ584" s="401">
        <f>'Lab test'!AZ577</f>
        <v>1982</v>
      </c>
      <c r="AR584" t="str">
        <f>'Lab test'!AC577</f>
        <v>LTWa</v>
      </c>
      <c r="AS584" t="str">
        <f>'Lab test'!T577</f>
        <v>Steel</v>
      </c>
      <c r="AX584" t="e">
        <f t="shared" si="205"/>
        <v>#N/A</v>
      </c>
      <c r="AY584" t="e">
        <f t="shared" si="221"/>
        <v>#N/A</v>
      </c>
      <c r="AZ584" t="e">
        <f t="shared" si="224"/>
        <v>#N/A</v>
      </c>
      <c r="BA584" t="e">
        <f t="shared" si="224"/>
        <v>#N/A</v>
      </c>
      <c r="BB584" t="e">
        <f t="shared" si="224"/>
        <v>#N/A</v>
      </c>
      <c r="BC584" t="e">
        <f t="shared" si="224"/>
        <v>#N/A</v>
      </c>
      <c r="BD584" t="e">
        <f t="shared" si="224"/>
        <v>#N/A</v>
      </c>
      <c r="BG584" t="e">
        <f t="shared" si="206"/>
        <v>#N/A</v>
      </c>
      <c r="BH584" t="e">
        <f t="shared" si="222"/>
        <v>#N/A</v>
      </c>
      <c r="BI584" t="e">
        <f t="shared" si="225"/>
        <v>#N/A</v>
      </c>
      <c r="BJ584" t="e">
        <f t="shared" si="225"/>
        <v>#N/A</v>
      </c>
      <c r="BK584" t="e">
        <f t="shared" si="225"/>
        <v>#N/A</v>
      </c>
      <c r="BL584" t="e">
        <f t="shared" si="225"/>
        <v>#N/A</v>
      </c>
      <c r="BM584" t="e">
        <f t="shared" si="225"/>
        <v>#N/A</v>
      </c>
      <c r="BP584" t="e">
        <f t="shared" si="207"/>
        <v>#N/A</v>
      </c>
      <c r="BQ584" t="e">
        <f t="shared" si="223"/>
        <v>#N/A</v>
      </c>
      <c r="BR584" t="e">
        <f t="shared" si="226"/>
        <v>#N/A</v>
      </c>
      <c r="BS584" t="e">
        <f t="shared" si="226"/>
        <v>#N/A</v>
      </c>
      <c r="BT584" t="e">
        <f t="shared" si="226"/>
        <v>#N/A</v>
      </c>
      <c r="BU584" t="e">
        <f t="shared" si="226"/>
        <v>#N/A</v>
      </c>
      <c r="BV584" t="e">
        <f t="shared" si="226"/>
        <v>#N/A</v>
      </c>
      <c r="BY584" t="e">
        <f t="shared" si="208"/>
        <v>#N/A</v>
      </c>
      <c r="BZ584" t="e">
        <v>#N/A</v>
      </c>
      <c r="CA584" t="e" cm="1">
        <f t="array" ref="CA584">IF(ISNUMBER(BZ584),AF584/COUNT(IF(ISNUMBER(_xlfn.ANCHORARRAY($BZ$11)),_xlfn.ANCHORARRAY($BZ$11))),NA())</f>
        <v>#N/A</v>
      </c>
      <c r="CB584" t="e">
        <f t="shared" si="209"/>
        <v>#N/A</v>
      </c>
      <c r="CD584" t="e">
        <f t="shared" si="210"/>
        <v>#N/A</v>
      </c>
      <c r="CE584" t="e">
        <f t="shared" si="211"/>
        <v>#N/A</v>
      </c>
      <c r="CG584" t="e">
        <v>#N/A</v>
      </c>
      <c r="CH584" t="e">
        <v>#N/A</v>
      </c>
      <c r="CL584" t="e">
        <f t="shared" si="212"/>
        <v>#N/A</v>
      </c>
      <c r="CM584" t="e">
        <v>#N/A</v>
      </c>
      <c r="CN584" t="e" cm="1">
        <f t="array" ref="CN584">IF(ISNUMBER(CM584),AF584/COUNT(IF(ISNUMBER(_xlfn.ANCHORARRAY($CM$11)),_xlfn.ANCHORARRAY($CM$11))),NA())</f>
        <v>#N/A</v>
      </c>
      <c r="CO584" t="e">
        <f t="shared" si="213"/>
        <v>#N/A</v>
      </c>
      <c r="CQ584" t="e">
        <f t="shared" si="214"/>
        <v>#N/A</v>
      </c>
      <c r="CR584" t="e">
        <f t="shared" si="215"/>
        <v>#N/A</v>
      </c>
      <c r="CT584" t="e">
        <v>#N/A</v>
      </c>
      <c r="CU584" t="e">
        <v>#N/A</v>
      </c>
      <c r="CY584" t="e">
        <f t="shared" si="216"/>
        <v>#N/A</v>
      </c>
      <c r="CZ584" t="e">
        <v>#N/A</v>
      </c>
      <c r="DA584" t="e" cm="1">
        <f t="array" ref="DA584">IF(ISNUMBER(CZ584),AF584/COUNT(IF(ISNUMBER(_xlfn.ANCHORARRAY($CZ$11)),_xlfn.ANCHORARRAY($CZ$11))),NA())</f>
        <v>#N/A</v>
      </c>
      <c r="DB584" t="e">
        <f t="shared" si="217"/>
        <v>#N/A</v>
      </c>
      <c r="DD584" t="e">
        <f t="shared" si="218"/>
        <v>#N/A</v>
      </c>
      <c r="DE584" t="e">
        <f t="shared" si="219"/>
        <v>#N/A</v>
      </c>
      <c r="DG584" t="e">
        <v>#N/A</v>
      </c>
      <c r="DH584" t="e">
        <v>#N/A</v>
      </c>
    </row>
    <row r="585" spans="32:112">
      <c r="AF585">
        <v>575</v>
      </c>
      <c r="AG585" s="401">
        <f>'Lab test'!N578</f>
        <v>36.906199999999998</v>
      </c>
      <c r="AH585" s="401">
        <f>'Lab test'!M578</f>
        <v>0.10160000000000001</v>
      </c>
      <c r="AI585">
        <f>IF('Lab test'!O578&gt;0,'Lab test'!O578,NA())</f>
        <v>203.2</v>
      </c>
      <c r="AJ585">
        <f>'Lab test'!Q578</f>
        <v>363.24999999999994</v>
      </c>
      <c r="AK585" s="401">
        <f>IF('Lab test'!V578&gt;0,'Lab test'!V578,NA())</f>
        <v>165474.17503604069</v>
      </c>
      <c r="AL585" s="7" t="e">
        <f>IF(MAX('Lab test'!W578,'Lab test'!X578)&gt;0,MAX('Lab test'!W578,'Lab test'!X578),NA())</f>
        <v>#N/A</v>
      </c>
      <c r="AM585" s="401">
        <f>IF('Lab test'!P578&gt;0,'Lab test'!P578,NA())</f>
        <v>0.28888271776099356</v>
      </c>
      <c r="AN585" s="401" t="e">
        <f>IF('Lab test'!AU578&gt;0,'Lab test'!AU578,NA())</f>
        <v>#N/A</v>
      </c>
      <c r="AO585" s="401">
        <f>IF('Lab test'!AT578&gt;0,'Lab test'!AT578,NA())</f>
        <v>0.68161893022015496</v>
      </c>
      <c r="AP585" t="e">
        <f t="shared" si="220"/>
        <v>#N/A</v>
      </c>
      <c r="AQ585" s="401">
        <f>'Lab test'!AZ578</f>
        <v>1965</v>
      </c>
      <c r="AR585" t="str">
        <f>'Lab test'!AC578</f>
        <v>Electroforming</v>
      </c>
      <c r="AS585" t="str">
        <f>'Lab test'!T578</f>
        <v>Nickel</v>
      </c>
      <c r="AX585" t="e">
        <f t="shared" si="205"/>
        <v>#N/A</v>
      </c>
      <c r="AY585" t="e">
        <f t="shared" si="221"/>
        <v>#N/A</v>
      </c>
      <c r="AZ585" t="e">
        <f t="shared" si="224"/>
        <v>#N/A</v>
      </c>
      <c r="BA585" t="e">
        <f t="shared" si="224"/>
        <v>#N/A</v>
      </c>
      <c r="BB585" t="e">
        <f t="shared" si="224"/>
        <v>#N/A</v>
      </c>
      <c r="BC585" t="e">
        <f t="shared" si="224"/>
        <v>#N/A</v>
      </c>
      <c r="BD585" t="e">
        <f t="shared" si="224"/>
        <v>#N/A</v>
      </c>
      <c r="BG585" t="e">
        <f t="shared" si="206"/>
        <v>#N/A</v>
      </c>
      <c r="BH585" t="e">
        <f t="shared" si="222"/>
        <v>#N/A</v>
      </c>
      <c r="BI585" t="e">
        <f t="shared" si="225"/>
        <v>#N/A</v>
      </c>
      <c r="BJ585" t="e">
        <f t="shared" si="225"/>
        <v>#N/A</v>
      </c>
      <c r="BK585" t="e">
        <f t="shared" si="225"/>
        <v>#N/A</v>
      </c>
      <c r="BL585" t="e">
        <f t="shared" si="225"/>
        <v>#N/A</v>
      </c>
      <c r="BM585" t="e">
        <f t="shared" si="225"/>
        <v>#N/A</v>
      </c>
      <c r="BP585" t="e">
        <f t="shared" si="207"/>
        <v>#N/A</v>
      </c>
      <c r="BQ585" t="e">
        <f t="shared" si="223"/>
        <v>#N/A</v>
      </c>
      <c r="BR585" t="e">
        <f t="shared" si="226"/>
        <v>#N/A</v>
      </c>
      <c r="BS585" t="e">
        <f t="shared" si="226"/>
        <v>#N/A</v>
      </c>
      <c r="BT585" t="e">
        <f t="shared" si="226"/>
        <v>#N/A</v>
      </c>
      <c r="BU585" t="e">
        <f t="shared" si="226"/>
        <v>#N/A</v>
      </c>
      <c r="BV585" t="e">
        <f t="shared" si="226"/>
        <v>#N/A</v>
      </c>
      <c r="BY585" t="e">
        <f t="shared" si="208"/>
        <v>#N/A</v>
      </c>
      <c r="BZ585" t="e">
        <v>#N/A</v>
      </c>
      <c r="CA585" t="e" cm="1">
        <f t="array" ref="CA585">IF(ISNUMBER(BZ585),AF585/COUNT(IF(ISNUMBER(_xlfn.ANCHORARRAY($BZ$11)),_xlfn.ANCHORARRAY($BZ$11))),NA())</f>
        <v>#N/A</v>
      </c>
      <c r="CB585" t="e">
        <f t="shared" si="209"/>
        <v>#N/A</v>
      </c>
      <c r="CD585" t="e">
        <f t="shared" si="210"/>
        <v>#N/A</v>
      </c>
      <c r="CE585" t="e">
        <f t="shared" si="211"/>
        <v>#N/A</v>
      </c>
      <c r="CG585" t="e">
        <v>#N/A</v>
      </c>
      <c r="CH585" t="e">
        <v>#N/A</v>
      </c>
      <c r="CL585" t="e">
        <f t="shared" si="212"/>
        <v>#N/A</v>
      </c>
      <c r="CM585" t="e">
        <v>#N/A</v>
      </c>
      <c r="CN585" t="e" cm="1">
        <f t="array" ref="CN585">IF(ISNUMBER(CM585),AF585/COUNT(IF(ISNUMBER(_xlfn.ANCHORARRAY($CM$11)),_xlfn.ANCHORARRAY($CM$11))),NA())</f>
        <v>#N/A</v>
      </c>
      <c r="CO585" t="e">
        <f t="shared" si="213"/>
        <v>#N/A</v>
      </c>
      <c r="CQ585" t="e">
        <f t="shared" si="214"/>
        <v>#N/A</v>
      </c>
      <c r="CR585" t="e">
        <f t="shared" si="215"/>
        <v>#N/A</v>
      </c>
      <c r="CT585" t="e">
        <v>#N/A</v>
      </c>
      <c r="CU585" t="e">
        <v>#N/A</v>
      </c>
      <c r="CY585" t="e">
        <f t="shared" si="216"/>
        <v>#N/A</v>
      </c>
      <c r="CZ585" t="e">
        <v>#N/A</v>
      </c>
      <c r="DA585" t="e" cm="1">
        <f t="array" ref="DA585">IF(ISNUMBER(CZ585),AF585/COUNT(IF(ISNUMBER(_xlfn.ANCHORARRAY($CZ$11)),_xlfn.ANCHORARRAY($CZ$11))),NA())</f>
        <v>#N/A</v>
      </c>
      <c r="DB585" t="e">
        <f t="shared" si="217"/>
        <v>#N/A</v>
      </c>
      <c r="DD585" t="e">
        <f t="shared" si="218"/>
        <v>#N/A</v>
      </c>
      <c r="DE585" t="e">
        <f t="shared" si="219"/>
        <v>#N/A</v>
      </c>
      <c r="DG585" t="e">
        <v>#N/A</v>
      </c>
      <c r="DH585" t="e">
        <v>#N/A</v>
      </c>
    </row>
    <row r="586" spans="32:112">
      <c r="AF586">
        <v>576</v>
      </c>
      <c r="AG586" s="401">
        <f>'Lab test'!N579</f>
        <v>36.906199999999998</v>
      </c>
      <c r="AH586" s="401">
        <f>'Lab test'!M579</f>
        <v>0.10160000000000001</v>
      </c>
      <c r="AI586">
        <f>IF('Lab test'!O579&gt;0,'Lab test'!O579,NA())</f>
        <v>203.2</v>
      </c>
      <c r="AJ586">
        <f>'Lab test'!Q579</f>
        <v>363.24999999999994</v>
      </c>
      <c r="AK586" s="401">
        <f>IF('Lab test'!V579&gt;0,'Lab test'!V579,NA())</f>
        <v>165474.17503604069</v>
      </c>
      <c r="AL586" s="7" t="e">
        <f>IF(MAX('Lab test'!W579,'Lab test'!X579)&gt;0,MAX('Lab test'!W579,'Lab test'!X579),NA())</f>
        <v>#N/A</v>
      </c>
      <c r="AM586" s="401">
        <f>IF('Lab test'!P579&gt;0,'Lab test'!P579,NA())</f>
        <v>0.28888271776099356</v>
      </c>
      <c r="AN586" s="401" t="e">
        <f>IF('Lab test'!AU579&gt;0,'Lab test'!AU579,NA())</f>
        <v>#N/A</v>
      </c>
      <c r="AO586" s="401">
        <f>IF('Lab test'!AT579&gt;0,'Lab test'!AT579,NA())</f>
        <v>0.83917908494441196</v>
      </c>
      <c r="AP586" t="e">
        <f t="shared" si="220"/>
        <v>#N/A</v>
      </c>
      <c r="AQ586" s="401">
        <f>'Lab test'!AZ579</f>
        <v>1965</v>
      </c>
      <c r="AR586" t="str">
        <f>'Lab test'!AC579</f>
        <v>Electroforming</v>
      </c>
      <c r="AS586" t="str">
        <f>'Lab test'!T579</f>
        <v>Nickel</v>
      </c>
      <c r="AX586" t="e">
        <f t="shared" si="205"/>
        <v>#N/A</v>
      </c>
      <c r="AY586" t="e">
        <f t="shared" si="221"/>
        <v>#N/A</v>
      </c>
      <c r="AZ586" t="e">
        <f t="shared" si="224"/>
        <v>#N/A</v>
      </c>
      <c r="BA586" t="e">
        <f t="shared" si="224"/>
        <v>#N/A</v>
      </c>
      <c r="BB586" t="e">
        <f t="shared" si="224"/>
        <v>#N/A</v>
      </c>
      <c r="BC586" t="e">
        <f t="shared" si="224"/>
        <v>#N/A</v>
      </c>
      <c r="BD586" t="e">
        <f t="shared" si="224"/>
        <v>#N/A</v>
      </c>
      <c r="BG586" t="e">
        <f t="shared" si="206"/>
        <v>#N/A</v>
      </c>
      <c r="BH586" t="e">
        <f t="shared" si="222"/>
        <v>#N/A</v>
      </c>
      <c r="BI586" t="e">
        <f t="shared" si="225"/>
        <v>#N/A</v>
      </c>
      <c r="BJ586" t="e">
        <f t="shared" si="225"/>
        <v>#N/A</v>
      </c>
      <c r="BK586" t="e">
        <f t="shared" si="225"/>
        <v>#N/A</v>
      </c>
      <c r="BL586" t="e">
        <f t="shared" si="225"/>
        <v>#N/A</v>
      </c>
      <c r="BM586" t="e">
        <f t="shared" si="225"/>
        <v>#N/A</v>
      </c>
      <c r="BP586" t="e">
        <f t="shared" si="207"/>
        <v>#N/A</v>
      </c>
      <c r="BQ586" t="e">
        <f t="shared" si="223"/>
        <v>#N/A</v>
      </c>
      <c r="BR586" t="e">
        <f t="shared" si="226"/>
        <v>#N/A</v>
      </c>
      <c r="BS586" t="e">
        <f t="shared" si="226"/>
        <v>#N/A</v>
      </c>
      <c r="BT586" t="e">
        <f t="shared" si="226"/>
        <v>#N/A</v>
      </c>
      <c r="BU586" t="e">
        <f t="shared" si="226"/>
        <v>#N/A</v>
      </c>
      <c r="BV586" t="e">
        <f t="shared" si="226"/>
        <v>#N/A</v>
      </c>
      <c r="BY586" t="e">
        <f t="shared" si="208"/>
        <v>#N/A</v>
      </c>
      <c r="BZ586" t="e">
        <v>#N/A</v>
      </c>
      <c r="CA586" t="e" cm="1">
        <f t="array" ref="CA586">IF(ISNUMBER(BZ586),AF586/COUNT(IF(ISNUMBER(_xlfn.ANCHORARRAY($BZ$11)),_xlfn.ANCHORARRAY($BZ$11))),NA())</f>
        <v>#N/A</v>
      </c>
      <c r="CB586" t="e">
        <f t="shared" si="209"/>
        <v>#N/A</v>
      </c>
      <c r="CD586" t="e">
        <f t="shared" si="210"/>
        <v>#N/A</v>
      </c>
      <c r="CE586" t="e">
        <f t="shared" si="211"/>
        <v>#N/A</v>
      </c>
      <c r="CG586" t="e">
        <v>#N/A</v>
      </c>
      <c r="CH586" t="e">
        <v>#N/A</v>
      </c>
      <c r="CL586" t="e">
        <f t="shared" si="212"/>
        <v>#N/A</v>
      </c>
      <c r="CM586" t="e">
        <v>#N/A</v>
      </c>
      <c r="CN586" t="e" cm="1">
        <f t="array" ref="CN586">IF(ISNUMBER(CM586),AF586/COUNT(IF(ISNUMBER(_xlfn.ANCHORARRAY($CM$11)),_xlfn.ANCHORARRAY($CM$11))),NA())</f>
        <v>#N/A</v>
      </c>
      <c r="CO586" t="e">
        <f t="shared" si="213"/>
        <v>#N/A</v>
      </c>
      <c r="CQ586" t="e">
        <f t="shared" si="214"/>
        <v>#N/A</v>
      </c>
      <c r="CR586" t="e">
        <f t="shared" si="215"/>
        <v>#N/A</v>
      </c>
      <c r="CT586" t="e">
        <v>#N/A</v>
      </c>
      <c r="CU586" t="e">
        <v>#N/A</v>
      </c>
      <c r="CY586" t="e">
        <f t="shared" si="216"/>
        <v>#N/A</v>
      </c>
      <c r="CZ586" t="e">
        <v>#N/A</v>
      </c>
      <c r="DA586" t="e" cm="1">
        <f t="array" ref="DA586">IF(ISNUMBER(CZ586),AF586/COUNT(IF(ISNUMBER(_xlfn.ANCHORARRAY($CZ$11)),_xlfn.ANCHORARRAY($CZ$11))),NA())</f>
        <v>#N/A</v>
      </c>
      <c r="DB586" t="e">
        <f t="shared" si="217"/>
        <v>#N/A</v>
      </c>
      <c r="DD586" t="e">
        <f t="shared" si="218"/>
        <v>#N/A</v>
      </c>
      <c r="DE586" t="e">
        <f t="shared" si="219"/>
        <v>#N/A</v>
      </c>
      <c r="DG586" t="e">
        <v>#N/A</v>
      </c>
      <c r="DH586" t="e">
        <v>#N/A</v>
      </c>
    </row>
    <row r="587" spans="32:112">
      <c r="AF587">
        <v>577</v>
      </c>
      <c r="AG587" s="401">
        <f>'Lab test'!N580</f>
        <v>36.906199999999998</v>
      </c>
      <c r="AH587" s="401">
        <f>'Lab test'!M580</f>
        <v>0.10160000000000001</v>
      </c>
      <c r="AI587">
        <f>IF('Lab test'!O580&gt;0,'Lab test'!O580,NA())</f>
        <v>203.2</v>
      </c>
      <c r="AJ587">
        <f>'Lab test'!Q580</f>
        <v>363.24999999999994</v>
      </c>
      <c r="AK587" s="401">
        <f>IF('Lab test'!V580&gt;0,'Lab test'!V580,NA())</f>
        <v>165474.17503604069</v>
      </c>
      <c r="AL587" s="7" t="e">
        <f>IF(MAX('Lab test'!W580,'Lab test'!X580)&gt;0,MAX('Lab test'!W580,'Lab test'!X580),NA())</f>
        <v>#N/A</v>
      </c>
      <c r="AM587" s="401">
        <f>IF('Lab test'!P580&gt;0,'Lab test'!P580,NA())</f>
        <v>0.28888271776099356</v>
      </c>
      <c r="AN587" s="401" t="e">
        <f>IF('Lab test'!AU580&gt;0,'Lab test'!AU580,NA())</f>
        <v>#N/A</v>
      </c>
      <c r="AO587" s="401">
        <f>IF('Lab test'!AT580&gt;0,'Lab test'!AT580,NA())</f>
        <v>0.81040723060346065</v>
      </c>
      <c r="AP587" t="e">
        <f t="shared" si="220"/>
        <v>#N/A</v>
      </c>
      <c r="AQ587" s="401">
        <f>'Lab test'!AZ580</f>
        <v>1965</v>
      </c>
      <c r="AR587" t="str">
        <f>'Lab test'!AC580</f>
        <v>Electroforming</v>
      </c>
      <c r="AS587" t="str">
        <f>'Lab test'!T580</f>
        <v>Nickel</v>
      </c>
      <c r="AX587" t="e">
        <f t="shared" si="205"/>
        <v>#N/A</v>
      </c>
      <c r="AY587" t="e">
        <f t="shared" si="221"/>
        <v>#N/A</v>
      </c>
      <c r="AZ587" t="e">
        <f t="shared" si="224"/>
        <v>#N/A</v>
      </c>
      <c r="BA587" t="e">
        <f t="shared" si="224"/>
        <v>#N/A</v>
      </c>
      <c r="BB587" t="e">
        <f t="shared" si="224"/>
        <v>#N/A</v>
      </c>
      <c r="BC587" t="e">
        <f t="shared" si="224"/>
        <v>#N/A</v>
      </c>
      <c r="BD587" t="e">
        <f t="shared" si="224"/>
        <v>#N/A</v>
      </c>
      <c r="BG587" t="e">
        <f t="shared" si="206"/>
        <v>#N/A</v>
      </c>
      <c r="BH587" t="e">
        <f t="shared" si="222"/>
        <v>#N/A</v>
      </c>
      <c r="BI587" t="e">
        <f t="shared" si="225"/>
        <v>#N/A</v>
      </c>
      <c r="BJ587" t="e">
        <f t="shared" si="225"/>
        <v>#N/A</v>
      </c>
      <c r="BK587" t="e">
        <f t="shared" si="225"/>
        <v>#N/A</v>
      </c>
      <c r="BL587" t="e">
        <f t="shared" si="225"/>
        <v>#N/A</v>
      </c>
      <c r="BM587" t="e">
        <f t="shared" si="225"/>
        <v>#N/A</v>
      </c>
      <c r="BP587" t="e">
        <f t="shared" si="207"/>
        <v>#N/A</v>
      </c>
      <c r="BQ587" t="e">
        <f t="shared" si="223"/>
        <v>#N/A</v>
      </c>
      <c r="BR587" t="e">
        <f t="shared" si="226"/>
        <v>#N/A</v>
      </c>
      <c r="BS587" t="e">
        <f t="shared" si="226"/>
        <v>#N/A</v>
      </c>
      <c r="BT587" t="e">
        <f t="shared" si="226"/>
        <v>#N/A</v>
      </c>
      <c r="BU587" t="e">
        <f t="shared" si="226"/>
        <v>#N/A</v>
      </c>
      <c r="BV587" t="e">
        <f t="shared" si="226"/>
        <v>#N/A</v>
      </c>
      <c r="BY587" t="e">
        <f t="shared" si="208"/>
        <v>#N/A</v>
      </c>
      <c r="BZ587" t="e">
        <v>#N/A</v>
      </c>
      <c r="CA587" t="e" cm="1">
        <f t="array" ref="CA587">IF(ISNUMBER(BZ587),AF587/COUNT(IF(ISNUMBER(_xlfn.ANCHORARRAY($BZ$11)),_xlfn.ANCHORARRAY($BZ$11))),NA())</f>
        <v>#N/A</v>
      </c>
      <c r="CB587" t="e">
        <f t="shared" si="209"/>
        <v>#N/A</v>
      </c>
      <c r="CD587" t="e">
        <f t="shared" si="210"/>
        <v>#N/A</v>
      </c>
      <c r="CE587" t="e">
        <f t="shared" si="211"/>
        <v>#N/A</v>
      </c>
      <c r="CG587" t="e">
        <v>#N/A</v>
      </c>
      <c r="CH587" t="e">
        <v>#N/A</v>
      </c>
      <c r="CL587" t="e">
        <f t="shared" si="212"/>
        <v>#N/A</v>
      </c>
      <c r="CM587" t="e">
        <v>#N/A</v>
      </c>
      <c r="CN587" t="e" cm="1">
        <f t="array" ref="CN587">IF(ISNUMBER(CM587),AF587/COUNT(IF(ISNUMBER(_xlfn.ANCHORARRAY($CM$11)),_xlfn.ANCHORARRAY($CM$11))),NA())</f>
        <v>#N/A</v>
      </c>
      <c r="CO587" t="e">
        <f t="shared" si="213"/>
        <v>#N/A</v>
      </c>
      <c r="CQ587" t="e">
        <f t="shared" si="214"/>
        <v>#N/A</v>
      </c>
      <c r="CR587" t="e">
        <f t="shared" si="215"/>
        <v>#N/A</v>
      </c>
      <c r="CT587" t="e">
        <v>#N/A</v>
      </c>
      <c r="CU587" t="e">
        <v>#N/A</v>
      </c>
      <c r="CY587" t="e">
        <f t="shared" si="216"/>
        <v>#N/A</v>
      </c>
      <c r="CZ587" t="e">
        <v>#N/A</v>
      </c>
      <c r="DA587" t="e" cm="1">
        <f t="array" ref="DA587">IF(ISNUMBER(CZ587),AF587/COUNT(IF(ISNUMBER(_xlfn.ANCHORARRAY($CZ$11)),_xlfn.ANCHORARRAY($CZ$11))),NA())</f>
        <v>#N/A</v>
      </c>
      <c r="DB587" t="e">
        <f t="shared" si="217"/>
        <v>#N/A</v>
      </c>
      <c r="DD587" t="e">
        <f t="shared" si="218"/>
        <v>#N/A</v>
      </c>
      <c r="DE587" t="e">
        <f t="shared" si="219"/>
        <v>#N/A</v>
      </c>
      <c r="DG587" t="e">
        <v>#N/A</v>
      </c>
      <c r="DH587" t="e">
        <v>#N/A</v>
      </c>
    </row>
    <row r="588" spans="32:112">
      <c r="AF588">
        <v>578</v>
      </c>
      <c r="AG588" s="401">
        <f>'Lab test'!N581</f>
        <v>101.92512000000001</v>
      </c>
      <c r="AH588" s="401">
        <f>'Lab test'!M581</f>
        <v>0.13411200000000001</v>
      </c>
      <c r="AI588">
        <f>IF('Lab test'!O581&gt;0,'Lab test'!O581,NA())</f>
        <v>177.8</v>
      </c>
      <c r="AJ588">
        <f>'Lab test'!Q581</f>
        <v>760</v>
      </c>
      <c r="AK588" s="401">
        <f>IF('Lab test'!V581&gt;0,'Lab test'!V581,NA())</f>
        <v>110316.11669069379</v>
      </c>
      <c r="AL588" s="7" t="e">
        <f>IF(MAX('Lab test'!W581,'Lab test'!X581)&gt;0,MAX('Lab test'!W581,'Lab test'!X581),NA())</f>
        <v>#N/A</v>
      </c>
      <c r="AM588" s="401">
        <f>IF('Lab test'!P581&gt;0,'Lab test'!P581,NA())</f>
        <v>6.3276686487864858E-2</v>
      </c>
      <c r="AN588" s="401" t="e">
        <f>IF('Lab test'!AU581&gt;0,'Lab test'!AU581,NA())</f>
        <v>#N/A</v>
      </c>
      <c r="AO588" s="401">
        <f>IF('Lab test'!AT581&gt;0,'Lab test'!AT581,NA())</f>
        <v>0.61799999999999999</v>
      </c>
      <c r="AP588" t="e">
        <f t="shared" si="220"/>
        <v>#N/A</v>
      </c>
      <c r="AQ588" s="401">
        <f>'Lab test'!AZ581</f>
        <v>1967</v>
      </c>
      <c r="AR588" t="str">
        <f>'Lab test'!AC581</f>
        <v>Electroforming</v>
      </c>
      <c r="AS588" t="str">
        <f>'Lab test'!T581</f>
        <v>Copper</v>
      </c>
      <c r="AX588" t="e">
        <f t="shared" ref="AX588:AX651" si="227">IF(ISNUMBER($AJ588),IF(ISNUMBER($AP588),IF($AJ588&gt;=AX$9,IF($AJ588&lt;=AX$10,IF($AR588=$AW$2,IF($AS588=$AW$6,$AK588,NA()),NA()),NA()),NA()),NA()),NA())</f>
        <v>#N/A</v>
      </c>
      <c r="AY588" t="e">
        <f t="shared" si="221"/>
        <v>#N/A</v>
      </c>
      <c r="AZ588" t="e">
        <f t="shared" si="224"/>
        <v>#N/A</v>
      </c>
      <c r="BA588" t="e">
        <f t="shared" si="224"/>
        <v>#N/A</v>
      </c>
      <c r="BB588" t="e">
        <f t="shared" si="224"/>
        <v>#N/A</v>
      </c>
      <c r="BC588" t="e">
        <f t="shared" si="224"/>
        <v>#N/A</v>
      </c>
      <c r="BD588" t="e">
        <f t="shared" si="224"/>
        <v>#N/A</v>
      </c>
      <c r="BG588" t="e">
        <f t="shared" ref="BG588:BG651" si="228">IF(ISNUMBER($AJ588),IF(ISNUMBER($AP588),IF($AJ588&gt;=BG$9,IF($AJ588&lt;=BG$10,IF($AR588=$AW$2,IF($AS588=$BF$6,$AK588,NA()),NA()),NA()),NA()),NA()),NA())</f>
        <v>#N/A</v>
      </c>
      <c r="BH588" t="e">
        <f t="shared" si="222"/>
        <v>#N/A</v>
      </c>
      <c r="BI588" t="e">
        <f t="shared" si="225"/>
        <v>#N/A</v>
      </c>
      <c r="BJ588" t="e">
        <f t="shared" si="225"/>
        <v>#N/A</v>
      </c>
      <c r="BK588" t="e">
        <f t="shared" si="225"/>
        <v>#N/A</v>
      </c>
      <c r="BL588" t="e">
        <f t="shared" si="225"/>
        <v>#N/A</v>
      </c>
      <c r="BM588" t="e">
        <f t="shared" si="225"/>
        <v>#N/A</v>
      </c>
      <c r="BP588" t="e">
        <f t="shared" ref="BP588:BP651" si="229">IF(ISNUMBER($AJ588),IF(ISNUMBER($AP588),IF($AJ588&gt;=BP$9,IF($AJ588&lt;=BP$10,IF($AR588=$AW$2,IF($AS588=$BO$6,$AK588,NA()),NA()),NA()),NA()),NA()),NA())</f>
        <v>#N/A</v>
      </c>
      <c r="BQ588" t="e">
        <f t="shared" si="223"/>
        <v>#N/A</v>
      </c>
      <c r="BR588" t="e">
        <f t="shared" si="226"/>
        <v>#N/A</v>
      </c>
      <c r="BS588" t="e">
        <f t="shared" si="226"/>
        <v>#N/A</v>
      </c>
      <c r="BT588" t="e">
        <f t="shared" si="226"/>
        <v>#N/A</v>
      </c>
      <c r="BU588" t="e">
        <f t="shared" si="226"/>
        <v>#N/A</v>
      </c>
      <c r="BV588" t="e">
        <f t="shared" si="226"/>
        <v>#N/A</v>
      </c>
      <c r="BY588" t="e">
        <f t="shared" ref="BY588:BY651" si="230">IF(ISNUMBER(AP588),IF($AR588=$AW$2,IF($AS588=$AW$6,$AK588,NA()),NA()),NA())</f>
        <v>#N/A</v>
      </c>
      <c r="BZ588" t="e">
        <v>#N/A</v>
      </c>
      <c r="CA588" t="e" cm="1">
        <f t="array" ref="CA588">IF(ISNUMBER(BZ588),AF588/COUNT(IF(ISNUMBER(_xlfn.ANCHORARRAY($BZ$11)),_xlfn.ANCHORARRAY($BZ$11))),NA())</f>
        <v>#N/A</v>
      </c>
      <c r="CB588" t="e">
        <f t="shared" ref="CB588:CB651" si="231">IF(BZ588=BZ589,NA(),CA588)</f>
        <v>#N/A</v>
      </c>
      <c r="CD588" t="e">
        <f t="shared" ref="CD588:CD651" si="232">CB588</f>
        <v>#N/A</v>
      </c>
      <c r="CE588" t="e">
        <f t="shared" ref="CE588:CE651" si="233">BZ588</f>
        <v>#N/A</v>
      </c>
      <c r="CG588" t="e">
        <v>#N/A</v>
      </c>
      <c r="CH588" t="e">
        <v>#N/A</v>
      </c>
      <c r="CL588" t="e">
        <f t="shared" ref="CL588:CL651" si="234">IF(ISNUMBER(AP588),IF($AR588=$AW$2,IF($AS588=$BF$6,$AK588,NA()),NA()),NA())</f>
        <v>#N/A</v>
      </c>
      <c r="CM588" t="e">
        <v>#N/A</v>
      </c>
      <c r="CN588" t="e" cm="1">
        <f t="array" ref="CN588">IF(ISNUMBER(CM588),AF588/COUNT(IF(ISNUMBER(_xlfn.ANCHORARRAY($CM$11)),_xlfn.ANCHORARRAY($CM$11))),NA())</f>
        <v>#N/A</v>
      </c>
      <c r="CO588" t="e">
        <f t="shared" ref="CO588:CO651" si="235">IF(CM588=CM589,NA(),CN588)</f>
        <v>#N/A</v>
      </c>
      <c r="CQ588" t="e">
        <f t="shared" ref="CQ588:CQ651" si="236">CO588</f>
        <v>#N/A</v>
      </c>
      <c r="CR588" t="e">
        <f t="shared" ref="CR588:CR651" si="237">CM588</f>
        <v>#N/A</v>
      </c>
      <c r="CT588" t="e">
        <v>#N/A</v>
      </c>
      <c r="CU588" t="e">
        <v>#N/A</v>
      </c>
      <c r="CY588" t="e">
        <f t="shared" ref="CY588:CY651" si="238">IF(ISNUMBER(AP588),IF($AR588=$AW$2,IF($AS588=$BO$6,$AK588,NA()),NA()),NA())</f>
        <v>#N/A</v>
      </c>
      <c r="CZ588" t="e">
        <v>#N/A</v>
      </c>
      <c r="DA588" t="e" cm="1">
        <f t="array" ref="DA588">IF(ISNUMBER(CZ588),AF588/COUNT(IF(ISNUMBER(_xlfn.ANCHORARRAY($CZ$11)),_xlfn.ANCHORARRAY($CZ$11))),NA())</f>
        <v>#N/A</v>
      </c>
      <c r="DB588" t="e">
        <f t="shared" ref="DB588:DB651" si="239">IF(CZ588=CZ589,NA(),DA588)</f>
        <v>#N/A</v>
      </c>
      <c r="DD588" t="e">
        <f t="shared" ref="DD588:DD651" si="240">DB588</f>
        <v>#N/A</v>
      </c>
      <c r="DE588" t="e">
        <f t="shared" ref="DE588:DE651" si="241">CZ588</f>
        <v>#N/A</v>
      </c>
      <c r="DG588" t="e">
        <v>#N/A</v>
      </c>
      <c r="DH588" t="e">
        <v>#N/A</v>
      </c>
    </row>
    <row r="589" spans="32:112">
      <c r="AF589">
        <v>579</v>
      </c>
      <c r="AG589" s="401">
        <f>'Lab test'!N582</f>
        <v>101.93274</v>
      </c>
      <c r="AH589" s="401">
        <f>'Lab test'!M582</f>
        <v>0.112014</v>
      </c>
      <c r="AI589">
        <f>IF('Lab test'!O582&gt;0,'Lab test'!O582,NA())</f>
        <v>203.2</v>
      </c>
      <c r="AJ589">
        <f>'Lab test'!Q582</f>
        <v>910</v>
      </c>
      <c r="AK589" s="401">
        <f>IF('Lab test'!V582&gt;0,'Lab test'!V582,NA())</f>
        <v>110316.11669069379</v>
      </c>
      <c r="AL589" s="7" t="e">
        <f>IF(MAX('Lab test'!W582,'Lab test'!X582)&gt;0,MAX('Lab test'!W582,'Lab test'!X582),NA())</f>
        <v>#N/A</v>
      </c>
      <c r="AM589" s="401">
        <f>IF('Lab test'!P582&gt;0,'Lab test'!P582,NA())</f>
        <v>6.6082932808232631E-2</v>
      </c>
      <c r="AN589" s="401" t="e">
        <f>IF('Lab test'!AU582&gt;0,'Lab test'!AU582,NA())</f>
        <v>#N/A</v>
      </c>
      <c r="AO589" s="401">
        <f>IF('Lab test'!AT582&gt;0,'Lab test'!AT582,NA())</f>
        <v>0.65600000000000003</v>
      </c>
      <c r="AP589" t="e">
        <f t="shared" si="220"/>
        <v>#N/A</v>
      </c>
      <c r="AQ589" s="401">
        <f>'Lab test'!AZ582</f>
        <v>1967</v>
      </c>
      <c r="AR589" t="str">
        <f>'Lab test'!AC582</f>
        <v>Electroforming</v>
      </c>
      <c r="AS589" t="str">
        <f>'Lab test'!T582</f>
        <v>Copper</v>
      </c>
      <c r="AX589" t="e">
        <f t="shared" si="227"/>
        <v>#N/A</v>
      </c>
      <c r="AY589" t="e">
        <f t="shared" si="221"/>
        <v>#N/A</v>
      </c>
      <c r="AZ589" t="e">
        <f t="shared" si="224"/>
        <v>#N/A</v>
      </c>
      <c r="BA589" t="e">
        <f t="shared" si="224"/>
        <v>#N/A</v>
      </c>
      <c r="BB589" t="e">
        <f t="shared" si="224"/>
        <v>#N/A</v>
      </c>
      <c r="BC589" t="e">
        <f t="shared" si="224"/>
        <v>#N/A</v>
      </c>
      <c r="BD589" t="e">
        <f t="shared" si="224"/>
        <v>#N/A</v>
      </c>
      <c r="BG589" t="e">
        <f t="shared" si="228"/>
        <v>#N/A</v>
      </c>
      <c r="BH589" t="e">
        <f t="shared" si="222"/>
        <v>#N/A</v>
      </c>
      <c r="BI589" t="e">
        <f t="shared" si="225"/>
        <v>#N/A</v>
      </c>
      <c r="BJ589" t="e">
        <f t="shared" si="225"/>
        <v>#N/A</v>
      </c>
      <c r="BK589" t="e">
        <f t="shared" si="225"/>
        <v>#N/A</v>
      </c>
      <c r="BL589" t="e">
        <f t="shared" si="225"/>
        <v>#N/A</v>
      </c>
      <c r="BM589" t="e">
        <f t="shared" si="225"/>
        <v>#N/A</v>
      </c>
      <c r="BP589" t="e">
        <f t="shared" si="229"/>
        <v>#N/A</v>
      </c>
      <c r="BQ589" t="e">
        <f t="shared" si="223"/>
        <v>#N/A</v>
      </c>
      <c r="BR589" t="e">
        <f t="shared" si="226"/>
        <v>#N/A</v>
      </c>
      <c r="BS589" t="e">
        <f t="shared" si="226"/>
        <v>#N/A</v>
      </c>
      <c r="BT589" t="e">
        <f t="shared" si="226"/>
        <v>#N/A</v>
      </c>
      <c r="BU589" t="e">
        <f t="shared" si="226"/>
        <v>#N/A</v>
      </c>
      <c r="BV589" t="e">
        <f t="shared" si="226"/>
        <v>#N/A</v>
      </c>
      <c r="BY589" t="e">
        <f t="shared" si="230"/>
        <v>#N/A</v>
      </c>
      <c r="BZ589" t="e">
        <v>#N/A</v>
      </c>
      <c r="CA589" t="e" cm="1">
        <f t="array" ref="CA589">IF(ISNUMBER(BZ589),AF589/COUNT(IF(ISNUMBER(_xlfn.ANCHORARRAY($BZ$11)),_xlfn.ANCHORARRAY($BZ$11))),NA())</f>
        <v>#N/A</v>
      </c>
      <c r="CB589" t="e">
        <f t="shared" si="231"/>
        <v>#N/A</v>
      </c>
      <c r="CD589" t="e">
        <f t="shared" si="232"/>
        <v>#N/A</v>
      </c>
      <c r="CE589" t="e">
        <f t="shared" si="233"/>
        <v>#N/A</v>
      </c>
      <c r="CG589" t="e">
        <v>#N/A</v>
      </c>
      <c r="CH589" t="e">
        <v>#N/A</v>
      </c>
      <c r="CL589" t="e">
        <f t="shared" si="234"/>
        <v>#N/A</v>
      </c>
      <c r="CM589" t="e">
        <v>#N/A</v>
      </c>
      <c r="CN589" t="e" cm="1">
        <f t="array" ref="CN589">IF(ISNUMBER(CM589),AF589/COUNT(IF(ISNUMBER(_xlfn.ANCHORARRAY($CM$11)),_xlfn.ANCHORARRAY($CM$11))),NA())</f>
        <v>#N/A</v>
      </c>
      <c r="CO589" t="e">
        <f t="shared" si="235"/>
        <v>#N/A</v>
      </c>
      <c r="CQ589" t="e">
        <f t="shared" si="236"/>
        <v>#N/A</v>
      </c>
      <c r="CR589" t="e">
        <f t="shared" si="237"/>
        <v>#N/A</v>
      </c>
      <c r="CT589" t="e">
        <v>#N/A</v>
      </c>
      <c r="CU589" t="e">
        <v>#N/A</v>
      </c>
      <c r="CY589" t="e">
        <f t="shared" si="238"/>
        <v>#N/A</v>
      </c>
      <c r="CZ589" t="e">
        <v>#N/A</v>
      </c>
      <c r="DA589" t="e" cm="1">
        <f t="array" ref="DA589">IF(ISNUMBER(CZ589),AF589/COUNT(IF(ISNUMBER(_xlfn.ANCHORARRAY($CZ$11)),_xlfn.ANCHORARRAY($CZ$11))),NA())</f>
        <v>#N/A</v>
      </c>
      <c r="DB589" t="e">
        <f t="shared" si="239"/>
        <v>#N/A</v>
      </c>
      <c r="DD589" t="e">
        <f t="shared" si="240"/>
        <v>#N/A</v>
      </c>
      <c r="DE589" t="e">
        <f t="shared" si="241"/>
        <v>#N/A</v>
      </c>
      <c r="DG589" t="e">
        <v>#N/A</v>
      </c>
      <c r="DH589" t="e">
        <v>#N/A</v>
      </c>
    </row>
    <row r="590" spans="32:112">
      <c r="AF590">
        <v>580</v>
      </c>
      <c r="AG590" s="401">
        <f>'Lab test'!N583</f>
        <v>101.25710000000002</v>
      </c>
      <c r="AH590" s="401">
        <f>'Lab test'!M583</f>
        <v>0.11912600000000002</v>
      </c>
      <c r="AI590">
        <f>IF('Lab test'!O583&gt;0,'Lab test'!O583,NA())</f>
        <v>254</v>
      </c>
      <c r="AJ590">
        <f>'Lab test'!Q583</f>
        <v>850</v>
      </c>
      <c r="AK590" s="401">
        <f>IF('Lab test'!V583&gt;0,'Lab test'!V583,NA())</f>
        <v>115142.44679591163</v>
      </c>
      <c r="AL590" s="7" t="e">
        <f>IF(MAX('Lab test'!W583,'Lab test'!X583)&gt;0,MAX('Lab test'!W583,'Lab test'!X583),NA())</f>
        <v>#N/A</v>
      </c>
      <c r="AM590" s="401">
        <f>IF('Lab test'!P583&gt;0,'Lab test'!P583,NA())</f>
        <v>8.6039676479372273E-2</v>
      </c>
      <c r="AN590" s="401" t="e">
        <f>IF('Lab test'!AU583&gt;0,'Lab test'!AU583,NA())</f>
        <v>#N/A</v>
      </c>
      <c r="AO590" s="401">
        <f>IF('Lab test'!AT583&gt;0,'Lab test'!AT583,NA())</f>
        <v>0.68700000000000006</v>
      </c>
      <c r="AP590" t="e">
        <f t="shared" si="220"/>
        <v>#N/A</v>
      </c>
      <c r="AQ590" s="401">
        <f>'Lab test'!AZ583</f>
        <v>1967</v>
      </c>
      <c r="AR590" t="str">
        <f>'Lab test'!AC583</f>
        <v>Electroforming</v>
      </c>
      <c r="AS590" t="str">
        <f>'Lab test'!T583</f>
        <v>Copper</v>
      </c>
      <c r="AX590" t="e">
        <f t="shared" si="227"/>
        <v>#N/A</v>
      </c>
      <c r="AY590" t="e">
        <f t="shared" si="221"/>
        <v>#N/A</v>
      </c>
      <c r="AZ590" t="e">
        <f t="shared" si="224"/>
        <v>#N/A</v>
      </c>
      <c r="BA590" t="e">
        <f t="shared" si="224"/>
        <v>#N/A</v>
      </c>
      <c r="BB590" t="e">
        <f t="shared" si="224"/>
        <v>#N/A</v>
      </c>
      <c r="BC590" t="e">
        <f t="shared" si="224"/>
        <v>#N/A</v>
      </c>
      <c r="BD590" t="e">
        <f t="shared" si="224"/>
        <v>#N/A</v>
      </c>
      <c r="BG590" t="e">
        <f t="shared" si="228"/>
        <v>#N/A</v>
      </c>
      <c r="BH590" t="e">
        <f t="shared" si="222"/>
        <v>#N/A</v>
      </c>
      <c r="BI590" t="e">
        <f t="shared" si="225"/>
        <v>#N/A</v>
      </c>
      <c r="BJ590" t="e">
        <f t="shared" si="225"/>
        <v>#N/A</v>
      </c>
      <c r="BK590" t="e">
        <f t="shared" si="225"/>
        <v>#N/A</v>
      </c>
      <c r="BL590" t="e">
        <f t="shared" si="225"/>
        <v>#N/A</v>
      </c>
      <c r="BM590" t="e">
        <f t="shared" si="225"/>
        <v>#N/A</v>
      </c>
      <c r="BP590" t="e">
        <f t="shared" si="229"/>
        <v>#N/A</v>
      </c>
      <c r="BQ590" t="e">
        <f t="shared" si="223"/>
        <v>#N/A</v>
      </c>
      <c r="BR590" t="e">
        <f t="shared" si="226"/>
        <v>#N/A</v>
      </c>
      <c r="BS590" t="e">
        <f t="shared" si="226"/>
        <v>#N/A</v>
      </c>
      <c r="BT590" t="e">
        <f t="shared" si="226"/>
        <v>#N/A</v>
      </c>
      <c r="BU590" t="e">
        <f t="shared" si="226"/>
        <v>#N/A</v>
      </c>
      <c r="BV590" t="e">
        <f t="shared" si="226"/>
        <v>#N/A</v>
      </c>
      <c r="BY590" t="e">
        <f t="shared" si="230"/>
        <v>#N/A</v>
      </c>
      <c r="BZ590" t="e">
        <v>#N/A</v>
      </c>
      <c r="CA590" t="e" cm="1">
        <f t="array" ref="CA590">IF(ISNUMBER(BZ590),AF590/COUNT(IF(ISNUMBER(_xlfn.ANCHORARRAY($BZ$11)),_xlfn.ANCHORARRAY($BZ$11))),NA())</f>
        <v>#N/A</v>
      </c>
      <c r="CB590" t="e">
        <f t="shared" si="231"/>
        <v>#N/A</v>
      </c>
      <c r="CD590" t="e">
        <f t="shared" si="232"/>
        <v>#N/A</v>
      </c>
      <c r="CE590" t="e">
        <f t="shared" si="233"/>
        <v>#N/A</v>
      </c>
      <c r="CG590" t="e">
        <v>#N/A</v>
      </c>
      <c r="CH590" t="e">
        <v>#N/A</v>
      </c>
      <c r="CL590" t="e">
        <f t="shared" si="234"/>
        <v>#N/A</v>
      </c>
      <c r="CM590" t="e">
        <v>#N/A</v>
      </c>
      <c r="CN590" t="e" cm="1">
        <f t="array" ref="CN590">IF(ISNUMBER(CM590),AF590/COUNT(IF(ISNUMBER(_xlfn.ANCHORARRAY($CM$11)),_xlfn.ANCHORARRAY($CM$11))),NA())</f>
        <v>#N/A</v>
      </c>
      <c r="CO590" t="e">
        <f t="shared" si="235"/>
        <v>#N/A</v>
      </c>
      <c r="CQ590" t="e">
        <f t="shared" si="236"/>
        <v>#N/A</v>
      </c>
      <c r="CR590" t="e">
        <f t="shared" si="237"/>
        <v>#N/A</v>
      </c>
      <c r="CT590" t="e">
        <v>#N/A</v>
      </c>
      <c r="CU590" t="e">
        <v>#N/A</v>
      </c>
      <c r="CY590" t="e">
        <f t="shared" si="238"/>
        <v>#N/A</v>
      </c>
      <c r="CZ590" t="e">
        <v>#N/A</v>
      </c>
      <c r="DA590" t="e" cm="1">
        <f t="array" ref="DA590">IF(ISNUMBER(CZ590),AF590/COUNT(IF(ISNUMBER(_xlfn.ANCHORARRAY($CZ$11)),_xlfn.ANCHORARRAY($CZ$11))),NA())</f>
        <v>#N/A</v>
      </c>
      <c r="DB590" t="e">
        <f t="shared" si="239"/>
        <v>#N/A</v>
      </c>
      <c r="DD590" t="e">
        <f t="shared" si="240"/>
        <v>#N/A</v>
      </c>
      <c r="DE590" t="e">
        <f t="shared" si="241"/>
        <v>#N/A</v>
      </c>
      <c r="DG590" t="e">
        <v>#N/A</v>
      </c>
      <c r="DH590" t="e">
        <v>#N/A</v>
      </c>
    </row>
    <row r="591" spans="32:112">
      <c r="AF591">
        <v>581</v>
      </c>
      <c r="AG591" s="401">
        <f>'Lab test'!N584</f>
        <v>102.73792000000002</v>
      </c>
      <c r="AH591" s="401">
        <f>'Lab test'!M584</f>
        <v>0.13004800000000002</v>
      </c>
      <c r="AI591">
        <f>IF('Lab test'!O584&gt;0,'Lab test'!O584,NA())</f>
        <v>254</v>
      </c>
      <c r="AJ591">
        <f>'Lab test'!Q584</f>
        <v>790</v>
      </c>
      <c r="AK591" s="401">
        <f>IF('Lab test'!V584&gt;0,'Lab test'!V584,NA())</f>
        <v>108937.16523206011</v>
      </c>
      <c r="AL591" s="7" t="e">
        <f>IF(MAX('Lab test'!W584,'Lab test'!X584)&gt;0,MAX('Lab test'!W584,'Lab test'!X584),NA())</f>
        <v>#N/A</v>
      </c>
      <c r="AM591" s="401">
        <f>IF('Lab test'!P584&gt;0,'Lab test'!P584,NA())</f>
        <v>8.7960846885485056E-2</v>
      </c>
      <c r="AN591" s="401" t="e">
        <f>IF('Lab test'!AU584&gt;0,'Lab test'!AU584,NA())</f>
        <v>#N/A</v>
      </c>
      <c r="AO591" s="401">
        <f>IF('Lab test'!AT584&gt;0,'Lab test'!AT584,NA())</f>
        <v>0.68400000000000005</v>
      </c>
      <c r="AP591" t="e">
        <f t="shared" si="220"/>
        <v>#N/A</v>
      </c>
      <c r="AQ591" s="401">
        <f>'Lab test'!AZ584</f>
        <v>1967</v>
      </c>
      <c r="AR591" t="str">
        <f>'Lab test'!AC584</f>
        <v>Electroforming</v>
      </c>
      <c r="AS591" t="str">
        <f>'Lab test'!T584</f>
        <v>Copper</v>
      </c>
      <c r="AX591" t="e">
        <f t="shared" si="227"/>
        <v>#N/A</v>
      </c>
      <c r="AY591" t="e">
        <f t="shared" si="221"/>
        <v>#N/A</v>
      </c>
      <c r="AZ591" t="e">
        <f t="shared" si="224"/>
        <v>#N/A</v>
      </c>
      <c r="BA591" t="e">
        <f t="shared" si="224"/>
        <v>#N/A</v>
      </c>
      <c r="BB591" t="e">
        <f t="shared" si="224"/>
        <v>#N/A</v>
      </c>
      <c r="BC591" t="e">
        <f t="shared" si="224"/>
        <v>#N/A</v>
      </c>
      <c r="BD591" t="e">
        <f t="shared" si="224"/>
        <v>#N/A</v>
      </c>
      <c r="BG591" t="e">
        <f t="shared" si="228"/>
        <v>#N/A</v>
      </c>
      <c r="BH591" t="e">
        <f t="shared" si="222"/>
        <v>#N/A</v>
      </c>
      <c r="BI591" t="e">
        <f t="shared" si="225"/>
        <v>#N/A</v>
      </c>
      <c r="BJ591" t="e">
        <f t="shared" si="225"/>
        <v>#N/A</v>
      </c>
      <c r="BK591" t="e">
        <f t="shared" si="225"/>
        <v>#N/A</v>
      </c>
      <c r="BL591" t="e">
        <f t="shared" si="225"/>
        <v>#N/A</v>
      </c>
      <c r="BM591" t="e">
        <f t="shared" si="225"/>
        <v>#N/A</v>
      </c>
      <c r="BP591" t="e">
        <f t="shared" si="229"/>
        <v>#N/A</v>
      </c>
      <c r="BQ591" t="e">
        <f t="shared" si="223"/>
        <v>#N/A</v>
      </c>
      <c r="BR591" t="e">
        <f t="shared" si="226"/>
        <v>#N/A</v>
      </c>
      <c r="BS591" t="e">
        <f t="shared" si="226"/>
        <v>#N/A</v>
      </c>
      <c r="BT591" t="e">
        <f t="shared" si="226"/>
        <v>#N/A</v>
      </c>
      <c r="BU591" t="e">
        <f t="shared" si="226"/>
        <v>#N/A</v>
      </c>
      <c r="BV591" t="e">
        <f t="shared" si="226"/>
        <v>#N/A</v>
      </c>
      <c r="BY591" t="e">
        <f t="shared" si="230"/>
        <v>#N/A</v>
      </c>
      <c r="BZ591" t="e">
        <v>#N/A</v>
      </c>
      <c r="CA591" t="e" cm="1">
        <f t="array" ref="CA591">IF(ISNUMBER(BZ591),AF591/COUNT(IF(ISNUMBER(_xlfn.ANCHORARRAY($BZ$11)),_xlfn.ANCHORARRAY($BZ$11))),NA())</f>
        <v>#N/A</v>
      </c>
      <c r="CB591" t="e">
        <f t="shared" si="231"/>
        <v>#N/A</v>
      </c>
      <c r="CD591" t="e">
        <f t="shared" si="232"/>
        <v>#N/A</v>
      </c>
      <c r="CE591" t="e">
        <f t="shared" si="233"/>
        <v>#N/A</v>
      </c>
      <c r="CG591" t="e">
        <v>#N/A</v>
      </c>
      <c r="CH591" t="e">
        <v>#N/A</v>
      </c>
      <c r="CL591" t="e">
        <f t="shared" si="234"/>
        <v>#N/A</v>
      </c>
      <c r="CM591" t="e">
        <v>#N/A</v>
      </c>
      <c r="CN591" t="e" cm="1">
        <f t="array" ref="CN591">IF(ISNUMBER(CM591),AF591/COUNT(IF(ISNUMBER(_xlfn.ANCHORARRAY($CM$11)),_xlfn.ANCHORARRAY($CM$11))),NA())</f>
        <v>#N/A</v>
      </c>
      <c r="CO591" t="e">
        <f t="shared" si="235"/>
        <v>#N/A</v>
      </c>
      <c r="CQ591" t="e">
        <f t="shared" si="236"/>
        <v>#N/A</v>
      </c>
      <c r="CR591" t="e">
        <f t="shared" si="237"/>
        <v>#N/A</v>
      </c>
      <c r="CT591" t="e">
        <v>#N/A</v>
      </c>
      <c r="CU591" t="e">
        <v>#N/A</v>
      </c>
      <c r="CY591" t="e">
        <f t="shared" si="238"/>
        <v>#N/A</v>
      </c>
      <c r="CZ591" t="e">
        <v>#N/A</v>
      </c>
      <c r="DA591" t="e" cm="1">
        <f t="array" ref="DA591">IF(ISNUMBER(CZ591),AF591/COUNT(IF(ISNUMBER(_xlfn.ANCHORARRAY($CZ$11)),_xlfn.ANCHORARRAY($CZ$11))),NA())</f>
        <v>#N/A</v>
      </c>
      <c r="DB591" t="e">
        <f t="shared" si="239"/>
        <v>#N/A</v>
      </c>
      <c r="DD591" t="e">
        <f t="shared" si="240"/>
        <v>#N/A</v>
      </c>
      <c r="DE591" t="e">
        <f t="shared" si="241"/>
        <v>#N/A</v>
      </c>
      <c r="DG591" t="e">
        <v>#N/A</v>
      </c>
      <c r="DH591" t="e">
        <v>#N/A</v>
      </c>
    </row>
    <row r="592" spans="32:112">
      <c r="AF592">
        <v>582</v>
      </c>
      <c r="AG592" s="401">
        <f>'Lab test'!N585</f>
        <v>101.30028</v>
      </c>
      <c r="AH592" s="401">
        <f>'Lab test'!M585</f>
        <v>9.9314E-2</v>
      </c>
      <c r="AI592">
        <f>IF('Lab test'!O585&gt;0,'Lab test'!O585,NA())</f>
        <v>203.2</v>
      </c>
      <c r="AJ592">
        <f>'Lab test'!Q585</f>
        <v>1020</v>
      </c>
      <c r="AK592" s="401">
        <f>IF('Lab test'!V585&gt;0,'Lab test'!V585,NA())</f>
        <v>110316.11669069379</v>
      </c>
      <c r="AL592" s="7" t="e">
        <f>IF(MAX('Lab test'!W585,'Lab test'!X585)&gt;0,MAX('Lab test'!W585,'Lab test'!X585),NA())</f>
        <v>#N/A</v>
      </c>
      <c r="AM592" s="401">
        <f>IF('Lab test'!P585&gt;0,'Lab test'!P585,NA())</f>
        <v>6.2807711858497525E-2</v>
      </c>
      <c r="AN592" s="401" t="e">
        <f>IF('Lab test'!AU585&gt;0,'Lab test'!AU585,NA())</f>
        <v>#N/A</v>
      </c>
      <c r="AO592" s="401">
        <f>IF('Lab test'!AT585&gt;0,'Lab test'!AT585,NA())</f>
        <v>0.68799999999999994</v>
      </c>
      <c r="AP592" t="e">
        <f t="shared" si="220"/>
        <v>#N/A</v>
      </c>
      <c r="AQ592" s="401">
        <f>'Lab test'!AZ585</f>
        <v>1967</v>
      </c>
      <c r="AR592" t="str">
        <f>'Lab test'!AC585</f>
        <v>Electroforming</v>
      </c>
      <c r="AS592" t="str">
        <f>'Lab test'!T585</f>
        <v>Copper</v>
      </c>
      <c r="AX592" t="e">
        <f t="shared" si="227"/>
        <v>#N/A</v>
      </c>
      <c r="AY592" t="e">
        <f t="shared" si="221"/>
        <v>#N/A</v>
      </c>
      <c r="AZ592" t="e">
        <f t="shared" si="224"/>
        <v>#N/A</v>
      </c>
      <c r="BA592" t="e">
        <f t="shared" si="224"/>
        <v>#N/A</v>
      </c>
      <c r="BB592" t="e">
        <f t="shared" si="224"/>
        <v>#N/A</v>
      </c>
      <c r="BC592" t="e">
        <f t="shared" si="224"/>
        <v>#N/A</v>
      </c>
      <c r="BD592" t="e">
        <f t="shared" si="224"/>
        <v>#N/A</v>
      </c>
      <c r="BG592" t="e">
        <f t="shared" si="228"/>
        <v>#N/A</v>
      </c>
      <c r="BH592" t="e">
        <f t="shared" si="222"/>
        <v>#N/A</v>
      </c>
      <c r="BI592" t="e">
        <f t="shared" si="225"/>
        <v>#N/A</v>
      </c>
      <c r="BJ592" t="e">
        <f t="shared" si="225"/>
        <v>#N/A</v>
      </c>
      <c r="BK592" t="e">
        <f t="shared" si="225"/>
        <v>#N/A</v>
      </c>
      <c r="BL592" t="e">
        <f t="shared" si="225"/>
        <v>#N/A</v>
      </c>
      <c r="BM592" t="e">
        <f t="shared" si="225"/>
        <v>#N/A</v>
      </c>
      <c r="BP592" t="e">
        <f t="shared" si="229"/>
        <v>#N/A</v>
      </c>
      <c r="BQ592" t="e">
        <f t="shared" si="223"/>
        <v>#N/A</v>
      </c>
      <c r="BR592" t="e">
        <f t="shared" si="226"/>
        <v>#N/A</v>
      </c>
      <c r="BS592" t="e">
        <f t="shared" si="226"/>
        <v>#N/A</v>
      </c>
      <c r="BT592" t="e">
        <f t="shared" si="226"/>
        <v>#N/A</v>
      </c>
      <c r="BU592" t="e">
        <f t="shared" si="226"/>
        <v>#N/A</v>
      </c>
      <c r="BV592" t="e">
        <f t="shared" si="226"/>
        <v>#N/A</v>
      </c>
      <c r="BY592" t="e">
        <f t="shared" si="230"/>
        <v>#N/A</v>
      </c>
      <c r="BZ592" t="e">
        <v>#N/A</v>
      </c>
      <c r="CA592" t="e" cm="1">
        <f t="array" ref="CA592">IF(ISNUMBER(BZ592),AF592/COUNT(IF(ISNUMBER(_xlfn.ANCHORARRAY($BZ$11)),_xlfn.ANCHORARRAY($BZ$11))),NA())</f>
        <v>#N/A</v>
      </c>
      <c r="CB592" t="e">
        <f t="shared" si="231"/>
        <v>#N/A</v>
      </c>
      <c r="CD592" t="e">
        <f t="shared" si="232"/>
        <v>#N/A</v>
      </c>
      <c r="CE592" t="e">
        <f t="shared" si="233"/>
        <v>#N/A</v>
      </c>
      <c r="CG592" t="e">
        <v>#N/A</v>
      </c>
      <c r="CH592" t="e">
        <v>#N/A</v>
      </c>
      <c r="CL592" t="e">
        <f t="shared" si="234"/>
        <v>#N/A</v>
      </c>
      <c r="CM592" t="e">
        <v>#N/A</v>
      </c>
      <c r="CN592" t="e" cm="1">
        <f t="array" ref="CN592">IF(ISNUMBER(CM592),AF592/COUNT(IF(ISNUMBER(_xlfn.ANCHORARRAY($CM$11)),_xlfn.ANCHORARRAY($CM$11))),NA())</f>
        <v>#N/A</v>
      </c>
      <c r="CO592" t="e">
        <f t="shared" si="235"/>
        <v>#N/A</v>
      </c>
      <c r="CQ592" t="e">
        <f t="shared" si="236"/>
        <v>#N/A</v>
      </c>
      <c r="CR592" t="e">
        <f t="shared" si="237"/>
        <v>#N/A</v>
      </c>
      <c r="CT592" t="e">
        <v>#N/A</v>
      </c>
      <c r="CU592" t="e">
        <v>#N/A</v>
      </c>
      <c r="CY592" t="e">
        <f t="shared" si="238"/>
        <v>#N/A</v>
      </c>
      <c r="CZ592" t="e">
        <v>#N/A</v>
      </c>
      <c r="DA592" t="e" cm="1">
        <f t="array" ref="DA592">IF(ISNUMBER(CZ592),AF592/COUNT(IF(ISNUMBER(_xlfn.ANCHORARRAY($CZ$11)),_xlfn.ANCHORARRAY($CZ$11))),NA())</f>
        <v>#N/A</v>
      </c>
      <c r="DB592" t="e">
        <f t="shared" si="239"/>
        <v>#N/A</v>
      </c>
      <c r="DD592" t="e">
        <f t="shared" si="240"/>
        <v>#N/A</v>
      </c>
      <c r="DE592" t="e">
        <f t="shared" si="241"/>
        <v>#N/A</v>
      </c>
      <c r="DG592" t="e">
        <v>#N/A</v>
      </c>
      <c r="DH592" t="e">
        <v>#N/A</v>
      </c>
    </row>
    <row r="593" spans="32:112">
      <c r="AF593">
        <v>583</v>
      </c>
      <c r="AG593" s="401">
        <f>'Lab test'!N586</f>
        <v>101.94544</v>
      </c>
      <c r="AH593" s="401">
        <f>'Lab test'!M586</f>
        <v>8.7884000000000004E-2</v>
      </c>
      <c r="AI593">
        <f>IF('Lab test'!O586&gt;0,'Lab test'!O586,NA())</f>
        <v>203.2</v>
      </c>
      <c r="AJ593">
        <f>'Lab test'!Q586</f>
        <v>1160</v>
      </c>
      <c r="AK593" s="401">
        <f>IF('Lab test'!V586&gt;0,'Lab test'!V586,NA())</f>
        <v>114452.97106659482</v>
      </c>
      <c r="AL593" s="7" t="e">
        <f>IF(MAX('Lab test'!W586,'Lab test'!X586)&gt;0,MAX('Lab test'!W586,'Lab test'!X586),NA())</f>
        <v>#N/A</v>
      </c>
      <c r="AM593" s="401">
        <f>IF('Lab test'!P586&gt;0,'Lab test'!P586,NA())</f>
        <v>5.8523043603219395E-2</v>
      </c>
      <c r="AN593" s="401" t="e">
        <f>IF('Lab test'!AU586&gt;0,'Lab test'!AU586,NA())</f>
        <v>#N/A</v>
      </c>
      <c r="AO593" s="401">
        <f>IF('Lab test'!AT586&gt;0,'Lab test'!AT586,NA())</f>
        <v>0.67400000000000004</v>
      </c>
      <c r="AP593" t="e">
        <f t="shared" si="220"/>
        <v>#N/A</v>
      </c>
      <c r="AQ593" s="401">
        <f>'Lab test'!AZ586</f>
        <v>1967</v>
      </c>
      <c r="AR593" t="str">
        <f>'Lab test'!AC586</f>
        <v>Electroforming</v>
      </c>
      <c r="AS593" t="str">
        <f>'Lab test'!T586</f>
        <v>Copper</v>
      </c>
      <c r="AX593" t="e">
        <f t="shared" si="227"/>
        <v>#N/A</v>
      </c>
      <c r="AY593" t="e">
        <f t="shared" si="221"/>
        <v>#N/A</v>
      </c>
      <c r="AZ593" t="e">
        <f t="shared" si="224"/>
        <v>#N/A</v>
      </c>
      <c r="BA593" t="e">
        <f t="shared" si="224"/>
        <v>#N/A</v>
      </c>
      <c r="BB593" t="e">
        <f t="shared" si="224"/>
        <v>#N/A</v>
      </c>
      <c r="BC593" t="e">
        <f t="shared" si="224"/>
        <v>#N/A</v>
      </c>
      <c r="BD593" t="e">
        <f t="shared" si="224"/>
        <v>#N/A</v>
      </c>
      <c r="BG593" t="e">
        <f t="shared" si="228"/>
        <v>#N/A</v>
      </c>
      <c r="BH593" t="e">
        <f t="shared" si="222"/>
        <v>#N/A</v>
      </c>
      <c r="BI593" t="e">
        <f t="shared" si="225"/>
        <v>#N/A</v>
      </c>
      <c r="BJ593" t="e">
        <f t="shared" si="225"/>
        <v>#N/A</v>
      </c>
      <c r="BK593" t="e">
        <f t="shared" si="225"/>
        <v>#N/A</v>
      </c>
      <c r="BL593" t="e">
        <f t="shared" si="225"/>
        <v>#N/A</v>
      </c>
      <c r="BM593" t="e">
        <f t="shared" si="225"/>
        <v>#N/A</v>
      </c>
      <c r="BP593" t="e">
        <f t="shared" si="229"/>
        <v>#N/A</v>
      </c>
      <c r="BQ593" t="e">
        <f t="shared" si="223"/>
        <v>#N/A</v>
      </c>
      <c r="BR593" t="e">
        <f t="shared" si="226"/>
        <v>#N/A</v>
      </c>
      <c r="BS593" t="e">
        <f t="shared" si="226"/>
        <v>#N/A</v>
      </c>
      <c r="BT593" t="e">
        <f t="shared" si="226"/>
        <v>#N/A</v>
      </c>
      <c r="BU593" t="e">
        <f t="shared" si="226"/>
        <v>#N/A</v>
      </c>
      <c r="BV593" t="e">
        <f t="shared" si="226"/>
        <v>#N/A</v>
      </c>
      <c r="BY593" t="e">
        <f t="shared" si="230"/>
        <v>#N/A</v>
      </c>
      <c r="BZ593" t="e">
        <v>#N/A</v>
      </c>
      <c r="CA593" t="e" cm="1">
        <f t="array" ref="CA593">IF(ISNUMBER(BZ593),AF593/COUNT(IF(ISNUMBER(_xlfn.ANCHORARRAY($BZ$11)),_xlfn.ANCHORARRAY($BZ$11))),NA())</f>
        <v>#N/A</v>
      </c>
      <c r="CB593" t="e">
        <f t="shared" si="231"/>
        <v>#N/A</v>
      </c>
      <c r="CD593" t="e">
        <f t="shared" si="232"/>
        <v>#N/A</v>
      </c>
      <c r="CE593" t="e">
        <f t="shared" si="233"/>
        <v>#N/A</v>
      </c>
      <c r="CG593" t="e">
        <v>#N/A</v>
      </c>
      <c r="CH593" t="e">
        <v>#N/A</v>
      </c>
      <c r="CL593" t="e">
        <f t="shared" si="234"/>
        <v>#N/A</v>
      </c>
      <c r="CM593" t="e">
        <v>#N/A</v>
      </c>
      <c r="CN593" t="e" cm="1">
        <f t="array" ref="CN593">IF(ISNUMBER(CM593),AF593/COUNT(IF(ISNUMBER(_xlfn.ANCHORARRAY($CM$11)),_xlfn.ANCHORARRAY($CM$11))),NA())</f>
        <v>#N/A</v>
      </c>
      <c r="CO593" t="e">
        <f t="shared" si="235"/>
        <v>#N/A</v>
      </c>
      <c r="CQ593" t="e">
        <f t="shared" si="236"/>
        <v>#N/A</v>
      </c>
      <c r="CR593" t="e">
        <f t="shared" si="237"/>
        <v>#N/A</v>
      </c>
      <c r="CT593" t="e">
        <v>#N/A</v>
      </c>
      <c r="CU593" t="e">
        <v>#N/A</v>
      </c>
      <c r="CY593" t="e">
        <f t="shared" si="238"/>
        <v>#N/A</v>
      </c>
      <c r="CZ593" t="e">
        <v>#N/A</v>
      </c>
      <c r="DA593" t="e" cm="1">
        <f t="array" ref="DA593">IF(ISNUMBER(CZ593),AF593/COUNT(IF(ISNUMBER(_xlfn.ANCHORARRAY($CZ$11)),_xlfn.ANCHORARRAY($CZ$11))),NA())</f>
        <v>#N/A</v>
      </c>
      <c r="DB593" t="e">
        <f t="shared" si="239"/>
        <v>#N/A</v>
      </c>
      <c r="DD593" t="e">
        <f t="shared" si="240"/>
        <v>#N/A</v>
      </c>
      <c r="DE593" t="e">
        <f t="shared" si="241"/>
        <v>#N/A</v>
      </c>
      <c r="DG593" t="e">
        <v>#N/A</v>
      </c>
      <c r="DH593" t="e">
        <v>#N/A</v>
      </c>
    </row>
    <row r="594" spans="32:112">
      <c r="AF594">
        <v>584</v>
      </c>
      <c r="AG594" s="401">
        <f>'Lab test'!N587</f>
        <v>101.43744000000002</v>
      </c>
      <c r="AH594" s="401">
        <f>'Lab test'!M587</f>
        <v>0.10566400000000002</v>
      </c>
      <c r="AI594">
        <f>IF('Lab test'!O587&gt;0,'Lab test'!O587,NA())</f>
        <v>205.74</v>
      </c>
      <c r="AJ594">
        <f>'Lab test'!Q587</f>
        <v>960</v>
      </c>
      <c r="AK594" s="401">
        <f>IF('Lab test'!V587&gt;0,'Lab test'!V587,NA())</f>
        <v>118589.82544249581</v>
      </c>
      <c r="AL594" s="7" t="e">
        <f>IF(MAX('Lab test'!W587,'Lab test'!X587)&gt;0,MAX('Lab test'!W587,'Lab test'!X587),NA())</f>
        <v>#N/A</v>
      </c>
      <c r="AM594" s="401">
        <f>IF('Lab test'!P587&gt;0,'Lab test'!P587,NA())</f>
        <v>6.5461332098607924E-2</v>
      </c>
      <c r="AN594" s="401" t="e">
        <f>IF('Lab test'!AU587&gt;0,'Lab test'!AU587,NA())</f>
        <v>#N/A</v>
      </c>
      <c r="AO594" s="401">
        <f>IF('Lab test'!AT587&gt;0,'Lab test'!AT587,NA())</f>
        <v>0.61199999999999999</v>
      </c>
      <c r="AP594" t="e">
        <f t="shared" si="220"/>
        <v>#N/A</v>
      </c>
      <c r="AQ594" s="401">
        <f>'Lab test'!AZ587</f>
        <v>1967</v>
      </c>
      <c r="AR594" t="str">
        <f>'Lab test'!AC587</f>
        <v>Electroforming</v>
      </c>
      <c r="AS594" t="str">
        <f>'Lab test'!T587</f>
        <v>Copper</v>
      </c>
      <c r="AX594" t="e">
        <f t="shared" si="227"/>
        <v>#N/A</v>
      </c>
      <c r="AY594" t="e">
        <f t="shared" si="221"/>
        <v>#N/A</v>
      </c>
      <c r="AZ594" t="e">
        <f t="shared" si="224"/>
        <v>#N/A</v>
      </c>
      <c r="BA594" t="e">
        <f t="shared" si="224"/>
        <v>#N/A</v>
      </c>
      <c r="BB594" t="e">
        <f t="shared" si="224"/>
        <v>#N/A</v>
      </c>
      <c r="BC594" t="e">
        <f t="shared" si="224"/>
        <v>#N/A</v>
      </c>
      <c r="BD594" t="e">
        <f t="shared" si="224"/>
        <v>#N/A</v>
      </c>
      <c r="BG594" t="e">
        <f t="shared" si="228"/>
        <v>#N/A</v>
      </c>
      <c r="BH594" t="e">
        <f t="shared" si="222"/>
        <v>#N/A</v>
      </c>
      <c r="BI594" t="e">
        <f t="shared" si="225"/>
        <v>#N/A</v>
      </c>
      <c r="BJ594" t="e">
        <f t="shared" si="225"/>
        <v>#N/A</v>
      </c>
      <c r="BK594" t="e">
        <f t="shared" si="225"/>
        <v>#N/A</v>
      </c>
      <c r="BL594" t="e">
        <f t="shared" si="225"/>
        <v>#N/A</v>
      </c>
      <c r="BM594" t="e">
        <f t="shared" si="225"/>
        <v>#N/A</v>
      </c>
      <c r="BP594" t="e">
        <f t="shared" si="229"/>
        <v>#N/A</v>
      </c>
      <c r="BQ594" t="e">
        <f t="shared" si="223"/>
        <v>#N/A</v>
      </c>
      <c r="BR594" t="e">
        <f t="shared" si="226"/>
        <v>#N/A</v>
      </c>
      <c r="BS594" t="e">
        <f t="shared" si="226"/>
        <v>#N/A</v>
      </c>
      <c r="BT594" t="e">
        <f t="shared" si="226"/>
        <v>#N/A</v>
      </c>
      <c r="BU594" t="e">
        <f t="shared" si="226"/>
        <v>#N/A</v>
      </c>
      <c r="BV594" t="e">
        <f t="shared" si="226"/>
        <v>#N/A</v>
      </c>
      <c r="BY594" t="e">
        <f t="shared" si="230"/>
        <v>#N/A</v>
      </c>
      <c r="BZ594" t="e">
        <v>#N/A</v>
      </c>
      <c r="CA594" t="e" cm="1">
        <f t="array" ref="CA594">IF(ISNUMBER(BZ594),AF594/COUNT(IF(ISNUMBER(_xlfn.ANCHORARRAY($BZ$11)),_xlfn.ANCHORARRAY($BZ$11))),NA())</f>
        <v>#N/A</v>
      </c>
      <c r="CB594" t="e">
        <f t="shared" si="231"/>
        <v>#N/A</v>
      </c>
      <c r="CD594" t="e">
        <f t="shared" si="232"/>
        <v>#N/A</v>
      </c>
      <c r="CE594" t="e">
        <f t="shared" si="233"/>
        <v>#N/A</v>
      </c>
      <c r="CG594" t="e">
        <v>#N/A</v>
      </c>
      <c r="CH594" t="e">
        <v>#N/A</v>
      </c>
      <c r="CL594" t="e">
        <f t="shared" si="234"/>
        <v>#N/A</v>
      </c>
      <c r="CM594" t="e">
        <v>#N/A</v>
      </c>
      <c r="CN594" t="e" cm="1">
        <f t="array" ref="CN594">IF(ISNUMBER(CM594),AF594/COUNT(IF(ISNUMBER(_xlfn.ANCHORARRAY($CM$11)),_xlfn.ANCHORARRAY($CM$11))),NA())</f>
        <v>#N/A</v>
      </c>
      <c r="CO594" t="e">
        <f t="shared" si="235"/>
        <v>#N/A</v>
      </c>
      <c r="CQ594" t="e">
        <f t="shared" si="236"/>
        <v>#N/A</v>
      </c>
      <c r="CR594" t="e">
        <f t="shared" si="237"/>
        <v>#N/A</v>
      </c>
      <c r="CT594" t="e">
        <v>#N/A</v>
      </c>
      <c r="CU594" t="e">
        <v>#N/A</v>
      </c>
      <c r="CY594" t="e">
        <f t="shared" si="238"/>
        <v>#N/A</v>
      </c>
      <c r="CZ594" t="e">
        <v>#N/A</v>
      </c>
      <c r="DA594" t="e" cm="1">
        <f t="array" ref="DA594">IF(ISNUMBER(CZ594),AF594/COUNT(IF(ISNUMBER(_xlfn.ANCHORARRAY($CZ$11)),_xlfn.ANCHORARRAY($CZ$11))),NA())</f>
        <v>#N/A</v>
      </c>
      <c r="DB594" t="e">
        <f t="shared" si="239"/>
        <v>#N/A</v>
      </c>
      <c r="DD594" t="e">
        <f t="shared" si="240"/>
        <v>#N/A</v>
      </c>
      <c r="DE594" t="e">
        <f t="shared" si="241"/>
        <v>#N/A</v>
      </c>
      <c r="DG594" t="e">
        <v>#N/A</v>
      </c>
      <c r="DH594" t="e">
        <v>#N/A</v>
      </c>
    </row>
    <row r="595" spans="32:112">
      <c r="AF595">
        <v>585</v>
      </c>
      <c r="AG595" s="401">
        <f>'Lab test'!N588</f>
        <v>101.92512000000001</v>
      </c>
      <c r="AH595" s="401">
        <f>'Lab test'!M588</f>
        <v>0.106172</v>
      </c>
      <c r="AI595">
        <f>IF('Lab test'!O588&gt;0,'Lab test'!O588,NA())</f>
        <v>175.26</v>
      </c>
      <c r="AJ595">
        <f>'Lab test'!Q588</f>
        <v>960</v>
      </c>
      <c r="AK595" s="401">
        <f>IF('Lab test'!V588&gt;0,'Lab test'!V588,NA())</f>
        <v>115142.44679591163</v>
      </c>
      <c r="AL595" s="7" t="e">
        <f>IF(MAX('Lab test'!W588,'Lab test'!X588)&gt;0,MAX('Lab test'!W588,'Lab test'!X588),NA())</f>
        <v>#N/A</v>
      </c>
      <c r="AM595" s="401">
        <f>IF('Lab test'!P588&gt;0,'Lab test'!P588,NA())</f>
        <v>5.5496546652443787E-2</v>
      </c>
      <c r="AN595" s="401" t="e">
        <f>IF('Lab test'!AU588&gt;0,'Lab test'!AU588,NA())</f>
        <v>#N/A</v>
      </c>
      <c r="AO595" s="401">
        <f>IF('Lab test'!AT588&gt;0,'Lab test'!AT588,NA())</f>
        <v>0.65500000000000003</v>
      </c>
      <c r="AP595" t="e">
        <f t="shared" si="220"/>
        <v>#N/A</v>
      </c>
      <c r="AQ595" s="401">
        <f>'Lab test'!AZ588</f>
        <v>1967</v>
      </c>
      <c r="AR595" t="str">
        <f>'Lab test'!AC588</f>
        <v>Electroforming</v>
      </c>
      <c r="AS595" t="str">
        <f>'Lab test'!T588</f>
        <v>Copper</v>
      </c>
      <c r="AX595" t="e">
        <f t="shared" si="227"/>
        <v>#N/A</v>
      </c>
      <c r="AY595" t="e">
        <f t="shared" si="221"/>
        <v>#N/A</v>
      </c>
      <c r="AZ595" t="e">
        <f t="shared" si="224"/>
        <v>#N/A</v>
      </c>
      <c r="BA595" t="e">
        <f t="shared" si="224"/>
        <v>#N/A</v>
      </c>
      <c r="BB595" t="e">
        <f t="shared" si="224"/>
        <v>#N/A</v>
      </c>
      <c r="BC595" t="e">
        <f t="shared" si="224"/>
        <v>#N/A</v>
      </c>
      <c r="BD595" t="e">
        <f t="shared" si="224"/>
        <v>#N/A</v>
      </c>
      <c r="BG595" t="e">
        <f t="shared" si="228"/>
        <v>#N/A</v>
      </c>
      <c r="BH595" t="e">
        <f t="shared" si="222"/>
        <v>#N/A</v>
      </c>
      <c r="BI595" t="e">
        <f t="shared" si="225"/>
        <v>#N/A</v>
      </c>
      <c r="BJ595" t="e">
        <f t="shared" si="225"/>
        <v>#N/A</v>
      </c>
      <c r="BK595" t="e">
        <f t="shared" si="225"/>
        <v>#N/A</v>
      </c>
      <c r="BL595" t="e">
        <f t="shared" si="225"/>
        <v>#N/A</v>
      </c>
      <c r="BM595" t="e">
        <f t="shared" si="225"/>
        <v>#N/A</v>
      </c>
      <c r="BP595" t="e">
        <f t="shared" si="229"/>
        <v>#N/A</v>
      </c>
      <c r="BQ595" t="e">
        <f t="shared" si="223"/>
        <v>#N/A</v>
      </c>
      <c r="BR595" t="e">
        <f t="shared" si="226"/>
        <v>#N/A</v>
      </c>
      <c r="BS595" t="e">
        <f t="shared" si="226"/>
        <v>#N/A</v>
      </c>
      <c r="BT595" t="e">
        <f t="shared" si="226"/>
        <v>#N/A</v>
      </c>
      <c r="BU595" t="e">
        <f t="shared" si="226"/>
        <v>#N/A</v>
      </c>
      <c r="BV595" t="e">
        <f t="shared" si="226"/>
        <v>#N/A</v>
      </c>
      <c r="BY595" t="e">
        <f t="shared" si="230"/>
        <v>#N/A</v>
      </c>
      <c r="BZ595" t="e">
        <v>#N/A</v>
      </c>
      <c r="CA595" t="e" cm="1">
        <f t="array" ref="CA595">IF(ISNUMBER(BZ595),AF595/COUNT(IF(ISNUMBER(_xlfn.ANCHORARRAY($BZ$11)),_xlfn.ANCHORARRAY($BZ$11))),NA())</f>
        <v>#N/A</v>
      </c>
      <c r="CB595" t="e">
        <f t="shared" si="231"/>
        <v>#N/A</v>
      </c>
      <c r="CD595" t="e">
        <f t="shared" si="232"/>
        <v>#N/A</v>
      </c>
      <c r="CE595" t="e">
        <f t="shared" si="233"/>
        <v>#N/A</v>
      </c>
      <c r="CG595" t="e">
        <v>#N/A</v>
      </c>
      <c r="CH595" t="e">
        <v>#N/A</v>
      </c>
      <c r="CL595" t="e">
        <f t="shared" si="234"/>
        <v>#N/A</v>
      </c>
      <c r="CM595" t="e">
        <v>#N/A</v>
      </c>
      <c r="CN595" t="e" cm="1">
        <f t="array" ref="CN595">IF(ISNUMBER(CM595),AF595/COUNT(IF(ISNUMBER(_xlfn.ANCHORARRAY($CM$11)),_xlfn.ANCHORARRAY($CM$11))),NA())</f>
        <v>#N/A</v>
      </c>
      <c r="CO595" t="e">
        <f t="shared" si="235"/>
        <v>#N/A</v>
      </c>
      <c r="CQ595" t="e">
        <f t="shared" si="236"/>
        <v>#N/A</v>
      </c>
      <c r="CR595" t="e">
        <f t="shared" si="237"/>
        <v>#N/A</v>
      </c>
      <c r="CT595" t="e">
        <v>#N/A</v>
      </c>
      <c r="CU595" t="e">
        <v>#N/A</v>
      </c>
      <c r="CY595" t="e">
        <f t="shared" si="238"/>
        <v>#N/A</v>
      </c>
      <c r="CZ595" t="e">
        <v>#N/A</v>
      </c>
      <c r="DA595" t="e" cm="1">
        <f t="array" ref="DA595">IF(ISNUMBER(CZ595),AF595/COUNT(IF(ISNUMBER(_xlfn.ANCHORARRAY($CZ$11)),_xlfn.ANCHORARRAY($CZ$11))),NA())</f>
        <v>#N/A</v>
      </c>
      <c r="DB595" t="e">
        <f t="shared" si="239"/>
        <v>#N/A</v>
      </c>
      <c r="DD595" t="e">
        <f t="shared" si="240"/>
        <v>#N/A</v>
      </c>
      <c r="DE595" t="e">
        <f t="shared" si="241"/>
        <v>#N/A</v>
      </c>
      <c r="DG595" t="e">
        <v>#N/A</v>
      </c>
      <c r="DH595" t="e">
        <v>#N/A</v>
      </c>
    </row>
    <row r="596" spans="32:112">
      <c r="AF596">
        <v>586</v>
      </c>
      <c r="AG596" s="401">
        <f>'Lab test'!N589</f>
        <v>190.5</v>
      </c>
      <c r="AH596" s="401">
        <f>'Lab test'!M589</f>
        <v>0.17779999999999999</v>
      </c>
      <c r="AI596" t="e">
        <f>IF('Lab test'!O589&gt;0,'Lab test'!O589,NA())</f>
        <v>#N/A</v>
      </c>
      <c r="AJ596">
        <f>'Lab test'!Q589</f>
        <v>1071.4285714285716</v>
      </c>
      <c r="AK596" s="401">
        <f>IF('Lab test'!V589&gt;0,'Lab test'!V589,NA())</f>
        <v>206842.71840000001</v>
      </c>
      <c r="AL596" s="7">
        <f>IF(MAX('Lab test'!W589,'Lab test'!X589)&gt;0,MAX('Lab test'!W589,'Lab test'!X589),NA())</f>
        <v>336.87387408930357</v>
      </c>
      <c r="AM596" s="401" t="e">
        <f>IF('Lab test'!P589&gt;0,'Lab test'!P589,NA())</f>
        <v>#N/A</v>
      </c>
      <c r="AN596" s="401">
        <f>IF('Lab test'!AU589&gt;0,'Lab test'!AU589,NA())</f>
        <v>6.8049186129352304E-2</v>
      </c>
      <c r="AO596" s="401">
        <f>IF('Lab test'!AT589&gt;0,'Lab test'!AT589,NA())</f>
        <v>0.19619800025297726</v>
      </c>
      <c r="AP596">
        <f t="shared" si="220"/>
        <v>1</v>
      </c>
      <c r="AQ596" s="401">
        <f>'Lab test'!AZ589</f>
        <v>1964</v>
      </c>
      <c r="AR596" t="str">
        <f>'Lab test'!AC589</f>
        <v>LTWb</v>
      </c>
      <c r="AS596" t="str">
        <f>'Lab test'!T589</f>
        <v>Steel</v>
      </c>
      <c r="AX596" t="e">
        <f t="shared" si="227"/>
        <v>#N/A</v>
      </c>
      <c r="AY596" t="e">
        <f t="shared" si="221"/>
        <v>#N/A</v>
      </c>
      <c r="AZ596" t="e">
        <f t="shared" si="224"/>
        <v>#N/A</v>
      </c>
      <c r="BA596" t="e">
        <f t="shared" si="224"/>
        <v>#N/A</v>
      </c>
      <c r="BB596" t="e">
        <f t="shared" si="224"/>
        <v>#N/A</v>
      </c>
      <c r="BC596">
        <f t="shared" si="224"/>
        <v>206842.71840000001</v>
      </c>
      <c r="BD596" t="e">
        <f t="shared" si="224"/>
        <v>#N/A</v>
      </c>
      <c r="BG596" t="e">
        <f t="shared" si="228"/>
        <v>#N/A</v>
      </c>
      <c r="BH596" t="e">
        <f t="shared" si="222"/>
        <v>#N/A</v>
      </c>
      <c r="BI596" t="e">
        <f t="shared" si="225"/>
        <v>#N/A</v>
      </c>
      <c r="BJ596" t="e">
        <f t="shared" si="225"/>
        <v>#N/A</v>
      </c>
      <c r="BK596" t="e">
        <f t="shared" si="225"/>
        <v>#N/A</v>
      </c>
      <c r="BL596" t="e">
        <f t="shared" si="225"/>
        <v>#N/A</v>
      </c>
      <c r="BM596" t="e">
        <f t="shared" si="225"/>
        <v>#N/A</v>
      </c>
      <c r="BP596" t="e">
        <f t="shared" si="229"/>
        <v>#N/A</v>
      </c>
      <c r="BQ596" t="e">
        <f t="shared" si="223"/>
        <v>#N/A</v>
      </c>
      <c r="BR596" t="e">
        <f t="shared" si="226"/>
        <v>#N/A</v>
      </c>
      <c r="BS596" t="e">
        <f t="shared" si="226"/>
        <v>#N/A</v>
      </c>
      <c r="BT596" t="e">
        <f t="shared" si="226"/>
        <v>#N/A</v>
      </c>
      <c r="BU596" t="e">
        <f t="shared" si="226"/>
        <v>#N/A</v>
      </c>
      <c r="BV596" t="e">
        <f t="shared" si="226"/>
        <v>#N/A</v>
      </c>
      <c r="BY596">
        <f t="shared" si="230"/>
        <v>206842.71840000001</v>
      </c>
      <c r="BZ596" t="e">
        <v>#N/A</v>
      </c>
      <c r="CA596" t="e" cm="1">
        <f t="array" ref="CA596">IF(ISNUMBER(BZ596),AF596/COUNT(IF(ISNUMBER(_xlfn.ANCHORARRAY($BZ$11)),_xlfn.ANCHORARRAY($BZ$11))),NA())</f>
        <v>#N/A</v>
      </c>
      <c r="CB596" t="e">
        <f t="shared" si="231"/>
        <v>#N/A</v>
      </c>
      <c r="CD596" t="e">
        <f t="shared" si="232"/>
        <v>#N/A</v>
      </c>
      <c r="CE596" t="e">
        <f t="shared" si="233"/>
        <v>#N/A</v>
      </c>
      <c r="CG596" t="e">
        <v>#N/A</v>
      </c>
      <c r="CH596" t="e">
        <v>#N/A</v>
      </c>
      <c r="CL596" t="e">
        <f t="shared" si="234"/>
        <v>#N/A</v>
      </c>
      <c r="CM596" t="e">
        <v>#N/A</v>
      </c>
      <c r="CN596" t="e" cm="1">
        <f t="array" ref="CN596">IF(ISNUMBER(CM596),AF596/COUNT(IF(ISNUMBER(_xlfn.ANCHORARRAY($CM$11)),_xlfn.ANCHORARRAY($CM$11))),NA())</f>
        <v>#N/A</v>
      </c>
      <c r="CO596" t="e">
        <f t="shared" si="235"/>
        <v>#N/A</v>
      </c>
      <c r="CQ596" t="e">
        <f t="shared" si="236"/>
        <v>#N/A</v>
      </c>
      <c r="CR596" t="e">
        <f t="shared" si="237"/>
        <v>#N/A</v>
      </c>
      <c r="CT596" t="e">
        <v>#N/A</v>
      </c>
      <c r="CU596" t="e">
        <v>#N/A</v>
      </c>
      <c r="CY596" t="e">
        <f t="shared" si="238"/>
        <v>#N/A</v>
      </c>
      <c r="CZ596" t="e">
        <v>#N/A</v>
      </c>
      <c r="DA596" t="e" cm="1">
        <f t="array" ref="DA596">IF(ISNUMBER(CZ596),AF596/COUNT(IF(ISNUMBER(_xlfn.ANCHORARRAY($CZ$11)),_xlfn.ANCHORARRAY($CZ$11))),NA())</f>
        <v>#N/A</v>
      </c>
      <c r="DB596" t="e">
        <f t="shared" si="239"/>
        <v>#N/A</v>
      </c>
      <c r="DD596" t="e">
        <f t="shared" si="240"/>
        <v>#N/A</v>
      </c>
      <c r="DE596" t="e">
        <f t="shared" si="241"/>
        <v>#N/A</v>
      </c>
      <c r="DG596" t="e">
        <v>#N/A</v>
      </c>
      <c r="DH596" t="e">
        <v>#N/A</v>
      </c>
    </row>
    <row r="597" spans="32:112">
      <c r="AF597">
        <v>587</v>
      </c>
      <c r="AG597" s="401">
        <f>'Lab test'!N590</f>
        <v>190.5</v>
      </c>
      <c r="AH597" s="401">
        <f>'Lab test'!M590</f>
        <v>0.17779999999999999</v>
      </c>
      <c r="AI597" t="e">
        <f>IF('Lab test'!O590&gt;0,'Lab test'!O590,NA())</f>
        <v>#N/A</v>
      </c>
      <c r="AJ597">
        <f>'Lab test'!Q590</f>
        <v>1071.4285714285716</v>
      </c>
      <c r="AK597" s="401">
        <f>IF('Lab test'!V590&gt;0,'Lab test'!V590,NA())</f>
        <v>206842.71840000001</v>
      </c>
      <c r="AL597" s="7">
        <f>IF(MAX('Lab test'!W590,'Lab test'!X590)&gt;0,MAX('Lab test'!W590,'Lab test'!X590),NA())</f>
        <v>344.07015545492618</v>
      </c>
      <c r="AM597" s="401" t="e">
        <f>IF('Lab test'!P590&gt;0,'Lab test'!P590,NA())</f>
        <v>#N/A</v>
      </c>
      <c r="AN597" s="401">
        <f>IF('Lab test'!AU590&gt;0,'Lab test'!AU590,NA())</f>
        <v>8.8463586674812938E-2</v>
      </c>
      <c r="AO597" s="401">
        <f>IF('Lab test'!AT590&gt;0,'Lab test'!AT590,NA())</f>
        <v>0.2605048763774504</v>
      </c>
      <c r="AP597">
        <f t="shared" si="220"/>
        <v>1</v>
      </c>
      <c r="AQ597" s="401">
        <f>'Lab test'!AZ590</f>
        <v>1964</v>
      </c>
      <c r="AR597" t="str">
        <f>'Lab test'!AC590</f>
        <v>LTWb</v>
      </c>
      <c r="AS597" t="str">
        <f>'Lab test'!T590</f>
        <v>Steel</v>
      </c>
      <c r="AX597" t="e">
        <f t="shared" si="227"/>
        <v>#N/A</v>
      </c>
      <c r="AY597" t="e">
        <f t="shared" si="221"/>
        <v>#N/A</v>
      </c>
      <c r="AZ597" t="e">
        <f t="shared" si="224"/>
        <v>#N/A</v>
      </c>
      <c r="BA597" t="e">
        <f t="shared" si="224"/>
        <v>#N/A</v>
      </c>
      <c r="BB597" t="e">
        <f t="shared" si="224"/>
        <v>#N/A</v>
      </c>
      <c r="BC597">
        <f t="shared" si="224"/>
        <v>206842.71840000001</v>
      </c>
      <c r="BD597" t="e">
        <f t="shared" si="224"/>
        <v>#N/A</v>
      </c>
      <c r="BG597" t="e">
        <f t="shared" si="228"/>
        <v>#N/A</v>
      </c>
      <c r="BH597" t="e">
        <f t="shared" si="222"/>
        <v>#N/A</v>
      </c>
      <c r="BI597" t="e">
        <f t="shared" si="225"/>
        <v>#N/A</v>
      </c>
      <c r="BJ597" t="e">
        <f t="shared" si="225"/>
        <v>#N/A</v>
      </c>
      <c r="BK597" t="e">
        <f t="shared" si="225"/>
        <v>#N/A</v>
      </c>
      <c r="BL597" t="e">
        <f t="shared" si="225"/>
        <v>#N/A</v>
      </c>
      <c r="BM597" t="e">
        <f t="shared" si="225"/>
        <v>#N/A</v>
      </c>
      <c r="BP597" t="e">
        <f t="shared" si="229"/>
        <v>#N/A</v>
      </c>
      <c r="BQ597" t="e">
        <f t="shared" si="223"/>
        <v>#N/A</v>
      </c>
      <c r="BR597" t="e">
        <f t="shared" si="226"/>
        <v>#N/A</v>
      </c>
      <c r="BS597" t="e">
        <f t="shared" si="226"/>
        <v>#N/A</v>
      </c>
      <c r="BT597" t="e">
        <f t="shared" si="226"/>
        <v>#N/A</v>
      </c>
      <c r="BU597" t="e">
        <f t="shared" si="226"/>
        <v>#N/A</v>
      </c>
      <c r="BV597" t="e">
        <f t="shared" si="226"/>
        <v>#N/A</v>
      </c>
      <c r="BY597">
        <f t="shared" si="230"/>
        <v>206842.71840000001</v>
      </c>
      <c r="BZ597" t="e">
        <v>#N/A</v>
      </c>
      <c r="CA597" t="e" cm="1">
        <f t="array" ref="CA597">IF(ISNUMBER(BZ597),AF597/COUNT(IF(ISNUMBER(_xlfn.ANCHORARRAY($BZ$11)),_xlfn.ANCHORARRAY($BZ$11))),NA())</f>
        <v>#N/A</v>
      </c>
      <c r="CB597" t="e">
        <f t="shared" si="231"/>
        <v>#N/A</v>
      </c>
      <c r="CD597" t="e">
        <f t="shared" si="232"/>
        <v>#N/A</v>
      </c>
      <c r="CE597" t="e">
        <f t="shared" si="233"/>
        <v>#N/A</v>
      </c>
      <c r="CG597" t="e">
        <v>#N/A</v>
      </c>
      <c r="CH597" t="e">
        <v>#N/A</v>
      </c>
      <c r="CL597" t="e">
        <f t="shared" si="234"/>
        <v>#N/A</v>
      </c>
      <c r="CM597" t="e">
        <v>#N/A</v>
      </c>
      <c r="CN597" t="e" cm="1">
        <f t="array" ref="CN597">IF(ISNUMBER(CM597),AF597/COUNT(IF(ISNUMBER(_xlfn.ANCHORARRAY($CM$11)),_xlfn.ANCHORARRAY($CM$11))),NA())</f>
        <v>#N/A</v>
      </c>
      <c r="CO597" t="e">
        <f t="shared" si="235"/>
        <v>#N/A</v>
      </c>
      <c r="CQ597" t="e">
        <f t="shared" si="236"/>
        <v>#N/A</v>
      </c>
      <c r="CR597" t="e">
        <f t="shared" si="237"/>
        <v>#N/A</v>
      </c>
      <c r="CT597" t="e">
        <v>#N/A</v>
      </c>
      <c r="CU597" t="e">
        <v>#N/A</v>
      </c>
      <c r="CY597" t="e">
        <f t="shared" si="238"/>
        <v>#N/A</v>
      </c>
      <c r="CZ597" t="e">
        <v>#N/A</v>
      </c>
      <c r="DA597" t="e" cm="1">
        <f t="array" ref="DA597">IF(ISNUMBER(CZ597),AF597/COUNT(IF(ISNUMBER(_xlfn.ANCHORARRAY($CZ$11)),_xlfn.ANCHORARRAY($CZ$11))),NA())</f>
        <v>#N/A</v>
      </c>
      <c r="DB597" t="e">
        <f t="shared" si="239"/>
        <v>#N/A</v>
      </c>
      <c r="DD597" t="e">
        <f t="shared" si="240"/>
        <v>#N/A</v>
      </c>
      <c r="DE597" t="e">
        <f t="shared" si="241"/>
        <v>#N/A</v>
      </c>
      <c r="DG597" t="e">
        <v>#N/A</v>
      </c>
      <c r="DH597" t="e">
        <v>#N/A</v>
      </c>
    </row>
    <row r="598" spans="32:112">
      <c r="AF598">
        <v>588</v>
      </c>
      <c r="AG598" s="401">
        <f>'Lab test'!N591</f>
        <v>190.5</v>
      </c>
      <c r="AH598" s="401">
        <f>'Lab test'!M591</f>
        <v>0.17779999999999999</v>
      </c>
      <c r="AI598" t="e">
        <f>IF('Lab test'!O591&gt;0,'Lab test'!O591,NA())</f>
        <v>#N/A</v>
      </c>
      <c r="AJ598">
        <f>'Lab test'!Q591</f>
        <v>1071.4285714285716</v>
      </c>
      <c r="AK598" s="401">
        <f>IF('Lab test'!V591&gt;0,'Lab test'!V591,NA())</f>
        <v>206842.71840000001</v>
      </c>
      <c r="AL598" s="7">
        <f>IF(MAX('Lab test'!W591,'Lab test'!X591)&gt;0,MAX('Lab test'!W591,'Lab test'!X591),NA())</f>
        <v>371.34269748679128</v>
      </c>
      <c r="AM598" s="401" t="e">
        <f>IF('Lab test'!P591&gt;0,'Lab test'!P591,NA())</f>
        <v>#N/A</v>
      </c>
      <c r="AN598" s="401">
        <f>IF('Lab test'!AU591&gt;0,'Lab test'!AU591,NA())</f>
        <v>8.6859004296075348E-2</v>
      </c>
      <c r="AO598" s="401">
        <f>IF('Lab test'!AT591&gt;0,'Lab test'!AT591,NA())</f>
        <v>0.27605400006503689</v>
      </c>
      <c r="AP598">
        <f t="shared" si="220"/>
        <v>1</v>
      </c>
      <c r="AQ598" s="401">
        <f>'Lab test'!AZ591</f>
        <v>1964</v>
      </c>
      <c r="AR598" t="str">
        <f>'Lab test'!AC591</f>
        <v>LTWb</v>
      </c>
      <c r="AS598" t="str">
        <f>'Lab test'!T591</f>
        <v>Steel</v>
      </c>
      <c r="AX598" t="e">
        <f t="shared" si="227"/>
        <v>#N/A</v>
      </c>
      <c r="AY598" t="e">
        <f t="shared" si="221"/>
        <v>#N/A</v>
      </c>
      <c r="AZ598" t="e">
        <f t="shared" si="224"/>
        <v>#N/A</v>
      </c>
      <c r="BA598" t="e">
        <f t="shared" si="224"/>
        <v>#N/A</v>
      </c>
      <c r="BB598" t="e">
        <f t="shared" si="224"/>
        <v>#N/A</v>
      </c>
      <c r="BC598">
        <f t="shared" si="224"/>
        <v>206842.71840000001</v>
      </c>
      <c r="BD598" t="e">
        <f t="shared" si="224"/>
        <v>#N/A</v>
      </c>
      <c r="BG598" t="e">
        <f t="shared" si="228"/>
        <v>#N/A</v>
      </c>
      <c r="BH598" t="e">
        <f t="shared" si="222"/>
        <v>#N/A</v>
      </c>
      <c r="BI598" t="e">
        <f t="shared" si="225"/>
        <v>#N/A</v>
      </c>
      <c r="BJ598" t="e">
        <f t="shared" si="225"/>
        <v>#N/A</v>
      </c>
      <c r="BK598" t="e">
        <f t="shared" si="225"/>
        <v>#N/A</v>
      </c>
      <c r="BL598" t="e">
        <f t="shared" si="225"/>
        <v>#N/A</v>
      </c>
      <c r="BM598" t="e">
        <f t="shared" si="225"/>
        <v>#N/A</v>
      </c>
      <c r="BP598" t="e">
        <f t="shared" si="229"/>
        <v>#N/A</v>
      </c>
      <c r="BQ598" t="e">
        <f t="shared" si="223"/>
        <v>#N/A</v>
      </c>
      <c r="BR598" t="e">
        <f t="shared" si="226"/>
        <v>#N/A</v>
      </c>
      <c r="BS598" t="e">
        <f t="shared" si="226"/>
        <v>#N/A</v>
      </c>
      <c r="BT598" t="e">
        <f t="shared" si="226"/>
        <v>#N/A</v>
      </c>
      <c r="BU598" t="e">
        <f t="shared" si="226"/>
        <v>#N/A</v>
      </c>
      <c r="BV598" t="e">
        <f t="shared" si="226"/>
        <v>#N/A</v>
      </c>
      <c r="BY598">
        <f t="shared" si="230"/>
        <v>206842.71840000001</v>
      </c>
      <c r="BZ598" t="e">
        <v>#N/A</v>
      </c>
      <c r="CA598" t="e" cm="1">
        <f t="array" ref="CA598">IF(ISNUMBER(BZ598),AF598/COUNT(IF(ISNUMBER(_xlfn.ANCHORARRAY($BZ$11)),_xlfn.ANCHORARRAY($BZ$11))),NA())</f>
        <v>#N/A</v>
      </c>
      <c r="CB598" t="e">
        <f t="shared" si="231"/>
        <v>#N/A</v>
      </c>
      <c r="CD598" t="e">
        <f t="shared" si="232"/>
        <v>#N/A</v>
      </c>
      <c r="CE598" t="e">
        <f t="shared" si="233"/>
        <v>#N/A</v>
      </c>
      <c r="CG598" t="e">
        <v>#N/A</v>
      </c>
      <c r="CH598" t="e">
        <v>#N/A</v>
      </c>
      <c r="CL598" t="e">
        <f t="shared" si="234"/>
        <v>#N/A</v>
      </c>
      <c r="CM598" t="e">
        <v>#N/A</v>
      </c>
      <c r="CN598" t="e" cm="1">
        <f t="array" ref="CN598">IF(ISNUMBER(CM598),AF598/COUNT(IF(ISNUMBER(_xlfn.ANCHORARRAY($CM$11)),_xlfn.ANCHORARRAY($CM$11))),NA())</f>
        <v>#N/A</v>
      </c>
      <c r="CO598" t="e">
        <f t="shared" si="235"/>
        <v>#N/A</v>
      </c>
      <c r="CQ598" t="e">
        <f t="shared" si="236"/>
        <v>#N/A</v>
      </c>
      <c r="CR598" t="e">
        <f t="shared" si="237"/>
        <v>#N/A</v>
      </c>
      <c r="CT598" t="e">
        <v>#N/A</v>
      </c>
      <c r="CU598" t="e">
        <v>#N/A</v>
      </c>
      <c r="CY598" t="e">
        <f t="shared" si="238"/>
        <v>#N/A</v>
      </c>
      <c r="CZ598" t="e">
        <v>#N/A</v>
      </c>
      <c r="DA598" t="e" cm="1">
        <f t="array" ref="DA598">IF(ISNUMBER(CZ598),AF598/COUNT(IF(ISNUMBER(_xlfn.ANCHORARRAY($CZ$11)),_xlfn.ANCHORARRAY($CZ$11))),NA())</f>
        <v>#N/A</v>
      </c>
      <c r="DB598" t="e">
        <f t="shared" si="239"/>
        <v>#N/A</v>
      </c>
      <c r="DD598" t="e">
        <f t="shared" si="240"/>
        <v>#N/A</v>
      </c>
      <c r="DE598" t="e">
        <f t="shared" si="241"/>
        <v>#N/A</v>
      </c>
      <c r="DG598" t="e">
        <v>#N/A</v>
      </c>
      <c r="DH598" t="e">
        <v>#N/A</v>
      </c>
    </row>
    <row r="599" spans="32:112">
      <c r="AF599">
        <v>589</v>
      </c>
      <c r="AG599" s="401">
        <f>'Lab test'!N592</f>
        <v>114.3</v>
      </c>
      <c r="AH599" s="401">
        <f>'Lab test'!M592</f>
        <v>0.20319999999999999</v>
      </c>
      <c r="AI599" t="e">
        <f>IF('Lab test'!O592&gt;0,'Lab test'!O592,NA())</f>
        <v>#N/A</v>
      </c>
      <c r="AJ599">
        <f>'Lab test'!Q592</f>
        <v>562.5</v>
      </c>
      <c r="AK599" s="401">
        <f>IF('Lab test'!V592&gt;0,'Lab test'!V592,NA())</f>
        <v>206842.71840000001</v>
      </c>
      <c r="AL599" s="7">
        <f>IF(MAX('Lab test'!W592,'Lab test'!X592)&gt;0,MAX('Lab test'!W592,'Lab test'!X592),NA())</f>
        <v>304.61644575607374</v>
      </c>
      <c r="AM599" s="401" t="e">
        <f>IF('Lab test'!P592&gt;0,'Lab test'!P592,NA())</f>
        <v>#N/A</v>
      </c>
      <c r="AN599" s="401">
        <f>IF('Lab test'!AU592&gt;0,'Lab test'!AU592,NA())</f>
        <v>0.16166453715688101</v>
      </c>
      <c r="AO599" s="401">
        <f>IF('Lab test'!AT592&gt;0,'Lab test'!AT592,NA())</f>
        <v>0.22127468095561878</v>
      </c>
      <c r="AP599">
        <f t="shared" ref="AP599:AP662" si="242">IF(AND(OR(ISNUMBER(AN599),ISNUMBER(AO599)),ISNUMBER(AK599),ISNUMBER(AL599)),1,NA())</f>
        <v>1</v>
      </c>
      <c r="AQ599" s="401">
        <f>'Lab test'!AZ592</f>
        <v>1964</v>
      </c>
      <c r="AR599" t="str">
        <f>'Lab test'!AC592</f>
        <v>LTWb</v>
      </c>
      <c r="AS599" t="str">
        <f>'Lab test'!T592</f>
        <v>Steel</v>
      </c>
      <c r="AX599" t="e">
        <f t="shared" si="227"/>
        <v>#N/A</v>
      </c>
      <c r="AY599" t="e">
        <f t="shared" si="221"/>
        <v>#N/A</v>
      </c>
      <c r="AZ599">
        <f t="shared" si="224"/>
        <v>206842.71840000001</v>
      </c>
      <c r="BA599" t="e">
        <f t="shared" si="224"/>
        <v>#N/A</v>
      </c>
      <c r="BB599" t="e">
        <f t="shared" si="224"/>
        <v>#N/A</v>
      </c>
      <c r="BC599" t="e">
        <f t="shared" si="224"/>
        <v>#N/A</v>
      </c>
      <c r="BD599" t="e">
        <f t="shared" si="224"/>
        <v>#N/A</v>
      </c>
      <c r="BG599" t="e">
        <f t="shared" si="228"/>
        <v>#N/A</v>
      </c>
      <c r="BH599" t="e">
        <f t="shared" si="222"/>
        <v>#N/A</v>
      </c>
      <c r="BI599" t="e">
        <f t="shared" si="225"/>
        <v>#N/A</v>
      </c>
      <c r="BJ599" t="e">
        <f t="shared" si="225"/>
        <v>#N/A</v>
      </c>
      <c r="BK599" t="e">
        <f t="shared" si="225"/>
        <v>#N/A</v>
      </c>
      <c r="BL599" t="e">
        <f t="shared" si="225"/>
        <v>#N/A</v>
      </c>
      <c r="BM599" t="e">
        <f t="shared" si="225"/>
        <v>#N/A</v>
      </c>
      <c r="BP599" t="e">
        <f t="shared" si="229"/>
        <v>#N/A</v>
      </c>
      <c r="BQ599" t="e">
        <f t="shared" si="223"/>
        <v>#N/A</v>
      </c>
      <c r="BR599" t="e">
        <f t="shared" si="226"/>
        <v>#N/A</v>
      </c>
      <c r="BS599" t="e">
        <f t="shared" si="226"/>
        <v>#N/A</v>
      </c>
      <c r="BT599" t="e">
        <f t="shared" si="226"/>
        <v>#N/A</v>
      </c>
      <c r="BU599" t="e">
        <f t="shared" si="226"/>
        <v>#N/A</v>
      </c>
      <c r="BV599" t="e">
        <f t="shared" si="226"/>
        <v>#N/A</v>
      </c>
      <c r="BY599">
        <f t="shared" si="230"/>
        <v>206842.71840000001</v>
      </c>
      <c r="BZ599" t="e">
        <v>#N/A</v>
      </c>
      <c r="CA599" t="e" cm="1">
        <f t="array" ref="CA599">IF(ISNUMBER(BZ599),AF599/COUNT(IF(ISNUMBER(_xlfn.ANCHORARRAY($BZ$11)),_xlfn.ANCHORARRAY($BZ$11))),NA())</f>
        <v>#N/A</v>
      </c>
      <c r="CB599" t="e">
        <f t="shared" si="231"/>
        <v>#N/A</v>
      </c>
      <c r="CD599" t="e">
        <f t="shared" si="232"/>
        <v>#N/A</v>
      </c>
      <c r="CE599" t="e">
        <f t="shared" si="233"/>
        <v>#N/A</v>
      </c>
      <c r="CG599" t="e">
        <v>#N/A</v>
      </c>
      <c r="CH599" t="e">
        <v>#N/A</v>
      </c>
      <c r="CL599" t="e">
        <f t="shared" si="234"/>
        <v>#N/A</v>
      </c>
      <c r="CM599" t="e">
        <v>#N/A</v>
      </c>
      <c r="CN599" t="e" cm="1">
        <f t="array" ref="CN599">IF(ISNUMBER(CM599),AF599/COUNT(IF(ISNUMBER(_xlfn.ANCHORARRAY($CM$11)),_xlfn.ANCHORARRAY($CM$11))),NA())</f>
        <v>#N/A</v>
      </c>
      <c r="CO599" t="e">
        <f t="shared" si="235"/>
        <v>#N/A</v>
      </c>
      <c r="CQ599" t="e">
        <f t="shared" si="236"/>
        <v>#N/A</v>
      </c>
      <c r="CR599" t="e">
        <f t="shared" si="237"/>
        <v>#N/A</v>
      </c>
      <c r="CT599" t="e">
        <v>#N/A</v>
      </c>
      <c r="CU599" t="e">
        <v>#N/A</v>
      </c>
      <c r="CY599" t="e">
        <f t="shared" si="238"/>
        <v>#N/A</v>
      </c>
      <c r="CZ599" t="e">
        <v>#N/A</v>
      </c>
      <c r="DA599" t="e" cm="1">
        <f t="array" ref="DA599">IF(ISNUMBER(CZ599),AF599/COUNT(IF(ISNUMBER(_xlfn.ANCHORARRAY($CZ$11)),_xlfn.ANCHORARRAY($CZ$11))),NA())</f>
        <v>#N/A</v>
      </c>
      <c r="DB599" t="e">
        <f t="shared" si="239"/>
        <v>#N/A</v>
      </c>
      <c r="DD599" t="e">
        <f t="shared" si="240"/>
        <v>#N/A</v>
      </c>
      <c r="DE599" t="e">
        <f t="shared" si="241"/>
        <v>#N/A</v>
      </c>
      <c r="DG599" t="e">
        <v>#N/A</v>
      </c>
      <c r="DH599" t="e">
        <v>#N/A</v>
      </c>
    </row>
    <row r="600" spans="32:112">
      <c r="AF600">
        <v>590</v>
      </c>
      <c r="AG600" s="401">
        <f>'Lab test'!N593</f>
        <v>114.3</v>
      </c>
      <c r="AH600" s="401">
        <f>'Lab test'!M593</f>
        <v>0.20319999999999999</v>
      </c>
      <c r="AI600" t="e">
        <f>IF('Lab test'!O593&gt;0,'Lab test'!O593,NA())</f>
        <v>#N/A</v>
      </c>
      <c r="AJ600">
        <f>'Lab test'!Q593</f>
        <v>562.5</v>
      </c>
      <c r="AK600" s="401">
        <f>IF('Lab test'!V593&gt;0,'Lab test'!V593,NA())</f>
        <v>206842.71840000001</v>
      </c>
      <c r="AL600" s="7">
        <f>IF(MAX('Lab test'!W593,'Lab test'!X593)&gt;0,MAX('Lab test'!W593,'Lab test'!X593),NA())</f>
        <v>272.82417666250433</v>
      </c>
      <c r="AM600" s="401" t="e">
        <f>IF('Lab test'!P593&gt;0,'Lab test'!P593,NA())</f>
        <v>#N/A</v>
      </c>
      <c r="AN600" s="401">
        <f>IF('Lab test'!AU593&gt;0,'Lab test'!AU593,NA())</f>
        <v>0.20237507600746862</v>
      </c>
      <c r="AO600" s="401">
        <f>IF('Lab test'!AT593&gt;0,'Lab test'!AT593,NA())</f>
        <v>0.24808670536612881</v>
      </c>
      <c r="AP600">
        <f t="shared" si="242"/>
        <v>1</v>
      </c>
      <c r="AQ600" s="401">
        <f>'Lab test'!AZ593</f>
        <v>1964</v>
      </c>
      <c r="AR600" t="str">
        <f>'Lab test'!AC593</f>
        <v>LTWb</v>
      </c>
      <c r="AS600" t="str">
        <f>'Lab test'!T593</f>
        <v>Steel</v>
      </c>
      <c r="AX600" t="e">
        <f t="shared" si="227"/>
        <v>#N/A</v>
      </c>
      <c r="AY600" t="e">
        <f t="shared" si="221"/>
        <v>#N/A</v>
      </c>
      <c r="AZ600">
        <f t="shared" si="224"/>
        <v>206842.71840000001</v>
      </c>
      <c r="BA600" t="e">
        <f t="shared" si="224"/>
        <v>#N/A</v>
      </c>
      <c r="BB600" t="e">
        <f t="shared" si="224"/>
        <v>#N/A</v>
      </c>
      <c r="BC600" t="e">
        <f t="shared" si="224"/>
        <v>#N/A</v>
      </c>
      <c r="BD600" t="e">
        <f t="shared" si="224"/>
        <v>#N/A</v>
      </c>
      <c r="BG600" t="e">
        <f t="shared" si="228"/>
        <v>#N/A</v>
      </c>
      <c r="BH600" t="e">
        <f t="shared" si="222"/>
        <v>#N/A</v>
      </c>
      <c r="BI600" t="e">
        <f t="shared" si="225"/>
        <v>#N/A</v>
      </c>
      <c r="BJ600" t="e">
        <f t="shared" si="225"/>
        <v>#N/A</v>
      </c>
      <c r="BK600" t="e">
        <f t="shared" si="225"/>
        <v>#N/A</v>
      </c>
      <c r="BL600" t="e">
        <f t="shared" si="225"/>
        <v>#N/A</v>
      </c>
      <c r="BM600" t="e">
        <f t="shared" si="225"/>
        <v>#N/A</v>
      </c>
      <c r="BP600" t="e">
        <f t="shared" si="229"/>
        <v>#N/A</v>
      </c>
      <c r="BQ600" t="e">
        <f t="shared" si="223"/>
        <v>#N/A</v>
      </c>
      <c r="BR600" t="e">
        <f t="shared" si="226"/>
        <v>#N/A</v>
      </c>
      <c r="BS600" t="e">
        <f t="shared" si="226"/>
        <v>#N/A</v>
      </c>
      <c r="BT600" t="e">
        <f t="shared" si="226"/>
        <v>#N/A</v>
      </c>
      <c r="BU600" t="e">
        <f t="shared" si="226"/>
        <v>#N/A</v>
      </c>
      <c r="BV600" t="e">
        <f t="shared" si="226"/>
        <v>#N/A</v>
      </c>
      <c r="BY600">
        <f t="shared" si="230"/>
        <v>206842.71840000001</v>
      </c>
      <c r="BZ600" t="e">
        <v>#N/A</v>
      </c>
      <c r="CA600" t="e" cm="1">
        <f t="array" ref="CA600">IF(ISNUMBER(BZ600),AF600/COUNT(IF(ISNUMBER(_xlfn.ANCHORARRAY($BZ$11)),_xlfn.ANCHORARRAY($BZ$11))),NA())</f>
        <v>#N/A</v>
      </c>
      <c r="CB600" t="e">
        <f t="shared" si="231"/>
        <v>#N/A</v>
      </c>
      <c r="CD600" t="e">
        <f t="shared" si="232"/>
        <v>#N/A</v>
      </c>
      <c r="CE600" t="e">
        <f t="shared" si="233"/>
        <v>#N/A</v>
      </c>
      <c r="CG600" t="e">
        <v>#N/A</v>
      </c>
      <c r="CH600" t="e">
        <v>#N/A</v>
      </c>
      <c r="CL600" t="e">
        <f t="shared" si="234"/>
        <v>#N/A</v>
      </c>
      <c r="CM600" t="e">
        <v>#N/A</v>
      </c>
      <c r="CN600" t="e" cm="1">
        <f t="array" ref="CN600">IF(ISNUMBER(CM600),AF600/COUNT(IF(ISNUMBER(_xlfn.ANCHORARRAY($CM$11)),_xlfn.ANCHORARRAY($CM$11))),NA())</f>
        <v>#N/A</v>
      </c>
      <c r="CO600" t="e">
        <f t="shared" si="235"/>
        <v>#N/A</v>
      </c>
      <c r="CQ600" t="e">
        <f t="shared" si="236"/>
        <v>#N/A</v>
      </c>
      <c r="CR600" t="e">
        <f t="shared" si="237"/>
        <v>#N/A</v>
      </c>
      <c r="CT600" t="e">
        <v>#N/A</v>
      </c>
      <c r="CU600" t="e">
        <v>#N/A</v>
      </c>
      <c r="CY600" t="e">
        <f t="shared" si="238"/>
        <v>#N/A</v>
      </c>
      <c r="CZ600" t="e">
        <v>#N/A</v>
      </c>
      <c r="DA600" t="e" cm="1">
        <f t="array" ref="DA600">IF(ISNUMBER(CZ600),AF600/COUNT(IF(ISNUMBER(_xlfn.ANCHORARRAY($CZ$11)),_xlfn.ANCHORARRAY($CZ$11))),NA())</f>
        <v>#N/A</v>
      </c>
      <c r="DB600" t="e">
        <f t="shared" si="239"/>
        <v>#N/A</v>
      </c>
      <c r="DD600" t="e">
        <f t="shared" si="240"/>
        <v>#N/A</v>
      </c>
      <c r="DE600" t="e">
        <f t="shared" si="241"/>
        <v>#N/A</v>
      </c>
      <c r="DG600" t="e">
        <v>#N/A</v>
      </c>
      <c r="DH600" t="e">
        <v>#N/A</v>
      </c>
    </row>
    <row r="601" spans="32:112">
      <c r="AF601">
        <v>591</v>
      </c>
      <c r="AG601" s="401">
        <f>'Lab test'!N594</f>
        <v>114.3</v>
      </c>
      <c r="AH601" s="401">
        <f>'Lab test'!M594</f>
        <v>0.20319999999999999</v>
      </c>
      <c r="AI601" t="e">
        <f>IF('Lab test'!O594&gt;0,'Lab test'!O594,NA())</f>
        <v>#N/A</v>
      </c>
      <c r="AJ601">
        <f>'Lab test'!Q594</f>
        <v>562.5</v>
      </c>
      <c r="AK601" s="401">
        <f>IF('Lab test'!V594&gt;0,'Lab test'!V594,NA())</f>
        <v>206842.71840000001</v>
      </c>
      <c r="AL601" s="7">
        <f>IF(MAX('Lab test'!W594,'Lab test'!X594)&gt;0,MAX('Lab test'!W594,'Lab test'!X594),NA())</f>
        <v>270.6542294061266</v>
      </c>
      <c r="AM601" s="401" t="e">
        <f>IF('Lab test'!P594&gt;0,'Lab test'!P594,NA())</f>
        <v>#N/A</v>
      </c>
      <c r="AN601" s="401">
        <f>IF('Lab test'!AU594&gt;0,'Lab test'!AU594,NA())</f>
        <v>0.21007635078011105</v>
      </c>
      <c r="AO601" s="401">
        <f>IF('Lab test'!AT594&gt;0,'Lab test'!AT594,NA())</f>
        <v>0.25547922865223549</v>
      </c>
      <c r="AP601">
        <f t="shared" si="242"/>
        <v>1</v>
      </c>
      <c r="AQ601" s="401">
        <f>'Lab test'!AZ594</f>
        <v>1964</v>
      </c>
      <c r="AR601" t="str">
        <f>'Lab test'!AC594</f>
        <v>LTWb</v>
      </c>
      <c r="AS601" t="str">
        <f>'Lab test'!T594</f>
        <v>Steel</v>
      </c>
      <c r="AX601" t="e">
        <f t="shared" si="227"/>
        <v>#N/A</v>
      </c>
      <c r="AY601" t="e">
        <f t="shared" si="221"/>
        <v>#N/A</v>
      </c>
      <c r="AZ601">
        <f t="shared" si="224"/>
        <v>206842.71840000001</v>
      </c>
      <c r="BA601" t="e">
        <f t="shared" si="224"/>
        <v>#N/A</v>
      </c>
      <c r="BB601" t="e">
        <f t="shared" si="224"/>
        <v>#N/A</v>
      </c>
      <c r="BC601" t="e">
        <f t="shared" si="224"/>
        <v>#N/A</v>
      </c>
      <c r="BD601" t="e">
        <f t="shared" si="224"/>
        <v>#N/A</v>
      </c>
      <c r="BG601" t="e">
        <f t="shared" si="228"/>
        <v>#N/A</v>
      </c>
      <c r="BH601" t="e">
        <f t="shared" si="222"/>
        <v>#N/A</v>
      </c>
      <c r="BI601" t="e">
        <f t="shared" si="225"/>
        <v>#N/A</v>
      </c>
      <c r="BJ601" t="e">
        <f t="shared" si="225"/>
        <v>#N/A</v>
      </c>
      <c r="BK601" t="e">
        <f t="shared" si="225"/>
        <v>#N/A</v>
      </c>
      <c r="BL601" t="e">
        <f t="shared" si="225"/>
        <v>#N/A</v>
      </c>
      <c r="BM601" t="e">
        <f t="shared" si="225"/>
        <v>#N/A</v>
      </c>
      <c r="BP601" t="e">
        <f t="shared" si="229"/>
        <v>#N/A</v>
      </c>
      <c r="BQ601" t="e">
        <f t="shared" si="223"/>
        <v>#N/A</v>
      </c>
      <c r="BR601" t="e">
        <f t="shared" si="226"/>
        <v>#N/A</v>
      </c>
      <c r="BS601" t="e">
        <f t="shared" si="226"/>
        <v>#N/A</v>
      </c>
      <c r="BT601" t="e">
        <f t="shared" si="226"/>
        <v>#N/A</v>
      </c>
      <c r="BU601" t="e">
        <f t="shared" si="226"/>
        <v>#N/A</v>
      </c>
      <c r="BV601" t="e">
        <f t="shared" si="226"/>
        <v>#N/A</v>
      </c>
      <c r="BY601">
        <f t="shared" si="230"/>
        <v>206842.71840000001</v>
      </c>
      <c r="BZ601" t="e">
        <v>#N/A</v>
      </c>
      <c r="CA601" t="e" cm="1">
        <f t="array" ref="CA601">IF(ISNUMBER(BZ601),AF601/COUNT(IF(ISNUMBER(_xlfn.ANCHORARRAY($BZ$11)),_xlfn.ANCHORARRAY($BZ$11))),NA())</f>
        <v>#N/A</v>
      </c>
      <c r="CB601" t="e">
        <f t="shared" si="231"/>
        <v>#N/A</v>
      </c>
      <c r="CD601" t="e">
        <f t="shared" si="232"/>
        <v>#N/A</v>
      </c>
      <c r="CE601" t="e">
        <f t="shared" si="233"/>
        <v>#N/A</v>
      </c>
      <c r="CG601" t="e">
        <v>#N/A</v>
      </c>
      <c r="CH601" t="e">
        <v>#N/A</v>
      </c>
      <c r="CL601" t="e">
        <f t="shared" si="234"/>
        <v>#N/A</v>
      </c>
      <c r="CM601" t="e">
        <v>#N/A</v>
      </c>
      <c r="CN601" t="e" cm="1">
        <f t="array" ref="CN601">IF(ISNUMBER(CM601),AF601/COUNT(IF(ISNUMBER(_xlfn.ANCHORARRAY($CM$11)),_xlfn.ANCHORARRAY($CM$11))),NA())</f>
        <v>#N/A</v>
      </c>
      <c r="CO601" t="e">
        <f t="shared" si="235"/>
        <v>#N/A</v>
      </c>
      <c r="CQ601" t="e">
        <f t="shared" si="236"/>
        <v>#N/A</v>
      </c>
      <c r="CR601" t="e">
        <f t="shared" si="237"/>
        <v>#N/A</v>
      </c>
      <c r="CT601" t="e">
        <v>#N/A</v>
      </c>
      <c r="CU601" t="e">
        <v>#N/A</v>
      </c>
      <c r="CY601" t="e">
        <f t="shared" si="238"/>
        <v>#N/A</v>
      </c>
      <c r="CZ601" t="e">
        <v>#N/A</v>
      </c>
      <c r="DA601" t="e" cm="1">
        <f t="array" ref="DA601">IF(ISNUMBER(CZ601),AF601/COUNT(IF(ISNUMBER(_xlfn.ANCHORARRAY($CZ$11)),_xlfn.ANCHORARRAY($CZ$11))),NA())</f>
        <v>#N/A</v>
      </c>
      <c r="DB601" t="e">
        <f t="shared" si="239"/>
        <v>#N/A</v>
      </c>
      <c r="DD601" t="e">
        <f t="shared" si="240"/>
        <v>#N/A</v>
      </c>
      <c r="DE601" t="e">
        <f t="shared" si="241"/>
        <v>#N/A</v>
      </c>
      <c r="DG601" t="e">
        <v>#N/A</v>
      </c>
      <c r="DH601" t="e">
        <v>#N/A</v>
      </c>
    </row>
    <row r="602" spans="32:112">
      <c r="AF602">
        <v>592</v>
      </c>
      <c r="AG602" s="401">
        <f>'Lab test'!N595</f>
        <v>114.3</v>
      </c>
      <c r="AH602" s="401">
        <f>'Lab test'!M595</f>
        <v>0.20319999999999999</v>
      </c>
      <c r="AI602" t="e">
        <f>IF('Lab test'!O595&gt;0,'Lab test'!O595,NA())</f>
        <v>#N/A</v>
      </c>
      <c r="AJ602">
        <f>'Lab test'!Q595</f>
        <v>562.5</v>
      </c>
      <c r="AK602" s="401">
        <f>IF('Lab test'!V595&gt;0,'Lab test'!V595,NA())</f>
        <v>206842.71840000001</v>
      </c>
      <c r="AL602" s="7">
        <f>IF(MAX('Lab test'!W595,'Lab test'!X595)&gt;0,MAX('Lab test'!W595,'Lab test'!X595),NA())</f>
        <v>242.95647374637767</v>
      </c>
      <c r="AM602" s="401" t="e">
        <f>IF('Lab test'!P595&gt;0,'Lab test'!P595,NA())</f>
        <v>#N/A</v>
      </c>
      <c r="AN602" s="401">
        <f>IF('Lab test'!AU595&gt;0,'Lab test'!AU595,NA())</f>
        <v>0.21744061368289605</v>
      </c>
      <c r="AO602" s="401">
        <f>IF('Lab test'!AT595&gt;0,'Lab test'!AT595,NA())</f>
        <v>0.23737378469400774</v>
      </c>
      <c r="AP602">
        <f t="shared" si="242"/>
        <v>1</v>
      </c>
      <c r="AQ602" s="401">
        <f>'Lab test'!AZ595</f>
        <v>1964</v>
      </c>
      <c r="AR602" t="str">
        <f>'Lab test'!AC595</f>
        <v>LTWb</v>
      </c>
      <c r="AS602" t="str">
        <f>'Lab test'!T595</f>
        <v>Steel</v>
      </c>
      <c r="AX602" t="e">
        <f t="shared" si="227"/>
        <v>#N/A</v>
      </c>
      <c r="AY602" t="e">
        <f t="shared" si="221"/>
        <v>#N/A</v>
      </c>
      <c r="AZ602">
        <f t="shared" si="224"/>
        <v>206842.71840000001</v>
      </c>
      <c r="BA602" t="e">
        <f t="shared" si="224"/>
        <v>#N/A</v>
      </c>
      <c r="BB602" t="e">
        <f t="shared" si="224"/>
        <v>#N/A</v>
      </c>
      <c r="BC602" t="e">
        <f t="shared" si="224"/>
        <v>#N/A</v>
      </c>
      <c r="BD602" t="e">
        <f t="shared" si="224"/>
        <v>#N/A</v>
      </c>
      <c r="BG602" t="e">
        <f t="shared" si="228"/>
        <v>#N/A</v>
      </c>
      <c r="BH602" t="e">
        <f t="shared" si="222"/>
        <v>#N/A</v>
      </c>
      <c r="BI602" t="e">
        <f t="shared" si="225"/>
        <v>#N/A</v>
      </c>
      <c r="BJ602" t="e">
        <f t="shared" si="225"/>
        <v>#N/A</v>
      </c>
      <c r="BK602" t="e">
        <f t="shared" si="225"/>
        <v>#N/A</v>
      </c>
      <c r="BL602" t="e">
        <f t="shared" si="225"/>
        <v>#N/A</v>
      </c>
      <c r="BM602" t="e">
        <f t="shared" si="225"/>
        <v>#N/A</v>
      </c>
      <c r="BP602" t="e">
        <f t="shared" si="229"/>
        <v>#N/A</v>
      </c>
      <c r="BQ602" t="e">
        <f t="shared" si="223"/>
        <v>#N/A</v>
      </c>
      <c r="BR602" t="e">
        <f t="shared" si="226"/>
        <v>#N/A</v>
      </c>
      <c r="BS602" t="e">
        <f t="shared" si="226"/>
        <v>#N/A</v>
      </c>
      <c r="BT602" t="e">
        <f t="shared" si="226"/>
        <v>#N/A</v>
      </c>
      <c r="BU602" t="e">
        <f t="shared" si="226"/>
        <v>#N/A</v>
      </c>
      <c r="BV602" t="e">
        <f t="shared" si="226"/>
        <v>#N/A</v>
      </c>
      <c r="BY602">
        <f t="shared" si="230"/>
        <v>206842.71840000001</v>
      </c>
      <c r="BZ602" t="e">
        <v>#N/A</v>
      </c>
      <c r="CA602" t="e" cm="1">
        <f t="array" ref="CA602">IF(ISNUMBER(BZ602),AF602/COUNT(IF(ISNUMBER(_xlfn.ANCHORARRAY($BZ$11)),_xlfn.ANCHORARRAY($BZ$11))),NA())</f>
        <v>#N/A</v>
      </c>
      <c r="CB602" t="e">
        <f t="shared" si="231"/>
        <v>#N/A</v>
      </c>
      <c r="CD602" t="e">
        <f t="shared" si="232"/>
        <v>#N/A</v>
      </c>
      <c r="CE602" t="e">
        <f t="shared" si="233"/>
        <v>#N/A</v>
      </c>
      <c r="CG602" t="e">
        <v>#N/A</v>
      </c>
      <c r="CH602" t="e">
        <v>#N/A</v>
      </c>
      <c r="CL602" t="e">
        <f t="shared" si="234"/>
        <v>#N/A</v>
      </c>
      <c r="CM602" t="e">
        <v>#N/A</v>
      </c>
      <c r="CN602" t="e" cm="1">
        <f t="array" ref="CN602">IF(ISNUMBER(CM602),AF602/COUNT(IF(ISNUMBER(_xlfn.ANCHORARRAY($CM$11)),_xlfn.ANCHORARRAY($CM$11))),NA())</f>
        <v>#N/A</v>
      </c>
      <c r="CO602" t="e">
        <f t="shared" si="235"/>
        <v>#N/A</v>
      </c>
      <c r="CQ602" t="e">
        <f t="shared" si="236"/>
        <v>#N/A</v>
      </c>
      <c r="CR602" t="e">
        <f t="shared" si="237"/>
        <v>#N/A</v>
      </c>
      <c r="CT602" t="e">
        <v>#N/A</v>
      </c>
      <c r="CU602" t="e">
        <v>#N/A</v>
      </c>
      <c r="CY602" t="e">
        <f t="shared" si="238"/>
        <v>#N/A</v>
      </c>
      <c r="CZ602" t="e">
        <v>#N/A</v>
      </c>
      <c r="DA602" t="e" cm="1">
        <f t="array" ref="DA602">IF(ISNUMBER(CZ602),AF602/COUNT(IF(ISNUMBER(_xlfn.ANCHORARRAY($CZ$11)),_xlfn.ANCHORARRAY($CZ$11))),NA())</f>
        <v>#N/A</v>
      </c>
      <c r="DB602" t="e">
        <f t="shared" si="239"/>
        <v>#N/A</v>
      </c>
      <c r="DD602" t="e">
        <f t="shared" si="240"/>
        <v>#N/A</v>
      </c>
      <c r="DE602" t="e">
        <f t="shared" si="241"/>
        <v>#N/A</v>
      </c>
      <c r="DG602" t="e">
        <v>#N/A</v>
      </c>
      <c r="DH602" t="e">
        <v>#N/A</v>
      </c>
    </row>
    <row r="603" spans="32:112">
      <c r="AF603">
        <v>593</v>
      </c>
      <c r="AG603" s="401">
        <f>'Lab test'!N596</f>
        <v>114.3</v>
      </c>
      <c r="AH603" s="401">
        <f>'Lab test'!M596</f>
        <v>0.20319999999999999</v>
      </c>
      <c r="AI603" t="e">
        <f>IF('Lab test'!O596&gt;0,'Lab test'!O596,NA())</f>
        <v>#N/A</v>
      </c>
      <c r="AJ603">
        <f>'Lab test'!Q596</f>
        <v>562.5</v>
      </c>
      <c r="AK603" s="401">
        <f>IF('Lab test'!V596&gt;0,'Lab test'!V596,NA())</f>
        <v>206842.71840000001</v>
      </c>
      <c r="AL603" s="7">
        <f>IF(MAX('Lab test'!W596,'Lab test'!X596)&gt;0,MAX('Lab test'!W596,'Lab test'!X596),NA())</f>
        <v>235.48554658541721</v>
      </c>
      <c r="AM603" s="401" t="e">
        <f>IF('Lab test'!P596&gt;0,'Lab test'!P596,NA())</f>
        <v>#N/A</v>
      </c>
      <c r="AN603" s="401">
        <f>IF('Lab test'!AU596&gt;0,'Lab test'!AU596,NA())</f>
        <v>0.21289086906615384</v>
      </c>
      <c r="AO603" s="401">
        <f>IF('Lab test'!AT596&gt;0,'Lab test'!AT596,NA())</f>
        <v>0.22526042799014018</v>
      </c>
      <c r="AP603">
        <f t="shared" si="242"/>
        <v>1</v>
      </c>
      <c r="AQ603" s="401">
        <f>'Lab test'!AZ596</f>
        <v>1964</v>
      </c>
      <c r="AR603" t="str">
        <f>'Lab test'!AC596</f>
        <v>LTWb</v>
      </c>
      <c r="AS603" t="str">
        <f>'Lab test'!T596</f>
        <v>Steel</v>
      </c>
      <c r="AX603" t="e">
        <f t="shared" si="227"/>
        <v>#N/A</v>
      </c>
      <c r="AY603" t="e">
        <f t="shared" si="221"/>
        <v>#N/A</v>
      </c>
      <c r="AZ603">
        <f t="shared" si="224"/>
        <v>206842.71840000001</v>
      </c>
      <c r="BA603" t="e">
        <f t="shared" si="224"/>
        <v>#N/A</v>
      </c>
      <c r="BB603" t="e">
        <f t="shared" si="224"/>
        <v>#N/A</v>
      </c>
      <c r="BC603" t="e">
        <f t="shared" si="224"/>
        <v>#N/A</v>
      </c>
      <c r="BD603" t="e">
        <f t="shared" si="224"/>
        <v>#N/A</v>
      </c>
      <c r="BG603" t="e">
        <f t="shared" si="228"/>
        <v>#N/A</v>
      </c>
      <c r="BH603" t="e">
        <f t="shared" si="222"/>
        <v>#N/A</v>
      </c>
      <c r="BI603" t="e">
        <f t="shared" si="225"/>
        <v>#N/A</v>
      </c>
      <c r="BJ603" t="e">
        <f t="shared" si="225"/>
        <v>#N/A</v>
      </c>
      <c r="BK603" t="e">
        <f t="shared" si="225"/>
        <v>#N/A</v>
      </c>
      <c r="BL603" t="e">
        <f t="shared" si="225"/>
        <v>#N/A</v>
      </c>
      <c r="BM603" t="e">
        <f t="shared" si="225"/>
        <v>#N/A</v>
      </c>
      <c r="BP603" t="e">
        <f t="shared" si="229"/>
        <v>#N/A</v>
      </c>
      <c r="BQ603" t="e">
        <f t="shared" si="223"/>
        <v>#N/A</v>
      </c>
      <c r="BR603" t="e">
        <f t="shared" si="226"/>
        <v>#N/A</v>
      </c>
      <c r="BS603" t="e">
        <f t="shared" si="226"/>
        <v>#N/A</v>
      </c>
      <c r="BT603" t="e">
        <f t="shared" si="226"/>
        <v>#N/A</v>
      </c>
      <c r="BU603" t="e">
        <f t="shared" si="226"/>
        <v>#N/A</v>
      </c>
      <c r="BV603" t="e">
        <f t="shared" si="226"/>
        <v>#N/A</v>
      </c>
      <c r="BY603">
        <f t="shared" si="230"/>
        <v>206842.71840000001</v>
      </c>
      <c r="BZ603" t="e">
        <v>#N/A</v>
      </c>
      <c r="CA603" t="e" cm="1">
        <f t="array" ref="CA603">IF(ISNUMBER(BZ603),AF603/COUNT(IF(ISNUMBER(_xlfn.ANCHORARRAY($BZ$11)),_xlfn.ANCHORARRAY($BZ$11))),NA())</f>
        <v>#N/A</v>
      </c>
      <c r="CB603" t="e">
        <f t="shared" si="231"/>
        <v>#N/A</v>
      </c>
      <c r="CD603" t="e">
        <f t="shared" si="232"/>
        <v>#N/A</v>
      </c>
      <c r="CE603" t="e">
        <f t="shared" si="233"/>
        <v>#N/A</v>
      </c>
      <c r="CG603" t="e">
        <v>#N/A</v>
      </c>
      <c r="CH603" t="e">
        <v>#N/A</v>
      </c>
      <c r="CL603" t="e">
        <f t="shared" si="234"/>
        <v>#N/A</v>
      </c>
      <c r="CM603" t="e">
        <v>#N/A</v>
      </c>
      <c r="CN603" t="e" cm="1">
        <f t="array" ref="CN603">IF(ISNUMBER(CM603),AF603/COUNT(IF(ISNUMBER(_xlfn.ANCHORARRAY($CM$11)),_xlfn.ANCHORARRAY($CM$11))),NA())</f>
        <v>#N/A</v>
      </c>
      <c r="CO603" t="e">
        <f t="shared" si="235"/>
        <v>#N/A</v>
      </c>
      <c r="CQ603" t="e">
        <f t="shared" si="236"/>
        <v>#N/A</v>
      </c>
      <c r="CR603" t="e">
        <f t="shared" si="237"/>
        <v>#N/A</v>
      </c>
      <c r="CT603" t="e">
        <v>#N/A</v>
      </c>
      <c r="CU603" t="e">
        <v>#N/A</v>
      </c>
      <c r="CY603" t="e">
        <f t="shared" si="238"/>
        <v>#N/A</v>
      </c>
      <c r="CZ603" t="e">
        <v>#N/A</v>
      </c>
      <c r="DA603" t="e" cm="1">
        <f t="array" ref="DA603">IF(ISNUMBER(CZ603),AF603/COUNT(IF(ISNUMBER(_xlfn.ANCHORARRAY($CZ$11)),_xlfn.ANCHORARRAY($CZ$11))),NA())</f>
        <v>#N/A</v>
      </c>
      <c r="DB603" t="e">
        <f t="shared" si="239"/>
        <v>#N/A</v>
      </c>
      <c r="DD603" t="e">
        <f t="shared" si="240"/>
        <v>#N/A</v>
      </c>
      <c r="DE603" t="e">
        <f t="shared" si="241"/>
        <v>#N/A</v>
      </c>
      <c r="DG603" t="e">
        <v>#N/A</v>
      </c>
      <c r="DH603" t="e">
        <v>#N/A</v>
      </c>
    </row>
    <row r="604" spans="32:112">
      <c r="AF604">
        <v>594</v>
      </c>
      <c r="AG604" s="401">
        <f>'Lab test'!N597</f>
        <v>114.3</v>
      </c>
      <c r="AH604" s="401">
        <f>'Lab test'!M597</f>
        <v>0.38099999999999995</v>
      </c>
      <c r="AI604" t="e">
        <f>IF('Lab test'!O597&gt;0,'Lab test'!O597,NA())</f>
        <v>#N/A</v>
      </c>
      <c r="AJ604">
        <f>'Lab test'!Q597</f>
        <v>300.00000000000006</v>
      </c>
      <c r="AK604" s="401">
        <f>IF('Lab test'!V597&gt;0,'Lab test'!V597,NA())</f>
        <v>206842.71840000001</v>
      </c>
      <c r="AL604" s="7">
        <f>IF(MAX('Lab test'!W597,'Lab test'!X597)&gt;0,MAX('Lab test'!W597,'Lab test'!X597),NA())</f>
        <v>327.66488781843435</v>
      </c>
      <c r="AM604" s="401" t="e">
        <f>IF('Lab test'!P597&gt;0,'Lab test'!P597,NA())</f>
        <v>#N/A</v>
      </c>
      <c r="AN604" s="401">
        <f>IF('Lab test'!AU597&gt;0,'Lab test'!AU597,NA())</f>
        <v>0.43365045052971174</v>
      </c>
      <c r="AO604" s="401">
        <f>IF('Lab test'!AT597&gt;0,'Lab test'!AT597,NA())</f>
        <v>0.34051170774888662</v>
      </c>
      <c r="AP604">
        <f t="shared" si="242"/>
        <v>1</v>
      </c>
      <c r="AQ604" s="401">
        <f>'Lab test'!AZ597</f>
        <v>1964</v>
      </c>
      <c r="AR604" t="str">
        <f>'Lab test'!AC597</f>
        <v>LTWb</v>
      </c>
      <c r="AS604" t="str">
        <f>'Lab test'!T597</f>
        <v>Steel</v>
      </c>
      <c r="AX604" t="e">
        <f t="shared" si="227"/>
        <v>#N/A</v>
      </c>
      <c r="AY604">
        <f t="shared" si="221"/>
        <v>206842.71840000001</v>
      </c>
      <c r="AZ604" t="e">
        <f t="shared" si="224"/>
        <v>#N/A</v>
      </c>
      <c r="BA604" t="e">
        <f t="shared" si="224"/>
        <v>#N/A</v>
      </c>
      <c r="BB604" t="e">
        <f t="shared" si="224"/>
        <v>#N/A</v>
      </c>
      <c r="BC604" t="e">
        <f t="shared" si="224"/>
        <v>#N/A</v>
      </c>
      <c r="BD604" t="e">
        <f t="shared" si="224"/>
        <v>#N/A</v>
      </c>
      <c r="BG604" t="e">
        <f t="shared" si="228"/>
        <v>#N/A</v>
      </c>
      <c r="BH604" t="e">
        <f t="shared" si="222"/>
        <v>#N/A</v>
      </c>
      <c r="BI604" t="e">
        <f t="shared" si="225"/>
        <v>#N/A</v>
      </c>
      <c r="BJ604" t="e">
        <f t="shared" si="225"/>
        <v>#N/A</v>
      </c>
      <c r="BK604" t="e">
        <f t="shared" si="225"/>
        <v>#N/A</v>
      </c>
      <c r="BL604" t="e">
        <f t="shared" si="225"/>
        <v>#N/A</v>
      </c>
      <c r="BM604" t="e">
        <f t="shared" si="225"/>
        <v>#N/A</v>
      </c>
      <c r="BP604" t="e">
        <f t="shared" si="229"/>
        <v>#N/A</v>
      </c>
      <c r="BQ604" t="e">
        <f t="shared" si="223"/>
        <v>#N/A</v>
      </c>
      <c r="BR604" t="e">
        <f t="shared" si="226"/>
        <v>#N/A</v>
      </c>
      <c r="BS604" t="e">
        <f t="shared" si="226"/>
        <v>#N/A</v>
      </c>
      <c r="BT604" t="e">
        <f t="shared" si="226"/>
        <v>#N/A</v>
      </c>
      <c r="BU604" t="e">
        <f t="shared" si="226"/>
        <v>#N/A</v>
      </c>
      <c r="BV604" t="e">
        <f t="shared" si="226"/>
        <v>#N/A</v>
      </c>
      <c r="BY604">
        <f t="shared" si="230"/>
        <v>206842.71840000001</v>
      </c>
      <c r="BZ604" t="e">
        <v>#N/A</v>
      </c>
      <c r="CA604" t="e" cm="1">
        <f t="array" ref="CA604">IF(ISNUMBER(BZ604),AF604/COUNT(IF(ISNUMBER(_xlfn.ANCHORARRAY($BZ$11)),_xlfn.ANCHORARRAY($BZ$11))),NA())</f>
        <v>#N/A</v>
      </c>
      <c r="CB604" t="e">
        <f t="shared" si="231"/>
        <v>#N/A</v>
      </c>
      <c r="CD604" t="e">
        <f t="shared" si="232"/>
        <v>#N/A</v>
      </c>
      <c r="CE604" t="e">
        <f t="shared" si="233"/>
        <v>#N/A</v>
      </c>
      <c r="CG604" t="e">
        <v>#N/A</v>
      </c>
      <c r="CH604" t="e">
        <v>#N/A</v>
      </c>
      <c r="CL604" t="e">
        <f t="shared" si="234"/>
        <v>#N/A</v>
      </c>
      <c r="CM604" t="e">
        <v>#N/A</v>
      </c>
      <c r="CN604" t="e" cm="1">
        <f t="array" ref="CN604">IF(ISNUMBER(CM604),AF604/COUNT(IF(ISNUMBER(_xlfn.ANCHORARRAY($CM$11)),_xlfn.ANCHORARRAY($CM$11))),NA())</f>
        <v>#N/A</v>
      </c>
      <c r="CO604" t="e">
        <f t="shared" si="235"/>
        <v>#N/A</v>
      </c>
      <c r="CQ604" t="e">
        <f t="shared" si="236"/>
        <v>#N/A</v>
      </c>
      <c r="CR604" t="e">
        <f t="shared" si="237"/>
        <v>#N/A</v>
      </c>
      <c r="CT604" t="e">
        <v>#N/A</v>
      </c>
      <c r="CU604" t="e">
        <v>#N/A</v>
      </c>
      <c r="CY604" t="e">
        <f t="shared" si="238"/>
        <v>#N/A</v>
      </c>
      <c r="CZ604" t="e">
        <v>#N/A</v>
      </c>
      <c r="DA604" t="e" cm="1">
        <f t="array" ref="DA604">IF(ISNUMBER(CZ604),AF604/COUNT(IF(ISNUMBER(_xlfn.ANCHORARRAY($CZ$11)),_xlfn.ANCHORARRAY($CZ$11))),NA())</f>
        <v>#N/A</v>
      </c>
      <c r="DB604" t="e">
        <f t="shared" si="239"/>
        <v>#N/A</v>
      </c>
      <c r="DD604" t="e">
        <f t="shared" si="240"/>
        <v>#N/A</v>
      </c>
      <c r="DE604" t="e">
        <f t="shared" si="241"/>
        <v>#N/A</v>
      </c>
      <c r="DG604" t="e">
        <v>#N/A</v>
      </c>
      <c r="DH604" t="e">
        <v>#N/A</v>
      </c>
    </row>
    <row r="605" spans="32:112">
      <c r="AF605">
        <v>595</v>
      </c>
      <c r="AG605" s="401">
        <f>'Lab test'!N598</f>
        <v>114.3</v>
      </c>
      <c r="AH605" s="401">
        <f>'Lab test'!M598</f>
        <v>0.38099999999999995</v>
      </c>
      <c r="AI605" t="e">
        <f>IF('Lab test'!O598&gt;0,'Lab test'!O598,NA())</f>
        <v>#N/A</v>
      </c>
      <c r="AJ605">
        <f>'Lab test'!Q598</f>
        <v>300.00000000000006</v>
      </c>
      <c r="AK605" s="401">
        <f>IF('Lab test'!V598&gt;0,'Lab test'!V598,NA())</f>
        <v>206842.71840000001</v>
      </c>
      <c r="AL605" s="7">
        <f>IF(MAX('Lab test'!W598,'Lab test'!X598)&gt;0,MAX('Lab test'!W598,'Lab test'!X598),NA())</f>
        <v>258.59161681497301</v>
      </c>
      <c r="AM605" s="401" t="e">
        <f>IF('Lab test'!P598&gt;0,'Lab test'!P598,NA())</f>
        <v>#N/A</v>
      </c>
      <c r="AN605" s="401">
        <f>IF('Lab test'!AU598&gt;0,'Lab test'!AU598,NA())</f>
        <v>0.49875947891637451</v>
      </c>
      <c r="AO605" s="401">
        <f>IF('Lab test'!AT598&gt;0,'Lab test'!AT598,NA())</f>
        <v>0.30907789481575498</v>
      </c>
      <c r="AP605">
        <f t="shared" si="242"/>
        <v>1</v>
      </c>
      <c r="AQ605" s="401">
        <f>'Lab test'!AZ598</f>
        <v>1964</v>
      </c>
      <c r="AR605" t="str">
        <f>'Lab test'!AC598</f>
        <v>LTWb</v>
      </c>
      <c r="AS605" t="str">
        <f>'Lab test'!T598</f>
        <v>Steel</v>
      </c>
      <c r="AX605" t="e">
        <f t="shared" si="227"/>
        <v>#N/A</v>
      </c>
      <c r="AY605">
        <f t="shared" si="221"/>
        <v>206842.71840000001</v>
      </c>
      <c r="AZ605" t="e">
        <f t="shared" si="224"/>
        <v>#N/A</v>
      </c>
      <c r="BA605" t="e">
        <f t="shared" si="224"/>
        <v>#N/A</v>
      </c>
      <c r="BB605" t="e">
        <f t="shared" si="224"/>
        <v>#N/A</v>
      </c>
      <c r="BC605" t="e">
        <f t="shared" si="224"/>
        <v>#N/A</v>
      </c>
      <c r="BD605" t="e">
        <f t="shared" si="224"/>
        <v>#N/A</v>
      </c>
      <c r="BG605" t="e">
        <f t="shared" si="228"/>
        <v>#N/A</v>
      </c>
      <c r="BH605" t="e">
        <f t="shared" si="222"/>
        <v>#N/A</v>
      </c>
      <c r="BI605" t="e">
        <f t="shared" si="225"/>
        <v>#N/A</v>
      </c>
      <c r="BJ605" t="e">
        <f t="shared" si="225"/>
        <v>#N/A</v>
      </c>
      <c r="BK605" t="e">
        <f t="shared" si="225"/>
        <v>#N/A</v>
      </c>
      <c r="BL605" t="e">
        <f t="shared" si="225"/>
        <v>#N/A</v>
      </c>
      <c r="BM605" t="e">
        <f t="shared" si="225"/>
        <v>#N/A</v>
      </c>
      <c r="BP605" t="e">
        <f t="shared" si="229"/>
        <v>#N/A</v>
      </c>
      <c r="BQ605" t="e">
        <f t="shared" si="223"/>
        <v>#N/A</v>
      </c>
      <c r="BR605" t="e">
        <f t="shared" si="226"/>
        <v>#N/A</v>
      </c>
      <c r="BS605" t="e">
        <f t="shared" si="226"/>
        <v>#N/A</v>
      </c>
      <c r="BT605" t="e">
        <f t="shared" si="226"/>
        <v>#N/A</v>
      </c>
      <c r="BU605" t="e">
        <f t="shared" si="226"/>
        <v>#N/A</v>
      </c>
      <c r="BV605" t="e">
        <f t="shared" si="226"/>
        <v>#N/A</v>
      </c>
      <c r="BY605">
        <f t="shared" si="230"/>
        <v>206842.71840000001</v>
      </c>
      <c r="BZ605" t="e">
        <v>#N/A</v>
      </c>
      <c r="CA605" t="e" cm="1">
        <f t="array" ref="CA605">IF(ISNUMBER(BZ605),AF605/COUNT(IF(ISNUMBER(_xlfn.ANCHORARRAY($BZ$11)),_xlfn.ANCHORARRAY($BZ$11))),NA())</f>
        <v>#N/A</v>
      </c>
      <c r="CB605" t="e">
        <f t="shared" si="231"/>
        <v>#N/A</v>
      </c>
      <c r="CD605" t="e">
        <f t="shared" si="232"/>
        <v>#N/A</v>
      </c>
      <c r="CE605" t="e">
        <f t="shared" si="233"/>
        <v>#N/A</v>
      </c>
      <c r="CG605" t="e">
        <v>#N/A</v>
      </c>
      <c r="CH605" t="e">
        <v>#N/A</v>
      </c>
      <c r="CL605" t="e">
        <f t="shared" si="234"/>
        <v>#N/A</v>
      </c>
      <c r="CM605" t="e">
        <v>#N/A</v>
      </c>
      <c r="CN605" t="e" cm="1">
        <f t="array" ref="CN605">IF(ISNUMBER(CM605),AF605/COUNT(IF(ISNUMBER(_xlfn.ANCHORARRAY($CM$11)),_xlfn.ANCHORARRAY($CM$11))),NA())</f>
        <v>#N/A</v>
      </c>
      <c r="CO605" t="e">
        <f t="shared" si="235"/>
        <v>#N/A</v>
      </c>
      <c r="CQ605" t="e">
        <f t="shared" si="236"/>
        <v>#N/A</v>
      </c>
      <c r="CR605" t="e">
        <f t="shared" si="237"/>
        <v>#N/A</v>
      </c>
      <c r="CT605" t="e">
        <v>#N/A</v>
      </c>
      <c r="CU605" t="e">
        <v>#N/A</v>
      </c>
      <c r="CY605" t="e">
        <f t="shared" si="238"/>
        <v>#N/A</v>
      </c>
      <c r="CZ605" t="e">
        <v>#N/A</v>
      </c>
      <c r="DA605" t="e" cm="1">
        <f t="array" ref="DA605">IF(ISNUMBER(CZ605),AF605/COUNT(IF(ISNUMBER(_xlfn.ANCHORARRAY($CZ$11)),_xlfn.ANCHORARRAY($CZ$11))),NA())</f>
        <v>#N/A</v>
      </c>
      <c r="DB605" t="e">
        <f t="shared" si="239"/>
        <v>#N/A</v>
      </c>
      <c r="DD605" t="e">
        <f t="shared" si="240"/>
        <v>#N/A</v>
      </c>
      <c r="DE605" t="e">
        <f t="shared" si="241"/>
        <v>#N/A</v>
      </c>
      <c r="DG605" t="e">
        <v>#N/A</v>
      </c>
      <c r="DH605" t="e">
        <v>#N/A</v>
      </c>
    </row>
    <row r="606" spans="32:112">
      <c r="AF606">
        <v>596</v>
      </c>
      <c r="AG606" s="401">
        <f>'Lab test'!N599</f>
        <v>114.3</v>
      </c>
      <c r="AH606" s="401">
        <f>'Lab test'!M599</f>
        <v>0.38100000000000001</v>
      </c>
      <c r="AI606" t="e">
        <f>IF('Lab test'!O599&gt;0,'Lab test'!O599,NA())</f>
        <v>#N/A</v>
      </c>
      <c r="AJ606">
        <f>'Lab test'!Q599</f>
        <v>300</v>
      </c>
      <c r="AK606" s="401">
        <f>IF('Lab test'!V599&gt;0,'Lab test'!V599,NA())</f>
        <v>206842.71840000001</v>
      </c>
      <c r="AL606" s="7">
        <f>IF(MAX('Lab test'!W599,'Lab test'!X599)&gt;0,MAX('Lab test'!W599,'Lab test'!X599),NA())</f>
        <v>235.32169608091252</v>
      </c>
      <c r="AM606" s="401" t="e">
        <f>IF('Lab test'!P599&gt;0,'Lab test'!P599,NA())</f>
        <v>#N/A</v>
      </c>
      <c r="AN606" s="401">
        <f>IF('Lab test'!AU599&gt;0,'Lab test'!AU599,NA())</f>
        <v>0.53859593333860656</v>
      </c>
      <c r="AO606" s="401">
        <f>IF('Lab test'!AT599&gt;0,'Lab test'!AT599,NA())</f>
        <v>0.30372978401170414</v>
      </c>
      <c r="AP606">
        <f t="shared" si="242"/>
        <v>1</v>
      </c>
      <c r="AQ606" s="401">
        <f>'Lab test'!AZ599</f>
        <v>1964</v>
      </c>
      <c r="AR606" t="str">
        <f>'Lab test'!AC599</f>
        <v>LTWb</v>
      </c>
      <c r="AS606" t="str">
        <f>'Lab test'!T599</f>
        <v>Steel</v>
      </c>
      <c r="AX606" t="e">
        <f t="shared" si="227"/>
        <v>#N/A</v>
      </c>
      <c r="AY606">
        <f t="shared" si="221"/>
        <v>206842.71840000001</v>
      </c>
      <c r="AZ606" t="e">
        <f t="shared" si="224"/>
        <v>#N/A</v>
      </c>
      <c r="BA606" t="e">
        <f t="shared" si="224"/>
        <v>#N/A</v>
      </c>
      <c r="BB606" t="e">
        <f t="shared" si="224"/>
        <v>#N/A</v>
      </c>
      <c r="BC606" t="e">
        <f t="shared" si="224"/>
        <v>#N/A</v>
      </c>
      <c r="BD606" t="e">
        <f t="shared" si="224"/>
        <v>#N/A</v>
      </c>
      <c r="BG606" t="e">
        <f t="shared" si="228"/>
        <v>#N/A</v>
      </c>
      <c r="BH606" t="e">
        <f t="shared" si="222"/>
        <v>#N/A</v>
      </c>
      <c r="BI606" t="e">
        <f t="shared" si="225"/>
        <v>#N/A</v>
      </c>
      <c r="BJ606" t="e">
        <f t="shared" si="225"/>
        <v>#N/A</v>
      </c>
      <c r="BK606" t="e">
        <f t="shared" si="225"/>
        <v>#N/A</v>
      </c>
      <c r="BL606" t="e">
        <f t="shared" si="225"/>
        <v>#N/A</v>
      </c>
      <c r="BM606" t="e">
        <f t="shared" si="225"/>
        <v>#N/A</v>
      </c>
      <c r="BP606" t="e">
        <f t="shared" si="229"/>
        <v>#N/A</v>
      </c>
      <c r="BQ606" t="e">
        <f t="shared" si="223"/>
        <v>#N/A</v>
      </c>
      <c r="BR606" t="e">
        <f t="shared" si="226"/>
        <v>#N/A</v>
      </c>
      <c r="BS606" t="e">
        <f t="shared" si="226"/>
        <v>#N/A</v>
      </c>
      <c r="BT606" t="e">
        <f t="shared" si="226"/>
        <v>#N/A</v>
      </c>
      <c r="BU606" t="e">
        <f t="shared" si="226"/>
        <v>#N/A</v>
      </c>
      <c r="BV606" t="e">
        <f t="shared" si="226"/>
        <v>#N/A</v>
      </c>
      <c r="BY606">
        <f t="shared" si="230"/>
        <v>206842.71840000001</v>
      </c>
      <c r="BZ606" t="e">
        <v>#N/A</v>
      </c>
      <c r="CA606" t="e" cm="1">
        <f t="array" ref="CA606">IF(ISNUMBER(BZ606),AF606/COUNT(IF(ISNUMBER(_xlfn.ANCHORARRAY($BZ$11)),_xlfn.ANCHORARRAY($BZ$11))),NA())</f>
        <v>#N/A</v>
      </c>
      <c r="CB606" t="e">
        <f t="shared" si="231"/>
        <v>#N/A</v>
      </c>
      <c r="CD606" t="e">
        <f t="shared" si="232"/>
        <v>#N/A</v>
      </c>
      <c r="CE606" t="e">
        <f t="shared" si="233"/>
        <v>#N/A</v>
      </c>
      <c r="CG606" t="e">
        <v>#N/A</v>
      </c>
      <c r="CH606" t="e">
        <v>#N/A</v>
      </c>
      <c r="CL606" t="e">
        <f t="shared" si="234"/>
        <v>#N/A</v>
      </c>
      <c r="CM606" t="e">
        <v>#N/A</v>
      </c>
      <c r="CN606" t="e" cm="1">
        <f t="array" ref="CN606">IF(ISNUMBER(CM606),AF606/COUNT(IF(ISNUMBER(_xlfn.ANCHORARRAY($CM$11)),_xlfn.ANCHORARRAY($CM$11))),NA())</f>
        <v>#N/A</v>
      </c>
      <c r="CO606" t="e">
        <f t="shared" si="235"/>
        <v>#N/A</v>
      </c>
      <c r="CQ606" t="e">
        <f t="shared" si="236"/>
        <v>#N/A</v>
      </c>
      <c r="CR606" t="e">
        <f t="shared" si="237"/>
        <v>#N/A</v>
      </c>
      <c r="CT606" t="e">
        <v>#N/A</v>
      </c>
      <c r="CU606" t="e">
        <v>#N/A</v>
      </c>
      <c r="CY606" t="e">
        <f t="shared" si="238"/>
        <v>#N/A</v>
      </c>
      <c r="CZ606" t="e">
        <v>#N/A</v>
      </c>
      <c r="DA606" t="e" cm="1">
        <f t="array" ref="DA606">IF(ISNUMBER(CZ606),AF606/COUNT(IF(ISNUMBER(_xlfn.ANCHORARRAY($CZ$11)),_xlfn.ANCHORARRAY($CZ$11))),NA())</f>
        <v>#N/A</v>
      </c>
      <c r="DB606" t="e">
        <f t="shared" si="239"/>
        <v>#N/A</v>
      </c>
      <c r="DD606" t="e">
        <f t="shared" si="240"/>
        <v>#N/A</v>
      </c>
      <c r="DE606" t="e">
        <f t="shared" si="241"/>
        <v>#N/A</v>
      </c>
      <c r="DG606" t="e">
        <v>#N/A</v>
      </c>
      <c r="DH606" t="e">
        <v>#N/A</v>
      </c>
    </row>
    <row r="607" spans="32:112">
      <c r="AF607">
        <v>597</v>
      </c>
      <c r="AG607" s="401">
        <f>'Lab test'!N600</f>
        <v>114.3</v>
      </c>
      <c r="AH607" s="401">
        <f>'Lab test'!M600</f>
        <v>0.38100000000000001</v>
      </c>
      <c r="AI607" t="e">
        <f>IF('Lab test'!O600&gt;0,'Lab test'!O600,NA())</f>
        <v>#N/A</v>
      </c>
      <c r="AJ607">
        <f>'Lab test'!Q600</f>
        <v>300</v>
      </c>
      <c r="AK607" s="401">
        <f>IF('Lab test'!V600&gt;0,'Lab test'!V600,NA())</f>
        <v>206842.71840000001</v>
      </c>
      <c r="AL607" s="7">
        <f>IF(MAX('Lab test'!W600,'Lab test'!X600)&gt;0,MAX('Lab test'!W600,'Lab test'!X600),NA())</f>
        <v>204.4489896176384</v>
      </c>
      <c r="AM607" s="401" t="e">
        <f>IF('Lab test'!P600&gt;0,'Lab test'!P600,NA())</f>
        <v>#N/A</v>
      </c>
      <c r="AN607" s="401">
        <f>IF('Lab test'!AU600&gt;0,'Lab test'!AU600,NA())</f>
        <v>0.57302113020946721</v>
      </c>
      <c r="AO607" s="401">
        <f>IF('Lab test'!AT600&gt;0,'Lab test'!AT600,NA())</f>
        <v>0.28074882478938595</v>
      </c>
      <c r="AP607">
        <f t="shared" si="242"/>
        <v>1</v>
      </c>
      <c r="AQ607" s="401">
        <f>'Lab test'!AZ600</f>
        <v>1964</v>
      </c>
      <c r="AR607" t="str">
        <f>'Lab test'!AC600</f>
        <v>LTWb</v>
      </c>
      <c r="AS607" t="str">
        <f>'Lab test'!T600</f>
        <v>Steel</v>
      </c>
      <c r="AX607" t="e">
        <f t="shared" si="227"/>
        <v>#N/A</v>
      </c>
      <c r="AY607">
        <f t="shared" si="221"/>
        <v>206842.71840000001</v>
      </c>
      <c r="AZ607" t="e">
        <f t="shared" si="224"/>
        <v>#N/A</v>
      </c>
      <c r="BA607" t="e">
        <f t="shared" si="224"/>
        <v>#N/A</v>
      </c>
      <c r="BB607" t="e">
        <f t="shared" si="224"/>
        <v>#N/A</v>
      </c>
      <c r="BC607" t="e">
        <f t="shared" si="224"/>
        <v>#N/A</v>
      </c>
      <c r="BD607" t="e">
        <f t="shared" si="224"/>
        <v>#N/A</v>
      </c>
      <c r="BG607" t="e">
        <f t="shared" si="228"/>
        <v>#N/A</v>
      </c>
      <c r="BH607" t="e">
        <f t="shared" si="222"/>
        <v>#N/A</v>
      </c>
      <c r="BI607" t="e">
        <f t="shared" si="225"/>
        <v>#N/A</v>
      </c>
      <c r="BJ607" t="e">
        <f t="shared" si="225"/>
        <v>#N/A</v>
      </c>
      <c r="BK607" t="e">
        <f t="shared" si="225"/>
        <v>#N/A</v>
      </c>
      <c r="BL607" t="e">
        <f t="shared" si="225"/>
        <v>#N/A</v>
      </c>
      <c r="BM607" t="e">
        <f t="shared" si="225"/>
        <v>#N/A</v>
      </c>
      <c r="BP607" t="e">
        <f t="shared" si="229"/>
        <v>#N/A</v>
      </c>
      <c r="BQ607" t="e">
        <f t="shared" si="223"/>
        <v>#N/A</v>
      </c>
      <c r="BR607" t="e">
        <f t="shared" si="226"/>
        <v>#N/A</v>
      </c>
      <c r="BS607" t="e">
        <f t="shared" si="226"/>
        <v>#N/A</v>
      </c>
      <c r="BT607" t="e">
        <f t="shared" si="226"/>
        <v>#N/A</v>
      </c>
      <c r="BU607" t="e">
        <f t="shared" si="226"/>
        <v>#N/A</v>
      </c>
      <c r="BV607" t="e">
        <f t="shared" si="226"/>
        <v>#N/A</v>
      </c>
      <c r="BY607">
        <f t="shared" si="230"/>
        <v>206842.71840000001</v>
      </c>
      <c r="BZ607" t="e">
        <v>#N/A</v>
      </c>
      <c r="CA607" t="e" cm="1">
        <f t="array" ref="CA607">IF(ISNUMBER(BZ607),AF607/COUNT(IF(ISNUMBER(_xlfn.ANCHORARRAY($BZ$11)),_xlfn.ANCHORARRAY($BZ$11))),NA())</f>
        <v>#N/A</v>
      </c>
      <c r="CB607" t="e">
        <f t="shared" si="231"/>
        <v>#N/A</v>
      </c>
      <c r="CD607" t="e">
        <f t="shared" si="232"/>
        <v>#N/A</v>
      </c>
      <c r="CE607" t="e">
        <f t="shared" si="233"/>
        <v>#N/A</v>
      </c>
      <c r="CG607" t="e">
        <v>#N/A</v>
      </c>
      <c r="CH607" t="e">
        <v>#N/A</v>
      </c>
      <c r="CL607" t="e">
        <f t="shared" si="234"/>
        <v>#N/A</v>
      </c>
      <c r="CM607" t="e">
        <v>#N/A</v>
      </c>
      <c r="CN607" t="e" cm="1">
        <f t="array" ref="CN607">IF(ISNUMBER(CM607),AF607/COUNT(IF(ISNUMBER(_xlfn.ANCHORARRAY($CM$11)),_xlfn.ANCHORARRAY($CM$11))),NA())</f>
        <v>#N/A</v>
      </c>
      <c r="CO607" t="e">
        <f t="shared" si="235"/>
        <v>#N/A</v>
      </c>
      <c r="CQ607" t="e">
        <f t="shared" si="236"/>
        <v>#N/A</v>
      </c>
      <c r="CR607" t="e">
        <f t="shared" si="237"/>
        <v>#N/A</v>
      </c>
      <c r="CT607" t="e">
        <v>#N/A</v>
      </c>
      <c r="CU607" t="e">
        <v>#N/A</v>
      </c>
      <c r="CY607" t="e">
        <f t="shared" si="238"/>
        <v>#N/A</v>
      </c>
      <c r="CZ607" t="e">
        <v>#N/A</v>
      </c>
      <c r="DA607" t="e" cm="1">
        <f t="array" ref="DA607">IF(ISNUMBER(CZ607),AF607/COUNT(IF(ISNUMBER(_xlfn.ANCHORARRAY($CZ$11)),_xlfn.ANCHORARRAY($CZ$11))),NA())</f>
        <v>#N/A</v>
      </c>
      <c r="DB607" t="e">
        <f t="shared" si="239"/>
        <v>#N/A</v>
      </c>
      <c r="DD607" t="e">
        <f t="shared" si="240"/>
        <v>#N/A</v>
      </c>
      <c r="DE607" t="e">
        <f t="shared" si="241"/>
        <v>#N/A</v>
      </c>
      <c r="DG607" t="e">
        <v>#N/A</v>
      </c>
      <c r="DH607" t="e">
        <v>#N/A</v>
      </c>
    </row>
    <row r="608" spans="32:112">
      <c r="AF608">
        <v>598</v>
      </c>
      <c r="AG608" s="401">
        <f>'Lab test'!N601</f>
        <v>114.3</v>
      </c>
      <c r="AH608" s="401">
        <f>'Lab test'!M601</f>
        <v>0.38100000000000001</v>
      </c>
      <c r="AI608" t="e">
        <f>IF('Lab test'!O601&gt;0,'Lab test'!O601,NA())</f>
        <v>#N/A</v>
      </c>
      <c r="AJ608">
        <f>'Lab test'!Q601</f>
        <v>300</v>
      </c>
      <c r="AK608" s="401">
        <f>IF('Lab test'!V601&gt;0,'Lab test'!V601,NA())</f>
        <v>206842.71840000001</v>
      </c>
      <c r="AL608" s="7">
        <f>IF(MAX('Lab test'!W601,'Lab test'!X601)&gt;0,MAX('Lab test'!W601,'Lab test'!X601),NA())</f>
        <v>175.23469776315687</v>
      </c>
      <c r="AM608" s="401" t="e">
        <f>IF('Lab test'!P601&gt;0,'Lab test'!P601,NA())</f>
        <v>#N/A</v>
      </c>
      <c r="AN608" s="401">
        <f>IF('Lab test'!AU601&gt;0,'Lab test'!AU601,NA())</f>
        <v>0.67599178306953278</v>
      </c>
      <c r="AO608" s="401">
        <f>IF('Lab test'!AT601&gt;0,'Lab test'!AT601,NA())</f>
        <v>0.28387285280970181</v>
      </c>
      <c r="AP608">
        <f t="shared" si="242"/>
        <v>1</v>
      </c>
      <c r="AQ608" s="401">
        <f>'Lab test'!AZ601</f>
        <v>1964</v>
      </c>
      <c r="AR608" t="str">
        <f>'Lab test'!AC601</f>
        <v>LTWb</v>
      </c>
      <c r="AS608" t="str">
        <f>'Lab test'!T601</f>
        <v>Steel</v>
      </c>
      <c r="AX608" t="e">
        <f t="shared" si="227"/>
        <v>#N/A</v>
      </c>
      <c r="AY608">
        <f t="shared" si="221"/>
        <v>206842.71840000001</v>
      </c>
      <c r="AZ608" t="e">
        <f t="shared" si="224"/>
        <v>#N/A</v>
      </c>
      <c r="BA608" t="e">
        <f t="shared" si="224"/>
        <v>#N/A</v>
      </c>
      <c r="BB608" t="e">
        <f t="shared" si="224"/>
        <v>#N/A</v>
      </c>
      <c r="BC608" t="e">
        <f t="shared" si="224"/>
        <v>#N/A</v>
      </c>
      <c r="BD608" t="e">
        <f t="shared" si="224"/>
        <v>#N/A</v>
      </c>
      <c r="BG608" t="e">
        <f t="shared" si="228"/>
        <v>#N/A</v>
      </c>
      <c r="BH608" t="e">
        <f t="shared" si="222"/>
        <v>#N/A</v>
      </c>
      <c r="BI608" t="e">
        <f t="shared" si="225"/>
        <v>#N/A</v>
      </c>
      <c r="BJ608" t="e">
        <f t="shared" si="225"/>
        <v>#N/A</v>
      </c>
      <c r="BK608" t="e">
        <f t="shared" si="225"/>
        <v>#N/A</v>
      </c>
      <c r="BL608" t="e">
        <f t="shared" si="225"/>
        <v>#N/A</v>
      </c>
      <c r="BM608" t="e">
        <f t="shared" si="225"/>
        <v>#N/A</v>
      </c>
      <c r="BP608" t="e">
        <f t="shared" si="229"/>
        <v>#N/A</v>
      </c>
      <c r="BQ608" t="e">
        <f t="shared" si="223"/>
        <v>#N/A</v>
      </c>
      <c r="BR608" t="e">
        <f t="shared" si="226"/>
        <v>#N/A</v>
      </c>
      <c r="BS608" t="e">
        <f t="shared" si="226"/>
        <v>#N/A</v>
      </c>
      <c r="BT608" t="e">
        <f t="shared" si="226"/>
        <v>#N/A</v>
      </c>
      <c r="BU608" t="e">
        <f t="shared" si="226"/>
        <v>#N/A</v>
      </c>
      <c r="BV608" t="e">
        <f t="shared" si="226"/>
        <v>#N/A</v>
      </c>
      <c r="BY608">
        <f t="shared" si="230"/>
        <v>206842.71840000001</v>
      </c>
      <c r="BZ608" t="e">
        <v>#N/A</v>
      </c>
      <c r="CA608" t="e" cm="1">
        <f t="array" ref="CA608">IF(ISNUMBER(BZ608),AF608/COUNT(IF(ISNUMBER(_xlfn.ANCHORARRAY($BZ$11)),_xlfn.ANCHORARRAY($BZ$11))),NA())</f>
        <v>#N/A</v>
      </c>
      <c r="CB608" t="e">
        <f t="shared" si="231"/>
        <v>#N/A</v>
      </c>
      <c r="CD608" t="e">
        <f t="shared" si="232"/>
        <v>#N/A</v>
      </c>
      <c r="CE608" t="e">
        <f t="shared" si="233"/>
        <v>#N/A</v>
      </c>
      <c r="CG608" t="e">
        <v>#N/A</v>
      </c>
      <c r="CH608" t="e">
        <v>#N/A</v>
      </c>
      <c r="CL608" t="e">
        <f t="shared" si="234"/>
        <v>#N/A</v>
      </c>
      <c r="CM608" t="e">
        <v>#N/A</v>
      </c>
      <c r="CN608" t="e" cm="1">
        <f t="array" ref="CN608">IF(ISNUMBER(CM608),AF608/COUNT(IF(ISNUMBER(_xlfn.ANCHORARRAY($CM$11)),_xlfn.ANCHORARRAY($CM$11))),NA())</f>
        <v>#N/A</v>
      </c>
      <c r="CO608" t="e">
        <f t="shared" si="235"/>
        <v>#N/A</v>
      </c>
      <c r="CQ608" t="e">
        <f t="shared" si="236"/>
        <v>#N/A</v>
      </c>
      <c r="CR608" t="e">
        <f t="shared" si="237"/>
        <v>#N/A</v>
      </c>
      <c r="CT608" t="e">
        <v>#N/A</v>
      </c>
      <c r="CU608" t="e">
        <v>#N/A</v>
      </c>
      <c r="CY608" t="e">
        <f t="shared" si="238"/>
        <v>#N/A</v>
      </c>
      <c r="CZ608" t="e">
        <v>#N/A</v>
      </c>
      <c r="DA608" t="e" cm="1">
        <f t="array" ref="DA608">IF(ISNUMBER(CZ608),AF608/COUNT(IF(ISNUMBER(_xlfn.ANCHORARRAY($CZ$11)),_xlfn.ANCHORARRAY($CZ$11))),NA())</f>
        <v>#N/A</v>
      </c>
      <c r="DB608" t="e">
        <f t="shared" si="239"/>
        <v>#N/A</v>
      </c>
      <c r="DD608" t="e">
        <f t="shared" si="240"/>
        <v>#N/A</v>
      </c>
      <c r="DE608" t="e">
        <f t="shared" si="241"/>
        <v>#N/A</v>
      </c>
      <c r="DG608" t="e">
        <v>#N/A</v>
      </c>
      <c r="DH608" t="e">
        <v>#N/A</v>
      </c>
    </row>
    <row r="609" spans="32:112">
      <c r="AF609">
        <v>599</v>
      </c>
      <c r="AG609" s="401">
        <f>'Lab test'!N602</f>
        <v>114.3</v>
      </c>
      <c r="AH609" s="401">
        <f>'Lab test'!M602</f>
        <v>0.38100000000000001</v>
      </c>
      <c r="AI609" t="e">
        <f>IF('Lab test'!O602&gt;0,'Lab test'!O602,NA())</f>
        <v>#N/A</v>
      </c>
      <c r="AJ609">
        <f>'Lab test'!Q602</f>
        <v>300</v>
      </c>
      <c r="AK609" s="401">
        <f>IF('Lab test'!V602&gt;0,'Lab test'!V602,NA())</f>
        <v>206842.71840000001</v>
      </c>
      <c r="AL609" s="7">
        <f>IF(MAX('Lab test'!W602,'Lab test'!X602)&gt;0,MAX('Lab test'!W602,'Lab test'!X602),NA())</f>
        <v>168.97832881415036</v>
      </c>
      <c r="AM609" s="401" t="e">
        <f>IF('Lab test'!P602&gt;0,'Lab test'!P602,NA())</f>
        <v>#N/A</v>
      </c>
      <c r="AN609" s="401">
        <f>IF('Lab test'!AU602&gt;0,'Lab test'!AU602,NA())</f>
        <v>0.71555018775255785</v>
      </c>
      <c r="AO609" s="401">
        <f>IF('Lab test'!AT602&gt;0,'Lab test'!AT602,NA())</f>
        <v>0.28975667680445677</v>
      </c>
      <c r="AP609">
        <f t="shared" si="242"/>
        <v>1</v>
      </c>
      <c r="AQ609" s="401">
        <f>'Lab test'!AZ602</f>
        <v>1964</v>
      </c>
      <c r="AR609" t="str">
        <f>'Lab test'!AC602</f>
        <v>LTWb</v>
      </c>
      <c r="AS609" t="str">
        <f>'Lab test'!T602</f>
        <v>Steel</v>
      </c>
      <c r="AX609" t="e">
        <f t="shared" si="227"/>
        <v>#N/A</v>
      </c>
      <c r="AY609">
        <f t="shared" si="221"/>
        <v>206842.71840000001</v>
      </c>
      <c r="AZ609" t="e">
        <f t="shared" si="224"/>
        <v>#N/A</v>
      </c>
      <c r="BA609" t="e">
        <f t="shared" si="224"/>
        <v>#N/A</v>
      </c>
      <c r="BB609" t="e">
        <f t="shared" si="224"/>
        <v>#N/A</v>
      </c>
      <c r="BC609" t="e">
        <f t="shared" si="224"/>
        <v>#N/A</v>
      </c>
      <c r="BD609" t="e">
        <f t="shared" si="224"/>
        <v>#N/A</v>
      </c>
      <c r="BG609" t="e">
        <f t="shared" si="228"/>
        <v>#N/A</v>
      </c>
      <c r="BH609" t="e">
        <f t="shared" si="222"/>
        <v>#N/A</v>
      </c>
      <c r="BI609" t="e">
        <f t="shared" si="225"/>
        <v>#N/A</v>
      </c>
      <c r="BJ609" t="e">
        <f t="shared" si="225"/>
        <v>#N/A</v>
      </c>
      <c r="BK609" t="e">
        <f t="shared" si="225"/>
        <v>#N/A</v>
      </c>
      <c r="BL609" t="e">
        <f t="shared" si="225"/>
        <v>#N/A</v>
      </c>
      <c r="BM609" t="e">
        <f t="shared" si="225"/>
        <v>#N/A</v>
      </c>
      <c r="BP609" t="e">
        <f t="shared" si="229"/>
        <v>#N/A</v>
      </c>
      <c r="BQ609" t="e">
        <f t="shared" si="223"/>
        <v>#N/A</v>
      </c>
      <c r="BR609" t="e">
        <f t="shared" si="226"/>
        <v>#N/A</v>
      </c>
      <c r="BS609" t="e">
        <f t="shared" si="226"/>
        <v>#N/A</v>
      </c>
      <c r="BT609" t="e">
        <f t="shared" si="226"/>
        <v>#N/A</v>
      </c>
      <c r="BU609" t="e">
        <f t="shared" si="226"/>
        <v>#N/A</v>
      </c>
      <c r="BV609" t="e">
        <f t="shared" si="226"/>
        <v>#N/A</v>
      </c>
      <c r="BY609">
        <f t="shared" si="230"/>
        <v>206842.71840000001</v>
      </c>
      <c r="BZ609" t="e">
        <v>#N/A</v>
      </c>
      <c r="CA609" t="e" cm="1">
        <f t="array" ref="CA609">IF(ISNUMBER(BZ609),AF609/COUNT(IF(ISNUMBER(_xlfn.ANCHORARRAY($BZ$11)),_xlfn.ANCHORARRAY($BZ$11))),NA())</f>
        <v>#N/A</v>
      </c>
      <c r="CB609" t="e">
        <f t="shared" si="231"/>
        <v>#N/A</v>
      </c>
      <c r="CD609" t="e">
        <f t="shared" si="232"/>
        <v>#N/A</v>
      </c>
      <c r="CE609" t="e">
        <f t="shared" si="233"/>
        <v>#N/A</v>
      </c>
      <c r="CG609" t="e">
        <v>#N/A</v>
      </c>
      <c r="CH609" t="e">
        <v>#N/A</v>
      </c>
      <c r="CL609" t="e">
        <f t="shared" si="234"/>
        <v>#N/A</v>
      </c>
      <c r="CM609" t="e">
        <v>#N/A</v>
      </c>
      <c r="CN609" t="e" cm="1">
        <f t="array" ref="CN609">IF(ISNUMBER(CM609),AF609/COUNT(IF(ISNUMBER(_xlfn.ANCHORARRAY($CM$11)),_xlfn.ANCHORARRAY($CM$11))),NA())</f>
        <v>#N/A</v>
      </c>
      <c r="CO609" t="e">
        <f t="shared" si="235"/>
        <v>#N/A</v>
      </c>
      <c r="CQ609" t="e">
        <f t="shared" si="236"/>
        <v>#N/A</v>
      </c>
      <c r="CR609" t="e">
        <f t="shared" si="237"/>
        <v>#N/A</v>
      </c>
      <c r="CT609" t="e">
        <v>#N/A</v>
      </c>
      <c r="CU609" t="e">
        <v>#N/A</v>
      </c>
      <c r="CY609" t="e">
        <f t="shared" si="238"/>
        <v>#N/A</v>
      </c>
      <c r="CZ609" t="e">
        <v>#N/A</v>
      </c>
      <c r="DA609" t="e" cm="1">
        <f t="array" ref="DA609">IF(ISNUMBER(CZ609),AF609/COUNT(IF(ISNUMBER(_xlfn.ANCHORARRAY($CZ$11)),_xlfn.ANCHORARRAY($CZ$11))),NA())</f>
        <v>#N/A</v>
      </c>
      <c r="DB609" t="e">
        <f t="shared" si="239"/>
        <v>#N/A</v>
      </c>
      <c r="DD609" t="e">
        <f t="shared" si="240"/>
        <v>#N/A</v>
      </c>
      <c r="DE609" t="e">
        <f t="shared" si="241"/>
        <v>#N/A</v>
      </c>
      <c r="DG609" t="e">
        <v>#N/A</v>
      </c>
      <c r="DH609" t="e">
        <v>#N/A</v>
      </c>
    </row>
    <row r="610" spans="32:112">
      <c r="AF610">
        <v>600</v>
      </c>
      <c r="AG610" s="401">
        <f>'Lab test'!N603</f>
        <v>114.3</v>
      </c>
      <c r="AH610" s="401">
        <f>'Lab test'!M603</f>
        <v>0.38100000000000001</v>
      </c>
      <c r="AI610" t="e">
        <f>IF('Lab test'!O603&gt;0,'Lab test'!O603,NA())</f>
        <v>#N/A</v>
      </c>
      <c r="AJ610">
        <f>'Lab test'!Q603</f>
        <v>300</v>
      </c>
      <c r="AK610" s="401">
        <f>IF('Lab test'!V603&gt;0,'Lab test'!V603,NA())</f>
        <v>206842.71840000001</v>
      </c>
      <c r="AL610" s="7">
        <f>IF(MAX('Lab test'!W603,'Lab test'!X603)&gt;0,MAX('Lab test'!W603,'Lab test'!X603),NA())</f>
        <v>160.78097259183096</v>
      </c>
      <c r="AM610" s="401" t="e">
        <f>IF('Lab test'!P603&gt;0,'Lab test'!P603,NA())</f>
        <v>#N/A</v>
      </c>
      <c r="AN610" s="401">
        <f>IF('Lab test'!AU603&gt;0,'Lab test'!AU603,NA())</f>
        <v>0.69463068194469424</v>
      </c>
      <c r="AO610" s="401">
        <f>IF('Lab test'!AT603&gt;0,'Lab test'!AT603,NA())</f>
        <v>0.26763995929768397</v>
      </c>
      <c r="AP610">
        <f t="shared" si="242"/>
        <v>1</v>
      </c>
      <c r="AQ610" s="401">
        <f>'Lab test'!AZ603</f>
        <v>1964</v>
      </c>
      <c r="AR610" t="str">
        <f>'Lab test'!AC603</f>
        <v>LTWb</v>
      </c>
      <c r="AS610" t="str">
        <f>'Lab test'!T603</f>
        <v>Steel</v>
      </c>
      <c r="AX610" t="e">
        <f t="shared" si="227"/>
        <v>#N/A</v>
      </c>
      <c r="AY610">
        <f t="shared" si="221"/>
        <v>206842.71840000001</v>
      </c>
      <c r="AZ610" t="e">
        <f t="shared" si="224"/>
        <v>#N/A</v>
      </c>
      <c r="BA610" t="e">
        <f t="shared" si="224"/>
        <v>#N/A</v>
      </c>
      <c r="BB610" t="e">
        <f t="shared" si="224"/>
        <v>#N/A</v>
      </c>
      <c r="BC610" t="e">
        <f t="shared" si="224"/>
        <v>#N/A</v>
      </c>
      <c r="BD610" t="e">
        <f t="shared" si="224"/>
        <v>#N/A</v>
      </c>
      <c r="BG610" t="e">
        <f t="shared" si="228"/>
        <v>#N/A</v>
      </c>
      <c r="BH610" t="e">
        <f t="shared" si="222"/>
        <v>#N/A</v>
      </c>
      <c r="BI610" t="e">
        <f t="shared" si="225"/>
        <v>#N/A</v>
      </c>
      <c r="BJ610" t="e">
        <f t="shared" si="225"/>
        <v>#N/A</v>
      </c>
      <c r="BK610" t="e">
        <f t="shared" si="225"/>
        <v>#N/A</v>
      </c>
      <c r="BL610" t="e">
        <f t="shared" si="225"/>
        <v>#N/A</v>
      </c>
      <c r="BM610" t="e">
        <f t="shared" si="225"/>
        <v>#N/A</v>
      </c>
      <c r="BP610" t="e">
        <f t="shared" si="229"/>
        <v>#N/A</v>
      </c>
      <c r="BQ610" t="e">
        <f t="shared" si="223"/>
        <v>#N/A</v>
      </c>
      <c r="BR610" t="e">
        <f t="shared" si="226"/>
        <v>#N/A</v>
      </c>
      <c r="BS610" t="e">
        <f t="shared" si="226"/>
        <v>#N/A</v>
      </c>
      <c r="BT610" t="e">
        <f t="shared" si="226"/>
        <v>#N/A</v>
      </c>
      <c r="BU610" t="e">
        <f t="shared" si="226"/>
        <v>#N/A</v>
      </c>
      <c r="BV610" t="e">
        <f t="shared" si="226"/>
        <v>#N/A</v>
      </c>
      <c r="BY610">
        <f t="shared" si="230"/>
        <v>206842.71840000001</v>
      </c>
      <c r="BZ610" t="e">
        <v>#N/A</v>
      </c>
      <c r="CA610" t="e" cm="1">
        <f t="array" ref="CA610">IF(ISNUMBER(BZ610),AF610/COUNT(IF(ISNUMBER(_xlfn.ANCHORARRAY($BZ$11)),_xlfn.ANCHORARRAY($BZ$11))),NA())</f>
        <v>#N/A</v>
      </c>
      <c r="CB610" t="e">
        <f t="shared" si="231"/>
        <v>#N/A</v>
      </c>
      <c r="CD610" t="e">
        <f t="shared" si="232"/>
        <v>#N/A</v>
      </c>
      <c r="CE610" t="e">
        <f t="shared" si="233"/>
        <v>#N/A</v>
      </c>
      <c r="CG610" t="e">
        <v>#N/A</v>
      </c>
      <c r="CH610" t="e">
        <v>#N/A</v>
      </c>
      <c r="CL610" t="e">
        <f t="shared" si="234"/>
        <v>#N/A</v>
      </c>
      <c r="CM610" t="e">
        <v>#N/A</v>
      </c>
      <c r="CN610" t="e" cm="1">
        <f t="array" ref="CN610">IF(ISNUMBER(CM610),AF610/COUNT(IF(ISNUMBER(_xlfn.ANCHORARRAY($CM$11)),_xlfn.ANCHORARRAY($CM$11))),NA())</f>
        <v>#N/A</v>
      </c>
      <c r="CO610" t="e">
        <f t="shared" si="235"/>
        <v>#N/A</v>
      </c>
      <c r="CQ610" t="e">
        <f t="shared" si="236"/>
        <v>#N/A</v>
      </c>
      <c r="CR610" t="e">
        <f t="shared" si="237"/>
        <v>#N/A</v>
      </c>
      <c r="CT610" t="e">
        <v>#N/A</v>
      </c>
      <c r="CU610" t="e">
        <v>#N/A</v>
      </c>
      <c r="CY610" t="e">
        <f t="shared" si="238"/>
        <v>#N/A</v>
      </c>
      <c r="CZ610" t="e">
        <v>#N/A</v>
      </c>
      <c r="DA610" t="e" cm="1">
        <f t="array" ref="DA610">IF(ISNUMBER(CZ610),AF610/COUNT(IF(ISNUMBER(_xlfn.ANCHORARRAY($CZ$11)),_xlfn.ANCHORARRAY($CZ$11))),NA())</f>
        <v>#N/A</v>
      </c>
      <c r="DB610" t="e">
        <f t="shared" si="239"/>
        <v>#N/A</v>
      </c>
      <c r="DD610" t="e">
        <f t="shared" si="240"/>
        <v>#N/A</v>
      </c>
      <c r="DE610" t="e">
        <f t="shared" si="241"/>
        <v>#N/A</v>
      </c>
      <c r="DG610" t="e">
        <v>#N/A</v>
      </c>
      <c r="DH610" t="e">
        <v>#N/A</v>
      </c>
    </row>
    <row r="611" spans="32:112">
      <c r="AF611">
        <v>601</v>
      </c>
      <c r="AG611" s="401">
        <f>'Lab test'!N604</f>
        <v>114.3</v>
      </c>
      <c r="AH611" s="401">
        <f>'Lab test'!M604</f>
        <v>0.38100000000000001</v>
      </c>
      <c r="AI611" t="e">
        <f>IF('Lab test'!O604&gt;0,'Lab test'!O604,NA())</f>
        <v>#N/A</v>
      </c>
      <c r="AJ611">
        <f>'Lab test'!Q604</f>
        <v>300</v>
      </c>
      <c r="AK611" s="401">
        <f>IF('Lab test'!V604&gt;0,'Lab test'!V604,NA())</f>
        <v>206842.71840000001</v>
      </c>
      <c r="AL611" s="7">
        <f>IF(MAX('Lab test'!W604,'Lab test'!X604)&gt;0,MAX('Lab test'!W604,'Lab test'!X604),NA())</f>
        <v>162.72534318970162</v>
      </c>
      <c r="AM611" s="401" t="e">
        <f>IF('Lab test'!P604&gt;0,'Lab test'!P604,NA())</f>
        <v>#N/A</v>
      </c>
      <c r="AN611" s="401">
        <f>IF('Lab test'!AU604&gt;0,'Lab test'!AU604,NA())</f>
        <v>0.62049036917671818</v>
      </c>
      <c r="AO611" s="401">
        <f>IF('Lab test'!AT604&gt;0,'Lab test'!AT604,NA())</f>
        <v>0.24196501805912921</v>
      </c>
      <c r="AP611">
        <f t="shared" si="242"/>
        <v>1</v>
      </c>
      <c r="AQ611" s="401">
        <f>'Lab test'!AZ604</f>
        <v>1964</v>
      </c>
      <c r="AR611" t="str">
        <f>'Lab test'!AC604</f>
        <v>LTWb</v>
      </c>
      <c r="AS611" t="str">
        <f>'Lab test'!T604</f>
        <v>Steel</v>
      </c>
      <c r="AX611" t="e">
        <f t="shared" si="227"/>
        <v>#N/A</v>
      </c>
      <c r="AY611">
        <f t="shared" si="221"/>
        <v>206842.71840000001</v>
      </c>
      <c r="AZ611" t="e">
        <f t="shared" si="224"/>
        <v>#N/A</v>
      </c>
      <c r="BA611" t="e">
        <f t="shared" si="224"/>
        <v>#N/A</v>
      </c>
      <c r="BB611" t="e">
        <f t="shared" si="224"/>
        <v>#N/A</v>
      </c>
      <c r="BC611" t="e">
        <f t="shared" si="224"/>
        <v>#N/A</v>
      </c>
      <c r="BD611" t="e">
        <f t="shared" si="224"/>
        <v>#N/A</v>
      </c>
      <c r="BG611" t="e">
        <f t="shared" si="228"/>
        <v>#N/A</v>
      </c>
      <c r="BH611" t="e">
        <f t="shared" si="222"/>
        <v>#N/A</v>
      </c>
      <c r="BI611" t="e">
        <f t="shared" si="225"/>
        <v>#N/A</v>
      </c>
      <c r="BJ611" t="e">
        <f t="shared" si="225"/>
        <v>#N/A</v>
      </c>
      <c r="BK611" t="e">
        <f t="shared" si="225"/>
        <v>#N/A</v>
      </c>
      <c r="BL611" t="e">
        <f t="shared" si="225"/>
        <v>#N/A</v>
      </c>
      <c r="BM611" t="e">
        <f t="shared" si="225"/>
        <v>#N/A</v>
      </c>
      <c r="BP611" t="e">
        <f t="shared" si="229"/>
        <v>#N/A</v>
      </c>
      <c r="BQ611" t="e">
        <f t="shared" si="223"/>
        <v>#N/A</v>
      </c>
      <c r="BR611" t="e">
        <f t="shared" si="226"/>
        <v>#N/A</v>
      </c>
      <c r="BS611" t="e">
        <f t="shared" si="226"/>
        <v>#N/A</v>
      </c>
      <c r="BT611" t="e">
        <f t="shared" si="226"/>
        <v>#N/A</v>
      </c>
      <c r="BU611" t="e">
        <f t="shared" si="226"/>
        <v>#N/A</v>
      </c>
      <c r="BV611" t="e">
        <f t="shared" si="226"/>
        <v>#N/A</v>
      </c>
      <c r="BY611">
        <f t="shared" si="230"/>
        <v>206842.71840000001</v>
      </c>
      <c r="BZ611" t="e">
        <v>#N/A</v>
      </c>
      <c r="CA611" t="e" cm="1">
        <f t="array" ref="CA611">IF(ISNUMBER(BZ611),AF611/COUNT(IF(ISNUMBER(_xlfn.ANCHORARRAY($BZ$11)),_xlfn.ANCHORARRAY($BZ$11))),NA())</f>
        <v>#N/A</v>
      </c>
      <c r="CB611" t="e">
        <f t="shared" si="231"/>
        <v>#N/A</v>
      </c>
      <c r="CD611" t="e">
        <f t="shared" si="232"/>
        <v>#N/A</v>
      </c>
      <c r="CE611" t="e">
        <f t="shared" si="233"/>
        <v>#N/A</v>
      </c>
      <c r="CG611" t="e">
        <v>#N/A</v>
      </c>
      <c r="CH611" t="e">
        <v>#N/A</v>
      </c>
      <c r="CL611" t="e">
        <f t="shared" si="234"/>
        <v>#N/A</v>
      </c>
      <c r="CM611" t="e">
        <v>#N/A</v>
      </c>
      <c r="CN611" t="e" cm="1">
        <f t="array" ref="CN611">IF(ISNUMBER(CM611),AF611/COUNT(IF(ISNUMBER(_xlfn.ANCHORARRAY($CM$11)),_xlfn.ANCHORARRAY($CM$11))),NA())</f>
        <v>#N/A</v>
      </c>
      <c r="CO611" t="e">
        <f t="shared" si="235"/>
        <v>#N/A</v>
      </c>
      <c r="CQ611" t="e">
        <f t="shared" si="236"/>
        <v>#N/A</v>
      </c>
      <c r="CR611" t="e">
        <f t="shared" si="237"/>
        <v>#N/A</v>
      </c>
      <c r="CT611" t="e">
        <v>#N/A</v>
      </c>
      <c r="CU611" t="e">
        <v>#N/A</v>
      </c>
      <c r="CY611" t="e">
        <f t="shared" si="238"/>
        <v>#N/A</v>
      </c>
      <c r="CZ611" t="e">
        <v>#N/A</v>
      </c>
      <c r="DA611" t="e" cm="1">
        <f t="array" ref="DA611">IF(ISNUMBER(CZ611),AF611/COUNT(IF(ISNUMBER(_xlfn.ANCHORARRAY($CZ$11)),_xlfn.ANCHORARRAY($CZ$11))),NA())</f>
        <v>#N/A</v>
      </c>
      <c r="DB611" t="e">
        <f t="shared" si="239"/>
        <v>#N/A</v>
      </c>
      <c r="DD611" t="e">
        <f t="shared" si="240"/>
        <v>#N/A</v>
      </c>
      <c r="DE611" t="e">
        <f t="shared" si="241"/>
        <v>#N/A</v>
      </c>
      <c r="DG611" t="e">
        <v>#N/A</v>
      </c>
      <c r="DH611" t="e">
        <v>#N/A</v>
      </c>
    </row>
    <row r="612" spans="32:112">
      <c r="AF612">
        <v>602</v>
      </c>
      <c r="AG612" s="401">
        <f>'Lab test'!N605</f>
        <v>238.76</v>
      </c>
      <c r="AH612" s="401">
        <f>'Lab test'!M605</f>
        <v>1.2979400000000001</v>
      </c>
      <c r="AI612">
        <f>IF('Lab test'!O605&gt;0,'Lab test'!O605,NA())</f>
        <v>951.99199999999996</v>
      </c>
      <c r="AJ612">
        <f>'Lab test'!Q605</f>
        <v>183.95303326810173</v>
      </c>
      <c r="AK612" s="401">
        <f>IF('Lab test'!V605&gt;0,'Lab test'!V605,NA())</f>
        <v>72394.95</v>
      </c>
      <c r="AL612" s="7" t="e">
        <f>IF(MAX('Lab test'!W605,'Lab test'!X605)&gt;0,MAX('Lab test'!W605,'Lab test'!X605),NA())</f>
        <v>#N/A</v>
      </c>
      <c r="AM612" s="401">
        <f>IF('Lab test'!P605&gt;0,'Lab test'!P605,NA())</f>
        <v>0.29398031565776683</v>
      </c>
      <c r="AN612" s="401" t="e">
        <f>IF('Lab test'!AU605&gt;0,'Lab test'!AU605,NA())</f>
        <v>#N/A</v>
      </c>
      <c r="AO612" s="401">
        <f>IF('Lab test'!AT605&gt;0,'Lab test'!AT605,NA())</f>
        <v>0.82483838488084604</v>
      </c>
      <c r="AP612" t="e">
        <f t="shared" si="242"/>
        <v>#N/A</v>
      </c>
      <c r="AQ612" s="401">
        <f>'Lab test'!AZ605</f>
        <v>1959</v>
      </c>
      <c r="AR612" t="str">
        <f>'Lab test'!AC605</f>
        <v>Miscellaneous</v>
      </c>
      <c r="AS612" t="str">
        <f>'Lab test'!T605</f>
        <v>Aluminium</v>
      </c>
      <c r="AX612" t="e">
        <f t="shared" si="227"/>
        <v>#N/A</v>
      </c>
      <c r="AY612" t="e">
        <f t="shared" si="221"/>
        <v>#N/A</v>
      </c>
      <c r="AZ612" t="e">
        <f t="shared" si="224"/>
        <v>#N/A</v>
      </c>
      <c r="BA612" t="e">
        <f t="shared" si="224"/>
        <v>#N/A</v>
      </c>
      <c r="BB612" t="e">
        <f t="shared" si="224"/>
        <v>#N/A</v>
      </c>
      <c r="BC612" t="e">
        <f t="shared" si="224"/>
        <v>#N/A</v>
      </c>
      <c r="BD612" t="e">
        <f t="shared" si="224"/>
        <v>#N/A</v>
      </c>
      <c r="BG612" t="e">
        <f t="shared" si="228"/>
        <v>#N/A</v>
      </c>
      <c r="BH612" t="e">
        <f t="shared" si="222"/>
        <v>#N/A</v>
      </c>
      <c r="BI612" t="e">
        <f t="shared" si="225"/>
        <v>#N/A</v>
      </c>
      <c r="BJ612" t="e">
        <f t="shared" si="225"/>
        <v>#N/A</v>
      </c>
      <c r="BK612" t="e">
        <f t="shared" si="225"/>
        <v>#N/A</v>
      </c>
      <c r="BL612" t="e">
        <f t="shared" si="225"/>
        <v>#N/A</v>
      </c>
      <c r="BM612" t="e">
        <f t="shared" si="225"/>
        <v>#N/A</v>
      </c>
      <c r="BP612" t="e">
        <f t="shared" si="229"/>
        <v>#N/A</v>
      </c>
      <c r="BQ612" t="e">
        <f t="shared" si="223"/>
        <v>#N/A</v>
      </c>
      <c r="BR612" t="e">
        <f t="shared" si="226"/>
        <v>#N/A</v>
      </c>
      <c r="BS612" t="e">
        <f t="shared" si="226"/>
        <v>#N/A</v>
      </c>
      <c r="BT612" t="e">
        <f t="shared" si="226"/>
        <v>#N/A</v>
      </c>
      <c r="BU612" t="e">
        <f t="shared" si="226"/>
        <v>#N/A</v>
      </c>
      <c r="BV612" t="e">
        <f t="shared" si="226"/>
        <v>#N/A</v>
      </c>
      <c r="BY612" t="e">
        <f t="shared" si="230"/>
        <v>#N/A</v>
      </c>
      <c r="BZ612" t="e">
        <v>#N/A</v>
      </c>
      <c r="CA612" t="e" cm="1">
        <f t="array" ref="CA612">IF(ISNUMBER(BZ612),AF612/COUNT(IF(ISNUMBER(_xlfn.ANCHORARRAY($BZ$11)),_xlfn.ANCHORARRAY($BZ$11))),NA())</f>
        <v>#N/A</v>
      </c>
      <c r="CB612" t="e">
        <f t="shared" si="231"/>
        <v>#N/A</v>
      </c>
      <c r="CD612" t="e">
        <f t="shared" si="232"/>
        <v>#N/A</v>
      </c>
      <c r="CE612" t="e">
        <f t="shared" si="233"/>
        <v>#N/A</v>
      </c>
      <c r="CG612" t="e">
        <v>#N/A</v>
      </c>
      <c r="CH612" t="e">
        <v>#N/A</v>
      </c>
      <c r="CL612" t="e">
        <f t="shared" si="234"/>
        <v>#N/A</v>
      </c>
      <c r="CM612" t="e">
        <v>#N/A</v>
      </c>
      <c r="CN612" t="e" cm="1">
        <f t="array" ref="CN612">IF(ISNUMBER(CM612),AF612/COUNT(IF(ISNUMBER(_xlfn.ANCHORARRAY($CM$11)),_xlfn.ANCHORARRAY($CM$11))),NA())</f>
        <v>#N/A</v>
      </c>
      <c r="CO612" t="e">
        <f t="shared" si="235"/>
        <v>#N/A</v>
      </c>
      <c r="CQ612" t="e">
        <f t="shared" si="236"/>
        <v>#N/A</v>
      </c>
      <c r="CR612" t="e">
        <f t="shared" si="237"/>
        <v>#N/A</v>
      </c>
      <c r="CT612" t="e">
        <v>#N/A</v>
      </c>
      <c r="CU612" t="e">
        <v>#N/A</v>
      </c>
      <c r="CY612" t="e">
        <f t="shared" si="238"/>
        <v>#N/A</v>
      </c>
      <c r="CZ612" t="e">
        <v>#N/A</v>
      </c>
      <c r="DA612" t="e" cm="1">
        <f t="array" ref="DA612">IF(ISNUMBER(CZ612),AF612/COUNT(IF(ISNUMBER(_xlfn.ANCHORARRAY($CZ$11)),_xlfn.ANCHORARRAY($CZ$11))),NA())</f>
        <v>#N/A</v>
      </c>
      <c r="DB612" t="e">
        <f t="shared" si="239"/>
        <v>#N/A</v>
      </c>
      <c r="DD612" t="e">
        <f t="shared" si="240"/>
        <v>#N/A</v>
      </c>
      <c r="DE612" t="e">
        <f t="shared" si="241"/>
        <v>#N/A</v>
      </c>
      <c r="DG612" t="e">
        <v>#N/A</v>
      </c>
      <c r="DH612" t="e">
        <v>#N/A</v>
      </c>
    </row>
    <row r="613" spans="32:112">
      <c r="AF613">
        <v>603</v>
      </c>
      <c r="AG613" s="401">
        <f>'Lab test'!N606</f>
        <v>238.76</v>
      </c>
      <c r="AH613" s="401">
        <f>'Lab test'!M606</f>
        <v>1.3055600000000001</v>
      </c>
      <c r="AI613">
        <f>IF('Lab test'!O606&gt;0,'Lab test'!O606,NA())</f>
        <v>950.72199999999998</v>
      </c>
      <c r="AJ613">
        <f>'Lab test'!Q606</f>
        <v>182.87937743190659</v>
      </c>
      <c r="AK613" s="401">
        <f>IF('Lab test'!V606&gt;0,'Lab test'!V606,NA())</f>
        <v>72394.95</v>
      </c>
      <c r="AL613" s="7" t="e">
        <f>IF(MAX('Lab test'!W606,'Lab test'!X606)&gt;0,MAX('Lab test'!W606,'Lab test'!X606),NA())</f>
        <v>#N/A</v>
      </c>
      <c r="AM613" s="401">
        <f>IF('Lab test'!P606&gt;0,'Lab test'!P606,NA())</f>
        <v>0.2944486762539596</v>
      </c>
      <c r="AN613" s="401" t="e">
        <f>IF('Lab test'!AU606&gt;0,'Lab test'!AU606,NA())</f>
        <v>#N/A</v>
      </c>
      <c r="AO613" s="401">
        <f>IF('Lab test'!AT606&gt;0,'Lab test'!AT606,NA())</f>
        <v>0.86642738539875586</v>
      </c>
      <c r="AP613" t="e">
        <f t="shared" si="242"/>
        <v>#N/A</v>
      </c>
      <c r="AQ613" s="401">
        <f>'Lab test'!AZ606</f>
        <v>1959</v>
      </c>
      <c r="AR613" t="str">
        <f>'Lab test'!AC606</f>
        <v>Miscellaneous</v>
      </c>
      <c r="AS613" t="str">
        <f>'Lab test'!T606</f>
        <v>Aluminium</v>
      </c>
      <c r="AX613" t="e">
        <f t="shared" si="227"/>
        <v>#N/A</v>
      </c>
      <c r="AY613" t="e">
        <f t="shared" si="221"/>
        <v>#N/A</v>
      </c>
      <c r="AZ613" t="e">
        <f t="shared" si="224"/>
        <v>#N/A</v>
      </c>
      <c r="BA613" t="e">
        <f t="shared" si="224"/>
        <v>#N/A</v>
      </c>
      <c r="BB613" t="e">
        <f t="shared" si="224"/>
        <v>#N/A</v>
      </c>
      <c r="BC613" t="e">
        <f t="shared" si="224"/>
        <v>#N/A</v>
      </c>
      <c r="BD613" t="e">
        <f t="shared" si="224"/>
        <v>#N/A</v>
      </c>
      <c r="BG613" t="e">
        <f t="shared" si="228"/>
        <v>#N/A</v>
      </c>
      <c r="BH613" t="e">
        <f t="shared" si="222"/>
        <v>#N/A</v>
      </c>
      <c r="BI613" t="e">
        <f t="shared" si="225"/>
        <v>#N/A</v>
      </c>
      <c r="BJ613" t="e">
        <f t="shared" si="225"/>
        <v>#N/A</v>
      </c>
      <c r="BK613" t="e">
        <f t="shared" si="225"/>
        <v>#N/A</v>
      </c>
      <c r="BL613" t="e">
        <f t="shared" si="225"/>
        <v>#N/A</v>
      </c>
      <c r="BM613" t="e">
        <f t="shared" si="225"/>
        <v>#N/A</v>
      </c>
      <c r="BP613" t="e">
        <f t="shared" si="229"/>
        <v>#N/A</v>
      </c>
      <c r="BQ613" t="e">
        <f t="shared" si="223"/>
        <v>#N/A</v>
      </c>
      <c r="BR613" t="e">
        <f t="shared" si="226"/>
        <v>#N/A</v>
      </c>
      <c r="BS613" t="e">
        <f t="shared" si="226"/>
        <v>#N/A</v>
      </c>
      <c r="BT613" t="e">
        <f t="shared" si="226"/>
        <v>#N/A</v>
      </c>
      <c r="BU613" t="e">
        <f t="shared" si="226"/>
        <v>#N/A</v>
      </c>
      <c r="BV613" t="e">
        <f t="shared" si="226"/>
        <v>#N/A</v>
      </c>
      <c r="BY613" t="e">
        <f t="shared" si="230"/>
        <v>#N/A</v>
      </c>
      <c r="BZ613" t="e">
        <v>#N/A</v>
      </c>
      <c r="CA613" t="e" cm="1">
        <f t="array" ref="CA613">IF(ISNUMBER(BZ613),AF613/COUNT(IF(ISNUMBER(_xlfn.ANCHORARRAY($BZ$11)),_xlfn.ANCHORARRAY($BZ$11))),NA())</f>
        <v>#N/A</v>
      </c>
      <c r="CB613" t="e">
        <f t="shared" si="231"/>
        <v>#N/A</v>
      </c>
      <c r="CD613" t="e">
        <f t="shared" si="232"/>
        <v>#N/A</v>
      </c>
      <c r="CE613" t="e">
        <f t="shared" si="233"/>
        <v>#N/A</v>
      </c>
      <c r="CG613" t="e">
        <v>#N/A</v>
      </c>
      <c r="CH613" t="e">
        <v>#N/A</v>
      </c>
      <c r="CL613" t="e">
        <f t="shared" si="234"/>
        <v>#N/A</v>
      </c>
      <c r="CM613" t="e">
        <v>#N/A</v>
      </c>
      <c r="CN613" t="e" cm="1">
        <f t="array" ref="CN613">IF(ISNUMBER(CM613),AF613/COUNT(IF(ISNUMBER(_xlfn.ANCHORARRAY($CM$11)),_xlfn.ANCHORARRAY($CM$11))),NA())</f>
        <v>#N/A</v>
      </c>
      <c r="CO613" t="e">
        <f t="shared" si="235"/>
        <v>#N/A</v>
      </c>
      <c r="CQ613" t="e">
        <f t="shared" si="236"/>
        <v>#N/A</v>
      </c>
      <c r="CR613" t="e">
        <f t="shared" si="237"/>
        <v>#N/A</v>
      </c>
      <c r="CT613" t="e">
        <v>#N/A</v>
      </c>
      <c r="CU613" t="e">
        <v>#N/A</v>
      </c>
      <c r="CY613" t="e">
        <f t="shared" si="238"/>
        <v>#N/A</v>
      </c>
      <c r="CZ613" t="e">
        <v>#N/A</v>
      </c>
      <c r="DA613" t="e" cm="1">
        <f t="array" ref="DA613">IF(ISNUMBER(CZ613),AF613/COUNT(IF(ISNUMBER(_xlfn.ANCHORARRAY($CZ$11)),_xlfn.ANCHORARRAY($CZ$11))),NA())</f>
        <v>#N/A</v>
      </c>
      <c r="DB613" t="e">
        <f t="shared" si="239"/>
        <v>#N/A</v>
      </c>
      <c r="DD613" t="e">
        <f t="shared" si="240"/>
        <v>#N/A</v>
      </c>
      <c r="DE613" t="e">
        <f t="shared" si="241"/>
        <v>#N/A</v>
      </c>
      <c r="DG613" t="e">
        <v>#N/A</v>
      </c>
      <c r="DH613" t="e">
        <v>#N/A</v>
      </c>
    </row>
    <row r="614" spans="32:112">
      <c r="AF614">
        <v>604</v>
      </c>
      <c r="AG614" s="401">
        <f>'Lab test'!N607</f>
        <v>238.76</v>
      </c>
      <c r="AH614" s="401">
        <f>'Lab test'!M607</f>
        <v>1.3385800000000001</v>
      </c>
      <c r="AI614">
        <f>IF('Lab test'!O607&gt;0,'Lab test'!O607,NA())</f>
        <v>950.46799999999996</v>
      </c>
      <c r="AJ614">
        <f>'Lab test'!Q607</f>
        <v>178.36812144212522</v>
      </c>
      <c r="AK614" s="401">
        <f>IF('Lab test'!V607&gt;0,'Lab test'!V607,NA())</f>
        <v>72394.95</v>
      </c>
      <c r="AL614" s="7" t="e">
        <f>IF(MAX('Lab test'!W607,'Lab test'!X607)&gt;0,MAX('Lab test'!W607,'Lab test'!X607),NA())</f>
        <v>#N/A</v>
      </c>
      <c r="AM614" s="401">
        <f>IF('Lab test'!P607&gt;0,'Lab test'!P607,NA())</f>
        <v>0.29806934303864546</v>
      </c>
      <c r="AN614" s="401" t="e">
        <f>IF('Lab test'!AU607&gt;0,'Lab test'!AU607,NA())</f>
        <v>#N/A</v>
      </c>
      <c r="AO614" s="401">
        <f>IF('Lab test'!AT607&gt;0,'Lab test'!AT607,NA())</f>
        <v>0.83683328755722586</v>
      </c>
      <c r="AP614" t="e">
        <f t="shared" si="242"/>
        <v>#N/A</v>
      </c>
      <c r="AQ614" s="401">
        <f>'Lab test'!AZ607</f>
        <v>1959</v>
      </c>
      <c r="AR614" t="str">
        <f>'Lab test'!AC607</f>
        <v>Miscellaneous</v>
      </c>
      <c r="AS614" t="str">
        <f>'Lab test'!T607</f>
        <v>Aluminium</v>
      </c>
      <c r="AX614" t="e">
        <f t="shared" si="227"/>
        <v>#N/A</v>
      </c>
      <c r="AY614" t="e">
        <f t="shared" si="221"/>
        <v>#N/A</v>
      </c>
      <c r="AZ614" t="e">
        <f t="shared" si="224"/>
        <v>#N/A</v>
      </c>
      <c r="BA614" t="e">
        <f t="shared" si="224"/>
        <v>#N/A</v>
      </c>
      <c r="BB614" t="e">
        <f t="shared" si="224"/>
        <v>#N/A</v>
      </c>
      <c r="BC614" t="e">
        <f t="shared" si="224"/>
        <v>#N/A</v>
      </c>
      <c r="BD614" t="e">
        <f t="shared" si="224"/>
        <v>#N/A</v>
      </c>
      <c r="BG614" t="e">
        <f t="shared" si="228"/>
        <v>#N/A</v>
      </c>
      <c r="BH614" t="e">
        <f t="shared" si="222"/>
        <v>#N/A</v>
      </c>
      <c r="BI614" t="e">
        <f t="shared" si="225"/>
        <v>#N/A</v>
      </c>
      <c r="BJ614" t="e">
        <f t="shared" si="225"/>
        <v>#N/A</v>
      </c>
      <c r="BK614" t="e">
        <f t="shared" si="225"/>
        <v>#N/A</v>
      </c>
      <c r="BL614" t="e">
        <f t="shared" si="225"/>
        <v>#N/A</v>
      </c>
      <c r="BM614" t="e">
        <f t="shared" si="225"/>
        <v>#N/A</v>
      </c>
      <c r="BP614" t="e">
        <f t="shared" si="229"/>
        <v>#N/A</v>
      </c>
      <c r="BQ614" t="e">
        <f t="shared" si="223"/>
        <v>#N/A</v>
      </c>
      <c r="BR614" t="e">
        <f t="shared" si="226"/>
        <v>#N/A</v>
      </c>
      <c r="BS614" t="e">
        <f t="shared" si="226"/>
        <v>#N/A</v>
      </c>
      <c r="BT614" t="e">
        <f t="shared" si="226"/>
        <v>#N/A</v>
      </c>
      <c r="BU614" t="e">
        <f t="shared" si="226"/>
        <v>#N/A</v>
      </c>
      <c r="BV614" t="e">
        <f t="shared" si="226"/>
        <v>#N/A</v>
      </c>
      <c r="BY614" t="e">
        <f t="shared" si="230"/>
        <v>#N/A</v>
      </c>
      <c r="BZ614" t="e">
        <v>#N/A</v>
      </c>
      <c r="CA614" t="e" cm="1">
        <f t="array" ref="CA614">IF(ISNUMBER(BZ614),AF614/COUNT(IF(ISNUMBER(_xlfn.ANCHORARRAY($BZ$11)),_xlfn.ANCHORARRAY($BZ$11))),NA())</f>
        <v>#N/A</v>
      </c>
      <c r="CB614" t="e">
        <f t="shared" si="231"/>
        <v>#N/A</v>
      </c>
      <c r="CD614" t="e">
        <f t="shared" si="232"/>
        <v>#N/A</v>
      </c>
      <c r="CE614" t="e">
        <f t="shared" si="233"/>
        <v>#N/A</v>
      </c>
      <c r="CG614" t="e">
        <v>#N/A</v>
      </c>
      <c r="CH614" t="e">
        <v>#N/A</v>
      </c>
      <c r="CL614" t="e">
        <f t="shared" si="234"/>
        <v>#N/A</v>
      </c>
      <c r="CM614" t="e">
        <v>#N/A</v>
      </c>
      <c r="CN614" t="e" cm="1">
        <f t="array" ref="CN614">IF(ISNUMBER(CM614),AF614/COUNT(IF(ISNUMBER(_xlfn.ANCHORARRAY($CM$11)),_xlfn.ANCHORARRAY($CM$11))),NA())</f>
        <v>#N/A</v>
      </c>
      <c r="CO614" t="e">
        <f t="shared" si="235"/>
        <v>#N/A</v>
      </c>
      <c r="CQ614" t="e">
        <f t="shared" si="236"/>
        <v>#N/A</v>
      </c>
      <c r="CR614" t="e">
        <f t="shared" si="237"/>
        <v>#N/A</v>
      </c>
      <c r="CT614" t="e">
        <v>#N/A</v>
      </c>
      <c r="CU614" t="e">
        <v>#N/A</v>
      </c>
      <c r="CY614" t="e">
        <f t="shared" si="238"/>
        <v>#N/A</v>
      </c>
      <c r="CZ614" t="e">
        <v>#N/A</v>
      </c>
      <c r="DA614" t="e" cm="1">
        <f t="array" ref="DA614">IF(ISNUMBER(CZ614),AF614/COUNT(IF(ISNUMBER(_xlfn.ANCHORARRAY($CZ$11)),_xlfn.ANCHORARRAY($CZ$11))),NA())</f>
        <v>#N/A</v>
      </c>
      <c r="DB614" t="e">
        <f t="shared" si="239"/>
        <v>#N/A</v>
      </c>
      <c r="DD614" t="e">
        <f t="shared" si="240"/>
        <v>#N/A</v>
      </c>
      <c r="DE614" t="e">
        <f t="shared" si="241"/>
        <v>#N/A</v>
      </c>
      <c r="DG614" t="e">
        <v>#N/A</v>
      </c>
      <c r="DH614" t="e">
        <v>#N/A</v>
      </c>
    </row>
    <row r="615" spans="32:112">
      <c r="AF615">
        <v>605</v>
      </c>
      <c r="AG615" s="401">
        <f>'Lab test'!N608</f>
        <v>42.519599999999997</v>
      </c>
      <c r="AH615" s="401">
        <f>'Lab test'!M608</f>
        <v>7.8739999999999991E-2</v>
      </c>
      <c r="AI615">
        <f>IF('Lab test'!O608&gt;0,'Lab test'!O608,NA())</f>
        <v>206.22005999999996</v>
      </c>
      <c r="AJ615">
        <f>'Lab test'!Q608</f>
        <v>540</v>
      </c>
      <c r="AK615" s="401" t="e">
        <f>IF('Lab test'!V608&gt;0,'Lab test'!V608,NA())</f>
        <v>#N/A</v>
      </c>
      <c r="AL615" s="7" t="e">
        <f>IF(MAX('Lab test'!W608,'Lab test'!X608)&gt;0,MAX('Lab test'!W608,'Lab test'!X608),NA())</f>
        <v>#N/A</v>
      </c>
      <c r="AM615" s="401">
        <f>IF('Lab test'!P608&gt;0,'Lab test'!P608,NA())</f>
        <v>0.20871076921228857</v>
      </c>
      <c r="AN615" s="401" t="e">
        <f>IF('Lab test'!AU608&gt;0,'Lab test'!AU608,NA())</f>
        <v>#N/A</v>
      </c>
      <c r="AO615" s="401" t="e">
        <f>IF('Lab test'!AT608&gt;0,'Lab test'!AT608,NA())</f>
        <v>#N/A</v>
      </c>
      <c r="AP615" t="e">
        <f t="shared" si="242"/>
        <v>#N/A</v>
      </c>
      <c r="AQ615" s="401">
        <f>'Lab test'!AZ608</f>
        <v>1968</v>
      </c>
      <c r="AR615" t="str">
        <f>'Lab test'!AC608</f>
        <v>Electroforming</v>
      </c>
      <c r="AS615" t="str">
        <f>'Lab test'!T608</f>
        <v>Nickel</v>
      </c>
      <c r="AX615" t="e">
        <f t="shared" si="227"/>
        <v>#N/A</v>
      </c>
      <c r="AY615" t="e">
        <f t="shared" si="221"/>
        <v>#N/A</v>
      </c>
      <c r="AZ615" t="e">
        <f t="shared" si="224"/>
        <v>#N/A</v>
      </c>
      <c r="BA615" t="e">
        <f t="shared" si="224"/>
        <v>#N/A</v>
      </c>
      <c r="BB615" t="e">
        <f t="shared" si="224"/>
        <v>#N/A</v>
      </c>
      <c r="BC615" t="e">
        <f t="shared" si="224"/>
        <v>#N/A</v>
      </c>
      <c r="BD615" t="e">
        <f t="shared" si="224"/>
        <v>#N/A</v>
      </c>
      <c r="BG615" t="e">
        <f t="shared" si="228"/>
        <v>#N/A</v>
      </c>
      <c r="BH615" t="e">
        <f t="shared" si="222"/>
        <v>#N/A</v>
      </c>
      <c r="BI615" t="e">
        <f t="shared" si="225"/>
        <v>#N/A</v>
      </c>
      <c r="BJ615" t="e">
        <f t="shared" si="225"/>
        <v>#N/A</v>
      </c>
      <c r="BK615" t="e">
        <f t="shared" si="225"/>
        <v>#N/A</v>
      </c>
      <c r="BL615" t="e">
        <f t="shared" si="225"/>
        <v>#N/A</v>
      </c>
      <c r="BM615" t="e">
        <f t="shared" si="225"/>
        <v>#N/A</v>
      </c>
      <c r="BP615" t="e">
        <f t="shared" si="229"/>
        <v>#N/A</v>
      </c>
      <c r="BQ615" t="e">
        <f t="shared" si="223"/>
        <v>#N/A</v>
      </c>
      <c r="BR615" t="e">
        <f t="shared" si="226"/>
        <v>#N/A</v>
      </c>
      <c r="BS615" t="e">
        <f t="shared" si="226"/>
        <v>#N/A</v>
      </c>
      <c r="BT615" t="e">
        <f t="shared" si="226"/>
        <v>#N/A</v>
      </c>
      <c r="BU615" t="e">
        <f t="shared" si="226"/>
        <v>#N/A</v>
      </c>
      <c r="BV615" t="e">
        <f t="shared" si="226"/>
        <v>#N/A</v>
      </c>
      <c r="BY615" t="e">
        <f t="shared" si="230"/>
        <v>#N/A</v>
      </c>
      <c r="BZ615" t="e">
        <v>#N/A</v>
      </c>
      <c r="CA615" t="e" cm="1">
        <f t="array" ref="CA615">IF(ISNUMBER(BZ615),AF615/COUNT(IF(ISNUMBER(_xlfn.ANCHORARRAY($BZ$11)),_xlfn.ANCHORARRAY($BZ$11))),NA())</f>
        <v>#N/A</v>
      </c>
      <c r="CB615" t="e">
        <f t="shared" si="231"/>
        <v>#N/A</v>
      </c>
      <c r="CD615" t="e">
        <f t="shared" si="232"/>
        <v>#N/A</v>
      </c>
      <c r="CE615" t="e">
        <f t="shared" si="233"/>
        <v>#N/A</v>
      </c>
      <c r="CG615" t="e">
        <v>#N/A</v>
      </c>
      <c r="CH615" t="e">
        <v>#N/A</v>
      </c>
      <c r="CL615" t="e">
        <f t="shared" si="234"/>
        <v>#N/A</v>
      </c>
      <c r="CM615" t="e">
        <v>#N/A</v>
      </c>
      <c r="CN615" t="e" cm="1">
        <f t="array" ref="CN615">IF(ISNUMBER(CM615),AF615/COUNT(IF(ISNUMBER(_xlfn.ANCHORARRAY($CM$11)),_xlfn.ANCHORARRAY($CM$11))),NA())</f>
        <v>#N/A</v>
      </c>
      <c r="CO615" t="e">
        <f t="shared" si="235"/>
        <v>#N/A</v>
      </c>
      <c r="CQ615" t="e">
        <f t="shared" si="236"/>
        <v>#N/A</v>
      </c>
      <c r="CR615" t="e">
        <f t="shared" si="237"/>
        <v>#N/A</v>
      </c>
      <c r="CT615" t="e">
        <v>#N/A</v>
      </c>
      <c r="CU615" t="e">
        <v>#N/A</v>
      </c>
      <c r="CY615" t="e">
        <f t="shared" si="238"/>
        <v>#N/A</v>
      </c>
      <c r="CZ615" t="e">
        <v>#N/A</v>
      </c>
      <c r="DA615" t="e" cm="1">
        <f t="array" ref="DA615">IF(ISNUMBER(CZ615),AF615/COUNT(IF(ISNUMBER(_xlfn.ANCHORARRAY($CZ$11)),_xlfn.ANCHORARRAY($CZ$11))),NA())</f>
        <v>#N/A</v>
      </c>
      <c r="DB615" t="e">
        <f t="shared" si="239"/>
        <v>#N/A</v>
      </c>
      <c r="DD615" t="e">
        <f t="shared" si="240"/>
        <v>#N/A</v>
      </c>
      <c r="DE615" t="e">
        <f t="shared" si="241"/>
        <v>#N/A</v>
      </c>
      <c r="DG615" t="e">
        <v>#N/A</v>
      </c>
      <c r="DH615" t="e">
        <v>#N/A</v>
      </c>
    </row>
    <row r="616" spans="32:112">
      <c r="AF616">
        <v>606</v>
      </c>
      <c r="AG616" s="401">
        <f>'Lab test'!N609</f>
        <v>42.595800000000004</v>
      </c>
      <c r="AH616" s="401">
        <f>'Lab test'!M609</f>
        <v>6.6040000000000001E-2</v>
      </c>
      <c r="AI616">
        <f>IF('Lab test'!O609&gt;0,'Lab test'!O609,NA())</f>
        <v>206.58963</v>
      </c>
      <c r="AJ616">
        <f>'Lab test'!Q609</f>
        <v>645</v>
      </c>
      <c r="AK616" s="401" t="e">
        <f>IF('Lab test'!V609&gt;0,'Lab test'!V609,NA())</f>
        <v>#N/A</v>
      </c>
      <c r="AL616" s="7" t="e">
        <f>IF(MAX('Lab test'!W609,'Lab test'!X609)&gt;0,MAX('Lab test'!W609,'Lab test'!X609),NA())</f>
        <v>#N/A</v>
      </c>
      <c r="AM616" s="401">
        <f>IF('Lab test'!P609&gt;0,'Lab test'!P609,NA())</f>
        <v>0.19096856350735322</v>
      </c>
      <c r="AN616" s="401" t="e">
        <f>IF('Lab test'!AU609&gt;0,'Lab test'!AU609,NA())</f>
        <v>#N/A</v>
      </c>
      <c r="AO616" s="401" t="e">
        <f>IF('Lab test'!AT609&gt;0,'Lab test'!AT609,NA())</f>
        <v>#N/A</v>
      </c>
      <c r="AP616" t="e">
        <f t="shared" si="242"/>
        <v>#N/A</v>
      </c>
      <c r="AQ616" s="401">
        <f>'Lab test'!AZ609</f>
        <v>1968</v>
      </c>
      <c r="AR616" t="str">
        <f>'Lab test'!AC609</f>
        <v>Electroforming</v>
      </c>
      <c r="AS616" t="str">
        <f>'Lab test'!T609</f>
        <v>Nickel</v>
      </c>
      <c r="AX616" t="e">
        <f t="shared" si="227"/>
        <v>#N/A</v>
      </c>
      <c r="AY616" t="e">
        <f t="shared" si="221"/>
        <v>#N/A</v>
      </c>
      <c r="AZ616" t="e">
        <f t="shared" si="224"/>
        <v>#N/A</v>
      </c>
      <c r="BA616" t="e">
        <f t="shared" si="224"/>
        <v>#N/A</v>
      </c>
      <c r="BB616" t="e">
        <f t="shared" si="224"/>
        <v>#N/A</v>
      </c>
      <c r="BC616" t="e">
        <f t="shared" si="224"/>
        <v>#N/A</v>
      </c>
      <c r="BD616" t="e">
        <f t="shared" si="224"/>
        <v>#N/A</v>
      </c>
      <c r="BG616" t="e">
        <f t="shared" si="228"/>
        <v>#N/A</v>
      </c>
      <c r="BH616" t="e">
        <f t="shared" si="222"/>
        <v>#N/A</v>
      </c>
      <c r="BI616" t="e">
        <f t="shared" si="225"/>
        <v>#N/A</v>
      </c>
      <c r="BJ616" t="e">
        <f t="shared" si="225"/>
        <v>#N/A</v>
      </c>
      <c r="BK616" t="e">
        <f t="shared" si="225"/>
        <v>#N/A</v>
      </c>
      <c r="BL616" t="e">
        <f t="shared" si="225"/>
        <v>#N/A</v>
      </c>
      <c r="BM616" t="e">
        <f t="shared" si="225"/>
        <v>#N/A</v>
      </c>
      <c r="BP616" t="e">
        <f t="shared" si="229"/>
        <v>#N/A</v>
      </c>
      <c r="BQ616" t="e">
        <f t="shared" si="223"/>
        <v>#N/A</v>
      </c>
      <c r="BR616" t="e">
        <f t="shared" si="226"/>
        <v>#N/A</v>
      </c>
      <c r="BS616" t="e">
        <f t="shared" si="226"/>
        <v>#N/A</v>
      </c>
      <c r="BT616" t="e">
        <f t="shared" si="226"/>
        <v>#N/A</v>
      </c>
      <c r="BU616" t="e">
        <f t="shared" si="226"/>
        <v>#N/A</v>
      </c>
      <c r="BV616" t="e">
        <f t="shared" si="226"/>
        <v>#N/A</v>
      </c>
      <c r="BY616" t="e">
        <f t="shared" si="230"/>
        <v>#N/A</v>
      </c>
      <c r="BZ616" t="e">
        <v>#N/A</v>
      </c>
      <c r="CA616" t="e" cm="1">
        <f t="array" ref="CA616">IF(ISNUMBER(BZ616),AF616/COUNT(IF(ISNUMBER(_xlfn.ANCHORARRAY($BZ$11)),_xlfn.ANCHORARRAY($BZ$11))),NA())</f>
        <v>#N/A</v>
      </c>
      <c r="CB616" t="e">
        <f t="shared" si="231"/>
        <v>#N/A</v>
      </c>
      <c r="CD616" t="e">
        <f t="shared" si="232"/>
        <v>#N/A</v>
      </c>
      <c r="CE616" t="e">
        <f t="shared" si="233"/>
        <v>#N/A</v>
      </c>
      <c r="CG616" t="e">
        <v>#N/A</v>
      </c>
      <c r="CH616" t="e">
        <v>#N/A</v>
      </c>
      <c r="CL616" t="e">
        <f t="shared" si="234"/>
        <v>#N/A</v>
      </c>
      <c r="CM616" t="e">
        <v>#N/A</v>
      </c>
      <c r="CN616" t="e" cm="1">
        <f t="array" ref="CN616">IF(ISNUMBER(CM616),AF616/COUNT(IF(ISNUMBER(_xlfn.ANCHORARRAY($CM$11)),_xlfn.ANCHORARRAY($CM$11))),NA())</f>
        <v>#N/A</v>
      </c>
      <c r="CO616" t="e">
        <f t="shared" si="235"/>
        <v>#N/A</v>
      </c>
      <c r="CQ616" t="e">
        <f t="shared" si="236"/>
        <v>#N/A</v>
      </c>
      <c r="CR616" t="e">
        <f t="shared" si="237"/>
        <v>#N/A</v>
      </c>
      <c r="CT616" t="e">
        <v>#N/A</v>
      </c>
      <c r="CU616" t="e">
        <v>#N/A</v>
      </c>
      <c r="CY616" t="e">
        <f t="shared" si="238"/>
        <v>#N/A</v>
      </c>
      <c r="CZ616" t="e">
        <v>#N/A</v>
      </c>
      <c r="DA616" t="e" cm="1">
        <f t="array" ref="DA616">IF(ISNUMBER(CZ616),AF616/COUNT(IF(ISNUMBER(_xlfn.ANCHORARRAY($CZ$11)),_xlfn.ANCHORARRAY($CZ$11))),NA())</f>
        <v>#N/A</v>
      </c>
      <c r="DB616" t="e">
        <f t="shared" si="239"/>
        <v>#N/A</v>
      </c>
      <c r="DD616" t="e">
        <f t="shared" si="240"/>
        <v>#N/A</v>
      </c>
      <c r="DE616" t="e">
        <f t="shared" si="241"/>
        <v>#N/A</v>
      </c>
      <c r="DG616" t="e">
        <v>#N/A</v>
      </c>
      <c r="DH616" t="e">
        <v>#N/A</v>
      </c>
    </row>
    <row r="617" spans="32:112">
      <c r="AF617">
        <v>607</v>
      </c>
      <c r="AG617" s="401">
        <f>'Lab test'!N610</f>
        <v>42.468800000000002</v>
      </c>
      <c r="AH617" s="401">
        <f>'Lab test'!M610</f>
        <v>5.5879999999999999E-2</v>
      </c>
      <c r="AI617">
        <f>IF('Lab test'!O610&gt;0,'Lab test'!O610,NA())</f>
        <v>205.97368</v>
      </c>
      <c r="AJ617">
        <f>'Lab test'!Q610</f>
        <v>760</v>
      </c>
      <c r="AK617" s="401" t="e">
        <f>IF('Lab test'!V610&gt;0,'Lab test'!V610,NA())</f>
        <v>#N/A</v>
      </c>
      <c r="AL617" s="7" t="e">
        <f>IF(MAX('Lab test'!W610,'Lab test'!X610)&gt;0,MAX('Lab test'!W610,'Lab test'!X610),NA())</f>
        <v>#N/A</v>
      </c>
      <c r="AM617" s="401">
        <f>IF('Lab test'!P610&gt;0,'Lab test'!P610,NA())</f>
        <v>0.1759279906516778</v>
      </c>
      <c r="AN617" s="401" t="e">
        <f>IF('Lab test'!AU610&gt;0,'Lab test'!AU610,NA())</f>
        <v>#N/A</v>
      </c>
      <c r="AO617" s="401" t="e">
        <f>IF('Lab test'!AT610&gt;0,'Lab test'!AT610,NA())</f>
        <v>#N/A</v>
      </c>
      <c r="AP617" t="e">
        <f t="shared" si="242"/>
        <v>#N/A</v>
      </c>
      <c r="AQ617" s="401">
        <f>'Lab test'!AZ610</f>
        <v>1968</v>
      </c>
      <c r="AR617" t="str">
        <f>'Lab test'!AC610</f>
        <v>Electroforming</v>
      </c>
      <c r="AS617" t="str">
        <f>'Lab test'!T610</f>
        <v>Nickel</v>
      </c>
      <c r="AX617" t="e">
        <f t="shared" si="227"/>
        <v>#N/A</v>
      </c>
      <c r="AY617" t="e">
        <f t="shared" si="221"/>
        <v>#N/A</v>
      </c>
      <c r="AZ617" t="e">
        <f t="shared" si="224"/>
        <v>#N/A</v>
      </c>
      <c r="BA617" t="e">
        <f t="shared" si="224"/>
        <v>#N/A</v>
      </c>
      <c r="BB617" t="e">
        <f t="shared" si="224"/>
        <v>#N/A</v>
      </c>
      <c r="BC617" t="e">
        <f t="shared" si="224"/>
        <v>#N/A</v>
      </c>
      <c r="BD617" t="e">
        <f t="shared" si="224"/>
        <v>#N/A</v>
      </c>
      <c r="BG617" t="e">
        <f t="shared" si="228"/>
        <v>#N/A</v>
      </c>
      <c r="BH617" t="e">
        <f t="shared" si="222"/>
        <v>#N/A</v>
      </c>
      <c r="BI617" t="e">
        <f t="shared" si="225"/>
        <v>#N/A</v>
      </c>
      <c r="BJ617" t="e">
        <f t="shared" si="225"/>
        <v>#N/A</v>
      </c>
      <c r="BK617" t="e">
        <f t="shared" si="225"/>
        <v>#N/A</v>
      </c>
      <c r="BL617" t="e">
        <f t="shared" si="225"/>
        <v>#N/A</v>
      </c>
      <c r="BM617" t="e">
        <f t="shared" si="225"/>
        <v>#N/A</v>
      </c>
      <c r="BP617" t="e">
        <f t="shared" si="229"/>
        <v>#N/A</v>
      </c>
      <c r="BQ617" t="e">
        <f t="shared" si="223"/>
        <v>#N/A</v>
      </c>
      <c r="BR617" t="e">
        <f t="shared" si="226"/>
        <v>#N/A</v>
      </c>
      <c r="BS617" t="e">
        <f t="shared" si="226"/>
        <v>#N/A</v>
      </c>
      <c r="BT617" t="e">
        <f t="shared" si="226"/>
        <v>#N/A</v>
      </c>
      <c r="BU617" t="e">
        <f t="shared" si="226"/>
        <v>#N/A</v>
      </c>
      <c r="BV617" t="e">
        <f t="shared" si="226"/>
        <v>#N/A</v>
      </c>
      <c r="BY617" t="e">
        <f t="shared" si="230"/>
        <v>#N/A</v>
      </c>
      <c r="BZ617" t="e">
        <v>#N/A</v>
      </c>
      <c r="CA617" t="e" cm="1">
        <f t="array" ref="CA617">IF(ISNUMBER(BZ617),AF617/COUNT(IF(ISNUMBER(_xlfn.ANCHORARRAY($BZ$11)),_xlfn.ANCHORARRAY($BZ$11))),NA())</f>
        <v>#N/A</v>
      </c>
      <c r="CB617" t="e">
        <f t="shared" si="231"/>
        <v>#N/A</v>
      </c>
      <c r="CD617" t="e">
        <f t="shared" si="232"/>
        <v>#N/A</v>
      </c>
      <c r="CE617" t="e">
        <f t="shared" si="233"/>
        <v>#N/A</v>
      </c>
      <c r="CG617" t="e">
        <v>#N/A</v>
      </c>
      <c r="CH617" t="e">
        <v>#N/A</v>
      </c>
      <c r="CL617" t="e">
        <f t="shared" si="234"/>
        <v>#N/A</v>
      </c>
      <c r="CM617" t="e">
        <v>#N/A</v>
      </c>
      <c r="CN617" t="e" cm="1">
        <f t="array" ref="CN617">IF(ISNUMBER(CM617),AF617/COUNT(IF(ISNUMBER(_xlfn.ANCHORARRAY($CM$11)),_xlfn.ANCHORARRAY($CM$11))),NA())</f>
        <v>#N/A</v>
      </c>
      <c r="CO617" t="e">
        <f t="shared" si="235"/>
        <v>#N/A</v>
      </c>
      <c r="CQ617" t="e">
        <f t="shared" si="236"/>
        <v>#N/A</v>
      </c>
      <c r="CR617" t="e">
        <f t="shared" si="237"/>
        <v>#N/A</v>
      </c>
      <c r="CT617" t="e">
        <v>#N/A</v>
      </c>
      <c r="CU617" t="e">
        <v>#N/A</v>
      </c>
      <c r="CY617" t="e">
        <f t="shared" si="238"/>
        <v>#N/A</v>
      </c>
      <c r="CZ617" t="e">
        <v>#N/A</v>
      </c>
      <c r="DA617" t="e" cm="1">
        <f t="array" ref="DA617">IF(ISNUMBER(CZ617),AF617/COUNT(IF(ISNUMBER(_xlfn.ANCHORARRAY($CZ$11)),_xlfn.ANCHORARRAY($CZ$11))),NA())</f>
        <v>#N/A</v>
      </c>
      <c r="DB617" t="e">
        <f t="shared" si="239"/>
        <v>#N/A</v>
      </c>
      <c r="DD617" t="e">
        <f t="shared" si="240"/>
        <v>#N/A</v>
      </c>
      <c r="DE617" t="e">
        <f t="shared" si="241"/>
        <v>#N/A</v>
      </c>
      <c r="DG617" t="e">
        <v>#N/A</v>
      </c>
      <c r="DH617" t="e">
        <v>#N/A</v>
      </c>
    </row>
    <row r="618" spans="32:112">
      <c r="AF618">
        <v>608</v>
      </c>
      <c r="AG618" s="401">
        <f>'Lab test'!N611</f>
        <v>42.595800000000004</v>
      </c>
      <c r="AH618" s="401">
        <f>'Lab test'!M611</f>
        <v>6.6040000000000001E-2</v>
      </c>
      <c r="AI618">
        <f>IF('Lab test'!O611&gt;0,'Lab test'!O611,NA())</f>
        <v>206.58963</v>
      </c>
      <c r="AJ618">
        <f>'Lab test'!Q611</f>
        <v>645</v>
      </c>
      <c r="AK618" s="401" t="e">
        <f>IF('Lab test'!V611&gt;0,'Lab test'!V611,NA())</f>
        <v>#N/A</v>
      </c>
      <c r="AL618" s="7" t="e">
        <f>IF(MAX('Lab test'!W611,'Lab test'!X611)&gt;0,MAX('Lab test'!W611,'Lab test'!X611),NA())</f>
        <v>#N/A</v>
      </c>
      <c r="AM618" s="401">
        <f>IF('Lab test'!P611&gt;0,'Lab test'!P611,NA())</f>
        <v>0.19096856350735322</v>
      </c>
      <c r="AN618" s="401" t="e">
        <f>IF('Lab test'!AU611&gt;0,'Lab test'!AU611,NA())</f>
        <v>#N/A</v>
      </c>
      <c r="AO618" s="401" t="e">
        <f>IF('Lab test'!AT611&gt;0,'Lab test'!AT611,NA())</f>
        <v>#N/A</v>
      </c>
      <c r="AP618" t="e">
        <f t="shared" si="242"/>
        <v>#N/A</v>
      </c>
      <c r="AQ618" s="401">
        <f>'Lab test'!AZ611</f>
        <v>1968</v>
      </c>
      <c r="AR618" t="str">
        <f>'Lab test'!AC611</f>
        <v>Electroforming</v>
      </c>
      <c r="AS618" t="str">
        <f>'Lab test'!T611</f>
        <v>Nickel</v>
      </c>
      <c r="AX618" t="e">
        <f t="shared" si="227"/>
        <v>#N/A</v>
      </c>
      <c r="AY618" t="e">
        <f t="shared" si="221"/>
        <v>#N/A</v>
      </c>
      <c r="AZ618" t="e">
        <f t="shared" si="224"/>
        <v>#N/A</v>
      </c>
      <c r="BA618" t="e">
        <f t="shared" si="224"/>
        <v>#N/A</v>
      </c>
      <c r="BB618" t="e">
        <f t="shared" si="224"/>
        <v>#N/A</v>
      </c>
      <c r="BC618" t="e">
        <f t="shared" si="224"/>
        <v>#N/A</v>
      </c>
      <c r="BD618" t="e">
        <f t="shared" si="224"/>
        <v>#N/A</v>
      </c>
      <c r="BG618" t="e">
        <f t="shared" si="228"/>
        <v>#N/A</v>
      </c>
      <c r="BH618" t="e">
        <f t="shared" si="222"/>
        <v>#N/A</v>
      </c>
      <c r="BI618" t="e">
        <f t="shared" si="225"/>
        <v>#N/A</v>
      </c>
      <c r="BJ618" t="e">
        <f t="shared" si="225"/>
        <v>#N/A</v>
      </c>
      <c r="BK618" t="e">
        <f t="shared" si="225"/>
        <v>#N/A</v>
      </c>
      <c r="BL618" t="e">
        <f t="shared" si="225"/>
        <v>#N/A</v>
      </c>
      <c r="BM618" t="e">
        <f t="shared" si="225"/>
        <v>#N/A</v>
      </c>
      <c r="BP618" t="e">
        <f t="shared" si="229"/>
        <v>#N/A</v>
      </c>
      <c r="BQ618" t="e">
        <f t="shared" si="223"/>
        <v>#N/A</v>
      </c>
      <c r="BR618" t="e">
        <f t="shared" si="226"/>
        <v>#N/A</v>
      </c>
      <c r="BS618" t="e">
        <f t="shared" si="226"/>
        <v>#N/A</v>
      </c>
      <c r="BT618" t="e">
        <f t="shared" si="226"/>
        <v>#N/A</v>
      </c>
      <c r="BU618" t="e">
        <f t="shared" si="226"/>
        <v>#N/A</v>
      </c>
      <c r="BV618" t="e">
        <f t="shared" si="226"/>
        <v>#N/A</v>
      </c>
      <c r="BY618" t="e">
        <f t="shared" si="230"/>
        <v>#N/A</v>
      </c>
      <c r="BZ618" t="e">
        <v>#N/A</v>
      </c>
      <c r="CA618" t="e" cm="1">
        <f t="array" ref="CA618">IF(ISNUMBER(BZ618),AF618/COUNT(IF(ISNUMBER(_xlfn.ANCHORARRAY($BZ$11)),_xlfn.ANCHORARRAY($BZ$11))),NA())</f>
        <v>#N/A</v>
      </c>
      <c r="CB618" t="e">
        <f t="shared" si="231"/>
        <v>#N/A</v>
      </c>
      <c r="CD618" t="e">
        <f t="shared" si="232"/>
        <v>#N/A</v>
      </c>
      <c r="CE618" t="e">
        <f t="shared" si="233"/>
        <v>#N/A</v>
      </c>
      <c r="CG618" t="e">
        <v>#N/A</v>
      </c>
      <c r="CH618" t="e">
        <v>#N/A</v>
      </c>
      <c r="CL618" t="e">
        <f t="shared" si="234"/>
        <v>#N/A</v>
      </c>
      <c r="CM618" t="e">
        <v>#N/A</v>
      </c>
      <c r="CN618" t="e" cm="1">
        <f t="array" ref="CN618">IF(ISNUMBER(CM618),AF618/COUNT(IF(ISNUMBER(_xlfn.ANCHORARRAY($CM$11)),_xlfn.ANCHORARRAY($CM$11))),NA())</f>
        <v>#N/A</v>
      </c>
      <c r="CO618" t="e">
        <f t="shared" si="235"/>
        <v>#N/A</v>
      </c>
      <c r="CQ618" t="e">
        <f t="shared" si="236"/>
        <v>#N/A</v>
      </c>
      <c r="CR618" t="e">
        <f t="shared" si="237"/>
        <v>#N/A</v>
      </c>
      <c r="CT618" t="e">
        <v>#N/A</v>
      </c>
      <c r="CU618" t="e">
        <v>#N/A</v>
      </c>
      <c r="CY618" t="e">
        <f t="shared" si="238"/>
        <v>#N/A</v>
      </c>
      <c r="CZ618" t="e">
        <v>#N/A</v>
      </c>
      <c r="DA618" t="e" cm="1">
        <f t="array" ref="DA618">IF(ISNUMBER(CZ618),AF618/COUNT(IF(ISNUMBER(_xlfn.ANCHORARRAY($CZ$11)),_xlfn.ANCHORARRAY($CZ$11))),NA())</f>
        <v>#N/A</v>
      </c>
      <c r="DB618" t="e">
        <f t="shared" si="239"/>
        <v>#N/A</v>
      </c>
      <c r="DD618" t="e">
        <f t="shared" si="240"/>
        <v>#N/A</v>
      </c>
      <c r="DE618" t="e">
        <f t="shared" si="241"/>
        <v>#N/A</v>
      </c>
      <c r="DG618" t="e">
        <v>#N/A</v>
      </c>
      <c r="DH618" t="e">
        <v>#N/A</v>
      </c>
    </row>
    <row r="619" spans="32:112">
      <c r="AF619">
        <v>609</v>
      </c>
      <c r="AG619" s="401">
        <f>'Lab test'!N612</f>
        <v>42.671999999999997</v>
      </c>
      <c r="AH619" s="401">
        <f>'Lab test'!M612</f>
        <v>6.096E-2</v>
      </c>
      <c r="AI619">
        <f>IF('Lab test'!O612&gt;0,'Lab test'!O612,NA())</f>
        <v>206.95919999999998</v>
      </c>
      <c r="AJ619">
        <f>'Lab test'!Q612</f>
        <v>700</v>
      </c>
      <c r="AK619" s="401">
        <f>IF('Lab test'!V612&gt;0,'Lab test'!V612,NA())</f>
        <v>170035.67361878708</v>
      </c>
      <c r="AL619" s="7" t="e">
        <f>IF(MAX('Lab test'!W612,'Lab test'!X612)&gt;0,MAX('Lab test'!W612,'Lab test'!X612),NA())</f>
        <v>#N/A</v>
      </c>
      <c r="AM619" s="401">
        <f>IF('Lab test'!P612&gt;0,'Lab test'!P612,NA())</f>
        <v>0.18331276940947519</v>
      </c>
      <c r="AN619" s="401" t="e">
        <f>IF('Lab test'!AU612&gt;0,'Lab test'!AU612,NA())</f>
        <v>#N/A</v>
      </c>
      <c r="AO619" s="401">
        <f>IF('Lab test'!AT612&gt;0,'Lab test'!AT612,NA())</f>
        <v>0.66666666666666663</v>
      </c>
      <c r="AP619" t="e">
        <f t="shared" si="242"/>
        <v>#N/A</v>
      </c>
      <c r="AQ619" s="401">
        <f>'Lab test'!AZ612</f>
        <v>1968</v>
      </c>
      <c r="AR619" t="str">
        <f>'Lab test'!AC612</f>
        <v>Electroforming</v>
      </c>
      <c r="AS619" t="str">
        <f>'Lab test'!T612</f>
        <v>Nickel</v>
      </c>
      <c r="AX619" t="e">
        <f t="shared" si="227"/>
        <v>#N/A</v>
      </c>
      <c r="AY619" t="e">
        <f t="shared" si="221"/>
        <v>#N/A</v>
      </c>
      <c r="AZ619" t="e">
        <f t="shared" si="224"/>
        <v>#N/A</v>
      </c>
      <c r="BA619" t="e">
        <f t="shared" si="224"/>
        <v>#N/A</v>
      </c>
      <c r="BB619" t="e">
        <f t="shared" ref="AZ619:BD670" si="243">IF(ISNUMBER($AJ619),IF(ISNUMBER($AP619),IF($AJ619&gt;BB$9,IF($AJ619&lt;=BB$10,IF($AR619=$AW$2,IF($AS619=$AW$6,$AK619,NA()),NA()),NA()),NA()),NA()),NA())</f>
        <v>#N/A</v>
      </c>
      <c r="BC619" t="e">
        <f t="shared" si="243"/>
        <v>#N/A</v>
      </c>
      <c r="BD619" t="e">
        <f t="shared" si="243"/>
        <v>#N/A</v>
      </c>
      <c r="BG619" t="e">
        <f t="shared" si="228"/>
        <v>#N/A</v>
      </c>
      <c r="BH619" t="e">
        <f t="shared" si="222"/>
        <v>#N/A</v>
      </c>
      <c r="BI619" t="e">
        <f t="shared" si="225"/>
        <v>#N/A</v>
      </c>
      <c r="BJ619" t="e">
        <f t="shared" si="225"/>
        <v>#N/A</v>
      </c>
      <c r="BK619" t="e">
        <f t="shared" ref="BI619:BM670" si="244">IF(ISNUMBER($AJ619),IF(ISNUMBER($AP619),IF($AJ619&gt;BK$9,IF($AJ619&lt;=BK$10,IF($AR619=$AW$2,IF($AS619=$BF$6,$AK619,NA()),NA()),NA()),NA()),NA()),NA())</f>
        <v>#N/A</v>
      </c>
      <c r="BL619" t="e">
        <f t="shared" si="244"/>
        <v>#N/A</v>
      </c>
      <c r="BM619" t="e">
        <f t="shared" si="244"/>
        <v>#N/A</v>
      </c>
      <c r="BP619" t="e">
        <f t="shared" si="229"/>
        <v>#N/A</v>
      </c>
      <c r="BQ619" t="e">
        <f t="shared" si="223"/>
        <v>#N/A</v>
      </c>
      <c r="BR619" t="e">
        <f t="shared" si="226"/>
        <v>#N/A</v>
      </c>
      <c r="BS619" t="e">
        <f t="shared" si="226"/>
        <v>#N/A</v>
      </c>
      <c r="BT619" t="e">
        <f t="shared" ref="BR619:BV670" si="245">IF(ISNUMBER($AJ619),IF(ISNUMBER($AP619),IF($AJ619&gt;BT$9,IF($AJ619&lt;=BT$10,IF($AR619=$AW$2,IF($AS619=$BO$6,$AK619,NA()),NA()),NA()),NA()),NA()),NA())</f>
        <v>#N/A</v>
      </c>
      <c r="BU619" t="e">
        <f t="shared" si="245"/>
        <v>#N/A</v>
      </c>
      <c r="BV619" t="e">
        <f t="shared" si="245"/>
        <v>#N/A</v>
      </c>
      <c r="BY619" t="e">
        <f t="shared" si="230"/>
        <v>#N/A</v>
      </c>
      <c r="BZ619" t="e">
        <v>#N/A</v>
      </c>
      <c r="CA619" t="e" cm="1">
        <f t="array" ref="CA619">IF(ISNUMBER(BZ619),AF619/COUNT(IF(ISNUMBER(_xlfn.ANCHORARRAY($BZ$11)),_xlfn.ANCHORARRAY($BZ$11))),NA())</f>
        <v>#N/A</v>
      </c>
      <c r="CB619" t="e">
        <f t="shared" si="231"/>
        <v>#N/A</v>
      </c>
      <c r="CD619" t="e">
        <f t="shared" si="232"/>
        <v>#N/A</v>
      </c>
      <c r="CE619" t="e">
        <f t="shared" si="233"/>
        <v>#N/A</v>
      </c>
      <c r="CG619" t="e">
        <v>#N/A</v>
      </c>
      <c r="CH619" t="e">
        <v>#N/A</v>
      </c>
      <c r="CL619" t="e">
        <f t="shared" si="234"/>
        <v>#N/A</v>
      </c>
      <c r="CM619" t="e">
        <v>#N/A</v>
      </c>
      <c r="CN619" t="e" cm="1">
        <f t="array" ref="CN619">IF(ISNUMBER(CM619),AF619/COUNT(IF(ISNUMBER(_xlfn.ANCHORARRAY($CM$11)),_xlfn.ANCHORARRAY($CM$11))),NA())</f>
        <v>#N/A</v>
      </c>
      <c r="CO619" t="e">
        <f t="shared" si="235"/>
        <v>#N/A</v>
      </c>
      <c r="CQ619" t="e">
        <f t="shared" si="236"/>
        <v>#N/A</v>
      </c>
      <c r="CR619" t="e">
        <f t="shared" si="237"/>
        <v>#N/A</v>
      </c>
      <c r="CT619" t="e">
        <v>#N/A</v>
      </c>
      <c r="CU619" t="e">
        <v>#N/A</v>
      </c>
      <c r="CY619" t="e">
        <f t="shared" si="238"/>
        <v>#N/A</v>
      </c>
      <c r="CZ619" t="e">
        <v>#N/A</v>
      </c>
      <c r="DA619" t="e" cm="1">
        <f t="array" ref="DA619">IF(ISNUMBER(CZ619),AF619/COUNT(IF(ISNUMBER(_xlfn.ANCHORARRAY($CZ$11)),_xlfn.ANCHORARRAY($CZ$11))),NA())</f>
        <v>#N/A</v>
      </c>
      <c r="DB619" t="e">
        <f t="shared" si="239"/>
        <v>#N/A</v>
      </c>
      <c r="DD619" t="e">
        <f t="shared" si="240"/>
        <v>#N/A</v>
      </c>
      <c r="DE619" t="e">
        <f t="shared" si="241"/>
        <v>#N/A</v>
      </c>
      <c r="DG619" t="e">
        <v>#N/A</v>
      </c>
      <c r="DH619" t="e">
        <v>#N/A</v>
      </c>
    </row>
    <row r="620" spans="32:112">
      <c r="AF620">
        <v>610</v>
      </c>
      <c r="AG620" s="401">
        <f>'Lab test'!N613</f>
        <v>42.671999999999997</v>
      </c>
      <c r="AH620" s="401">
        <f>'Lab test'!M613</f>
        <v>8.1279999999999991E-2</v>
      </c>
      <c r="AI620">
        <f>IF('Lab test'!O613&gt;0,'Lab test'!O613,NA())</f>
        <v>206.95919999999998</v>
      </c>
      <c r="AJ620">
        <f>'Lab test'!Q613</f>
        <v>525</v>
      </c>
      <c r="AK620" s="401" t="e">
        <f>IF('Lab test'!V613&gt;0,'Lab test'!V613,NA())</f>
        <v>#N/A</v>
      </c>
      <c r="AL620" s="7" t="e">
        <f>IF(MAX('Lab test'!W613,'Lab test'!X613)&gt;0,MAX('Lab test'!W613,'Lab test'!X613),NA())</f>
        <v>#N/A</v>
      </c>
      <c r="AM620" s="401">
        <f>IF('Lab test'!P613&gt;0,'Lab test'!P613,NA())</f>
        <v>0.21167135352891259</v>
      </c>
      <c r="AN620" s="401" t="e">
        <f>IF('Lab test'!AU613&gt;0,'Lab test'!AU613,NA())</f>
        <v>#N/A</v>
      </c>
      <c r="AO620" s="401" t="e">
        <f>IF('Lab test'!AT613&gt;0,'Lab test'!AT613,NA())</f>
        <v>#N/A</v>
      </c>
      <c r="AP620" t="e">
        <f t="shared" si="242"/>
        <v>#N/A</v>
      </c>
      <c r="AQ620" s="401">
        <f>'Lab test'!AZ613</f>
        <v>1968</v>
      </c>
      <c r="AR620" t="str">
        <f>'Lab test'!AC613</f>
        <v>Electroforming</v>
      </c>
      <c r="AS620" t="str">
        <f>'Lab test'!T613</f>
        <v>Nickel</v>
      </c>
      <c r="AX620" t="e">
        <f t="shared" si="227"/>
        <v>#N/A</v>
      </c>
      <c r="AY620" t="e">
        <f t="shared" si="221"/>
        <v>#N/A</v>
      </c>
      <c r="AZ620" t="e">
        <f t="shared" si="243"/>
        <v>#N/A</v>
      </c>
      <c r="BA620" t="e">
        <f t="shared" si="243"/>
        <v>#N/A</v>
      </c>
      <c r="BB620" t="e">
        <f t="shared" si="243"/>
        <v>#N/A</v>
      </c>
      <c r="BC620" t="e">
        <f t="shared" si="243"/>
        <v>#N/A</v>
      </c>
      <c r="BD620" t="e">
        <f t="shared" si="243"/>
        <v>#N/A</v>
      </c>
      <c r="BG620" t="e">
        <f t="shared" si="228"/>
        <v>#N/A</v>
      </c>
      <c r="BH620" t="e">
        <f t="shared" si="222"/>
        <v>#N/A</v>
      </c>
      <c r="BI620" t="e">
        <f t="shared" si="244"/>
        <v>#N/A</v>
      </c>
      <c r="BJ620" t="e">
        <f t="shared" si="244"/>
        <v>#N/A</v>
      </c>
      <c r="BK620" t="e">
        <f t="shared" si="244"/>
        <v>#N/A</v>
      </c>
      <c r="BL620" t="e">
        <f t="shared" si="244"/>
        <v>#N/A</v>
      </c>
      <c r="BM620" t="e">
        <f t="shared" si="244"/>
        <v>#N/A</v>
      </c>
      <c r="BP620" t="e">
        <f t="shared" si="229"/>
        <v>#N/A</v>
      </c>
      <c r="BQ620" t="e">
        <f t="shared" si="223"/>
        <v>#N/A</v>
      </c>
      <c r="BR620" t="e">
        <f t="shared" si="245"/>
        <v>#N/A</v>
      </c>
      <c r="BS620" t="e">
        <f t="shared" si="245"/>
        <v>#N/A</v>
      </c>
      <c r="BT620" t="e">
        <f t="shared" si="245"/>
        <v>#N/A</v>
      </c>
      <c r="BU620" t="e">
        <f t="shared" si="245"/>
        <v>#N/A</v>
      </c>
      <c r="BV620" t="e">
        <f t="shared" si="245"/>
        <v>#N/A</v>
      </c>
      <c r="BY620" t="e">
        <f t="shared" si="230"/>
        <v>#N/A</v>
      </c>
      <c r="BZ620" t="e">
        <v>#N/A</v>
      </c>
      <c r="CA620" t="e" cm="1">
        <f t="array" ref="CA620">IF(ISNUMBER(BZ620),AF620/COUNT(IF(ISNUMBER(_xlfn.ANCHORARRAY($BZ$11)),_xlfn.ANCHORARRAY($BZ$11))),NA())</f>
        <v>#N/A</v>
      </c>
      <c r="CB620" t="e">
        <f t="shared" si="231"/>
        <v>#N/A</v>
      </c>
      <c r="CD620" t="e">
        <f t="shared" si="232"/>
        <v>#N/A</v>
      </c>
      <c r="CE620" t="e">
        <f t="shared" si="233"/>
        <v>#N/A</v>
      </c>
      <c r="CG620" t="e">
        <v>#N/A</v>
      </c>
      <c r="CH620" t="e">
        <v>#N/A</v>
      </c>
      <c r="CL620" t="e">
        <f t="shared" si="234"/>
        <v>#N/A</v>
      </c>
      <c r="CM620" t="e">
        <v>#N/A</v>
      </c>
      <c r="CN620" t="e" cm="1">
        <f t="array" ref="CN620">IF(ISNUMBER(CM620),AF620/COUNT(IF(ISNUMBER(_xlfn.ANCHORARRAY($CM$11)),_xlfn.ANCHORARRAY($CM$11))),NA())</f>
        <v>#N/A</v>
      </c>
      <c r="CO620" t="e">
        <f t="shared" si="235"/>
        <v>#N/A</v>
      </c>
      <c r="CQ620" t="e">
        <f t="shared" si="236"/>
        <v>#N/A</v>
      </c>
      <c r="CR620" t="e">
        <f t="shared" si="237"/>
        <v>#N/A</v>
      </c>
      <c r="CT620" t="e">
        <v>#N/A</v>
      </c>
      <c r="CU620" t="e">
        <v>#N/A</v>
      </c>
      <c r="CY620" t="e">
        <f t="shared" si="238"/>
        <v>#N/A</v>
      </c>
      <c r="CZ620" t="e">
        <v>#N/A</v>
      </c>
      <c r="DA620" t="e" cm="1">
        <f t="array" ref="DA620">IF(ISNUMBER(CZ620),AF620/COUNT(IF(ISNUMBER(_xlfn.ANCHORARRAY($CZ$11)),_xlfn.ANCHORARRAY($CZ$11))),NA())</f>
        <v>#N/A</v>
      </c>
      <c r="DB620" t="e">
        <f t="shared" si="239"/>
        <v>#N/A</v>
      </c>
      <c r="DD620" t="e">
        <f t="shared" si="240"/>
        <v>#N/A</v>
      </c>
      <c r="DE620" t="e">
        <f t="shared" si="241"/>
        <v>#N/A</v>
      </c>
      <c r="DG620" t="e">
        <v>#N/A</v>
      </c>
      <c r="DH620" t="e">
        <v>#N/A</v>
      </c>
    </row>
    <row r="621" spans="32:112">
      <c r="AF621">
        <v>611</v>
      </c>
      <c r="AG621" s="401">
        <f>'Lab test'!N614</f>
        <v>42.672000000000004</v>
      </c>
      <c r="AH621" s="401">
        <f>'Lab test'!M614</f>
        <v>5.0800000000000005E-2</v>
      </c>
      <c r="AI621">
        <f>IF('Lab test'!O614&gt;0,'Lab test'!O614,NA())</f>
        <v>206.95920000000001</v>
      </c>
      <c r="AJ621">
        <f>'Lab test'!Q614</f>
        <v>840</v>
      </c>
      <c r="AK621" s="401">
        <f>IF('Lab test'!V614&gt;0,'Lab test'!V614,NA())</f>
        <v>167768.53130386988</v>
      </c>
      <c r="AL621" s="7" t="e">
        <f>IF(MAX('Lab test'!W614,'Lab test'!X614)&gt;0,MAX('Lab test'!W614,'Lab test'!X614),NA())</f>
        <v>#N/A</v>
      </c>
      <c r="AM621" s="401">
        <f>IF('Lab test'!P614&gt;0,'Lab test'!P614,NA())</f>
        <v>0.16734089814052089</v>
      </c>
      <c r="AN621" s="401" t="e">
        <f>IF('Lab test'!AU614&gt;0,'Lab test'!AU614,NA())</f>
        <v>#N/A</v>
      </c>
      <c r="AO621" s="401">
        <f>IF('Lab test'!AT614&gt;0,'Lab test'!AT614,NA())</f>
        <v>0.60810810810810823</v>
      </c>
      <c r="AP621" t="e">
        <f t="shared" si="242"/>
        <v>#N/A</v>
      </c>
      <c r="AQ621" s="401">
        <f>'Lab test'!AZ614</f>
        <v>1968</v>
      </c>
      <c r="AR621" t="str">
        <f>'Lab test'!AC614</f>
        <v>Electroforming</v>
      </c>
      <c r="AS621" t="str">
        <f>'Lab test'!T614</f>
        <v>Nickel</v>
      </c>
      <c r="AX621" t="e">
        <f t="shared" si="227"/>
        <v>#N/A</v>
      </c>
      <c r="AY621" t="e">
        <f t="shared" si="221"/>
        <v>#N/A</v>
      </c>
      <c r="AZ621" t="e">
        <f t="shared" si="243"/>
        <v>#N/A</v>
      </c>
      <c r="BA621" t="e">
        <f t="shared" si="243"/>
        <v>#N/A</v>
      </c>
      <c r="BB621" t="e">
        <f t="shared" si="243"/>
        <v>#N/A</v>
      </c>
      <c r="BC621" t="e">
        <f t="shared" si="243"/>
        <v>#N/A</v>
      </c>
      <c r="BD621" t="e">
        <f t="shared" si="243"/>
        <v>#N/A</v>
      </c>
      <c r="BG621" t="e">
        <f t="shared" si="228"/>
        <v>#N/A</v>
      </c>
      <c r="BH621" t="e">
        <f t="shared" si="222"/>
        <v>#N/A</v>
      </c>
      <c r="BI621" t="e">
        <f t="shared" si="244"/>
        <v>#N/A</v>
      </c>
      <c r="BJ621" t="e">
        <f t="shared" si="244"/>
        <v>#N/A</v>
      </c>
      <c r="BK621" t="e">
        <f t="shared" si="244"/>
        <v>#N/A</v>
      </c>
      <c r="BL621" t="e">
        <f t="shared" si="244"/>
        <v>#N/A</v>
      </c>
      <c r="BM621" t="e">
        <f t="shared" si="244"/>
        <v>#N/A</v>
      </c>
      <c r="BP621" t="e">
        <f t="shared" si="229"/>
        <v>#N/A</v>
      </c>
      <c r="BQ621" t="e">
        <f t="shared" si="223"/>
        <v>#N/A</v>
      </c>
      <c r="BR621" t="e">
        <f t="shared" si="245"/>
        <v>#N/A</v>
      </c>
      <c r="BS621" t="e">
        <f t="shared" si="245"/>
        <v>#N/A</v>
      </c>
      <c r="BT621" t="e">
        <f t="shared" si="245"/>
        <v>#N/A</v>
      </c>
      <c r="BU621" t="e">
        <f t="shared" si="245"/>
        <v>#N/A</v>
      </c>
      <c r="BV621" t="e">
        <f t="shared" si="245"/>
        <v>#N/A</v>
      </c>
      <c r="BY621" t="e">
        <f t="shared" si="230"/>
        <v>#N/A</v>
      </c>
      <c r="BZ621" t="e">
        <v>#N/A</v>
      </c>
      <c r="CA621" t="e" cm="1">
        <f t="array" ref="CA621">IF(ISNUMBER(BZ621),AF621/COUNT(IF(ISNUMBER(_xlfn.ANCHORARRAY($BZ$11)),_xlfn.ANCHORARRAY($BZ$11))),NA())</f>
        <v>#N/A</v>
      </c>
      <c r="CB621" t="e">
        <f t="shared" si="231"/>
        <v>#N/A</v>
      </c>
      <c r="CD621" t="e">
        <f t="shared" si="232"/>
        <v>#N/A</v>
      </c>
      <c r="CE621" t="e">
        <f t="shared" si="233"/>
        <v>#N/A</v>
      </c>
      <c r="CG621" t="e">
        <v>#N/A</v>
      </c>
      <c r="CH621" t="e">
        <v>#N/A</v>
      </c>
      <c r="CL621" t="e">
        <f t="shared" si="234"/>
        <v>#N/A</v>
      </c>
      <c r="CM621" t="e">
        <v>#N/A</v>
      </c>
      <c r="CN621" t="e" cm="1">
        <f t="array" ref="CN621">IF(ISNUMBER(CM621),AF621/COUNT(IF(ISNUMBER(_xlfn.ANCHORARRAY($CM$11)),_xlfn.ANCHORARRAY($CM$11))),NA())</f>
        <v>#N/A</v>
      </c>
      <c r="CO621" t="e">
        <f t="shared" si="235"/>
        <v>#N/A</v>
      </c>
      <c r="CQ621" t="e">
        <f t="shared" si="236"/>
        <v>#N/A</v>
      </c>
      <c r="CR621" t="e">
        <f t="shared" si="237"/>
        <v>#N/A</v>
      </c>
      <c r="CT621" t="e">
        <v>#N/A</v>
      </c>
      <c r="CU621" t="e">
        <v>#N/A</v>
      </c>
      <c r="CY621" t="e">
        <f t="shared" si="238"/>
        <v>#N/A</v>
      </c>
      <c r="CZ621" t="e">
        <v>#N/A</v>
      </c>
      <c r="DA621" t="e" cm="1">
        <f t="array" ref="DA621">IF(ISNUMBER(CZ621),AF621/COUNT(IF(ISNUMBER(_xlfn.ANCHORARRAY($CZ$11)),_xlfn.ANCHORARRAY($CZ$11))),NA())</f>
        <v>#N/A</v>
      </c>
      <c r="DB621" t="e">
        <f t="shared" si="239"/>
        <v>#N/A</v>
      </c>
      <c r="DD621" t="e">
        <f t="shared" si="240"/>
        <v>#N/A</v>
      </c>
      <c r="DE621" t="e">
        <f t="shared" si="241"/>
        <v>#N/A</v>
      </c>
      <c r="DG621" t="e">
        <v>#N/A</v>
      </c>
      <c r="DH621" t="e">
        <v>#N/A</v>
      </c>
    </row>
    <row r="622" spans="32:112">
      <c r="AF622">
        <v>612</v>
      </c>
      <c r="AG622" s="401">
        <f>'Lab test'!N615</f>
        <v>42.532300000000006</v>
      </c>
      <c r="AH622" s="401">
        <f>'Lab test'!M615</f>
        <v>4.3180000000000003E-2</v>
      </c>
      <c r="AI622">
        <f>IF('Lab test'!O615&gt;0,'Lab test'!O615,NA())</f>
        <v>206.28165500000003</v>
      </c>
      <c r="AJ622">
        <f>'Lab test'!Q615</f>
        <v>985</v>
      </c>
      <c r="AK622" s="401">
        <f>IF('Lab test'!V615&gt;0,'Lab test'!V615,NA())</f>
        <v>109826.9633523884</v>
      </c>
      <c r="AL622" s="7" t="e">
        <f>IF(MAX('Lab test'!W615,'Lab test'!X615)&gt;0,MAX('Lab test'!W615,'Lab test'!X615),NA())</f>
        <v>#N/A</v>
      </c>
      <c r="AM622" s="401">
        <f>IF('Lab test'!P615&gt;0,'Lab test'!P615,NA())</f>
        <v>0.15453384956021277</v>
      </c>
      <c r="AN622" s="401" t="e">
        <f>IF('Lab test'!AU615&gt;0,'Lab test'!AU615,NA())</f>
        <v>#N/A</v>
      </c>
      <c r="AO622" s="401">
        <f>IF('Lab test'!AT615&gt;0,'Lab test'!AT615,NA())</f>
        <v>0.62857142857142845</v>
      </c>
      <c r="AP622" t="e">
        <f t="shared" si="242"/>
        <v>#N/A</v>
      </c>
      <c r="AQ622" s="401">
        <f>'Lab test'!AZ615</f>
        <v>1968</v>
      </c>
      <c r="AR622" t="str">
        <f>'Lab test'!AC615</f>
        <v>Electroforming</v>
      </c>
      <c r="AS622" t="str">
        <f>'Lab test'!T615</f>
        <v>Nickel</v>
      </c>
      <c r="AX622" t="e">
        <f t="shared" si="227"/>
        <v>#N/A</v>
      </c>
      <c r="AY622" t="e">
        <f t="shared" ref="AY622:AY680" si="246">IF(ISNUMBER($AJ622),IF(ISNUMBER($AP622),IF($AJ622&gt;AY$9,IF($AJ622&lt;=AY$10,IF($AR622=$AW$2,IF($AS622=$AW$6,$AK622,NA()),NA()),NA()),NA()),NA()),NA())</f>
        <v>#N/A</v>
      </c>
      <c r="AZ622" t="e">
        <f t="shared" si="243"/>
        <v>#N/A</v>
      </c>
      <c r="BA622" t="e">
        <f t="shared" si="243"/>
        <v>#N/A</v>
      </c>
      <c r="BB622" t="e">
        <f t="shared" si="243"/>
        <v>#N/A</v>
      </c>
      <c r="BC622" t="e">
        <f t="shared" si="243"/>
        <v>#N/A</v>
      </c>
      <c r="BD622" t="e">
        <f t="shared" si="243"/>
        <v>#N/A</v>
      </c>
      <c r="BG622" t="e">
        <f t="shared" si="228"/>
        <v>#N/A</v>
      </c>
      <c r="BH622" t="e">
        <f t="shared" ref="BH622:BH680" si="247">IF(ISNUMBER($AJ622),IF(ISNUMBER($AP622),IF($AJ622&gt;BH$9,IF($AJ622&lt;=BH$10,IF($AR622=$AW$2,IF($AS622=$BF$6,$AK622,NA()),NA()),NA()),NA()),NA()),NA())</f>
        <v>#N/A</v>
      </c>
      <c r="BI622" t="e">
        <f t="shared" si="244"/>
        <v>#N/A</v>
      </c>
      <c r="BJ622" t="e">
        <f t="shared" si="244"/>
        <v>#N/A</v>
      </c>
      <c r="BK622" t="e">
        <f t="shared" si="244"/>
        <v>#N/A</v>
      </c>
      <c r="BL622" t="e">
        <f t="shared" si="244"/>
        <v>#N/A</v>
      </c>
      <c r="BM622" t="e">
        <f t="shared" si="244"/>
        <v>#N/A</v>
      </c>
      <c r="BP622" t="e">
        <f t="shared" si="229"/>
        <v>#N/A</v>
      </c>
      <c r="BQ622" t="e">
        <f t="shared" ref="BQ622:BQ680" si="248">IF(ISNUMBER($AJ622),IF(ISNUMBER($AP622),IF($AJ622&gt;BQ$9,IF($AJ622&lt;=BQ$10,IF($AR622=$AW$2,IF($AS622=$BO$6,$AK622,NA()),NA()),NA()),NA()),NA()),NA())</f>
        <v>#N/A</v>
      </c>
      <c r="BR622" t="e">
        <f t="shared" si="245"/>
        <v>#N/A</v>
      </c>
      <c r="BS622" t="e">
        <f t="shared" si="245"/>
        <v>#N/A</v>
      </c>
      <c r="BT622" t="e">
        <f t="shared" si="245"/>
        <v>#N/A</v>
      </c>
      <c r="BU622" t="e">
        <f t="shared" si="245"/>
        <v>#N/A</v>
      </c>
      <c r="BV622" t="e">
        <f t="shared" si="245"/>
        <v>#N/A</v>
      </c>
      <c r="BY622" t="e">
        <f t="shared" si="230"/>
        <v>#N/A</v>
      </c>
      <c r="BZ622" t="e">
        <v>#N/A</v>
      </c>
      <c r="CA622" t="e" cm="1">
        <f t="array" ref="CA622">IF(ISNUMBER(BZ622),AF622/COUNT(IF(ISNUMBER(_xlfn.ANCHORARRAY($BZ$11)),_xlfn.ANCHORARRAY($BZ$11))),NA())</f>
        <v>#N/A</v>
      </c>
      <c r="CB622" t="e">
        <f t="shared" si="231"/>
        <v>#N/A</v>
      </c>
      <c r="CD622" t="e">
        <f t="shared" si="232"/>
        <v>#N/A</v>
      </c>
      <c r="CE622" t="e">
        <f t="shared" si="233"/>
        <v>#N/A</v>
      </c>
      <c r="CG622" t="e">
        <v>#N/A</v>
      </c>
      <c r="CH622" t="e">
        <v>#N/A</v>
      </c>
      <c r="CL622" t="e">
        <f t="shared" si="234"/>
        <v>#N/A</v>
      </c>
      <c r="CM622" t="e">
        <v>#N/A</v>
      </c>
      <c r="CN622" t="e" cm="1">
        <f t="array" ref="CN622">IF(ISNUMBER(CM622),AF622/COUNT(IF(ISNUMBER(_xlfn.ANCHORARRAY($CM$11)),_xlfn.ANCHORARRAY($CM$11))),NA())</f>
        <v>#N/A</v>
      </c>
      <c r="CO622" t="e">
        <f t="shared" si="235"/>
        <v>#N/A</v>
      </c>
      <c r="CQ622" t="e">
        <f t="shared" si="236"/>
        <v>#N/A</v>
      </c>
      <c r="CR622" t="e">
        <f t="shared" si="237"/>
        <v>#N/A</v>
      </c>
      <c r="CT622" t="e">
        <v>#N/A</v>
      </c>
      <c r="CU622" t="e">
        <v>#N/A</v>
      </c>
      <c r="CY622" t="e">
        <f t="shared" si="238"/>
        <v>#N/A</v>
      </c>
      <c r="CZ622" t="e">
        <v>#N/A</v>
      </c>
      <c r="DA622" t="e" cm="1">
        <f t="array" ref="DA622">IF(ISNUMBER(CZ622),AF622/COUNT(IF(ISNUMBER(_xlfn.ANCHORARRAY($CZ$11)),_xlfn.ANCHORARRAY($CZ$11))),NA())</f>
        <v>#N/A</v>
      </c>
      <c r="DB622" t="e">
        <f t="shared" si="239"/>
        <v>#N/A</v>
      </c>
      <c r="DD622" t="e">
        <f t="shared" si="240"/>
        <v>#N/A</v>
      </c>
      <c r="DE622" t="e">
        <f t="shared" si="241"/>
        <v>#N/A</v>
      </c>
      <c r="DG622" t="e">
        <v>#N/A</v>
      </c>
      <c r="DH622" t="e">
        <v>#N/A</v>
      </c>
    </row>
    <row r="623" spans="32:112">
      <c r="AF623">
        <v>613</v>
      </c>
      <c r="AG623" s="401">
        <f>'Lab test'!N616</f>
        <v>42.545000000000002</v>
      </c>
      <c r="AH623" s="401">
        <f>'Lab test'!M616</f>
        <v>6.3500000000000001E-2</v>
      </c>
      <c r="AI623">
        <f>IF('Lab test'!O616&gt;0,'Lab test'!O616,NA())</f>
        <v>206.34324999999998</v>
      </c>
      <c r="AJ623">
        <f>'Lab test'!Q616</f>
        <v>670</v>
      </c>
      <c r="AK623" s="401" t="e">
        <f>IF('Lab test'!V616&gt;0,'Lab test'!V616,NA())</f>
        <v>#N/A</v>
      </c>
      <c r="AL623" s="7" t="e">
        <f>IF(MAX('Lab test'!W616,'Lab test'!X616)&gt;0,MAX('Lab test'!W616,'Lab test'!X616),NA())</f>
        <v>#N/A</v>
      </c>
      <c r="AM623" s="401">
        <f>IF('Lab test'!P616&gt;0,'Lab test'!P616,NA())</f>
        <v>0.18737184675191701</v>
      </c>
      <c r="AN623" s="401" t="e">
        <f>IF('Lab test'!AU616&gt;0,'Lab test'!AU616,NA())</f>
        <v>#N/A</v>
      </c>
      <c r="AO623" s="401" t="e">
        <f>IF('Lab test'!AT616&gt;0,'Lab test'!AT616,NA())</f>
        <v>#N/A</v>
      </c>
      <c r="AP623" t="e">
        <f t="shared" si="242"/>
        <v>#N/A</v>
      </c>
      <c r="AQ623" s="401">
        <f>'Lab test'!AZ616</f>
        <v>1968</v>
      </c>
      <c r="AR623" t="str">
        <f>'Lab test'!AC616</f>
        <v>Electroforming</v>
      </c>
      <c r="AS623" t="str">
        <f>'Lab test'!T616</f>
        <v>Nickel</v>
      </c>
      <c r="AX623" t="e">
        <f t="shared" si="227"/>
        <v>#N/A</v>
      </c>
      <c r="AY623" t="e">
        <f t="shared" si="246"/>
        <v>#N/A</v>
      </c>
      <c r="AZ623" t="e">
        <f t="shared" si="243"/>
        <v>#N/A</v>
      </c>
      <c r="BA623" t="e">
        <f t="shared" si="243"/>
        <v>#N/A</v>
      </c>
      <c r="BB623" t="e">
        <f t="shared" si="243"/>
        <v>#N/A</v>
      </c>
      <c r="BC623" t="e">
        <f t="shared" si="243"/>
        <v>#N/A</v>
      </c>
      <c r="BD623" t="e">
        <f t="shared" si="243"/>
        <v>#N/A</v>
      </c>
      <c r="BG623" t="e">
        <f t="shared" si="228"/>
        <v>#N/A</v>
      </c>
      <c r="BH623" t="e">
        <f t="shared" si="247"/>
        <v>#N/A</v>
      </c>
      <c r="BI623" t="e">
        <f t="shared" si="244"/>
        <v>#N/A</v>
      </c>
      <c r="BJ623" t="e">
        <f t="shared" si="244"/>
        <v>#N/A</v>
      </c>
      <c r="BK623" t="e">
        <f t="shared" si="244"/>
        <v>#N/A</v>
      </c>
      <c r="BL623" t="e">
        <f t="shared" si="244"/>
        <v>#N/A</v>
      </c>
      <c r="BM623" t="e">
        <f t="shared" si="244"/>
        <v>#N/A</v>
      </c>
      <c r="BP623" t="e">
        <f t="shared" si="229"/>
        <v>#N/A</v>
      </c>
      <c r="BQ623" t="e">
        <f t="shared" si="248"/>
        <v>#N/A</v>
      </c>
      <c r="BR623" t="e">
        <f t="shared" si="245"/>
        <v>#N/A</v>
      </c>
      <c r="BS623" t="e">
        <f t="shared" si="245"/>
        <v>#N/A</v>
      </c>
      <c r="BT623" t="e">
        <f t="shared" si="245"/>
        <v>#N/A</v>
      </c>
      <c r="BU623" t="e">
        <f t="shared" si="245"/>
        <v>#N/A</v>
      </c>
      <c r="BV623" t="e">
        <f t="shared" si="245"/>
        <v>#N/A</v>
      </c>
      <c r="BY623" t="e">
        <f t="shared" si="230"/>
        <v>#N/A</v>
      </c>
      <c r="BZ623" t="e">
        <v>#N/A</v>
      </c>
      <c r="CA623" t="e" cm="1">
        <f t="array" ref="CA623">IF(ISNUMBER(BZ623),AF623/COUNT(IF(ISNUMBER(_xlfn.ANCHORARRAY($BZ$11)),_xlfn.ANCHORARRAY($BZ$11))),NA())</f>
        <v>#N/A</v>
      </c>
      <c r="CB623" t="e">
        <f t="shared" si="231"/>
        <v>#N/A</v>
      </c>
      <c r="CD623" t="e">
        <f t="shared" si="232"/>
        <v>#N/A</v>
      </c>
      <c r="CE623" t="e">
        <f t="shared" si="233"/>
        <v>#N/A</v>
      </c>
      <c r="CG623" t="e">
        <v>#N/A</v>
      </c>
      <c r="CH623" t="e">
        <v>#N/A</v>
      </c>
      <c r="CL623" t="e">
        <f t="shared" si="234"/>
        <v>#N/A</v>
      </c>
      <c r="CM623" t="e">
        <v>#N/A</v>
      </c>
      <c r="CN623" t="e" cm="1">
        <f t="array" ref="CN623">IF(ISNUMBER(CM623),AF623/COUNT(IF(ISNUMBER(_xlfn.ANCHORARRAY($CM$11)),_xlfn.ANCHORARRAY($CM$11))),NA())</f>
        <v>#N/A</v>
      </c>
      <c r="CO623" t="e">
        <f t="shared" si="235"/>
        <v>#N/A</v>
      </c>
      <c r="CQ623" t="e">
        <f t="shared" si="236"/>
        <v>#N/A</v>
      </c>
      <c r="CR623" t="e">
        <f t="shared" si="237"/>
        <v>#N/A</v>
      </c>
      <c r="CT623" t="e">
        <v>#N/A</v>
      </c>
      <c r="CU623" t="e">
        <v>#N/A</v>
      </c>
      <c r="CY623" t="e">
        <f t="shared" si="238"/>
        <v>#N/A</v>
      </c>
      <c r="CZ623" t="e">
        <v>#N/A</v>
      </c>
      <c r="DA623" t="e" cm="1">
        <f t="array" ref="DA623">IF(ISNUMBER(CZ623),AF623/COUNT(IF(ISNUMBER(_xlfn.ANCHORARRAY($CZ$11)),_xlfn.ANCHORARRAY($CZ$11))),NA())</f>
        <v>#N/A</v>
      </c>
      <c r="DB623" t="e">
        <f t="shared" si="239"/>
        <v>#N/A</v>
      </c>
      <c r="DD623" t="e">
        <f t="shared" si="240"/>
        <v>#N/A</v>
      </c>
      <c r="DE623" t="e">
        <f t="shared" si="241"/>
        <v>#N/A</v>
      </c>
      <c r="DG623" t="e">
        <v>#N/A</v>
      </c>
      <c r="DH623" t="e">
        <v>#N/A</v>
      </c>
    </row>
    <row r="624" spans="32:112">
      <c r="AF624">
        <v>614</v>
      </c>
      <c r="AG624" s="401">
        <f>'Lab test'!N617</f>
        <v>381.31623000000002</v>
      </c>
      <c r="AH624" s="401">
        <f>'Lab test'!M617</f>
        <v>0.63246000000000002</v>
      </c>
      <c r="AI624">
        <f>IF('Lab test'!O617&gt;0,'Lab test'!O617,NA())</f>
        <v>812.8</v>
      </c>
      <c r="AJ624">
        <f>'Lab test'!Q617</f>
        <v>602.90963855421683</v>
      </c>
      <c r="AK624" s="401">
        <f>IF('Lab test'!V617&gt;0,'Lab test'!V617,NA())</f>
        <v>86156.987040465028</v>
      </c>
      <c r="AL624" s="7" t="e">
        <f>IF(MAX('Lab test'!W617,'Lab test'!X617)&gt;0,MAX('Lab test'!W617,'Lab test'!X617),NA())</f>
        <v>#N/A</v>
      </c>
      <c r="AM624" s="401">
        <f>IF('Lab test'!P617&gt;0,'Lab test'!P617,NA())</f>
        <v>8.6810506655749353E-2</v>
      </c>
      <c r="AN624" s="401" t="e">
        <f>IF('Lab test'!AU617&gt;0,'Lab test'!AU617,NA())</f>
        <v>#N/A</v>
      </c>
      <c r="AO624" s="401">
        <f>IF('Lab test'!AT617&gt;0,'Lab test'!AT617,NA())</f>
        <v>0.31987969738637678</v>
      </c>
      <c r="AP624" t="e">
        <f t="shared" si="242"/>
        <v>#N/A</v>
      </c>
      <c r="AQ624" s="401">
        <f>'Lab test'!AZ617</f>
        <v>1951</v>
      </c>
      <c r="AR624" t="str">
        <f>'Lab test'!AC617</f>
        <v>LTWb</v>
      </c>
      <c r="AS624" t="str">
        <f>'Lab test'!T617</f>
        <v>Aluminium</v>
      </c>
      <c r="AX624" t="e">
        <f t="shared" si="227"/>
        <v>#N/A</v>
      </c>
      <c r="AY624" t="e">
        <f t="shared" si="246"/>
        <v>#N/A</v>
      </c>
      <c r="AZ624" t="e">
        <f t="shared" si="243"/>
        <v>#N/A</v>
      </c>
      <c r="BA624" t="e">
        <f t="shared" si="243"/>
        <v>#N/A</v>
      </c>
      <c r="BB624" t="e">
        <f t="shared" si="243"/>
        <v>#N/A</v>
      </c>
      <c r="BC624" t="e">
        <f t="shared" si="243"/>
        <v>#N/A</v>
      </c>
      <c r="BD624" t="e">
        <f t="shared" si="243"/>
        <v>#N/A</v>
      </c>
      <c r="BG624" t="e">
        <f t="shared" si="228"/>
        <v>#N/A</v>
      </c>
      <c r="BH624" t="e">
        <f t="shared" si="247"/>
        <v>#N/A</v>
      </c>
      <c r="BI624" t="e">
        <f t="shared" si="244"/>
        <v>#N/A</v>
      </c>
      <c r="BJ624" t="e">
        <f t="shared" si="244"/>
        <v>#N/A</v>
      </c>
      <c r="BK624" t="e">
        <f t="shared" si="244"/>
        <v>#N/A</v>
      </c>
      <c r="BL624" t="e">
        <f t="shared" si="244"/>
        <v>#N/A</v>
      </c>
      <c r="BM624" t="e">
        <f t="shared" si="244"/>
        <v>#N/A</v>
      </c>
      <c r="BP624" t="e">
        <f t="shared" si="229"/>
        <v>#N/A</v>
      </c>
      <c r="BQ624" t="e">
        <f t="shared" si="248"/>
        <v>#N/A</v>
      </c>
      <c r="BR624" t="e">
        <f t="shared" si="245"/>
        <v>#N/A</v>
      </c>
      <c r="BS624" t="e">
        <f t="shared" si="245"/>
        <v>#N/A</v>
      </c>
      <c r="BT624" t="e">
        <f t="shared" si="245"/>
        <v>#N/A</v>
      </c>
      <c r="BU624" t="e">
        <f t="shared" si="245"/>
        <v>#N/A</v>
      </c>
      <c r="BV624" t="e">
        <f t="shared" si="245"/>
        <v>#N/A</v>
      </c>
      <c r="BY624" t="e">
        <f t="shared" si="230"/>
        <v>#N/A</v>
      </c>
      <c r="BZ624" t="e">
        <v>#N/A</v>
      </c>
      <c r="CA624" t="e" cm="1">
        <f t="array" ref="CA624">IF(ISNUMBER(BZ624),AF624/COUNT(IF(ISNUMBER(_xlfn.ANCHORARRAY($BZ$11)),_xlfn.ANCHORARRAY($BZ$11))),NA())</f>
        <v>#N/A</v>
      </c>
      <c r="CB624" t="e">
        <f t="shared" si="231"/>
        <v>#N/A</v>
      </c>
      <c r="CD624" t="e">
        <f t="shared" si="232"/>
        <v>#N/A</v>
      </c>
      <c r="CE624" t="e">
        <f t="shared" si="233"/>
        <v>#N/A</v>
      </c>
      <c r="CG624" t="e">
        <v>#N/A</v>
      </c>
      <c r="CH624" t="e">
        <v>#N/A</v>
      </c>
      <c r="CL624" t="e">
        <f t="shared" si="234"/>
        <v>#N/A</v>
      </c>
      <c r="CM624" t="e">
        <v>#N/A</v>
      </c>
      <c r="CN624" t="e" cm="1">
        <f t="array" ref="CN624">IF(ISNUMBER(CM624),AF624/COUNT(IF(ISNUMBER(_xlfn.ANCHORARRAY($CM$11)),_xlfn.ANCHORARRAY($CM$11))),NA())</f>
        <v>#N/A</v>
      </c>
      <c r="CO624" t="e">
        <f t="shared" si="235"/>
        <v>#N/A</v>
      </c>
      <c r="CQ624" t="e">
        <f t="shared" si="236"/>
        <v>#N/A</v>
      </c>
      <c r="CR624" t="e">
        <f t="shared" si="237"/>
        <v>#N/A</v>
      </c>
      <c r="CT624" t="e">
        <v>#N/A</v>
      </c>
      <c r="CU624" t="e">
        <v>#N/A</v>
      </c>
      <c r="CY624" t="e">
        <f t="shared" si="238"/>
        <v>#N/A</v>
      </c>
      <c r="CZ624" t="e">
        <v>#N/A</v>
      </c>
      <c r="DA624" t="e" cm="1">
        <f t="array" ref="DA624">IF(ISNUMBER(CZ624),AF624/COUNT(IF(ISNUMBER(_xlfn.ANCHORARRAY($CZ$11)),_xlfn.ANCHORARRAY($CZ$11))),NA())</f>
        <v>#N/A</v>
      </c>
      <c r="DB624" t="e">
        <f t="shared" si="239"/>
        <v>#N/A</v>
      </c>
      <c r="DD624" t="e">
        <f t="shared" si="240"/>
        <v>#N/A</v>
      </c>
      <c r="DE624" t="e">
        <f t="shared" si="241"/>
        <v>#N/A</v>
      </c>
      <c r="DG624" t="e">
        <v>#N/A</v>
      </c>
      <c r="DH624" t="e">
        <v>#N/A</v>
      </c>
    </row>
    <row r="625" spans="32:112">
      <c r="AF625">
        <v>615</v>
      </c>
      <c r="AG625" s="401">
        <f>'Lab test'!N618</f>
        <v>222.25</v>
      </c>
      <c r="AH625" s="401">
        <f>'Lab test'!M618</f>
        <v>0.127</v>
      </c>
      <c r="AI625">
        <f>IF('Lab test'!O618&gt;0,'Lab test'!O618,NA())</f>
        <v>546.1</v>
      </c>
      <c r="AJ625">
        <f>'Lab test'!Q618</f>
        <v>1750</v>
      </c>
      <c r="AK625" s="401">
        <f>IF('Lab test'!V618&gt;0,'Lab test'!V618,NA())</f>
        <v>72394.951578267792</v>
      </c>
      <c r="AL625" s="7" t="e">
        <f>IF(MAX('Lab test'!W618,'Lab test'!X618)&gt;0,MAX('Lab test'!W618,'Lab test'!X618),NA())</f>
        <v>#N/A</v>
      </c>
      <c r="AM625" s="401">
        <f>IF('Lab test'!P618&gt;0,'Lab test'!P618,NA())</f>
        <v>5.8736948801575921E-2</v>
      </c>
      <c r="AN625" s="401" t="e">
        <f>IF('Lab test'!AU618&gt;0,'Lab test'!AU618,NA())</f>
        <v>#N/A</v>
      </c>
      <c r="AO625" s="401">
        <f>IF('Lab test'!AT618&gt;0,'Lab test'!AT618,NA())</f>
        <v>0.2354486408964809</v>
      </c>
      <c r="AP625" t="e">
        <f t="shared" si="242"/>
        <v>#N/A</v>
      </c>
      <c r="AQ625" s="401">
        <f>'Lab test'!AZ618</f>
        <v>1957</v>
      </c>
      <c r="AR625" t="str">
        <f>'Lab test'!AC618</f>
        <v>LTWb</v>
      </c>
      <c r="AS625" t="str">
        <f>'Lab test'!T618</f>
        <v>Aluminium</v>
      </c>
      <c r="AX625" t="e">
        <f t="shared" si="227"/>
        <v>#N/A</v>
      </c>
      <c r="AY625" t="e">
        <f t="shared" si="246"/>
        <v>#N/A</v>
      </c>
      <c r="AZ625" t="e">
        <f t="shared" si="243"/>
        <v>#N/A</v>
      </c>
      <c r="BA625" t="e">
        <f t="shared" si="243"/>
        <v>#N/A</v>
      </c>
      <c r="BB625" t="e">
        <f t="shared" si="243"/>
        <v>#N/A</v>
      </c>
      <c r="BC625" t="e">
        <f t="shared" si="243"/>
        <v>#N/A</v>
      </c>
      <c r="BD625" t="e">
        <f t="shared" si="243"/>
        <v>#N/A</v>
      </c>
      <c r="BG625" t="e">
        <f t="shared" si="228"/>
        <v>#N/A</v>
      </c>
      <c r="BH625" t="e">
        <f t="shared" si="247"/>
        <v>#N/A</v>
      </c>
      <c r="BI625" t="e">
        <f t="shared" si="244"/>
        <v>#N/A</v>
      </c>
      <c r="BJ625" t="e">
        <f t="shared" si="244"/>
        <v>#N/A</v>
      </c>
      <c r="BK625" t="e">
        <f t="shared" si="244"/>
        <v>#N/A</v>
      </c>
      <c r="BL625" t="e">
        <f t="shared" si="244"/>
        <v>#N/A</v>
      </c>
      <c r="BM625" t="e">
        <f t="shared" si="244"/>
        <v>#N/A</v>
      </c>
      <c r="BP625" t="e">
        <f t="shared" si="229"/>
        <v>#N/A</v>
      </c>
      <c r="BQ625" t="e">
        <f t="shared" si="248"/>
        <v>#N/A</v>
      </c>
      <c r="BR625" t="e">
        <f t="shared" si="245"/>
        <v>#N/A</v>
      </c>
      <c r="BS625" t="e">
        <f t="shared" si="245"/>
        <v>#N/A</v>
      </c>
      <c r="BT625" t="e">
        <f t="shared" si="245"/>
        <v>#N/A</v>
      </c>
      <c r="BU625" t="e">
        <f t="shared" si="245"/>
        <v>#N/A</v>
      </c>
      <c r="BV625" t="e">
        <f t="shared" si="245"/>
        <v>#N/A</v>
      </c>
      <c r="BY625" t="e">
        <f t="shared" si="230"/>
        <v>#N/A</v>
      </c>
      <c r="BZ625" t="e">
        <v>#N/A</v>
      </c>
      <c r="CA625" t="e" cm="1">
        <f t="array" ref="CA625">IF(ISNUMBER(BZ625),AF625/COUNT(IF(ISNUMBER(_xlfn.ANCHORARRAY($BZ$11)),_xlfn.ANCHORARRAY($BZ$11))),NA())</f>
        <v>#N/A</v>
      </c>
      <c r="CB625" t="e">
        <f t="shared" si="231"/>
        <v>#N/A</v>
      </c>
      <c r="CD625" t="e">
        <f t="shared" si="232"/>
        <v>#N/A</v>
      </c>
      <c r="CE625" t="e">
        <f t="shared" si="233"/>
        <v>#N/A</v>
      </c>
      <c r="CG625" t="e">
        <v>#N/A</v>
      </c>
      <c r="CH625" t="e">
        <v>#N/A</v>
      </c>
      <c r="CL625" t="e">
        <f t="shared" si="234"/>
        <v>#N/A</v>
      </c>
      <c r="CM625" t="e">
        <v>#N/A</v>
      </c>
      <c r="CN625" t="e" cm="1">
        <f t="array" ref="CN625">IF(ISNUMBER(CM625),AF625/COUNT(IF(ISNUMBER(_xlfn.ANCHORARRAY($CM$11)),_xlfn.ANCHORARRAY($CM$11))),NA())</f>
        <v>#N/A</v>
      </c>
      <c r="CO625" t="e">
        <f t="shared" si="235"/>
        <v>#N/A</v>
      </c>
      <c r="CQ625" t="e">
        <f t="shared" si="236"/>
        <v>#N/A</v>
      </c>
      <c r="CR625" t="e">
        <f t="shared" si="237"/>
        <v>#N/A</v>
      </c>
      <c r="CT625" t="e">
        <v>#N/A</v>
      </c>
      <c r="CU625" t="e">
        <v>#N/A</v>
      </c>
      <c r="CY625" t="e">
        <f t="shared" si="238"/>
        <v>#N/A</v>
      </c>
      <c r="CZ625" t="e">
        <v>#N/A</v>
      </c>
      <c r="DA625" t="e" cm="1">
        <f t="array" ref="DA625">IF(ISNUMBER(CZ625),AF625/COUNT(IF(ISNUMBER(_xlfn.ANCHORARRAY($CZ$11)),_xlfn.ANCHORARRAY($CZ$11))),NA())</f>
        <v>#N/A</v>
      </c>
      <c r="DB625" t="e">
        <f t="shared" si="239"/>
        <v>#N/A</v>
      </c>
      <c r="DD625" t="e">
        <f t="shared" si="240"/>
        <v>#N/A</v>
      </c>
      <c r="DE625" t="e">
        <f t="shared" si="241"/>
        <v>#N/A</v>
      </c>
      <c r="DG625" t="e">
        <v>#N/A</v>
      </c>
      <c r="DH625" t="e">
        <v>#N/A</v>
      </c>
    </row>
    <row r="626" spans="32:112">
      <c r="AF626">
        <v>616</v>
      </c>
      <c r="AG626" s="401">
        <f>'Lab test'!N619</f>
        <v>222.25</v>
      </c>
      <c r="AH626" s="401">
        <f>'Lab test'!M619</f>
        <v>0.127</v>
      </c>
      <c r="AI626">
        <f>IF('Lab test'!O619&gt;0,'Lab test'!O619,NA())</f>
        <v>546.1</v>
      </c>
      <c r="AJ626">
        <f>'Lab test'!Q619</f>
        <v>1750</v>
      </c>
      <c r="AK626" s="401">
        <f>IF('Lab test'!V619&gt;0,'Lab test'!V619,NA())</f>
        <v>72394.951578267792</v>
      </c>
      <c r="AL626" s="7" t="e">
        <f>IF(MAX('Lab test'!W619,'Lab test'!X619)&gt;0,MAX('Lab test'!W619,'Lab test'!X619),NA())</f>
        <v>#N/A</v>
      </c>
      <c r="AM626" s="401">
        <f>IF('Lab test'!P619&gt;0,'Lab test'!P619,NA())</f>
        <v>5.8736948801575921E-2</v>
      </c>
      <c r="AN626" s="401" t="e">
        <f>IF('Lab test'!AU619&gt;0,'Lab test'!AU619,NA())</f>
        <v>#N/A</v>
      </c>
      <c r="AO626" s="401">
        <f>IF('Lab test'!AT619&gt;0,'Lab test'!AT619,NA())</f>
        <v>0.22525963538400162</v>
      </c>
      <c r="AP626" t="e">
        <f t="shared" si="242"/>
        <v>#N/A</v>
      </c>
      <c r="AQ626" s="401">
        <f>'Lab test'!AZ619</f>
        <v>1957</v>
      </c>
      <c r="AR626" t="str">
        <f>'Lab test'!AC619</f>
        <v>LTWb</v>
      </c>
      <c r="AS626" t="str">
        <f>'Lab test'!T619</f>
        <v>Aluminium</v>
      </c>
      <c r="AX626" t="e">
        <f t="shared" si="227"/>
        <v>#N/A</v>
      </c>
      <c r="AY626" t="e">
        <f t="shared" si="246"/>
        <v>#N/A</v>
      </c>
      <c r="AZ626" t="e">
        <f t="shared" si="243"/>
        <v>#N/A</v>
      </c>
      <c r="BA626" t="e">
        <f t="shared" si="243"/>
        <v>#N/A</v>
      </c>
      <c r="BB626" t="e">
        <f t="shared" si="243"/>
        <v>#N/A</v>
      </c>
      <c r="BC626" t="e">
        <f t="shared" si="243"/>
        <v>#N/A</v>
      </c>
      <c r="BD626" t="e">
        <f t="shared" si="243"/>
        <v>#N/A</v>
      </c>
      <c r="BG626" t="e">
        <f t="shared" si="228"/>
        <v>#N/A</v>
      </c>
      <c r="BH626" t="e">
        <f t="shared" si="247"/>
        <v>#N/A</v>
      </c>
      <c r="BI626" t="e">
        <f t="shared" si="244"/>
        <v>#N/A</v>
      </c>
      <c r="BJ626" t="e">
        <f t="shared" si="244"/>
        <v>#N/A</v>
      </c>
      <c r="BK626" t="e">
        <f t="shared" si="244"/>
        <v>#N/A</v>
      </c>
      <c r="BL626" t="e">
        <f t="shared" si="244"/>
        <v>#N/A</v>
      </c>
      <c r="BM626" t="e">
        <f t="shared" si="244"/>
        <v>#N/A</v>
      </c>
      <c r="BP626" t="e">
        <f t="shared" si="229"/>
        <v>#N/A</v>
      </c>
      <c r="BQ626" t="e">
        <f t="shared" si="248"/>
        <v>#N/A</v>
      </c>
      <c r="BR626" t="e">
        <f t="shared" si="245"/>
        <v>#N/A</v>
      </c>
      <c r="BS626" t="e">
        <f t="shared" si="245"/>
        <v>#N/A</v>
      </c>
      <c r="BT626" t="e">
        <f t="shared" si="245"/>
        <v>#N/A</v>
      </c>
      <c r="BU626" t="e">
        <f t="shared" si="245"/>
        <v>#N/A</v>
      </c>
      <c r="BV626" t="e">
        <f t="shared" si="245"/>
        <v>#N/A</v>
      </c>
      <c r="BY626" t="e">
        <f t="shared" si="230"/>
        <v>#N/A</v>
      </c>
      <c r="BZ626" t="e">
        <v>#N/A</v>
      </c>
      <c r="CA626" t="e" cm="1">
        <f t="array" ref="CA626">IF(ISNUMBER(BZ626),AF626/COUNT(IF(ISNUMBER(_xlfn.ANCHORARRAY($BZ$11)),_xlfn.ANCHORARRAY($BZ$11))),NA())</f>
        <v>#N/A</v>
      </c>
      <c r="CB626" t="e">
        <f t="shared" si="231"/>
        <v>#N/A</v>
      </c>
      <c r="CD626" t="e">
        <f t="shared" si="232"/>
        <v>#N/A</v>
      </c>
      <c r="CE626" t="e">
        <f t="shared" si="233"/>
        <v>#N/A</v>
      </c>
      <c r="CG626" t="e">
        <v>#N/A</v>
      </c>
      <c r="CH626" t="e">
        <v>#N/A</v>
      </c>
      <c r="CL626" t="e">
        <f t="shared" si="234"/>
        <v>#N/A</v>
      </c>
      <c r="CM626" t="e">
        <v>#N/A</v>
      </c>
      <c r="CN626" t="e" cm="1">
        <f t="array" ref="CN626">IF(ISNUMBER(CM626),AF626/COUNT(IF(ISNUMBER(_xlfn.ANCHORARRAY($CM$11)),_xlfn.ANCHORARRAY($CM$11))),NA())</f>
        <v>#N/A</v>
      </c>
      <c r="CO626" t="e">
        <f t="shared" si="235"/>
        <v>#N/A</v>
      </c>
      <c r="CQ626" t="e">
        <f t="shared" si="236"/>
        <v>#N/A</v>
      </c>
      <c r="CR626" t="e">
        <f t="shared" si="237"/>
        <v>#N/A</v>
      </c>
      <c r="CT626" t="e">
        <v>#N/A</v>
      </c>
      <c r="CU626" t="e">
        <v>#N/A</v>
      </c>
      <c r="CY626" t="e">
        <f t="shared" si="238"/>
        <v>#N/A</v>
      </c>
      <c r="CZ626" t="e">
        <v>#N/A</v>
      </c>
      <c r="DA626" t="e" cm="1">
        <f t="array" ref="DA626">IF(ISNUMBER(CZ626),AF626/COUNT(IF(ISNUMBER(_xlfn.ANCHORARRAY($CZ$11)),_xlfn.ANCHORARRAY($CZ$11))),NA())</f>
        <v>#N/A</v>
      </c>
      <c r="DB626" t="e">
        <f t="shared" si="239"/>
        <v>#N/A</v>
      </c>
      <c r="DD626" t="e">
        <f t="shared" si="240"/>
        <v>#N/A</v>
      </c>
      <c r="DE626" t="e">
        <f t="shared" si="241"/>
        <v>#N/A</v>
      </c>
      <c r="DG626" t="e">
        <v>#N/A</v>
      </c>
      <c r="DH626" t="e">
        <v>#N/A</v>
      </c>
    </row>
    <row r="627" spans="32:112">
      <c r="AF627">
        <v>617</v>
      </c>
      <c r="AG627" s="401">
        <f>'Lab test'!N620</f>
        <v>222.25</v>
      </c>
      <c r="AH627" s="401">
        <f>'Lab test'!M620</f>
        <v>0.22097999999999998</v>
      </c>
      <c r="AI627">
        <f>IF('Lab test'!O620&gt;0,'Lab test'!O620,NA())</f>
        <v>546.1</v>
      </c>
      <c r="AJ627">
        <f>'Lab test'!Q620</f>
        <v>1005.7471264367817</v>
      </c>
      <c r="AK627" s="401">
        <f>IF('Lab test'!V620&gt;0,'Lab test'!V620,NA())</f>
        <v>186158.44691554576</v>
      </c>
      <c r="AL627" s="7" t="e">
        <f>IF(MAX('Lab test'!W620,'Lab test'!X620)&gt;0,MAX('Lab test'!W620,'Lab test'!X620),NA())</f>
        <v>#N/A</v>
      </c>
      <c r="AM627" s="401">
        <f>IF('Lab test'!P620&gt;0,'Lab test'!P620,NA())</f>
        <v>7.7479356791747916E-2</v>
      </c>
      <c r="AN627" s="401" t="e">
        <f>IF('Lab test'!AU620&gt;0,'Lab test'!AU620,NA())</f>
        <v>#N/A</v>
      </c>
      <c r="AO627" s="401">
        <f>IF('Lab test'!AT620&gt;0,'Lab test'!AT620,NA())</f>
        <v>0.35758763435205265</v>
      </c>
      <c r="AP627" t="e">
        <f t="shared" si="242"/>
        <v>#N/A</v>
      </c>
      <c r="AQ627" s="401">
        <f>'Lab test'!AZ620</f>
        <v>1957</v>
      </c>
      <c r="AR627" t="str">
        <f>'Lab test'!AC620</f>
        <v>LTWb</v>
      </c>
      <c r="AS627" t="str">
        <f>'Lab test'!T620</f>
        <v>Steel</v>
      </c>
      <c r="AX627" t="e">
        <f t="shared" si="227"/>
        <v>#N/A</v>
      </c>
      <c r="AY627" t="e">
        <f t="shared" si="246"/>
        <v>#N/A</v>
      </c>
      <c r="AZ627" t="e">
        <f t="shared" si="243"/>
        <v>#N/A</v>
      </c>
      <c r="BA627" t="e">
        <f t="shared" si="243"/>
        <v>#N/A</v>
      </c>
      <c r="BB627" t="e">
        <f t="shared" si="243"/>
        <v>#N/A</v>
      </c>
      <c r="BC627" t="e">
        <f t="shared" si="243"/>
        <v>#N/A</v>
      </c>
      <c r="BD627" t="e">
        <f t="shared" si="243"/>
        <v>#N/A</v>
      </c>
      <c r="BG627" t="e">
        <f t="shared" si="228"/>
        <v>#N/A</v>
      </c>
      <c r="BH627" t="e">
        <f t="shared" si="247"/>
        <v>#N/A</v>
      </c>
      <c r="BI627" t="e">
        <f t="shared" si="244"/>
        <v>#N/A</v>
      </c>
      <c r="BJ627" t="e">
        <f t="shared" si="244"/>
        <v>#N/A</v>
      </c>
      <c r="BK627" t="e">
        <f t="shared" si="244"/>
        <v>#N/A</v>
      </c>
      <c r="BL627" t="e">
        <f t="shared" si="244"/>
        <v>#N/A</v>
      </c>
      <c r="BM627" t="e">
        <f t="shared" si="244"/>
        <v>#N/A</v>
      </c>
      <c r="BP627" t="e">
        <f t="shared" si="229"/>
        <v>#N/A</v>
      </c>
      <c r="BQ627" t="e">
        <f t="shared" si="248"/>
        <v>#N/A</v>
      </c>
      <c r="BR627" t="e">
        <f t="shared" si="245"/>
        <v>#N/A</v>
      </c>
      <c r="BS627" t="e">
        <f t="shared" si="245"/>
        <v>#N/A</v>
      </c>
      <c r="BT627" t="e">
        <f t="shared" si="245"/>
        <v>#N/A</v>
      </c>
      <c r="BU627" t="e">
        <f t="shared" si="245"/>
        <v>#N/A</v>
      </c>
      <c r="BV627" t="e">
        <f t="shared" si="245"/>
        <v>#N/A</v>
      </c>
      <c r="BY627" t="e">
        <f t="shared" si="230"/>
        <v>#N/A</v>
      </c>
      <c r="BZ627" t="e">
        <v>#N/A</v>
      </c>
      <c r="CA627" t="e" cm="1">
        <f t="array" ref="CA627">IF(ISNUMBER(BZ627),AF627/COUNT(IF(ISNUMBER(_xlfn.ANCHORARRAY($BZ$11)),_xlfn.ANCHORARRAY($BZ$11))),NA())</f>
        <v>#N/A</v>
      </c>
      <c r="CB627" t="e">
        <f t="shared" si="231"/>
        <v>#N/A</v>
      </c>
      <c r="CD627" t="e">
        <f t="shared" si="232"/>
        <v>#N/A</v>
      </c>
      <c r="CE627" t="e">
        <f t="shared" si="233"/>
        <v>#N/A</v>
      </c>
      <c r="CG627" t="e">
        <v>#N/A</v>
      </c>
      <c r="CH627" t="e">
        <v>#N/A</v>
      </c>
      <c r="CL627" t="e">
        <f t="shared" si="234"/>
        <v>#N/A</v>
      </c>
      <c r="CM627" t="e">
        <v>#N/A</v>
      </c>
      <c r="CN627" t="e" cm="1">
        <f t="array" ref="CN627">IF(ISNUMBER(CM627),AF627/COUNT(IF(ISNUMBER(_xlfn.ANCHORARRAY($CM$11)),_xlfn.ANCHORARRAY($CM$11))),NA())</f>
        <v>#N/A</v>
      </c>
      <c r="CO627" t="e">
        <f t="shared" si="235"/>
        <v>#N/A</v>
      </c>
      <c r="CQ627" t="e">
        <f t="shared" si="236"/>
        <v>#N/A</v>
      </c>
      <c r="CR627" t="e">
        <f t="shared" si="237"/>
        <v>#N/A</v>
      </c>
      <c r="CT627" t="e">
        <v>#N/A</v>
      </c>
      <c r="CU627" t="e">
        <v>#N/A</v>
      </c>
      <c r="CY627" t="e">
        <f t="shared" si="238"/>
        <v>#N/A</v>
      </c>
      <c r="CZ627" t="e">
        <v>#N/A</v>
      </c>
      <c r="DA627" t="e" cm="1">
        <f t="array" ref="DA627">IF(ISNUMBER(CZ627),AF627/COUNT(IF(ISNUMBER(_xlfn.ANCHORARRAY($CZ$11)),_xlfn.ANCHORARRAY($CZ$11))),NA())</f>
        <v>#N/A</v>
      </c>
      <c r="DB627" t="e">
        <f t="shared" si="239"/>
        <v>#N/A</v>
      </c>
      <c r="DD627" t="e">
        <f t="shared" si="240"/>
        <v>#N/A</v>
      </c>
      <c r="DE627" t="e">
        <f t="shared" si="241"/>
        <v>#N/A</v>
      </c>
      <c r="DG627" t="e">
        <v>#N/A</v>
      </c>
      <c r="DH627" t="e">
        <v>#N/A</v>
      </c>
    </row>
    <row r="628" spans="32:112">
      <c r="AF628">
        <v>618</v>
      </c>
      <c r="AG628" s="401">
        <f>'Lab test'!N621</f>
        <v>222.25</v>
      </c>
      <c r="AH628" s="401">
        <f>'Lab test'!M621</f>
        <v>0.22097999999999998</v>
      </c>
      <c r="AI628">
        <f>IF('Lab test'!O621&gt;0,'Lab test'!O621,NA())</f>
        <v>546.1</v>
      </c>
      <c r="AJ628">
        <f>'Lab test'!Q621</f>
        <v>1005.7471264367817</v>
      </c>
      <c r="AK628" s="401">
        <f>IF('Lab test'!V621&gt;0,'Lab test'!V621,NA())</f>
        <v>186158.44691554576</v>
      </c>
      <c r="AL628" s="7" t="e">
        <f>IF(MAX('Lab test'!W621,'Lab test'!X621)&gt;0,MAX('Lab test'!W621,'Lab test'!X621),NA())</f>
        <v>#N/A</v>
      </c>
      <c r="AM628" s="401">
        <f>IF('Lab test'!P621&gt;0,'Lab test'!P621,NA())</f>
        <v>7.7479356791747916E-2</v>
      </c>
      <c r="AN628" s="401" t="e">
        <f>IF('Lab test'!AU621&gt;0,'Lab test'!AU621,NA())</f>
        <v>#N/A</v>
      </c>
      <c r="AO628" s="401">
        <f>IF('Lab test'!AT621&gt;0,'Lab test'!AT621,NA())</f>
        <v>0.404363297365402</v>
      </c>
      <c r="AP628" t="e">
        <f t="shared" si="242"/>
        <v>#N/A</v>
      </c>
      <c r="AQ628" s="401">
        <f>'Lab test'!AZ621</f>
        <v>1957</v>
      </c>
      <c r="AR628" t="str">
        <f>'Lab test'!AC621</f>
        <v>LTWb</v>
      </c>
      <c r="AS628" t="str">
        <f>'Lab test'!T621</f>
        <v>Steel</v>
      </c>
      <c r="AX628" t="e">
        <f t="shared" si="227"/>
        <v>#N/A</v>
      </c>
      <c r="AY628" t="e">
        <f t="shared" si="246"/>
        <v>#N/A</v>
      </c>
      <c r="AZ628" t="e">
        <f t="shared" si="243"/>
        <v>#N/A</v>
      </c>
      <c r="BA628" t="e">
        <f t="shared" si="243"/>
        <v>#N/A</v>
      </c>
      <c r="BB628" t="e">
        <f t="shared" si="243"/>
        <v>#N/A</v>
      </c>
      <c r="BC628" t="e">
        <f t="shared" si="243"/>
        <v>#N/A</v>
      </c>
      <c r="BD628" t="e">
        <f t="shared" si="243"/>
        <v>#N/A</v>
      </c>
      <c r="BG628" t="e">
        <f t="shared" si="228"/>
        <v>#N/A</v>
      </c>
      <c r="BH628" t="e">
        <f t="shared" si="247"/>
        <v>#N/A</v>
      </c>
      <c r="BI628" t="e">
        <f t="shared" si="244"/>
        <v>#N/A</v>
      </c>
      <c r="BJ628" t="e">
        <f t="shared" si="244"/>
        <v>#N/A</v>
      </c>
      <c r="BK628" t="e">
        <f t="shared" si="244"/>
        <v>#N/A</v>
      </c>
      <c r="BL628" t="e">
        <f t="shared" si="244"/>
        <v>#N/A</v>
      </c>
      <c r="BM628" t="e">
        <f t="shared" si="244"/>
        <v>#N/A</v>
      </c>
      <c r="BP628" t="e">
        <f t="shared" si="229"/>
        <v>#N/A</v>
      </c>
      <c r="BQ628" t="e">
        <f t="shared" si="248"/>
        <v>#N/A</v>
      </c>
      <c r="BR628" t="e">
        <f t="shared" si="245"/>
        <v>#N/A</v>
      </c>
      <c r="BS628" t="e">
        <f t="shared" si="245"/>
        <v>#N/A</v>
      </c>
      <c r="BT628" t="e">
        <f t="shared" si="245"/>
        <v>#N/A</v>
      </c>
      <c r="BU628" t="e">
        <f t="shared" si="245"/>
        <v>#N/A</v>
      </c>
      <c r="BV628" t="e">
        <f t="shared" si="245"/>
        <v>#N/A</v>
      </c>
      <c r="BY628" t="e">
        <f t="shared" si="230"/>
        <v>#N/A</v>
      </c>
      <c r="BZ628" t="e">
        <v>#N/A</v>
      </c>
      <c r="CA628" t="e" cm="1">
        <f t="array" ref="CA628">IF(ISNUMBER(BZ628),AF628/COUNT(IF(ISNUMBER(_xlfn.ANCHORARRAY($BZ$11)),_xlfn.ANCHORARRAY($BZ$11))),NA())</f>
        <v>#N/A</v>
      </c>
      <c r="CB628" t="e">
        <f t="shared" si="231"/>
        <v>#N/A</v>
      </c>
      <c r="CD628" t="e">
        <f t="shared" si="232"/>
        <v>#N/A</v>
      </c>
      <c r="CE628" t="e">
        <f t="shared" si="233"/>
        <v>#N/A</v>
      </c>
      <c r="CG628" t="e">
        <v>#N/A</v>
      </c>
      <c r="CH628" t="e">
        <v>#N/A</v>
      </c>
      <c r="CL628" t="e">
        <f t="shared" si="234"/>
        <v>#N/A</v>
      </c>
      <c r="CM628" t="e">
        <v>#N/A</v>
      </c>
      <c r="CN628" t="e" cm="1">
        <f t="array" ref="CN628">IF(ISNUMBER(CM628),AF628/COUNT(IF(ISNUMBER(_xlfn.ANCHORARRAY($CM$11)),_xlfn.ANCHORARRAY($CM$11))),NA())</f>
        <v>#N/A</v>
      </c>
      <c r="CO628" t="e">
        <f t="shared" si="235"/>
        <v>#N/A</v>
      </c>
      <c r="CQ628" t="e">
        <f t="shared" si="236"/>
        <v>#N/A</v>
      </c>
      <c r="CR628" t="e">
        <f t="shared" si="237"/>
        <v>#N/A</v>
      </c>
      <c r="CT628" t="e">
        <v>#N/A</v>
      </c>
      <c r="CU628" t="e">
        <v>#N/A</v>
      </c>
      <c r="CY628" t="e">
        <f t="shared" si="238"/>
        <v>#N/A</v>
      </c>
      <c r="CZ628" t="e">
        <v>#N/A</v>
      </c>
      <c r="DA628" t="e" cm="1">
        <f t="array" ref="DA628">IF(ISNUMBER(CZ628),AF628/COUNT(IF(ISNUMBER(_xlfn.ANCHORARRAY($CZ$11)),_xlfn.ANCHORARRAY($CZ$11))),NA())</f>
        <v>#N/A</v>
      </c>
      <c r="DB628" t="e">
        <f t="shared" si="239"/>
        <v>#N/A</v>
      </c>
      <c r="DD628" t="e">
        <f t="shared" si="240"/>
        <v>#N/A</v>
      </c>
      <c r="DE628" t="e">
        <f t="shared" si="241"/>
        <v>#N/A</v>
      </c>
      <c r="DG628" t="e">
        <v>#N/A</v>
      </c>
      <c r="DH628" t="e">
        <v>#N/A</v>
      </c>
    </row>
    <row r="629" spans="32:112">
      <c r="AF629">
        <v>619</v>
      </c>
      <c r="AG629" s="401">
        <f>'Lab test'!N622</f>
        <v>222.25</v>
      </c>
      <c r="AH629" s="401">
        <f>'Lab test'!M622</f>
        <v>0.22097999999999998</v>
      </c>
      <c r="AI629">
        <f>IF('Lab test'!O622&gt;0,'Lab test'!O622,NA())</f>
        <v>546.1</v>
      </c>
      <c r="AJ629">
        <f>'Lab test'!Q622</f>
        <v>1005.7471264367817</v>
      </c>
      <c r="AK629" s="401">
        <f>IF('Lab test'!V622&gt;0,'Lab test'!V622,NA())</f>
        <v>186158.44691554576</v>
      </c>
      <c r="AL629" s="7" t="e">
        <f>IF(MAX('Lab test'!W622,'Lab test'!X622)&gt;0,MAX('Lab test'!W622,'Lab test'!X622),NA())</f>
        <v>#N/A</v>
      </c>
      <c r="AM629" s="401">
        <f>IF('Lab test'!P622&gt;0,'Lab test'!P622,NA())</f>
        <v>7.7479356791747916E-2</v>
      </c>
      <c r="AN629" s="401" t="e">
        <f>IF('Lab test'!AU622&gt;0,'Lab test'!AU622,NA())</f>
        <v>#N/A</v>
      </c>
      <c r="AO629" s="401">
        <f>IF('Lab test'!AT622&gt;0,'Lab test'!AT622,NA())</f>
        <v>0.35697216510187701</v>
      </c>
      <c r="AP629" t="e">
        <f t="shared" si="242"/>
        <v>#N/A</v>
      </c>
      <c r="AQ629" s="401">
        <f>'Lab test'!AZ622</f>
        <v>1957</v>
      </c>
      <c r="AR629" t="str">
        <f>'Lab test'!AC622</f>
        <v>LTWb</v>
      </c>
      <c r="AS629" t="str">
        <f>'Lab test'!T622</f>
        <v>Steel</v>
      </c>
      <c r="AX629" t="e">
        <f t="shared" si="227"/>
        <v>#N/A</v>
      </c>
      <c r="AY629" t="e">
        <f t="shared" si="246"/>
        <v>#N/A</v>
      </c>
      <c r="AZ629" t="e">
        <f t="shared" si="243"/>
        <v>#N/A</v>
      </c>
      <c r="BA629" t="e">
        <f t="shared" si="243"/>
        <v>#N/A</v>
      </c>
      <c r="BB629" t="e">
        <f t="shared" si="243"/>
        <v>#N/A</v>
      </c>
      <c r="BC629" t="e">
        <f t="shared" si="243"/>
        <v>#N/A</v>
      </c>
      <c r="BD629" t="e">
        <f t="shared" si="243"/>
        <v>#N/A</v>
      </c>
      <c r="BG629" t="e">
        <f t="shared" si="228"/>
        <v>#N/A</v>
      </c>
      <c r="BH629" t="e">
        <f t="shared" si="247"/>
        <v>#N/A</v>
      </c>
      <c r="BI629" t="e">
        <f t="shared" si="244"/>
        <v>#N/A</v>
      </c>
      <c r="BJ629" t="e">
        <f t="shared" si="244"/>
        <v>#N/A</v>
      </c>
      <c r="BK629" t="e">
        <f t="shared" si="244"/>
        <v>#N/A</v>
      </c>
      <c r="BL629" t="e">
        <f t="shared" si="244"/>
        <v>#N/A</v>
      </c>
      <c r="BM629" t="e">
        <f t="shared" si="244"/>
        <v>#N/A</v>
      </c>
      <c r="BP629" t="e">
        <f t="shared" si="229"/>
        <v>#N/A</v>
      </c>
      <c r="BQ629" t="e">
        <f t="shared" si="248"/>
        <v>#N/A</v>
      </c>
      <c r="BR629" t="e">
        <f t="shared" si="245"/>
        <v>#N/A</v>
      </c>
      <c r="BS629" t="e">
        <f t="shared" si="245"/>
        <v>#N/A</v>
      </c>
      <c r="BT629" t="e">
        <f t="shared" si="245"/>
        <v>#N/A</v>
      </c>
      <c r="BU629" t="e">
        <f t="shared" si="245"/>
        <v>#N/A</v>
      </c>
      <c r="BV629" t="e">
        <f t="shared" si="245"/>
        <v>#N/A</v>
      </c>
      <c r="BY629" t="e">
        <f t="shared" si="230"/>
        <v>#N/A</v>
      </c>
      <c r="BZ629" t="e">
        <v>#N/A</v>
      </c>
      <c r="CA629" t="e" cm="1">
        <f t="array" ref="CA629">IF(ISNUMBER(BZ629),AF629/COUNT(IF(ISNUMBER(_xlfn.ANCHORARRAY($BZ$11)),_xlfn.ANCHORARRAY($BZ$11))),NA())</f>
        <v>#N/A</v>
      </c>
      <c r="CB629" t="e">
        <f t="shared" si="231"/>
        <v>#N/A</v>
      </c>
      <c r="CD629" t="e">
        <f t="shared" si="232"/>
        <v>#N/A</v>
      </c>
      <c r="CE629" t="e">
        <f t="shared" si="233"/>
        <v>#N/A</v>
      </c>
      <c r="CG629" t="e">
        <v>#N/A</v>
      </c>
      <c r="CH629" t="e">
        <v>#N/A</v>
      </c>
      <c r="CL629" t="e">
        <f t="shared" si="234"/>
        <v>#N/A</v>
      </c>
      <c r="CM629" t="e">
        <v>#N/A</v>
      </c>
      <c r="CN629" t="e" cm="1">
        <f t="array" ref="CN629">IF(ISNUMBER(CM629),AF629/COUNT(IF(ISNUMBER(_xlfn.ANCHORARRAY($CM$11)),_xlfn.ANCHORARRAY($CM$11))),NA())</f>
        <v>#N/A</v>
      </c>
      <c r="CO629" t="e">
        <f t="shared" si="235"/>
        <v>#N/A</v>
      </c>
      <c r="CQ629" t="e">
        <f t="shared" si="236"/>
        <v>#N/A</v>
      </c>
      <c r="CR629" t="e">
        <f t="shared" si="237"/>
        <v>#N/A</v>
      </c>
      <c r="CT629" t="e">
        <v>#N/A</v>
      </c>
      <c r="CU629" t="e">
        <v>#N/A</v>
      </c>
      <c r="CY629" t="e">
        <f t="shared" si="238"/>
        <v>#N/A</v>
      </c>
      <c r="CZ629" t="e">
        <v>#N/A</v>
      </c>
      <c r="DA629" t="e" cm="1">
        <f t="array" ref="DA629">IF(ISNUMBER(CZ629),AF629/COUNT(IF(ISNUMBER(_xlfn.ANCHORARRAY($CZ$11)),_xlfn.ANCHORARRAY($CZ$11))),NA())</f>
        <v>#N/A</v>
      </c>
      <c r="DB629" t="e">
        <f t="shared" si="239"/>
        <v>#N/A</v>
      </c>
      <c r="DD629" t="e">
        <f t="shared" si="240"/>
        <v>#N/A</v>
      </c>
      <c r="DE629" t="e">
        <f t="shared" si="241"/>
        <v>#N/A</v>
      </c>
      <c r="DG629" t="e">
        <v>#N/A</v>
      </c>
      <c r="DH629" t="e">
        <v>#N/A</v>
      </c>
    </row>
    <row r="630" spans="32:112">
      <c r="AF630">
        <v>620</v>
      </c>
      <c r="AG630" s="401">
        <f>'Lab test'!N623</f>
        <v>222.25</v>
      </c>
      <c r="AH630" s="401">
        <f>'Lab test'!M623</f>
        <v>0.22097999999999998</v>
      </c>
      <c r="AI630">
        <f>IF('Lab test'!O623&gt;0,'Lab test'!O623,NA())</f>
        <v>546.1</v>
      </c>
      <c r="AJ630">
        <f>'Lab test'!Q623</f>
        <v>1005.7471264367817</v>
      </c>
      <c r="AK630" s="401">
        <f>IF('Lab test'!V623&gt;0,'Lab test'!V623,NA())</f>
        <v>186158.44691554576</v>
      </c>
      <c r="AL630" s="7" t="e">
        <f>IF(MAX('Lab test'!W623,'Lab test'!X623)&gt;0,MAX('Lab test'!W623,'Lab test'!X623),NA())</f>
        <v>#N/A</v>
      </c>
      <c r="AM630" s="401">
        <f>IF('Lab test'!P623&gt;0,'Lab test'!P623,NA())</f>
        <v>7.7479356791747916E-2</v>
      </c>
      <c r="AN630" s="401" t="e">
        <f>IF('Lab test'!AU623&gt;0,'Lab test'!AU623,NA())</f>
        <v>#N/A</v>
      </c>
      <c r="AO630" s="401">
        <f>IF('Lab test'!AT623&gt;0,'Lab test'!AT623,NA())</f>
        <v>0.41728815161909072</v>
      </c>
      <c r="AP630" t="e">
        <f t="shared" si="242"/>
        <v>#N/A</v>
      </c>
      <c r="AQ630" s="401">
        <f>'Lab test'!AZ623</f>
        <v>1957</v>
      </c>
      <c r="AR630" t="str">
        <f>'Lab test'!AC623</f>
        <v>LTWb</v>
      </c>
      <c r="AS630" t="str">
        <f>'Lab test'!T623</f>
        <v>Steel</v>
      </c>
      <c r="AX630" t="e">
        <f t="shared" si="227"/>
        <v>#N/A</v>
      </c>
      <c r="AY630" t="e">
        <f t="shared" si="246"/>
        <v>#N/A</v>
      </c>
      <c r="AZ630" t="e">
        <f t="shared" si="243"/>
        <v>#N/A</v>
      </c>
      <c r="BA630" t="e">
        <f t="shared" si="243"/>
        <v>#N/A</v>
      </c>
      <c r="BB630" t="e">
        <f t="shared" si="243"/>
        <v>#N/A</v>
      </c>
      <c r="BC630" t="e">
        <f t="shared" si="243"/>
        <v>#N/A</v>
      </c>
      <c r="BD630" t="e">
        <f t="shared" si="243"/>
        <v>#N/A</v>
      </c>
      <c r="BG630" t="e">
        <f t="shared" si="228"/>
        <v>#N/A</v>
      </c>
      <c r="BH630" t="e">
        <f t="shared" si="247"/>
        <v>#N/A</v>
      </c>
      <c r="BI630" t="e">
        <f t="shared" si="244"/>
        <v>#N/A</v>
      </c>
      <c r="BJ630" t="e">
        <f t="shared" si="244"/>
        <v>#N/A</v>
      </c>
      <c r="BK630" t="e">
        <f t="shared" si="244"/>
        <v>#N/A</v>
      </c>
      <c r="BL630" t="e">
        <f t="shared" si="244"/>
        <v>#N/A</v>
      </c>
      <c r="BM630" t="e">
        <f t="shared" si="244"/>
        <v>#N/A</v>
      </c>
      <c r="BP630" t="e">
        <f t="shared" si="229"/>
        <v>#N/A</v>
      </c>
      <c r="BQ630" t="e">
        <f t="shared" si="248"/>
        <v>#N/A</v>
      </c>
      <c r="BR630" t="e">
        <f t="shared" si="245"/>
        <v>#N/A</v>
      </c>
      <c r="BS630" t="e">
        <f t="shared" si="245"/>
        <v>#N/A</v>
      </c>
      <c r="BT630" t="e">
        <f t="shared" si="245"/>
        <v>#N/A</v>
      </c>
      <c r="BU630" t="e">
        <f t="shared" si="245"/>
        <v>#N/A</v>
      </c>
      <c r="BV630" t="e">
        <f t="shared" si="245"/>
        <v>#N/A</v>
      </c>
      <c r="BY630" t="e">
        <f t="shared" si="230"/>
        <v>#N/A</v>
      </c>
      <c r="BZ630" t="e">
        <v>#N/A</v>
      </c>
      <c r="CA630" t="e" cm="1">
        <f t="array" ref="CA630">IF(ISNUMBER(BZ630),AF630/COUNT(IF(ISNUMBER(_xlfn.ANCHORARRAY($BZ$11)),_xlfn.ANCHORARRAY($BZ$11))),NA())</f>
        <v>#N/A</v>
      </c>
      <c r="CB630" t="e">
        <f t="shared" si="231"/>
        <v>#N/A</v>
      </c>
      <c r="CD630" t="e">
        <f t="shared" si="232"/>
        <v>#N/A</v>
      </c>
      <c r="CE630" t="e">
        <f t="shared" si="233"/>
        <v>#N/A</v>
      </c>
      <c r="CG630" t="e">
        <v>#N/A</v>
      </c>
      <c r="CH630" t="e">
        <v>#N/A</v>
      </c>
      <c r="CL630" t="e">
        <f t="shared" si="234"/>
        <v>#N/A</v>
      </c>
      <c r="CM630" t="e">
        <v>#N/A</v>
      </c>
      <c r="CN630" t="e" cm="1">
        <f t="array" ref="CN630">IF(ISNUMBER(CM630),AF630/COUNT(IF(ISNUMBER(_xlfn.ANCHORARRAY($CM$11)),_xlfn.ANCHORARRAY($CM$11))),NA())</f>
        <v>#N/A</v>
      </c>
      <c r="CO630" t="e">
        <f t="shared" si="235"/>
        <v>#N/A</v>
      </c>
      <c r="CQ630" t="e">
        <f t="shared" si="236"/>
        <v>#N/A</v>
      </c>
      <c r="CR630" t="e">
        <f t="shared" si="237"/>
        <v>#N/A</v>
      </c>
      <c r="CT630" t="e">
        <v>#N/A</v>
      </c>
      <c r="CU630" t="e">
        <v>#N/A</v>
      </c>
      <c r="CY630" t="e">
        <f t="shared" si="238"/>
        <v>#N/A</v>
      </c>
      <c r="CZ630" t="e">
        <v>#N/A</v>
      </c>
      <c r="DA630" t="e" cm="1">
        <f t="array" ref="DA630">IF(ISNUMBER(CZ630),AF630/COUNT(IF(ISNUMBER(_xlfn.ANCHORARRAY($CZ$11)),_xlfn.ANCHORARRAY($CZ$11))),NA())</f>
        <v>#N/A</v>
      </c>
      <c r="DB630" t="e">
        <f t="shared" si="239"/>
        <v>#N/A</v>
      </c>
      <c r="DD630" t="e">
        <f t="shared" si="240"/>
        <v>#N/A</v>
      </c>
      <c r="DE630" t="e">
        <f t="shared" si="241"/>
        <v>#N/A</v>
      </c>
      <c r="DG630" t="e">
        <v>#N/A</v>
      </c>
      <c r="DH630" t="e">
        <v>#N/A</v>
      </c>
    </row>
    <row r="631" spans="32:112">
      <c r="AF631">
        <v>621</v>
      </c>
      <c r="AG631" s="401">
        <f>'Lab test'!N624</f>
        <v>222.25</v>
      </c>
      <c r="AH631" s="401">
        <f>'Lab test'!M624</f>
        <v>8.1279999999999991E-2</v>
      </c>
      <c r="AI631">
        <f>IF('Lab test'!O624&gt;0,'Lab test'!O624,NA())</f>
        <v>241.29999999999998</v>
      </c>
      <c r="AJ631">
        <f>'Lab test'!Q624</f>
        <v>2734.3750000000005</v>
      </c>
      <c r="AK631" s="401">
        <f>IF('Lab test'!V624&gt;0,'Lab test'!V624,NA())</f>
        <v>186158.44691554576</v>
      </c>
      <c r="AL631" s="7" t="e">
        <f>IF(MAX('Lab test'!W624,'Lab test'!X624)&gt;0,MAX('Lab test'!W624,'Lab test'!X624),NA())</f>
        <v>#N/A</v>
      </c>
      <c r="AM631" s="401">
        <f>IF('Lab test'!P624&gt;0,'Lab test'!P624,NA())</f>
        <v>2.076282841358032E-2</v>
      </c>
      <c r="AN631" s="401" t="e">
        <f>IF('Lab test'!AU624&gt;0,'Lab test'!AU624,NA())</f>
        <v>#N/A</v>
      </c>
      <c r="AO631" s="401">
        <f>IF('Lab test'!AT624&gt;0,'Lab test'!AT624,NA())</f>
        <v>0.29098809145882698</v>
      </c>
      <c r="AP631" t="e">
        <f t="shared" si="242"/>
        <v>#N/A</v>
      </c>
      <c r="AQ631" s="401">
        <f>'Lab test'!AZ624</f>
        <v>1957</v>
      </c>
      <c r="AR631" t="str">
        <f>'Lab test'!AC624</f>
        <v>LTWb</v>
      </c>
      <c r="AS631" t="str">
        <f>'Lab test'!T624</f>
        <v>Steel</v>
      </c>
      <c r="AX631" t="e">
        <f t="shared" si="227"/>
        <v>#N/A</v>
      </c>
      <c r="AY631" t="e">
        <f t="shared" si="246"/>
        <v>#N/A</v>
      </c>
      <c r="AZ631" t="e">
        <f t="shared" si="243"/>
        <v>#N/A</v>
      </c>
      <c r="BA631" t="e">
        <f t="shared" si="243"/>
        <v>#N/A</v>
      </c>
      <c r="BB631" t="e">
        <f t="shared" si="243"/>
        <v>#N/A</v>
      </c>
      <c r="BC631" t="e">
        <f t="shared" si="243"/>
        <v>#N/A</v>
      </c>
      <c r="BD631" t="e">
        <f t="shared" si="243"/>
        <v>#N/A</v>
      </c>
      <c r="BG631" t="e">
        <f t="shared" si="228"/>
        <v>#N/A</v>
      </c>
      <c r="BH631" t="e">
        <f t="shared" si="247"/>
        <v>#N/A</v>
      </c>
      <c r="BI631" t="e">
        <f t="shared" si="244"/>
        <v>#N/A</v>
      </c>
      <c r="BJ631" t="e">
        <f t="shared" si="244"/>
        <v>#N/A</v>
      </c>
      <c r="BK631" t="e">
        <f t="shared" si="244"/>
        <v>#N/A</v>
      </c>
      <c r="BL631" t="e">
        <f t="shared" si="244"/>
        <v>#N/A</v>
      </c>
      <c r="BM631" t="e">
        <f t="shared" si="244"/>
        <v>#N/A</v>
      </c>
      <c r="BP631" t="e">
        <f t="shared" si="229"/>
        <v>#N/A</v>
      </c>
      <c r="BQ631" t="e">
        <f t="shared" si="248"/>
        <v>#N/A</v>
      </c>
      <c r="BR631" t="e">
        <f t="shared" si="245"/>
        <v>#N/A</v>
      </c>
      <c r="BS631" t="e">
        <f t="shared" si="245"/>
        <v>#N/A</v>
      </c>
      <c r="BT631" t="e">
        <f t="shared" si="245"/>
        <v>#N/A</v>
      </c>
      <c r="BU631" t="e">
        <f t="shared" si="245"/>
        <v>#N/A</v>
      </c>
      <c r="BV631" t="e">
        <f t="shared" si="245"/>
        <v>#N/A</v>
      </c>
      <c r="BY631" t="e">
        <f t="shared" si="230"/>
        <v>#N/A</v>
      </c>
      <c r="BZ631" t="e">
        <v>#N/A</v>
      </c>
      <c r="CA631" t="e" cm="1">
        <f t="array" ref="CA631">IF(ISNUMBER(BZ631),AF631/COUNT(IF(ISNUMBER(_xlfn.ANCHORARRAY($BZ$11)),_xlfn.ANCHORARRAY($BZ$11))),NA())</f>
        <v>#N/A</v>
      </c>
      <c r="CB631" t="e">
        <f t="shared" si="231"/>
        <v>#N/A</v>
      </c>
      <c r="CD631" t="e">
        <f t="shared" si="232"/>
        <v>#N/A</v>
      </c>
      <c r="CE631" t="e">
        <f t="shared" si="233"/>
        <v>#N/A</v>
      </c>
      <c r="CG631" t="e">
        <v>#N/A</v>
      </c>
      <c r="CH631" t="e">
        <v>#N/A</v>
      </c>
      <c r="CL631" t="e">
        <f t="shared" si="234"/>
        <v>#N/A</v>
      </c>
      <c r="CM631" t="e">
        <v>#N/A</v>
      </c>
      <c r="CN631" t="e" cm="1">
        <f t="array" ref="CN631">IF(ISNUMBER(CM631),AF631/COUNT(IF(ISNUMBER(_xlfn.ANCHORARRAY($CM$11)),_xlfn.ANCHORARRAY($CM$11))),NA())</f>
        <v>#N/A</v>
      </c>
      <c r="CO631" t="e">
        <f t="shared" si="235"/>
        <v>#N/A</v>
      </c>
      <c r="CQ631" t="e">
        <f t="shared" si="236"/>
        <v>#N/A</v>
      </c>
      <c r="CR631" t="e">
        <f t="shared" si="237"/>
        <v>#N/A</v>
      </c>
      <c r="CT631" t="e">
        <v>#N/A</v>
      </c>
      <c r="CU631" t="e">
        <v>#N/A</v>
      </c>
      <c r="CY631" t="e">
        <f t="shared" si="238"/>
        <v>#N/A</v>
      </c>
      <c r="CZ631" t="e">
        <v>#N/A</v>
      </c>
      <c r="DA631" t="e" cm="1">
        <f t="array" ref="DA631">IF(ISNUMBER(CZ631),AF631/COUNT(IF(ISNUMBER(_xlfn.ANCHORARRAY($CZ$11)),_xlfn.ANCHORARRAY($CZ$11))),NA())</f>
        <v>#N/A</v>
      </c>
      <c r="DB631" t="e">
        <f t="shared" si="239"/>
        <v>#N/A</v>
      </c>
      <c r="DD631" t="e">
        <f t="shared" si="240"/>
        <v>#N/A</v>
      </c>
      <c r="DE631" t="e">
        <f t="shared" si="241"/>
        <v>#N/A</v>
      </c>
      <c r="DG631" t="e">
        <v>#N/A</v>
      </c>
      <c r="DH631" t="e">
        <v>#N/A</v>
      </c>
    </row>
    <row r="632" spans="32:112">
      <c r="AF632">
        <v>622</v>
      </c>
      <c r="AG632" s="401">
        <f>'Lab test'!N625</f>
        <v>222.25</v>
      </c>
      <c r="AH632" s="401">
        <f>'Lab test'!M625</f>
        <v>8.1279999999999991E-2</v>
      </c>
      <c r="AI632">
        <f>IF('Lab test'!O625&gt;0,'Lab test'!O625,NA())</f>
        <v>241.29999999999998</v>
      </c>
      <c r="AJ632">
        <f>'Lab test'!Q625</f>
        <v>2734.3750000000005</v>
      </c>
      <c r="AK632" s="401">
        <f>IF('Lab test'!V625&gt;0,'Lab test'!V625,NA())</f>
        <v>186158.44691554576</v>
      </c>
      <c r="AL632" s="7" t="e">
        <f>IF(MAX('Lab test'!W625,'Lab test'!X625)&gt;0,MAX('Lab test'!W625,'Lab test'!X625),NA())</f>
        <v>#N/A</v>
      </c>
      <c r="AM632" s="401">
        <f>IF('Lab test'!P625&gt;0,'Lab test'!P625,NA())</f>
        <v>2.076282841358032E-2</v>
      </c>
      <c r="AN632" s="401" t="e">
        <f>IF('Lab test'!AU625&gt;0,'Lab test'!AU625,NA())</f>
        <v>#N/A</v>
      </c>
      <c r="AO632" s="401">
        <f>IF('Lab test'!AT625&gt;0,'Lab test'!AT625,NA())</f>
        <v>0.27576099754119998</v>
      </c>
      <c r="AP632" t="e">
        <f t="shared" si="242"/>
        <v>#N/A</v>
      </c>
      <c r="AQ632" s="401">
        <f>'Lab test'!AZ625</f>
        <v>1957</v>
      </c>
      <c r="AR632" t="str">
        <f>'Lab test'!AC625</f>
        <v>LTWb</v>
      </c>
      <c r="AS632" t="str">
        <f>'Lab test'!T625</f>
        <v>Steel</v>
      </c>
      <c r="AX632" t="e">
        <f t="shared" si="227"/>
        <v>#N/A</v>
      </c>
      <c r="AY632" t="e">
        <f t="shared" si="246"/>
        <v>#N/A</v>
      </c>
      <c r="AZ632" t="e">
        <f t="shared" si="243"/>
        <v>#N/A</v>
      </c>
      <c r="BA632" t="e">
        <f t="shared" si="243"/>
        <v>#N/A</v>
      </c>
      <c r="BB632" t="e">
        <f t="shared" si="243"/>
        <v>#N/A</v>
      </c>
      <c r="BC632" t="e">
        <f t="shared" si="243"/>
        <v>#N/A</v>
      </c>
      <c r="BD632" t="e">
        <f t="shared" si="243"/>
        <v>#N/A</v>
      </c>
      <c r="BG632" t="e">
        <f t="shared" si="228"/>
        <v>#N/A</v>
      </c>
      <c r="BH632" t="e">
        <f t="shared" si="247"/>
        <v>#N/A</v>
      </c>
      <c r="BI632" t="e">
        <f t="shared" si="244"/>
        <v>#N/A</v>
      </c>
      <c r="BJ632" t="e">
        <f t="shared" si="244"/>
        <v>#N/A</v>
      </c>
      <c r="BK632" t="e">
        <f t="shared" si="244"/>
        <v>#N/A</v>
      </c>
      <c r="BL632" t="e">
        <f t="shared" si="244"/>
        <v>#N/A</v>
      </c>
      <c r="BM632" t="e">
        <f t="shared" si="244"/>
        <v>#N/A</v>
      </c>
      <c r="BP632" t="e">
        <f t="shared" si="229"/>
        <v>#N/A</v>
      </c>
      <c r="BQ632" t="e">
        <f t="shared" si="248"/>
        <v>#N/A</v>
      </c>
      <c r="BR632" t="e">
        <f t="shared" si="245"/>
        <v>#N/A</v>
      </c>
      <c r="BS632" t="e">
        <f t="shared" si="245"/>
        <v>#N/A</v>
      </c>
      <c r="BT632" t="e">
        <f t="shared" si="245"/>
        <v>#N/A</v>
      </c>
      <c r="BU632" t="e">
        <f t="shared" si="245"/>
        <v>#N/A</v>
      </c>
      <c r="BV632" t="e">
        <f t="shared" si="245"/>
        <v>#N/A</v>
      </c>
      <c r="BY632" t="e">
        <f t="shared" si="230"/>
        <v>#N/A</v>
      </c>
      <c r="BZ632" t="e">
        <v>#N/A</v>
      </c>
      <c r="CA632" t="e" cm="1">
        <f t="array" ref="CA632">IF(ISNUMBER(BZ632),AF632/COUNT(IF(ISNUMBER(_xlfn.ANCHORARRAY($BZ$11)),_xlfn.ANCHORARRAY($BZ$11))),NA())</f>
        <v>#N/A</v>
      </c>
      <c r="CB632" t="e">
        <f t="shared" si="231"/>
        <v>#N/A</v>
      </c>
      <c r="CD632" t="e">
        <f t="shared" si="232"/>
        <v>#N/A</v>
      </c>
      <c r="CE632" t="e">
        <f t="shared" si="233"/>
        <v>#N/A</v>
      </c>
      <c r="CG632" t="e">
        <v>#N/A</v>
      </c>
      <c r="CH632" t="e">
        <v>#N/A</v>
      </c>
      <c r="CL632" t="e">
        <f t="shared" si="234"/>
        <v>#N/A</v>
      </c>
      <c r="CM632" t="e">
        <v>#N/A</v>
      </c>
      <c r="CN632" t="e" cm="1">
        <f t="array" ref="CN632">IF(ISNUMBER(CM632),AF632/COUNT(IF(ISNUMBER(_xlfn.ANCHORARRAY($CM$11)),_xlfn.ANCHORARRAY($CM$11))),NA())</f>
        <v>#N/A</v>
      </c>
      <c r="CO632" t="e">
        <f t="shared" si="235"/>
        <v>#N/A</v>
      </c>
      <c r="CQ632" t="e">
        <f t="shared" si="236"/>
        <v>#N/A</v>
      </c>
      <c r="CR632" t="e">
        <f t="shared" si="237"/>
        <v>#N/A</v>
      </c>
      <c r="CT632" t="e">
        <v>#N/A</v>
      </c>
      <c r="CU632" t="e">
        <v>#N/A</v>
      </c>
      <c r="CY632" t="e">
        <f t="shared" si="238"/>
        <v>#N/A</v>
      </c>
      <c r="CZ632" t="e">
        <v>#N/A</v>
      </c>
      <c r="DA632" t="e" cm="1">
        <f t="array" ref="DA632">IF(ISNUMBER(CZ632),AF632/COUNT(IF(ISNUMBER(_xlfn.ANCHORARRAY($CZ$11)),_xlfn.ANCHORARRAY($CZ$11))),NA())</f>
        <v>#N/A</v>
      </c>
      <c r="DB632" t="e">
        <f t="shared" si="239"/>
        <v>#N/A</v>
      </c>
      <c r="DD632" t="e">
        <f t="shared" si="240"/>
        <v>#N/A</v>
      </c>
      <c r="DE632" t="e">
        <f t="shared" si="241"/>
        <v>#N/A</v>
      </c>
      <c r="DG632" t="e">
        <v>#N/A</v>
      </c>
      <c r="DH632" t="e">
        <v>#N/A</v>
      </c>
    </row>
    <row r="633" spans="32:112">
      <c r="AF633">
        <v>623</v>
      </c>
      <c r="AG633" s="401">
        <f>'Lab test'!N626</f>
        <v>222.25</v>
      </c>
      <c r="AH633" s="401">
        <f>'Lab test'!M626</f>
        <v>8.1279999999999991E-2</v>
      </c>
      <c r="AI633">
        <f>IF('Lab test'!O626&gt;0,'Lab test'!O626,NA())</f>
        <v>546.1</v>
      </c>
      <c r="AJ633">
        <f>'Lab test'!Q626</f>
        <v>2734.3750000000005</v>
      </c>
      <c r="AK633" s="401">
        <f>IF('Lab test'!V626&gt;0,'Lab test'!V626,NA())</f>
        <v>186158.44691554576</v>
      </c>
      <c r="AL633" s="7" t="e">
        <f>IF(MAX('Lab test'!W626,'Lab test'!X626)&gt;0,MAX('Lab test'!W626,'Lab test'!X626),NA())</f>
        <v>#N/A</v>
      </c>
      <c r="AM633" s="401">
        <f>IF('Lab test'!P626&gt;0,'Lab test'!P626,NA())</f>
        <v>4.6989559041260731E-2</v>
      </c>
      <c r="AN633" s="401" t="e">
        <f>IF('Lab test'!AU626&gt;0,'Lab test'!AU626,NA())</f>
        <v>#N/A</v>
      </c>
      <c r="AO633" s="401">
        <f>IF('Lab test'!AT626&gt;0,'Lab test'!AT626,NA())</f>
        <v>0.19678090601240975</v>
      </c>
      <c r="AP633" t="e">
        <f t="shared" si="242"/>
        <v>#N/A</v>
      </c>
      <c r="AQ633" s="401">
        <f>'Lab test'!AZ626</f>
        <v>1957</v>
      </c>
      <c r="AR633" t="str">
        <f>'Lab test'!AC626</f>
        <v>LTWb</v>
      </c>
      <c r="AS633" t="str">
        <f>'Lab test'!T626</f>
        <v>Steel</v>
      </c>
      <c r="AX633" t="e">
        <f t="shared" si="227"/>
        <v>#N/A</v>
      </c>
      <c r="AY633" t="e">
        <f t="shared" si="246"/>
        <v>#N/A</v>
      </c>
      <c r="AZ633" t="e">
        <f t="shared" si="243"/>
        <v>#N/A</v>
      </c>
      <c r="BA633" t="e">
        <f t="shared" si="243"/>
        <v>#N/A</v>
      </c>
      <c r="BB633" t="e">
        <f t="shared" si="243"/>
        <v>#N/A</v>
      </c>
      <c r="BC633" t="e">
        <f t="shared" si="243"/>
        <v>#N/A</v>
      </c>
      <c r="BD633" t="e">
        <f t="shared" si="243"/>
        <v>#N/A</v>
      </c>
      <c r="BG633" t="e">
        <f t="shared" si="228"/>
        <v>#N/A</v>
      </c>
      <c r="BH633" t="e">
        <f t="shared" si="247"/>
        <v>#N/A</v>
      </c>
      <c r="BI633" t="e">
        <f t="shared" si="244"/>
        <v>#N/A</v>
      </c>
      <c r="BJ633" t="e">
        <f t="shared" si="244"/>
        <v>#N/A</v>
      </c>
      <c r="BK633" t="e">
        <f t="shared" si="244"/>
        <v>#N/A</v>
      </c>
      <c r="BL633" t="e">
        <f t="shared" si="244"/>
        <v>#N/A</v>
      </c>
      <c r="BM633" t="e">
        <f t="shared" si="244"/>
        <v>#N/A</v>
      </c>
      <c r="BP633" t="e">
        <f t="shared" si="229"/>
        <v>#N/A</v>
      </c>
      <c r="BQ633" t="e">
        <f t="shared" si="248"/>
        <v>#N/A</v>
      </c>
      <c r="BR633" t="e">
        <f t="shared" si="245"/>
        <v>#N/A</v>
      </c>
      <c r="BS633" t="e">
        <f t="shared" si="245"/>
        <v>#N/A</v>
      </c>
      <c r="BT633" t="e">
        <f t="shared" si="245"/>
        <v>#N/A</v>
      </c>
      <c r="BU633" t="e">
        <f t="shared" si="245"/>
        <v>#N/A</v>
      </c>
      <c r="BV633" t="e">
        <f t="shared" si="245"/>
        <v>#N/A</v>
      </c>
      <c r="BY633" t="e">
        <f t="shared" si="230"/>
        <v>#N/A</v>
      </c>
      <c r="BZ633" t="e">
        <v>#N/A</v>
      </c>
      <c r="CA633" t="e" cm="1">
        <f t="array" ref="CA633">IF(ISNUMBER(BZ633),AF633/COUNT(IF(ISNUMBER(_xlfn.ANCHORARRAY($BZ$11)),_xlfn.ANCHORARRAY($BZ$11))),NA())</f>
        <v>#N/A</v>
      </c>
      <c r="CB633" t="e">
        <f t="shared" si="231"/>
        <v>#N/A</v>
      </c>
      <c r="CD633" t="e">
        <f t="shared" si="232"/>
        <v>#N/A</v>
      </c>
      <c r="CE633" t="e">
        <f t="shared" si="233"/>
        <v>#N/A</v>
      </c>
      <c r="CG633" t="e">
        <v>#N/A</v>
      </c>
      <c r="CH633" t="e">
        <v>#N/A</v>
      </c>
      <c r="CL633" t="e">
        <f t="shared" si="234"/>
        <v>#N/A</v>
      </c>
      <c r="CM633" t="e">
        <v>#N/A</v>
      </c>
      <c r="CN633" t="e" cm="1">
        <f t="array" ref="CN633">IF(ISNUMBER(CM633),AF633/COUNT(IF(ISNUMBER(_xlfn.ANCHORARRAY($CM$11)),_xlfn.ANCHORARRAY($CM$11))),NA())</f>
        <v>#N/A</v>
      </c>
      <c r="CO633" t="e">
        <f t="shared" si="235"/>
        <v>#N/A</v>
      </c>
      <c r="CQ633" t="e">
        <f t="shared" si="236"/>
        <v>#N/A</v>
      </c>
      <c r="CR633" t="e">
        <f t="shared" si="237"/>
        <v>#N/A</v>
      </c>
      <c r="CT633" t="e">
        <v>#N/A</v>
      </c>
      <c r="CU633" t="e">
        <v>#N/A</v>
      </c>
      <c r="CY633" t="e">
        <f t="shared" si="238"/>
        <v>#N/A</v>
      </c>
      <c r="CZ633" t="e">
        <v>#N/A</v>
      </c>
      <c r="DA633" t="e" cm="1">
        <f t="array" ref="DA633">IF(ISNUMBER(CZ633),AF633/COUNT(IF(ISNUMBER(_xlfn.ANCHORARRAY($CZ$11)),_xlfn.ANCHORARRAY($CZ$11))),NA())</f>
        <v>#N/A</v>
      </c>
      <c r="DB633" t="e">
        <f t="shared" si="239"/>
        <v>#N/A</v>
      </c>
      <c r="DD633" t="e">
        <f t="shared" si="240"/>
        <v>#N/A</v>
      </c>
      <c r="DE633" t="e">
        <f t="shared" si="241"/>
        <v>#N/A</v>
      </c>
      <c r="DG633" t="e">
        <v>#N/A</v>
      </c>
      <c r="DH633" t="e">
        <v>#N/A</v>
      </c>
    </row>
    <row r="634" spans="32:112">
      <c r="AF634">
        <v>624</v>
      </c>
      <c r="AG634" s="401">
        <f>'Lab test'!N627</f>
        <v>222.25</v>
      </c>
      <c r="AH634" s="401">
        <f>'Lab test'!M627</f>
        <v>8.1279999999999991E-2</v>
      </c>
      <c r="AI634">
        <f>IF('Lab test'!O627&gt;0,'Lab test'!O627,NA())</f>
        <v>546.1</v>
      </c>
      <c r="AJ634">
        <f>'Lab test'!Q627</f>
        <v>2734.3750000000005</v>
      </c>
      <c r="AK634" s="401">
        <f>IF('Lab test'!V627&gt;0,'Lab test'!V627,NA())</f>
        <v>186158.44691554576</v>
      </c>
      <c r="AL634" s="7" t="e">
        <f>IF(MAX('Lab test'!W627,'Lab test'!X627)&gt;0,MAX('Lab test'!W627,'Lab test'!X627),NA())</f>
        <v>#N/A</v>
      </c>
      <c r="AM634" s="401">
        <f>IF('Lab test'!P627&gt;0,'Lab test'!P627,NA())</f>
        <v>4.6989559041260731E-2</v>
      </c>
      <c r="AN634" s="401" t="e">
        <f>IF('Lab test'!AU627&gt;0,'Lab test'!AU627,NA())</f>
        <v>#N/A</v>
      </c>
      <c r="AO634" s="401">
        <f>IF('Lab test'!AT627&gt;0,'Lab test'!AT627,NA())</f>
        <v>0.19209564634544757</v>
      </c>
      <c r="AP634" t="e">
        <f t="shared" si="242"/>
        <v>#N/A</v>
      </c>
      <c r="AQ634" s="401">
        <f>'Lab test'!AZ627</f>
        <v>1957</v>
      </c>
      <c r="AR634" t="str">
        <f>'Lab test'!AC627</f>
        <v>LTWb</v>
      </c>
      <c r="AS634" t="str">
        <f>'Lab test'!T627</f>
        <v>Steel</v>
      </c>
      <c r="AX634" t="e">
        <f t="shared" si="227"/>
        <v>#N/A</v>
      </c>
      <c r="AY634" t="e">
        <f t="shared" si="246"/>
        <v>#N/A</v>
      </c>
      <c r="AZ634" t="e">
        <f t="shared" si="243"/>
        <v>#N/A</v>
      </c>
      <c r="BA634" t="e">
        <f t="shared" si="243"/>
        <v>#N/A</v>
      </c>
      <c r="BB634" t="e">
        <f t="shared" si="243"/>
        <v>#N/A</v>
      </c>
      <c r="BC634" t="e">
        <f t="shared" si="243"/>
        <v>#N/A</v>
      </c>
      <c r="BD634" t="e">
        <f t="shared" si="243"/>
        <v>#N/A</v>
      </c>
      <c r="BG634" t="e">
        <f t="shared" si="228"/>
        <v>#N/A</v>
      </c>
      <c r="BH634" t="e">
        <f t="shared" si="247"/>
        <v>#N/A</v>
      </c>
      <c r="BI634" t="e">
        <f t="shared" si="244"/>
        <v>#N/A</v>
      </c>
      <c r="BJ634" t="e">
        <f t="shared" si="244"/>
        <v>#N/A</v>
      </c>
      <c r="BK634" t="e">
        <f t="shared" si="244"/>
        <v>#N/A</v>
      </c>
      <c r="BL634" t="e">
        <f t="shared" si="244"/>
        <v>#N/A</v>
      </c>
      <c r="BM634" t="e">
        <f t="shared" si="244"/>
        <v>#N/A</v>
      </c>
      <c r="BP634" t="e">
        <f t="shared" si="229"/>
        <v>#N/A</v>
      </c>
      <c r="BQ634" t="e">
        <f t="shared" si="248"/>
        <v>#N/A</v>
      </c>
      <c r="BR634" t="e">
        <f t="shared" si="245"/>
        <v>#N/A</v>
      </c>
      <c r="BS634" t="e">
        <f t="shared" si="245"/>
        <v>#N/A</v>
      </c>
      <c r="BT634" t="e">
        <f t="shared" si="245"/>
        <v>#N/A</v>
      </c>
      <c r="BU634" t="e">
        <f t="shared" si="245"/>
        <v>#N/A</v>
      </c>
      <c r="BV634" t="e">
        <f t="shared" si="245"/>
        <v>#N/A</v>
      </c>
      <c r="BY634" t="e">
        <f t="shared" si="230"/>
        <v>#N/A</v>
      </c>
      <c r="BZ634" t="e">
        <v>#N/A</v>
      </c>
      <c r="CA634" t="e" cm="1">
        <f t="array" ref="CA634">IF(ISNUMBER(BZ634),AF634/COUNT(IF(ISNUMBER(_xlfn.ANCHORARRAY($BZ$11)),_xlfn.ANCHORARRAY($BZ$11))),NA())</f>
        <v>#N/A</v>
      </c>
      <c r="CB634" t="e">
        <f t="shared" si="231"/>
        <v>#N/A</v>
      </c>
      <c r="CD634" t="e">
        <f t="shared" si="232"/>
        <v>#N/A</v>
      </c>
      <c r="CE634" t="e">
        <f t="shared" si="233"/>
        <v>#N/A</v>
      </c>
      <c r="CG634" t="e">
        <v>#N/A</v>
      </c>
      <c r="CH634" t="e">
        <v>#N/A</v>
      </c>
      <c r="CL634" t="e">
        <f t="shared" si="234"/>
        <v>#N/A</v>
      </c>
      <c r="CM634" t="e">
        <v>#N/A</v>
      </c>
      <c r="CN634" t="e" cm="1">
        <f t="array" ref="CN634">IF(ISNUMBER(CM634),AF634/COUNT(IF(ISNUMBER(_xlfn.ANCHORARRAY($CM$11)),_xlfn.ANCHORARRAY($CM$11))),NA())</f>
        <v>#N/A</v>
      </c>
      <c r="CO634" t="e">
        <f t="shared" si="235"/>
        <v>#N/A</v>
      </c>
      <c r="CQ634" t="e">
        <f t="shared" si="236"/>
        <v>#N/A</v>
      </c>
      <c r="CR634" t="e">
        <f t="shared" si="237"/>
        <v>#N/A</v>
      </c>
      <c r="CT634" t="e">
        <v>#N/A</v>
      </c>
      <c r="CU634" t="e">
        <v>#N/A</v>
      </c>
      <c r="CY634" t="e">
        <f t="shared" si="238"/>
        <v>#N/A</v>
      </c>
      <c r="CZ634" t="e">
        <v>#N/A</v>
      </c>
      <c r="DA634" t="e" cm="1">
        <f t="array" ref="DA634">IF(ISNUMBER(CZ634),AF634/COUNT(IF(ISNUMBER(_xlfn.ANCHORARRAY($CZ$11)),_xlfn.ANCHORARRAY($CZ$11))),NA())</f>
        <v>#N/A</v>
      </c>
      <c r="DB634" t="e">
        <f t="shared" si="239"/>
        <v>#N/A</v>
      </c>
      <c r="DD634" t="e">
        <f t="shared" si="240"/>
        <v>#N/A</v>
      </c>
      <c r="DE634" t="e">
        <f t="shared" si="241"/>
        <v>#N/A</v>
      </c>
      <c r="DG634" t="e">
        <v>#N/A</v>
      </c>
      <c r="DH634" t="e">
        <v>#N/A</v>
      </c>
    </row>
    <row r="635" spans="32:112">
      <c r="AF635">
        <v>625</v>
      </c>
      <c r="AG635" s="401">
        <f>'Lab test'!N628</f>
        <v>222.25</v>
      </c>
      <c r="AH635" s="401">
        <f>'Lab test'!M628</f>
        <v>8.1279999999999991E-2</v>
      </c>
      <c r="AI635">
        <f>IF('Lab test'!O628&gt;0,'Lab test'!O628,NA())</f>
        <v>546.1</v>
      </c>
      <c r="AJ635">
        <f>'Lab test'!Q628</f>
        <v>2734.3750000000005</v>
      </c>
      <c r="AK635" s="401">
        <f>IF('Lab test'!V628&gt;0,'Lab test'!V628,NA())</f>
        <v>186158.44691554576</v>
      </c>
      <c r="AL635" s="7" t="e">
        <f>IF(MAX('Lab test'!W628,'Lab test'!X628)&gt;0,MAX('Lab test'!W628,'Lab test'!X628),NA())</f>
        <v>#N/A</v>
      </c>
      <c r="AM635" s="401">
        <f>IF('Lab test'!P628&gt;0,'Lab test'!P628,NA())</f>
        <v>4.6989559041260731E-2</v>
      </c>
      <c r="AN635" s="401" t="e">
        <f>IF('Lab test'!AU628&gt;0,'Lab test'!AU628,NA())</f>
        <v>#N/A</v>
      </c>
      <c r="AO635" s="401">
        <f>IF('Lab test'!AT628&gt;0,'Lab test'!AT628,NA())</f>
        <v>0.18356178052348082</v>
      </c>
      <c r="AP635" t="e">
        <f t="shared" si="242"/>
        <v>#N/A</v>
      </c>
      <c r="AQ635" s="401">
        <f>'Lab test'!AZ628</f>
        <v>1957</v>
      </c>
      <c r="AR635" t="str">
        <f>'Lab test'!AC628</f>
        <v>LTWb</v>
      </c>
      <c r="AS635" t="str">
        <f>'Lab test'!T628</f>
        <v>Steel</v>
      </c>
      <c r="AX635" t="e">
        <f t="shared" si="227"/>
        <v>#N/A</v>
      </c>
      <c r="AY635" t="e">
        <f t="shared" si="246"/>
        <v>#N/A</v>
      </c>
      <c r="AZ635" t="e">
        <f t="shared" si="243"/>
        <v>#N/A</v>
      </c>
      <c r="BA635" t="e">
        <f t="shared" si="243"/>
        <v>#N/A</v>
      </c>
      <c r="BB635" t="e">
        <f t="shared" si="243"/>
        <v>#N/A</v>
      </c>
      <c r="BC635" t="e">
        <f t="shared" si="243"/>
        <v>#N/A</v>
      </c>
      <c r="BD635" t="e">
        <f t="shared" si="243"/>
        <v>#N/A</v>
      </c>
      <c r="BG635" t="e">
        <f t="shared" si="228"/>
        <v>#N/A</v>
      </c>
      <c r="BH635" t="e">
        <f t="shared" si="247"/>
        <v>#N/A</v>
      </c>
      <c r="BI635" t="e">
        <f t="shared" si="244"/>
        <v>#N/A</v>
      </c>
      <c r="BJ635" t="e">
        <f t="shared" si="244"/>
        <v>#N/A</v>
      </c>
      <c r="BK635" t="e">
        <f t="shared" si="244"/>
        <v>#N/A</v>
      </c>
      <c r="BL635" t="e">
        <f t="shared" si="244"/>
        <v>#N/A</v>
      </c>
      <c r="BM635" t="e">
        <f t="shared" si="244"/>
        <v>#N/A</v>
      </c>
      <c r="BP635" t="e">
        <f t="shared" si="229"/>
        <v>#N/A</v>
      </c>
      <c r="BQ635" t="e">
        <f t="shared" si="248"/>
        <v>#N/A</v>
      </c>
      <c r="BR635" t="e">
        <f t="shared" si="245"/>
        <v>#N/A</v>
      </c>
      <c r="BS635" t="e">
        <f t="shared" si="245"/>
        <v>#N/A</v>
      </c>
      <c r="BT635" t="e">
        <f t="shared" si="245"/>
        <v>#N/A</v>
      </c>
      <c r="BU635" t="e">
        <f t="shared" si="245"/>
        <v>#N/A</v>
      </c>
      <c r="BV635" t="e">
        <f t="shared" si="245"/>
        <v>#N/A</v>
      </c>
      <c r="BY635" t="e">
        <f t="shared" si="230"/>
        <v>#N/A</v>
      </c>
      <c r="BZ635" t="e">
        <v>#N/A</v>
      </c>
      <c r="CA635" t="e" cm="1">
        <f t="array" ref="CA635">IF(ISNUMBER(BZ635),AF635/COUNT(IF(ISNUMBER(_xlfn.ANCHORARRAY($BZ$11)),_xlfn.ANCHORARRAY($BZ$11))),NA())</f>
        <v>#N/A</v>
      </c>
      <c r="CB635" t="e">
        <f t="shared" si="231"/>
        <v>#N/A</v>
      </c>
      <c r="CD635" t="e">
        <f t="shared" si="232"/>
        <v>#N/A</v>
      </c>
      <c r="CE635" t="e">
        <f t="shared" si="233"/>
        <v>#N/A</v>
      </c>
      <c r="CG635" t="e">
        <v>#N/A</v>
      </c>
      <c r="CH635" t="e">
        <v>#N/A</v>
      </c>
      <c r="CL635" t="e">
        <f t="shared" si="234"/>
        <v>#N/A</v>
      </c>
      <c r="CM635" t="e">
        <v>#N/A</v>
      </c>
      <c r="CN635" t="e" cm="1">
        <f t="array" ref="CN635">IF(ISNUMBER(CM635),AF635/COUNT(IF(ISNUMBER(_xlfn.ANCHORARRAY($CM$11)),_xlfn.ANCHORARRAY($CM$11))),NA())</f>
        <v>#N/A</v>
      </c>
      <c r="CO635" t="e">
        <f t="shared" si="235"/>
        <v>#N/A</v>
      </c>
      <c r="CQ635" t="e">
        <f t="shared" si="236"/>
        <v>#N/A</v>
      </c>
      <c r="CR635" t="e">
        <f t="shared" si="237"/>
        <v>#N/A</v>
      </c>
      <c r="CT635" t="e">
        <v>#N/A</v>
      </c>
      <c r="CU635" t="e">
        <v>#N/A</v>
      </c>
      <c r="CY635" t="e">
        <f t="shared" si="238"/>
        <v>#N/A</v>
      </c>
      <c r="CZ635" t="e">
        <v>#N/A</v>
      </c>
      <c r="DA635" t="e" cm="1">
        <f t="array" ref="DA635">IF(ISNUMBER(CZ635),AF635/COUNT(IF(ISNUMBER(_xlfn.ANCHORARRAY($CZ$11)),_xlfn.ANCHORARRAY($CZ$11))),NA())</f>
        <v>#N/A</v>
      </c>
      <c r="DB635" t="e">
        <f t="shared" si="239"/>
        <v>#N/A</v>
      </c>
      <c r="DD635" t="e">
        <f t="shared" si="240"/>
        <v>#N/A</v>
      </c>
      <c r="DE635" t="e">
        <f t="shared" si="241"/>
        <v>#N/A</v>
      </c>
      <c r="DG635" t="e">
        <v>#N/A</v>
      </c>
      <c r="DH635" t="e">
        <v>#N/A</v>
      </c>
    </row>
    <row r="636" spans="32:112">
      <c r="AF636">
        <v>626</v>
      </c>
      <c r="AG636" s="401">
        <f>'Lab test'!N629</f>
        <v>222.25</v>
      </c>
      <c r="AH636" s="401">
        <f>'Lab test'!M629</f>
        <v>8.1279999999999991E-2</v>
      </c>
      <c r="AI636">
        <f>IF('Lab test'!O629&gt;0,'Lab test'!O629,NA())</f>
        <v>546.1</v>
      </c>
      <c r="AJ636">
        <f>'Lab test'!Q629</f>
        <v>2734.3750000000005</v>
      </c>
      <c r="AK636" s="401">
        <f>IF('Lab test'!V629&gt;0,'Lab test'!V629,NA())</f>
        <v>186158.44691554576</v>
      </c>
      <c r="AL636" s="7" t="e">
        <f>IF(MAX('Lab test'!W629,'Lab test'!X629)&gt;0,MAX('Lab test'!W629,'Lab test'!X629),NA())</f>
        <v>#N/A</v>
      </c>
      <c r="AM636" s="401">
        <f>IF('Lab test'!P629&gt;0,'Lab test'!P629,NA())</f>
        <v>4.6989559041260731E-2</v>
      </c>
      <c r="AN636" s="401" t="e">
        <f>IF('Lab test'!AU629&gt;0,'Lab test'!AU629,NA())</f>
        <v>#N/A</v>
      </c>
      <c r="AO636" s="401">
        <f>IF('Lab test'!AT629&gt;0,'Lab test'!AT629,NA())</f>
        <v>0.18724305597609392</v>
      </c>
      <c r="AP636" t="e">
        <f t="shared" si="242"/>
        <v>#N/A</v>
      </c>
      <c r="AQ636" s="401">
        <f>'Lab test'!AZ629</f>
        <v>1957</v>
      </c>
      <c r="AR636" t="str">
        <f>'Lab test'!AC629</f>
        <v>LTWb</v>
      </c>
      <c r="AS636" t="str">
        <f>'Lab test'!T629</f>
        <v>Steel</v>
      </c>
      <c r="AX636" t="e">
        <f t="shared" si="227"/>
        <v>#N/A</v>
      </c>
      <c r="AY636" t="e">
        <f t="shared" si="246"/>
        <v>#N/A</v>
      </c>
      <c r="AZ636" t="e">
        <f t="shared" si="243"/>
        <v>#N/A</v>
      </c>
      <c r="BA636" t="e">
        <f t="shared" si="243"/>
        <v>#N/A</v>
      </c>
      <c r="BB636" t="e">
        <f t="shared" si="243"/>
        <v>#N/A</v>
      </c>
      <c r="BC636" t="e">
        <f t="shared" si="243"/>
        <v>#N/A</v>
      </c>
      <c r="BD636" t="e">
        <f t="shared" si="243"/>
        <v>#N/A</v>
      </c>
      <c r="BG636" t="e">
        <f t="shared" si="228"/>
        <v>#N/A</v>
      </c>
      <c r="BH636" t="e">
        <f t="shared" si="247"/>
        <v>#N/A</v>
      </c>
      <c r="BI636" t="e">
        <f t="shared" si="244"/>
        <v>#N/A</v>
      </c>
      <c r="BJ636" t="e">
        <f t="shared" si="244"/>
        <v>#N/A</v>
      </c>
      <c r="BK636" t="e">
        <f t="shared" si="244"/>
        <v>#N/A</v>
      </c>
      <c r="BL636" t="e">
        <f t="shared" si="244"/>
        <v>#N/A</v>
      </c>
      <c r="BM636" t="e">
        <f t="shared" si="244"/>
        <v>#N/A</v>
      </c>
      <c r="BP636" t="e">
        <f t="shared" si="229"/>
        <v>#N/A</v>
      </c>
      <c r="BQ636" t="e">
        <f t="shared" si="248"/>
        <v>#N/A</v>
      </c>
      <c r="BR636" t="e">
        <f t="shared" si="245"/>
        <v>#N/A</v>
      </c>
      <c r="BS636" t="e">
        <f t="shared" si="245"/>
        <v>#N/A</v>
      </c>
      <c r="BT636" t="e">
        <f t="shared" si="245"/>
        <v>#N/A</v>
      </c>
      <c r="BU636" t="e">
        <f t="shared" si="245"/>
        <v>#N/A</v>
      </c>
      <c r="BV636" t="e">
        <f t="shared" si="245"/>
        <v>#N/A</v>
      </c>
      <c r="BY636" t="e">
        <f t="shared" si="230"/>
        <v>#N/A</v>
      </c>
      <c r="BZ636" t="e">
        <v>#N/A</v>
      </c>
      <c r="CA636" t="e" cm="1">
        <f t="array" ref="CA636">IF(ISNUMBER(BZ636),AF636/COUNT(IF(ISNUMBER(_xlfn.ANCHORARRAY($BZ$11)),_xlfn.ANCHORARRAY($BZ$11))),NA())</f>
        <v>#N/A</v>
      </c>
      <c r="CB636" t="e">
        <f t="shared" si="231"/>
        <v>#N/A</v>
      </c>
      <c r="CD636" t="e">
        <f t="shared" si="232"/>
        <v>#N/A</v>
      </c>
      <c r="CE636" t="e">
        <f t="shared" si="233"/>
        <v>#N/A</v>
      </c>
      <c r="CG636" t="e">
        <v>#N/A</v>
      </c>
      <c r="CH636" t="e">
        <v>#N/A</v>
      </c>
      <c r="CL636" t="e">
        <f t="shared" si="234"/>
        <v>#N/A</v>
      </c>
      <c r="CM636" t="e">
        <v>#N/A</v>
      </c>
      <c r="CN636" t="e" cm="1">
        <f t="array" ref="CN636">IF(ISNUMBER(CM636),AF636/COUNT(IF(ISNUMBER(_xlfn.ANCHORARRAY($CM$11)),_xlfn.ANCHORARRAY($CM$11))),NA())</f>
        <v>#N/A</v>
      </c>
      <c r="CO636" t="e">
        <f t="shared" si="235"/>
        <v>#N/A</v>
      </c>
      <c r="CQ636" t="e">
        <f t="shared" si="236"/>
        <v>#N/A</v>
      </c>
      <c r="CR636" t="e">
        <f t="shared" si="237"/>
        <v>#N/A</v>
      </c>
      <c r="CT636" t="e">
        <v>#N/A</v>
      </c>
      <c r="CU636" t="e">
        <v>#N/A</v>
      </c>
      <c r="CY636" t="e">
        <f t="shared" si="238"/>
        <v>#N/A</v>
      </c>
      <c r="CZ636" t="e">
        <v>#N/A</v>
      </c>
      <c r="DA636" t="e" cm="1">
        <f t="array" ref="DA636">IF(ISNUMBER(CZ636),AF636/COUNT(IF(ISNUMBER(_xlfn.ANCHORARRAY($CZ$11)),_xlfn.ANCHORARRAY($CZ$11))),NA())</f>
        <v>#N/A</v>
      </c>
      <c r="DB636" t="e">
        <f t="shared" si="239"/>
        <v>#N/A</v>
      </c>
      <c r="DD636" t="e">
        <f t="shared" si="240"/>
        <v>#N/A</v>
      </c>
      <c r="DE636" t="e">
        <f t="shared" si="241"/>
        <v>#N/A</v>
      </c>
      <c r="DG636" t="e">
        <v>#N/A</v>
      </c>
      <c r="DH636" t="e">
        <v>#N/A</v>
      </c>
    </row>
    <row r="637" spans="32:112">
      <c r="AF637">
        <v>627</v>
      </c>
      <c r="AG637" s="401">
        <f>'Lab test'!N630</f>
        <v>222.25</v>
      </c>
      <c r="AH637" s="401">
        <f>'Lab test'!M630</f>
        <v>8.1279999999999991E-2</v>
      </c>
      <c r="AI637">
        <f>IF('Lab test'!O630&gt;0,'Lab test'!O630,NA())</f>
        <v>546.1</v>
      </c>
      <c r="AJ637">
        <f>'Lab test'!Q630</f>
        <v>2734.3750000000005</v>
      </c>
      <c r="AK637" s="401">
        <f>IF('Lab test'!V630&gt;0,'Lab test'!V630,NA())</f>
        <v>186158.44691554576</v>
      </c>
      <c r="AL637" s="7" t="e">
        <f>IF(MAX('Lab test'!W630,'Lab test'!X630)&gt;0,MAX('Lab test'!W630,'Lab test'!X630),NA())</f>
        <v>#N/A</v>
      </c>
      <c r="AM637" s="401">
        <f>IF('Lab test'!P630&gt;0,'Lab test'!P630,NA())</f>
        <v>4.6989559041260731E-2</v>
      </c>
      <c r="AN637" s="401" t="e">
        <f>IF('Lab test'!AU630&gt;0,'Lab test'!AU630,NA())</f>
        <v>#N/A</v>
      </c>
      <c r="AO637" s="401">
        <f>IF('Lab test'!AT630&gt;0,'Lab test'!AT630,NA())</f>
        <v>0.20916337798938103</v>
      </c>
      <c r="AP637" t="e">
        <f t="shared" si="242"/>
        <v>#N/A</v>
      </c>
      <c r="AQ637" s="401">
        <f>'Lab test'!AZ630</f>
        <v>1957</v>
      </c>
      <c r="AR637" t="str">
        <f>'Lab test'!AC630</f>
        <v>LTWb</v>
      </c>
      <c r="AS637" t="str">
        <f>'Lab test'!T630</f>
        <v>Steel</v>
      </c>
      <c r="AX637" t="e">
        <f t="shared" si="227"/>
        <v>#N/A</v>
      </c>
      <c r="AY637" t="e">
        <f t="shared" si="246"/>
        <v>#N/A</v>
      </c>
      <c r="AZ637" t="e">
        <f t="shared" si="243"/>
        <v>#N/A</v>
      </c>
      <c r="BA637" t="e">
        <f t="shared" si="243"/>
        <v>#N/A</v>
      </c>
      <c r="BB637" t="e">
        <f t="shared" si="243"/>
        <v>#N/A</v>
      </c>
      <c r="BC637" t="e">
        <f t="shared" si="243"/>
        <v>#N/A</v>
      </c>
      <c r="BD637" t="e">
        <f t="shared" si="243"/>
        <v>#N/A</v>
      </c>
      <c r="BG637" t="e">
        <f t="shared" si="228"/>
        <v>#N/A</v>
      </c>
      <c r="BH637" t="e">
        <f t="shared" si="247"/>
        <v>#N/A</v>
      </c>
      <c r="BI637" t="e">
        <f t="shared" si="244"/>
        <v>#N/A</v>
      </c>
      <c r="BJ637" t="e">
        <f t="shared" si="244"/>
        <v>#N/A</v>
      </c>
      <c r="BK637" t="e">
        <f t="shared" si="244"/>
        <v>#N/A</v>
      </c>
      <c r="BL637" t="e">
        <f t="shared" si="244"/>
        <v>#N/A</v>
      </c>
      <c r="BM637" t="e">
        <f t="shared" si="244"/>
        <v>#N/A</v>
      </c>
      <c r="BP637" t="e">
        <f t="shared" si="229"/>
        <v>#N/A</v>
      </c>
      <c r="BQ637" t="e">
        <f t="shared" si="248"/>
        <v>#N/A</v>
      </c>
      <c r="BR637" t="e">
        <f t="shared" si="245"/>
        <v>#N/A</v>
      </c>
      <c r="BS637" t="e">
        <f t="shared" si="245"/>
        <v>#N/A</v>
      </c>
      <c r="BT637" t="e">
        <f t="shared" si="245"/>
        <v>#N/A</v>
      </c>
      <c r="BU637" t="e">
        <f t="shared" si="245"/>
        <v>#N/A</v>
      </c>
      <c r="BV637" t="e">
        <f t="shared" si="245"/>
        <v>#N/A</v>
      </c>
      <c r="BY637" t="e">
        <f t="shared" si="230"/>
        <v>#N/A</v>
      </c>
      <c r="BZ637" t="e">
        <v>#N/A</v>
      </c>
      <c r="CA637" t="e" cm="1">
        <f t="array" ref="CA637">IF(ISNUMBER(BZ637),AF637/COUNT(IF(ISNUMBER(_xlfn.ANCHORARRAY($BZ$11)),_xlfn.ANCHORARRAY($BZ$11))),NA())</f>
        <v>#N/A</v>
      </c>
      <c r="CB637" t="e">
        <f t="shared" si="231"/>
        <v>#N/A</v>
      </c>
      <c r="CD637" t="e">
        <f t="shared" si="232"/>
        <v>#N/A</v>
      </c>
      <c r="CE637" t="e">
        <f t="shared" si="233"/>
        <v>#N/A</v>
      </c>
      <c r="CG637" t="e">
        <v>#N/A</v>
      </c>
      <c r="CH637" t="e">
        <v>#N/A</v>
      </c>
      <c r="CL637" t="e">
        <f t="shared" si="234"/>
        <v>#N/A</v>
      </c>
      <c r="CM637" t="e">
        <v>#N/A</v>
      </c>
      <c r="CN637" t="e" cm="1">
        <f t="array" ref="CN637">IF(ISNUMBER(CM637),AF637/COUNT(IF(ISNUMBER(_xlfn.ANCHORARRAY($CM$11)),_xlfn.ANCHORARRAY($CM$11))),NA())</f>
        <v>#N/A</v>
      </c>
      <c r="CO637" t="e">
        <f t="shared" si="235"/>
        <v>#N/A</v>
      </c>
      <c r="CQ637" t="e">
        <f t="shared" si="236"/>
        <v>#N/A</v>
      </c>
      <c r="CR637" t="e">
        <f t="shared" si="237"/>
        <v>#N/A</v>
      </c>
      <c r="CT637" t="e">
        <v>#N/A</v>
      </c>
      <c r="CU637" t="e">
        <v>#N/A</v>
      </c>
      <c r="CY637" t="e">
        <f t="shared" si="238"/>
        <v>#N/A</v>
      </c>
      <c r="CZ637" t="e">
        <v>#N/A</v>
      </c>
      <c r="DA637" t="e" cm="1">
        <f t="array" ref="DA637">IF(ISNUMBER(CZ637),AF637/COUNT(IF(ISNUMBER(_xlfn.ANCHORARRAY($CZ$11)),_xlfn.ANCHORARRAY($CZ$11))),NA())</f>
        <v>#N/A</v>
      </c>
      <c r="DB637" t="e">
        <f t="shared" si="239"/>
        <v>#N/A</v>
      </c>
      <c r="DD637" t="e">
        <f t="shared" si="240"/>
        <v>#N/A</v>
      </c>
      <c r="DE637" t="e">
        <f t="shared" si="241"/>
        <v>#N/A</v>
      </c>
      <c r="DG637" t="e">
        <v>#N/A</v>
      </c>
      <c r="DH637" t="e">
        <v>#N/A</v>
      </c>
    </row>
    <row r="638" spans="32:112">
      <c r="AF638">
        <v>628</v>
      </c>
      <c r="AG638" s="401">
        <f>'Lab test'!N631</f>
        <v>222.25</v>
      </c>
      <c r="AH638" s="401">
        <f>'Lab test'!M631</f>
        <v>8.1279999999999991E-2</v>
      </c>
      <c r="AI638">
        <f>IF('Lab test'!O631&gt;0,'Lab test'!O631,NA())</f>
        <v>546.1</v>
      </c>
      <c r="AJ638">
        <f>'Lab test'!Q631</f>
        <v>2734.3750000000005</v>
      </c>
      <c r="AK638" s="401">
        <f>IF('Lab test'!V631&gt;0,'Lab test'!V631,NA())</f>
        <v>186158.44691554576</v>
      </c>
      <c r="AL638" s="7" t="e">
        <f>IF(MAX('Lab test'!W631,'Lab test'!X631)&gt;0,MAX('Lab test'!W631,'Lab test'!X631),NA())</f>
        <v>#N/A</v>
      </c>
      <c r="AM638" s="401">
        <f>IF('Lab test'!P631&gt;0,'Lab test'!P631,NA())</f>
        <v>4.6989559041260731E-2</v>
      </c>
      <c r="AN638" s="401" t="e">
        <f>IF('Lab test'!AU631&gt;0,'Lab test'!AU631,NA())</f>
        <v>#N/A</v>
      </c>
      <c r="AO638" s="401">
        <f>IF('Lab test'!AT631&gt;0,'Lab test'!AT631,NA())</f>
        <v>0.20447811832241894</v>
      </c>
      <c r="AP638" t="e">
        <f t="shared" si="242"/>
        <v>#N/A</v>
      </c>
      <c r="AQ638" s="401">
        <f>'Lab test'!AZ631</f>
        <v>1957</v>
      </c>
      <c r="AR638" t="str">
        <f>'Lab test'!AC631</f>
        <v>LTWb</v>
      </c>
      <c r="AS638" t="str">
        <f>'Lab test'!T631</f>
        <v>Steel</v>
      </c>
      <c r="AX638" t="e">
        <f t="shared" si="227"/>
        <v>#N/A</v>
      </c>
      <c r="AY638" t="e">
        <f t="shared" si="246"/>
        <v>#N/A</v>
      </c>
      <c r="AZ638" t="e">
        <f t="shared" si="243"/>
        <v>#N/A</v>
      </c>
      <c r="BA638" t="e">
        <f t="shared" si="243"/>
        <v>#N/A</v>
      </c>
      <c r="BB638" t="e">
        <f t="shared" si="243"/>
        <v>#N/A</v>
      </c>
      <c r="BC638" t="e">
        <f t="shared" si="243"/>
        <v>#N/A</v>
      </c>
      <c r="BD638" t="e">
        <f t="shared" si="243"/>
        <v>#N/A</v>
      </c>
      <c r="BG638" t="e">
        <f t="shared" si="228"/>
        <v>#N/A</v>
      </c>
      <c r="BH638" t="e">
        <f t="shared" si="247"/>
        <v>#N/A</v>
      </c>
      <c r="BI638" t="e">
        <f t="shared" si="244"/>
        <v>#N/A</v>
      </c>
      <c r="BJ638" t="e">
        <f t="shared" si="244"/>
        <v>#N/A</v>
      </c>
      <c r="BK638" t="e">
        <f t="shared" si="244"/>
        <v>#N/A</v>
      </c>
      <c r="BL638" t="e">
        <f t="shared" si="244"/>
        <v>#N/A</v>
      </c>
      <c r="BM638" t="e">
        <f t="shared" si="244"/>
        <v>#N/A</v>
      </c>
      <c r="BP638" t="e">
        <f t="shared" si="229"/>
        <v>#N/A</v>
      </c>
      <c r="BQ638" t="e">
        <f t="shared" si="248"/>
        <v>#N/A</v>
      </c>
      <c r="BR638" t="e">
        <f t="shared" si="245"/>
        <v>#N/A</v>
      </c>
      <c r="BS638" t="e">
        <f t="shared" si="245"/>
        <v>#N/A</v>
      </c>
      <c r="BT638" t="e">
        <f t="shared" si="245"/>
        <v>#N/A</v>
      </c>
      <c r="BU638" t="e">
        <f t="shared" si="245"/>
        <v>#N/A</v>
      </c>
      <c r="BV638" t="e">
        <f t="shared" si="245"/>
        <v>#N/A</v>
      </c>
      <c r="BY638" t="e">
        <f t="shared" si="230"/>
        <v>#N/A</v>
      </c>
      <c r="BZ638" t="e">
        <v>#N/A</v>
      </c>
      <c r="CA638" t="e" cm="1">
        <f t="array" ref="CA638">IF(ISNUMBER(BZ638),AF638/COUNT(IF(ISNUMBER(_xlfn.ANCHORARRAY($BZ$11)),_xlfn.ANCHORARRAY($BZ$11))),NA())</f>
        <v>#N/A</v>
      </c>
      <c r="CB638" t="e">
        <f t="shared" si="231"/>
        <v>#N/A</v>
      </c>
      <c r="CD638" t="e">
        <f t="shared" si="232"/>
        <v>#N/A</v>
      </c>
      <c r="CE638" t="e">
        <f t="shared" si="233"/>
        <v>#N/A</v>
      </c>
      <c r="CG638" t="e">
        <v>#N/A</v>
      </c>
      <c r="CH638" t="e">
        <v>#N/A</v>
      </c>
      <c r="CL638" t="e">
        <f t="shared" si="234"/>
        <v>#N/A</v>
      </c>
      <c r="CM638" t="e">
        <v>#N/A</v>
      </c>
      <c r="CN638" t="e" cm="1">
        <f t="array" ref="CN638">IF(ISNUMBER(CM638),AF638/COUNT(IF(ISNUMBER(_xlfn.ANCHORARRAY($CM$11)),_xlfn.ANCHORARRAY($CM$11))),NA())</f>
        <v>#N/A</v>
      </c>
      <c r="CO638" t="e">
        <f t="shared" si="235"/>
        <v>#N/A</v>
      </c>
      <c r="CQ638" t="e">
        <f t="shared" si="236"/>
        <v>#N/A</v>
      </c>
      <c r="CR638" t="e">
        <f t="shared" si="237"/>
        <v>#N/A</v>
      </c>
      <c r="CT638" t="e">
        <v>#N/A</v>
      </c>
      <c r="CU638" t="e">
        <v>#N/A</v>
      </c>
      <c r="CY638" t="e">
        <f t="shared" si="238"/>
        <v>#N/A</v>
      </c>
      <c r="CZ638" t="e">
        <v>#N/A</v>
      </c>
      <c r="DA638" t="e" cm="1">
        <f t="array" ref="DA638">IF(ISNUMBER(CZ638),AF638/COUNT(IF(ISNUMBER(_xlfn.ANCHORARRAY($CZ$11)),_xlfn.ANCHORARRAY($CZ$11))),NA())</f>
        <v>#N/A</v>
      </c>
      <c r="DB638" t="e">
        <f t="shared" si="239"/>
        <v>#N/A</v>
      </c>
      <c r="DD638" t="e">
        <f t="shared" si="240"/>
        <v>#N/A</v>
      </c>
      <c r="DE638" t="e">
        <f t="shared" si="241"/>
        <v>#N/A</v>
      </c>
      <c r="DG638" t="e">
        <v>#N/A</v>
      </c>
      <c r="DH638" t="e">
        <v>#N/A</v>
      </c>
    </row>
    <row r="639" spans="32:112">
      <c r="AF639">
        <v>629</v>
      </c>
      <c r="AG639" s="401">
        <f>'Lab test'!N632</f>
        <v>49.841150000000006</v>
      </c>
      <c r="AH639" s="401">
        <f>'Lab test'!M632</f>
        <v>0.49529999999999996</v>
      </c>
      <c r="AI639">
        <f>IF('Lab test'!O632&gt;0,'Lab test'!O632,NA())</f>
        <v>152.4</v>
      </c>
      <c r="AJ639">
        <f>'Lab test'!Q632</f>
        <v>100.62820512820515</v>
      </c>
      <c r="AK639" s="401">
        <f>IF('Lab test'!V632&gt;0,'Lab test'!V632,NA())</f>
        <v>84800.824394887051</v>
      </c>
      <c r="AL639" s="7">
        <f>IF(MAX('Lab test'!W632,'Lab test'!X632)&gt;0,MAX('Lab test'!W632,'Lab test'!X632),NA())</f>
        <v>311.64302965120993</v>
      </c>
      <c r="AM639" s="401">
        <f>IF('Lab test'!P632&gt;0,'Lab test'!P632,NA())</f>
        <v>0.30481550150240572</v>
      </c>
      <c r="AN639" s="401">
        <f>IF('Lab test'!AU632&gt;0,'Lab test'!AU632,NA())</f>
        <v>0.65910423448974254</v>
      </c>
      <c r="AO639" s="401">
        <f>IF('Lab test'!AT632&gt;0,'Lab test'!AT632,NA())</f>
        <v>0.40272862112889729</v>
      </c>
      <c r="AP639">
        <f t="shared" si="242"/>
        <v>1</v>
      </c>
      <c r="AQ639" s="401">
        <f>'Lab test'!AZ632</f>
        <v>1950</v>
      </c>
      <c r="AR639" t="str">
        <f>'Lab test'!AC632</f>
        <v>Machined</v>
      </c>
      <c r="AS639" t="str">
        <f>'Lab test'!T632</f>
        <v>Aluminium</v>
      </c>
      <c r="AX639" t="e">
        <f t="shared" si="227"/>
        <v>#N/A</v>
      </c>
      <c r="AY639" t="e">
        <f t="shared" si="246"/>
        <v>#N/A</v>
      </c>
      <c r="AZ639" t="e">
        <f t="shared" si="243"/>
        <v>#N/A</v>
      </c>
      <c r="BA639" t="e">
        <f t="shared" si="243"/>
        <v>#N/A</v>
      </c>
      <c r="BB639" t="e">
        <f t="shared" si="243"/>
        <v>#N/A</v>
      </c>
      <c r="BC639" t="e">
        <f t="shared" si="243"/>
        <v>#N/A</v>
      </c>
      <c r="BD639" t="e">
        <f t="shared" si="243"/>
        <v>#N/A</v>
      </c>
      <c r="BG639" t="e">
        <f t="shared" si="228"/>
        <v>#N/A</v>
      </c>
      <c r="BH639" t="e">
        <f t="shared" si="247"/>
        <v>#N/A</v>
      </c>
      <c r="BI639" t="e">
        <f t="shared" si="244"/>
        <v>#N/A</v>
      </c>
      <c r="BJ639" t="e">
        <f t="shared" si="244"/>
        <v>#N/A</v>
      </c>
      <c r="BK639" t="e">
        <f t="shared" si="244"/>
        <v>#N/A</v>
      </c>
      <c r="BL639" t="e">
        <f t="shared" si="244"/>
        <v>#N/A</v>
      </c>
      <c r="BM639" t="e">
        <f t="shared" si="244"/>
        <v>#N/A</v>
      </c>
      <c r="BP639" t="e">
        <f t="shared" si="229"/>
        <v>#N/A</v>
      </c>
      <c r="BQ639" t="e">
        <f t="shared" si="248"/>
        <v>#N/A</v>
      </c>
      <c r="BR639" t="e">
        <f t="shared" si="245"/>
        <v>#N/A</v>
      </c>
      <c r="BS639" t="e">
        <f t="shared" si="245"/>
        <v>#N/A</v>
      </c>
      <c r="BT639" t="e">
        <f t="shared" si="245"/>
        <v>#N/A</v>
      </c>
      <c r="BU639" t="e">
        <f t="shared" si="245"/>
        <v>#N/A</v>
      </c>
      <c r="BV639" t="e">
        <f t="shared" si="245"/>
        <v>#N/A</v>
      </c>
      <c r="BY639" t="e">
        <f t="shared" si="230"/>
        <v>#N/A</v>
      </c>
      <c r="BZ639" t="e">
        <v>#N/A</v>
      </c>
      <c r="CA639" t="e" cm="1">
        <f t="array" ref="CA639">IF(ISNUMBER(BZ639),AF639/COUNT(IF(ISNUMBER(_xlfn.ANCHORARRAY($BZ$11)),_xlfn.ANCHORARRAY($BZ$11))),NA())</f>
        <v>#N/A</v>
      </c>
      <c r="CB639" t="e">
        <f t="shared" si="231"/>
        <v>#N/A</v>
      </c>
      <c r="CD639" t="e">
        <f t="shared" si="232"/>
        <v>#N/A</v>
      </c>
      <c r="CE639" t="e">
        <f t="shared" si="233"/>
        <v>#N/A</v>
      </c>
      <c r="CG639" t="e">
        <v>#N/A</v>
      </c>
      <c r="CH639" t="e">
        <v>#N/A</v>
      </c>
      <c r="CL639" t="e">
        <f t="shared" si="234"/>
        <v>#N/A</v>
      </c>
      <c r="CM639" t="e">
        <v>#N/A</v>
      </c>
      <c r="CN639" t="e" cm="1">
        <f t="array" ref="CN639">IF(ISNUMBER(CM639),AF639/COUNT(IF(ISNUMBER(_xlfn.ANCHORARRAY($CM$11)),_xlfn.ANCHORARRAY($CM$11))),NA())</f>
        <v>#N/A</v>
      </c>
      <c r="CO639" t="e">
        <f t="shared" si="235"/>
        <v>#N/A</v>
      </c>
      <c r="CQ639" t="e">
        <f t="shared" si="236"/>
        <v>#N/A</v>
      </c>
      <c r="CR639" t="e">
        <f t="shared" si="237"/>
        <v>#N/A</v>
      </c>
      <c r="CT639" t="e">
        <v>#N/A</v>
      </c>
      <c r="CU639" t="e">
        <v>#N/A</v>
      </c>
      <c r="CY639" t="e">
        <f t="shared" si="238"/>
        <v>#N/A</v>
      </c>
      <c r="CZ639" t="e">
        <v>#N/A</v>
      </c>
      <c r="DA639" t="e" cm="1">
        <f t="array" ref="DA639">IF(ISNUMBER(CZ639),AF639/COUNT(IF(ISNUMBER(_xlfn.ANCHORARRAY($CZ$11)),_xlfn.ANCHORARRAY($CZ$11))),NA())</f>
        <v>#N/A</v>
      </c>
      <c r="DB639" t="e">
        <f t="shared" si="239"/>
        <v>#N/A</v>
      </c>
      <c r="DD639" t="e">
        <f t="shared" si="240"/>
        <v>#N/A</v>
      </c>
      <c r="DE639" t="e">
        <f t="shared" si="241"/>
        <v>#N/A</v>
      </c>
      <c r="DG639" t="e">
        <v>#N/A</v>
      </c>
      <c r="DH639" t="e">
        <v>#N/A</v>
      </c>
    </row>
    <row r="640" spans="32:112">
      <c r="AF640">
        <v>630</v>
      </c>
      <c r="AG640" s="401">
        <f>'Lab test'!N633</f>
        <v>49.853850000000001</v>
      </c>
      <c r="AH640" s="401">
        <f>'Lab test'!M633</f>
        <v>0.49529999999999996</v>
      </c>
      <c r="AI640">
        <f>IF('Lab test'!O633&gt;0,'Lab test'!O633,NA())</f>
        <v>101.6</v>
      </c>
      <c r="AJ640">
        <f>'Lab test'!Q633</f>
        <v>100.65384615384616</v>
      </c>
      <c r="AK640" s="401">
        <f>IF('Lab test'!V633&gt;0,'Lab test'!V633,NA())</f>
        <v>84800.824394887051</v>
      </c>
      <c r="AL640" s="7">
        <f>IF(MAX('Lab test'!W633,'Lab test'!X633)&gt;0,MAX('Lab test'!W633,'Lab test'!X633),NA())</f>
        <v>311.64302965120993</v>
      </c>
      <c r="AM640" s="401">
        <f>IF('Lab test'!P633&gt;0,'Lab test'!P633,NA())</f>
        <v>0.20313268917173474</v>
      </c>
      <c r="AN640" s="401">
        <f>IF('Lab test'!AU633&gt;0,'Lab test'!AU633,NA())</f>
        <v>0.73164020018185083</v>
      </c>
      <c r="AO640" s="401">
        <f>IF('Lab test'!AT633&gt;0,'Lab test'!AT633,NA())</f>
        <v>0.44716376228697385</v>
      </c>
      <c r="AP640">
        <f t="shared" si="242"/>
        <v>1</v>
      </c>
      <c r="AQ640" s="401">
        <f>'Lab test'!AZ633</f>
        <v>1950</v>
      </c>
      <c r="AR640" t="str">
        <f>'Lab test'!AC633</f>
        <v>Machined</v>
      </c>
      <c r="AS640" t="str">
        <f>'Lab test'!T633</f>
        <v>Aluminium</v>
      </c>
      <c r="AX640" t="e">
        <f t="shared" si="227"/>
        <v>#N/A</v>
      </c>
      <c r="AY640" t="e">
        <f t="shared" si="246"/>
        <v>#N/A</v>
      </c>
      <c r="AZ640" t="e">
        <f t="shared" si="243"/>
        <v>#N/A</v>
      </c>
      <c r="BA640" t="e">
        <f t="shared" si="243"/>
        <v>#N/A</v>
      </c>
      <c r="BB640" t="e">
        <f t="shared" si="243"/>
        <v>#N/A</v>
      </c>
      <c r="BC640" t="e">
        <f t="shared" si="243"/>
        <v>#N/A</v>
      </c>
      <c r="BD640" t="e">
        <f t="shared" si="243"/>
        <v>#N/A</v>
      </c>
      <c r="BG640" t="e">
        <f t="shared" si="228"/>
        <v>#N/A</v>
      </c>
      <c r="BH640" t="e">
        <f t="shared" si="247"/>
        <v>#N/A</v>
      </c>
      <c r="BI640" t="e">
        <f t="shared" si="244"/>
        <v>#N/A</v>
      </c>
      <c r="BJ640" t="e">
        <f t="shared" si="244"/>
        <v>#N/A</v>
      </c>
      <c r="BK640" t="e">
        <f t="shared" si="244"/>
        <v>#N/A</v>
      </c>
      <c r="BL640" t="e">
        <f t="shared" si="244"/>
        <v>#N/A</v>
      </c>
      <c r="BM640" t="e">
        <f t="shared" si="244"/>
        <v>#N/A</v>
      </c>
      <c r="BP640" t="e">
        <f t="shared" si="229"/>
        <v>#N/A</v>
      </c>
      <c r="BQ640" t="e">
        <f t="shared" si="248"/>
        <v>#N/A</v>
      </c>
      <c r="BR640" t="e">
        <f t="shared" si="245"/>
        <v>#N/A</v>
      </c>
      <c r="BS640" t="e">
        <f t="shared" si="245"/>
        <v>#N/A</v>
      </c>
      <c r="BT640" t="e">
        <f t="shared" si="245"/>
        <v>#N/A</v>
      </c>
      <c r="BU640" t="e">
        <f t="shared" si="245"/>
        <v>#N/A</v>
      </c>
      <c r="BV640" t="e">
        <f t="shared" si="245"/>
        <v>#N/A</v>
      </c>
      <c r="BY640" t="e">
        <f t="shared" si="230"/>
        <v>#N/A</v>
      </c>
      <c r="BZ640" t="e">
        <v>#N/A</v>
      </c>
      <c r="CA640" t="e" cm="1">
        <f t="array" ref="CA640">IF(ISNUMBER(BZ640),AF640/COUNT(IF(ISNUMBER(_xlfn.ANCHORARRAY($BZ$11)),_xlfn.ANCHORARRAY($BZ$11))),NA())</f>
        <v>#N/A</v>
      </c>
      <c r="CB640" t="e">
        <f t="shared" si="231"/>
        <v>#N/A</v>
      </c>
      <c r="CD640" t="e">
        <f t="shared" si="232"/>
        <v>#N/A</v>
      </c>
      <c r="CE640" t="e">
        <f t="shared" si="233"/>
        <v>#N/A</v>
      </c>
      <c r="CG640" t="e">
        <v>#N/A</v>
      </c>
      <c r="CH640" t="e">
        <v>#N/A</v>
      </c>
      <c r="CL640" t="e">
        <f t="shared" si="234"/>
        <v>#N/A</v>
      </c>
      <c r="CM640" t="e">
        <v>#N/A</v>
      </c>
      <c r="CN640" t="e" cm="1">
        <f t="array" ref="CN640">IF(ISNUMBER(CM640),AF640/COUNT(IF(ISNUMBER(_xlfn.ANCHORARRAY($CM$11)),_xlfn.ANCHORARRAY($CM$11))),NA())</f>
        <v>#N/A</v>
      </c>
      <c r="CO640" t="e">
        <f t="shared" si="235"/>
        <v>#N/A</v>
      </c>
      <c r="CQ640" t="e">
        <f t="shared" si="236"/>
        <v>#N/A</v>
      </c>
      <c r="CR640" t="e">
        <f t="shared" si="237"/>
        <v>#N/A</v>
      </c>
      <c r="CT640" t="e">
        <v>#N/A</v>
      </c>
      <c r="CU640" t="e">
        <v>#N/A</v>
      </c>
      <c r="CY640" t="e">
        <f t="shared" si="238"/>
        <v>#N/A</v>
      </c>
      <c r="CZ640" t="e">
        <v>#N/A</v>
      </c>
      <c r="DA640" t="e" cm="1">
        <f t="array" ref="DA640">IF(ISNUMBER(CZ640),AF640/COUNT(IF(ISNUMBER(_xlfn.ANCHORARRAY($CZ$11)),_xlfn.ANCHORARRAY($CZ$11))),NA())</f>
        <v>#N/A</v>
      </c>
      <c r="DB640" t="e">
        <f t="shared" si="239"/>
        <v>#N/A</v>
      </c>
      <c r="DD640" t="e">
        <f t="shared" si="240"/>
        <v>#N/A</v>
      </c>
      <c r="DE640" t="e">
        <f t="shared" si="241"/>
        <v>#N/A</v>
      </c>
      <c r="DG640" t="e">
        <v>#N/A</v>
      </c>
      <c r="DH640" t="e">
        <v>#N/A</v>
      </c>
    </row>
    <row r="641" spans="32:112">
      <c r="AF641">
        <v>631</v>
      </c>
      <c r="AG641" s="401">
        <f>'Lab test'!N634</f>
        <v>49.856390000000005</v>
      </c>
      <c r="AH641" s="401">
        <f>'Lab test'!M634</f>
        <v>0.49021999999999999</v>
      </c>
      <c r="AI641">
        <f>IF('Lab test'!O634&gt;0,'Lab test'!O634,NA())</f>
        <v>50.8</v>
      </c>
      <c r="AJ641">
        <f>'Lab test'!Q634</f>
        <v>101.70207253886012</v>
      </c>
      <c r="AK641" s="401">
        <f>IF('Lab test'!V634&gt;0,'Lab test'!V634,NA())</f>
        <v>84800.824394887051</v>
      </c>
      <c r="AL641" s="7">
        <f>IF(MAX('Lab test'!W634,'Lab test'!X634)&gt;0,MAX('Lab test'!W634,'Lab test'!X634),NA())</f>
        <v>311.64302965120993</v>
      </c>
      <c r="AM641" s="401">
        <f>IF('Lab test'!P634&gt;0,'Lab test'!P634,NA())</f>
        <v>0.10103642747882337</v>
      </c>
      <c r="AN641" s="401">
        <f>IF('Lab test'!AU634&gt;0,'Lab test'!AU634,NA())</f>
        <v>0.74197367799895397</v>
      </c>
      <c r="AO641" s="401">
        <f>IF('Lab test'!AT634&gt;0,'Lab test'!AT634,NA())</f>
        <v>0.45820198776676696</v>
      </c>
      <c r="AP641">
        <f t="shared" si="242"/>
        <v>1</v>
      </c>
      <c r="AQ641" s="401">
        <f>'Lab test'!AZ634</f>
        <v>1950</v>
      </c>
      <c r="AR641" t="str">
        <f>'Lab test'!AC634</f>
        <v>Machined</v>
      </c>
      <c r="AS641" t="str">
        <f>'Lab test'!T634</f>
        <v>Aluminium</v>
      </c>
      <c r="AX641" t="e">
        <f t="shared" si="227"/>
        <v>#N/A</v>
      </c>
      <c r="AY641" t="e">
        <f t="shared" si="246"/>
        <v>#N/A</v>
      </c>
      <c r="AZ641" t="e">
        <f t="shared" si="243"/>
        <v>#N/A</v>
      </c>
      <c r="BA641" t="e">
        <f t="shared" si="243"/>
        <v>#N/A</v>
      </c>
      <c r="BB641" t="e">
        <f t="shared" si="243"/>
        <v>#N/A</v>
      </c>
      <c r="BC641" t="e">
        <f t="shared" si="243"/>
        <v>#N/A</v>
      </c>
      <c r="BD641" t="e">
        <f t="shared" si="243"/>
        <v>#N/A</v>
      </c>
      <c r="BG641" t="e">
        <f t="shared" si="228"/>
        <v>#N/A</v>
      </c>
      <c r="BH641" t="e">
        <f t="shared" si="247"/>
        <v>#N/A</v>
      </c>
      <c r="BI641" t="e">
        <f t="shared" si="244"/>
        <v>#N/A</v>
      </c>
      <c r="BJ641" t="e">
        <f t="shared" si="244"/>
        <v>#N/A</v>
      </c>
      <c r="BK641" t="e">
        <f t="shared" si="244"/>
        <v>#N/A</v>
      </c>
      <c r="BL641" t="e">
        <f t="shared" si="244"/>
        <v>#N/A</v>
      </c>
      <c r="BM641" t="e">
        <f t="shared" si="244"/>
        <v>#N/A</v>
      </c>
      <c r="BP641" t="e">
        <f t="shared" si="229"/>
        <v>#N/A</v>
      </c>
      <c r="BQ641" t="e">
        <f t="shared" si="248"/>
        <v>#N/A</v>
      </c>
      <c r="BR641" t="e">
        <f t="shared" si="245"/>
        <v>#N/A</v>
      </c>
      <c r="BS641" t="e">
        <f t="shared" si="245"/>
        <v>#N/A</v>
      </c>
      <c r="BT641" t="e">
        <f t="shared" si="245"/>
        <v>#N/A</v>
      </c>
      <c r="BU641" t="e">
        <f t="shared" si="245"/>
        <v>#N/A</v>
      </c>
      <c r="BV641" t="e">
        <f t="shared" si="245"/>
        <v>#N/A</v>
      </c>
      <c r="BY641" t="e">
        <f t="shared" si="230"/>
        <v>#N/A</v>
      </c>
      <c r="BZ641" t="e">
        <v>#N/A</v>
      </c>
      <c r="CA641" t="e" cm="1">
        <f t="array" ref="CA641">IF(ISNUMBER(BZ641),AF641/COUNT(IF(ISNUMBER(_xlfn.ANCHORARRAY($BZ$11)),_xlfn.ANCHORARRAY($BZ$11))),NA())</f>
        <v>#N/A</v>
      </c>
      <c r="CB641" t="e">
        <f t="shared" si="231"/>
        <v>#N/A</v>
      </c>
      <c r="CD641" t="e">
        <f t="shared" si="232"/>
        <v>#N/A</v>
      </c>
      <c r="CE641" t="e">
        <f t="shared" si="233"/>
        <v>#N/A</v>
      </c>
      <c r="CG641" t="e">
        <v>#N/A</v>
      </c>
      <c r="CH641" t="e">
        <v>#N/A</v>
      </c>
      <c r="CL641" t="e">
        <f t="shared" si="234"/>
        <v>#N/A</v>
      </c>
      <c r="CM641" t="e">
        <v>#N/A</v>
      </c>
      <c r="CN641" t="e" cm="1">
        <f t="array" ref="CN641">IF(ISNUMBER(CM641),AF641/COUNT(IF(ISNUMBER(_xlfn.ANCHORARRAY($CM$11)),_xlfn.ANCHORARRAY($CM$11))),NA())</f>
        <v>#N/A</v>
      </c>
      <c r="CO641" t="e">
        <f t="shared" si="235"/>
        <v>#N/A</v>
      </c>
      <c r="CQ641" t="e">
        <f t="shared" si="236"/>
        <v>#N/A</v>
      </c>
      <c r="CR641" t="e">
        <f t="shared" si="237"/>
        <v>#N/A</v>
      </c>
      <c r="CT641" t="e">
        <v>#N/A</v>
      </c>
      <c r="CU641" t="e">
        <v>#N/A</v>
      </c>
      <c r="CY641" t="e">
        <f t="shared" si="238"/>
        <v>#N/A</v>
      </c>
      <c r="CZ641" t="e">
        <v>#N/A</v>
      </c>
      <c r="DA641" t="e" cm="1">
        <f t="array" ref="DA641">IF(ISNUMBER(CZ641),AF641/COUNT(IF(ISNUMBER(_xlfn.ANCHORARRAY($CZ$11)),_xlfn.ANCHORARRAY($CZ$11))),NA())</f>
        <v>#N/A</v>
      </c>
      <c r="DB641" t="e">
        <f t="shared" si="239"/>
        <v>#N/A</v>
      </c>
      <c r="DD641" t="e">
        <f t="shared" si="240"/>
        <v>#N/A</v>
      </c>
      <c r="DE641" t="e">
        <f t="shared" si="241"/>
        <v>#N/A</v>
      </c>
      <c r="DG641" t="e">
        <v>#N/A</v>
      </c>
      <c r="DH641" t="e">
        <v>#N/A</v>
      </c>
    </row>
    <row r="642" spans="32:112">
      <c r="AF642">
        <v>632</v>
      </c>
      <c r="AG642" s="401">
        <f>'Lab test'!N635</f>
        <v>49.750979999999991</v>
      </c>
      <c r="AH642" s="401">
        <f>'Lab test'!M635</f>
        <v>0.32003999999999999</v>
      </c>
      <c r="AI642">
        <f>IF('Lab test'!O635&gt;0,'Lab test'!O635,NA())</f>
        <v>101.6</v>
      </c>
      <c r="AJ642">
        <f>'Lab test'!Q635</f>
        <v>155.45238095238093</v>
      </c>
      <c r="AK642" s="401">
        <f>IF('Lab test'!V635&gt;0,'Lab test'!V635,NA())</f>
        <v>84800.824394887051</v>
      </c>
      <c r="AL642" s="7">
        <f>IF(MAX('Lab test'!W635,'Lab test'!X635)&gt;0,MAX('Lab test'!W635,'Lab test'!X635),NA())</f>
        <v>311.64302965120993</v>
      </c>
      <c r="AM642" s="401">
        <f>IF('Lab test'!P635&gt;0,'Lab test'!P635,NA())</f>
        <v>0.16379226134580974</v>
      </c>
      <c r="AN642" s="401">
        <f>IF('Lab test'!AU635&gt;0,'Lab test'!AU635,NA())</f>
        <v>0.59943327954300518</v>
      </c>
      <c r="AO642" s="401">
        <f>IF('Lab test'!AT635&gt;0,'Lab test'!AT635,NA())</f>
        <v>0.56581817779648536</v>
      </c>
      <c r="AP642">
        <f t="shared" si="242"/>
        <v>1</v>
      </c>
      <c r="AQ642" s="401">
        <f>'Lab test'!AZ635</f>
        <v>1950</v>
      </c>
      <c r="AR642" t="str">
        <f>'Lab test'!AC635</f>
        <v>Machined</v>
      </c>
      <c r="AS642" t="str">
        <f>'Lab test'!T635</f>
        <v>Aluminium</v>
      </c>
      <c r="AX642" t="e">
        <f t="shared" si="227"/>
        <v>#N/A</v>
      </c>
      <c r="AY642" t="e">
        <f t="shared" si="246"/>
        <v>#N/A</v>
      </c>
      <c r="AZ642" t="e">
        <f t="shared" si="243"/>
        <v>#N/A</v>
      </c>
      <c r="BA642" t="e">
        <f t="shared" si="243"/>
        <v>#N/A</v>
      </c>
      <c r="BB642" t="e">
        <f t="shared" si="243"/>
        <v>#N/A</v>
      </c>
      <c r="BC642" t="e">
        <f t="shared" si="243"/>
        <v>#N/A</v>
      </c>
      <c r="BD642" t="e">
        <f t="shared" si="243"/>
        <v>#N/A</v>
      </c>
      <c r="BG642" t="e">
        <f t="shared" si="228"/>
        <v>#N/A</v>
      </c>
      <c r="BH642" t="e">
        <f t="shared" si="247"/>
        <v>#N/A</v>
      </c>
      <c r="BI642" t="e">
        <f t="shared" si="244"/>
        <v>#N/A</v>
      </c>
      <c r="BJ642" t="e">
        <f t="shared" si="244"/>
        <v>#N/A</v>
      </c>
      <c r="BK642" t="e">
        <f t="shared" si="244"/>
        <v>#N/A</v>
      </c>
      <c r="BL642" t="e">
        <f t="shared" si="244"/>
        <v>#N/A</v>
      </c>
      <c r="BM642" t="e">
        <f t="shared" si="244"/>
        <v>#N/A</v>
      </c>
      <c r="BP642" t="e">
        <f t="shared" si="229"/>
        <v>#N/A</v>
      </c>
      <c r="BQ642" t="e">
        <f t="shared" si="248"/>
        <v>#N/A</v>
      </c>
      <c r="BR642" t="e">
        <f t="shared" si="245"/>
        <v>#N/A</v>
      </c>
      <c r="BS642" t="e">
        <f t="shared" si="245"/>
        <v>#N/A</v>
      </c>
      <c r="BT642" t="e">
        <f t="shared" si="245"/>
        <v>#N/A</v>
      </c>
      <c r="BU642" t="e">
        <f t="shared" si="245"/>
        <v>#N/A</v>
      </c>
      <c r="BV642" t="e">
        <f t="shared" si="245"/>
        <v>#N/A</v>
      </c>
      <c r="BY642" t="e">
        <f t="shared" si="230"/>
        <v>#N/A</v>
      </c>
      <c r="BZ642" t="e">
        <v>#N/A</v>
      </c>
      <c r="CA642" t="e" cm="1">
        <f t="array" ref="CA642">IF(ISNUMBER(BZ642),AF642/COUNT(IF(ISNUMBER(_xlfn.ANCHORARRAY($BZ$11)),_xlfn.ANCHORARRAY($BZ$11))),NA())</f>
        <v>#N/A</v>
      </c>
      <c r="CB642" t="e">
        <f t="shared" si="231"/>
        <v>#N/A</v>
      </c>
      <c r="CD642" t="e">
        <f t="shared" si="232"/>
        <v>#N/A</v>
      </c>
      <c r="CE642" t="e">
        <f t="shared" si="233"/>
        <v>#N/A</v>
      </c>
      <c r="CG642" t="e">
        <v>#N/A</v>
      </c>
      <c r="CH642" t="e">
        <v>#N/A</v>
      </c>
      <c r="CL642" t="e">
        <f t="shared" si="234"/>
        <v>#N/A</v>
      </c>
      <c r="CM642" t="e">
        <v>#N/A</v>
      </c>
      <c r="CN642" t="e" cm="1">
        <f t="array" ref="CN642">IF(ISNUMBER(CM642),AF642/COUNT(IF(ISNUMBER(_xlfn.ANCHORARRAY($CM$11)),_xlfn.ANCHORARRAY($CM$11))),NA())</f>
        <v>#N/A</v>
      </c>
      <c r="CO642" t="e">
        <f t="shared" si="235"/>
        <v>#N/A</v>
      </c>
      <c r="CQ642" t="e">
        <f t="shared" si="236"/>
        <v>#N/A</v>
      </c>
      <c r="CR642" t="e">
        <f t="shared" si="237"/>
        <v>#N/A</v>
      </c>
      <c r="CT642" t="e">
        <v>#N/A</v>
      </c>
      <c r="CU642" t="e">
        <v>#N/A</v>
      </c>
      <c r="CY642" t="e">
        <f t="shared" si="238"/>
        <v>#N/A</v>
      </c>
      <c r="CZ642" t="e">
        <v>#N/A</v>
      </c>
      <c r="DA642" t="e" cm="1">
        <f t="array" ref="DA642">IF(ISNUMBER(CZ642),AF642/COUNT(IF(ISNUMBER(_xlfn.ANCHORARRAY($CZ$11)),_xlfn.ANCHORARRAY($CZ$11))),NA())</f>
        <v>#N/A</v>
      </c>
      <c r="DB642" t="e">
        <f t="shared" si="239"/>
        <v>#N/A</v>
      </c>
      <c r="DD642" t="e">
        <f t="shared" si="240"/>
        <v>#N/A</v>
      </c>
      <c r="DE642" t="e">
        <f t="shared" si="241"/>
        <v>#N/A</v>
      </c>
      <c r="DG642" t="e">
        <v>#N/A</v>
      </c>
      <c r="DH642" t="e">
        <v>#N/A</v>
      </c>
    </row>
    <row r="643" spans="32:112">
      <c r="AF643">
        <v>633</v>
      </c>
      <c r="AG643" s="401">
        <f>'Lab test'!N636</f>
        <v>49.636680000000005</v>
      </c>
      <c r="AH643" s="401">
        <f>'Lab test'!M636</f>
        <v>0.24892000000000003</v>
      </c>
      <c r="AI643">
        <f>IF('Lab test'!O636&gt;0,'Lab test'!O636,NA())</f>
        <v>101.6</v>
      </c>
      <c r="AJ643">
        <f>'Lab test'!Q636</f>
        <v>199.40816326530611</v>
      </c>
      <c r="AK643" s="401">
        <f>IF('Lab test'!V636&gt;0,'Lab test'!V636,NA())</f>
        <v>84800.824394887051</v>
      </c>
      <c r="AL643" s="7">
        <f>IF(MAX('Lab test'!W636,'Lab test'!X636)&gt;0,MAX('Lab test'!W636,'Lab test'!X636),NA())</f>
        <v>311.64302965120993</v>
      </c>
      <c r="AM643" s="401">
        <f>IF('Lab test'!P636&gt;0,'Lab test'!P636,NA())</f>
        <v>0.14495043257339382</v>
      </c>
      <c r="AN643" s="401">
        <f>IF('Lab test'!AU636&gt;0,'Lab test'!AU636,NA())</f>
        <v>0.47452014010224142</v>
      </c>
      <c r="AO643" s="401">
        <f>IF('Lab test'!AT636&gt;0,'Lab test'!AT636,NA())</f>
        <v>0.57456114089363219</v>
      </c>
      <c r="AP643">
        <f t="shared" si="242"/>
        <v>1</v>
      </c>
      <c r="AQ643" s="401">
        <f>'Lab test'!AZ636</f>
        <v>1950</v>
      </c>
      <c r="AR643" t="str">
        <f>'Lab test'!AC636</f>
        <v>Machined</v>
      </c>
      <c r="AS643" t="str">
        <f>'Lab test'!T636</f>
        <v>Aluminium</v>
      </c>
      <c r="AX643" t="e">
        <f t="shared" si="227"/>
        <v>#N/A</v>
      </c>
      <c r="AY643" t="e">
        <f t="shared" si="246"/>
        <v>#N/A</v>
      </c>
      <c r="AZ643" t="e">
        <f t="shared" si="243"/>
        <v>#N/A</v>
      </c>
      <c r="BA643" t="e">
        <f t="shared" si="243"/>
        <v>#N/A</v>
      </c>
      <c r="BB643" t="e">
        <f t="shared" si="243"/>
        <v>#N/A</v>
      </c>
      <c r="BC643" t="e">
        <f t="shared" si="243"/>
        <v>#N/A</v>
      </c>
      <c r="BD643" t="e">
        <f t="shared" si="243"/>
        <v>#N/A</v>
      </c>
      <c r="BG643" t="e">
        <f t="shared" si="228"/>
        <v>#N/A</v>
      </c>
      <c r="BH643" t="e">
        <f t="shared" si="247"/>
        <v>#N/A</v>
      </c>
      <c r="BI643" t="e">
        <f t="shared" si="244"/>
        <v>#N/A</v>
      </c>
      <c r="BJ643" t="e">
        <f t="shared" si="244"/>
        <v>#N/A</v>
      </c>
      <c r="BK643" t="e">
        <f t="shared" si="244"/>
        <v>#N/A</v>
      </c>
      <c r="BL643" t="e">
        <f t="shared" si="244"/>
        <v>#N/A</v>
      </c>
      <c r="BM643" t="e">
        <f t="shared" si="244"/>
        <v>#N/A</v>
      </c>
      <c r="BP643" t="e">
        <f t="shared" si="229"/>
        <v>#N/A</v>
      </c>
      <c r="BQ643" t="e">
        <f t="shared" si="248"/>
        <v>#N/A</v>
      </c>
      <c r="BR643" t="e">
        <f t="shared" si="245"/>
        <v>#N/A</v>
      </c>
      <c r="BS643" t="e">
        <f t="shared" si="245"/>
        <v>#N/A</v>
      </c>
      <c r="BT643" t="e">
        <f t="shared" si="245"/>
        <v>#N/A</v>
      </c>
      <c r="BU643" t="e">
        <f t="shared" si="245"/>
        <v>#N/A</v>
      </c>
      <c r="BV643" t="e">
        <f t="shared" si="245"/>
        <v>#N/A</v>
      </c>
      <c r="BY643" t="e">
        <f t="shared" si="230"/>
        <v>#N/A</v>
      </c>
      <c r="BZ643" t="e">
        <v>#N/A</v>
      </c>
      <c r="CA643" t="e" cm="1">
        <f t="array" ref="CA643">IF(ISNUMBER(BZ643),AF643/COUNT(IF(ISNUMBER(_xlfn.ANCHORARRAY($BZ$11)),_xlfn.ANCHORARRAY($BZ$11))),NA())</f>
        <v>#N/A</v>
      </c>
      <c r="CB643" t="e">
        <f t="shared" si="231"/>
        <v>#N/A</v>
      </c>
      <c r="CD643" t="e">
        <f t="shared" si="232"/>
        <v>#N/A</v>
      </c>
      <c r="CE643" t="e">
        <f t="shared" si="233"/>
        <v>#N/A</v>
      </c>
      <c r="CG643" t="e">
        <v>#N/A</v>
      </c>
      <c r="CH643" t="e">
        <v>#N/A</v>
      </c>
      <c r="CL643" t="e">
        <f t="shared" si="234"/>
        <v>#N/A</v>
      </c>
      <c r="CM643" t="e">
        <v>#N/A</v>
      </c>
      <c r="CN643" t="e" cm="1">
        <f t="array" ref="CN643">IF(ISNUMBER(CM643),AF643/COUNT(IF(ISNUMBER(_xlfn.ANCHORARRAY($CM$11)),_xlfn.ANCHORARRAY($CM$11))),NA())</f>
        <v>#N/A</v>
      </c>
      <c r="CO643" t="e">
        <f t="shared" si="235"/>
        <v>#N/A</v>
      </c>
      <c r="CQ643" t="e">
        <f t="shared" si="236"/>
        <v>#N/A</v>
      </c>
      <c r="CR643" t="e">
        <f t="shared" si="237"/>
        <v>#N/A</v>
      </c>
      <c r="CT643" t="e">
        <v>#N/A</v>
      </c>
      <c r="CU643" t="e">
        <v>#N/A</v>
      </c>
      <c r="CY643" t="e">
        <f t="shared" si="238"/>
        <v>#N/A</v>
      </c>
      <c r="CZ643" t="e">
        <v>#N/A</v>
      </c>
      <c r="DA643" t="e" cm="1">
        <f t="array" ref="DA643">IF(ISNUMBER(CZ643),AF643/COUNT(IF(ISNUMBER(_xlfn.ANCHORARRAY($CZ$11)),_xlfn.ANCHORARRAY($CZ$11))),NA())</f>
        <v>#N/A</v>
      </c>
      <c r="DB643" t="e">
        <f t="shared" si="239"/>
        <v>#N/A</v>
      </c>
      <c r="DD643" t="e">
        <f t="shared" si="240"/>
        <v>#N/A</v>
      </c>
      <c r="DE643" t="e">
        <f t="shared" si="241"/>
        <v>#N/A</v>
      </c>
      <c r="DG643" t="e">
        <v>#N/A</v>
      </c>
      <c r="DH643" t="e">
        <v>#N/A</v>
      </c>
    </row>
    <row r="644" spans="32:112">
      <c r="AF644">
        <v>634</v>
      </c>
      <c r="AG644" s="401">
        <f>'Lab test'!N637</f>
        <v>49.682400000000001</v>
      </c>
      <c r="AH644" s="401">
        <f>'Lab test'!M637</f>
        <v>0.20320000000000002</v>
      </c>
      <c r="AI644">
        <f>IF('Lab test'!O637&gt;0,'Lab test'!O637,NA())</f>
        <v>152.4</v>
      </c>
      <c r="AJ644">
        <f>'Lab test'!Q637</f>
        <v>244.49999999999997</v>
      </c>
      <c r="AK644" s="401">
        <f>IF('Lab test'!V637&gt;0,'Lab test'!V637,NA())</f>
        <v>84800.824394887051</v>
      </c>
      <c r="AL644" s="7">
        <f>IF(MAX('Lab test'!W637,'Lab test'!X637)&gt;0,MAX('Lab test'!W637,'Lab test'!X637),NA())</f>
        <v>311.64302965120993</v>
      </c>
      <c r="AM644" s="401">
        <f>IF('Lab test'!P637&gt;0,'Lab test'!P637,NA())</f>
        <v>0.19617468692977896</v>
      </c>
      <c r="AN644" s="401">
        <f>IF('Lab test'!AU637&gt;0,'Lab test'!AU637,NA())</f>
        <v>0.41147872227061655</v>
      </c>
      <c r="AO644" s="401">
        <f>IF('Lab test'!AT637&gt;0,'Lab test'!AT637,NA())</f>
        <v>0.61089266838519762</v>
      </c>
      <c r="AP644">
        <f t="shared" si="242"/>
        <v>1</v>
      </c>
      <c r="AQ644" s="401">
        <f>'Lab test'!AZ637</f>
        <v>1950</v>
      </c>
      <c r="AR644" t="str">
        <f>'Lab test'!AC637</f>
        <v>Machined</v>
      </c>
      <c r="AS644" t="str">
        <f>'Lab test'!T637</f>
        <v>Aluminium</v>
      </c>
      <c r="AX644" t="e">
        <f t="shared" si="227"/>
        <v>#N/A</v>
      </c>
      <c r="AY644" t="e">
        <f t="shared" si="246"/>
        <v>#N/A</v>
      </c>
      <c r="AZ644" t="e">
        <f t="shared" si="243"/>
        <v>#N/A</v>
      </c>
      <c r="BA644" t="e">
        <f t="shared" si="243"/>
        <v>#N/A</v>
      </c>
      <c r="BB644" t="e">
        <f t="shared" si="243"/>
        <v>#N/A</v>
      </c>
      <c r="BC644" t="e">
        <f t="shared" si="243"/>
        <v>#N/A</v>
      </c>
      <c r="BD644" t="e">
        <f t="shared" si="243"/>
        <v>#N/A</v>
      </c>
      <c r="BG644" t="e">
        <f t="shared" si="228"/>
        <v>#N/A</v>
      </c>
      <c r="BH644" t="e">
        <f t="shared" si="247"/>
        <v>#N/A</v>
      </c>
      <c r="BI644" t="e">
        <f t="shared" si="244"/>
        <v>#N/A</v>
      </c>
      <c r="BJ644" t="e">
        <f t="shared" si="244"/>
        <v>#N/A</v>
      </c>
      <c r="BK644" t="e">
        <f t="shared" si="244"/>
        <v>#N/A</v>
      </c>
      <c r="BL644" t="e">
        <f t="shared" si="244"/>
        <v>#N/A</v>
      </c>
      <c r="BM644" t="e">
        <f t="shared" si="244"/>
        <v>#N/A</v>
      </c>
      <c r="BP644" t="e">
        <f t="shared" si="229"/>
        <v>#N/A</v>
      </c>
      <c r="BQ644" t="e">
        <f t="shared" si="248"/>
        <v>#N/A</v>
      </c>
      <c r="BR644" t="e">
        <f t="shared" si="245"/>
        <v>#N/A</v>
      </c>
      <c r="BS644" t="e">
        <f t="shared" si="245"/>
        <v>#N/A</v>
      </c>
      <c r="BT644" t="e">
        <f t="shared" si="245"/>
        <v>#N/A</v>
      </c>
      <c r="BU644" t="e">
        <f t="shared" si="245"/>
        <v>#N/A</v>
      </c>
      <c r="BV644" t="e">
        <f t="shared" si="245"/>
        <v>#N/A</v>
      </c>
      <c r="BY644" t="e">
        <f t="shared" si="230"/>
        <v>#N/A</v>
      </c>
      <c r="BZ644" t="e">
        <v>#N/A</v>
      </c>
      <c r="CA644" t="e" cm="1">
        <f t="array" ref="CA644">IF(ISNUMBER(BZ644),AF644/COUNT(IF(ISNUMBER(_xlfn.ANCHORARRAY($BZ$11)),_xlfn.ANCHORARRAY($BZ$11))),NA())</f>
        <v>#N/A</v>
      </c>
      <c r="CB644" t="e">
        <f t="shared" si="231"/>
        <v>#N/A</v>
      </c>
      <c r="CD644" t="e">
        <f t="shared" si="232"/>
        <v>#N/A</v>
      </c>
      <c r="CE644" t="e">
        <f t="shared" si="233"/>
        <v>#N/A</v>
      </c>
      <c r="CG644" t="e">
        <v>#N/A</v>
      </c>
      <c r="CH644" t="e">
        <v>#N/A</v>
      </c>
      <c r="CL644" t="e">
        <f t="shared" si="234"/>
        <v>#N/A</v>
      </c>
      <c r="CM644" t="e">
        <v>#N/A</v>
      </c>
      <c r="CN644" t="e" cm="1">
        <f t="array" ref="CN644">IF(ISNUMBER(CM644),AF644/COUNT(IF(ISNUMBER(_xlfn.ANCHORARRAY($CM$11)),_xlfn.ANCHORARRAY($CM$11))),NA())</f>
        <v>#N/A</v>
      </c>
      <c r="CO644" t="e">
        <f t="shared" si="235"/>
        <v>#N/A</v>
      </c>
      <c r="CQ644" t="e">
        <f t="shared" si="236"/>
        <v>#N/A</v>
      </c>
      <c r="CR644" t="e">
        <f t="shared" si="237"/>
        <v>#N/A</v>
      </c>
      <c r="CT644" t="e">
        <v>#N/A</v>
      </c>
      <c r="CU644" t="e">
        <v>#N/A</v>
      </c>
      <c r="CY644" t="e">
        <f t="shared" si="238"/>
        <v>#N/A</v>
      </c>
      <c r="CZ644" t="e">
        <v>#N/A</v>
      </c>
      <c r="DA644" t="e" cm="1">
        <f t="array" ref="DA644">IF(ISNUMBER(CZ644),AF644/COUNT(IF(ISNUMBER(_xlfn.ANCHORARRAY($CZ$11)),_xlfn.ANCHORARRAY($CZ$11))),NA())</f>
        <v>#N/A</v>
      </c>
      <c r="DB644" t="e">
        <f t="shared" si="239"/>
        <v>#N/A</v>
      </c>
      <c r="DD644" t="e">
        <f t="shared" si="240"/>
        <v>#N/A</v>
      </c>
      <c r="DE644" t="e">
        <f t="shared" si="241"/>
        <v>#N/A</v>
      </c>
      <c r="DG644" t="e">
        <v>#N/A</v>
      </c>
      <c r="DH644" t="e">
        <v>#N/A</v>
      </c>
    </row>
    <row r="645" spans="32:112">
      <c r="AF645">
        <v>635</v>
      </c>
      <c r="AG645" s="401">
        <f>'Lab test'!N638</f>
        <v>49.739550000000001</v>
      </c>
      <c r="AH645" s="401">
        <f>'Lab test'!M638</f>
        <v>0.1905</v>
      </c>
      <c r="AI645">
        <f>IF('Lab test'!O638&gt;0,'Lab test'!O638,NA())</f>
        <v>101.6</v>
      </c>
      <c r="AJ645">
        <f>'Lab test'!Q638</f>
        <v>261.10000000000002</v>
      </c>
      <c r="AK645" s="401">
        <f>IF('Lab test'!V638&gt;0,'Lab test'!V638,NA())</f>
        <v>84800.824394887051</v>
      </c>
      <c r="AL645" s="7">
        <f>IF(MAX('Lab test'!W638,'Lab test'!X638)&gt;0,MAX('Lab test'!W638,'Lab test'!X638),NA())</f>
        <v>311.64302965120993</v>
      </c>
      <c r="AM645" s="401">
        <f>IF('Lab test'!P638&gt;0,'Lab test'!P638,NA())</f>
        <v>0.12641203426636155</v>
      </c>
      <c r="AN645" s="401">
        <f>IF('Lab test'!AU638&gt;0,'Lab test'!AU638,NA())</f>
        <v>0.43648770803450215</v>
      </c>
      <c r="AO645" s="401">
        <f>IF('Lab test'!AT638&gt;0,'Lab test'!AT638,NA())</f>
        <v>0.69201826417221346</v>
      </c>
      <c r="AP645">
        <f t="shared" si="242"/>
        <v>1</v>
      </c>
      <c r="AQ645" s="401">
        <f>'Lab test'!AZ638</f>
        <v>1950</v>
      </c>
      <c r="AR645" t="str">
        <f>'Lab test'!AC638</f>
        <v>Machined</v>
      </c>
      <c r="AS645" t="str">
        <f>'Lab test'!T638</f>
        <v>Aluminium</v>
      </c>
      <c r="AX645" t="e">
        <f t="shared" si="227"/>
        <v>#N/A</v>
      </c>
      <c r="AY645" t="e">
        <f t="shared" si="246"/>
        <v>#N/A</v>
      </c>
      <c r="AZ645" t="e">
        <f t="shared" si="243"/>
        <v>#N/A</v>
      </c>
      <c r="BA645" t="e">
        <f t="shared" si="243"/>
        <v>#N/A</v>
      </c>
      <c r="BB645" t="e">
        <f t="shared" si="243"/>
        <v>#N/A</v>
      </c>
      <c r="BC645" t="e">
        <f t="shared" si="243"/>
        <v>#N/A</v>
      </c>
      <c r="BD645" t="e">
        <f t="shared" si="243"/>
        <v>#N/A</v>
      </c>
      <c r="BG645" t="e">
        <f t="shared" si="228"/>
        <v>#N/A</v>
      </c>
      <c r="BH645" t="e">
        <f t="shared" si="247"/>
        <v>#N/A</v>
      </c>
      <c r="BI645" t="e">
        <f t="shared" si="244"/>
        <v>#N/A</v>
      </c>
      <c r="BJ645" t="e">
        <f t="shared" si="244"/>
        <v>#N/A</v>
      </c>
      <c r="BK645" t="e">
        <f t="shared" si="244"/>
        <v>#N/A</v>
      </c>
      <c r="BL645" t="e">
        <f t="shared" si="244"/>
        <v>#N/A</v>
      </c>
      <c r="BM645" t="e">
        <f t="shared" si="244"/>
        <v>#N/A</v>
      </c>
      <c r="BP645" t="e">
        <f t="shared" si="229"/>
        <v>#N/A</v>
      </c>
      <c r="BQ645" t="e">
        <f t="shared" si="248"/>
        <v>#N/A</v>
      </c>
      <c r="BR645" t="e">
        <f t="shared" si="245"/>
        <v>#N/A</v>
      </c>
      <c r="BS645" t="e">
        <f t="shared" si="245"/>
        <v>#N/A</v>
      </c>
      <c r="BT645" t="e">
        <f t="shared" si="245"/>
        <v>#N/A</v>
      </c>
      <c r="BU645" t="e">
        <f t="shared" si="245"/>
        <v>#N/A</v>
      </c>
      <c r="BV645" t="e">
        <f t="shared" si="245"/>
        <v>#N/A</v>
      </c>
      <c r="BY645" t="e">
        <f t="shared" si="230"/>
        <v>#N/A</v>
      </c>
      <c r="BZ645" t="e">
        <v>#N/A</v>
      </c>
      <c r="CA645" t="e" cm="1">
        <f t="array" ref="CA645">IF(ISNUMBER(BZ645),AF645/COUNT(IF(ISNUMBER(_xlfn.ANCHORARRAY($BZ$11)),_xlfn.ANCHORARRAY($BZ$11))),NA())</f>
        <v>#N/A</v>
      </c>
      <c r="CB645" t="e">
        <f t="shared" si="231"/>
        <v>#N/A</v>
      </c>
      <c r="CD645" t="e">
        <f t="shared" si="232"/>
        <v>#N/A</v>
      </c>
      <c r="CE645" t="e">
        <f t="shared" si="233"/>
        <v>#N/A</v>
      </c>
      <c r="CG645" t="e">
        <v>#N/A</v>
      </c>
      <c r="CH645" t="e">
        <v>#N/A</v>
      </c>
      <c r="CL645" t="e">
        <f t="shared" si="234"/>
        <v>#N/A</v>
      </c>
      <c r="CM645" t="e">
        <v>#N/A</v>
      </c>
      <c r="CN645" t="e" cm="1">
        <f t="array" ref="CN645">IF(ISNUMBER(CM645),AF645/COUNT(IF(ISNUMBER(_xlfn.ANCHORARRAY($CM$11)),_xlfn.ANCHORARRAY($CM$11))),NA())</f>
        <v>#N/A</v>
      </c>
      <c r="CO645" t="e">
        <f t="shared" si="235"/>
        <v>#N/A</v>
      </c>
      <c r="CQ645" t="e">
        <f t="shared" si="236"/>
        <v>#N/A</v>
      </c>
      <c r="CR645" t="e">
        <f t="shared" si="237"/>
        <v>#N/A</v>
      </c>
      <c r="CT645" t="e">
        <v>#N/A</v>
      </c>
      <c r="CU645" t="e">
        <v>#N/A</v>
      </c>
      <c r="CY645" t="e">
        <f t="shared" si="238"/>
        <v>#N/A</v>
      </c>
      <c r="CZ645" t="e">
        <v>#N/A</v>
      </c>
      <c r="DA645" t="e" cm="1">
        <f t="array" ref="DA645">IF(ISNUMBER(CZ645),AF645/COUNT(IF(ISNUMBER(_xlfn.ANCHORARRAY($CZ$11)),_xlfn.ANCHORARRAY($CZ$11))),NA())</f>
        <v>#N/A</v>
      </c>
      <c r="DB645" t="e">
        <f t="shared" si="239"/>
        <v>#N/A</v>
      </c>
      <c r="DD645" t="e">
        <f t="shared" si="240"/>
        <v>#N/A</v>
      </c>
      <c r="DE645" t="e">
        <f t="shared" si="241"/>
        <v>#N/A</v>
      </c>
      <c r="DG645" t="e">
        <v>#N/A</v>
      </c>
      <c r="DH645" t="e">
        <v>#N/A</v>
      </c>
    </row>
    <row r="646" spans="32:112">
      <c r="AF646">
        <v>636</v>
      </c>
      <c r="AG646" s="401">
        <f>'Lab test'!N639</f>
        <v>49.682400000000001</v>
      </c>
      <c r="AH646" s="401">
        <f>'Lab test'!M639</f>
        <v>0.20320000000000002</v>
      </c>
      <c r="AI646">
        <f>IF('Lab test'!O639&gt;0,'Lab test'!O639,NA())</f>
        <v>50.8</v>
      </c>
      <c r="AJ646">
        <f>'Lab test'!Q639</f>
        <v>244.49999999999997</v>
      </c>
      <c r="AK646" s="401">
        <f>IF('Lab test'!V639&gt;0,'Lab test'!V639,NA())</f>
        <v>84800.824394887051</v>
      </c>
      <c r="AL646" s="7">
        <f>IF(MAX('Lab test'!W639,'Lab test'!X639)&gt;0,MAX('Lab test'!W639,'Lab test'!X639),NA())</f>
        <v>311.64302965120993</v>
      </c>
      <c r="AM646" s="401">
        <f>IF('Lab test'!P639&gt;0,'Lab test'!P639,NA())</f>
        <v>6.5391562309926321E-2</v>
      </c>
      <c r="AN646" s="401">
        <f>IF('Lab test'!AU639&gt;0,'Lab test'!AU639,NA())</f>
        <v>0.42205831742746502</v>
      </c>
      <c r="AO646" s="401">
        <f>IF('Lab test'!AT639&gt;0,'Lab test'!AT639,NA())</f>
        <v>0.62659942736446694</v>
      </c>
      <c r="AP646">
        <f t="shared" si="242"/>
        <v>1</v>
      </c>
      <c r="AQ646" s="401">
        <f>'Lab test'!AZ639</f>
        <v>1950</v>
      </c>
      <c r="AR646" t="str">
        <f>'Lab test'!AC639</f>
        <v>Machined</v>
      </c>
      <c r="AS646" t="str">
        <f>'Lab test'!T639</f>
        <v>Aluminium</v>
      </c>
      <c r="AX646" t="e">
        <f t="shared" si="227"/>
        <v>#N/A</v>
      </c>
      <c r="AY646" t="e">
        <f t="shared" si="246"/>
        <v>#N/A</v>
      </c>
      <c r="AZ646" t="e">
        <f t="shared" si="243"/>
        <v>#N/A</v>
      </c>
      <c r="BA646" t="e">
        <f t="shared" si="243"/>
        <v>#N/A</v>
      </c>
      <c r="BB646" t="e">
        <f t="shared" si="243"/>
        <v>#N/A</v>
      </c>
      <c r="BC646" t="e">
        <f t="shared" si="243"/>
        <v>#N/A</v>
      </c>
      <c r="BD646" t="e">
        <f t="shared" si="243"/>
        <v>#N/A</v>
      </c>
      <c r="BG646" t="e">
        <f t="shared" si="228"/>
        <v>#N/A</v>
      </c>
      <c r="BH646" t="e">
        <f t="shared" si="247"/>
        <v>#N/A</v>
      </c>
      <c r="BI646" t="e">
        <f t="shared" si="244"/>
        <v>#N/A</v>
      </c>
      <c r="BJ646" t="e">
        <f t="shared" si="244"/>
        <v>#N/A</v>
      </c>
      <c r="BK646" t="e">
        <f t="shared" si="244"/>
        <v>#N/A</v>
      </c>
      <c r="BL646" t="e">
        <f t="shared" si="244"/>
        <v>#N/A</v>
      </c>
      <c r="BM646" t="e">
        <f t="shared" si="244"/>
        <v>#N/A</v>
      </c>
      <c r="BP646" t="e">
        <f t="shared" si="229"/>
        <v>#N/A</v>
      </c>
      <c r="BQ646" t="e">
        <f t="shared" si="248"/>
        <v>#N/A</v>
      </c>
      <c r="BR646" t="e">
        <f t="shared" si="245"/>
        <v>#N/A</v>
      </c>
      <c r="BS646" t="e">
        <f t="shared" si="245"/>
        <v>#N/A</v>
      </c>
      <c r="BT646" t="e">
        <f t="shared" si="245"/>
        <v>#N/A</v>
      </c>
      <c r="BU646" t="e">
        <f t="shared" si="245"/>
        <v>#N/A</v>
      </c>
      <c r="BV646" t="e">
        <f t="shared" si="245"/>
        <v>#N/A</v>
      </c>
      <c r="BY646" t="e">
        <f t="shared" si="230"/>
        <v>#N/A</v>
      </c>
      <c r="BZ646" t="e">
        <v>#N/A</v>
      </c>
      <c r="CA646" t="e" cm="1">
        <f t="array" ref="CA646">IF(ISNUMBER(BZ646),AF646/COUNT(IF(ISNUMBER(_xlfn.ANCHORARRAY($BZ$11)),_xlfn.ANCHORARRAY($BZ$11))),NA())</f>
        <v>#N/A</v>
      </c>
      <c r="CB646" t="e">
        <f t="shared" si="231"/>
        <v>#N/A</v>
      </c>
      <c r="CD646" t="e">
        <f t="shared" si="232"/>
        <v>#N/A</v>
      </c>
      <c r="CE646" t="e">
        <f t="shared" si="233"/>
        <v>#N/A</v>
      </c>
      <c r="CG646" t="e">
        <v>#N/A</v>
      </c>
      <c r="CH646" t="e">
        <v>#N/A</v>
      </c>
      <c r="CL646" t="e">
        <f t="shared" si="234"/>
        <v>#N/A</v>
      </c>
      <c r="CM646" t="e">
        <v>#N/A</v>
      </c>
      <c r="CN646" t="e" cm="1">
        <f t="array" ref="CN646">IF(ISNUMBER(CM646),AF646/COUNT(IF(ISNUMBER(_xlfn.ANCHORARRAY($CM$11)),_xlfn.ANCHORARRAY($CM$11))),NA())</f>
        <v>#N/A</v>
      </c>
      <c r="CO646" t="e">
        <f t="shared" si="235"/>
        <v>#N/A</v>
      </c>
      <c r="CQ646" t="e">
        <f t="shared" si="236"/>
        <v>#N/A</v>
      </c>
      <c r="CR646" t="e">
        <f t="shared" si="237"/>
        <v>#N/A</v>
      </c>
      <c r="CT646" t="e">
        <v>#N/A</v>
      </c>
      <c r="CU646" t="e">
        <v>#N/A</v>
      </c>
      <c r="CY646" t="e">
        <f t="shared" si="238"/>
        <v>#N/A</v>
      </c>
      <c r="CZ646" t="e">
        <v>#N/A</v>
      </c>
      <c r="DA646" t="e" cm="1">
        <f t="array" ref="DA646">IF(ISNUMBER(CZ646),AF646/COUNT(IF(ISNUMBER(_xlfn.ANCHORARRAY($CZ$11)),_xlfn.ANCHORARRAY($CZ$11))),NA())</f>
        <v>#N/A</v>
      </c>
      <c r="DB646" t="e">
        <f t="shared" si="239"/>
        <v>#N/A</v>
      </c>
      <c r="DD646" t="e">
        <f t="shared" si="240"/>
        <v>#N/A</v>
      </c>
      <c r="DE646" t="e">
        <f t="shared" si="241"/>
        <v>#N/A</v>
      </c>
      <c r="DG646" t="e">
        <v>#N/A</v>
      </c>
      <c r="DH646" t="e">
        <v>#N/A</v>
      </c>
    </row>
    <row r="647" spans="32:112">
      <c r="AF647">
        <v>637</v>
      </c>
      <c r="AG647" s="401">
        <f>'Lab test'!N640</f>
        <v>49.516029999999994</v>
      </c>
      <c r="AH647" s="401">
        <f>'Lab test'!M640</f>
        <v>0.10414000000000001</v>
      </c>
      <c r="AI647">
        <f>IF('Lab test'!O640&gt;0,'Lab test'!O640,NA())</f>
        <v>152.4</v>
      </c>
      <c r="AJ647">
        <f>'Lab test'!Q640</f>
        <v>475.47560975609747</v>
      </c>
      <c r="AK647" s="401">
        <f>IF('Lab test'!V640&gt;0,'Lab test'!V640,NA())</f>
        <v>84800.824394887051</v>
      </c>
      <c r="AL647" s="7">
        <f>IF(MAX('Lab test'!W640,'Lab test'!X640)&gt;0,MAX('Lab test'!W640,'Lab test'!X640),NA())</f>
        <v>311.64302965120993</v>
      </c>
      <c r="AM647" s="401">
        <f>IF('Lab test'!P640&gt;0,'Lab test'!P640,NA())</f>
        <v>0.14114809711466583</v>
      </c>
      <c r="AN647" s="401">
        <f>IF('Lab test'!AU640&gt;0,'Lab test'!AU640,NA())</f>
        <v>0.13837693892294989</v>
      </c>
      <c r="AO647" s="401">
        <f>IF('Lab test'!AT640&gt;0,'Lab test'!AT640,NA())</f>
        <v>0.3995127374123762</v>
      </c>
      <c r="AP647">
        <f t="shared" si="242"/>
        <v>1</v>
      </c>
      <c r="AQ647" s="401">
        <f>'Lab test'!AZ640</f>
        <v>1950</v>
      </c>
      <c r="AR647" t="str">
        <f>'Lab test'!AC640</f>
        <v>Machined</v>
      </c>
      <c r="AS647" t="str">
        <f>'Lab test'!T640</f>
        <v>Aluminium</v>
      </c>
      <c r="AX647" t="e">
        <f t="shared" si="227"/>
        <v>#N/A</v>
      </c>
      <c r="AY647" t="e">
        <f t="shared" si="246"/>
        <v>#N/A</v>
      </c>
      <c r="AZ647" t="e">
        <f t="shared" si="243"/>
        <v>#N/A</v>
      </c>
      <c r="BA647" t="e">
        <f t="shared" si="243"/>
        <v>#N/A</v>
      </c>
      <c r="BB647" t="e">
        <f t="shared" si="243"/>
        <v>#N/A</v>
      </c>
      <c r="BC647" t="e">
        <f t="shared" si="243"/>
        <v>#N/A</v>
      </c>
      <c r="BD647" t="e">
        <f t="shared" si="243"/>
        <v>#N/A</v>
      </c>
      <c r="BG647" t="e">
        <f t="shared" si="228"/>
        <v>#N/A</v>
      </c>
      <c r="BH647" t="e">
        <f t="shared" si="247"/>
        <v>#N/A</v>
      </c>
      <c r="BI647" t="e">
        <f t="shared" si="244"/>
        <v>#N/A</v>
      </c>
      <c r="BJ647" t="e">
        <f t="shared" si="244"/>
        <v>#N/A</v>
      </c>
      <c r="BK647" t="e">
        <f t="shared" si="244"/>
        <v>#N/A</v>
      </c>
      <c r="BL647" t="e">
        <f t="shared" si="244"/>
        <v>#N/A</v>
      </c>
      <c r="BM647" t="e">
        <f t="shared" si="244"/>
        <v>#N/A</v>
      </c>
      <c r="BP647" t="e">
        <f t="shared" si="229"/>
        <v>#N/A</v>
      </c>
      <c r="BQ647" t="e">
        <f t="shared" si="248"/>
        <v>#N/A</v>
      </c>
      <c r="BR647" t="e">
        <f t="shared" si="245"/>
        <v>#N/A</v>
      </c>
      <c r="BS647" t="e">
        <f t="shared" si="245"/>
        <v>#N/A</v>
      </c>
      <c r="BT647" t="e">
        <f t="shared" si="245"/>
        <v>#N/A</v>
      </c>
      <c r="BU647" t="e">
        <f t="shared" si="245"/>
        <v>#N/A</v>
      </c>
      <c r="BV647" t="e">
        <f t="shared" si="245"/>
        <v>#N/A</v>
      </c>
      <c r="BY647" t="e">
        <f t="shared" si="230"/>
        <v>#N/A</v>
      </c>
      <c r="BZ647" t="e">
        <v>#N/A</v>
      </c>
      <c r="CA647" t="e" cm="1">
        <f t="array" ref="CA647">IF(ISNUMBER(BZ647),AF647/COUNT(IF(ISNUMBER(_xlfn.ANCHORARRAY($BZ$11)),_xlfn.ANCHORARRAY($BZ$11))),NA())</f>
        <v>#N/A</v>
      </c>
      <c r="CB647" t="e">
        <f t="shared" si="231"/>
        <v>#N/A</v>
      </c>
      <c r="CD647" t="e">
        <f t="shared" si="232"/>
        <v>#N/A</v>
      </c>
      <c r="CE647" t="e">
        <f t="shared" si="233"/>
        <v>#N/A</v>
      </c>
      <c r="CG647" t="e">
        <v>#N/A</v>
      </c>
      <c r="CH647" t="e">
        <v>#N/A</v>
      </c>
      <c r="CL647" t="e">
        <f t="shared" si="234"/>
        <v>#N/A</v>
      </c>
      <c r="CM647" t="e">
        <v>#N/A</v>
      </c>
      <c r="CN647" t="e" cm="1">
        <f t="array" ref="CN647">IF(ISNUMBER(CM647),AF647/COUNT(IF(ISNUMBER(_xlfn.ANCHORARRAY($CM$11)),_xlfn.ANCHORARRAY($CM$11))),NA())</f>
        <v>#N/A</v>
      </c>
      <c r="CO647" t="e">
        <f t="shared" si="235"/>
        <v>#N/A</v>
      </c>
      <c r="CQ647" t="e">
        <f t="shared" si="236"/>
        <v>#N/A</v>
      </c>
      <c r="CR647" t="e">
        <f t="shared" si="237"/>
        <v>#N/A</v>
      </c>
      <c r="CT647" t="e">
        <v>#N/A</v>
      </c>
      <c r="CU647" t="e">
        <v>#N/A</v>
      </c>
      <c r="CY647" t="e">
        <f t="shared" si="238"/>
        <v>#N/A</v>
      </c>
      <c r="CZ647" t="e">
        <v>#N/A</v>
      </c>
      <c r="DA647" t="e" cm="1">
        <f t="array" ref="DA647">IF(ISNUMBER(CZ647),AF647/COUNT(IF(ISNUMBER(_xlfn.ANCHORARRAY($CZ$11)),_xlfn.ANCHORARRAY($CZ$11))),NA())</f>
        <v>#N/A</v>
      </c>
      <c r="DB647" t="e">
        <f t="shared" si="239"/>
        <v>#N/A</v>
      </c>
      <c r="DD647" t="e">
        <f t="shared" si="240"/>
        <v>#N/A</v>
      </c>
      <c r="DE647" t="e">
        <f t="shared" si="241"/>
        <v>#N/A</v>
      </c>
      <c r="DG647" t="e">
        <v>#N/A</v>
      </c>
      <c r="DH647" t="e">
        <v>#N/A</v>
      </c>
    </row>
    <row r="648" spans="32:112">
      <c r="AF648">
        <v>638</v>
      </c>
      <c r="AG648" s="401">
        <f>'Lab test'!N641</f>
        <v>49.538890000000002</v>
      </c>
      <c r="AH648" s="401">
        <f>'Lab test'!M641</f>
        <v>8.3819999999999992E-2</v>
      </c>
      <c r="AI648">
        <f>IF('Lab test'!O641&gt;0,'Lab test'!O641,NA())</f>
        <v>88.9</v>
      </c>
      <c r="AJ648">
        <f>'Lab test'!Q641</f>
        <v>591.01515151515162</v>
      </c>
      <c r="AK648" s="401">
        <f>IF('Lab test'!V641&gt;0,'Lab test'!V641,NA())</f>
        <v>84800.824394887051</v>
      </c>
      <c r="AL648" s="7">
        <f>IF(MAX('Lab test'!W641,'Lab test'!X641)&gt;0,MAX('Lab test'!W641,'Lab test'!X641),NA())</f>
        <v>311.64302965120993</v>
      </c>
      <c r="AM648" s="401">
        <f>IF('Lab test'!P641&gt;0,'Lab test'!P641,NA())</f>
        <v>7.3816964521037712E-2</v>
      </c>
      <c r="AN648" s="401">
        <f>IF('Lab test'!AU641&gt;0,'Lab test'!AU641,NA())</f>
        <v>7.4429044293290128E-2</v>
      </c>
      <c r="AO648" s="401">
        <f>IF('Lab test'!AT641&gt;0,'Lab test'!AT641,NA())</f>
        <v>0.26710358938624168</v>
      </c>
      <c r="AP648">
        <f t="shared" si="242"/>
        <v>1</v>
      </c>
      <c r="AQ648" s="401">
        <f>'Lab test'!AZ641</f>
        <v>1950</v>
      </c>
      <c r="AR648" t="str">
        <f>'Lab test'!AC641</f>
        <v>Machined</v>
      </c>
      <c r="AS648" t="str">
        <f>'Lab test'!T641</f>
        <v>Aluminium</v>
      </c>
      <c r="AX648" t="e">
        <f t="shared" si="227"/>
        <v>#N/A</v>
      </c>
      <c r="AY648" t="e">
        <f t="shared" si="246"/>
        <v>#N/A</v>
      </c>
      <c r="AZ648" t="e">
        <f t="shared" si="243"/>
        <v>#N/A</v>
      </c>
      <c r="BA648" t="e">
        <f t="shared" si="243"/>
        <v>#N/A</v>
      </c>
      <c r="BB648" t="e">
        <f t="shared" si="243"/>
        <v>#N/A</v>
      </c>
      <c r="BC648" t="e">
        <f t="shared" si="243"/>
        <v>#N/A</v>
      </c>
      <c r="BD648" t="e">
        <f t="shared" si="243"/>
        <v>#N/A</v>
      </c>
      <c r="BG648" t="e">
        <f t="shared" si="228"/>
        <v>#N/A</v>
      </c>
      <c r="BH648" t="e">
        <f t="shared" si="247"/>
        <v>#N/A</v>
      </c>
      <c r="BI648" t="e">
        <f t="shared" si="244"/>
        <v>#N/A</v>
      </c>
      <c r="BJ648" t="e">
        <f t="shared" si="244"/>
        <v>#N/A</v>
      </c>
      <c r="BK648" t="e">
        <f t="shared" si="244"/>
        <v>#N/A</v>
      </c>
      <c r="BL648" t="e">
        <f t="shared" si="244"/>
        <v>#N/A</v>
      </c>
      <c r="BM648" t="e">
        <f t="shared" si="244"/>
        <v>#N/A</v>
      </c>
      <c r="BP648" t="e">
        <f t="shared" si="229"/>
        <v>#N/A</v>
      </c>
      <c r="BQ648" t="e">
        <f t="shared" si="248"/>
        <v>#N/A</v>
      </c>
      <c r="BR648" t="e">
        <f t="shared" si="245"/>
        <v>#N/A</v>
      </c>
      <c r="BS648" t="e">
        <f t="shared" si="245"/>
        <v>#N/A</v>
      </c>
      <c r="BT648" t="e">
        <f t="shared" si="245"/>
        <v>#N/A</v>
      </c>
      <c r="BU648" t="e">
        <f t="shared" si="245"/>
        <v>#N/A</v>
      </c>
      <c r="BV648" t="e">
        <f t="shared" si="245"/>
        <v>#N/A</v>
      </c>
      <c r="BY648" t="e">
        <f t="shared" si="230"/>
        <v>#N/A</v>
      </c>
      <c r="BZ648" t="e">
        <v>#N/A</v>
      </c>
      <c r="CA648" t="e" cm="1">
        <f t="array" ref="CA648">IF(ISNUMBER(BZ648),AF648/COUNT(IF(ISNUMBER(_xlfn.ANCHORARRAY($BZ$11)),_xlfn.ANCHORARRAY($BZ$11))),NA())</f>
        <v>#N/A</v>
      </c>
      <c r="CB648" t="e">
        <f t="shared" si="231"/>
        <v>#N/A</v>
      </c>
      <c r="CD648" t="e">
        <f t="shared" si="232"/>
        <v>#N/A</v>
      </c>
      <c r="CE648" t="e">
        <f t="shared" si="233"/>
        <v>#N/A</v>
      </c>
      <c r="CG648" t="e">
        <v>#N/A</v>
      </c>
      <c r="CH648" t="e">
        <v>#N/A</v>
      </c>
      <c r="CL648" t="e">
        <f t="shared" si="234"/>
        <v>#N/A</v>
      </c>
      <c r="CM648" t="e">
        <v>#N/A</v>
      </c>
      <c r="CN648" t="e" cm="1">
        <f t="array" ref="CN648">IF(ISNUMBER(CM648),AF648/COUNT(IF(ISNUMBER(_xlfn.ANCHORARRAY($CM$11)),_xlfn.ANCHORARRAY($CM$11))),NA())</f>
        <v>#N/A</v>
      </c>
      <c r="CO648" t="e">
        <f t="shared" si="235"/>
        <v>#N/A</v>
      </c>
      <c r="CQ648" t="e">
        <f t="shared" si="236"/>
        <v>#N/A</v>
      </c>
      <c r="CR648" t="e">
        <f t="shared" si="237"/>
        <v>#N/A</v>
      </c>
      <c r="CT648" t="e">
        <v>#N/A</v>
      </c>
      <c r="CU648" t="e">
        <v>#N/A</v>
      </c>
      <c r="CY648" t="e">
        <f t="shared" si="238"/>
        <v>#N/A</v>
      </c>
      <c r="CZ648" t="e">
        <v>#N/A</v>
      </c>
      <c r="DA648" t="e" cm="1">
        <f t="array" ref="DA648">IF(ISNUMBER(CZ648),AF648/COUNT(IF(ISNUMBER(_xlfn.ANCHORARRAY($CZ$11)),_xlfn.ANCHORARRAY($CZ$11))),NA())</f>
        <v>#N/A</v>
      </c>
      <c r="DB648" t="e">
        <f t="shared" si="239"/>
        <v>#N/A</v>
      </c>
      <c r="DD648" t="e">
        <f t="shared" si="240"/>
        <v>#N/A</v>
      </c>
      <c r="DE648" t="e">
        <f t="shared" si="241"/>
        <v>#N/A</v>
      </c>
      <c r="DG648" t="e">
        <v>#N/A</v>
      </c>
      <c r="DH648" t="e">
        <v>#N/A</v>
      </c>
    </row>
    <row r="649" spans="32:112">
      <c r="AF649">
        <v>639</v>
      </c>
      <c r="AG649" s="401">
        <f>'Lab test'!N642</f>
        <v>49.541430000000005</v>
      </c>
      <c r="AH649" s="401">
        <f>'Lab test'!M642</f>
        <v>7.8739999999999991E-2</v>
      </c>
      <c r="AI649">
        <f>IF('Lab test'!O642&gt;0,'Lab test'!O642,NA())</f>
        <v>50.8</v>
      </c>
      <c r="AJ649">
        <f>'Lab test'!Q642</f>
        <v>629.17741935483889</v>
      </c>
      <c r="AK649" s="401">
        <f>IF('Lab test'!V642&gt;0,'Lab test'!V642,NA())</f>
        <v>84800.824394887051</v>
      </c>
      <c r="AL649" s="7">
        <f>IF(MAX('Lab test'!W642,'Lab test'!X642)&gt;0,MAX('Lab test'!W642,'Lab test'!X642),NA())</f>
        <v>311.64302965120993</v>
      </c>
      <c r="AM649" s="401">
        <f>IF('Lab test'!P642&gt;0,'Lab test'!P642,NA())</f>
        <v>4.0879785671879373E-2</v>
      </c>
      <c r="AN649" s="401">
        <f>IF('Lab test'!AU642&gt;0,'Lab test'!AU642,NA())</f>
        <v>4.648752281897358E-2</v>
      </c>
      <c r="AO649" s="401">
        <f>IF('Lab test'!AT642&gt;0,'Lab test'!AT642,NA())</f>
        <v>0.17760214195967022</v>
      </c>
      <c r="AP649">
        <f t="shared" si="242"/>
        <v>1</v>
      </c>
      <c r="AQ649" s="401">
        <f>'Lab test'!AZ642</f>
        <v>1950</v>
      </c>
      <c r="AR649" t="str">
        <f>'Lab test'!AC642</f>
        <v>Machined</v>
      </c>
      <c r="AS649" t="str">
        <f>'Lab test'!T642</f>
        <v>Aluminium</v>
      </c>
      <c r="AX649" t="e">
        <f t="shared" si="227"/>
        <v>#N/A</v>
      </c>
      <c r="AY649" t="e">
        <f t="shared" si="246"/>
        <v>#N/A</v>
      </c>
      <c r="AZ649" t="e">
        <f t="shared" si="243"/>
        <v>#N/A</v>
      </c>
      <c r="BA649" t="e">
        <f t="shared" si="243"/>
        <v>#N/A</v>
      </c>
      <c r="BB649" t="e">
        <f t="shared" si="243"/>
        <v>#N/A</v>
      </c>
      <c r="BC649" t="e">
        <f t="shared" si="243"/>
        <v>#N/A</v>
      </c>
      <c r="BD649" t="e">
        <f t="shared" si="243"/>
        <v>#N/A</v>
      </c>
      <c r="BG649" t="e">
        <f t="shared" si="228"/>
        <v>#N/A</v>
      </c>
      <c r="BH649" t="e">
        <f t="shared" si="247"/>
        <v>#N/A</v>
      </c>
      <c r="BI649" t="e">
        <f t="shared" si="244"/>
        <v>#N/A</v>
      </c>
      <c r="BJ649" t="e">
        <f t="shared" si="244"/>
        <v>#N/A</v>
      </c>
      <c r="BK649" t="e">
        <f t="shared" si="244"/>
        <v>#N/A</v>
      </c>
      <c r="BL649" t="e">
        <f t="shared" si="244"/>
        <v>#N/A</v>
      </c>
      <c r="BM649" t="e">
        <f t="shared" si="244"/>
        <v>#N/A</v>
      </c>
      <c r="BP649" t="e">
        <f t="shared" si="229"/>
        <v>#N/A</v>
      </c>
      <c r="BQ649" t="e">
        <f t="shared" si="248"/>
        <v>#N/A</v>
      </c>
      <c r="BR649" t="e">
        <f t="shared" si="245"/>
        <v>#N/A</v>
      </c>
      <c r="BS649" t="e">
        <f t="shared" si="245"/>
        <v>#N/A</v>
      </c>
      <c r="BT649" t="e">
        <f t="shared" si="245"/>
        <v>#N/A</v>
      </c>
      <c r="BU649" t="e">
        <f t="shared" si="245"/>
        <v>#N/A</v>
      </c>
      <c r="BV649" t="e">
        <f t="shared" si="245"/>
        <v>#N/A</v>
      </c>
      <c r="BY649" t="e">
        <f t="shared" si="230"/>
        <v>#N/A</v>
      </c>
      <c r="BZ649" t="e">
        <v>#N/A</v>
      </c>
      <c r="CA649" t="e" cm="1">
        <f t="array" ref="CA649">IF(ISNUMBER(BZ649),AF649/COUNT(IF(ISNUMBER(_xlfn.ANCHORARRAY($BZ$11)),_xlfn.ANCHORARRAY($BZ$11))),NA())</f>
        <v>#N/A</v>
      </c>
      <c r="CB649" t="e">
        <f t="shared" si="231"/>
        <v>#N/A</v>
      </c>
      <c r="CD649" t="e">
        <f t="shared" si="232"/>
        <v>#N/A</v>
      </c>
      <c r="CE649" t="e">
        <f t="shared" si="233"/>
        <v>#N/A</v>
      </c>
      <c r="CG649" t="e">
        <v>#N/A</v>
      </c>
      <c r="CH649" t="e">
        <v>#N/A</v>
      </c>
      <c r="CL649" t="e">
        <f t="shared" si="234"/>
        <v>#N/A</v>
      </c>
      <c r="CM649" t="e">
        <v>#N/A</v>
      </c>
      <c r="CN649" t="e" cm="1">
        <f t="array" ref="CN649">IF(ISNUMBER(CM649),AF649/COUNT(IF(ISNUMBER(_xlfn.ANCHORARRAY($CM$11)),_xlfn.ANCHORARRAY($CM$11))),NA())</f>
        <v>#N/A</v>
      </c>
      <c r="CO649" t="e">
        <f t="shared" si="235"/>
        <v>#N/A</v>
      </c>
      <c r="CQ649" t="e">
        <f t="shared" si="236"/>
        <v>#N/A</v>
      </c>
      <c r="CR649" t="e">
        <f t="shared" si="237"/>
        <v>#N/A</v>
      </c>
      <c r="CT649" t="e">
        <v>#N/A</v>
      </c>
      <c r="CU649" t="e">
        <v>#N/A</v>
      </c>
      <c r="CY649" t="e">
        <f t="shared" si="238"/>
        <v>#N/A</v>
      </c>
      <c r="CZ649" t="e">
        <v>#N/A</v>
      </c>
      <c r="DA649" t="e" cm="1">
        <f t="array" ref="DA649">IF(ISNUMBER(CZ649),AF649/COUNT(IF(ISNUMBER(_xlfn.ANCHORARRAY($CZ$11)),_xlfn.ANCHORARRAY($CZ$11))),NA())</f>
        <v>#N/A</v>
      </c>
      <c r="DB649" t="e">
        <f t="shared" si="239"/>
        <v>#N/A</v>
      </c>
      <c r="DD649" t="e">
        <f t="shared" si="240"/>
        <v>#N/A</v>
      </c>
      <c r="DE649" t="e">
        <f t="shared" si="241"/>
        <v>#N/A</v>
      </c>
      <c r="DG649" t="e">
        <v>#N/A</v>
      </c>
      <c r="DH649" t="e">
        <v>#N/A</v>
      </c>
    </row>
    <row r="650" spans="32:112">
      <c r="AF650">
        <v>640</v>
      </c>
      <c r="AG650" s="401">
        <f>'Lab test'!N643</f>
        <v>32.200849999999996</v>
      </c>
      <c r="AH650" s="401">
        <f>'Lab test'!M643</f>
        <v>1.6637</v>
      </c>
      <c r="AI650">
        <f>IF('Lab test'!O643&gt;0,'Lab test'!O643,NA())</f>
        <v>48.26</v>
      </c>
      <c r="AJ650">
        <f>'Lab test'!Q643</f>
        <v>19.354961832061065</v>
      </c>
      <c r="AK650" s="401">
        <f>IF('Lab test'!V643&gt;0,'Lab test'!V643,NA())</f>
        <v>76545.876887420178</v>
      </c>
      <c r="AL650" s="7">
        <f>IF(MAX('Lab test'!W643,'Lab test'!X643)&gt;0,MAX('Lab test'!W643,'Lab test'!X643),NA())</f>
        <v>281.30609756126915</v>
      </c>
      <c r="AM650" s="401">
        <f>IF('Lab test'!P643&gt;0,'Lab test'!P643,NA())</f>
        <v>0.34066210222348486</v>
      </c>
      <c r="AN650" s="401">
        <f>IF('Lab test'!AU643&gt;0,'Lab test'!AU643,NA())</f>
        <v>1.1842241731176193</v>
      </c>
      <c r="AO650" s="401">
        <f>IF('Lab test'!AT643&gt;0,'Lab test'!AT643,NA())</f>
        <v>0.13917617870188029</v>
      </c>
      <c r="AP650">
        <f t="shared" si="242"/>
        <v>1</v>
      </c>
      <c r="AQ650" s="401">
        <f>'Lab test'!AZ643</f>
        <v>1950</v>
      </c>
      <c r="AR650" t="str">
        <f>'Lab test'!AC643</f>
        <v>Machined</v>
      </c>
      <c r="AS650" t="str">
        <f>'Lab test'!T643</f>
        <v>Aluminium</v>
      </c>
      <c r="AX650" t="e">
        <f t="shared" si="227"/>
        <v>#N/A</v>
      </c>
      <c r="AY650" t="e">
        <f t="shared" si="246"/>
        <v>#N/A</v>
      </c>
      <c r="AZ650" t="e">
        <f t="shared" si="243"/>
        <v>#N/A</v>
      </c>
      <c r="BA650" t="e">
        <f t="shared" si="243"/>
        <v>#N/A</v>
      </c>
      <c r="BB650" t="e">
        <f t="shared" si="243"/>
        <v>#N/A</v>
      </c>
      <c r="BC650" t="e">
        <f t="shared" si="243"/>
        <v>#N/A</v>
      </c>
      <c r="BD650" t="e">
        <f t="shared" si="243"/>
        <v>#N/A</v>
      </c>
      <c r="BG650" t="e">
        <f t="shared" si="228"/>
        <v>#N/A</v>
      </c>
      <c r="BH650" t="e">
        <f t="shared" si="247"/>
        <v>#N/A</v>
      </c>
      <c r="BI650" t="e">
        <f t="shared" si="244"/>
        <v>#N/A</v>
      </c>
      <c r="BJ650" t="e">
        <f t="shared" si="244"/>
        <v>#N/A</v>
      </c>
      <c r="BK650" t="e">
        <f t="shared" si="244"/>
        <v>#N/A</v>
      </c>
      <c r="BL650" t="e">
        <f t="shared" si="244"/>
        <v>#N/A</v>
      </c>
      <c r="BM650" t="e">
        <f t="shared" si="244"/>
        <v>#N/A</v>
      </c>
      <c r="BP650" t="e">
        <f t="shared" si="229"/>
        <v>#N/A</v>
      </c>
      <c r="BQ650" t="e">
        <f t="shared" si="248"/>
        <v>#N/A</v>
      </c>
      <c r="BR650" t="e">
        <f t="shared" si="245"/>
        <v>#N/A</v>
      </c>
      <c r="BS650" t="e">
        <f t="shared" si="245"/>
        <v>#N/A</v>
      </c>
      <c r="BT650" t="e">
        <f t="shared" si="245"/>
        <v>#N/A</v>
      </c>
      <c r="BU650" t="e">
        <f t="shared" si="245"/>
        <v>#N/A</v>
      </c>
      <c r="BV650" t="e">
        <f t="shared" si="245"/>
        <v>#N/A</v>
      </c>
      <c r="BY650" t="e">
        <f t="shared" si="230"/>
        <v>#N/A</v>
      </c>
      <c r="BZ650" t="e">
        <v>#N/A</v>
      </c>
      <c r="CA650" t="e" cm="1">
        <f t="array" ref="CA650">IF(ISNUMBER(BZ650),AF650/COUNT(IF(ISNUMBER(_xlfn.ANCHORARRAY($BZ$11)),_xlfn.ANCHORARRAY($BZ$11))),NA())</f>
        <v>#N/A</v>
      </c>
      <c r="CB650" t="e">
        <f t="shared" si="231"/>
        <v>#N/A</v>
      </c>
      <c r="CD650" t="e">
        <f t="shared" si="232"/>
        <v>#N/A</v>
      </c>
      <c r="CE650" t="e">
        <f t="shared" si="233"/>
        <v>#N/A</v>
      </c>
      <c r="CG650" t="e">
        <v>#N/A</v>
      </c>
      <c r="CH650" t="e">
        <v>#N/A</v>
      </c>
      <c r="CL650" t="e">
        <f t="shared" si="234"/>
        <v>#N/A</v>
      </c>
      <c r="CM650" t="e">
        <v>#N/A</v>
      </c>
      <c r="CN650" t="e" cm="1">
        <f t="array" ref="CN650">IF(ISNUMBER(CM650),AF650/COUNT(IF(ISNUMBER(_xlfn.ANCHORARRAY($CM$11)),_xlfn.ANCHORARRAY($CM$11))),NA())</f>
        <v>#N/A</v>
      </c>
      <c r="CO650" t="e">
        <f t="shared" si="235"/>
        <v>#N/A</v>
      </c>
      <c r="CQ650" t="e">
        <f t="shared" si="236"/>
        <v>#N/A</v>
      </c>
      <c r="CR650" t="e">
        <f t="shared" si="237"/>
        <v>#N/A</v>
      </c>
      <c r="CT650" t="e">
        <v>#N/A</v>
      </c>
      <c r="CU650" t="e">
        <v>#N/A</v>
      </c>
      <c r="CY650" t="e">
        <f t="shared" si="238"/>
        <v>#N/A</v>
      </c>
      <c r="CZ650" t="e">
        <v>#N/A</v>
      </c>
      <c r="DA650" t="e" cm="1">
        <f t="array" ref="DA650">IF(ISNUMBER(CZ650),AF650/COUNT(IF(ISNUMBER(_xlfn.ANCHORARRAY($CZ$11)),_xlfn.ANCHORARRAY($CZ$11))),NA())</f>
        <v>#N/A</v>
      </c>
      <c r="DB650" t="e">
        <f t="shared" si="239"/>
        <v>#N/A</v>
      </c>
      <c r="DD650" t="e">
        <f t="shared" si="240"/>
        <v>#N/A</v>
      </c>
      <c r="DE650" t="e">
        <f t="shared" si="241"/>
        <v>#N/A</v>
      </c>
      <c r="DG650" t="e">
        <v>#N/A</v>
      </c>
      <c r="DH650" t="e">
        <v>#N/A</v>
      </c>
    </row>
    <row r="651" spans="32:112">
      <c r="AF651">
        <v>641</v>
      </c>
      <c r="AG651" s="401">
        <f>'Lab test'!N644</f>
        <v>32.200849999999996</v>
      </c>
      <c r="AH651" s="401">
        <f>'Lab test'!M644</f>
        <v>1.6637</v>
      </c>
      <c r="AI651">
        <f>IF('Lab test'!O644&gt;0,'Lab test'!O644,NA())</f>
        <v>88.137999999999991</v>
      </c>
      <c r="AJ651">
        <f>'Lab test'!Q644</f>
        <v>19.354961832061065</v>
      </c>
      <c r="AK651" s="401">
        <f>IF('Lab test'!V644&gt;0,'Lab test'!V644,NA())</f>
        <v>76545.876887420178</v>
      </c>
      <c r="AL651" s="7">
        <f>IF(MAX('Lab test'!W644,'Lab test'!X644)&gt;0,MAX('Lab test'!W644,'Lab test'!X644),NA())</f>
        <v>281.30609756126915</v>
      </c>
      <c r="AM651" s="401">
        <f>IF('Lab test'!P644&gt;0,'Lab test'!P644,NA())</f>
        <v>0.62215657616604869</v>
      </c>
      <c r="AN651" s="401">
        <f>IF('Lab test'!AU644&gt;0,'Lab test'!AU644,NA())</f>
        <v>1.163077312883376</v>
      </c>
      <c r="AO651" s="401">
        <f>IF('Lab test'!AT644&gt;0,'Lab test'!AT644,NA())</f>
        <v>0.13669088979648955</v>
      </c>
      <c r="AP651">
        <f t="shared" si="242"/>
        <v>1</v>
      </c>
      <c r="AQ651" s="401">
        <f>'Lab test'!AZ644</f>
        <v>1950</v>
      </c>
      <c r="AR651" t="str">
        <f>'Lab test'!AC644</f>
        <v>Machined</v>
      </c>
      <c r="AS651" t="str">
        <f>'Lab test'!T644</f>
        <v>Aluminium</v>
      </c>
      <c r="AX651" t="e">
        <f t="shared" si="227"/>
        <v>#N/A</v>
      </c>
      <c r="AY651" t="e">
        <f t="shared" si="246"/>
        <v>#N/A</v>
      </c>
      <c r="AZ651" t="e">
        <f t="shared" si="243"/>
        <v>#N/A</v>
      </c>
      <c r="BA651" t="e">
        <f t="shared" si="243"/>
        <v>#N/A</v>
      </c>
      <c r="BB651" t="e">
        <f t="shared" si="243"/>
        <v>#N/A</v>
      </c>
      <c r="BC651" t="e">
        <f t="shared" si="243"/>
        <v>#N/A</v>
      </c>
      <c r="BD651" t="e">
        <f t="shared" si="243"/>
        <v>#N/A</v>
      </c>
      <c r="BG651" t="e">
        <f t="shared" si="228"/>
        <v>#N/A</v>
      </c>
      <c r="BH651" t="e">
        <f t="shared" si="247"/>
        <v>#N/A</v>
      </c>
      <c r="BI651" t="e">
        <f t="shared" si="244"/>
        <v>#N/A</v>
      </c>
      <c r="BJ651" t="e">
        <f t="shared" si="244"/>
        <v>#N/A</v>
      </c>
      <c r="BK651" t="e">
        <f t="shared" si="244"/>
        <v>#N/A</v>
      </c>
      <c r="BL651" t="e">
        <f t="shared" si="244"/>
        <v>#N/A</v>
      </c>
      <c r="BM651" t="e">
        <f t="shared" si="244"/>
        <v>#N/A</v>
      </c>
      <c r="BP651" t="e">
        <f t="shared" si="229"/>
        <v>#N/A</v>
      </c>
      <c r="BQ651" t="e">
        <f t="shared" si="248"/>
        <v>#N/A</v>
      </c>
      <c r="BR651" t="e">
        <f t="shared" si="245"/>
        <v>#N/A</v>
      </c>
      <c r="BS651" t="e">
        <f t="shared" si="245"/>
        <v>#N/A</v>
      </c>
      <c r="BT651" t="e">
        <f t="shared" si="245"/>
        <v>#N/A</v>
      </c>
      <c r="BU651" t="e">
        <f t="shared" si="245"/>
        <v>#N/A</v>
      </c>
      <c r="BV651" t="e">
        <f t="shared" si="245"/>
        <v>#N/A</v>
      </c>
      <c r="BY651" t="e">
        <f t="shared" si="230"/>
        <v>#N/A</v>
      </c>
      <c r="BZ651" t="e">
        <v>#N/A</v>
      </c>
      <c r="CA651" t="e" cm="1">
        <f t="array" ref="CA651">IF(ISNUMBER(BZ651),AF651/COUNT(IF(ISNUMBER(_xlfn.ANCHORARRAY($BZ$11)),_xlfn.ANCHORARRAY($BZ$11))),NA())</f>
        <v>#N/A</v>
      </c>
      <c r="CB651" t="e">
        <f t="shared" si="231"/>
        <v>#N/A</v>
      </c>
      <c r="CD651" t="e">
        <f t="shared" si="232"/>
        <v>#N/A</v>
      </c>
      <c r="CE651" t="e">
        <f t="shared" si="233"/>
        <v>#N/A</v>
      </c>
      <c r="CG651" t="e">
        <v>#N/A</v>
      </c>
      <c r="CH651" t="e">
        <v>#N/A</v>
      </c>
      <c r="CL651" t="e">
        <f t="shared" si="234"/>
        <v>#N/A</v>
      </c>
      <c r="CM651" t="e">
        <v>#N/A</v>
      </c>
      <c r="CN651" t="e" cm="1">
        <f t="array" ref="CN651">IF(ISNUMBER(CM651),AF651/COUNT(IF(ISNUMBER(_xlfn.ANCHORARRAY($CM$11)),_xlfn.ANCHORARRAY($CM$11))),NA())</f>
        <v>#N/A</v>
      </c>
      <c r="CO651" t="e">
        <f t="shared" si="235"/>
        <v>#N/A</v>
      </c>
      <c r="CQ651" t="e">
        <f t="shared" si="236"/>
        <v>#N/A</v>
      </c>
      <c r="CR651" t="e">
        <f t="shared" si="237"/>
        <v>#N/A</v>
      </c>
      <c r="CT651" t="e">
        <v>#N/A</v>
      </c>
      <c r="CU651" t="e">
        <v>#N/A</v>
      </c>
      <c r="CY651" t="e">
        <f t="shared" si="238"/>
        <v>#N/A</v>
      </c>
      <c r="CZ651" t="e">
        <v>#N/A</v>
      </c>
      <c r="DA651" t="e" cm="1">
        <f t="array" ref="DA651">IF(ISNUMBER(CZ651),AF651/COUNT(IF(ISNUMBER(_xlfn.ANCHORARRAY($CZ$11)),_xlfn.ANCHORARRAY($CZ$11))),NA())</f>
        <v>#N/A</v>
      </c>
      <c r="DB651" t="e">
        <f t="shared" si="239"/>
        <v>#N/A</v>
      </c>
      <c r="DD651" t="e">
        <f t="shared" si="240"/>
        <v>#N/A</v>
      </c>
      <c r="DE651" t="e">
        <f t="shared" si="241"/>
        <v>#N/A</v>
      </c>
      <c r="DG651" t="e">
        <v>#N/A</v>
      </c>
      <c r="DH651" t="e">
        <v>#N/A</v>
      </c>
    </row>
    <row r="652" spans="32:112">
      <c r="AF652">
        <v>642</v>
      </c>
      <c r="AG652" s="401">
        <f>'Lab test'!N645</f>
        <v>32.200849999999996</v>
      </c>
      <c r="AH652" s="401">
        <f>'Lab test'!M645</f>
        <v>1.6637</v>
      </c>
      <c r="AI652">
        <f>IF('Lab test'!O645&gt;0,'Lab test'!O645,NA())</f>
        <v>144.78</v>
      </c>
      <c r="AJ652">
        <f>'Lab test'!Q645</f>
        <v>19.354961832061065</v>
      </c>
      <c r="AK652" s="401">
        <f>IF('Lab test'!V645&gt;0,'Lab test'!V645,NA())</f>
        <v>76545.876887420178</v>
      </c>
      <c r="AL652" s="7">
        <f>IF(MAX('Lab test'!W645,'Lab test'!X645)&gt;0,MAX('Lab test'!W645,'Lab test'!X645),NA())</f>
        <v>281.30609756126915</v>
      </c>
      <c r="AM652" s="401">
        <f>IF('Lab test'!P645&gt;0,'Lab test'!P645,NA())</f>
        <v>1.0219863066704546</v>
      </c>
      <c r="AN652" s="401">
        <f>IF('Lab test'!AU645&gt;0,'Lab test'!AU645,NA())</f>
        <v>1.1654269640205142</v>
      </c>
      <c r="AO652" s="401">
        <f>IF('Lab test'!AT645&gt;0,'Lab test'!AT645,NA())</f>
        <v>0.13696703300819965</v>
      </c>
      <c r="AP652">
        <f t="shared" si="242"/>
        <v>1</v>
      </c>
      <c r="AQ652" s="401">
        <f>'Lab test'!AZ645</f>
        <v>1950</v>
      </c>
      <c r="AR652" t="str">
        <f>'Lab test'!AC645</f>
        <v>Machined</v>
      </c>
      <c r="AS652" t="str">
        <f>'Lab test'!T645</f>
        <v>Aluminium</v>
      </c>
      <c r="AX652" t="e">
        <f t="shared" ref="AX652:AX680" si="249">IF(ISNUMBER($AJ652),IF(ISNUMBER($AP652),IF($AJ652&gt;=AX$9,IF($AJ652&lt;=AX$10,IF($AR652=$AW$2,IF($AS652=$AW$6,$AK652,NA()),NA()),NA()),NA()),NA()),NA())</f>
        <v>#N/A</v>
      </c>
      <c r="AY652" t="e">
        <f t="shared" si="246"/>
        <v>#N/A</v>
      </c>
      <c r="AZ652" t="e">
        <f t="shared" si="243"/>
        <v>#N/A</v>
      </c>
      <c r="BA652" t="e">
        <f t="shared" si="243"/>
        <v>#N/A</v>
      </c>
      <c r="BB652" t="e">
        <f t="shared" si="243"/>
        <v>#N/A</v>
      </c>
      <c r="BC652" t="e">
        <f t="shared" si="243"/>
        <v>#N/A</v>
      </c>
      <c r="BD652" t="e">
        <f t="shared" si="243"/>
        <v>#N/A</v>
      </c>
      <c r="BG652" t="e">
        <f t="shared" ref="BG652:BG680" si="250">IF(ISNUMBER($AJ652),IF(ISNUMBER($AP652),IF($AJ652&gt;=BG$9,IF($AJ652&lt;=BG$10,IF($AR652=$AW$2,IF($AS652=$BF$6,$AK652,NA()),NA()),NA()),NA()),NA()),NA())</f>
        <v>#N/A</v>
      </c>
      <c r="BH652" t="e">
        <f t="shared" si="247"/>
        <v>#N/A</v>
      </c>
      <c r="BI652" t="e">
        <f t="shared" si="244"/>
        <v>#N/A</v>
      </c>
      <c r="BJ652" t="e">
        <f t="shared" si="244"/>
        <v>#N/A</v>
      </c>
      <c r="BK652" t="e">
        <f t="shared" si="244"/>
        <v>#N/A</v>
      </c>
      <c r="BL652" t="e">
        <f t="shared" si="244"/>
        <v>#N/A</v>
      </c>
      <c r="BM652" t="e">
        <f t="shared" si="244"/>
        <v>#N/A</v>
      </c>
      <c r="BP652" t="e">
        <f t="shared" ref="BP652:BP680" si="251">IF(ISNUMBER($AJ652),IF(ISNUMBER($AP652),IF($AJ652&gt;=BP$9,IF($AJ652&lt;=BP$10,IF($AR652=$AW$2,IF($AS652=$BO$6,$AK652,NA()),NA()),NA()),NA()),NA()),NA())</f>
        <v>#N/A</v>
      </c>
      <c r="BQ652" t="e">
        <f t="shared" si="248"/>
        <v>#N/A</v>
      </c>
      <c r="BR652" t="e">
        <f t="shared" si="245"/>
        <v>#N/A</v>
      </c>
      <c r="BS652" t="e">
        <f t="shared" si="245"/>
        <v>#N/A</v>
      </c>
      <c r="BT652" t="e">
        <f t="shared" si="245"/>
        <v>#N/A</v>
      </c>
      <c r="BU652" t="e">
        <f t="shared" si="245"/>
        <v>#N/A</v>
      </c>
      <c r="BV652" t="e">
        <f t="shared" si="245"/>
        <v>#N/A</v>
      </c>
      <c r="BY652" t="e">
        <f t="shared" ref="BY652:BY680" si="252">IF(ISNUMBER(AP652),IF($AR652=$AW$2,IF($AS652=$AW$6,$AK652,NA()),NA()),NA())</f>
        <v>#N/A</v>
      </c>
      <c r="BZ652" t="e">
        <v>#N/A</v>
      </c>
      <c r="CA652" t="e" cm="1">
        <f t="array" ref="CA652">IF(ISNUMBER(BZ652),AF652/COUNT(IF(ISNUMBER(_xlfn.ANCHORARRAY($BZ$11)),_xlfn.ANCHORARRAY($BZ$11))),NA())</f>
        <v>#N/A</v>
      </c>
      <c r="CB652" t="e">
        <f t="shared" ref="CB652:CB680" si="253">IF(BZ652=BZ653,NA(),CA652)</f>
        <v>#N/A</v>
      </c>
      <c r="CD652" t="e">
        <f t="shared" ref="CD652:CD680" si="254">CB652</f>
        <v>#N/A</v>
      </c>
      <c r="CE652" t="e">
        <f t="shared" ref="CE652:CE680" si="255">BZ652</f>
        <v>#N/A</v>
      </c>
      <c r="CG652" t="e">
        <v>#N/A</v>
      </c>
      <c r="CH652" t="e">
        <v>#N/A</v>
      </c>
      <c r="CL652" t="e">
        <f t="shared" ref="CL652:CL680" si="256">IF(ISNUMBER(AP652),IF($AR652=$AW$2,IF($AS652=$BF$6,$AK652,NA()),NA()),NA())</f>
        <v>#N/A</v>
      </c>
      <c r="CM652" t="e">
        <v>#N/A</v>
      </c>
      <c r="CN652" t="e" cm="1">
        <f t="array" ref="CN652">IF(ISNUMBER(CM652),AF652/COUNT(IF(ISNUMBER(_xlfn.ANCHORARRAY($CM$11)),_xlfn.ANCHORARRAY($CM$11))),NA())</f>
        <v>#N/A</v>
      </c>
      <c r="CO652" t="e">
        <f t="shared" ref="CO652:CO680" si="257">IF(CM652=CM653,NA(),CN652)</f>
        <v>#N/A</v>
      </c>
      <c r="CQ652" t="e">
        <f t="shared" ref="CQ652:CQ680" si="258">CO652</f>
        <v>#N/A</v>
      </c>
      <c r="CR652" t="e">
        <f t="shared" ref="CR652:CR680" si="259">CM652</f>
        <v>#N/A</v>
      </c>
      <c r="CT652" t="e">
        <v>#N/A</v>
      </c>
      <c r="CU652" t="e">
        <v>#N/A</v>
      </c>
      <c r="CY652" t="e">
        <f t="shared" ref="CY652:CY680" si="260">IF(ISNUMBER(AP652),IF($AR652=$AW$2,IF($AS652=$BO$6,$AK652,NA()),NA()),NA())</f>
        <v>#N/A</v>
      </c>
      <c r="CZ652" t="e">
        <v>#N/A</v>
      </c>
      <c r="DA652" t="e" cm="1">
        <f t="array" ref="DA652">IF(ISNUMBER(CZ652),AF652/COUNT(IF(ISNUMBER(_xlfn.ANCHORARRAY($CZ$11)),_xlfn.ANCHORARRAY($CZ$11))),NA())</f>
        <v>#N/A</v>
      </c>
      <c r="DB652" t="e">
        <f t="shared" ref="DB652:DB680" si="261">IF(CZ652=CZ653,NA(),DA652)</f>
        <v>#N/A</v>
      </c>
      <c r="DD652" t="e">
        <f t="shared" ref="DD652:DD680" si="262">DB652</f>
        <v>#N/A</v>
      </c>
      <c r="DE652" t="e">
        <f t="shared" ref="DE652:DE680" si="263">CZ652</f>
        <v>#N/A</v>
      </c>
      <c r="DG652" t="e">
        <v>#N/A</v>
      </c>
      <c r="DH652" t="e">
        <v>#N/A</v>
      </c>
    </row>
    <row r="653" spans="32:112">
      <c r="AF653">
        <v>643</v>
      </c>
      <c r="AG653" s="401">
        <f>'Lab test'!N646</f>
        <v>32.029400000000003</v>
      </c>
      <c r="AH653" s="401">
        <f>'Lab test'!M646</f>
        <v>1.27</v>
      </c>
      <c r="AI653">
        <f>IF('Lab test'!O646&gt;0,'Lab test'!O646,NA())</f>
        <v>92.202000000000012</v>
      </c>
      <c r="AJ653">
        <f>'Lab test'!Q646</f>
        <v>25.220000000000002</v>
      </c>
      <c r="AK653" s="401">
        <f>IF('Lab test'!V646&gt;0,'Lab test'!V646,NA())</f>
        <v>76545.876887420178</v>
      </c>
      <c r="AL653" s="7">
        <f>IF(MAX('Lab test'!W646,'Lab test'!X646)&gt;0,MAX('Lab test'!W646,'Lab test'!X646),NA())</f>
        <v>281.30609756126915</v>
      </c>
      <c r="AM653" s="401">
        <f>IF('Lab test'!P646&gt;0,'Lab test'!P646,NA())</f>
        <v>0.57321691483915604</v>
      </c>
      <c r="AN653" s="401">
        <f>IF('Lab test'!AU646&gt;0,'Lab test'!AU646,NA())</f>
        <v>1.1202160333442182</v>
      </c>
      <c r="AO653" s="401">
        <f>IF('Lab test'!AT646&gt;0,'Lab test'!AT646,NA())</f>
        <v>0.17154795035287182</v>
      </c>
      <c r="AP653">
        <f t="shared" si="242"/>
        <v>1</v>
      </c>
      <c r="AQ653" s="401">
        <f>'Lab test'!AZ646</f>
        <v>1950</v>
      </c>
      <c r="AR653" t="str">
        <f>'Lab test'!AC646</f>
        <v>Machined</v>
      </c>
      <c r="AS653" t="str">
        <f>'Lab test'!T646</f>
        <v>Aluminium</v>
      </c>
      <c r="AX653" t="e">
        <f t="shared" si="249"/>
        <v>#N/A</v>
      </c>
      <c r="AY653" t="e">
        <f t="shared" si="246"/>
        <v>#N/A</v>
      </c>
      <c r="AZ653" t="e">
        <f t="shared" si="243"/>
        <v>#N/A</v>
      </c>
      <c r="BA653" t="e">
        <f t="shared" si="243"/>
        <v>#N/A</v>
      </c>
      <c r="BB653" t="e">
        <f t="shared" si="243"/>
        <v>#N/A</v>
      </c>
      <c r="BC653" t="e">
        <f t="shared" si="243"/>
        <v>#N/A</v>
      </c>
      <c r="BD653" t="e">
        <f t="shared" si="243"/>
        <v>#N/A</v>
      </c>
      <c r="BG653" t="e">
        <f t="shared" si="250"/>
        <v>#N/A</v>
      </c>
      <c r="BH653" t="e">
        <f t="shared" si="247"/>
        <v>#N/A</v>
      </c>
      <c r="BI653" t="e">
        <f t="shared" si="244"/>
        <v>#N/A</v>
      </c>
      <c r="BJ653" t="e">
        <f t="shared" si="244"/>
        <v>#N/A</v>
      </c>
      <c r="BK653" t="e">
        <f t="shared" si="244"/>
        <v>#N/A</v>
      </c>
      <c r="BL653" t="e">
        <f t="shared" si="244"/>
        <v>#N/A</v>
      </c>
      <c r="BM653" t="e">
        <f t="shared" si="244"/>
        <v>#N/A</v>
      </c>
      <c r="BP653" t="e">
        <f t="shared" si="251"/>
        <v>#N/A</v>
      </c>
      <c r="BQ653" t="e">
        <f t="shared" si="248"/>
        <v>#N/A</v>
      </c>
      <c r="BR653" t="e">
        <f t="shared" si="245"/>
        <v>#N/A</v>
      </c>
      <c r="BS653" t="e">
        <f t="shared" si="245"/>
        <v>#N/A</v>
      </c>
      <c r="BT653" t="e">
        <f t="shared" si="245"/>
        <v>#N/A</v>
      </c>
      <c r="BU653" t="e">
        <f t="shared" si="245"/>
        <v>#N/A</v>
      </c>
      <c r="BV653" t="e">
        <f t="shared" si="245"/>
        <v>#N/A</v>
      </c>
      <c r="BY653" t="e">
        <f t="shared" si="252"/>
        <v>#N/A</v>
      </c>
      <c r="BZ653" t="e">
        <v>#N/A</v>
      </c>
      <c r="CA653" t="e" cm="1">
        <f t="array" ref="CA653">IF(ISNUMBER(BZ653),AF653/COUNT(IF(ISNUMBER(_xlfn.ANCHORARRAY($BZ$11)),_xlfn.ANCHORARRAY($BZ$11))),NA())</f>
        <v>#N/A</v>
      </c>
      <c r="CB653" t="e">
        <f t="shared" si="253"/>
        <v>#N/A</v>
      </c>
      <c r="CD653" t="e">
        <f t="shared" si="254"/>
        <v>#N/A</v>
      </c>
      <c r="CE653" t="e">
        <f t="shared" si="255"/>
        <v>#N/A</v>
      </c>
      <c r="CG653" t="e">
        <v>#N/A</v>
      </c>
      <c r="CH653" t="e">
        <v>#N/A</v>
      </c>
      <c r="CL653" t="e">
        <f t="shared" si="256"/>
        <v>#N/A</v>
      </c>
      <c r="CM653" t="e">
        <v>#N/A</v>
      </c>
      <c r="CN653" t="e" cm="1">
        <f t="array" ref="CN653">IF(ISNUMBER(CM653),AF653/COUNT(IF(ISNUMBER(_xlfn.ANCHORARRAY($CM$11)),_xlfn.ANCHORARRAY($CM$11))),NA())</f>
        <v>#N/A</v>
      </c>
      <c r="CO653" t="e">
        <f t="shared" si="257"/>
        <v>#N/A</v>
      </c>
      <c r="CQ653" t="e">
        <f t="shared" si="258"/>
        <v>#N/A</v>
      </c>
      <c r="CR653" t="e">
        <f t="shared" si="259"/>
        <v>#N/A</v>
      </c>
      <c r="CT653" t="e">
        <v>#N/A</v>
      </c>
      <c r="CU653" t="e">
        <v>#N/A</v>
      </c>
      <c r="CY653" t="e">
        <f t="shared" si="260"/>
        <v>#N/A</v>
      </c>
      <c r="CZ653" t="e">
        <v>#N/A</v>
      </c>
      <c r="DA653" t="e" cm="1">
        <f t="array" ref="DA653">IF(ISNUMBER(CZ653),AF653/COUNT(IF(ISNUMBER(_xlfn.ANCHORARRAY($CZ$11)),_xlfn.ANCHORARRAY($CZ$11))),NA())</f>
        <v>#N/A</v>
      </c>
      <c r="DB653" t="e">
        <f t="shared" si="261"/>
        <v>#N/A</v>
      </c>
      <c r="DD653" t="e">
        <f t="shared" si="262"/>
        <v>#N/A</v>
      </c>
      <c r="DE653" t="e">
        <f t="shared" si="263"/>
        <v>#N/A</v>
      </c>
      <c r="DG653" t="e">
        <v>#N/A</v>
      </c>
      <c r="DH653" t="e">
        <v>#N/A</v>
      </c>
    </row>
    <row r="654" spans="32:112">
      <c r="AF654">
        <v>644</v>
      </c>
      <c r="AG654" s="401">
        <f>'Lab test'!N647</f>
        <v>31.908750000000001</v>
      </c>
      <c r="AH654" s="401">
        <f>'Lab test'!M647</f>
        <v>1.0541</v>
      </c>
      <c r="AI654">
        <f>IF('Lab test'!O647&gt;0,'Lab test'!O647,NA())</f>
        <v>53.085999999999991</v>
      </c>
      <c r="AJ654">
        <f>'Lab test'!Q647</f>
        <v>30.271084337349397</v>
      </c>
      <c r="AK654" s="401">
        <f>IF('Lab test'!V647&gt;0,'Lab test'!V647,NA())</f>
        <v>76545.876887420178</v>
      </c>
      <c r="AL654" s="7">
        <f>IF(MAX('Lab test'!W647,'Lab test'!X647)&gt;0,MAX('Lab test'!W647,'Lab test'!X647),NA())</f>
        <v>281.30609756126915</v>
      </c>
      <c r="AM654" s="401">
        <f>IF('Lab test'!P647&gt;0,'Lab test'!P647,NA())</f>
        <v>0.30238219991206322</v>
      </c>
      <c r="AN654" s="401">
        <f>IF('Lab test'!AU647&gt;0,'Lab test'!AU647,NA())</f>
        <v>1.1227301564840846</v>
      </c>
      <c r="AO654" s="401">
        <f>IF('Lab test'!AT647&gt;0,'Lab test'!AT647,NA())</f>
        <v>0.20636784683510007</v>
      </c>
      <c r="AP654">
        <f t="shared" si="242"/>
        <v>1</v>
      </c>
      <c r="AQ654" s="401">
        <f>'Lab test'!AZ647</f>
        <v>1950</v>
      </c>
      <c r="AR654" t="str">
        <f>'Lab test'!AC647</f>
        <v>Machined</v>
      </c>
      <c r="AS654" t="str">
        <f>'Lab test'!T647</f>
        <v>Aluminium</v>
      </c>
      <c r="AX654" t="e">
        <f t="shared" si="249"/>
        <v>#N/A</v>
      </c>
      <c r="AY654" t="e">
        <f t="shared" si="246"/>
        <v>#N/A</v>
      </c>
      <c r="AZ654" t="e">
        <f t="shared" si="243"/>
        <v>#N/A</v>
      </c>
      <c r="BA654" t="e">
        <f t="shared" si="243"/>
        <v>#N/A</v>
      </c>
      <c r="BB654" t="e">
        <f t="shared" si="243"/>
        <v>#N/A</v>
      </c>
      <c r="BC654" t="e">
        <f t="shared" si="243"/>
        <v>#N/A</v>
      </c>
      <c r="BD654" t="e">
        <f t="shared" si="243"/>
        <v>#N/A</v>
      </c>
      <c r="BG654" t="e">
        <f t="shared" si="250"/>
        <v>#N/A</v>
      </c>
      <c r="BH654" t="e">
        <f t="shared" si="247"/>
        <v>#N/A</v>
      </c>
      <c r="BI654" t="e">
        <f t="shared" si="244"/>
        <v>#N/A</v>
      </c>
      <c r="BJ654" t="e">
        <f t="shared" si="244"/>
        <v>#N/A</v>
      </c>
      <c r="BK654" t="e">
        <f t="shared" si="244"/>
        <v>#N/A</v>
      </c>
      <c r="BL654" t="e">
        <f t="shared" si="244"/>
        <v>#N/A</v>
      </c>
      <c r="BM654" t="e">
        <f t="shared" si="244"/>
        <v>#N/A</v>
      </c>
      <c r="BP654" t="e">
        <f t="shared" si="251"/>
        <v>#N/A</v>
      </c>
      <c r="BQ654" t="e">
        <f t="shared" si="248"/>
        <v>#N/A</v>
      </c>
      <c r="BR654" t="e">
        <f t="shared" si="245"/>
        <v>#N/A</v>
      </c>
      <c r="BS654" t="e">
        <f t="shared" si="245"/>
        <v>#N/A</v>
      </c>
      <c r="BT654" t="e">
        <f t="shared" si="245"/>
        <v>#N/A</v>
      </c>
      <c r="BU654" t="e">
        <f t="shared" si="245"/>
        <v>#N/A</v>
      </c>
      <c r="BV654" t="e">
        <f t="shared" si="245"/>
        <v>#N/A</v>
      </c>
      <c r="BY654" t="e">
        <f t="shared" si="252"/>
        <v>#N/A</v>
      </c>
      <c r="BZ654" t="e">
        <v>#N/A</v>
      </c>
      <c r="CA654" t="e" cm="1">
        <f t="array" ref="CA654">IF(ISNUMBER(BZ654),AF654/COUNT(IF(ISNUMBER(_xlfn.ANCHORARRAY($BZ$11)),_xlfn.ANCHORARRAY($BZ$11))),NA())</f>
        <v>#N/A</v>
      </c>
      <c r="CB654" t="e">
        <f t="shared" si="253"/>
        <v>#N/A</v>
      </c>
      <c r="CD654" t="e">
        <f t="shared" si="254"/>
        <v>#N/A</v>
      </c>
      <c r="CE654" t="e">
        <f t="shared" si="255"/>
        <v>#N/A</v>
      </c>
      <c r="CG654" t="e">
        <v>#N/A</v>
      </c>
      <c r="CH654" t="e">
        <v>#N/A</v>
      </c>
      <c r="CL654" t="e">
        <f t="shared" si="256"/>
        <v>#N/A</v>
      </c>
      <c r="CM654" t="e">
        <v>#N/A</v>
      </c>
      <c r="CN654" t="e" cm="1">
        <f t="array" ref="CN654">IF(ISNUMBER(CM654),AF654/COUNT(IF(ISNUMBER(_xlfn.ANCHORARRAY($CM$11)),_xlfn.ANCHORARRAY($CM$11))),NA())</f>
        <v>#N/A</v>
      </c>
      <c r="CO654" t="e">
        <f t="shared" si="257"/>
        <v>#N/A</v>
      </c>
      <c r="CQ654" t="e">
        <f t="shared" si="258"/>
        <v>#N/A</v>
      </c>
      <c r="CR654" t="e">
        <f t="shared" si="259"/>
        <v>#N/A</v>
      </c>
      <c r="CT654" t="e">
        <v>#N/A</v>
      </c>
      <c r="CU654" t="e">
        <v>#N/A</v>
      </c>
      <c r="CY654" t="e">
        <f t="shared" si="260"/>
        <v>#N/A</v>
      </c>
      <c r="CZ654" t="e">
        <v>#N/A</v>
      </c>
      <c r="DA654" t="e" cm="1">
        <f t="array" ref="DA654">IF(ISNUMBER(CZ654),AF654/COUNT(IF(ISNUMBER(_xlfn.ANCHORARRAY($CZ$11)),_xlfn.ANCHORARRAY($CZ$11))),NA())</f>
        <v>#N/A</v>
      </c>
      <c r="DB654" t="e">
        <f t="shared" si="261"/>
        <v>#N/A</v>
      </c>
      <c r="DD654" t="e">
        <f t="shared" si="262"/>
        <v>#N/A</v>
      </c>
      <c r="DE654" t="e">
        <f t="shared" si="263"/>
        <v>#N/A</v>
      </c>
      <c r="DG654" t="e">
        <v>#N/A</v>
      </c>
      <c r="DH654" t="e">
        <v>#N/A</v>
      </c>
    </row>
    <row r="655" spans="32:112">
      <c r="AF655">
        <v>645</v>
      </c>
      <c r="AG655" s="401">
        <f>'Lab test'!N648</f>
        <v>31.73095</v>
      </c>
      <c r="AH655" s="401">
        <f>'Lab test'!M648</f>
        <v>0.64769999999999994</v>
      </c>
      <c r="AI655">
        <f>IF('Lab test'!O648&gt;0,'Lab test'!O648,NA())</f>
        <v>77.47</v>
      </c>
      <c r="AJ655">
        <f>'Lab test'!Q648</f>
        <v>48.990196078431374</v>
      </c>
      <c r="AK655" s="401">
        <f>IF('Lab test'!V648&gt;0,'Lab test'!V648,NA())</f>
        <v>76545.876887420178</v>
      </c>
      <c r="AL655" s="7">
        <f>IF(MAX('Lab test'!W648,'Lab test'!X648)&gt;0,MAX('Lab test'!W648,'Lab test'!X648),NA())</f>
        <v>281.30609756126915</v>
      </c>
      <c r="AM655" s="401">
        <f>IF('Lab test'!P648&gt;0,'Lab test'!P648,NA())</f>
        <v>0.34881559425290337</v>
      </c>
      <c r="AN655" s="401">
        <f>IF('Lab test'!AU648&gt;0,'Lab test'!AU648,NA())</f>
        <v>0.96771139078826063</v>
      </c>
      <c r="AO655" s="401">
        <f>IF('Lab test'!AT648&gt;0,'Lab test'!AT648,NA())</f>
        <v>0.2878682036419668</v>
      </c>
      <c r="AP655">
        <f t="shared" si="242"/>
        <v>1</v>
      </c>
      <c r="AQ655" s="401">
        <f>'Lab test'!AZ648</f>
        <v>1950</v>
      </c>
      <c r="AR655" t="str">
        <f>'Lab test'!AC648</f>
        <v>Machined</v>
      </c>
      <c r="AS655" t="str">
        <f>'Lab test'!T648</f>
        <v>Aluminium</v>
      </c>
      <c r="AX655" t="e">
        <f t="shared" si="249"/>
        <v>#N/A</v>
      </c>
      <c r="AY655" t="e">
        <f t="shared" si="246"/>
        <v>#N/A</v>
      </c>
      <c r="AZ655" t="e">
        <f t="shared" si="243"/>
        <v>#N/A</v>
      </c>
      <c r="BA655" t="e">
        <f t="shared" si="243"/>
        <v>#N/A</v>
      </c>
      <c r="BB655" t="e">
        <f t="shared" si="243"/>
        <v>#N/A</v>
      </c>
      <c r="BC655" t="e">
        <f t="shared" si="243"/>
        <v>#N/A</v>
      </c>
      <c r="BD655" t="e">
        <f t="shared" si="243"/>
        <v>#N/A</v>
      </c>
      <c r="BG655" t="e">
        <f t="shared" si="250"/>
        <v>#N/A</v>
      </c>
      <c r="BH655" t="e">
        <f t="shared" si="247"/>
        <v>#N/A</v>
      </c>
      <c r="BI655" t="e">
        <f t="shared" si="244"/>
        <v>#N/A</v>
      </c>
      <c r="BJ655" t="e">
        <f t="shared" si="244"/>
        <v>#N/A</v>
      </c>
      <c r="BK655" t="e">
        <f t="shared" si="244"/>
        <v>#N/A</v>
      </c>
      <c r="BL655" t="e">
        <f t="shared" si="244"/>
        <v>#N/A</v>
      </c>
      <c r="BM655" t="e">
        <f t="shared" si="244"/>
        <v>#N/A</v>
      </c>
      <c r="BP655" t="e">
        <f t="shared" si="251"/>
        <v>#N/A</v>
      </c>
      <c r="BQ655" t="e">
        <f t="shared" si="248"/>
        <v>#N/A</v>
      </c>
      <c r="BR655" t="e">
        <f t="shared" si="245"/>
        <v>#N/A</v>
      </c>
      <c r="BS655" t="e">
        <f t="shared" si="245"/>
        <v>#N/A</v>
      </c>
      <c r="BT655" t="e">
        <f t="shared" si="245"/>
        <v>#N/A</v>
      </c>
      <c r="BU655" t="e">
        <f t="shared" si="245"/>
        <v>#N/A</v>
      </c>
      <c r="BV655" t="e">
        <f t="shared" si="245"/>
        <v>#N/A</v>
      </c>
      <c r="BY655" t="e">
        <f t="shared" si="252"/>
        <v>#N/A</v>
      </c>
      <c r="BZ655" t="e">
        <v>#N/A</v>
      </c>
      <c r="CA655" t="e" cm="1">
        <f t="array" ref="CA655">IF(ISNUMBER(BZ655),AF655/COUNT(IF(ISNUMBER(_xlfn.ANCHORARRAY($BZ$11)),_xlfn.ANCHORARRAY($BZ$11))),NA())</f>
        <v>#N/A</v>
      </c>
      <c r="CB655" t="e">
        <f t="shared" si="253"/>
        <v>#N/A</v>
      </c>
      <c r="CD655" t="e">
        <f t="shared" si="254"/>
        <v>#N/A</v>
      </c>
      <c r="CE655" t="e">
        <f t="shared" si="255"/>
        <v>#N/A</v>
      </c>
      <c r="CG655" t="e">
        <v>#N/A</v>
      </c>
      <c r="CH655" t="e">
        <v>#N/A</v>
      </c>
      <c r="CL655" t="e">
        <f t="shared" si="256"/>
        <v>#N/A</v>
      </c>
      <c r="CM655" t="e">
        <v>#N/A</v>
      </c>
      <c r="CN655" t="e" cm="1">
        <f t="array" ref="CN655">IF(ISNUMBER(CM655),AF655/COUNT(IF(ISNUMBER(_xlfn.ANCHORARRAY($CM$11)),_xlfn.ANCHORARRAY($CM$11))),NA())</f>
        <v>#N/A</v>
      </c>
      <c r="CO655" t="e">
        <f t="shared" si="257"/>
        <v>#N/A</v>
      </c>
      <c r="CQ655" t="e">
        <f t="shared" si="258"/>
        <v>#N/A</v>
      </c>
      <c r="CR655" t="e">
        <f t="shared" si="259"/>
        <v>#N/A</v>
      </c>
      <c r="CT655" t="e">
        <v>#N/A</v>
      </c>
      <c r="CU655" t="e">
        <v>#N/A</v>
      </c>
      <c r="CY655" t="e">
        <f t="shared" si="260"/>
        <v>#N/A</v>
      </c>
      <c r="CZ655" t="e">
        <v>#N/A</v>
      </c>
      <c r="DA655" t="e" cm="1">
        <f t="array" ref="DA655">IF(ISNUMBER(CZ655),AF655/COUNT(IF(ISNUMBER(_xlfn.ANCHORARRAY($CZ$11)),_xlfn.ANCHORARRAY($CZ$11))),NA())</f>
        <v>#N/A</v>
      </c>
      <c r="DB655" t="e">
        <f t="shared" si="261"/>
        <v>#N/A</v>
      </c>
      <c r="DD655" t="e">
        <f t="shared" si="262"/>
        <v>#N/A</v>
      </c>
      <c r="DE655" t="e">
        <f t="shared" si="263"/>
        <v>#N/A</v>
      </c>
      <c r="DG655" t="e">
        <v>#N/A</v>
      </c>
      <c r="DH655" t="e">
        <v>#N/A</v>
      </c>
    </row>
    <row r="656" spans="32:112">
      <c r="AF656">
        <v>646</v>
      </c>
      <c r="AG656" s="401">
        <f>'Lab test'!N649</f>
        <v>31.965900000000001</v>
      </c>
      <c r="AH656" s="401">
        <f>'Lab test'!M649</f>
        <v>1.0922000000000001</v>
      </c>
      <c r="AI656">
        <f>IF('Lab test'!O649&gt;0,'Lab test'!O649,NA())</f>
        <v>73.152000000000001</v>
      </c>
      <c r="AJ656">
        <f>'Lab test'!Q649</f>
        <v>29.267441860465116</v>
      </c>
      <c r="AK656" s="401">
        <f>IF('Lab test'!V649&gt;0,'Lab test'!V649,NA())</f>
        <v>76545.876887420178</v>
      </c>
      <c r="AL656" s="7">
        <f>IF(MAX('Lab test'!W649,'Lab test'!X649)&gt;0,MAX('Lab test'!W649,'Lab test'!X649),NA())</f>
        <v>281.30609756126915</v>
      </c>
      <c r="AM656" s="401">
        <f>IF('Lab test'!P649&gt;0,'Lab test'!P649,NA())</f>
        <v>0.42300634887561583</v>
      </c>
      <c r="AN656" s="401">
        <f>IF('Lab test'!AU649&gt;0,'Lab test'!AU649,NA())</f>
        <v>1.1176821705798701</v>
      </c>
      <c r="AO656" s="401">
        <f>IF('Lab test'!AT649&gt;0,'Lab test'!AT649,NA())</f>
        <v>0.19862858753496088</v>
      </c>
      <c r="AP656">
        <f t="shared" si="242"/>
        <v>1</v>
      </c>
      <c r="AQ656" s="401">
        <f>'Lab test'!AZ649</f>
        <v>1950</v>
      </c>
      <c r="AR656" t="str">
        <f>'Lab test'!AC649</f>
        <v>Machined</v>
      </c>
      <c r="AS656" t="str">
        <f>'Lab test'!T649</f>
        <v>Aluminium</v>
      </c>
      <c r="AX656" t="e">
        <f t="shared" si="249"/>
        <v>#N/A</v>
      </c>
      <c r="AY656" t="e">
        <f t="shared" si="246"/>
        <v>#N/A</v>
      </c>
      <c r="AZ656" t="e">
        <f t="shared" si="243"/>
        <v>#N/A</v>
      </c>
      <c r="BA656" t="e">
        <f t="shared" si="243"/>
        <v>#N/A</v>
      </c>
      <c r="BB656" t="e">
        <f t="shared" si="243"/>
        <v>#N/A</v>
      </c>
      <c r="BC656" t="e">
        <f t="shared" si="243"/>
        <v>#N/A</v>
      </c>
      <c r="BD656" t="e">
        <f t="shared" si="243"/>
        <v>#N/A</v>
      </c>
      <c r="BG656" t="e">
        <f t="shared" si="250"/>
        <v>#N/A</v>
      </c>
      <c r="BH656" t="e">
        <f t="shared" si="247"/>
        <v>#N/A</v>
      </c>
      <c r="BI656" t="e">
        <f t="shared" si="244"/>
        <v>#N/A</v>
      </c>
      <c r="BJ656" t="e">
        <f t="shared" si="244"/>
        <v>#N/A</v>
      </c>
      <c r="BK656" t="e">
        <f t="shared" si="244"/>
        <v>#N/A</v>
      </c>
      <c r="BL656" t="e">
        <f t="shared" si="244"/>
        <v>#N/A</v>
      </c>
      <c r="BM656" t="e">
        <f t="shared" si="244"/>
        <v>#N/A</v>
      </c>
      <c r="BP656" t="e">
        <f t="shared" si="251"/>
        <v>#N/A</v>
      </c>
      <c r="BQ656" t="e">
        <f t="shared" si="248"/>
        <v>#N/A</v>
      </c>
      <c r="BR656" t="e">
        <f t="shared" si="245"/>
        <v>#N/A</v>
      </c>
      <c r="BS656" t="e">
        <f t="shared" si="245"/>
        <v>#N/A</v>
      </c>
      <c r="BT656" t="e">
        <f t="shared" si="245"/>
        <v>#N/A</v>
      </c>
      <c r="BU656" t="e">
        <f t="shared" si="245"/>
        <v>#N/A</v>
      </c>
      <c r="BV656" t="e">
        <f t="shared" si="245"/>
        <v>#N/A</v>
      </c>
      <c r="BY656" t="e">
        <f t="shared" si="252"/>
        <v>#N/A</v>
      </c>
      <c r="BZ656" t="e">
        <v>#N/A</v>
      </c>
      <c r="CA656" t="e" cm="1">
        <f t="array" ref="CA656">IF(ISNUMBER(BZ656),AF656/COUNT(IF(ISNUMBER(_xlfn.ANCHORARRAY($BZ$11)),_xlfn.ANCHORARRAY($BZ$11))),NA())</f>
        <v>#N/A</v>
      </c>
      <c r="CB656" t="e">
        <f t="shared" si="253"/>
        <v>#N/A</v>
      </c>
      <c r="CD656" t="e">
        <f t="shared" si="254"/>
        <v>#N/A</v>
      </c>
      <c r="CE656" t="e">
        <f t="shared" si="255"/>
        <v>#N/A</v>
      </c>
      <c r="CG656" t="e">
        <v>#N/A</v>
      </c>
      <c r="CH656" t="e">
        <v>#N/A</v>
      </c>
      <c r="CL656" t="e">
        <f t="shared" si="256"/>
        <v>#N/A</v>
      </c>
      <c r="CM656" t="e">
        <v>#N/A</v>
      </c>
      <c r="CN656" t="e" cm="1">
        <f t="array" ref="CN656">IF(ISNUMBER(CM656),AF656/COUNT(IF(ISNUMBER(_xlfn.ANCHORARRAY($CM$11)),_xlfn.ANCHORARRAY($CM$11))),NA())</f>
        <v>#N/A</v>
      </c>
      <c r="CO656" t="e">
        <f t="shared" si="257"/>
        <v>#N/A</v>
      </c>
      <c r="CQ656" t="e">
        <f t="shared" si="258"/>
        <v>#N/A</v>
      </c>
      <c r="CR656" t="e">
        <f t="shared" si="259"/>
        <v>#N/A</v>
      </c>
      <c r="CT656" t="e">
        <v>#N/A</v>
      </c>
      <c r="CU656" t="e">
        <v>#N/A</v>
      </c>
      <c r="CY656" t="e">
        <f t="shared" si="260"/>
        <v>#N/A</v>
      </c>
      <c r="CZ656" t="e">
        <v>#N/A</v>
      </c>
      <c r="DA656" t="e" cm="1">
        <f t="array" ref="DA656">IF(ISNUMBER(CZ656),AF656/COUNT(IF(ISNUMBER(_xlfn.ANCHORARRAY($CZ$11)),_xlfn.ANCHORARRAY($CZ$11))),NA())</f>
        <v>#N/A</v>
      </c>
      <c r="DB656" t="e">
        <f t="shared" si="261"/>
        <v>#N/A</v>
      </c>
      <c r="DD656" t="e">
        <f t="shared" si="262"/>
        <v>#N/A</v>
      </c>
      <c r="DE656" t="e">
        <f t="shared" si="263"/>
        <v>#N/A</v>
      </c>
      <c r="DG656" t="e">
        <v>#N/A</v>
      </c>
      <c r="DH656" t="e">
        <v>#N/A</v>
      </c>
    </row>
    <row r="657" spans="32:112">
      <c r="AF657">
        <v>647</v>
      </c>
      <c r="AG657" s="401">
        <f>'Lab test'!N650</f>
        <v>31.819850000000002</v>
      </c>
      <c r="AH657" s="401">
        <f>'Lab test'!M650</f>
        <v>0.80010000000000003</v>
      </c>
      <c r="AI657">
        <f>IF('Lab test'!O650&gt;0,'Lab test'!O650,NA())</f>
        <v>69.341999999999999</v>
      </c>
      <c r="AJ657">
        <f>'Lab test'!Q650</f>
        <v>39.769841269841272</v>
      </c>
      <c r="AK657" s="401">
        <f>IF('Lab test'!V650&gt;0,'Lab test'!V650,NA())</f>
        <v>76545.876887420178</v>
      </c>
      <c r="AL657" s="7">
        <f>IF(MAX('Lab test'!W650,'Lab test'!X650)&gt;0,MAX('Lab test'!W650,'Lab test'!X650),NA())</f>
        <v>281.30609756126915</v>
      </c>
      <c r="AM657" s="401">
        <f>IF('Lab test'!P650&gt;0,'Lab test'!P650,NA())</f>
        <v>0.34555828251111398</v>
      </c>
      <c r="AN657" s="401">
        <f>IF('Lab test'!AU650&gt;0,'Lab test'!AU650,NA())</f>
        <v>0.96413522634375726</v>
      </c>
      <c r="AO657" s="401">
        <f>IF('Lab test'!AT650&gt;0,'Lab test'!AT650,NA())</f>
        <v>0.23282546307648086</v>
      </c>
      <c r="AP657">
        <f t="shared" si="242"/>
        <v>1</v>
      </c>
      <c r="AQ657" s="401">
        <f>'Lab test'!AZ650</f>
        <v>1950</v>
      </c>
      <c r="AR657" t="str">
        <f>'Lab test'!AC650</f>
        <v>Machined</v>
      </c>
      <c r="AS657" t="str">
        <f>'Lab test'!T650</f>
        <v>Aluminium</v>
      </c>
      <c r="AX657" t="e">
        <f t="shared" si="249"/>
        <v>#N/A</v>
      </c>
      <c r="AY657" t="e">
        <f t="shared" si="246"/>
        <v>#N/A</v>
      </c>
      <c r="AZ657" t="e">
        <f t="shared" si="243"/>
        <v>#N/A</v>
      </c>
      <c r="BA657" t="e">
        <f t="shared" si="243"/>
        <v>#N/A</v>
      </c>
      <c r="BB657" t="e">
        <f t="shared" si="243"/>
        <v>#N/A</v>
      </c>
      <c r="BC657" t="e">
        <f t="shared" si="243"/>
        <v>#N/A</v>
      </c>
      <c r="BD657" t="e">
        <f t="shared" si="243"/>
        <v>#N/A</v>
      </c>
      <c r="BG657" t="e">
        <f t="shared" si="250"/>
        <v>#N/A</v>
      </c>
      <c r="BH657" t="e">
        <f t="shared" si="247"/>
        <v>#N/A</v>
      </c>
      <c r="BI657" t="e">
        <f t="shared" si="244"/>
        <v>#N/A</v>
      </c>
      <c r="BJ657" t="e">
        <f t="shared" si="244"/>
        <v>#N/A</v>
      </c>
      <c r="BK657" t="e">
        <f t="shared" si="244"/>
        <v>#N/A</v>
      </c>
      <c r="BL657" t="e">
        <f t="shared" si="244"/>
        <v>#N/A</v>
      </c>
      <c r="BM657" t="e">
        <f t="shared" si="244"/>
        <v>#N/A</v>
      </c>
      <c r="BP657" t="e">
        <f t="shared" si="251"/>
        <v>#N/A</v>
      </c>
      <c r="BQ657" t="e">
        <f t="shared" si="248"/>
        <v>#N/A</v>
      </c>
      <c r="BR657" t="e">
        <f t="shared" si="245"/>
        <v>#N/A</v>
      </c>
      <c r="BS657" t="e">
        <f t="shared" si="245"/>
        <v>#N/A</v>
      </c>
      <c r="BT657" t="e">
        <f t="shared" si="245"/>
        <v>#N/A</v>
      </c>
      <c r="BU657" t="e">
        <f t="shared" si="245"/>
        <v>#N/A</v>
      </c>
      <c r="BV657" t="e">
        <f t="shared" si="245"/>
        <v>#N/A</v>
      </c>
      <c r="BY657" t="e">
        <f t="shared" si="252"/>
        <v>#N/A</v>
      </c>
      <c r="BZ657" t="e">
        <v>#N/A</v>
      </c>
      <c r="CA657" t="e" cm="1">
        <f t="array" ref="CA657">IF(ISNUMBER(BZ657),AF657/COUNT(IF(ISNUMBER(_xlfn.ANCHORARRAY($BZ$11)),_xlfn.ANCHORARRAY($BZ$11))),NA())</f>
        <v>#N/A</v>
      </c>
      <c r="CB657" t="e">
        <f t="shared" si="253"/>
        <v>#N/A</v>
      </c>
      <c r="CD657" t="e">
        <f t="shared" si="254"/>
        <v>#N/A</v>
      </c>
      <c r="CE657" t="e">
        <f t="shared" si="255"/>
        <v>#N/A</v>
      </c>
      <c r="CG657" t="e">
        <v>#N/A</v>
      </c>
      <c r="CH657" t="e">
        <v>#N/A</v>
      </c>
      <c r="CL657" t="e">
        <f t="shared" si="256"/>
        <v>#N/A</v>
      </c>
      <c r="CM657" t="e">
        <v>#N/A</v>
      </c>
      <c r="CN657" t="e" cm="1">
        <f t="array" ref="CN657">IF(ISNUMBER(CM657),AF657/COUNT(IF(ISNUMBER(_xlfn.ANCHORARRAY($CM$11)),_xlfn.ANCHORARRAY($CM$11))),NA())</f>
        <v>#N/A</v>
      </c>
      <c r="CO657" t="e">
        <f t="shared" si="257"/>
        <v>#N/A</v>
      </c>
      <c r="CQ657" t="e">
        <f t="shared" si="258"/>
        <v>#N/A</v>
      </c>
      <c r="CR657" t="e">
        <f t="shared" si="259"/>
        <v>#N/A</v>
      </c>
      <c r="CT657" t="e">
        <v>#N/A</v>
      </c>
      <c r="CU657" t="e">
        <v>#N/A</v>
      </c>
      <c r="CY657" t="e">
        <f t="shared" si="260"/>
        <v>#N/A</v>
      </c>
      <c r="CZ657" t="e">
        <v>#N/A</v>
      </c>
      <c r="DA657" t="e" cm="1">
        <f t="array" ref="DA657">IF(ISNUMBER(CZ657),AF657/COUNT(IF(ISNUMBER(_xlfn.ANCHORARRAY($CZ$11)),_xlfn.ANCHORARRAY($CZ$11))),NA())</f>
        <v>#N/A</v>
      </c>
      <c r="DB657" t="e">
        <f t="shared" si="261"/>
        <v>#N/A</v>
      </c>
      <c r="DD657" t="e">
        <f t="shared" si="262"/>
        <v>#N/A</v>
      </c>
      <c r="DE657" t="e">
        <f t="shared" si="263"/>
        <v>#N/A</v>
      </c>
      <c r="DG657" t="e">
        <v>#N/A</v>
      </c>
      <c r="DH657" t="e">
        <v>#N/A</v>
      </c>
    </row>
    <row r="658" spans="32:112">
      <c r="AF658">
        <v>648</v>
      </c>
      <c r="AG658" s="401">
        <f>'Lab test'!N651</f>
        <v>19.64817</v>
      </c>
      <c r="AH658" s="401">
        <f>'Lab test'!M651</f>
        <v>4.3662600000000005</v>
      </c>
      <c r="AI658">
        <f>IF('Lab test'!O651&gt;0,'Lab test'!O651,NA())</f>
        <v>152.4</v>
      </c>
      <c r="AJ658">
        <f>'Lab test'!Q651</f>
        <v>4.5</v>
      </c>
      <c r="AK658" s="401">
        <f>IF('Lab test'!V651&gt;0,'Lab test'!V651,NA())</f>
        <v>66627.432382236497</v>
      </c>
      <c r="AL658" s="7">
        <f>IF(MAX('Lab test'!W651,'Lab test'!X651)&gt;0,MAX('Lab test'!W651,'Lab test'!X651),NA())</f>
        <v>524.6910300101124</v>
      </c>
      <c r="AM658" s="401">
        <f>IF('Lab test'!P651&gt;0,'Lab test'!P651,NA())</f>
        <v>3.6564244389453688</v>
      </c>
      <c r="AN658" s="401">
        <f>IF('Lab test'!AU651&gt;0,'Lab test'!AU651,NA())</f>
        <v>1.305863045228943</v>
      </c>
      <c r="AO658" s="401">
        <f>IF('Lab test'!AT651&gt;0,'Lab test'!AT651,NA())</f>
        <v>7.6461362326397136E-2</v>
      </c>
      <c r="AP658">
        <f t="shared" si="242"/>
        <v>1</v>
      </c>
      <c r="AQ658" s="401">
        <f>'Lab test'!AZ651</f>
        <v>1950</v>
      </c>
      <c r="AR658" t="str">
        <f>'Lab test'!AC651</f>
        <v>Machined</v>
      </c>
      <c r="AS658" t="str">
        <f>'Lab test'!T651</f>
        <v>Aluminium</v>
      </c>
      <c r="AX658" t="e">
        <f t="shared" si="249"/>
        <v>#N/A</v>
      </c>
      <c r="AY658" t="e">
        <f t="shared" si="246"/>
        <v>#N/A</v>
      </c>
      <c r="AZ658" t="e">
        <f t="shared" si="243"/>
        <v>#N/A</v>
      </c>
      <c r="BA658" t="e">
        <f t="shared" si="243"/>
        <v>#N/A</v>
      </c>
      <c r="BB658" t="e">
        <f t="shared" si="243"/>
        <v>#N/A</v>
      </c>
      <c r="BC658" t="e">
        <f t="shared" si="243"/>
        <v>#N/A</v>
      </c>
      <c r="BD658" t="e">
        <f t="shared" si="243"/>
        <v>#N/A</v>
      </c>
      <c r="BG658" t="e">
        <f t="shared" si="250"/>
        <v>#N/A</v>
      </c>
      <c r="BH658" t="e">
        <f t="shared" si="247"/>
        <v>#N/A</v>
      </c>
      <c r="BI658" t="e">
        <f t="shared" si="244"/>
        <v>#N/A</v>
      </c>
      <c r="BJ658" t="e">
        <f t="shared" si="244"/>
        <v>#N/A</v>
      </c>
      <c r="BK658" t="e">
        <f t="shared" si="244"/>
        <v>#N/A</v>
      </c>
      <c r="BL658" t="e">
        <f t="shared" si="244"/>
        <v>#N/A</v>
      </c>
      <c r="BM658" t="e">
        <f t="shared" si="244"/>
        <v>#N/A</v>
      </c>
      <c r="BP658" t="e">
        <f t="shared" si="251"/>
        <v>#N/A</v>
      </c>
      <c r="BQ658" t="e">
        <f t="shared" si="248"/>
        <v>#N/A</v>
      </c>
      <c r="BR658" t="e">
        <f t="shared" si="245"/>
        <v>#N/A</v>
      </c>
      <c r="BS658" t="e">
        <f t="shared" si="245"/>
        <v>#N/A</v>
      </c>
      <c r="BT658" t="e">
        <f t="shared" si="245"/>
        <v>#N/A</v>
      </c>
      <c r="BU658" t="e">
        <f t="shared" si="245"/>
        <v>#N/A</v>
      </c>
      <c r="BV658" t="e">
        <f t="shared" si="245"/>
        <v>#N/A</v>
      </c>
      <c r="BY658" t="e">
        <f t="shared" si="252"/>
        <v>#N/A</v>
      </c>
      <c r="BZ658" t="e">
        <v>#N/A</v>
      </c>
      <c r="CA658" t="e" cm="1">
        <f t="array" ref="CA658">IF(ISNUMBER(BZ658),AF658/COUNT(IF(ISNUMBER(_xlfn.ANCHORARRAY($BZ$11)),_xlfn.ANCHORARRAY($BZ$11))),NA())</f>
        <v>#N/A</v>
      </c>
      <c r="CB658" t="e">
        <f t="shared" si="253"/>
        <v>#N/A</v>
      </c>
      <c r="CD658" t="e">
        <f t="shared" si="254"/>
        <v>#N/A</v>
      </c>
      <c r="CE658" t="e">
        <f t="shared" si="255"/>
        <v>#N/A</v>
      </c>
      <c r="CG658" t="e">
        <v>#N/A</v>
      </c>
      <c r="CH658" t="e">
        <v>#N/A</v>
      </c>
      <c r="CL658" t="e">
        <f t="shared" si="256"/>
        <v>#N/A</v>
      </c>
      <c r="CM658" t="e">
        <v>#N/A</v>
      </c>
      <c r="CN658" t="e" cm="1">
        <f t="array" ref="CN658">IF(ISNUMBER(CM658),AF658/COUNT(IF(ISNUMBER(_xlfn.ANCHORARRAY($CM$11)),_xlfn.ANCHORARRAY($CM$11))),NA())</f>
        <v>#N/A</v>
      </c>
      <c r="CO658" t="e">
        <f t="shared" si="257"/>
        <v>#N/A</v>
      </c>
      <c r="CQ658" t="e">
        <f t="shared" si="258"/>
        <v>#N/A</v>
      </c>
      <c r="CR658" t="e">
        <f t="shared" si="259"/>
        <v>#N/A</v>
      </c>
      <c r="CT658" t="e">
        <v>#N/A</v>
      </c>
      <c r="CU658" t="e">
        <v>#N/A</v>
      </c>
      <c r="CY658" t="e">
        <f t="shared" si="260"/>
        <v>#N/A</v>
      </c>
      <c r="CZ658" t="e">
        <v>#N/A</v>
      </c>
      <c r="DA658" t="e" cm="1">
        <f t="array" ref="DA658">IF(ISNUMBER(CZ658),AF658/COUNT(IF(ISNUMBER(_xlfn.ANCHORARRAY($CZ$11)),_xlfn.ANCHORARRAY($CZ$11))),NA())</f>
        <v>#N/A</v>
      </c>
      <c r="DB658" t="e">
        <f t="shared" si="261"/>
        <v>#N/A</v>
      </c>
      <c r="DD658" t="e">
        <f t="shared" si="262"/>
        <v>#N/A</v>
      </c>
      <c r="DE658" t="e">
        <f t="shared" si="263"/>
        <v>#N/A</v>
      </c>
      <c r="DG658" t="e">
        <v>#N/A</v>
      </c>
      <c r="DH658" t="e">
        <v>#N/A</v>
      </c>
    </row>
    <row r="659" spans="32:112">
      <c r="AF659">
        <v>649</v>
      </c>
      <c r="AG659" s="401">
        <f>'Lab test'!N652</f>
        <v>18.116549999999997</v>
      </c>
      <c r="AH659" s="401">
        <f>'Lab test'!M652</f>
        <v>1.3081</v>
      </c>
      <c r="AI659">
        <f>IF('Lab test'!O652&gt;0,'Lab test'!O652,NA())</f>
        <v>152.4</v>
      </c>
      <c r="AJ659">
        <f>'Lab test'!Q652</f>
        <v>13.849514563106792</v>
      </c>
      <c r="AK659" s="401">
        <f>IF('Lab test'!V652&gt;0,'Lab test'!V652,NA())</f>
        <v>66627.432382236497</v>
      </c>
      <c r="AL659" s="7">
        <f>IF(MAX('Lab test'!W652,'Lab test'!X652)&gt;0,MAX('Lab test'!W652,'Lab test'!X652),NA())</f>
        <v>524.6910300101124</v>
      </c>
      <c r="AM659" s="401">
        <f>IF('Lab test'!P652&gt;0,'Lab test'!P652,NA())</f>
        <v>2.2604358912124183</v>
      </c>
      <c r="AN659" s="401">
        <f>IF('Lab test'!AU652&gt;0,'Lab test'!AU652,NA())</f>
        <v>1.082152328475152</v>
      </c>
      <c r="AO659" s="401">
        <f>IF('Lab test'!AT652&gt;0,'Lab test'!AT652,NA())</f>
        <v>0.1950090809438263</v>
      </c>
      <c r="AP659">
        <f t="shared" si="242"/>
        <v>1</v>
      </c>
      <c r="AQ659" s="401">
        <f>'Lab test'!AZ652</f>
        <v>1950</v>
      </c>
      <c r="AR659" t="str">
        <f>'Lab test'!AC652</f>
        <v>Machined</v>
      </c>
      <c r="AS659" t="str">
        <f>'Lab test'!T652</f>
        <v>Aluminium</v>
      </c>
      <c r="AX659" t="e">
        <f t="shared" si="249"/>
        <v>#N/A</v>
      </c>
      <c r="AY659" t="e">
        <f t="shared" si="246"/>
        <v>#N/A</v>
      </c>
      <c r="AZ659" t="e">
        <f t="shared" si="243"/>
        <v>#N/A</v>
      </c>
      <c r="BA659" t="e">
        <f t="shared" si="243"/>
        <v>#N/A</v>
      </c>
      <c r="BB659" t="e">
        <f t="shared" si="243"/>
        <v>#N/A</v>
      </c>
      <c r="BC659" t="e">
        <f t="shared" si="243"/>
        <v>#N/A</v>
      </c>
      <c r="BD659" t="e">
        <f t="shared" si="243"/>
        <v>#N/A</v>
      </c>
      <c r="BG659" t="e">
        <f t="shared" si="250"/>
        <v>#N/A</v>
      </c>
      <c r="BH659" t="e">
        <f t="shared" si="247"/>
        <v>#N/A</v>
      </c>
      <c r="BI659" t="e">
        <f t="shared" si="244"/>
        <v>#N/A</v>
      </c>
      <c r="BJ659" t="e">
        <f t="shared" si="244"/>
        <v>#N/A</v>
      </c>
      <c r="BK659" t="e">
        <f t="shared" si="244"/>
        <v>#N/A</v>
      </c>
      <c r="BL659" t="e">
        <f t="shared" si="244"/>
        <v>#N/A</v>
      </c>
      <c r="BM659" t="e">
        <f t="shared" si="244"/>
        <v>#N/A</v>
      </c>
      <c r="BP659" t="e">
        <f t="shared" si="251"/>
        <v>#N/A</v>
      </c>
      <c r="BQ659" t="e">
        <f t="shared" si="248"/>
        <v>#N/A</v>
      </c>
      <c r="BR659" t="e">
        <f t="shared" si="245"/>
        <v>#N/A</v>
      </c>
      <c r="BS659" t="e">
        <f t="shared" si="245"/>
        <v>#N/A</v>
      </c>
      <c r="BT659" t="e">
        <f t="shared" si="245"/>
        <v>#N/A</v>
      </c>
      <c r="BU659" t="e">
        <f t="shared" si="245"/>
        <v>#N/A</v>
      </c>
      <c r="BV659" t="e">
        <f t="shared" si="245"/>
        <v>#N/A</v>
      </c>
      <c r="BY659" t="e">
        <f t="shared" si="252"/>
        <v>#N/A</v>
      </c>
      <c r="BZ659" t="e">
        <v>#N/A</v>
      </c>
      <c r="CA659" t="e" cm="1">
        <f t="array" ref="CA659">IF(ISNUMBER(BZ659),AF659/COUNT(IF(ISNUMBER(_xlfn.ANCHORARRAY($BZ$11)),_xlfn.ANCHORARRAY($BZ$11))),NA())</f>
        <v>#N/A</v>
      </c>
      <c r="CB659" t="e">
        <f t="shared" si="253"/>
        <v>#N/A</v>
      </c>
      <c r="CD659" t="e">
        <f t="shared" si="254"/>
        <v>#N/A</v>
      </c>
      <c r="CE659" t="e">
        <f t="shared" si="255"/>
        <v>#N/A</v>
      </c>
      <c r="CG659" t="e">
        <v>#N/A</v>
      </c>
      <c r="CH659" t="e">
        <v>#N/A</v>
      </c>
      <c r="CL659" t="e">
        <f t="shared" si="256"/>
        <v>#N/A</v>
      </c>
      <c r="CM659" t="e">
        <v>#N/A</v>
      </c>
      <c r="CN659" t="e" cm="1">
        <f t="array" ref="CN659">IF(ISNUMBER(CM659),AF659/COUNT(IF(ISNUMBER(_xlfn.ANCHORARRAY($CM$11)),_xlfn.ANCHORARRAY($CM$11))),NA())</f>
        <v>#N/A</v>
      </c>
      <c r="CO659" t="e">
        <f t="shared" si="257"/>
        <v>#N/A</v>
      </c>
      <c r="CQ659" t="e">
        <f t="shared" si="258"/>
        <v>#N/A</v>
      </c>
      <c r="CR659" t="e">
        <f t="shared" si="259"/>
        <v>#N/A</v>
      </c>
      <c r="CT659" t="e">
        <v>#N/A</v>
      </c>
      <c r="CU659" t="e">
        <v>#N/A</v>
      </c>
      <c r="CY659" t="e">
        <f t="shared" si="260"/>
        <v>#N/A</v>
      </c>
      <c r="CZ659" t="e">
        <v>#N/A</v>
      </c>
      <c r="DA659" t="e" cm="1">
        <f t="array" ref="DA659">IF(ISNUMBER(CZ659),AF659/COUNT(IF(ISNUMBER(_xlfn.ANCHORARRAY($CZ$11)),_xlfn.ANCHORARRAY($CZ$11))),NA())</f>
        <v>#N/A</v>
      </c>
      <c r="DB659" t="e">
        <f t="shared" si="261"/>
        <v>#N/A</v>
      </c>
      <c r="DD659" t="e">
        <f t="shared" si="262"/>
        <v>#N/A</v>
      </c>
      <c r="DE659" t="e">
        <f t="shared" si="263"/>
        <v>#N/A</v>
      </c>
      <c r="DG659" t="e">
        <v>#N/A</v>
      </c>
      <c r="DH659" t="e">
        <v>#N/A</v>
      </c>
    </row>
    <row r="660" spans="32:112">
      <c r="AF660">
        <v>650</v>
      </c>
      <c r="AG660" s="401">
        <f>'Lab test'!N653</f>
        <v>17.833339999999996</v>
      </c>
      <c r="AH660" s="401">
        <f>'Lab test'!M653</f>
        <v>0.73152000000000006</v>
      </c>
      <c r="AI660">
        <f>IF('Lab test'!O653&gt;0,'Lab test'!O653,NA())</f>
        <v>152.4</v>
      </c>
      <c r="AJ660">
        <f>'Lab test'!Q653</f>
        <v>24.378472222222214</v>
      </c>
      <c r="AK660" s="401">
        <f>IF('Lab test'!V653&gt;0,'Lab test'!V653,NA())</f>
        <v>66627.432382236497</v>
      </c>
      <c r="AL660" s="7">
        <f>IF(MAX('Lab test'!W653,'Lab test'!X653)&gt;0,MAX('Lab test'!W653,'Lab test'!X653),NA())</f>
        <v>524.6910300101124</v>
      </c>
      <c r="AM660" s="401">
        <f>IF('Lab test'!P653&gt;0,'Lab test'!P653,NA())</f>
        <v>1.730808561211775</v>
      </c>
      <c r="AN660" s="401">
        <f>IF('Lab test'!AU653&gt;0,'Lab test'!AU653,NA())</f>
        <v>1.039820577489436</v>
      </c>
      <c r="AO660" s="401">
        <f>IF('Lab test'!AT653&gt;0,'Lab test'!AT653,NA())</f>
        <v>0.32983503080577481</v>
      </c>
      <c r="AP660">
        <f t="shared" si="242"/>
        <v>1</v>
      </c>
      <c r="AQ660" s="401">
        <f>'Lab test'!AZ653</f>
        <v>1950</v>
      </c>
      <c r="AR660" t="str">
        <f>'Lab test'!AC653</f>
        <v>Machined</v>
      </c>
      <c r="AS660" t="str">
        <f>'Lab test'!T653</f>
        <v>Aluminium</v>
      </c>
      <c r="AX660" t="e">
        <f t="shared" si="249"/>
        <v>#N/A</v>
      </c>
      <c r="AY660" t="e">
        <f t="shared" si="246"/>
        <v>#N/A</v>
      </c>
      <c r="AZ660" t="e">
        <f t="shared" si="243"/>
        <v>#N/A</v>
      </c>
      <c r="BA660" t="e">
        <f t="shared" si="243"/>
        <v>#N/A</v>
      </c>
      <c r="BB660" t="e">
        <f t="shared" si="243"/>
        <v>#N/A</v>
      </c>
      <c r="BC660" t="e">
        <f t="shared" si="243"/>
        <v>#N/A</v>
      </c>
      <c r="BD660" t="e">
        <f t="shared" si="243"/>
        <v>#N/A</v>
      </c>
      <c r="BG660" t="e">
        <f t="shared" si="250"/>
        <v>#N/A</v>
      </c>
      <c r="BH660" t="e">
        <f t="shared" si="247"/>
        <v>#N/A</v>
      </c>
      <c r="BI660" t="e">
        <f t="shared" si="244"/>
        <v>#N/A</v>
      </c>
      <c r="BJ660" t="e">
        <f t="shared" si="244"/>
        <v>#N/A</v>
      </c>
      <c r="BK660" t="e">
        <f t="shared" si="244"/>
        <v>#N/A</v>
      </c>
      <c r="BL660" t="e">
        <f t="shared" si="244"/>
        <v>#N/A</v>
      </c>
      <c r="BM660" t="e">
        <f t="shared" si="244"/>
        <v>#N/A</v>
      </c>
      <c r="BP660" t="e">
        <f t="shared" si="251"/>
        <v>#N/A</v>
      </c>
      <c r="BQ660" t="e">
        <f t="shared" si="248"/>
        <v>#N/A</v>
      </c>
      <c r="BR660" t="e">
        <f t="shared" si="245"/>
        <v>#N/A</v>
      </c>
      <c r="BS660" t="e">
        <f t="shared" si="245"/>
        <v>#N/A</v>
      </c>
      <c r="BT660" t="e">
        <f t="shared" si="245"/>
        <v>#N/A</v>
      </c>
      <c r="BU660" t="e">
        <f t="shared" si="245"/>
        <v>#N/A</v>
      </c>
      <c r="BV660" t="e">
        <f t="shared" si="245"/>
        <v>#N/A</v>
      </c>
      <c r="BY660" t="e">
        <f t="shared" si="252"/>
        <v>#N/A</v>
      </c>
      <c r="BZ660" t="e">
        <v>#N/A</v>
      </c>
      <c r="CA660" t="e" cm="1">
        <f t="array" ref="CA660">IF(ISNUMBER(BZ660),AF660/COUNT(IF(ISNUMBER(_xlfn.ANCHORARRAY($BZ$11)),_xlfn.ANCHORARRAY($BZ$11))),NA())</f>
        <v>#N/A</v>
      </c>
      <c r="CB660" t="e">
        <f t="shared" si="253"/>
        <v>#N/A</v>
      </c>
      <c r="CD660" t="e">
        <f t="shared" si="254"/>
        <v>#N/A</v>
      </c>
      <c r="CE660" t="e">
        <f t="shared" si="255"/>
        <v>#N/A</v>
      </c>
      <c r="CG660" t="e">
        <v>#N/A</v>
      </c>
      <c r="CH660" t="e">
        <v>#N/A</v>
      </c>
      <c r="CL660" t="e">
        <f t="shared" si="256"/>
        <v>#N/A</v>
      </c>
      <c r="CM660" t="e">
        <v>#N/A</v>
      </c>
      <c r="CN660" t="e" cm="1">
        <f t="array" ref="CN660">IF(ISNUMBER(CM660),AF660/COUNT(IF(ISNUMBER(_xlfn.ANCHORARRAY($CM$11)),_xlfn.ANCHORARRAY($CM$11))),NA())</f>
        <v>#N/A</v>
      </c>
      <c r="CO660" t="e">
        <f t="shared" si="257"/>
        <v>#N/A</v>
      </c>
      <c r="CQ660" t="e">
        <f t="shared" si="258"/>
        <v>#N/A</v>
      </c>
      <c r="CR660" t="e">
        <f t="shared" si="259"/>
        <v>#N/A</v>
      </c>
      <c r="CT660" t="e">
        <v>#N/A</v>
      </c>
      <c r="CU660" t="e">
        <v>#N/A</v>
      </c>
      <c r="CY660" t="e">
        <f t="shared" si="260"/>
        <v>#N/A</v>
      </c>
      <c r="CZ660" t="e">
        <v>#N/A</v>
      </c>
      <c r="DA660" t="e" cm="1">
        <f t="array" ref="DA660">IF(ISNUMBER(CZ660),AF660/COUNT(IF(ISNUMBER(_xlfn.ANCHORARRAY($CZ$11)),_xlfn.ANCHORARRAY($CZ$11))),NA())</f>
        <v>#N/A</v>
      </c>
      <c r="DB660" t="e">
        <f t="shared" si="261"/>
        <v>#N/A</v>
      </c>
      <c r="DD660" t="e">
        <f t="shared" si="262"/>
        <v>#N/A</v>
      </c>
      <c r="DE660" t="e">
        <f t="shared" si="263"/>
        <v>#N/A</v>
      </c>
      <c r="DG660" t="e">
        <v>#N/A</v>
      </c>
      <c r="DH660" t="e">
        <v>#N/A</v>
      </c>
    </row>
    <row r="661" spans="32:112">
      <c r="AF661">
        <v>651</v>
      </c>
      <c r="AG661" s="401">
        <f>'Lab test'!N654</f>
        <v>17.683479999999999</v>
      </c>
      <c r="AH661" s="401">
        <f>'Lab test'!M654</f>
        <v>0.44703999999999999</v>
      </c>
      <c r="AI661">
        <f>IF('Lab test'!O654&gt;0,'Lab test'!O654,NA())</f>
        <v>152.4</v>
      </c>
      <c r="AJ661">
        <f>'Lab test'!Q654</f>
        <v>39.55681818181818</v>
      </c>
      <c r="AK661" s="401">
        <f>IF('Lab test'!V654&gt;0,'Lab test'!V654,NA())</f>
        <v>66627.432382236497</v>
      </c>
      <c r="AL661" s="7">
        <f>IF(MAX('Lab test'!W654,'Lab test'!X654)&gt;0,MAX('Lab test'!W654,'Lab test'!X654),NA())</f>
        <v>524.6910300101124</v>
      </c>
      <c r="AM661" s="401">
        <f>IF('Lab test'!P654&gt;0,'Lab test'!P654,NA())</f>
        <v>1.3702712818224152</v>
      </c>
      <c r="AN661" s="401">
        <f>IF('Lab test'!AU654&gt;0,'Lab test'!AU654,NA())</f>
        <v>0.93907398472989767</v>
      </c>
      <c r="AO661" s="401">
        <f>IF('Lab test'!AT654&gt;0,'Lab test'!AT654,NA())</f>
        <v>0.48334034365025358</v>
      </c>
      <c r="AP661">
        <f t="shared" si="242"/>
        <v>1</v>
      </c>
      <c r="AQ661" s="401">
        <f>'Lab test'!AZ654</f>
        <v>1950</v>
      </c>
      <c r="AR661" t="str">
        <f>'Lab test'!AC654</f>
        <v>Machined</v>
      </c>
      <c r="AS661" t="str">
        <f>'Lab test'!T654</f>
        <v>Aluminium</v>
      </c>
      <c r="AX661" t="e">
        <f t="shared" si="249"/>
        <v>#N/A</v>
      </c>
      <c r="AY661" t="e">
        <f t="shared" si="246"/>
        <v>#N/A</v>
      </c>
      <c r="AZ661" t="e">
        <f t="shared" si="243"/>
        <v>#N/A</v>
      </c>
      <c r="BA661" t="e">
        <f t="shared" si="243"/>
        <v>#N/A</v>
      </c>
      <c r="BB661" t="e">
        <f t="shared" si="243"/>
        <v>#N/A</v>
      </c>
      <c r="BC661" t="e">
        <f t="shared" si="243"/>
        <v>#N/A</v>
      </c>
      <c r="BD661" t="e">
        <f t="shared" si="243"/>
        <v>#N/A</v>
      </c>
      <c r="BG661" t="e">
        <f t="shared" si="250"/>
        <v>#N/A</v>
      </c>
      <c r="BH661" t="e">
        <f t="shared" si="247"/>
        <v>#N/A</v>
      </c>
      <c r="BI661" t="e">
        <f t="shared" si="244"/>
        <v>#N/A</v>
      </c>
      <c r="BJ661" t="e">
        <f t="shared" si="244"/>
        <v>#N/A</v>
      </c>
      <c r="BK661" t="e">
        <f t="shared" si="244"/>
        <v>#N/A</v>
      </c>
      <c r="BL661" t="e">
        <f t="shared" si="244"/>
        <v>#N/A</v>
      </c>
      <c r="BM661" t="e">
        <f t="shared" si="244"/>
        <v>#N/A</v>
      </c>
      <c r="BP661" t="e">
        <f t="shared" si="251"/>
        <v>#N/A</v>
      </c>
      <c r="BQ661" t="e">
        <f t="shared" si="248"/>
        <v>#N/A</v>
      </c>
      <c r="BR661" t="e">
        <f t="shared" si="245"/>
        <v>#N/A</v>
      </c>
      <c r="BS661" t="e">
        <f t="shared" si="245"/>
        <v>#N/A</v>
      </c>
      <c r="BT661" t="e">
        <f t="shared" si="245"/>
        <v>#N/A</v>
      </c>
      <c r="BU661" t="e">
        <f t="shared" si="245"/>
        <v>#N/A</v>
      </c>
      <c r="BV661" t="e">
        <f t="shared" si="245"/>
        <v>#N/A</v>
      </c>
      <c r="BY661" t="e">
        <f t="shared" si="252"/>
        <v>#N/A</v>
      </c>
      <c r="BZ661" t="e">
        <v>#N/A</v>
      </c>
      <c r="CA661" t="e" cm="1">
        <f t="array" ref="CA661">IF(ISNUMBER(BZ661),AF661/COUNT(IF(ISNUMBER(_xlfn.ANCHORARRAY($BZ$11)),_xlfn.ANCHORARRAY($BZ$11))),NA())</f>
        <v>#N/A</v>
      </c>
      <c r="CB661" t="e">
        <f t="shared" si="253"/>
        <v>#N/A</v>
      </c>
      <c r="CD661" t="e">
        <f t="shared" si="254"/>
        <v>#N/A</v>
      </c>
      <c r="CE661" t="e">
        <f t="shared" si="255"/>
        <v>#N/A</v>
      </c>
      <c r="CG661" t="e">
        <v>#N/A</v>
      </c>
      <c r="CH661" t="e">
        <v>#N/A</v>
      </c>
      <c r="CL661" t="e">
        <f t="shared" si="256"/>
        <v>#N/A</v>
      </c>
      <c r="CM661" t="e">
        <v>#N/A</v>
      </c>
      <c r="CN661" t="e" cm="1">
        <f t="array" ref="CN661">IF(ISNUMBER(CM661),AF661/COUNT(IF(ISNUMBER(_xlfn.ANCHORARRAY($CM$11)),_xlfn.ANCHORARRAY($CM$11))),NA())</f>
        <v>#N/A</v>
      </c>
      <c r="CO661" t="e">
        <f t="shared" si="257"/>
        <v>#N/A</v>
      </c>
      <c r="CQ661" t="e">
        <f t="shared" si="258"/>
        <v>#N/A</v>
      </c>
      <c r="CR661" t="e">
        <f t="shared" si="259"/>
        <v>#N/A</v>
      </c>
      <c r="CT661" t="e">
        <v>#N/A</v>
      </c>
      <c r="CU661" t="e">
        <v>#N/A</v>
      </c>
      <c r="CY661" t="e">
        <f t="shared" si="260"/>
        <v>#N/A</v>
      </c>
      <c r="CZ661" t="e">
        <v>#N/A</v>
      </c>
      <c r="DA661" t="e" cm="1">
        <f t="array" ref="DA661">IF(ISNUMBER(CZ661),AF661/COUNT(IF(ISNUMBER(_xlfn.ANCHORARRAY($CZ$11)),_xlfn.ANCHORARRAY($CZ$11))),NA())</f>
        <v>#N/A</v>
      </c>
      <c r="DB661" t="e">
        <f t="shared" si="261"/>
        <v>#N/A</v>
      </c>
      <c r="DD661" t="e">
        <f t="shared" si="262"/>
        <v>#N/A</v>
      </c>
      <c r="DE661" t="e">
        <f t="shared" si="263"/>
        <v>#N/A</v>
      </c>
      <c r="DG661" t="e">
        <v>#N/A</v>
      </c>
      <c r="DH661" t="e">
        <v>#N/A</v>
      </c>
    </row>
    <row r="662" spans="32:112">
      <c r="AF662">
        <v>652</v>
      </c>
      <c r="AG662" s="401">
        <f>'Lab test'!N655</f>
        <v>17.639029999999998</v>
      </c>
      <c r="AH662" s="401">
        <f>'Lab test'!M655</f>
        <v>0.30734</v>
      </c>
      <c r="AI662">
        <f>IF('Lab test'!O655&gt;0,'Lab test'!O655,NA())</f>
        <v>152.4</v>
      </c>
      <c r="AJ662">
        <f>'Lab test'!Q655</f>
        <v>57.392561983471069</v>
      </c>
      <c r="AK662" s="401">
        <f>IF('Lab test'!V655&gt;0,'Lab test'!V655,NA())</f>
        <v>66627.432382236497</v>
      </c>
      <c r="AL662" s="7">
        <f>IF(MAX('Lab test'!W655,'Lab test'!X655)&gt;0,MAX('Lab test'!W655,'Lab test'!X655),NA())</f>
        <v>524.6910300101124</v>
      </c>
      <c r="AM662" s="401">
        <f>IF('Lab test'!P655&gt;0,'Lab test'!P655,NA())</f>
        <v>1.1404663143768565</v>
      </c>
      <c r="AN662" s="401">
        <f>IF('Lab test'!AU655&gt;0,'Lab test'!AU655,NA())</f>
        <v>0.83406953996785571</v>
      </c>
      <c r="AO662" s="401">
        <f>IF('Lab test'!AT655&gt;0,'Lab test'!AT655,NA())</f>
        <v>0.62285902135906457</v>
      </c>
      <c r="AP662">
        <f t="shared" si="242"/>
        <v>1</v>
      </c>
      <c r="AQ662" s="401">
        <f>'Lab test'!AZ655</f>
        <v>1950</v>
      </c>
      <c r="AR662" t="str">
        <f>'Lab test'!AC655</f>
        <v>Machined</v>
      </c>
      <c r="AS662" t="str">
        <f>'Lab test'!T655</f>
        <v>Aluminium</v>
      </c>
      <c r="AX662" t="e">
        <f t="shared" si="249"/>
        <v>#N/A</v>
      </c>
      <c r="AY662" t="e">
        <f t="shared" si="246"/>
        <v>#N/A</v>
      </c>
      <c r="AZ662" t="e">
        <f t="shared" si="243"/>
        <v>#N/A</v>
      </c>
      <c r="BA662" t="e">
        <f t="shared" si="243"/>
        <v>#N/A</v>
      </c>
      <c r="BB662" t="e">
        <f t="shared" si="243"/>
        <v>#N/A</v>
      </c>
      <c r="BC662" t="e">
        <f t="shared" si="243"/>
        <v>#N/A</v>
      </c>
      <c r="BD662" t="e">
        <f t="shared" si="243"/>
        <v>#N/A</v>
      </c>
      <c r="BG662" t="e">
        <f t="shared" si="250"/>
        <v>#N/A</v>
      </c>
      <c r="BH662" t="e">
        <f t="shared" si="247"/>
        <v>#N/A</v>
      </c>
      <c r="BI662" t="e">
        <f t="shared" si="244"/>
        <v>#N/A</v>
      </c>
      <c r="BJ662" t="e">
        <f t="shared" si="244"/>
        <v>#N/A</v>
      </c>
      <c r="BK662" t="e">
        <f t="shared" si="244"/>
        <v>#N/A</v>
      </c>
      <c r="BL662" t="e">
        <f t="shared" si="244"/>
        <v>#N/A</v>
      </c>
      <c r="BM662" t="e">
        <f t="shared" si="244"/>
        <v>#N/A</v>
      </c>
      <c r="BP662" t="e">
        <f t="shared" si="251"/>
        <v>#N/A</v>
      </c>
      <c r="BQ662" t="e">
        <f t="shared" si="248"/>
        <v>#N/A</v>
      </c>
      <c r="BR662" t="e">
        <f t="shared" si="245"/>
        <v>#N/A</v>
      </c>
      <c r="BS662" t="e">
        <f t="shared" si="245"/>
        <v>#N/A</v>
      </c>
      <c r="BT662" t="e">
        <f t="shared" si="245"/>
        <v>#N/A</v>
      </c>
      <c r="BU662" t="e">
        <f t="shared" si="245"/>
        <v>#N/A</v>
      </c>
      <c r="BV662" t="e">
        <f t="shared" si="245"/>
        <v>#N/A</v>
      </c>
      <c r="BY662" t="e">
        <f t="shared" si="252"/>
        <v>#N/A</v>
      </c>
      <c r="BZ662" t="e">
        <v>#N/A</v>
      </c>
      <c r="CA662" t="e" cm="1">
        <f t="array" ref="CA662">IF(ISNUMBER(BZ662),AF662/COUNT(IF(ISNUMBER(_xlfn.ANCHORARRAY($BZ$11)),_xlfn.ANCHORARRAY($BZ$11))),NA())</f>
        <v>#N/A</v>
      </c>
      <c r="CB662" t="e">
        <f t="shared" si="253"/>
        <v>#N/A</v>
      </c>
      <c r="CD662" t="e">
        <f t="shared" si="254"/>
        <v>#N/A</v>
      </c>
      <c r="CE662" t="e">
        <f t="shared" si="255"/>
        <v>#N/A</v>
      </c>
      <c r="CG662" t="e">
        <v>#N/A</v>
      </c>
      <c r="CH662" t="e">
        <v>#N/A</v>
      </c>
      <c r="CL662" t="e">
        <f t="shared" si="256"/>
        <v>#N/A</v>
      </c>
      <c r="CM662" t="e">
        <v>#N/A</v>
      </c>
      <c r="CN662" t="e" cm="1">
        <f t="array" ref="CN662">IF(ISNUMBER(CM662),AF662/COUNT(IF(ISNUMBER(_xlfn.ANCHORARRAY($CM$11)),_xlfn.ANCHORARRAY($CM$11))),NA())</f>
        <v>#N/A</v>
      </c>
      <c r="CO662" t="e">
        <f t="shared" si="257"/>
        <v>#N/A</v>
      </c>
      <c r="CQ662" t="e">
        <f t="shared" si="258"/>
        <v>#N/A</v>
      </c>
      <c r="CR662" t="e">
        <f t="shared" si="259"/>
        <v>#N/A</v>
      </c>
      <c r="CT662" t="e">
        <v>#N/A</v>
      </c>
      <c r="CU662" t="e">
        <v>#N/A</v>
      </c>
      <c r="CY662" t="e">
        <f t="shared" si="260"/>
        <v>#N/A</v>
      </c>
      <c r="CZ662" t="e">
        <v>#N/A</v>
      </c>
      <c r="DA662" t="e" cm="1">
        <f t="array" ref="DA662">IF(ISNUMBER(CZ662),AF662/COUNT(IF(ISNUMBER(_xlfn.ANCHORARRAY($CZ$11)),_xlfn.ANCHORARRAY($CZ$11))),NA())</f>
        <v>#N/A</v>
      </c>
      <c r="DB662" t="e">
        <f t="shared" si="261"/>
        <v>#N/A</v>
      </c>
      <c r="DD662" t="e">
        <f t="shared" si="262"/>
        <v>#N/A</v>
      </c>
      <c r="DE662" t="e">
        <f t="shared" si="263"/>
        <v>#N/A</v>
      </c>
      <c r="DG662" t="e">
        <v>#N/A</v>
      </c>
      <c r="DH662" t="e">
        <v>#N/A</v>
      </c>
    </row>
    <row r="663" spans="32:112">
      <c r="AF663">
        <v>653</v>
      </c>
      <c r="AG663" s="401">
        <f>'Lab test'!N656</f>
        <v>17.585689999999996</v>
      </c>
      <c r="AH663" s="401">
        <f>'Lab test'!M656</f>
        <v>0.23622000000000001</v>
      </c>
      <c r="AI663">
        <f>IF('Lab test'!O656&gt;0,'Lab test'!O656,NA())</f>
        <v>152.4</v>
      </c>
      <c r="AJ663">
        <f>'Lab test'!Q656</f>
        <v>74.446236559139763</v>
      </c>
      <c r="AK663" s="401">
        <f>IF('Lab test'!V656&gt;0,'Lab test'!V656,NA())</f>
        <v>66627.432382236497</v>
      </c>
      <c r="AL663" s="7">
        <f>IF(MAX('Lab test'!W656,'Lab test'!X656)&gt;0,MAX('Lab test'!W656,'Lab test'!X656),NA())</f>
        <v>524.6910300101124</v>
      </c>
      <c r="AM663" s="401">
        <f>IF('Lab test'!P656&gt;0,'Lab test'!P656,NA())</f>
        <v>1.0043941622808696</v>
      </c>
      <c r="AN663" s="401">
        <f>IF('Lab test'!AU656&gt;0,'Lab test'!AU656,NA())</f>
        <v>0.76843352990906788</v>
      </c>
      <c r="AO663" s="401">
        <f>IF('Lab test'!AT656&gt;0,'Lab test'!AT656,NA())</f>
        <v>0.74435642369191912</v>
      </c>
      <c r="AP663">
        <f t="shared" ref="AP663:AP680" si="264">IF(AND(OR(ISNUMBER(AN663),ISNUMBER(AO663)),ISNUMBER(AK663),ISNUMBER(AL663)),1,NA())</f>
        <v>1</v>
      </c>
      <c r="AQ663" s="401">
        <f>'Lab test'!AZ656</f>
        <v>1950</v>
      </c>
      <c r="AR663" t="str">
        <f>'Lab test'!AC656</f>
        <v>Machined</v>
      </c>
      <c r="AS663" t="str">
        <f>'Lab test'!T656</f>
        <v>Aluminium</v>
      </c>
      <c r="AX663" t="e">
        <f t="shared" si="249"/>
        <v>#N/A</v>
      </c>
      <c r="AY663" t="e">
        <f t="shared" si="246"/>
        <v>#N/A</v>
      </c>
      <c r="AZ663" t="e">
        <f t="shared" si="243"/>
        <v>#N/A</v>
      </c>
      <c r="BA663" t="e">
        <f t="shared" si="243"/>
        <v>#N/A</v>
      </c>
      <c r="BB663" t="e">
        <f t="shared" si="243"/>
        <v>#N/A</v>
      </c>
      <c r="BC663" t="e">
        <f t="shared" si="243"/>
        <v>#N/A</v>
      </c>
      <c r="BD663" t="e">
        <f t="shared" si="243"/>
        <v>#N/A</v>
      </c>
      <c r="BG663" t="e">
        <f t="shared" si="250"/>
        <v>#N/A</v>
      </c>
      <c r="BH663" t="e">
        <f t="shared" si="247"/>
        <v>#N/A</v>
      </c>
      <c r="BI663" t="e">
        <f t="shared" si="244"/>
        <v>#N/A</v>
      </c>
      <c r="BJ663" t="e">
        <f t="shared" si="244"/>
        <v>#N/A</v>
      </c>
      <c r="BK663" t="e">
        <f t="shared" si="244"/>
        <v>#N/A</v>
      </c>
      <c r="BL663" t="e">
        <f t="shared" si="244"/>
        <v>#N/A</v>
      </c>
      <c r="BM663" t="e">
        <f t="shared" si="244"/>
        <v>#N/A</v>
      </c>
      <c r="BP663" t="e">
        <f t="shared" si="251"/>
        <v>#N/A</v>
      </c>
      <c r="BQ663" t="e">
        <f t="shared" si="248"/>
        <v>#N/A</v>
      </c>
      <c r="BR663" t="e">
        <f t="shared" si="245"/>
        <v>#N/A</v>
      </c>
      <c r="BS663" t="e">
        <f t="shared" si="245"/>
        <v>#N/A</v>
      </c>
      <c r="BT663" t="e">
        <f t="shared" si="245"/>
        <v>#N/A</v>
      </c>
      <c r="BU663" t="e">
        <f t="shared" si="245"/>
        <v>#N/A</v>
      </c>
      <c r="BV663" t="e">
        <f t="shared" si="245"/>
        <v>#N/A</v>
      </c>
      <c r="BY663" t="e">
        <f t="shared" si="252"/>
        <v>#N/A</v>
      </c>
      <c r="BZ663" t="e">
        <v>#N/A</v>
      </c>
      <c r="CA663" t="e" cm="1">
        <f t="array" ref="CA663">IF(ISNUMBER(BZ663),AF663/COUNT(IF(ISNUMBER(_xlfn.ANCHORARRAY($BZ$11)),_xlfn.ANCHORARRAY($BZ$11))),NA())</f>
        <v>#N/A</v>
      </c>
      <c r="CB663" t="e">
        <f t="shared" si="253"/>
        <v>#N/A</v>
      </c>
      <c r="CD663" t="e">
        <f t="shared" si="254"/>
        <v>#N/A</v>
      </c>
      <c r="CE663" t="e">
        <f t="shared" si="255"/>
        <v>#N/A</v>
      </c>
      <c r="CG663" t="e">
        <v>#N/A</v>
      </c>
      <c r="CH663" t="e">
        <v>#N/A</v>
      </c>
      <c r="CL663" t="e">
        <f t="shared" si="256"/>
        <v>#N/A</v>
      </c>
      <c r="CM663" t="e">
        <v>#N/A</v>
      </c>
      <c r="CN663" t="e" cm="1">
        <f t="array" ref="CN663">IF(ISNUMBER(CM663),AF663/COUNT(IF(ISNUMBER(_xlfn.ANCHORARRAY($CM$11)),_xlfn.ANCHORARRAY($CM$11))),NA())</f>
        <v>#N/A</v>
      </c>
      <c r="CO663" t="e">
        <f t="shared" si="257"/>
        <v>#N/A</v>
      </c>
      <c r="CQ663" t="e">
        <f t="shared" si="258"/>
        <v>#N/A</v>
      </c>
      <c r="CR663" t="e">
        <f t="shared" si="259"/>
        <v>#N/A</v>
      </c>
      <c r="CT663" t="e">
        <v>#N/A</v>
      </c>
      <c r="CU663" t="e">
        <v>#N/A</v>
      </c>
      <c r="CY663" t="e">
        <f t="shared" si="260"/>
        <v>#N/A</v>
      </c>
      <c r="CZ663" t="e">
        <v>#N/A</v>
      </c>
      <c r="DA663" t="e" cm="1">
        <f t="array" ref="DA663">IF(ISNUMBER(CZ663),AF663/COUNT(IF(ISNUMBER(_xlfn.ANCHORARRAY($CZ$11)),_xlfn.ANCHORARRAY($CZ$11))),NA())</f>
        <v>#N/A</v>
      </c>
      <c r="DB663" t="e">
        <f t="shared" si="261"/>
        <v>#N/A</v>
      </c>
      <c r="DD663" t="e">
        <f t="shared" si="262"/>
        <v>#N/A</v>
      </c>
      <c r="DE663" t="e">
        <f t="shared" si="263"/>
        <v>#N/A</v>
      </c>
      <c r="DG663" t="e">
        <v>#N/A</v>
      </c>
      <c r="DH663" t="e">
        <v>#N/A</v>
      </c>
    </row>
    <row r="664" spans="32:112">
      <c r="AF664">
        <v>654</v>
      </c>
      <c r="AG664" s="401">
        <f>'Lab test'!N657</f>
        <v>19.64817</v>
      </c>
      <c r="AH664" s="401">
        <f>'Lab test'!M657</f>
        <v>4.3662599999999996</v>
      </c>
      <c r="AI664">
        <f>IF('Lab test'!O657&gt;0,'Lab test'!O657,NA())</f>
        <v>152.39999999999998</v>
      </c>
      <c r="AJ664">
        <f>'Lab test'!Q657</f>
        <v>4.5000000000000009</v>
      </c>
      <c r="AK664" s="401">
        <f>IF('Lab test'!V657&gt;0,'Lab test'!V657,NA())</f>
        <v>72236.372022559997</v>
      </c>
      <c r="AL664" s="7">
        <f>IF(MAX('Lab test'!W657,'Lab test'!X657)&gt;0,MAX('Lab test'!W657,'Lab test'!X657),NA())</f>
        <v>565.37009696000007</v>
      </c>
      <c r="AM664" s="401">
        <f>IF('Lab test'!P657&gt;0,'Lab test'!P657,NA())</f>
        <v>3.6564244389453679</v>
      </c>
      <c r="AN664" s="401">
        <f>IF('Lab test'!AU657&gt;0,'Lab test'!AU657,NA())</f>
        <v>1.2109756097560975</v>
      </c>
      <c r="AO664" s="401">
        <f>IF('Lab test'!AT657&gt;0,'Lab test'!AT657,NA())</f>
        <v>7.0470303494935424E-2</v>
      </c>
      <c r="AP664">
        <f t="shared" si="264"/>
        <v>1</v>
      </c>
      <c r="AQ664" s="401">
        <f>'Lab test'!AZ657</f>
        <v>1952</v>
      </c>
      <c r="AR664" t="str">
        <f>'Lab test'!AC657</f>
        <v>Machined</v>
      </c>
      <c r="AS664" t="str">
        <f>'Lab test'!T657</f>
        <v>Aluminium</v>
      </c>
      <c r="AX664" t="e">
        <f t="shared" si="249"/>
        <v>#N/A</v>
      </c>
      <c r="AY664" t="e">
        <f t="shared" si="246"/>
        <v>#N/A</v>
      </c>
      <c r="AZ664" t="e">
        <f t="shared" si="243"/>
        <v>#N/A</v>
      </c>
      <c r="BA664" t="e">
        <f t="shared" si="243"/>
        <v>#N/A</v>
      </c>
      <c r="BB664" t="e">
        <f t="shared" si="243"/>
        <v>#N/A</v>
      </c>
      <c r="BC664" t="e">
        <f t="shared" si="243"/>
        <v>#N/A</v>
      </c>
      <c r="BD664" t="e">
        <f t="shared" si="243"/>
        <v>#N/A</v>
      </c>
      <c r="BG664" t="e">
        <f t="shared" si="250"/>
        <v>#N/A</v>
      </c>
      <c r="BH664" t="e">
        <f t="shared" si="247"/>
        <v>#N/A</v>
      </c>
      <c r="BI664" t="e">
        <f t="shared" si="244"/>
        <v>#N/A</v>
      </c>
      <c r="BJ664" t="e">
        <f t="shared" si="244"/>
        <v>#N/A</v>
      </c>
      <c r="BK664" t="e">
        <f t="shared" si="244"/>
        <v>#N/A</v>
      </c>
      <c r="BL664" t="e">
        <f t="shared" si="244"/>
        <v>#N/A</v>
      </c>
      <c r="BM664" t="e">
        <f t="shared" si="244"/>
        <v>#N/A</v>
      </c>
      <c r="BP664" t="e">
        <f t="shared" si="251"/>
        <v>#N/A</v>
      </c>
      <c r="BQ664" t="e">
        <f t="shared" si="248"/>
        <v>#N/A</v>
      </c>
      <c r="BR664" t="e">
        <f t="shared" si="245"/>
        <v>#N/A</v>
      </c>
      <c r="BS664" t="e">
        <f t="shared" si="245"/>
        <v>#N/A</v>
      </c>
      <c r="BT664" t="e">
        <f t="shared" si="245"/>
        <v>#N/A</v>
      </c>
      <c r="BU664" t="e">
        <f t="shared" si="245"/>
        <v>#N/A</v>
      </c>
      <c r="BV664" t="e">
        <f t="shared" si="245"/>
        <v>#N/A</v>
      </c>
      <c r="BY664" t="e">
        <f t="shared" si="252"/>
        <v>#N/A</v>
      </c>
      <c r="BZ664" t="e">
        <v>#N/A</v>
      </c>
      <c r="CA664" t="e" cm="1">
        <f t="array" ref="CA664">IF(ISNUMBER(BZ664),AF664/COUNT(IF(ISNUMBER(_xlfn.ANCHORARRAY($BZ$11)),_xlfn.ANCHORARRAY($BZ$11))),NA())</f>
        <v>#N/A</v>
      </c>
      <c r="CB664" t="e">
        <f t="shared" si="253"/>
        <v>#N/A</v>
      </c>
      <c r="CD664" t="e">
        <f t="shared" si="254"/>
        <v>#N/A</v>
      </c>
      <c r="CE664" t="e">
        <f t="shared" si="255"/>
        <v>#N/A</v>
      </c>
      <c r="CG664" t="e">
        <v>#N/A</v>
      </c>
      <c r="CH664" t="e">
        <v>#N/A</v>
      </c>
      <c r="CL664" t="e">
        <f t="shared" si="256"/>
        <v>#N/A</v>
      </c>
      <c r="CM664" t="e">
        <v>#N/A</v>
      </c>
      <c r="CN664" t="e" cm="1">
        <f t="array" ref="CN664">IF(ISNUMBER(CM664),AF664/COUNT(IF(ISNUMBER(_xlfn.ANCHORARRAY($CM$11)),_xlfn.ANCHORARRAY($CM$11))),NA())</f>
        <v>#N/A</v>
      </c>
      <c r="CO664" t="e">
        <f t="shared" si="257"/>
        <v>#N/A</v>
      </c>
      <c r="CQ664" t="e">
        <f t="shared" si="258"/>
        <v>#N/A</v>
      </c>
      <c r="CR664" t="e">
        <f t="shared" si="259"/>
        <v>#N/A</v>
      </c>
      <c r="CT664" t="e">
        <v>#N/A</v>
      </c>
      <c r="CU664" t="e">
        <v>#N/A</v>
      </c>
      <c r="CY664" t="e">
        <f t="shared" si="260"/>
        <v>#N/A</v>
      </c>
      <c r="CZ664" t="e">
        <v>#N/A</v>
      </c>
      <c r="DA664" t="e" cm="1">
        <f t="array" ref="DA664">IF(ISNUMBER(CZ664),AF664/COUNT(IF(ISNUMBER(_xlfn.ANCHORARRAY($CZ$11)),_xlfn.ANCHORARRAY($CZ$11))),NA())</f>
        <v>#N/A</v>
      </c>
      <c r="DB664" t="e">
        <f t="shared" si="261"/>
        <v>#N/A</v>
      </c>
      <c r="DD664" t="e">
        <f t="shared" si="262"/>
        <v>#N/A</v>
      </c>
      <c r="DE664" t="e">
        <f t="shared" si="263"/>
        <v>#N/A</v>
      </c>
      <c r="DG664" t="e">
        <v>#N/A</v>
      </c>
      <c r="DH664" t="e">
        <v>#N/A</v>
      </c>
    </row>
    <row r="665" spans="32:112">
      <c r="AF665">
        <v>655</v>
      </c>
      <c r="AG665" s="401">
        <f>'Lab test'!N658</f>
        <v>18.116549999999997</v>
      </c>
      <c r="AH665" s="401">
        <f>'Lab test'!M658</f>
        <v>1.3080999999999998</v>
      </c>
      <c r="AI665">
        <f>IF('Lab test'!O658&gt;0,'Lab test'!O658,NA())</f>
        <v>114.3</v>
      </c>
      <c r="AJ665">
        <f>'Lab test'!Q658</f>
        <v>13.849514563106796</v>
      </c>
      <c r="AK665" s="401">
        <f>IF('Lab test'!V658&gt;0,'Lab test'!V658,NA())</f>
        <v>72236.372022559997</v>
      </c>
      <c r="AL665" s="7">
        <f>IF(MAX('Lab test'!W658,'Lab test'!X658)&gt;0,MAX('Lab test'!W658,'Lab test'!X658),NA())</f>
        <v>565.37009696000007</v>
      </c>
      <c r="AM665" s="401">
        <f>IF('Lab test'!P658&gt;0,'Lab test'!P658,NA())</f>
        <v>1.6953269184093129</v>
      </c>
      <c r="AN665" s="401">
        <f>IF('Lab test'!AU658&gt;0,'Lab test'!AU658,NA())</f>
        <v>1.0219512195121949</v>
      </c>
      <c r="AO665" s="401">
        <f>IF('Lab test'!AT658&gt;0,'Lab test'!AT658,NA())</f>
        <v>0.1830302822887945</v>
      </c>
      <c r="AP665">
        <f t="shared" si="264"/>
        <v>1</v>
      </c>
      <c r="AQ665" s="401">
        <f>'Lab test'!AZ658</f>
        <v>1952</v>
      </c>
      <c r="AR665" t="str">
        <f>'Lab test'!AC658</f>
        <v>Machined</v>
      </c>
      <c r="AS665" t="str">
        <f>'Lab test'!T658</f>
        <v>Aluminium</v>
      </c>
      <c r="AX665" t="e">
        <f t="shared" si="249"/>
        <v>#N/A</v>
      </c>
      <c r="AY665" t="e">
        <f t="shared" si="246"/>
        <v>#N/A</v>
      </c>
      <c r="AZ665" t="e">
        <f t="shared" si="243"/>
        <v>#N/A</v>
      </c>
      <c r="BA665" t="e">
        <f t="shared" si="243"/>
        <v>#N/A</v>
      </c>
      <c r="BB665" t="e">
        <f t="shared" si="243"/>
        <v>#N/A</v>
      </c>
      <c r="BC665" t="e">
        <f t="shared" si="243"/>
        <v>#N/A</v>
      </c>
      <c r="BD665" t="e">
        <f t="shared" si="243"/>
        <v>#N/A</v>
      </c>
      <c r="BG665" t="e">
        <f t="shared" si="250"/>
        <v>#N/A</v>
      </c>
      <c r="BH665" t="e">
        <f t="shared" si="247"/>
        <v>#N/A</v>
      </c>
      <c r="BI665" t="e">
        <f t="shared" si="244"/>
        <v>#N/A</v>
      </c>
      <c r="BJ665" t="e">
        <f t="shared" si="244"/>
        <v>#N/A</v>
      </c>
      <c r="BK665" t="e">
        <f t="shared" si="244"/>
        <v>#N/A</v>
      </c>
      <c r="BL665" t="e">
        <f t="shared" si="244"/>
        <v>#N/A</v>
      </c>
      <c r="BM665" t="e">
        <f t="shared" si="244"/>
        <v>#N/A</v>
      </c>
      <c r="BP665" t="e">
        <f t="shared" si="251"/>
        <v>#N/A</v>
      </c>
      <c r="BQ665" t="e">
        <f t="shared" si="248"/>
        <v>#N/A</v>
      </c>
      <c r="BR665" t="e">
        <f t="shared" si="245"/>
        <v>#N/A</v>
      </c>
      <c r="BS665" t="e">
        <f t="shared" si="245"/>
        <v>#N/A</v>
      </c>
      <c r="BT665" t="e">
        <f t="shared" si="245"/>
        <v>#N/A</v>
      </c>
      <c r="BU665" t="e">
        <f t="shared" si="245"/>
        <v>#N/A</v>
      </c>
      <c r="BV665" t="e">
        <f t="shared" si="245"/>
        <v>#N/A</v>
      </c>
      <c r="BY665" t="e">
        <f t="shared" si="252"/>
        <v>#N/A</v>
      </c>
      <c r="BZ665" t="e">
        <v>#N/A</v>
      </c>
      <c r="CA665" t="e" cm="1">
        <f t="array" ref="CA665">IF(ISNUMBER(BZ665),AF665/COUNT(IF(ISNUMBER(_xlfn.ANCHORARRAY($BZ$11)),_xlfn.ANCHORARRAY($BZ$11))),NA())</f>
        <v>#N/A</v>
      </c>
      <c r="CB665" t="e">
        <f t="shared" si="253"/>
        <v>#N/A</v>
      </c>
      <c r="CD665" t="e">
        <f t="shared" si="254"/>
        <v>#N/A</v>
      </c>
      <c r="CE665" t="e">
        <f t="shared" si="255"/>
        <v>#N/A</v>
      </c>
      <c r="CG665" t="e">
        <v>#N/A</v>
      </c>
      <c r="CH665" t="e">
        <v>#N/A</v>
      </c>
      <c r="CL665" t="e">
        <f t="shared" si="256"/>
        <v>#N/A</v>
      </c>
      <c r="CM665" t="e">
        <v>#N/A</v>
      </c>
      <c r="CN665" t="e" cm="1">
        <f t="array" ref="CN665">IF(ISNUMBER(CM665),AF665/COUNT(IF(ISNUMBER(_xlfn.ANCHORARRAY($CM$11)),_xlfn.ANCHORARRAY($CM$11))),NA())</f>
        <v>#N/A</v>
      </c>
      <c r="CO665" t="e">
        <f t="shared" si="257"/>
        <v>#N/A</v>
      </c>
      <c r="CQ665" t="e">
        <f t="shared" si="258"/>
        <v>#N/A</v>
      </c>
      <c r="CR665" t="e">
        <f t="shared" si="259"/>
        <v>#N/A</v>
      </c>
      <c r="CT665" t="e">
        <v>#N/A</v>
      </c>
      <c r="CU665" t="e">
        <v>#N/A</v>
      </c>
      <c r="CY665" t="e">
        <f t="shared" si="260"/>
        <v>#N/A</v>
      </c>
      <c r="CZ665" t="e">
        <v>#N/A</v>
      </c>
      <c r="DA665" t="e" cm="1">
        <f t="array" ref="DA665">IF(ISNUMBER(CZ665),AF665/COUNT(IF(ISNUMBER(_xlfn.ANCHORARRAY($CZ$11)),_xlfn.ANCHORARRAY($CZ$11))),NA())</f>
        <v>#N/A</v>
      </c>
      <c r="DB665" t="e">
        <f t="shared" si="261"/>
        <v>#N/A</v>
      </c>
      <c r="DD665" t="e">
        <f t="shared" si="262"/>
        <v>#N/A</v>
      </c>
      <c r="DE665" t="e">
        <f t="shared" si="263"/>
        <v>#N/A</v>
      </c>
      <c r="DG665" t="e">
        <v>#N/A</v>
      </c>
      <c r="DH665" t="e">
        <v>#N/A</v>
      </c>
    </row>
    <row r="666" spans="32:112">
      <c r="AF666">
        <v>656</v>
      </c>
      <c r="AG666" s="401">
        <f>'Lab test'!N659</f>
        <v>17.83334</v>
      </c>
      <c r="AH666" s="401">
        <f>'Lab test'!M659</f>
        <v>0.73151999999999995</v>
      </c>
      <c r="AI666">
        <f>IF('Lab test'!O659&gt;0,'Lab test'!O659,NA())</f>
        <v>114.3</v>
      </c>
      <c r="AJ666">
        <f>'Lab test'!Q659</f>
        <v>24.378472222222225</v>
      </c>
      <c r="AK666" s="401">
        <f>IF('Lab test'!V659&gt;0,'Lab test'!V659,NA())</f>
        <v>72236.372022559997</v>
      </c>
      <c r="AL666" s="7">
        <f>IF(MAX('Lab test'!W659,'Lab test'!X659)&gt;0,MAX('Lab test'!W659,'Lab test'!X659),NA())</f>
        <v>565.37009696000007</v>
      </c>
      <c r="AM666" s="401">
        <f>IF('Lab test'!P659&gt;0,'Lab test'!P659,NA())</f>
        <v>1.2981064209088307</v>
      </c>
      <c r="AN666" s="401">
        <f>IF('Lab test'!AU659&gt;0,'Lab test'!AU659,NA())</f>
        <v>0.97926829268292681</v>
      </c>
      <c r="AO666" s="401">
        <f>IF('Lab test'!AT659&gt;0,'Lab test'!AT659,NA())</f>
        <v>0.30872116907306951</v>
      </c>
      <c r="AP666">
        <f t="shared" si="264"/>
        <v>1</v>
      </c>
      <c r="AQ666" s="401">
        <f>'Lab test'!AZ659</f>
        <v>1952</v>
      </c>
      <c r="AR666" t="str">
        <f>'Lab test'!AC659</f>
        <v>Machined</v>
      </c>
      <c r="AS666" t="str">
        <f>'Lab test'!T659</f>
        <v>Aluminium</v>
      </c>
      <c r="AX666" t="e">
        <f t="shared" si="249"/>
        <v>#N/A</v>
      </c>
      <c r="AY666" t="e">
        <f t="shared" si="246"/>
        <v>#N/A</v>
      </c>
      <c r="AZ666" t="e">
        <f t="shared" si="243"/>
        <v>#N/A</v>
      </c>
      <c r="BA666" t="e">
        <f t="shared" si="243"/>
        <v>#N/A</v>
      </c>
      <c r="BB666" t="e">
        <f t="shared" si="243"/>
        <v>#N/A</v>
      </c>
      <c r="BC666" t="e">
        <f t="shared" si="243"/>
        <v>#N/A</v>
      </c>
      <c r="BD666" t="e">
        <f t="shared" si="243"/>
        <v>#N/A</v>
      </c>
      <c r="BG666" t="e">
        <f t="shared" si="250"/>
        <v>#N/A</v>
      </c>
      <c r="BH666" t="e">
        <f t="shared" si="247"/>
        <v>#N/A</v>
      </c>
      <c r="BI666" t="e">
        <f t="shared" si="244"/>
        <v>#N/A</v>
      </c>
      <c r="BJ666" t="e">
        <f t="shared" si="244"/>
        <v>#N/A</v>
      </c>
      <c r="BK666" t="e">
        <f t="shared" si="244"/>
        <v>#N/A</v>
      </c>
      <c r="BL666" t="e">
        <f t="shared" si="244"/>
        <v>#N/A</v>
      </c>
      <c r="BM666" t="e">
        <f t="shared" si="244"/>
        <v>#N/A</v>
      </c>
      <c r="BP666" t="e">
        <f t="shared" si="251"/>
        <v>#N/A</v>
      </c>
      <c r="BQ666" t="e">
        <f t="shared" si="248"/>
        <v>#N/A</v>
      </c>
      <c r="BR666" t="e">
        <f t="shared" si="245"/>
        <v>#N/A</v>
      </c>
      <c r="BS666" t="e">
        <f t="shared" si="245"/>
        <v>#N/A</v>
      </c>
      <c r="BT666" t="e">
        <f t="shared" si="245"/>
        <v>#N/A</v>
      </c>
      <c r="BU666" t="e">
        <f t="shared" si="245"/>
        <v>#N/A</v>
      </c>
      <c r="BV666" t="e">
        <f t="shared" si="245"/>
        <v>#N/A</v>
      </c>
      <c r="BY666" t="e">
        <f t="shared" si="252"/>
        <v>#N/A</v>
      </c>
      <c r="BZ666" t="e">
        <v>#N/A</v>
      </c>
      <c r="CA666" t="e" cm="1">
        <f t="array" ref="CA666">IF(ISNUMBER(BZ666),AF666/COUNT(IF(ISNUMBER(_xlfn.ANCHORARRAY($BZ$11)),_xlfn.ANCHORARRAY($BZ$11))),NA())</f>
        <v>#N/A</v>
      </c>
      <c r="CB666" t="e">
        <f t="shared" si="253"/>
        <v>#N/A</v>
      </c>
      <c r="CD666" t="e">
        <f t="shared" si="254"/>
        <v>#N/A</v>
      </c>
      <c r="CE666" t="e">
        <f t="shared" si="255"/>
        <v>#N/A</v>
      </c>
      <c r="CG666" t="e">
        <v>#N/A</v>
      </c>
      <c r="CH666" t="e">
        <v>#N/A</v>
      </c>
      <c r="CL666" t="e">
        <f t="shared" si="256"/>
        <v>#N/A</v>
      </c>
      <c r="CM666" t="e">
        <v>#N/A</v>
      </c>
      <c r="CN666" t="e" cm="1">
        <f t="array" ref="CN666">IF(ISNUMBER(CM666),AF666/COUNT(IF(ISNUMBER(_xlfn.ANCHORARRAY($CM$11)),_xlfn.ANCHORARRAY($CM$11))),NA())</f>
        <v>#N/A</v>
      </c>
      <c r="CO666" t="e">
        <f t="shared" si="257"/>
        <v>#N/A</v>
      </c>
      <c r="CQ666" t="e">
        <f t="shared" si="258"/>
        <v>#N/A</v>
      </c>
      <c r="CR666" t="e">
        <f t="shared" si="259"/>
        <v>#N/A</v>
      </c>
      <c r="CT666" t="e">
        <v>#N/A</v>
      </c>
      <c r="CU666" t="e">
        <v>#N/A</v>
      </c>
      <c r="CY666" t="e">
        <f t="shared" si="260"/>
        <v>#N/A</v>
      </c>
      <c r="CZ666" t="e">
        <v>#N/A</v>
      </c>
      <c r="DA666" t="e" cm="1">
        <f t="array" ref="DA666">IF(ISNUMBER(CZ666),AF666/COUNT(IF(ISNUMBER(_xlfn.ANCHORARRAY($CZ$11)),_xlfn.ANCHORARRAY($CZ$11))),NA())</f>
        <v>#N/A</v>
      </c>
      <c r="DB666" t="e">
        <f t="shared" si="261"/>
        <v>#N/A</v>
      </c>
      <c r="DD666" t="e">
        <f t="shared" si="262"/>
        <v>#N/A</v>
      </c>
      <c r="DE666" t="e">
        <f t="shared" si="263"/>
        <v>#N/A</v>
      </c>
      <c r="DG666" t="e">
        <v>#N/A</v>
      </c>
      <c r="DH666" t="e">
        <v>#N/A</v>
      </c>
    </row>
    <row r="667" spans="32:112">
      <c r="AF667">
        <v>657</v>
      </c>
      <c r="AG667" s="401">
        <f>'Lab test'!N660</f>
        <v>17.683479999999996</v>
      </c>
      <c r="AH667" s="401">
        <f>'Lab test'!M660</f>
        <v>0.44703999999999999</v>
      </c>
      <c r="AI667">
        <f>IF('Lab test'!O660&gt;0,'Lab test'!O660,NA())</f>
        <v>114.3</v>
      </c>
      <c r="AJ667">
        <f>'Lab test'!Q660</f>
        <v>39.556818181818173</v>
      </c>
      <c r="AK667" s="401">
        <f>IF('Lab test'!V660&gt;0,'Lab test'!V660,NA())</f>
        <v>72236.372022559997</v>
      </c>
      <c r="AL667" s="7">
        <f>IF(MAX('Lab test'!W660,'Lab test'!X660)&gt;0,MAX('Lab test'!W660,'Lab test'!X660),NA())</f>
        <v>565.37009696000007</v>
      </c>
      <c r="AM667" s="401">
        <f>IF('Lab test'!P660&gt;0,'Lab test'!P660,NA())</f>
        <v>1.0277034613668117</v>
      </c>
      <c r="AN667" s="401">
        <f>IF('Lab test'!AU660&gt;0,'Lab test'!AU660,NA())</f>
        <v>0.89390243902439015</v>
      </c>
      <c r="AO667" s="401">
        <f>IF('Lab test'!AT660&gt;0,'Lab test'!AT660,NA())</f>
        <v>0.45726683679565744</v>
      </c>
      <c r="AP667">
        <f t="shared" si="264"/>
        <v>1</v>
      </c>
      <c r="AQ667" s="401">
        <f>'Lab test'!AZ660</f>
        <v>1952</v>
      </c>
      <c r="AR667" t="str">
        <f>'Lab test'!AC660</f>
        <v>Machined</v>
      </c>
      <c r="AS667" t="str">
        <f>'Lab test'!T660</f>
        <v>Aluminium</v>
      </c>
      <c r="AX667" t="e">
        <f t="shared" si="249"/>
        <v>#N/A</v>
      </c>
      <c r="AY667" t="e">
        <f t="shared" si="246"/>
        <v>#N/A</v>
      </c>
      <c r="AZ667" t="e">
        <f t="shared" si="243"/>
        <v>#N/A</v>
      </c>
      <c r="BA667" t="e">
        <f t="shared" si="243"/>
        <v>#N/A</v>
      </c>
      <c r="BB667" t="e">
        <f t="shared" si="243"/>
        <v>#N/A</v>
      </c>
      <c r="BC667" t="e">
        <f t="shared" si="243"/>
        <v>#N/A</v>
      </c>
      <c r="BD667" t="e">
        <f t="shared" si="243"/>
        <v>#N/A</v>
      </c>
      <c r="BG667" t="e">
        <f t="shared" si="250"/>
        <v>#N/A</v>
      </c>
      <c r="BH667" t="e">
        <f t="shared" si="247"/>
        <v>#N/A</v>
      </c>
      <c r="BI667" t="e">
        <f t="shared" si="244"/>
        <v>#N/A</v>
      </c>
      <c r="BJ667" t="e">
        <f t="shared" si="244"/>
        <v>#N/A</v>
      </c>
      <c r="BK667" t="e">
        <f t="shared" si="244"/>
        <v>#N/A</v>
      </c>
      <c r="BL667" t="e">
        <f t="shared" si="244"/>
        <v>#N/A</v>
      </c>
      <c r="BM667" t="e">
        <f t="shared" si="244"/>
        <v>#N/A</v>
      </c>
      <c r="BP667" t="e">
        <f t="shared" si="251"/>
        <v>#N/A</v>
      </c>
      <c r="BQ667" t="e">
        <f t="shared" si="248"/>
        <v>#N/A</v>
      </c>
      <c r="BR667" t="e">
        <f t="shared" si="245"/>
        <v>#N/A</v>
      </c>
      <c r="BS667" t="e">
        <f t="shared" si="245"/>
        <v>#N/A</v>
      </c>
      <c r="BT667" t="e">
        <f t="shared" si="245"/>
        <v>#N/A</v>
      </c>
      <c r="BU667" t="e">
        <f t="shared" si="245"/>
        <v>#N/A</v>
      </c>
      <c r="BV667" t="e">
        <f t="shared" si="245"/>
        <v>#N/A</v>
      </c>
      <c r="BY667" t="e">
        <f t="shared" si="252"/>
        <v>#N/A</v>
      </c>
      <c r="BZ667" t="e">
        <v>#N/A</v>
      </c>
      <c r="CA667" t="e" cm="1">
        <f t="array" ref="CA667">IF(ISNUMBER(BZ667),AF667/COUNT(IF(ISNUMBER(_xlfn.ANCHORARRAY($BZ$11)),_xlfn.ANCHORARRAY($BZ$11))),NA())</f>
        <v>#N/A</v>
      </c>
      <c r="CB667" t="e">
        <f t="shared" si="253"/>
        <v>#N/A</v>
      </c>
      <c r="CD667" t="e">
        <f t="shared" si="254"/>
        <v>#N/A</v>
      </c>
      <c r="CE667" t="e">
        <f t="shared" si="255"/>
        <v>#N/A</v>
      </c>
      <c r="CG667" t="e">
        <v>#N/A</v>
      </c>
      <c r="CH667" t="e">
        <v>#N/A</v>
      </c>
      <c r="CL667" t="e">
        <f t="shared" si="256"/>
        <v>#N/A</v>
      </c>
      <c r="CM667" t="e">
        <v>#N/A</v>
      </c>
      <c r="CN667" t="e" cm="1">
        <f t="array" ref="CN667">IF(ISNUMBER(CM667),AF667/COUNT(IF(ISNUMBER(_xlfn.ANCHORARRAY($CM$11)),_xlfn.ANCHORARRAY($CM$11))),NA())</f>
        <v>#N/A</v>
      </c>
      <c r="CO667" t="e">
        <f t="shared" si="257"/>
        <v>#N/A</v>
      </c>
      <c r="CQ667" t="e">
        <f t="shared" si="258"/>
        <v>#N/A</v>
      </c>
      <c r="CR667" t="e">
        <f t="shared" si="259"/>
        <v>#N/A</v>
      </c>
      <c r="CT667" t="e">
        <v>#N/A</v>
      </c>
      <c r="CU667" t="e">
        <v>#N/A</v>
      </c>
      <c r="CY667" t="e">
        <f t="shared" si="260"/>
        <v>#N/A</v>
      </c>
      <c r="CZ667" t="e">
        <v>#N/A</v>
      </c>
      <c r="DA667" t="e" cm="1">
        <f t="array" ref="DA667">IF(ISNUMBER(CZ667),AF667/COUNT(IF(ISNUMBER(_xlfn.ANCHORARRAY($CZ$11)),_xlfn.ANCHORARRAY($CZ$11))),NA())</f>
        <v>#N/A</v>
      </c>
      <c r="DB667" t="e">
        <f t="shared" si="261"/>
        <v>#N/A</v>
      </c>
      <c r="DD667" t="e">
        <f t="shared" si="262"/>
        <v>#N/A</v>
      </c>
      <c r="DE667" t="e">
        <f t="shared" si="263"/>
        <v>#N/A</v>
      </c>
      <c r="DG667" t="e">
        <v>#N/A</v>
      </c>
      <c r="DH667" t="e">
        <v>#N/A</v>
      </c>
    </row>
    <row r="668" spans="32:112">
      <c r="AF668">
        <v>658</v>
      </c>
      <c r="AG668" s="401">
        <f>'Lab test'!N661</f>
        <v>17.639029999999998</v>
      </c>
      <c r="AH668" s="401">
        <f>'Lab test'!M661</f>
        <v>0.30733999999999995</v>
      </c>
      <c r="AI668">
        <f>IF('Lab test'!O661&gt;0,'Lab test'!O661,NA())</f>
        <v>114.3</v>
      </c>
      <c r="AJ668">
        <f>'Lab test'!Q661</f>
        <v>57.392561983471076</v>
      </c>
      <c r="AK668" s="401">
        <f>IF('Lab test'!V661&gt;0,'Lab test'!V661,NA())</f>
        <v>72236.372022559997</v>
      </c>
      <c r="AL668" s="7">
        <f>IF(MAX('Lab test'!W661,'Lab test'!X661)&gt;0,MAX('Lab test'!W661,'Lab test'!X661),NA())</f>
        <v>565.37009696000007</v>
      </c>
      <c r="AM668" s="401">
        <f>IF('Lab test'!P661&gt;0,'Lab test'!P661,NA())</f>
        <v>0.85534973578264228</v>
      </c>
      <c r="AN668" s="401">
        <f>IF('Lab test'!AU661&gt;0,'Lab test'!AU661,NA())</f>
        <v>0.83048780487804874</v>
      </c>
      <c r="AO668" s="401">
        <f>IF('Lab test'!AT661&gt;0,'Lab test'!AT661,NA())</f>
        <v>0.61637796329053485</v>
      </c>
      <c r="AP668">
        <f t="shared" si="264"/>
        <v>1</v>
      </c>
      <c r="AQ668" s="401">
        <f>'Lab test'!AZ661</f>
        <v>1952</v>
      </c>
      <c r="AR668" t="str">
        <f>'Lab test'!AC661</f>
        <v>Machined</v>
      </c>
      <c r="AS668" t="str">
        <f>'Lab test'!T661</f>
        <v>Aluminium</v>
      </c>
      <c r="AX668" t="e">
        <f t="shared" si="249"/>
        <v>#N/A</v>
      </c>
      <c r="AY668" t="e">
        <f t="shared" si="246"/>
        <v>#N/A</v>
      </c>
      <c r="AZ668" t="e">
        <f t="shared" si="243"/>
        <v>#N/A</v>
      </c>
      <c r="BA668" t="e">
        <f t="shared" si="243"/>
        <v>#N/A</v>
      </c>
      <c r="BB668" t="e">
        <f t="shared" si="243"/>
        <v>#N/A</v>
      </c>
      <c r="BC668" t="e">
        <f t="shared" si="243"/>
        <v>#N/A</v>
      </c>
      <c r="BD668" t="e">
        <f t="shared" si="243"/>
        <v>#N/A</v>
      </c>
      <c r="BG668" t="e">
        <f t="shared" si="250"/>
        <v>#N/A</v>
      </c>
      <c r="BH668" t="e">
        <f t="shared" si="247"/>
        <v>#N/A</v>
      </c>
      <c r="BI668" t="e">
        <f t="shared" si="244"/>
        <v>#N/A</v>
      </c>
      <c r="BJ668" t="e">
        <f t="shared" si="244"/>
        <v>#N/A</v>
      </c>
      <c r="BK668" t="e">
        <f t="shared" si="244"/>
        <v>#N/A</v>
      </c>
      <c r="BL668" t="e">
        <f t="shared" si="244"/>
        <v>#N/A</v>
      </c>
      <c r="BM668" t="e">
        <f t="shared" si="244"/>
        <v>#N/A</v>
      </c>
      <c r="BP668" t="e">
        <f t="shared" si="251"/>
        <v>#N/A</v>
      </c>
      <c r="BQ668" t="e">
        <f t="shared" si="248"/>
        <v>#N/A</v>
      </c>
      <c r="BR668" t="e">
        <f t="shared" si="245"/>
        <v>#N/A</v>
      </c>
      <c r="BS668" t="e">
        <f t="shared" si="245"/>
        <v>#N/A</v>
      </c>
      <c r="BT668" t="e">
        <f t="shared" si="245"/>
        <v>#N/A</v>
      </c>
      <c r="BU668" t="e">
        <f t="shared" si="245"/>
        <v>#N/A</v>
      </c>
      <c r="BV668" t="e">
        <f t="shared" si="245"/>
        <v>#N/A</v>
      </c>
      <c r="BY668" t="e">
        <f t="shared" si="252"/>
        <v>#N/A</v>
      </c>
      <c r="BZ668" t="e">
        <v>#N/A</v>
      </c>
      <c r="CA668" t="e" cm="1">
        <f t="array" ref="CA668">IF(ISNUMBER(BZ668),AF668/COUNT(IF(ISNUMBER(_xlfn.ANCHORARRAY($BZ$11)),_xlfn.ANCHORARRAY($BZ$11))),NA())</f>
        <v>#N/A</v>
      </c>
      <c r="CB668" t="e">
        <f t="shared" si="253"/>
        <v>#N/A</v>
      </c>
      <c r="CD668" t="e">
        <f t="shared" si="254"/>
        <v>#N/A</v>
      </c>
      <c r="CE668" t="e">
        <f t="shared" si="255"/>
        <v>#N/A</v>
      </c>
      <c r="CG668" t="e">
        <v>#N/A</v>
      </c>
      <c r="CH668" t="e">
        <v>#N/A</v>
      </c>
      <c r="CL668" t="e">
        <f t="shared" si="256"/>
        <v>#N/A</v>
      </c>
      <c r="CM668" t="e">
        <v>#N/A</v>
      </c>
      <c r="CN668" t="e" cm="1">
        <f t="array" ref="CN668">IF(ISNUMBER(CM668),AF668/COUNT(IF(ISNUMBER(_xlfn.ANCHORARRAY($CM$11)),_xlfn.ANCHORARRAY($CM$11))),NA())</f>
        <v>#N/A</v>
      </c>
      <c r="CO668" t="e">
        <f t="shared" si="257"/>
        <v>#N/A</v>
      </c>
      <c r="CQ668" t="e">
        <f t="shared" si="258"/>
        <v>#N/A</v>
      </c>
      <c r="CR668" t="e">
        <f t="shared" si="259"/>
        <v>#N/A</v>
      </c>
      <c r="CT668" t="e">
        <v>#N/A</v>
      </c>
      <c r="CU668" t="e">
        <v>#N/A</v>
      </c>
      <c r="CY668" t="e">
        <f t="shared" si="260"/>
        <v>#N/A</v>
      </c>
      <c r="CZ668" t="e">
        <v>#N/A</v>
      </c>
      <c r="DA668" t="e" cm="1">
        <f t="array" ref="DA668">IF(ISNUMBER(CZ668),AF668/COUNT(IF(ISNUMBER(_xlfn.ANCHORARRAY($CZ$11)),_xlfn.ANCHORARRAY($CZ$11))),NA())</f>
        <v>#N/A</v>
      </c>
      <c r="DB668" t="e">
        <f t="shared" si="261"/>
        <v>#N/A</v>
      </c>
      <c r="DD668" t="e">
        <f t="shared" si="262"/>
        <v>#N/A</v>
      </c>
      <c r="DE668" t="e">
        <f t="shared" si="263"/>
        <v>#N/A</v>
      </c>
      <c r="DG668" t="e">
        <v>#N/A</v>
      </c>
      <c r="DH668" t="e">
        <v>#N/A</v>
      </c>
    </row>
    <row r="669" spans="32:112">
      <c r="AF669">
        <v>659</v>
      </c>
      <c r="AG669" s="401">
        <f>'Lab test'!N662</f>
        <v>17.585689999999996</v>
      </c>
      <c r="AH669" s="401">
        <f>'Lab test'!M662</f>
        <v>0.23621999999999996</v>
      </c>
      <c r="AI669">
        <f>IF('Lab test'!O662&gt;0,'Lab test'!O662,NA())</f>
        <v>114.3</v>
      </c>
      <c r="AJ669">
        <f>'Lab test'!Q662</f>
        <v>74.446236559139777</v>
      </c>
      <c r="AK669" s="401">
        <f>IF('Lab test'!V662&gt;0,'Lab test'!V662,NA())</f>
        <v>72236.372022559997</v>
      </c>
      <c r="AL669" s="7">
        <f>IF(MAX('Lab test'!W662,'Lab test'!X662)&gt;0,MAX('Lab test'!W662,'Lab test'!X662),NA())</f>
        <v>565.37009696000007</v>
      </c>
      <c r="AM669" s="401">
        <f>IF('Lab test'!P662&gt;0,'Lab test'!P662,NA())</f>
        <v>0.75329562171065223</v>
      </c>
      <c r="AN669" s="401">
        <f>IF('Lab test'!AU662&gt;0,'Lab test'!AU662,NA())</f>
        <v>0.73780487804878037</v>
      </c>
      <c r="AO669" s="401">
        <f>IF('Lab test'!AT662&gt;0,'Lab test'!AT662,NA())</f>
        <v>0.71030112454937766</v>
      </c>
      <c r="AP669">
        <f t="shared" si="264"/>
        <v>1</v>
      </c>
      <c r="AQ669" s="401">
        <f>'Lab test'!AZ662</f>
        <v>1952</v>
      </c>
      <c r="AR669" t="str">
        <f>'Lab test'!AC662</f>
        <v>Machined</v>
      </c>
      <c r="AS669" t="str">
        <f>'Lab test'!T662</f>
        <v>Aluminium</v>
      </c>
      <c r="AX669" t="e">
        <f t="shared" si="249"/>
        <v>#N/A</v>
      </c>
      <c r="AY669" t="e">
        <f t="shared" si="246"/>
        <v>#N/A</v>
      </c>
      <c r="AZ669" t="e">
        <f t="shared" si="243"/>
        <v>#N/A</v>
      </c>
      <c r="BA669" t="e">
        <f t="shared" si="243"/>
        <v>#N/A</v>
      </c>
      <c r="BB669" t="e">
        <f t="shared" si="243"/>
        <v>#N/A</v>
      </c>
      <c r="BC669" t="e">
        <f t="shared" si="243"/>
        <v>#N/A</v>
      </c>
      <c r="BD669" t="e">
        <f t="shared" si="243"/>
        <v>#N/A</v>
      </c>
      <c r="BG669" t="e">
        <f t="shared" si="250"/>
        <v>#N/A</v>
      </c>
      <c r="BH669" t="e">
        <f t="shared" si="247"/>
        <v>#N/A</v>
      </c>
      <c r="BI669" t="e">
        <f t="shared" si="244"/>
        <v>#N/A</v>
      </c>
      <c r="BJ669" t="e">
        <f t="shared" si="244"/>
        <v>#N/A</v>
      </c>
      <c r="BK669" t="e">
        <f t="shared" si="244"/>
        <v>#N/A</v>
      </c>
      <c r="BL669" t="e">
        <f t="shared" si="244"/>
        <v>#N/A</v>
      </c>
      <c r="BM669" t="e">
        <f t="shared" si="244"/>
        <v>#N/A</v>
      </c>
      <c r="BP669" t="e">
        <f t="shared" si="251"/>
        <v>#N/A</v>
      </c>
      <c r="BQ669" t="e">
        <f t="shared" si="248"/>
        <v>#N/A</v>
      </c>
      <c r="BR669" t="e">
        <f t="shared" si="245"/>
        <v>#N/A</v>
      </c>
      <c r="BS669" t="e">
        <f t="shared" si="245"/>
        <v>#N/A</v>
      </c>
      <c r="BT669" t="e">
        <f t="shared" si="245"/>
        <v>#N/A</v>
      </c>
      <c r="BU669" t="e">
        <f t="shared" si="245"/>
        <v>#N/A</v>
      </c>
      <c r="BV669" t="e">
        <f t="shared" si="245"/>
        <v>#N/A</v>
      </c>
      <c r="BY669" t="e">
        <f t="shared" si="252"/>
        <v>#N/A</v>
      </c>
      <c r="BZ669" t="e">
        <v>#N/A</v>
      </c>
      <c r="CA669" t="e" cm="1">
        <f t="array" ref="CA669">IF(ISNUMBER(BZ669),AF669/COUNT(IF(ISNUMBER(_xlfn.ANCHORARRAY($BZ$11)),_xlfn.ANCHORARRAY($BZ$11))),NA())</f>
        <v>#N/A</v>
      </c>
      <c r="CB669" t="e">
        <f t="shared" si="253"/>
        <v>#N/A</v>
      </c>
      <c r="CD669" t="e">
        <f t="shared" si="254"/>
        <v>#N/A</v>
      </c>
      <c r="CE669" t="e">
        <f t="shared" si="255"/>
        <v>#N/A</v>
      </c>
      <c r="CG669" t="e">
        <v>#N/A</v>
      </c>
      <c r="CH669" t="e">
        <v>#N/A</v>
      </c>
      <c r="CL669" t="e">
        <f t="shared" si="256"/>
        <v>#N/A</v>
      </c>
      <c r="CM669" t="e">
        <v>#N/A</v>
      </c>
      <c r="CN669" t="e" cm="1">
        <f t="array" ref="CN669">IF(ISNUMBER(CM669),AF669/COUNT(IF(ISNUMBER(_xlfn.ANCHORARRAY($CM$11)),_xlfn.ANCHORARRAY($CM$11))),NA())</f>
        <v>#N/A</v>
      </c>
      <c r="CO669" t="e">
        <f t="shared" si="257"/>
        <v>#N/A</v>
      </c>
      <c r="CQ669" t="e">
        <f t="shared" si="258"/>
        <v>#N/A</v>
      </c>
      <c r="CR669" t="e">
        <f t="shared" si="259"/>
        <v>#N/A</v>
      </c>
      <c r="CT669" t="e">
        <v>#N/A</v>
      </c>
      <c r="CU669" t="e">
        <v>#N/A</v>
      </c>
      <c r="CY669" t="e">
        <f t="shared" si="260"/>
        <v>#N/A</v>
      </c>
      <c r="CZ669" t="e">
        <v>#N/A</v>
      </c>
      <c r="DA669" t="e" cm="1">
        <f t="array" ref="DA669">IF(ISNUMBER(CZ669),AF669/COUNT(IF(ISNUMBER(_xlfn.ANCHORARRAY($CZ$11)),_xlfn.ANCHORARRAY($CZ$11))),NA())</f>
        <v>#N/A</v>
      </c>
      <c r="DB669" t="e">
        <f t="shared" si="261"/>
        <v>#N/A</v>
      </c>
      <c r="DD669" t="e">
        <f t="shared" si="262"/>
        <v>#N/A</v>
      </c>
      <c r="DE669" t="e">
        <f t="shared" si="263"/>
        <v>#N/A</v>
      </c>
      <c r="DG669" t="e">
        <v>#N/A</v>
      </c>
      <c r="DH669" t="e">
        <v>#N/A</v>
      </c>
    </row>
    <row r="670" spans="32:112">
      <c r="AF670">
        <v>660</v>
      </c>
      <c r="AG670" s="401">
        <f>'Lab test'!N663</f>
        <v>76.2</v>
      </c>
      <c r="AH670" s="401">
        <f>'Lab test'!M663</f>
        <v>0.15239999999999998</v>
      </c>
      <c r="AI670">
        <f>IF('Lab test'!O663&gt;0,'Lab test'!O663,NA())</f>
        <v>450.84999999999997</v>
      </c>
      <c r="AJ670">
        <f>'Lab test'!Q663</f>
        <v>500.00000000000006</v>
      </c>
      <c r="AK670" s="401">
        <f>IF('Lab test'!V663&gt;0,'Lab test'!V663,NA())</f>
        <v>199947.96150188247</v>
      </c>
      <c r="AL670" s="7" t="e">
        <f>IF(MAX('Lab test'!W663,'Lab test'!X663)&gt;0,MAX('Lab test'!W663,'Lab test'!X663),NA())</f>
        <v>#N/A</v>
      </c>
      <c r="AM670" s="401">
        <f>IF('Lab test'!P663&gt;0,'Lab test'!P663,NA())</f>
        <v>0.26460137733747507</v>
      </c>
      <c r="AN670" s="401" t="e">
        <f>IF('Lab test'!AU663&gt;0,'Lab test'!AU663,NA())</f>
        <v>#N/A</v>
      </c>
      <c r="AO670" s="401">
        <f>IF('Lab test'!AT663&gt;0,'Lab test'!AT663,NA())</f>
        <v>0.33957021167405349</v>
      </c>
      <c r="AP670" t="e">
        <f t="shared" si="264"/>
        <v>#N/A</v>
      </c>
      <c r="AQ670" s="401">
        <f>'Lab test'!AZ663</f>
        <v>1962</v>
      </c>
      <c r="AR670" t="str">
        <f>'Lab test'!AC663</f>
        <v>LTWa</v>
      </c>
      <c r="AS670" t="str">
        <f>'Lab test'!T663</f>
        <v>Steel</v>
      </c>
      <c r="AX670" t="e">
        <f t="shared" si="249"/>
        <v>#N/A</v>
      </c>
      <c r="AY670" t="e">
        <f t="shared" si="246"/>
        <v>#N/A</v>
      </c>
      <c r="AZ670" t="e">
        <f t="shared" si="243"/>
        <v>#N/A</v>
      </c>
      <c r="BA670" t="e">
        <f t="shared" si="243"/>
        <v>#N/A</v>
      </c>
      <c r="BB670" t="e">
        <f t="shared" ref="AZ670:BD680" si="265">IF(ISNUMBER($AJ670),IF(ISNUMBER($AP670),IF($AJ670&gt;BB$9,IF($AJ670&lt;=BB$10,IF($AR670=$AW$2,IF($AS670=$AW$6,$AK670,NA()),NA()),NA()),NA()),NA()),NA())</f>
        <v>#N/A</v>
      </c>
      <c r="BC670" t="e">
        <f t="shared" si="265"/>
        <v>#N/A</v>
      </c>
      <c r="BD670" t="e">
        <f t="shared" si="265"/>
        <v>#N/A</v>
      </c>
      <c r="BG670" t="e">
        <f t="shared" si="250"/>
        <v>#N/A</v>
      </c>
      <c r="BH670" t="e">
        <f t="shared" si="247"/>
        <v>#N/A</v>
      </c>
      <c r="BI670" t="e">
        <f t="shared" si="244"/>
        <v>#N/A</v>
      </c>
      <c r="BJ670" t="e">
        <f t="shared" si="244"/>
        <v>#N/A</v>
      </c>
      <c r="BK670" t="e">
        <f t="shared" ref="BI670:BM680" si="266">IF(ISNUMBER($AJ670),IF(ISNUMBER($AP670),IF($AJ670&gt;BK$9,IF($AJ670&lt;=BK$10,IF($AR670=$AW$2,IF($AS670=$BF$6,$AK670,NA()),NA()),NA()),NA()),NA()),NA())</f>
        <v>#N/A</v>
      </c>
      <c r="BL670" t="e">
        <f t="shared" si="266"/>
        <v>#N/A</v>
      </c>
      <c r="BM670" t="e">
        <f t="shared" si="266"/>
        <v>#N/A</v>
      </c>
      <c r="BP670" t="e">
        <f t="shared" si="251"/>
        <v>#N/A</v>
      </c>
      <c r="BQ670" t="e">
        <f t="shared" si="248"/>
        <v>#N/A</v>
      </c>
      <c r="BR670" t="e">
        <f t="shared" si="245"/>
        <v>#N/A</v>
      </c>
      <c r="BS670" t="e">
        <f t="shared" si="245"/>
        <v>#N/A</v>
      </c>
      <c r="BT670" t="e">
        <f t="shared" ref="BR670:BV680" si="267">IF(ISNUMBER($AJ670),IF(ISNUMBER($AP670),IF($AJ670&gt;BT$9,IF($AJ670&lt;=BT$10,IF($AR670=$AW$2,IF($AS670=$BO$6,$AK670,NA()),NA()),NA()),NA()),NA()),NA())</f>
        <v>#N/A</v>
      </c>
      <c r="BU670" t="e">
        <f t="shared" si="267"/>
        <v>#N/A</v>
      </c>
      <c r="BV670" t="e">
        <f t="shared" si="267"/>
        <v>#N/A</v>
      </c>
      <c r="BY670" t="e">
        <f t="shared" si="252"/>
        <v>#N/A</v>
      </c>
      <c r="BZ670" t="e">
        <v>#N/A</v>
      </c>
      <c r="CA670" t="e" cm="1">
        <f t="array" ref="CA670">IF(ISNUMBER(BZ670),AF670/COUNT(IF(ISNUMBER(_xlfn.ANCHORARRAY($BZ$11)),_xlfn.ANCHORARRAY($BZ$11))),NA())</f>
        <v>#N/A</v>
      </c>
      <c r="CB670" t="e">
        <f t="shared" si="253"/>
        <v>#N/A</v>
      </c>
      <c r="CD670" t="e">
        <f t="shared" si="254"/>
        <v>#N/A</v>
      </c>
      <c r="CE670" t="e">
        <f t="shared" si="255"/>
        <v>#N/A</v>
      </c>
      <c r="CG670" t="e">
        <v>#N/A</v>
      </c>
      <c r="CH670" t="e">
        <v>#N/A</v>
      </c>
      <c r="CL670" t="e">
        <f t="shared" si="256"/>
        <v>#N/A</v>
      </c>
      <c r="CM670" t="e">
        <v>#N/A</v>
      </c>
      <c r="CN670" t="e" cm="1">
        <f t="array" ref="CN670">IF(ISNUMBER(CM670),AF670/COUNT(IF(ISNUMBER(_xlfn.ANCHORARRAY($CM$11)),_xlfn.ANCHORARRAY($CM$11))),NA())</f>
        <v>#N/A</v>
      </c>
      <c r="CO670" t="e">
        <f t="shared" si="257"/>
        <v>#N/A</v>
      </c>
      <c r="CQ670" t="e">
        <f t="shared" si="258"/>
        <v>#N/A</v>
      </c>
      <c r="CR670" t="e">
        <f t="shared" si="259"/>
        <v>#N/A</v>
      </c>
      <c r="CT670" t="e">
        <v>#N/A</v>
      </c>
      <c r="CU670" t="e">
        <v>#N/A</v>
      </c>
      <c r="CY670" t="e">
        <f t="shared" si="260"/>
        <v>#N/A</v>
      </c>
      <c r="CZ670" t="e">
        <v>#N/A</v>
      </c>
      <c r="DA670" t="e" cm="1">
        <f t="array" ref="DA670">IF(ISNUMBER(CZ670),AF670/COUNT(IF(ISNUMBER(_xlfn.ANCHORARRAY($CZ$11)),_xlfn.ANCHORARRAY($CZ$11))),NA())</f>
        <v>#N/A</v>
      </c>
      <c r="DB670" t="e">
        <f t="shared" si="261"/>
        <v>#N/A</v>
      </c>
      <c r="DD670" t="e">
        <f t="shared" si="262"/>
        <v>#N/A</v>
      </c>
      <c r="DE670" t="e">
        <f t="shared" si="263"/>
        <v>#N/A</v>
      </c>
      <c r="DG670" t="e">
        <v>#N/A</v>
      </c>
      <c r="DH670" t="e">
        <v>#N/A</v>
      </c>
    </row>
    <row r="671" spans="32:112">
      <c r="AF671">
        <v>661</v>
      </c>
      <c r="AG671" s="401">
        <f>'Lab test'!N664</f>
        <v>76.2</v>
      </c>
      <c r="AH671" s="401">
        <f>'Lab test'!M664</f>
        <v>0.15239999999999998</v>
      </c>
      <c r="AI671">
        <f>IF('Lab test'!O664&gt;0,'Lab test'!O664,NA())</f>
        <v>450.84999999999997</v>
      </c>
      <c r="AJ671">
        <f>'Lab test'!Q664</f>
        <v>500.00000000000006</v>
      </c>
      <c r="AK671" s="401">
        <f>IF('Lab test'!V664&gt;0,'Lab test'!V664,NA())</f>
        <v>199947.96150188247</v>
      </c>
      <c r="AL671" s="7" t="e">
        <f>IF(MAX('Lab test'!W664,'Lab test'!X664)&gt;0,MAX('Lab test'!W664,'Lab test'!X664),NA())</f>
        <v>#N/A</v>
      </c>
      <c r="AM671" s="401">
        <f>IF('Lab test'!P664&gt;0,'Lab test'!P664,NA())</f>
        <v>0.26460137733747507</v>
      </c>
      <c r="AN671" s="401" t="e">
        <f>IF('Lab test'!AU664&gt;0,'Lab test'!AU664,NA())</f>
        <v>#N/A</v>
      </c>
      <c r="AO671" s="401">
        <f>IF('Lab test'!AT664&gt;0,'Lab test'!AT664,NA())</f>
        <v>0.33330297622369343</v>
      </c>
      <c r="AP671" t="e">
        <f t="shared" si="264"/>
        <v>#N/A</v>
      </c>
      <c r="AQ671" s="401">
        <f>'Lab test'!AZ664</f>
        <v>1962</v>
      </c>
      <c r="AR671" t="str">
        <f>'Lab test'!AC664</f>
        <v>LTWa</v>
      </c>
      <c r="AS671" t="str">
        <f>'Lab test'!T664</f>
        <v>Steel</v>
      </c>
      <c r="AX671" t="e">
        <f t="shared" si="249"/>
        <v>#N/A</v>
      </c>
      <c r="AY671" t="e">
        <f t="shared" si="246"/>
        <v>#N/A</v>
      </c>
      <c r="AZ671" t="e">
        <f t="shared" si="265"/>
        <v>#N/A</v>
      </c>
      <c r="BA671" t="e">
        <f t="shared" si="265"/>
        <v>#N/A</v>
      </c>
      <c r="BB671" t="e">
        <f t="shared" si="265"/>
        <v>#N/A</v>
      </c>
      <c r="BC671" t="e">
        <f t="shared" si="265"/>
        <v>#N/A</v>
      </c>
      <c r="BD671" t="e">
        <f t="shared" si="265"/>
        <v>#N/A</v>
      </c>
      <c r="BG671" t="e">
        <f t="shared" si="250"/>
        <v>#N/A</v>
      </c>
      <c r="BH671" t="e">
        <f t="shared" si="247"/>
        <v>#N/A</v>
      </c>
      <c r="BI671" t="e">
        <f t="shared" si="266"/>
        <v>#N/A</v>
      </c>
      <c r="BJ671" t="e">
        <f t="shared" si="266"/>
        <v>#N/A</v>
      </c>
      <c r="BK671" t="e">
        <f t="shared" si="266"/>
        <v>#N/A</v>
      </c>
      <c r="BL671" t="e">
        <f t="shared" si="266"/>
        <v>#N/A</v>
      </c>
      <c r="BM671" t="e">
        <f t="shared" si="266"/>
        <v>#N/A</v>
      </c>
      <c r="BP671" t="e">
        <f t="shared" si="251"/>
        <v>#N/A</v>
      </c>
      <c r="BQ671" t="e">
        <f t="shared" si="248"/>
        <v>#N/A</v>
      </c>
      <c r="BR671" t="e">
        <f t="shared" si="267"/>
        <v>#N/A</v>
      </c>
      <c r="BS671" t="e">
        <f t="shared" si="267"/>
        <v>#N/A</v>
      </c>
      <c r="BT671" t="e">
        <f t="shared" si="267"/>
        <v>#N/A</v>
      </c>
      <c r="BU671" t="e">
        <f t="shared" si="267"/>
        <v>#N/A</v>
      </c>
      <c r="BV671" t="e">
        <f t="shared" si="267"/>
        <v>#N/A</v>
      </c>
      <c r="BY671" t="e">
        <f t="shared" si="252"/>
        <v>#N/A</v>
      </c>
      <c r="BZ671" t="e">
        <v>#N/A</v>
      </c>
      <c r="CA671" t="e" cm="1">
        <f t="array" ref="CA671">IF(ISNUMBER(BZ671),AF671/COUNT(IF(ISNUMBER(_xlfn.ANCHORARRAY($BZ$11)),_xlfn.ANCHORARRAY($BZ$11))),NA())</f>
        <v>#N/A</v>
      </c>
      <c r="CB671" t="e">
        <f t="shared" si="253"/>
        <v>#N/A</v>
      </c>
      <c r="CD671" t="e">
        <f t="shared" si="254"/>
        <v>#N/A</v>
      </c>
      <c r="CE671" t="e">
        <f t="shared" si="255"/>
        <v>#N/A</v>
      </c>
      <c r="CG671" t="e">
        <v>#N/A</v>
      </c>
      <c r="CH671" t="e">
        <v>#N/A</v>
      </c>
      <c r="CL671" t="e">
        <f t="shared" si="256"/>
        <v>#N/A</v>
      </c>
      <c r="CM671" t="e">
        <v>#N/A</v>
      </c>
      <c r="CN671" t="e" cm="1">
        <f t="array" ref="CN671">IF(ISNUMBER(CM671),AF671/COUNT(IF(ISNUMBER(_xlfn.ANCHORARRAY($CM$11)),_xlfn.ANCHORARRAY($CM$11))),NA())</f>
        <v>#N/A</v>
      </c>
      <c r="CO671" t="e">
        <f t="shared" si="257"/>
        <v>#N/A</v>
      </c>
      <c r="CQ671" t="e">
        <f t="shared" si="258"/>
        <v>#N/A</v>
      </c>
      <c r="CR671" t="e">
        <f t="shared" si="259"/>
        <v>#N/A</v>
      </c>
      <c r="CT671" t="e">
        <v>#N/A</v>
      </c>
      <c r="CU671" t="e">
        <v>#N/A</v>
      </c>
      <c r="CY671" t="e">
        <f t="shared" si="260"/>
        <v>#N/A</v>
      </c>
      <c r="CZ671" t="e">
        <v>#N/A</v>
      </c>
      <c r="DA671" t="e" cm="1">
        <f t="array" ref="DA671">IF(ISNUMBER(CZ671),AF671/COUNT(IF(ISNUMBER(_xlfn.ANCHORARRAY($CZ$11)),_xlfn.ANCHORARRAY($CZ$11))),NA())</f>
        <v>#N/A</v>
      </c>
      <c r="DB671" t="e">
        <f t="shared" si="261"/>
        <v>#N/A</v>
      </c>
      <c r="DD671" t="e">
        <f t="shared" si="262"/>
        <v>#N/A</v>
      </c>
      <c r="DE671" t="e">
        <f t="shared" si="263"/>
        <v>#N/A</v>
      </c>
      <c r="DG671" t="e">
        <v>#N/A</v>
      </c>
      <c r="DH671" t="e">
        <v>#N/A</v>
      </c>
    </row>
    <row r="672" spans="32:112">
      <c r="AF672">
        <v>662</v>
      </c>
      <c r="AG672" s="401">
        <f>'Lab test'!N665</f>
        <v>76.2</v>
      </c>
      <c r="AH672" s="401">
        <f>'Lab test'!M665</f>
        <v>0.15239999999999998</v>
      </c>
      <c r="AI672">
        <f>IF('Lab test'!O665&gt;0,'Lab test'!O665,NA())</f>
        <v>450.84999999999997</v>
      </c>
      <c r="AJ672">
        <f>'Lab test'!Q665</f>
        <v>500.00000000000006</v>
      </c>
      <c r="AK672" s="401">
        <f>IF('Lab test'!V665&gt;0,'Lab test'!V665,NA())</f>
        <v>199947.96150188247</v>
      </c>
      <c r="AL672" s="7" t="e">
        <f>IF(MAX('Lab test'!W665,'Lab test'!X665)&gt;0,MAX('Lab test'!W665,'Lab test'!X665),NA())</f>
        <v>#N/A</v>
      </c>
      <c r="AM672" s="401">
        <f>IF('Lab test'!P665&gt;0,'Lab test'!P665,NA())</f>
        <v>0.26460137733747507</v>
      </c>
      <c r="AN672" s="401" t="e">
        <f>IF('Lab test'!AU665&gt;0,'Lab test'!AU665,NA())</f>
        <v>#N/A</v>
      </c>
      <c r="AO672" s="401">
        <f>IF('Lab test'!AT665&gt;0,'Lab test'!AT665,NA())</f>
        <v>0.27177011907470389</v>
      </c>
      <c r="AP672" t="e">
        <f t="shared" si="264"/>
        <v>#N/A</v>
      </c>
      <c r="AQ672" s="401">
        <f>'Lab test'!AZ665</f>
        <v>1962</v>
      </c>
      <c r="AR672" t="str">
        <f>'Lab test'!AC665</f>
        <v>LTWa</v>
      </c>
      <c r="AS672" t="str">
        <f>'Lab test'!T665</f>
        <v>Steel</v>
      </c>
      <c r="AX672" t="e">
        <f t="shared" si="249"/>
        <v>#N/A</v>
      </c>
      <c r="AY672" t="e">
        <f t="shared" si="246"/>
        <v>#N/A</v>
      </c>
      <c r="AZ672" t="e">
        <f t="shared" si="265"/>
        <v>#N/A</v>
      </c>
      <c r="BA672" t="e">
        <f t="shared" si="265"/>
        <v>#N/A</v>
      </c>
      <c r="BB672" t="e">
        <f t="shared" si="265"/>
        <v>#N/A</v>
      </c>
      <c r="BC672" t="e">
        <f t="shared" si="265"/>
        <v>#N/A</v>
      </c>
      <c r="BD672" t="e">
        <f t="shared" si="265"/>
        <v>#N/A</v>
      </c>
      <c r="BG672" t="e">
        <f t="shared" si="250"/>
        <v>#N/A</v>
      </c>
      <c r="BH672" t="e">
        <f t="shared" si="247"/>
        <v>#N/A</v>
      </c>
      <c r="BI672" t="e">
        <f t="shared" si="266"/>
        <v>#N/A</v>
      </c>
      <c r="BJ672" t="e">
        <f t="shared" si="266"/>
        <v>#N/A</v>
      </c>
      <c r="BK672" t="e">
        <f t="shared" si="266"/>
        <v>#N/A</v>
      </c>
      <c r="BL672" t="e">
        <f t="shared" si="266"/>
        <v>#N/A</v>
      </c>
      <c r="BM672" t="e">
        <f t="shared" si="266"/>
        <v>#N/A</v>
      </c>
      <c r="BP672" t="e">
        <f t="shared" si="251"/>
        <v>#N/A</v>
      </c>
      <c r="BQ672" t="e">
        <f t="shared" si="248"/>
        <v>#N/A</v>
      </c>
      <c r="BR672" t="e">
        <f t="shared" si="267"/>
        <v>#N/A</v>
      </c>
      <c r="BS672" t="e">
        <f t="shared" si="267"/>
        <v>#N/A</v>
      </c>
      <c r="BT672" t="e">
        <f t="shared" si="267"/>
        <v>#N/A</v>
      </c>
      <c r="BU672" t="e">
        <f t="shared" si="267"/>
        <v>#N/A</v>
      </c>
      <c r="BV672" t="e">
        <f t="shared" si="267"/>
        <v>#N/A</v>
      </c>
      <c r="BY672" t="e">
        <f t="shared" si="252"/>
        <v>#N/A</v>
      </c>
      <c r="BZ672" t="e">
        <v>#N/A</v>
      </c>
      <c r="CA672" t="e" cm="1">
        <f t="array" ref="CA672">IF(ISNUMBER(BZ672),AF672/COUNT(IF(ISNUMBER(_xlfn.ANCHORARRAY($BZ$11)),_xlfn.ANCHORARRAY($BZ$11))),NA())</f>
        <v>#N/A</v>
      </c>
      <c r="CB672" t="e">
        <f t="shared" si="253"/>
        <v>#N/A</v>
      </c>
      <c r="CD672" t="e">
        <f t="shared" si="254"/>
        <v>#N/A</v>
      </c>
      <c r="CE672" t="e">
        <f t="shared" si="255"/>
        <v>#N/A</v>
      </c>
      <c r="CG672" t="e">
        <v>#N/A</v>
      </c>
      <c r="CH672" t="e">
        <v>#N/A</v>
      </c>
      <c r="CL672" t="e">
        <f t="shared" si="256"/>
        <v>#N/A</v>
      </c>
      <c r="CM672" t="e">
        <v>#N/A</v>
      </c>
      <c r="CN672" t="e" cm="1">
        <f t="array" ref="CN672">IF(ISNUMBER(CM672),AF672/COUNT(IF(ISNUMBER(_xlfn.ANCHORARRAY($CM$11)),_xlfn.ANCHORARRAY($CM$11))),NA())</f>
        <v>#N/A</v>
      </c>
      <c r="CO672" t="e">
        <f t="shared" si="257"/>
        <v>#N/A</v>
      </c>
      <c r="CQ672" t="e">
        <f t="shared" si="258"/>
        <v>#N/A</v>
      </c>
      <c r="CR672" t="e">
        <f t="shared" si="259"/>
        <v>#N/A</v>
      </c>
      <c r="CT672" t="e">
        <v>#N/A</v>
      </c>
      <c r="CU672" t="e">
        <v>#N/A</v>
      </c>
      <c r="CY672" t="e">
        <f t="shared" si="260"/>
        <v>#N/A</v>
      </c>
      <c r="CZ672" t="e">
        <v>#N/A</v>
      </c>
      <c r="DA672" t="e" cm="1">
        <f t="array" ref="DA672">IF(ISNUMBER(CZ672),AF672/COUNT(IF(ISNUMBER(_xlfn.ANCHORARRAY($CZ$11)),_xlfn.ANCHORARRAY($CZ$11))),NA())</f>
        <v>#N/A</v>
      </c>
      <c r="DB672" t="e">
        <f t="shared" si="261"/>
        <v>#N/A</v>
      </c>
      <c r="DD672" t="e">
        <f t="shared" si="262"/>
        <v>#N/A</v>
      </c>
      <c r="DE672" t="e">
        <f t="shared" si="263"/>
        <v>#N/A</v>
      </c>
      <c r="DG672" t="e">
        <v>#N/A</v>
      </c>
      <c r="DH672" t="e">
        <v>#N/A</v>
      </c>
    </row>
    <row r="673" spans="32:112">
      <c r="AF673">
        <v>663</v>
      </c>
      <c r="AG673" s="401">
        <f>'Lab test'!N666</f>
        <v>76.2</v>
      </c>
      <c r="AH673" s="401">
        <f>'Lab test'!M666</f>
        <v>0.15239999999999998</v>
      </c>
      <c r="AI673">
        <f>IF('Lab test'!O666&gt;0,'Lab test'!O666,NA())</f>
        <v>450.84999999999997</v>
      </c>
      <c r="AJ673">
        <f>'Lab test'!Q666</f>
        <v>500.00000000000006</v>
      </c>
      <c r="AK673" s="401">
        <f>IF('Lab test'!V666&gt;0,'Lab test'!V666,NA())</f>
        <v>199947.96150188247</v>
      </c>
      <c r="AL673" s="7" t="e">
        <f>IF(MAX('Lab test'!W666,'Lab test'!X666)&gt;0,MAX('Lab test'!W666,'Lab test'!X666),NA())</f>
        <v>#N/A</v>
      </c>
      <c r="AM673" s="401">
        <f>IF('Lab test'!P666&gt;0,'Lab test'!P666,NA())</f>
        <v>0.26460137733747507</v>
      </c>
      <c r="AN673" s="401" t="e">
        <f>IF('Lab test'!AU666&gt;0,'Lab test'!AU666,NA())</f>
        <v>#N/A</v>
      </c>
      <c r="AO673" s="401">
        <f>IF('Lab test'!AT666&gt;0,'Lab test'!AT666,NA())</f>
        <v>0.31678026458183517</v>
      </c>
      <c r="AP673" t="e">
        <f t="shared" si="264"/>
        <v>#N/A</v>
      </c>
      <c r="AQ673" s="401">
        <f>'Lab test'!AZ666</f>
        <v>1962</v>
      </c>
      <c r="AR673" t="str">
        <f>'Lab test'!AC666</f>
        <v>LTWa</v>
      </c>
      <c r="AS673" t="str">
        <f>'Lab test'!T666</f>
        <v>Steel</v>
      </c>
      <c r="AX673" t="e">
        <f t="shared" si="249"/>
        <v>#N/A</v>
      </c>
      <c r="AY673" t="e">
        <f t="shared" si="246"/>
        <v>#N/A</v>
      </c>
      <c r="AZ673" t="e">
        <f t="shared" si="265"/>
        <v>#N/A</v>
      </c>
      <c r="BA673" t="e">
        <f t="shared" si="265"/>
        <v>#N/A</v>
      </c>
      <c r="BB673" t="e">
        <f t="shared" si="265"/>
        <v>#N/A</v>
      </c>
      <c r="BC673" t="e">
        <f t="shared" si="265"/>
        <v>#N/A</v>
      </c>
      <c r="BD673" t="e">
        <f t="shared" si="265"/>
        <v>#N/A</v>
      </c>
      <c r="BG673" t="e">
        <f t="shared" si="250"/>
        <v>#N/A</v>
      </c>
      <c r="BH673" t="e">
        <f t="shared" si="247"/>
        <v>#N/A</v>
      </c>
      <c r="BI673" t="e">
        <f t="shared" si="266"/>
        <v>#N/A</v>
      </c>
      <c r="BJ673" t="e">
        <f t="shared" si="266"/>
        <v>#N/A</v>
      </c>
      <c r="BK673" t="e">
        <f t="shared" si="266"/>
        <v>#N/A</v>
      </c>
      <c r="BL673" t="e">
        <f t="shared" si="266"/>
        <v>#N/A</v>
      </c>
      <c r="BM673" t="e">
        <f t="shared" si="266"/>
        <v>#N/A</v>
      </c>
      <c r="BP673" t="e">
        <f t="shared" si="251"/>
        <v>#N/A</v>
      </c>
      <c r="BQ673" t="e">
        <f t="shared" si="248"/>
        <v>#N/A</v>
      </c>
      <c r="BR673" t="e">
        <f t="shared" si="267"/>
        <v>#N/A</v>
      </c>
      <c r="BS673" t="e">
        <f t="shared" si="267"/>
        <v>#N/A</v>
      </c>
      <c r="BT673" t="e">
        <f t="shared" si="267"/>
        <v>#N/A</v>
      </c>
      <c r="BU673" t="e">
        <f t="shared" si="267"/>
        <v>#N/A</v>
      </c>
      <c r="BV673" t="e">
        <f t="shared" si="267"/>
        <v>#N/A</v>
      </c>
      <c r="BY673" t="e">
        <f t="shared" si="252"/>
        <v>#N/A</v>
      </c>
      <c r="BZ673" t="e">
        <v>#N/A</v>
      </c>
      <c r="CA673" t="e" cm="1">
        <f t="array" ref="CA673">IF(ISNUMBER(BZ673),AF673/COUNT(IF(ISNUMBER(_xlfn.ANCHORARRAY($BZ$11)),_xlfn.ANCHORARRAY($BZ$11))),NA())</f>
        <v>#N/A</v>
      </c>
      <c r="CB673" t="e">
        <f t="shared" si="253"/>
        <v>#N/A</v>
      </c>
      <c r="CD673" t="e">
        <f t="shared" si="254"/>
        <v>#N/A</v>
      </c>
      <c r="CE673" t="e">
        <f t="shared" si="255"/>
        <v>#N/A</v>
      </c>
      <c r="CG673" t="e">
        <v>#N/A</v>
      </c>
      <c r="CH673" t="e">
        <v>#N/A</v>
      </c>
      <c r="CL673" t="e">
        <f t="shared" si="256"/>
        <v>#N/A</v>
      </c>
      <c r="CM673" t="e">
        <v>#N/A</v>
      </c>
      <c r="CN673" t="e" cm="1">
        <f t="array" ref="CN673">IF(ISNUMBER(CM673),AF673/COUNT(IF(ISNUMBER(_xlfn.ANCHORARRAY($CM$11)),_xlfn.ANCHORARRAY($CM$11))),NA())</f>
        <v>#N/A</v>
      </c>
      <c r="CO673" t="e">
        <f t="shared" si="257"/>
        <v>#N/A</v>
      </c>
      <c r="CQ673" t="e">
        <f t="shared" si="258"/>
        <v>#N/A</v>
      </c>
      <c r="CR673" t="e">
        <f t="shared" si="259"/>
        <v>#N/A</v>
      </c>
      <c r="CT673" t="e">
        <v>#N/A</v>
      </c>
      <c r="CU673" t="e">
        <v>#N/A</v>
      </c>
      <c r="CY673" t="e">
        <f t="shared" si="260"/>
        <v>#N/A</v>
      </c>
      <c r="CZ673" t="e">
        <v>#N/A</v>
      </c>
      <c r="DA673" t="e" cm="1">
        <f t="array" ref="DA673">IF(ISNUMBER(CZ673),AF673/COUNT(IF(ISNUMBER(_xlfn.ANCHORARRAY($CZ$11)),_xlfn.ANCHORARRAY($CZ$11))),NA())</f>
        <v>#N/A</v>
      </c>
      <c r="DB673" t="e">
        <f t="shared" si="261"/>
        <v>#N/A</v>
      </c>
      <c r="DD673" t="e">
        <f t="shared" si="262"/>
        <v>#N/A</v>
      </c>
      <c r="DE673" t="e">
        <f t="shared" si="263"/>
        <v>#N/A</v>
      </c>
      <c r="DG673" t="e">
        <v>#N/A</v>
      </c>
      <c r="DH673" t="e">
        <v>#N/A</v>
      </c>
    </row>
    <row r="674" spans="32:112">
      <c r="AF674">
        <v>664</v>
      </c>
      <c r="AG674" s="401">
        <f>'Lab test'!N667</f>
        <v>101.6</v>
      </c>
      <c r="AH674" s="401">
        <f>'Lab test'!M667</f>
        <v>0.1905</v>
      </c>
      <c r="AI674">
        <f>IF('Lab test'!O667&gt;0,'Lab test'!O667,NA())</f>
        <v>481.83799999999997</v>
      </c>
      <c r="AJ674">
        <f>'Lab test'!Q667</f>
        <v>533.33333333333326</v>
      </c>
      <c r="AK674" s="401">
        <f>IF('Lab test'!V667&gt;0,'Lab test'!V667,NA())</f>
        <v>199947.96150188247</v>
      </c>
      <c r="AL674" s="7" t="e">
        <f>IF(MAX('Lab test'!W667,'Lab test'!X667)&gt;0,MAX('Lab test'!W667,'Lab test'!X667),NA())</f>
        <v>#N/A</v>
      </c>
      <c r="AM674" s="401">
        <f>IF('Lab test'!P667&gt;0,'Lab test'!P667,NA())</f>
        <v>0.205356273872385</v>
      </c>
      <c r="AN674" s="401" t="e">
        <f>IF('Lab test'!AU667&gt;0,'Lab test'!AU667,NA())</f>
        <v>#N/A</v>
      </c>
      <c r="AO674" s="401">
        <f>IF('Lab test'!AT667&gt;0,'Lab test'!AT667,NA())</f>
        <v>0.2889765291293287</v>
      </c>
      <c r="AP674" t="e">
        <f t="shared" si="264"/>
        <v>#N/A</v>
      </c>
      <c r="AQ674" s="401">
        <f>'Lab test'!AZ667</f>
        <v>1962</v>
      </c>
      <c r="AR674" t="str">
        <f>'Lab test'!AC667</f>
        <v>LTWa</v>
      </c>
      <c r="AS674" t="str">
        <f>'Lab test'!T667</f>
        <v>Steel</v>
      </c>
      <c r="AX674" t="e">
        <f t="shared" si="249"/>
        <v>#N/A</v>
      </c>
      <c r="AY674" t="e">
        <f t="shared" si="246"/>
        <v>#N/A</v>
      </c>
      <c r="AZ674" t="e">
        <f t="shared" si="265"/>
        <v>#N/A</v>
      </c>
      <c r="BA674" t="e">
        <f t="shared" si="265"/>
        <v>#N/A</v>
      </c>
      <c r="BB674" t="e">
        <f t="shared" si="265"/>
        <v>#N/A</v>
      </c>
      <c r="BC674" t="e">
        <f t="shared" si="265"/>
        <v>#N/A</v>
      </c>
      <c r="BD674" t="e">
        <f t="shared" si="265"/>
        <v>#N/A</v>
      </c>
      <c r="BG674" t="e">
        <f t="shared" si="250"/>
        <v>#N/A</v>
      </c>
      <c r="BH674" t="e">
        <f t="shared" si="247"/>
        <v>#N/A</v>
      </c>
      <c r="BI674" t="e">
        <f t="shared" si="266"/>
        <v>#N/A</v>
      </c>
      <c r="BJ674" t="e">
        <f t="shared" si="266"/>
        <v>#N/A</v>
      </c>
      <c r="BK674" t="e">
        <f t="shared" si="266"/>
        <v>#N/A</v>
      </c>
      <c r="BL674" t="e">
        <f t="shared" si="266"/>
        <v>#N/A</v>
      </c>
      <c r="BM674" t="e">
        <f t="shared" si="266"/>
        <v>#N/A</v>
      </c>
      <c r="BP674" t="e">
        <f t="shared" si="251"/>
        <v>#N/A</v>
      </c>
      <c r="BQ674" t="e">
        <f t="shared" si="248"/>
        <v>#N/A</v>
      </c>
      <c r="BR674" t="e">
        <f t="shared" si="267"/>
        <v>#N/A</v>
      </c>
      <c r="BS674" t="e">
        <f t="shared" si="267"/>
        <v>#N/A</v>
      </c>
      <c r="BT674" t="e">
        <f t="shared" si="267"/>
        <v>#N/A</v>
      </c>
      <c r="BU674" t="e">
        <f t="shared" si="267"/>
        <v>#N/A</v>
      </c>
      <c r="BV674" t="e">
        <f t="shared" si="267"/>
        <v>#N/A</v>
      </c>
      <c r="BY674" t="e">
        <f t="shared" si="252"/>
        <v>#N/A</v>
      </c>
      <c r="BZ674" t="e">
        <v>#N/A</v>
      </c>
      <c r="CA674" t="e" cm="1">
        <f t="array" ref="CA674">IF(ISNUMBER(BZ674),AF674/COUNT(IF(ISNUMBER(_xlfn.ANCHORARRAY($BZ$11)),_xlfn.ANCHORARRAY($BZ$11))),NA())</f>
        <v>#N/A</v>
      </c>
      <c r="CB674" t="e">
        <f t="shared" si="253"/>
        <v>#N/A</v>
      </c>
      <c r="CD674" t="e">
        <f t="shared" si="254"/>
        <v>#N/A</v>
      </c>
      <c r="CE674" t="e">
        <f t="shared" si="255"/>
        <v>#N/A</v>
      </c>
      <c r="CG674" t="e">
        <v>#N/A</v>
      </c>
      <c r="CH674" t="e">
        <v>#N/A</v>
      </c>
      <c r="CL674" t="e">
        <f t="shared" si="256"/>
        <v>#N/A</v>
      </c>
      <c r="CM674" t="e">
        <v>#N/A</v>
      </c>
      <c r="CN674" t="e" cm="1">
        <f t="array" ref="CN674">IF(ISNUMBER(CM674),AF674/COUNT(IF(ISNUMBER(_xlfn.ANCHORARRAY($CM$11)),_xlfn.ANCHORARRAY($CM$11))),NA())</f>
        <v>#N/A</v>
      </c>
      <c r="CO674" t="e">
        <f t="shared" si="257"/>
        <v>#N/A</v>
      </c>
      <c r="CQ674" t="e">
        <f t="shared" si="258"/>
        <v>#N/A</v>
      </c>
      <c r="CR674" t="e">
        <f t="shared" si="259"/>
        <v>#N/A</v>
      </c>
      <c r="CT674" t="e">
        <v>#N/A</v>
      </c>
      <c r="CU674" t="e">
        <v>#N/A</v>
      </c>
      <c r="CY674" t="e">
        <f t="shared" si="260"/>
        <v>#N/A</v>
      </c>
      <c r="CZ674" t="e">
        <v>#N/A</v>
      </c>
      <c r="DA674" t="e" cm="1">
        <f t="array" ref="DA674">IF(ISNUMBER(CZ674),AF674/COUNT(IF(ISNUMBER(_xlfn.ANCHORARRAY($CZ$11)),_xlfn.ANCHORARRAY($CZ$11))),NA())</f>
        <v>#N/A</v>
      </c>
      <c r="DB674" t="e">
        <f t="shared" si="261"/>
        <v>#N/A</v>
      </c>
      <c r="DD674" t="e">
        <f t="shared" si="262"/>
        <v>#N/A</v>
      </c>
      <c r="DE674" t="e">
        <f t="shared" si="263"/>
        <v>#N/A</v>
      </c>
      <c r="DG674" t="e">
        <v>#N/A</v>
      </c>
      <c r="DH674" t="e">
        <v>#N/A</v>
      </c>
    </row>
    <row r="675" spans="32:112">
      <c r="AF675">
        <v>665</v>
      </c>
      <c r="AG675" s="401">
        <f>'Lab test'!N668</f>
        <v>76.2</v>
      </c>
      <c r="AH675" s="401">
        <f>'Lab test'!M668</f>
        <v>0.1905</v>
      </c>
      <c r="AI675">
        <f>IF('Lab test'!O668&gt;0,'Lab test'!O668,NA())</f>
        <v>507.23799999999994</v>
      </c>
      <c r="AJ675">
        <f>'Lab test'!Q668</f>
        <v>400</v>
      </c>
      <c r="AK675" s="401">
        <f>IF('Lab test'!V668&gt;0,'Lab test'!V668,NA())</f>
        <v>199947.96150188247</v>
      </c>
      <c r="AL675" s="7" t="e">
        <f>IF(MAX('Lab test'!W668,'Lab test'!X668)&gt;0,MAX('Lab test'!W668,'Lab test'!X668),NA())</f>
        <v>#N/A</v>
      </c>
      <c r="AM675" s="401">
        <f>IF('Lab test'!P668&gt;0,'Lab test'!P668,NA())</f>
        <v>0.33283333333333331</v>
      </c>
      <c r="AN675" s="401" t="e">
        <f>IF('Lab test'!AU668&gt;0,'Lab test'!AU668,NA())</f>
        <v>#N/A</v>
      </c>
      <c r="AO675" s="401">
        <f>IF('Lab test'!AT668&gt;0,'Lab test'!AT668,NA())</f>
        <v>0.41021904765993039</v>
      </c>
      <c r="AP675" t="e">
        <f t="shared" si="264"/>
        <v>#N/A</v>
      </c>
      <c r="AQ675" s="401">
        <f>'Lab test'!AZ668</f>
        <v>1962</v>
      </c>
      <c r="AR675" t="str">
        <f>'Lab test'!AC668</f>
        <v>LTWa</v>
      </c>
      <c r="AS675" t="str">
        <f>'Lab test'!T668</f>
        <v>Steel</v>
      </c>
      <c r="AX675" t="e">
        <f t="shared" si="249"/>
        <v>#N/A</v>
      </c>
      <c r="AY675" t="e">
        <f t="shared" si="246"/>
        <v>#N/A</v>
      </c>
      <c r="AZ675" t="e">
        <f t="shared" si="265"/>
        <v>#N/A</v>
      </c>
      <c r="BA675" t="e">
        <f t="shared" si="265"/>
        <v>#N/A</v>
      </c>
      <c r="BB675" t="e">
        <f t="shared" si="265"/>
        <v>#N/A</v>
      </c>
      <c r="BC675" t="e">
        <f t="shared" si="265"/>
        <v>#N/A</v>
      </c>
      <c r="BD675" t="e">
        <f t="shared" si="265"/>
        <v>#N/A</v>
      </c>
      <c r="BG675" t="e">
        <f t="shared" si="250"/>
        <v>#N/A</v>
      </c>
      <c r="BH675" t="e">
        <f t="shared" si="247"/>
        <v>#N/A</v>
      </c>
      <c r="BI675" t="e">
        <f t="shared" si="266"/>
        <v>#N/A</v>
      </c>
      <c r="BJ675" t="e">
        <f t="shared" si="266"/>
        <v>#N/A</v>
      </c>
      <c r="BK675" t="e">
        <f t="shared" si="266"/>
        <v>#N/A</v>
      </c>
      <c r="BL675" t="e">
        <f t="shared" si="266"/>
        <v>#N/A</v>
      </c>
      <c r="BM675" t="e">
        <f t="shared" si="266"/>
        <v>#N/A</v>
      </c>
      <c r="BP675" t="e">
        <f t="shared" si="251"/>
        <v>#N/A</v>
      </c>
      <c r="BQ675" t="e">
        <f t="shared" si="248"/>
        <v>#N/A</v>
      </c>
      <c r="BR675" t="e">
        <f t="shared" si="267"/>
        <v>#N/A</v>
      </c>
      <c r="BS675" t="e">
        <f t="shared" si="267"/>
        <v>#N/A</v>
      </c>
      <c r="BT675" t="e">
        <f t="shared" si="267"/>
        <v>#N/A</v>
      </c>
      <c r="BU675" t="e">
        <f t="shared" si="267"/>
        <v>#N/A</v>
      </c>
      <c r="BV675" t="e">
        <f t="shared" si="267"/>
        <v>#N/A</v>
      </c>
      <c r="BY675" t="e">
        <f t="shared" si="252"/>
        <v>#N/A</v>
      </c>
      <c r="BZ675" t="e">
        <v>#N/A</v>
      </c>
      <c r="CA675" t="e" cm="1">
        <f t="array" ref="CA675">IF(ISNUMBER(BZ675),AF675/COUNT(IF(ISNUMBER(_xlfn.ANCHORARRAY($BZ$11)),_xlfn.ANCHORARRAY($BZ$11))),NA())</f>
        <v>#N/A</v>
      </c>
      <c r="CB675" t="e">
        <f t="shared" si="253"/>
        <v>#N/A</v>
      </c>
      <c r="CD675" t="e">
        <f t="shared" si="254"/>
        <v>#N/A</v>
      </c>
      <c r="CE675" t="e">
        <f t="shared" si="255"/>
        <v>#N/A</v>
      </c>
      <c r="CG675" t="e">
        <v>#N/A</v>
      </c>
      <c r="CH675" t="e">
        <v>#N/A</v>
      </c>
      <c r="CL675" t="e">
        <f t="shared" si="256"/>
        <v>#N/A</v>
      </c>
      <c r="CM675" t="e">
        <v>#N/A</v>
      </c>
      <c r="CN675" t="e" cm="1">
        <f t="array" ref="CN675">IF(ISNUMBER(CM675),AF675/COUNT(IF(ISNUMBER(_xlfn.ANCHORARRAY($CM$11)),_xlfn.ANCHORARRAY($CM$11))),NA())</f>
        <v>#N/A</v>
      </c>
      <c r="CO675" t="e">
        <f t="shared" si="257"/>
        <v>#N/A</v>
      </c>
      <c r="CQ675" t="e">
        <f t="shared" si="258"/>
        <v>#N/A</v>
      </c>
      <c r="CR675" t="e">
        <f t="shared" si="259"/>
        <v>#N/A</v>
      </c>
      <c r="CT675" t="e">
        <v>#N/A</v>
      </c>
      <c r="CU675" t="e">
        <v>#N/A</v>
      </c>
      <c r="CY675" t="e">
        <f t="shared" si="260"/>
        <v>#N/A</v>
      </c>
      <c r="CZ675" t="e">
        <v>#N/A</v>
      </c>
      <c r="DA675" t="e" cm="1">
        <f t="array" ref="DA675">IF(ISNUMBER(CZ675),AF675/COUNT(IF(ISNUMBER(_xlfn.ANCHORARRAY($CZ$11)),_xlfn.ANCHORARRAY($CZ$11))),NA())</f>
        <v>#N/A</v>
      </c>
      <c r="DB675" t="e">
        <f t="shared" si="261"/>
        <v>#N/A</v>
      </c>
      <c r="DD675" t="e">
        <f t="shared" si="262"/>
        <v>#N/A</v>
      </c>
      <c r="DE675" t="e">
        <f t="shared" si="263"/>
        <v>#N/A</v>
      </c>
      <c r="DG675" t="e">
        <v>#N/A</v>
      </c>
      <c r="DH675" t="e">
        <v>#N/A</v>
      </c>
    </row>
    <row r="676" spans="32:112">
      <c r="AF676">
        <v>666</v>
      </c>
      <c r="AG676" s="401">
        <f>'Lab test'!N669</f>
        <v>76.2</v>
      </c>
      <c r="AH676" s="401">
        <f>'Lab test'!M669</f>
        <v>0.1905</v>
      </c>
      <c r="AI676">
        <f>IF('Lab test'!O669&gt;0,'Lab test'!O669,NA())</f>
        <v>501.65000000000003</v>
      </c>
      <c r="AJ676">
        <f>'Lab test'!Q669</f>
        <v>400</v>
      </c>
      <c r="AK676" s="401">
        <f>IF('Lab test'!V669&gt;0,'Lab test'!V669,NA())</f>
        <v>199947.96150188247</v>
      </c>
      <c r="AL676" s="7" t="e">
        <f>IF(MAX('Lab test'!W669,'Lab test'!X669)&gt;0,MAX('Lab test'!W669,'Lab test'!X669),NA())</f>
        <v>#N/A</v>
      </c>
      <c r="AM676" s="401">
        <f>IF('Lab test'!P669&gt;0,'Lab test'!P669,NA())</f>
        <v>0.32916666666666672</v>
      </c>
      <c r="AN676" s="401" t="e">
        <f>IF('Lab test'!AU669&gt;0,'Lab test'!AU669,NA())</f>
        <v>#N/A</v>
      </c>
      <c r="AO676" s="401">
        <f>IF('Lab test'!AT669&gt;0,'Lab test'!AT669,NA())</f>
        <v>0.45921743390819986</v>
      </c>
      <c r="AP676" t="e">
        <f t="shared" si="264"/>
        <v>#N/A</v>
      </c>
      <c r="AQ676" s="401">
        <f>'Lab test'!AZ669</f>
        <v>1962</v>
      </c>
      <c r="AR676" t="str">
        <f>'Lab test'!AC669</f>
        <v>LTWa</v>
      </c>
      <c r="AS676" t="str">
        <f>'Lab test'!T669</f>
        <v>Steel</v>
      </c>
      <c r="AX676" t="e">
        <f t="shared" si="249"/>
        <v>#N/A</v>
      </c>
      <c r="AY676" t="e">
        <f t="shared" si="246"/>
        <v>#N/A</v>
      </c>
      <c r="AZ676" t="e">
        <f t="shared" si="265"/>
        <v>#N/A</v>
      </c>
      <c r="BA676" t="e">
        <f t="shared" si="265"/>
        <v>#N/A</v>
      </c>
      <c r="BB676" t="e">
        <f t="shared" si="265"/>
        <v>#N/A</v>
      </c>
      <c r="BC676" t="e">
        <f t="shared" si="265"/>
        <v>#N/A</v>
      </c>
      <c r="BD676" t="e">
        <f t="shared" si="265"/>
        <v>#N/A</v>
      </c>
      <c r="BG676" t="e">
        <f t="shared" si="250"/>
        <v>#N/A</v>
      </c>
      <c r="BH676" t="e">
        <f t="shared" si="247"/>
        <v>#N/A</v>
      </c>
      <c r="BI676" t="e">
        <f t="shared" si="266"/>
        <v>#N/A</v>
      </c>
      <c r="BJ676" t="e">
        <f t="shared" si="266"/>
        <v>#N/A</v>
      </c>
      <c r="BK676" t="e">
        <f t="shared" si="266"/>
        <v>#N/A</v>
      </c>
      <c r="BL676" t="e">
        <f t="shared" si="266"/>
        <v>#N/A</v>
      </c>
      <c r="BM676" t="e">
        <f t="shared" si="266"/>
        <v>#N/A</v>
      </c>
      <c r="BP676" t="e">
        <f t="shared" si="251"/>
        <v>#N/A</v>
      </c>
      <c r="BQ676" t="e">
        <f t="shared" si="248"/>
        <v>#N/A</v>
      </c>
      <c r="BR676" t="e">
        <f t="shared" si="267"/>
        <v>#N/A</v>
      </c>
      <c r="BS676" t="e">
        <f t="shared" si="267"/>
        <v>#N/A</v>
      </c>
      <c r="BT676" t="e">
        <f t="shared" si="267"/>
        <v>#N/A</v>
      </c>
      <c r="BU676" t="e">
        <f t="shared" si="267"/>
        <v>#N/A</v>
      </c>
      <c r="BV676" t="e">
        <f t="shared" si="267"/>
        <v>#N/A</v>
      </c>
      <c r="BY676" t="e">
        <f t="shared" si="252"/>
        <v>#N/A</v>
      </c>
      <c r="BZ676" t="e">
        <v>#N/A</v>
      </c>
      <c r="CA676" t="e" cm="1">
        <f t="array" ref="CA676">IF(ISNUMBER(BZ676),AF676/COUNT(IF(ISNUMBER(_xlfn.ANCHORARRAY($BZ$11)),_xlfn.ANCHORARRAY($BZ$11))),NA())</f>
        <v>#N/A</v>
      </c>
      <c r="CB676" t="e">
        <f t="shared" si="253"/>
        <v>#N/A</v>
      </c>
      <c r="CD676" t="e">
        <f t="shared" si="254"/>
        <v>#N/A</v>
      </c>
      <c r="CE676" t="e">
        <f t="shared" si="255"/>
        <v>#N/A</v>
      </c>
      <c r="CG676" t="e">
        <v>#N/A</v>
      </c>
      <c r="CH676" t="e">
        <v>#N/A</v>
      </c>
      <c r="CL676" t="e">
        <f t="shared" si="256"/>
        <v>#N/A</v>
      </c>
      <c r="CM676" t="e">
        <v>#N/A</v>
      </c>
      <c r="CN676" t="e" cm="1">
        <f t="array" ref="CN676">IF(ISNUMBER(CM676),AF676/COUNT(IF(ISNUMBER(_xlfn.ANCHORARRAY($CM$11)),_xlfn.ANCHORARRAY($CM$11))),NA())</f>
        <v>#N/A</v>
      </c>
      <c r="CO676" t="e">
        <f t="shared" si="257"/>
        <v>#N/A</v>
      </c>
      <c r="CQ676" t="e">
        <f t="shared" si="258"/>
        <v>#N/A</v>
      </c>
      <c r="CR676" t="e">
        <f t="shared" si="259"/>
        <v>#N/A</v>
      </c>
      <c r="CT676" t="e">
        <v>#N/A</v>
      </c>
      <c r="CU676" t="e">
        <v>#N/A</v>
      </c>
      <c r="CY676" t="e">
        <f t="shared" si="260"/>
        <v>#N/A</v>
      </c>
      <c r="CZ676" t="e">
        <v>#N/A</v>
      </c>
      <c r="DA676" t="e" cm="1">
        <f t="array" ref="DA676">IF(ISNUMBER(CZ676),AF676/COUNT(IF(ISNUMBER(_xlfn.ANCHORARRAY($CZ$11)),_xlfn.ANCHORARRAY($CZ$11))),NA())</f>
        <v>#N/A</v>
      </c>
      <c r="DB676" t="e">
        <f t="shared" si="261"/>
        <v>#N/A</v>
      </c>
      <c r="DD676" t="e">
        <f t="shared" si="262"/>
        <v>#N/A</v>
      </c>
      <c r="DE676" t="e">
        <f t="shared" si="263"/>
        <v>#N/A</v>
      </c>
      <c r="DG676" t="e">
        <v>#N/A</v>
      </c>
      <c r="DH676" t="e">
        <v>#N/A</v>
      </c>
    </row>
    <row r="677" spans="32:112">
      <c r="AF677">
        <v>667</v>
      </c>
      <c r="AG677" s="401">
        <f>'Lab test'!N670</f>
        <v>50.8</v>
      </c>
      <c r="AH677" s="401">
        <f>'Lab test'!M670</f>
        <v>0.15239999999999998</v>
      </c>
      <c r="AI677">
        <f>IF('Lab test'!O670&gt;0,'Lab test'!O670,NA())</f>
        <v>374.65</v>
      </c>
      <c r="AJ677">
        <f>'Lab test'!Q670</f>
        <v>333.33333333333337</v>
      </c>
      <c r="AK677" s="401">
        <f>IF('Lab test'!V670&gt;0,'Lab test'!V670,NA())</f>
        <v>199947.96150188247</v>
      </c>
      <c r="AL677" s="7" t="e">
        <f>IF(MAX('Lab test'!W670,'Lab test'!X670)&gt;0,MAX('Lab test'!W670,'Lab test'!X670),NA())</f>
        <v>#N/A</v>
      </c>
      <c r="AM677" s="401">
        <f>IF('Lab test'!P670&gt;0,'Lab test'!P670,NA())</f>
        <v>0.40394538616005998</v>
      </c>
      <c r="AN677" s="401" t="e">
        <f>IF('Lab test'!AU670&gt;0,'Lab test'!AU670,NA())</f>
        <v>#N/A</v>
      </c>
      <c r="AO677" s="401">
        <f>IF('Lab test'!AT670&gt;0,'Lab test'!AT670,NA())</f>
        <v>0.42921067023677906</v>
      </c>
      <c r="AP677" t="e">
        <f t="shared" si="264"/>
        <v>#N/A</v>
      </c>
      <c r="AQ677" s="401">
        <f>'Lab test'!AZ670</f>
        <v>1962</v>
      </c>
      <c r="AR677" t="str">
        <f>'Lab test'!AC670</f>
        <v>LTWa</v>
      </c>
      <c r="AS677" t="str">
        <f>'Lab test'!T670</f>
        <v>Steel</v>
      </c>
      <c r="AX677" t="e">
        <f t="shared" si="249"/>
        <v>#N/A</v>
      </c>
      <c r="AY677" t="e">
        <f t="shared" si="246"/>
        <v>#N/A</v>
      </c>
      <c r="AZ677" t="e">
        <f t="shared" si="265"/>
        <v>#N/A</v>
      </c>
      <c r="BA677" t="e">
        <f t="shared" si="265"/>
        <v>#N/A</v>
      </c>
      <c r="BB677" t="e">
        <f t="shared" si="265"/>
        <v>#N/A</v>
      </c>
      <c r="BC677" t="e">
        <f t="shared" si="265"/>
        <v>#N/A</v>
      </c>
      <c r="BD677" t="e">
        <f t="shared" si="265"/>
        <v>#N/A</v>
      </c>
      <c r="BG677" t="e">
        <f t="shared" si="250"/>
        <v>#N/A</v>
      </c>
      <c r="BH677" t="e">
        <f t="shared" si="247"/>
        <v>#N/A</v>
      </c>
      <c r="BI677" t="e">
        <f t="shared" si="266"/>
        <v>#N/A</v>
      </c>
      <c r="BJ677" t="e">
        <f t="shared" si="266"/>
        <v>#N/A</v>
      </c>
      <c r="BK677" t="e">
        <f t="shared" si="266"/>
        <v>#N/A</v>
      </c>
      <c r="BL677" t="e">
        <f t="shared" si="266"/>
        <v>#N/A</v>
      </c>
      <c r="BM677" t="e">
        <f t="shared" si="266"/>
        <v>#N/A</v>
      </c>
      <c r="BP677" t="e">
        <f t="shared" si="251"/>
        <v>#N/A</v>
      </c>
      <c r="BQ677" t="e">
        <f t="shared" si="248"/>
        <v>#N/A</v>
      </c>
      <c r="BR677" t="e">
        <f t="shared" si="267"/>
        <v>#N/A</v>
      </c>
      <c r="BS677" t="e">
        <f t="shared" si="267"/>
        <v>#N/A</v>
      </c>
      <c r="BT677" t="e">
        <f t="shared" si="267"/>
        <v>#N/A</v>
      </c>
      <c r="BU677" t="e">
        <f t="shared" si="267"/>
        <v>#N/A</v>
      </c>
      <c r="BV677" t="e">
        <f t="shared" si="267"/>
        <v>#N/A</v>
      </c>
      <c r="BY677" t="e">
        <f t="shared" si="252"/>
        <v>#N/A</v>
      </c>
      <c r="BZ677" t="e">
        <v>#N/A</v>
      </c>
      <c r="CA677" t="e" cm="1">
        <f t="array" ref="CA677">IF(ISNUMBER(BZ677),AF677/COUNT(IF(ISNUMBER(_xlfn.ANCHORARRAY($BZ$11)),_xlfn.ANCHORARRAY($BZ$11))),NA())</f>
        <v>#N/A</v>
      </c>
      <c r="CB677" t="e">
        <f t="shared" si="253"/>
        <v>#N/A</v>
      </c>
      <c r="CD677" t="e">
        <f t="shared" si="254"/>
        <v>#N/A</v>
      </c>
      <c r="CE677" t="e">
        <f t="shared" si="255"/>
        <v>#N/A</v>
      </c>
      <c r="CG677" t="e">
        <v>#N/A</v>
      </c>
      <c r="CH677" t="e">
        <v>#N/A</v>
      </c>
      <c r="CL677" t="e">
        <f t="shared" si="256"/>
        <v>#N/A</v>
      </c>
      <c r="CM677" t="e">
        <v>#N/A</v>
      </c>
      <c r="CN677" t="e" cm="1">
        <f t="array" ref="CN677">IF(ISNUMBER(CM677),AF677/COUNT(IF(ISNUMBER(_xlfn.ANCHORARRAY($CM$11)),_xlfn.ANCHORARRAY($CM$11))),NA())</f>
        <v>#N/A</v>
      </c>
      <c r="CO677" t="e">
        <f t="shared" si="257"/>
        <v>#N/A</v>
      </c>
      <c r="CQ677" t="e">
        <f t="shared" si="258"/>
        <v>#N/A</v>
      </c>
      <c r="CR677" t="e">
        <f t="shared" si="259"/>
        <v>#N/A</v>
      </c>
      <c r="CT677" t="e">
        <v>#N/A</v>
      </c>
      <c r="CU677" t="e">
        <v>#N/A</v>
      </c>
      <c r="CY677" t="e">
        <f t="shared" si="260"/>
        <v>#N/A</v>
      </c>
      <c r="CZ677" t="e">
        <v>#N/A</v>
      </c>
      <c r="DA677" t="e" cm="1">
        <f t="array" ref="DA677">IF(ISNUMBER(CZ677),AF677/COUNT(IF(ISNUMBER(_xlfn.ANCHORARRAY($CZ$11)),_xlfn.ANCHORARRAY($CZ$11))),NA())</f>
        <v>#N/A</v>
      </c>
      <c r="DB677" t="e">
        <f t="shared" si="261"/>
        <v>#N/A</v>
      </c>
      <c r="DD677" t="e">
        <f t="shared" si="262"/>
        <v>#N/A</v>
      </c>
      <c r="DE677" t="e">
        <f t="shared" si="263"/>
        <v>#N/A</v>
      </c>
      <c r="DG677" t="e">
        <v>#N/A</v>
      </c>
      <c r="DH677" t="e">
        <v>#N/A</v>
      </c>
    </row>
    <row r="678" spans="32:112">
      <c r="AF678">
        <v>668</v>
      </c>
      <c r="AG678" s="401">
        <f>'Lab test'!N671</f>
        <v>101.6</v>
      </c>
      <c r="AH678" s="401">
        <f>'Lab test'!M671</f>
        <v>0.15240000000000001</v>
      </c>
      <c r="AI678">
        <f>IF('Lab test'!O671&gt;0,'Lab test'!O671,NA())</f>
        <v>374.65</v>
      </c>
      <c r="AJ678">
        <f>'Lab test'!Q671</f>
        <v>666.66666666666663</v>
      </c>
      <c r="AK678" s="401">
        <f>IF('Lab test'!V671&gt;0,'Lab test'!V671,NA())</f>
        <v>199947.96150188247</v>
      </c>
      <c r="AL678" s="7" t="e">
        <f>IF(MAX('Lab test'!W671,'Lab test'!X671)&gt;0,MAX('Lab test'!W671,'Lab test'!X671),NA())</f>
        <v>#N/A</v>
      </c>
      <c r="AM678" s="401">
        <f>IF('Lab test'!P671&gt;0,'Lab test'!P671,NA())</f>
        <v>0.14281626089139851</v>
      </c>
      <c r="AN678" s="401" t="e">
        <f>IF('Lab test'!AU671&gt;0,'Lab test'!AU671,NA())</f>
        <v>#N/A</v>
      </c>
      <c r="AO678" s="401">
        <f>IF('Lab test'!AT671&gt;0,'Lab test'!AT671,NA())</f>
        <v>0.30386596122957804</v>
      </c>
      <c r="AP678" t="e">
        <f t="shared" si="264"/>
        <v>#N/A</v>
      </c>
      <c r="AQ678" s="401">
        <f>'Lab test'!AZ671</f>
        <v>1962</v>
      </c>
      <c r="AR678" t="str">
        <f>'Lab test'!AC671</f>
        <v>LTWa</v>
      </c>
      <c r="AS678" t="str">
        <f>'Lab test'!T671</f>
        <v>Steel</v>
      </c>
      <c r="AX678" t="e">
        <f t="shared" si="249"/>
        <v>#N/A</v>
      </c>
      <c r="AY678" t="e">
        <f t="shared" si="246"/>
        <v>#N/A</v>
      </c>
      <c r="AZ678" t="e">
        <f t="shared" si="265"/>
        <v>#N/A</v>
      </c>
      <c r="BA678" t="e">
        <f t="shared" si="265"/>
        <v>#N/A</v>
      </c>
      <c r="BB678" t="e">
        <f t="shared" si="265"/>
        <v>#N/A</v>
      </c>
      <c r="BC678" t="e">
        <f t="shared" si="265"/>
        <v>#N/A</v>
      </c>
      <c r="BD678" t="e">
        <f t="shared" si="265"/>
        <v>#N/A</v>
      </c>
      <c r="BG678" t="e">
        <f t="shared" si="250"/>
        <v>#N/A</v>
      </c>
      <c r="BH678" t="e">
        <f t="shared" si="247"/>
        <v>#N/A</v>
      </c>
      <c r="BI678" t="e">
        <f t="shared" si="266"/>
        <v>#N/A</v>
      </c>
      <c r="BJ678" t="e">
        <f t="shared" si="266"/>
        <v>#N/A</v>
      </c>
      <c r="BK678" t="e">
        <f t="shared" si="266"/>
        <v>#N/A</v>
      </c>
      <c r="BL678" t="e">
        <f t="shared" si="266"/>
        <v>#N/A</v>
      </c>
      <c r="BM678" t="e">
        <f t="shared" si="266"/>
        <v>#N/A</v>
      </c>
      <c r="BP678" t="e">
        <f t="shared" si="251"/>
        <v>#N/A</v>
      </c>
      <c r="BQ678" t="e">
        <f t="shared" si="248"/>
        <v>#N/A</v>
      </c>
      <c r="BR678" t="e">
        <f t="shared" si="267"/>
        <v>#N/A</v>
      </c>
      <c r="BS678" t="e">
        <f t="shared" si="267"/>
        <v>#N/A</v>
      </c>
      <c r="BT678" t="e">
        <f t="shared" si="267"/>
        <v>#N/A</v>
      </c>
      <c r="BU678" t="e">
        <f t="shared" si="267"/>
        <v>#N/A</v>
      </c>
      <c r="BV678" t="e">
        <f t="shared" si="267"/>
        <v>#N/A</v>
      </c>
      <c r="BY678" t="e">
        <f t="shared" si="252"/>
        <v>#N/A</v>
      </c>
      <c r="BZ678" t="e">
        <v>#N/A</v>
      </c>
      <c r="CA678" t="e" cm="1">
        <f t="array" ref="CA678">IF(ISNUMBER(BZ678),AF678/COUNT(IF(ISNUMBER(_xlfn.ANCHORARRAY($BZ$11)),_xlfn.ANCHORARRAY($BZ$11))),NA())</f>
        <v>#N/A</v>
      </c>
      <c r="CB678" t="e">
        <f t="shared" si="253"/>
        <v>#N/A</v>
      </c>
      <c r="CD678" t="e">
        <f t="shared" si="254"/>
        <v>#N/A</v>
      </c>
      <c r="CE678" t="e">
        <f t="shared" si="255"/>
        <v>#N/A</v>
      </c>
      <c r="CG678" t="e">
        <v>#N/A</v>
      </c>
      <c r="CH678" t="e">
        <v>#N/A</v>
      </c>
      <c r="CL678" t="e">
        <f t="shared" si="256"/>
        <v>#N/A</v>
      </c>
      <c r="CM678" t="e">
        <v>#N/A</v>
      </c>
      <c r="CN678" t="e" cm="1">
        <f t="array" ref="CN678">IF(ISNUMBER(CM678),AF678/COUNT(IF(ISNUMBER(_xlfn.ANCHORARRAY($CM$11)),_xlfn.ANCHORARRAY($CM$11))),NA())</f>
        <v>#N/A</v>
      </c>
      <c r="CO678" t="e">
        <f t="shared" si="257"/>
        <v>#N/A</v>
      </c>
      <c r="CQ678" t="e">
        <f t="shared" si="258"/>
        <v>#N/A</v>
      </c>
      <c r="CR678" t="e">
        <f t="shared" si="259"/>
        <v>#N/A</v>
      </c>
      <c r="CT678" t="e">
        <v>#N/A</v>
      </c>
      <c r="CU678" t="e">
        <v>#N/A</v>
      </c>
      <c r="CY678" t="e">
        <f t="shared" si="260"/>
        <v>#N/A</v>
      </c>
      <c r="CZ678" t="e">
        <v>#N/A</v>
      </c>
      <c r="DA678" t="e" cm="1">
        <f t="array" ref="DA678">IF(ISNUMBER(CZ678),AF678/COUNT(IF(ISNUMBER(_xlfn.ANCHORARRAY($CZ$11)),_xlfn.ANCHORARRAY($CZ$11))),NA())</f>
        <v>#N/A</v>
      </c>
      <c r="DB678" t="e">
        <f t="shared" si="261"/>
        <v>#N/A</v>
      </c>
      <c r="DD678" t="e">
        <f t="shared" si="262"/>
        <v>#N/A</v>
      </c>
      <c r="DE678" t="e">
        <f t="shared" si="263"/>
        <v>#N/A</v>
      </c>
      <c r="DG678" t="e">
        <v>#N/A</v>
      </c>
      <c r="DH678" t="e">
        <v>#N/A</v>
      </c>
    </row>
    <row r="679" spans="32:112">
      <c r="AF679">
        <v>669</v>
      </c>
      <c r="AG679" s="401">
        <f>'Lab test'!N672</f>
        <v>101.6</v>
      </c>
      <c r="AH679" s="401">
        <f>'Lab test'!M672</f>
        <v>0.15240000000000001</v>
      </c>
      <c r="AI679">
        <f>IF('Lab test'!O672&gt;0,'Lab test'!O672,NA())</f>
        <v>520.70000000000005</v>
      </c>
      <c r="AJ679">
        <f>'Lab test'!Q672</f>
        <v>666.66666666666663</v>
      </c>
      <c r="AK679" s="401">
        <f>IF('Lab test'!V672&gt;0,'Lab test'!V672,NA())</f>
        <v>199947.96150188247</v>
      </c>
      <c r="AL679" s="7" t="e">
        <f>IF(MAX('Lab test'!W672,'Lab test'!X672)&gt;0,MAX('Lab test'!W672,'Lab test'!X672),NA())</f>
        <v>#N/A</v>
      </c>
      <c r="AM679" s="401">
        <f>IF('Lab test'!P672&gt;0,'Lab test'!P672,NA())</f>
        <v>0.19849039649313016</v>
      </c>
      <c r="AN679" s="401" t="e">
        <f>IF('Lab test'!AU672&gt;0,'Lab test'!AU672,NA())</f>
        <v>#N/A</v>
      </c>
      <c r="AO679" s="401">
        <f>IF('Lab test'!AT672&gt;0,'Lab test'!AT672,NA())</f>
        <v>0.35324417992938445</v>
      </c>
      <c r="AP679" t="e">
        <f t="shared" si="264"/>
        <v>#N/A</v>
      </c>
      <c r="AQ679" s="401">
        <f>'Lab test'!AZ672</f>
        <v>1962</v>
      </c>
      <c r="AR679" t="str">
        <f>'Lab test'!AC672</f>
        <v>LTWa</v>
      </c>
      <c r="AS679" t="str">
        <f>'Lab test'!T672</f>
        <v>Steel</v>
      </c>
      <c r="AX679" t="e">
        <f t="shared" si="249"/>
        <v>#N/A</v>
      </c>
      <c r="AY679" t="e">
        <f t="shared" si="246"/>
        <v>#N/A</v>
      </c>
      <c r="AZ679" t="e">
        <f t="shared" si="265"/>
        <v>#N/A</v>
      </c>
      <c r="BA679" t="e">
        <f t="shared" si="265"/>
        <v>#N/A</v>
      </c>
      <c r="BB679" t="e">
        <f t="shared" si="265"/>
        <v>#N/A</v>
      </c>
      <c r="BC679" t="e">
        <f t="shared" si="265"/>
        <v>#N/A</v>
      </c>
      <c r="BD679" t="e">
        <f t="shared" si="265"/>
        <v>#N/A</v>
      </c>
      <c r="BG679" t="e">
        <f t="shared" si="250"/>
        <v>#N/A</v>
      </c>
      <c r="BH679" t="e">
        <f t="shared" si="247"/>
        <v>#N/A</v>
      </c>
      <c r="BI679" t="e">
        <f t="shared" si="266"/>
        <v>#N/A</v>
      </c>
      <c r="BJ679" t="e">
        <f t="shared" si="266"/>
        <v>#N/A</v>
      </c>
      <c r="BK679" t="e">
        <f t="shared" si="266"/>
        <v>#N/A</v>
      </c>
      <c r="BL679" t="e">
        <f t="shared" si="266"/>
        <v>#N/A</v>
      </c>
      <c r="BM679" t="e">
        <f t="shared" si="266"/>
        <v>#N/A</v>
      </c>
      <c r="BP679" t="e">
        <f t="shared" si="251"/>
        <v>#N/A</v>
      </c>
      <c r="BQ679" t="e">
        <f t="shared" si="248"/>
        <v>#N/A</v>
      </c>
      <c r="BR679" t="e">
        <f t="shared" si="267"/>
        <v>#N/A</v>
      </c>
      <c r="BS679" t="e">
        <f t="shared" si="267"/>
        <v>#N/A</v>
      </c>
      <c r="BT679" t="e">
        <f t="shared" si="267"/>
        <v>#N/A</v>
      </c>
      <c r="BU679" t="e">
        <f t="shared" si="267"/>
        <v>#N/A</v>
      </c>
      <c r="BV679" t="e">
        <f t="shared" si="267"/>
        <v>#N/A</v>
      </c>
      <c r="BY679" t="e">
        <f t="shared" si="252"/>
        <v>#N/A</v>
      </c>
      <c r="BZ679" t="e">
        <v>#N/A</v>
      </c>
      <c r="CA679" t="e" cm="1">
        <f t="array" ref="CA679">IF(ISNUMBER(BZ679),AF679/COUNT(IF(ISNUMBER(_xlfn.ANCHORARRAY($BZ$11)),_xlfn.ANCHORARRAY($BZ$11))),NA())</f>
        <v>#N/A</v>
      </c>
      <c r="CB679" t="e">
        <f t="shared" si="253"/>
        <v>#N/A</v>
      </c>
      <c r="CD679" t="e">
        <f t="shared" si="254"/>
        <v>#N/A</v>
      </c>
      <c r="CE679" t="e">
        <f t="shared" si="255"/>
        <v>#N/A</v>
      </c>
      <c r="CG679" t="e">
        <v>#N/A</v>
      </c>
      <c r="CH679" t="e">
        <v>#N/A</v>
      </c>
      <c r="CL679" t="e">
        <f t="shared" si="256"/>
        <v>#N/A</v>
      </c>
      <c r="CM679" t="e">
        <v>#N/A</v>
      </c>
      <c r="CN679" t="e" cm="1">
        <f t="array" ref="CN679">IF(ISNUMBER(CM679),AF679/COUNT(IF(ISNUMBER(_xlfn.ANCHORARRAY($CM$11)),_xlfn.ANCHORARRAY($CM$11))),NA())</f>
        <v>#N/A</v>
      </c>
      <c r="CO679" t="e">
        <f t="shared" si="257"/>
        <v>#N/A</v>
      </c>
      <c r="CQ679" t="e">
        <f t="shared" si="258"/>
        <v>#N/A</v>
      </c>
      <c r="CR679" t="e">
        <f t="shared" si="259"/>
        <v>#N/A</v>
      </c>
      <c r="CT679" t="e">
        <v>#N/A</v>
      </c>
      <c r="CU679" t="e">
        <v>#N/A</v>
      </c>
      <c r="CY679" t="e">
        <f t="shared" si="260"/>
        <v>#N/A</v>
      </c>
      <c r="CZ679" t="e">
        <v>#N/A</v>
      </c>
      <c r="DA679" t="e" cm="1">
        <f t="array" ref="DA679">IF(ISNUMBER(CZ679),AF679/COUNT(IF(ISNUMBER(_xlfn.ANCHORARRAY($CZ$11)),_xlfn.ANCHORARRAY($CZ$11))),NA())</f>
        <v>#N/A</v>
      </c>
      <c r="DB679" t="e">
        <f t="shared" si="261"/>
        <v>#N/A</v>
      </c>
      <c r="DD679" t="e">
        <f t="shared" si="262"/>
        <v>#N/A</v>
      </c>
      <c r="DE679" t="e">
        <f t="shared" si="263"/>
        <v>#N/A</v>
      </c>
      <c r="DG679" t="e">
        <v>#N/A</v>
      </c>
      <c r="DH679" t="e">
        <v>#N/A</v>
      </c>
    </row>
    <row r="680" spans="32:112">
      <c r="AF680">
        <v>670</v>
      </c>
      <c r="AG680" s="401">
        <f>'Lab test'!N673</f>
        <v>76.2</v>
      </c>
      <c r="AH680" s="401">
        <f>'Lab test'!M673</f>
        <v>0.1905</v>
      </c>
      <c r="AI680">
        <f>IF('Lab test'!O673&gt;0,'Lab test'!O673,NA())</f>
        <v>508</v>
      </c>
      <c r="AJ680">
        <f>'Lab test'!Q673</f>
        <v>400</v>
      </c>
      <c r="AK680" s="401">
        <f>IF('Lab test'!V673&gt;0,'Lab test'!V673,NA())</f>
        <v>199947.96150188247</v>
      </c>
      <c r="AL680" s="7" t="e">
        <f>IF(MAX('Lab test'!W673,'Lab test'!X673)&gt;0,MAX('Lab test'!W673,'Lab test'!X673),NA())</f>
        <v>#N/A</v>
      </c>
      <c r="AM680" s="401">
        <f>IF('Lab test'!P673&gt;0,'Lab test'!P673,NA())</f>
        <v>0.33333333333333331</v>
      </c>
      <c r="AN680" s="401" t="e">
        <f>IF('Lab test'!AU673&gt;0,'Lab test'!AU673,NA())</f>
        <v>#N/A</v>
      </c>
      <c r="AO680" s="401">
        <f>IF('Lab test'!AT673&gt;0,'Lab test'!AT673,NA())</f>
        <v>0.43984597887981425</v>
      </c>
      <c r="AP680" t="e">
        <f t="shared" si="264"/>
        <v>#N/A</v>
      </c>
      <c r="AQ680" s="401">
        <f>'Lab test'!AZ673</f>
        <v>1962</v>
      </c>
      <c r="AR680" t="str">
        <f>'Lab test'!AC673</f>
        <v>LTWa</v>
      </c>
      <c r="AS680" t="str">
        <f>'Lab test'!T673</f>
        <v>Steel</v>
      </c>
      <c r="AX680" t="e">
        <f t="shared" si="249"/>
        <v>#N/A</v>
      </c>
      <c r="AY680" t="e">
        <f t="shared" si="246"/>
        <v>#N/A</v>
      </c>
      <c r="AZ680" t="e">
        <f t="shared" si="265"/>
        <v>#N/A</v>
      </c>
      <c r="BA680" t="e">
        <f t="shared" si="265"/>
        <v>#N/A</v>
      </c>
      <c r="BB680" t="e">
        <f t="shared" si="265"/>
        <v>#N/A</v>
      </c>
      <c r="BC680" t="e">
        <f t="shared" si="265"/>
        <v>#N/A</v>
      </c>
      <c r="BD680" t="e">
        <f t="shared" si="265"/>
        <v>#N/A</v>
      </c>
      <c r="BG680" t="e">
        <f t="shared" si="250"/>
        <v>#N/A</v>
      </c>
      <c r="BH680" t="e">
        <f t="shared" si="247"/>
        <v>#N/A</v>
      </c>
      <c r="BI680" t="e">
        <f t="shared" si="266"/>
        <v>#N/A</v>
      </c>
      <c r="BJ680" t="e">
        <f t="shared" si="266"/>
        <v>#N/A</v>
      </c>
      <c r="BK680" t="e">
        <f t="shared" si="266"/>
        <v>#N/A</v>
      </c>
      <c r="BL680" t="e">
        <f t="shared" si="266"/>
        <v>#N/A</v>
      </c>
      <c r="BM680" t="e">
        <f t="shared" si="266"/>
        <v>#N/A</v>
      </c>
      <c r="BP680" t="e">
        <f t="shared" si="251"/>
        <v>#N/A</v>
      </c>
      <c r="BQ680" t="e">
        <f t="shared" si="248"/>
        <v>#N/A</v>
      </c>
      <c r="BR680" t="e">
        <f t="shared" si="267"/>
        <v>#N/A</v>
      </c>
      <c r="BS680" t="e">
        <f t="shared" si="267"/>
        <v>#N/A</v>
      </c>
      <c r="BT680" t="e">
        <f t="shared" si="267"/>
        <v>#N/A</v>
      </c>
      <c r="BU680" t="e">
        <f t="shared" si="267"/>
        <v>#N/A</v>
      </c>
      <c r="BV680" t="e">
        <f t="shared" si="267"/>
        <v>#N/A</v>
      </c>
      <c r="BY680" t="e">
        <f t="shared" si="252"/>
        <v>#N/A</v>
      </c>
      <c r="BZ680" t="e">
        <v>#N/A</v>
      </c>
      <c r="CA680" t="e" cm="1">
        <f t="array" ref="CA680">IF(ISNUMBER(BZ680),AF680/COUNT(IF(ISNUMBER(_xlfn.ANCHORARRAY($BZ$11)),_xlfn.ANCHORARRAY($BZ$11))),NA())</f>
        <v>#N/A</v>
      </c>
      <c r="CB680" t="e">
        <f t="shared" si="253"/>
        <v>#N/A</v>
      </c>
      <c r="CD680" t="e">
        <f t="shared" si="254"/>
        <v>#N/A</v>
      </c>
      <c r="CE680" t="e">
        <f t="shared" si="255"/>
        <v>#N/A</v>
      </c>
      <c r="CG680" t="e">
        <v>#N/A</v>
      </c>
      <c r="CH680" t="e">
        <v>#N/A</v>
      </c>
      <c r="CL680" t="e">
        <f t="shared" si="256"/>
        <v>#N/A</v>
      </c>
      <c r="CM680" t="e">
        <v>#N/A</v>
      </c>
      <c r="CN680" t="e" cm="1">
        <f t="array" ref="CN680">IF(ISNUMBER(CM680),AF680/COUNT(IF(ISNUMBER(_xlfn.ANCHORARRAY($CM$11)),_xlfn.ANCHORARRAY($CM$11))),NA())</f>
        <v>#N/A</v>
      </c>
      <c r="CO680" t="e">
        <f t="shared" si="257"/>
        <v>#N/A</v>
      </c>
      <c r="CQ680" t="e">
        <f t="shared" si="258"/>
        <v>#N/A</v>
      </c>
      <c r="CR680" t="e">
        <f t="shared" si="259"/>
        <v>#N/A</v>
      </c>
      <c r="CT680" t="e">
        <v>#N/A</v>
      </c>
      <c r="CU680" t="e">
        <v>#N/A</v>
      </c>
      <c r="CY680" t="e">
        <f t="shared" si="260"/>
        <v>#N/A</v>
      </c>
      <c r="CZ680" t="e">
        <v>#N/A</v>
      </c>
      <c r="DA680" t="e" cm="1">
        <f t="array" ref="DA680">IF(ISNUMBER(CZ680),AF680/COUNT(IF(ISNUMBER(_xlfn.ANCHORARRAY($CZ$11)),_xlfn.ANCHORARRAY($CZ$11))),NA())</f>
        <v>#N/A</v>
      </c>
      <c r="DB680" t="e">
        <f t="shared" si="261"/>
        <v>#N/A</v>
      </c>
      <c r="DD680" t="e">
        <f t="shared" si="262"/>
        <v>#N/A</v>
      </c>
      <c r="DE680" t="e">
        <f t="shared" si="263"/>
        <v>#N/A</v>
      </c>
      <c r="DG680" t="e">
        <v>#N/A</v>
      </c>
      <c r="DH680" t="e">
        <v>#N/A</v>
      </c>
    </row>
    <row r="681" spans="32:112">
      <c r="AG681" s="401"/>
      <c r="AH681" s="401"/>
      <c r="AK681" s="401"/>
      <c r="AL681" s="7"/>
      <c r="AM681" s="401"/>
      <c r="AN681" s="401"/>
      <c r="AO681" s="401"/>
      <c r="AQ681" s="401"/>
    </row>
    <row r="682" spans="32:112">
      <c r="AG682" s="401"/>
      <c r="AH682" s="401"/>
      <c r="AK682" s="401"/>
      <c r="AL682" s="7"/>
      <c r="AM682" s="401"/>
      <c r="AN682" s="401"/>
      <c r="AO682" s="401"/>
      <c r="AQ682" s="401"/>
    </row>
    <row r="683" spans="32:112">
      <c r="AG683" s="401"/>
      <c r="AH683" s="401"/>
      <c r="AK683" s="401"/>
      <c r="AL683" s="7"/>
      <c r="AM683" s="401"/>
      <c r="AN683" s="401"/>
      <c r="AO683" s="401"/>
      <c r="AQ683" s="401"/>
      <c r="AW683" t="s">
        <v>926</v>
      </c>
      <c r="AX683" cm="1">
        <f t="array" ref="AX683">COUNT(IF(ISNUMBER(AX11:AX680),AX11:AX680))</f>
        <v>6</v>
      </c>
      <c r="AY683" cm="1">
        <f t="array" ref="AY683">COUNT(IF(ISNUMBER(AY11:AY680),AY11:AY680))</f>
        <v>36</v>
      </c>
      <c r="AZ683" cm="1">
        <f t="array" ref="AZ683">COUNT(IF(ISNUMBER(AZ11:AZ680),AZ11:AZ680))</f>
        <v>17</v>
      </c>
      <c r="BA683" cm="1">
        <f t="array" ref="BA683">COUNT(IF(ISNUMBER(BA11:BA680),BA11:BA680))</f>
        <v>6</v>
      </c>
      <c r="BB683" cm="1">
        <f t="array" ref="BB683">COUNT(IF(ISNUMBER(BB11:BB680),BB11:BB680))</f>
        <v>6</v>
      </c>
      <c r="BC683" cm="1">
        <f t="array" ref="BC683">COUNT(IF(ISNUMBER(BC11:BC680),BC11:BC680))</f>
        <v>4</v>
      </c>
      <c r="BD683" cm="1">
        <f t="array" ref="BD683">COUNT(IF(ISNUMBER(BD11:BD680),BD11:BD680))</f>
        <v>3</v>
      </c>
      <c r="BG683" cm="1">
        <f t="array" ref="BG683">COUNT(IF(ISNUMBER(BG11:BG680),BG11:BG680))</f>
        <v>5</v>
      </c>
      <c r="BH683" cm="1">
        <f t="array" ref="BH683">COUNT(IF(ISNUMBER(BH11:BH680),BH11:BH680))</f>
        <v>8</v>
      </c>
      <c r="BI683" cm="1">
        <f t="array" ref="BI683">COUNT(IF(ISNUMBER(BI11:BI680),BI11:BI680))</f>
        <v>11</v>
      </c>
      <c r="BJ683" cm="1">
        <f t="array" ref="BJ683">COUNT(IF(ISNUMBER(BJ11:BJ680),BJ11:BJ680))</f>
        <v>21</v>
      </c>
      <c r="BK683" cm="1">
        <f t="array" ref="BK683">COUNT(IF(ISNUMBER(BK11:BK680),BK11:BK680))</f>
        <v>2</v>
      </c>
      <c r="BL683" cm="1">
        <f t="array" ref="BL683">COUNT(IF(ISNUMBER(BL11:BL680),BL11:BL680))</f>
        <v>2</v>
      </c>
      <c r="BM683" cm="1">
        <f t="array" ref="BM683">COUNT(IF(ISNUMBER(BM11:BM680),BM11:BM680))</f>
        <v>6</v>
      </c>
      <c r="BP683" cm="1">
        <f t="array" ref="BP683">COUNT(IF(ISNUMBER(BP11:BP680),BP11:BP680))</f>
        <v>5</v>
      </c>
      <c r="BQ683" cm="1">
        <f t="array" ref="BQ683">COUNT(IF(ISNUMBER(BQ11:BQ680),BQ11:BQ680))</f>
        <v>9</v>
      </c>
      <c r="BR683" cm="1">
        <f t="array" ref="BR683">COUNT(IF(ISNUMBER(BR11:BR680),BR11:BR680))</f>
        <v>9</v>
      </c>
      <c r="BS683" cm="1">
        <f t="array" ref="BS683">COUNT(IF(ISNUMBER(BS11:BS680),BS11:BS680))</f>
        <v>0</v>
      </c>
      <c r="BT683" cm="1">
        <f t="array" ref="BT683">COUNT(IF(ISNUMBER(BT11:BT680),BT11:BT680))</f>
        <v>4</v>
      </c>
      <c r="BU683" cm="1">
        <f t="array" ref="BU683">COUNT(IF(ISNUMBER(BU11:BU680),BU11:BU680))</f>
        <v>0</v>
      </c>
      <c r="BV683" cm="1">
        <f t="array" ref="BV683">COUNT(IF(ISNUMBER(BV11:BV680),BV11:BV680))</f>
        <v>3</v>
      </c>
    </row>
    <row r="684" spans="32:112">
      <c r="AG684" s="401"/>
      <c r="AH684" s="401"/>
      <c r="AK684" s="401"/>
      <c r="AL684" s="7"/>
      <c r="AM684" s="401"/>
      <c r="AN684" s="401"/>
      <c r="AO684" s="401"/>
      <c r="AQ684" s="401"/>
    </row>
    <row r="685" spans="32:112">
      <c r="AG685" s="401"/>
      <c r="AH685" s="401"/>
      <c r="AK685" s="401"/>
      <c r="AL685" s="7"/>
      <c r="AM685" s="401"/>
      <c r="AN685" s="401"/>
      <c r="AO685" s="401"/>
      <c r="AQ685" s="401"/>
    </row>
    <row r="686" spans="32:112">
      <c r="AG686" s="401"/>
      <c r="AH686" s="401"/>
      <c r="AK686" s="401"/>
      <c r="AL686" s="7"/>
      <c r="AM686" s="401"/>
      <c r="AN686" s="401"/>
      <c r="AO686" s="401"/>
      <c r="AQ686" s="401"/>
    </row>
    <row r="687" spans="32:112">
      <c r="AG687" s="401"/>
      <c r="AH687" s="401"/>
      <c r="AK687" s="401"/>
      <c r="AL687" s="7"/>
      <c r="AM687" s="401"/>
      <c r="AN687" s="401"/>
      <c r="AO687" s="401"/>
      <c r="AQ687" s="401"/>
    </row>
    <row r="688" spans="32:112">
      <c r="AG688" s="401"/>
      <c r="AH688" s="401"/>
      <c r="AK688" s="401"/>
      <c r="AL688" s="7"/>
      <c r="AM688" s="401"/>
      <c r="AN688" s="401"/>
      <c r="AO688" s="401"/>
      <c r="AQ688" s="401"/>
    </row>
    <row r="689" spans="33:43">
      <c r="AG689" s="401"/>
      <c r="AH689" s="401"/>
      <c r="AK689" s="401"/>
      <c r="AL689" s="7"/>
      <c r="AM689" s="401"/>
      <c r="AN689" s="401"/>
      <c r="AO689" s="401"/>
      <c r="AQ689" s="401"/>
    </row>
    <row r="690" spans="33:43">
      <c r="AG690" s="401"/>
      <c r="AH690" s="401"/>
      <c r="AK690" s="401"/>
      <c r="AL690" s="7"/>
      <c r="AM690" s="401"/>
      <c r="AN690" s="401"/>
      <c r="AO690" s="401"/>
      <c r="AQ690" s="401"/>
    </row>
    <row r="691" spans="33:43">
      <c r="AG691" s="401"/>
      <c r="AH691" s="401"/>
      <c r="AK691" s="401"/>
      <c r="AL691" s="7"/>
      <c r="AM691" s="401"/>
      <c r="AN691" s="401"/>
      <c r="AO691" s="401"/>
      <c r="AQ691" s="401"/>
    </row>
    <row r="692" spans="33:43">
      <c r="AG692" s="401"/>
      <c r="AH692" s="401"/>
      <c r="AK692" s="401"/>
      <c r="AL692" s="7"/>
      <c r="AM692" s="401"/>
      <c r="AN692" s="401"/>
      <c r="AO692" s="401"/>
      <c r="AQ692" s="401"/>
    </row>
    <row r="693" spans="33:43">
      <c r="AG693" s="401"/>
      <c r="AH693" s="401"/>
      <c r="AK693" s="401"/>
      <c r="AL693" s="7"/>
      <c r="AM693" s="401"/>
      <c r="AN693" s="401"/>
      <c r="AO693" s="401"/>
      <c r="AQ693" s="401"/>
    </row>
    <row r="694" spans="33:43">
      <c r="AG694" s="401"/>
      <c r="AH694" s="401"/>
      <c r="AK694" s="401"/>
      <c r="AL694" s="7"/>
      <c r="AM694" s="401"/>
      <c r="AN694" s="401"/>
      <c r="AO694" s="401"/>
      <c r="AQ694" s="401"/>
    </row>
    <row r="695" spans="33:43">
      <c r="AG695" s="401"/>
      <c r="AH695" s="401"/>
      <c r="AK695" s="401"/>
      <c r="AL695" s="7"/>
      <c r="AM695" s="401"/>
      <c r="AN695" s="401"/>
      <c r="AO695" s="401"/>
      <c r="AQ695" s="401"/>
    </row>
    <row r="696" spans="33:43">
      <c r="AG696" s="401"/>
      <c r="AH696" s="401"/>
      <c r="AK696" s="401"/>
      <c r="AL696" s="7"/>
      <c r="AM696" s="401"/>
      <c r="AN696" s="401"/>
      <c r="AO696" s="401"/>
      <c r="AQ696" s="401"/>
    </row>
    <row r="697" spans="33:43">
      <c r="AG697" s="401"/>
      <c r="AH697" s="401"/>
      <c r="AK697" s="401"/>
      <c r="AL697" s="7"/>
      <c r="AM697" s="401"/>
      <c r="AN697" s="401"/>
      <c r="AO697" s="401"/>
      <c r="AQ697" s="401"/>
    </row>
    <row r="698" spans="33:43">
      <c r="AG698" s="401"/>
      <c r="AH698" s="401"/>
      <c r="AK698" s="401"/>
      <c r="AL698" s="7"/>
      <c r="AM698" s="401"/>
      <c r="AN698" s="401"/>
      <c r="AO698" s="401"/>
      <c r="AQ698" s="401"/>
    </row>
    <row r="699" spans="33:43">
      <c r="AG699" s="401"/>
      <c r="AH699" s="401"/>
      <c r="AK699" s="401"/>
      <c r="AL699" s="7"/>
      <c r="AM699" s="401"/>
      <c r="AN699" s="401"/>
      <c r="AO699" s="401"/>
      <c r="AQ699" s="401"/>
    </row>
    <row r="700" spans="33:43">
      <c r="AG700" s="401"/>
      <c r="AH700" s="401"/>
      <c r="AK700" s="401"/>
      <c r="AL700" s="7"/>
      <c r="AM700" s="401"/>
      <c r="AN700" s="401"/>
      <c r="AO700" s="401"/>
      <c r="AQ700" s="401"/>
    </row>
    <row r="701" spans="33:43">
      <c r="AG701" s="401"/>
      <c r="AH701" s="401"/>
      <c r="AK701" s="401"/>
      <c r="AL701" s="7"/>
      <c r="AM701" s="401"/>
      <c r="AN701" s="401"/>
      <c r="AO701" s="401"/>
      <c r="AQ701" s="401"/>
    </row>
    <row r="702" spans="33:43">
      <c r="AG702" s="401"/>
      <c r="AH702" s="401"/>
      <c r="AK702" s="401"/>
      <c r="AL702" s="7"/>
      <c r="AM702" s="401"/>
      <c r="AN702" s="401"/>
      <c r="AO702" s="401"/>
      <c r="AQ702" s="401"/>
    </row>
    <row r="703" spans="33:43">
      <c r="AG703" s="401"/>
      <c r="AH703" s="401"/>
      <c r="AK703" s="401"/>
      <c r="AL703" s="7"/>
      <c r="AM703" s="401"/>
      <c r="AN703" s="401"/>
      <c r="AO703" s="401"/>
      <c r="AQ703" s="401"/>
    </row>
    <row r="704" spans="33:43">
      <c r="AG704" s="401"/>
      <c r="AH704" s="401"/>
      <c r="AK704" s="401"/>
      <c r="AL704" s="7"/>
      <c r="AM704" s="401"/>
      <c r="AN704" s="401"/>
      <c r="AO704" s="401"/>
      <c r="AQ704" s="401"/>
    </row>
    <row r="705" spans="33:43">
      <c r="AG705" s="401"/>
      <c r="AH705" s="401"/>
      <c r="AK705" s="401"/>
      <c r="AL705" s="7"/>
      <c r="AM705" s="401"/>
      <c r="AN705" s="401"/>
      <c r="AO705" s="401"/>
      <c r="AQ705" s="401"/>
    </row>
    <row r="706" spans="33:43">
      <c r="AG706" s="401"/>
      <c r="AH706" s="401"/>
      <c r="AK706" s="401"/>
      <c r="AL706" s="7"/>
      <c r="AM706" s="401"/>
      <c r="AN706" s="401"/>
      <c r="AO706" s="401"/>
      <c r="AQ706" s="401"/>
    </row>
    <row r="707" spans="33:43">
      <c r="AG707" s="401"/>
      <c r="AH707" s="401"/>
      <c r="AK707" s="401"/>
      <c r="AL707" s="7"/>
      <c r="AM707" s="401"/>
      <c r="AN707" s="401"/>
      <c r="AO707" s="401"/>
      <c r="AQ707" s="401"/>
    </row>
    <row r="708" spans="33:43">
      <c r="AG708" s="401"/>
      <c r="AH708" s="401"/>
      <c r="AK708" s="401"/>
      <c r="AL708" s="7"/>
      <c r="AM708" s="401"/>
      <c r="AN708" s="401"/>
      <c r="AO708" s="401"/>
      <c r="AQ708" s="401"/>
    </row>
    <row r="709" spans="33:43">
      <c r="AG709" s="401"/>
      <c r="AH709" s="401"/>
      <c r="AK709" s="401"/>
      <c r="AL709" s="7"/>
      <c r="AM709" s="401"/>
      <c r="AN709" s="401"/>
      <c r="AO709" s="401"/>
      <c r="AQ709" s="401"/>
    </row>
    <row r="710" spans="33:43">
      <c r="AG710" s="401"/>
      <c r="AH710" s="401"/>
      <c r="AK710" s="401"/>
      <c r="AL710" s="7"/>
      <c r="AM710" s="401"/>
      <c r="AN710" s="401"/>
      <c r="AO710" s="401"/>
      <c r="AQ710" s="401"/>
    </row>
    <row r="711" spans="33:43">
      <c r="AG711" s="401"/>
      <c r="AH711" s="401"/>
      <c r="AK711" s="401"/>
      <c r="AL711" s="7"/>
      <c r="AM711" s="401"/>
      <c r="AN711" s="401"/>
      <c r="AO711" s="401"/>
      <c r="AQ711" s="401"/>
    </row>
    <row r="712" spans="33:43">
      <c r="AG712" s="401"/>
      <c r="AH712" s="401"/>
      <c r="AK712" s="401"/>
      <c r="AL712" s="7"/>
      <c r="AM712" s="401"/>
      <c r="AN712" s="401"/>
      <c r="AO712" s="401"/>
      <c r="AQ712" s="401"/>
    </row>
  </sheetData>
  <mergeCells count="4">
    <mergeCell ref="AF9:AS9"/>
    <mergeCell ref="AW6:BD6"/>
    <mergeCell ref="BF6:BM6"/>
    <mergeCell ref="BO6:BV6"/>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6A641-B297-4071-A739-23141F1C4BBE}">
  <sheetPr>
    <tabColor rgb="FFFFC000"/>
  </sheetPr>
  <dimension ref="H1:Z672"/>
  <sheetViews>
    <sheetView zoomScale="90" zoomScaleNormal="90" workbookViewId="0"/>
  </sheetViews>
  <sheetFormatPr defaultRowHeight="15.75"/>
  <sheetData>
    <row r="1" spans="8:26">
      <c r="W1" t="s">
        <v>954</v>
      </c>
      <c r="Y1" t="s">
        <v>1096</v>
      </c>
      <c r="Z1" t="s">
        <v>1097</v>
      </c>
    </row>
    <row r="2" spans="8:26">
      <c r="H2" t="s">
        <v>1109</v>
      </c>
      <c r="I2" t="s">
        <v>894</v>
      </c>
      <c r="J2" t="s">
        <v>873</v>
      </c>
      <c r="K2" t="s">
        <v>874</v>
      </c>
      <c r="L2" t="s">
        <v>1124</v>
      </c>
      <c r="M2" t="s">
        <v>1125</v>
      </c>
      <c r="O2" t="s">
        <v>1110</v>
      </c>
      <c r="P2" t="s">
        <v>1098</v>
      </c>
      <c r="Q2" t="s">
        <v>1095</v>
      </c>
      <c r="T2" t="s">
        <v>953</v>
      </c>
      <c r="W2">
        <v>0</v>
      </c>
      <c r="X2">
        <f>X3</f>
        <v>1909</v>
      </c>
      <c r="Y2">
        <f>X3-X2</f>
        <v>0</v>
      </c>
    </row>
    <row r="3" spans="8:26">
      <c r="H3">
        <v>1</v>
      </c>
      <c r="I3">
        <f>'Lab test'!AZ4</f>
        <v>1965</v>
      </c>
      <c r="J3">
        <f>IF('Lab test'!AU4&gt;0,'Lab test'!AU4,NA())</f>
        <v>1.0371782312925171</v>
      </c>
      <c r="K3">
        <f>IF('Lab test'!AT4&gt;0,'Lab test'!AT4,NA())</f>
        <v>0.23470631808912235</v>
      </c>
      <c r="L3">
        <f>IF(OR(ISNUMBER(J3),ISNUMBER(K3)),1,NA())</f>
        <v>1</v>
      </c>
      <c r="M3">
        <f>IF(ISNUMBER(L3),I3,NA())</f>
        <v>1965</v>
      </c>
      <c r="O3">
        <v>1</v>
      </c>
      <c r="P3" cm="1">
        <f t="array" ref="P3:P672">_xlfn._xlws.SORT(M3:M672)</f>
        <v>1909</v>
      </c>
      <c r="Q3">
        <f>O3/COUNT($O$3:$O$650)</f>
        <v>1.5432098765432098E-3</v>
      </c>
      <c r="R3" t="e">
        <f>IF(P3=P4,NA(),Q3)</f>
        <v>#N/A</v>
      </c>
      <c r="T3" t="e">
        <f>R3</f>
        <v>#N/A</v>
      </c>
      <c r="U3">
        <f>P3</f>
        <v>1909</v>
      </c>
      <c r="W3" cm="1">
        <f t="array" ref="W3:X672">_xlfn._xlws.SORT(T3:U672)</f>
        <v>2.1604938271604937E-2</v>
      </c>
      <c r="X3">
        <v>1909</v>
      </c>
      <c r="Y3">
        <f t="shared" ref="Y3:Y33" si="0">X4-X3</f>
        <v>19</v>
      </c>
      <c r="Z3">
        <f>W3-W2</f>
        <v>2.1604938271604937E-2</v>
      </c>
    </row>
    <row r="4" spans="8:26">
      <c r="H4">
        <v>2</v>
      </c>
      <c r="I4">
        <f>'Lab test'!AZ5</f>
        <v>1965</v>
      </c>
      <c r="J4">
        <f>IF('Lab test'!AU5&gt;0,'Lab test'!AU5,NA())</f>
        <v>1.0106292902066485</v>
      </c>
      <c r="K4">
        <f>IF('Lab test'!AT5&gt;0,'Lab test'!AT5,NA())</f>
        <v>0.23096977394057869</v>
      </c>
      <c r="L4">
        <f t="shared" ref="L4:L67" si="1">IF(OR(ISNUMBER(J4),ISNUMBER(K4)),1,NA())</f>
        <v>1</v>
      </c>
      <c r="M4">
        <f t="shared" ref="M4:M67" si="2">IF(ISNUMBER(L4),I4,NA())</f>
        <v>1965</v>
      </c>
      <c r="O4">
        <v>2</v>
      </c>
      <c r="P4">
        <v>1909</v>
      </c>
      <c r="Q4">
        <f t="shared" ref="Q4:Q67" si="3">O4/COUNT($O$3:$O$650)</f>
        <v>3.0864197530864196E-3</v>
      </c>
      <c r="R4" t="e">
        <f t="shared" ref="R4:R67" si="4">IF(P4=P5,NA(),Q4)</f>
        <v>#N/A</v>
      </c>
      <c r="T4" t="e">
        <f t="shared" ref="T4:T67" si="5">R4</f>
        <v>#N/A</v>
      </c>
      <c r="U4">
        <f t="shared" ref="U4:U67" si="6">P4</f>
        <v>1909</v>
      </c>
      <c r="W4">
        <v>3.5493827160493825E-2</v>
      </c>
      <c r="X4">
        <v>1928</v>
      </c>
      <c r="Y4">
        <f t="shared" si="0"/>
        <v>5</v>
      </c>
      <c r="Z4">
        <f t="shared" ref="Z4:Z34" si="7">W4-W3</f>
        <v>1.3888888888888888E-2</v>
      </c>
    </row>
    <row r="5" spans="8:26">
      <c r="H5">
        <v>3</v>
      </c>
      <c r="I5">
        <f>'Lab test'!AZ6</f>
        <v>1965</v>
      </c>
      <c r="J5">
        <f>IF('Lab test'!AU6&gt;0,'Lab test'!AU6,NA())</f>
        <v>1.0292135541008856</v>
      </c>
      <c r="K5">
        <f>IF('Lab test'!AT6&gt;0,'Lab test'!AT6,NA())</f>
        <v>0.23290396628302373</v>
      </c>
      <c r="L5">
        <f t="shared" si="1"/>
        <v>1</v>
      </c>
      <c r="M5">
        <f t="shared" si="2"/>
        <v>1965</v>
      </c>
      <c r="O5">
        <v>3</v>
      </c>
      <c r="P5">
        <v>1909</v>
      </c>
      <c r="Q5">
        <f t="shared" si="3"/>
        <v>4.6296296296296294E-3</v>
      </c>
      <c r="R5" t="e">
        <f t="shared" si="4"/>
        <v>#N/A</v>
      </c>
      <c r="T5" t="e">
        <f t="shared" si="5"/>
        <v>#N/A</v>
      </c>
      <c r="U5">
        <f t="shared" si="6"/>
        <v>1909</v>
      </c>
      <c r="W5">
        <v>0.18827160493827161</v>
      </c>
      <c r="X5">
        <v>1933</v>
      </c>
      <c r="Y5">
        <f t="shared" si="0"/>
        <v>1</v>
      </c>
      <c r="Z5">
        <f t="shared" si="7"/>
        <v>0.15277777777777779</v>
      </c>
    </row>
    <row r="6" spans="8:26">
      <c r="H6">
        <v>4</v>
      </c>
      <c r="I6">
        <f>'Lab test'!AZ7</f>
        <v>1965</v>
      </c>
      <c r="J6">
        <f>IF('Lab test'!AU7&gt;0,'Lab test'!AU7,NA())</f>
        <v>1.0548774996791168</v>
      </c>
      <c r="K6">
        <f>IF('Lab test'!AT7&gt;0,'Lab test'!AT7,NA())</f>
        <v>0.241082284074776</v>
      </c>
      <c r="L6">
        <f t="shared" si="1"/>
        <v>1</v>
      </c>
      <c r="M6">
        <f t="shared" si="2"/>
        <v>1965</v>
      </c>
      <c r="O6">
        <v>4</v>
      </c>
      <c r="P6">
        <v>1909</v>
      </c>
      <c r="Q6">
        <f t="shared" si="3"/>
        <v>6.1728395061728392E-3</v>
      </c>
      <c r="R6" t="e">
        <f t="shared" si="4"/>
        <v>#N/A</v>
      </c>
      <c r="T6" t="e">
        <f t="shared" si="5"/>
        <v>#N/A</v>
      </c>
      <c r="U6">
        <f t="shared" si="6"/>
        <v>1909</v>
      </c>
      <c r="W6">
        <v>0.28703703703703703</v>
      </c>
      <c r="X6">
        <v>1934</v>
      </c>
      <c r="Y6">
        <f t="shared" si="0"/>
        <v>3</v>
      </c>
      <c r="Z6">
        <f t="shared" si="7"/>
        <v>9.8765432098765427E-2</v>
      </c>
    </row>
    <row r="7" spans="8:26">
      <c r="H7">
        <v>5</v>
      </c>
      <c r="I7">
        <f>'Lab test'!AZ8</f>
        <v>1965</v>
      </c>
      <c r="J7">
        <f>IF('Lab test'!AU8&gt;0,'Lab test'!AU8,NA())</f>
        <v>1.0283285842638943</v>
      </c>
      <c r="K7">
        <f>IF('Lab test'!AT8&gt;0,'Lab test'!AT8,NA())</f>
        <v>0.23501478034097101</v>
      </c>
      <c r="L7">
        <f t="shared" si="1"/>
        <v>1</v>
      </c>
      <c r="M7">
        <f t="shared" si="2"/>
        <v>1965</v>
      </c>
      <c r="O7">
        <v>5</v>
      </c>
      <c r="P7">
        <v>1909</v>
      </c>
      <c r="Q7">
        <f t="shared" si="3"/>
        <v>7.716049382716049E-3</v>
      </c>
      <c r="R7" t="e">
        <f t="shared" si="4"/>
        <v>#N/A</v>
      </c>
      <c r="T7" t="e">
        <f t="shared" si="5"/>
        <v>#N/A</v>
      </c>
      <c r="U7">
        <f t="shared" si="6"/>
        <v>1909</v>
      </c>
      <c r="W7">
        <v>0.31172839506172839</v>
      </c>
      <c r="X7">
        <v>1937</v>
      </c>
      <c r="Y7">
        <f t="shared" si="0"/>
        <v>1</v>
      </c>
      <c r="Z7">
        <f t="shared" si="7"/>
        <v>2.4691358024691357E-2</v>
      </c>
    </row>
    <row r="8" spans="8:26">
      <c r="H8">
        <v>6</v>
      </c>
      <c r="I8">
        <f>'Lab test'!AZ9</f>
        <v>1965</v>
      </c>
      <c r="J8">
        <f>IF('Lab test'!AU9&gt;0,'Lab test'!AU9,NA())</f>
        <v>1.0300984982672314</v>
      </c>
      <c r="K8">
        <f>IF('Lab test'!AT9&gt;0,'Lab test'!AT9,NA())</f>
        <v>0.23648774618483362</v>
      </c>
      <c r="L8">
        <f t="shared" si="1"/>
        <v>1</v>
      </c>
      <c r="M8">
        <f t="shared" si="2"/>
        <v>1965</v>
      </c>
      <c r="O8">
        <v>6</v>
      </c>
      <c r="P8">
        <v>1909</v>
      </c>
      <c r="Q8">
        <f t="shared" si="3"/>
        <v>9.2592592592592587E-3</v>
      </c>
      <c r="R8" t="e">
        <f t="shared" si="4"/>
        <v>#N/A</v>
      </c>
      <c r="T8" t="e">
        <f t="shared" si="5"/>
        <v>#N/A</v>
      </c>
      <c r="U8">
        <f t="shared" si="6"/>
        <v>1909</v>
      </c>
      <c r="W8">
        <v>0.3888888888888889</v>
      </c>
      <c r="X8">
        <v>1938</v>
      </c>
      <c r="Y8">
        <f t="shared" si="0"/>
        <v>1</v>
      </c>
      <c r="Z8">
        <f t="shared" si="7"/>
        <v>7.7160493827160503E-2</v>
      </c>
    </row>
    <row r="9" spans="8:26">
      <c r="H9">
        <v>7</v>
      </c>
      <c r="I9">
        <f>'Lab test'!AZ10</f>
        <v>1965</v>
      </c>
      <c r="J9">
        <f>IF('Lab test'!AU10&gt;0,'Lab test'!AU10,NA())</f>
        <v>1.0300984982672314</v>
      </c>
      <c r="K9">
        <f>IF('Lab test'!AT10&gt;0,'Lab test'!AT10,NA())</f>
        <v>0.23693291615148723</v>
      </c>
      <c r="L9">
        <f t="shared" si="1"/>
        <v>1</v>
      </c>
      <c r="M9">
        <f t="shared" si="2"/>
        <v>1965</v>
      </c>
      <c r="O9">
        <v>7</v>
      </c>
      <c r="P9">
        <v>1909</v>
      </c>
      <c r="Q9">
        <f t="shared" si="3"/>
        <v>1.0802469135802469E-2</v>
      </c>
      <c r="R9" t="e">
        <f t="shared" si="4"/>
        <v>#N/A</v>
      </c>
      <c r="T9" t="e">
        <f t="shared" si="5"/>
        <v>#N/A</v>
      </c>
      <c r="U9">
        <f t="shared" si="6"/>
        <v>1909</v>
      </c>
      <c r="W9">
        <v>0.51851851851851849</v>
      </c>
      <c r="X9">
        <v>1939</v>
      </c>
      <c r="Y9">
        <f t="shared" si="0"/>
        <v>11</v>
      </c>
      <c r="Z9">
        <f t="shared" si="7"/>
        <v>0.12962962962962959</v>
      </c>
    </row>
    <row r="10" spans="8:26">
      <c r="H10">
        <v>8</v>
      </c>
      <c r="I10">
        <f>'Lab test'!AZ11</f>
        <v>1965</v>
      </c>
      <c r="J10">
        <f>IF('Lab test'!AU11&gt;0,'Lab test'!AU11,NA())</f>
        <v>1.0543465280451803</v>
      </c>
      <c r="K10">
        <f>IF('Lab test'!AT11&gt;0,'Lab test'!AT11,NA())</f>
        <v>0.23640414346969585</v>
      </c>
      <c r="L10">
        <f t="shared" si="1"/>
        <v>1</v>
      </c>
      <c r="M10">
        <f t="shared" si="2"/>
        <v>1965</v>
      </c>
      <c r="O10">
        <v>8</v>
      </c>
      <c r="P10">
        <v>1909</v>
      </c>
      <c r="Q10">
        <f t="shared" si="3"/>
        <v>1.2345679012345678E-2</v>
      </c>
      <c r="R10" t="e">
        <f t="shared" si="4"/>
        <v>#N/A</v>
      </c>
      <c r="T10" t="e">
        <f t="shared" si="5"/>
        <v>#N/A</v>
      </c>
      <c r="U10">
        <f t="shared" si="6"/>
        <v>1909</v>
      </c>
      <c r="W10">
        <v>0.5570987654320988</v>
      </c>
      <c r="X10">
        <v>1950</v>
      </c>
      <c r="Y10">
        <f t="shared" si="0"/>
        <v>1</v>
      </c>
      <c r="Z10">
        <f t="shared" si="7"/>
        <v>3.8580246913580307E-2</v>
      </c>
    </row>
    <row r="11" spans="8:26">
      <c r="H11">
        <v>9</v>
      </c>
      <c r="I11">
        <f>'Lab test'!AZ12</f>
        <v>1965</v>
      </c>
      <c r="J11">
        <f>IF('Lab test'!AU12&gt;0,'Lab test'!AU12,NA())</f>
        <v>1.040010114234373</v>
      </c>
      <c r="K11">
        <f>IF('Lab test'!AT12&gt;0,'Lab test'!AT12,NA())</f>
        <v>0.23265028588647044</v>
      </c>
      <c r="L11">
        <f t="shared" si="1"/>
        <v>1</v>
      </c>
      <c r="M11">
        <f t="shared" si="2"/>
        <v>1965</v>
      </c>
      <c r="O11">
        <v>9</v>
      </c>
      <c r="P11">
        <v>1909</v>
      </c>
      <c r="Q11">
        <f t="shared" si="3"/>
        <v>1.3888888888888888E-2</v>
      </c>
      <c r="R11" t="e">
        <f t="shared" si="4"/>
        <v>#N/A</v>
      </c>
      <c r="T11" t="e">
        <f t="shared" si="5"/>
        <v>#N/A</v>
      </c>
      <c r="U11">
        <f t="shared" si="6"/>
        <v>1909</v>
      </c>
      <c r="W11">
        <v>0.55864197530864201</v>
      </c>
      <c r="X11">
        <v>1951</v>
      </c>
      <c r="Y11">
        <f t="shared" si="0"/>
        <v>1</v>
      </c>
      <c r="Z11">
        <f t="shared" si="7"/>
        <v>1.5432098765432167E-3</v>
      </c>
    </row>
    <row r="12" spans="8:26">
      <c r="H12">
        <v>10</v>
      </c>
      <c r="I12">
        <f>'Lab test'!AZ13</f>
        <v>1965</v>
      </c>
      <c r="J12" t="e">
        <f>IF('Lab test'!AU13&gt;0,'Lab test'!AU13,NA())</f>
        <v>#N/A</v>
      </c>
      <c r="K12" t="e">
        <f>IF('Lab test'!AT13&gt;0,'Lab test'!AT13,NA())</f>
        <v>#N/A</v>
      </c>
      <c r="L12" t="e">
        <f t="shared" si="1"/>
        <v>#N/A</v>
      </c>
      <c r="M12" t="e">
        <f t="shared" si="2"/>
        <v>#N/A</v>
      </c>
      <c r="O12">
        <v>10</v>
      </c>
      <c r="P12">
        <v>1909</v>
      </c>
      <c r="Q12">
        <f t="shared" si="3"/>
        <v>1.5432098765432098E-2</v>
      </c>
      <c r="R12" t="e">
        <f t="shared" si="4"/>
        <v>#N/A</v>
      </c>
      <c r="T12" t="e">
        <f t="shared" si="5"/>
        <v>#N/A</v>
      </c>
      <c r="U12">
        <f t="shared" si="6"/>
        <v>1909</v>
      </c>
      <c r="W12">
        <v>0.5679012345679012</v>
      </c>
      <c r="X12">
        <v>1952</v>
      </c>
      <c r="Y12">
        <f t="shared" si="0"/>
        <v>5</v>
      </c>
      <c r="Z12">
        <f t="shared" si="7"/>
        <v>9.2592592592591894E-3</v>
      </c>
    </row>
    <row r="13" spans="8:26">
      <c r="H13">
        <v>11</v>
      </c>
      <c r="I13">
        <f>'Lab test'!AZ14</f>
        <v>1965</v>
      </c>
      <c r="J13">
        <f>IF('Lab test'!AU14&gt;0,'Lab test'!AU14,NA())</f>
        <v>0.5846074444872289</v>
      </c>
      <c r="K13">
        <f>IF('Lab test'!AT14&gt;0,'Lab test'!AT14,NA())</f>
        <v>0.57889405009843753</v>
      </c>
      <c r="L13">
        <f t="shared" si="1"/>
        <v>1</v>
      </c>
      <c r="M13">
        <f t="shared" si="2"/>
        <v>1965</v>
      </c>
      <c r="O13">
        <v>11</v>
      </c>
      <c r="P13">
        <v>1909</v>
      </c>
      <c r="Q13">
        <f t="shared" si="3"/>
        <v>1.6975308641975308E-2</v>
      </c>
      <c r="R13" t="e">
        <f t="shared" si="4"/>
        <v>#N/A</v>
      </c>
      <c r="T13" t="e">
        <f t="shared" si="5"/>
        <v>#N/A</v>
      </c>
      <c r="U13">
        <f t="shared" si="6"/>
        <v>1909</v>
      </c>
      <c r="W13">
        <v>0.58950617283950613</v>
      </c>
      <c r="X13">
        <v>1957</v>
      </c>
      <c r="Y13">
        <f t="shared" si="0"/>
        <v>2</v>
      </c>
      <c r="Z13">
        <f t="shared" si="7"/>
        <v>2.1604938271604923E-2</v>
      </c>
    </row>
    <row r="14" spans="8:26">
      <c r="H14">
        <v>12</v>
      </c>
      <c r="I14">
        <f>'Lab test'!AZ15</f>
        <v>1965</v>
      </c>
      <c r="J14">
        <f>IF('Lab test'!AU15&gt;0,'Lab test'!AU15,NA())</f>
        <v>0.56230635348479008</v>
      </c>
      <c r="K14">
        <f>IF('Lab test'!AT15&gt;0,'Lab test'!AT15,NA())</f>
        <v>0.56677480467050978</v>
      </c>
      <c r="L14">
        <f t="shared" si="1"/>
        <v>1</v>
      </c>
      <c r="M14">
        <f t="shared" si="2"/>
        <v>1965</v>
      </c>
      <c r="O14">
        <v>12</v>
      </c>
      <c r="P14">
        <v>1909</v>
      </c>
      <c r="Q14">
        <f t="shared" si="3"/>
        <v>1.8518518518518517E-2</v>
      </c>
      <c r="R14" t="e">
        <f t="shared" si="4"/>
        <v>#N/A</v>
      </c>
      <c r="T14" t="e">
        <f t="shared" si="5"/>
        <v>#N/A</v>
      </c>
      <c r="U14">
        <f t="shared" si="6"/>
        <v>1909</v>
      </c>
      <c r="W14">
        <v>0.59413580246913578</v>
      </c>
      <c r="X14">
        <v>1959</v>
      </c>
      <c r="Y14">
        <f t="shared" si="0"/>
        <v>1</v>
      </c>
      <c r="Z14">
        <f t="shared" si="7"/>
        <v>4.6296296296296502E-3</v>
      </c>
    </row>
    <row r="15" spans="8:26">
      <c r="H15">
        <v>13</v>
      </c>
      <c r="I15">
        <f>'Lab test'!AZ16</f>
        <v>1965</v>
      </c>
      <c r="J15">
        <f>IF('Lab test'!AU16&gt;0,'Lab test'!AU16,NA())</f>
        <v>0.63009462199974331</v>
      </c>
      <c r="K15">
        <f>IF('Lab test'!AT16&gt;0,'Lab test'!AT16,NA())</f>
        <v>0.61870822690062544</v>
      </c>
      <c r="L15">
        <f t="shared" si="1"/>
        <v>1</v>
      </c>
      <c r="M15">
        <f t="shared" si="2"/>
        <v>1965</v>
      </c>
      <c r="O15">
        <v>13</v>
      </c>
      <c r="P15">
        <v>1909</v>
      </c>
      <c r="Q15">
        <f t="shared" si="3"/>
        <v>2.0061728395061727E-2</v>
      </c>
      <c r="R15" t="e">
        <f t="shared" si="4"/>
        <v>#N/A</v>
      </c>
      <c r="T15" t="e">
        <f t="shared" si="5"/>
        <v>#N/A</v>
      </c>
      <c r="U15">
        <f t="shared" si="6"/>
        <v>1909</v>
      </c>
      <c r="W15">
        <v>0.6157407407407407</v>
      </c>
      <c r="X15">
        <v>1960</v>
      </c>
      <c r="Y15">
        <f t="shared" si="0"/>
        <v>2</v>
      </c>
      <c r="Z15">
        <f t="shared" si="7"/>
        <v>2.1604938271604923E-2</v>
      </c>
    </row>
    <row r="16" spans="8:26">
      <c r="H16">
        <v>14</v>
      </c>
      <c r="I16">
        <f>'Lab test'!AZ17</f>
        <v>1965</v>
      </c>
      <c r="J16">
        <f>IF('Lab test'!AU17&gt;0,'Lab test'!AU17,NA())</f>
        <v>0.5877933256321396</v>
      </c>
      <c r="K16">
        <f>IF('Lab test'!AT17&gt;0,'Lab test'!AT17,NA())</f>
        <v>0.6160389674554354</v>
      </c>
      <c r="L16">
        <f t="shared" si="1"/>
        <v>1</v>
      </c>
      <c r="M16">
        <f t="shared" si="2"/>
        <v>1965</v>
      </c>
      <c r="O16">
        <v>14</v>
      </c>
      <c r="P16">
        <v>1909</v>
      </c>
      <c r="Q16">
        <f t="shared" si="3"/>
        <v>2.1604938271604937E-2</v>
      </c>
      <c r="R16">
        <f t="shared" si="4"/>
        <v>2.1604938271604937E-2</v>
      </c>
      <c r="T16">
        <f t="shared" si="5"/>
        <v>2.1604938271604937E-2</v>
      </c>
      <c r="U16">
        <f t="shared" si="6"/>
        <v>1909</v>
      </c>
      <c r="W16">
        <v>0.63734567901234573</v>
      </c>
      <c r="X16">
        <v>1962</v>
      </c>
      <c r="Y16">
        <f t="shared" si="0"/>
        <v>2</v>
      </c>
      <c r="Z16">
        <f t="shared" si="7"/>
        <v>2.1604938271605034E-2</v>
      </c>
    </row>
    <row r="17" spans="8:26">
      <c r="H17">
        <v>15</v>
      </c>
      <c r="I17">
        <f>'Lab test'!AZ18</f>
        <v>1965</v>
      </c>
      <c r="J17">
        <f>IF('Lab test'!AU18&gt;0,'Lab test'!AU18,NA())</f>
        <v>1.2324013605442177</v>
      </c>
      <c r="K17">
        <f>IF('Lab test'!AT18&gt;0,'Lab test'!AT18,NA())</f>
        <v>0.10332983595783488</v>
      </c>
      <c r="L17">
        <f t="shared" si="1"/>
        <v>1</v>
      </c>
      <c r="M17">
        <f t="shared" si="2"/>
        <v>1965</v>
      </c>
      <c r="O17">
        <v>15</v>
      </c>
      <c r="P17">
        <v>1928</v>
      </c>
      <c r="Q17">
        <f t="shared" si="3"/>
        <v>2.3148148148148147E-2</v>
      </c>
      <c r="R17" t="e">
        <f t="shared" si="4"/>
        <v>#N/A</v>
      </c>
      <c r="T17" t="e">
        <f t="shared" si="5"/>
        <v>#N/A</v>
      </c>
      <c r="U17">
        <f t="shared" si="6"/>
        <v>1928</v>
      </c>
      <c r="W17">
        <v>0.67592592592592593</v>
      </c>
      <c r="X17">
        <v>1964</v>
      </c>
      <c r="Y17">
        <f t="shared" si="0"/>
        <v>1</v>
      </c>
      <c r="Z17">
        <f t="shared" si="7"/>
        <v>3.8580246913580196E-2</v>
      </c>
    </row>
    <row r="18" spans="8:26">
      <c r="H18">
        <v>16</v>
      </c>
      <c r="I18">
        <f>'Lab test'!AZ19</f>
        <v>1965</v>
      </c>
      <c r="J18">
        <f>IF('Lab test'!AU19&gt;0,'Lab test'!AU19,NA())</f>
        <v>1.1347012963676038</v>
      </c>
      <c r="K18">
        <f>IF('Lab test'!AT19&gt;0,'Lab test'!AT19,NA())</f>
        <v>0.13750907512604812</v>
      </c>
      <c r="L18">
        <f t="shared" si="1"/>
        <v>1</v>
      </c>
      <c r="M18">
        <f t="shared" si="2"/>
        <v>1965</v>
      </c>
      <c r="O18">
        <v>16</v>
      </c>
      <c r="P18">
        <v>1928</v>
      </c>
      <c r="Q18">
        <f t="shared" si="3"/>
        <v>2.4691358024691357E-2</v>
      </c>
      <c r="R18" t="e">
        <f t="shared" si="4"/>
        <v>#N/A</v>
      </c>
      <c r="T18" t="e">
        <f t="shared" si="5"/>
        <v>#N/A</v>
      </c>
      <c r="U18">
        <f t="shared" si="6"/>
        <v>1928</v>
      </c>
      <c r="W18">
        <v>0.72376543209876543</v>
      </c>
      <c r="X18">
        <v>1965</v>
      </c>
      <c r="Y18">
        <f t="shared" si="0"/>
        <v>2</v>
      </c>
      <c r="Z18">
        <f t="shared" si="7"/>
        <v>4.7839506172839497E-2</v>
      </c>
    </row>
    <row r="19" spans="8:26">
      <c r="H19">
        <v>17</v>
      </c>
      <c r="I19">
        <f>'Lab test'!AZ20</f>
        <v>1965</v>
      </c>
      <c r="J19">
        <f>IF('Lab test'!AU20&gt;0,'Lab test'!AU20,NA())</f>
        <v>1.0899220895905533</v>
      </c>
      <c r="K19">
        <f>IF('Lab test'!AT20&gt;0,'Lab test'!AT20,NA())</f>
        <v>0.1856880104494715</v>
      </c>
      <c r="L19">
        <f t="shared" si="1"/>
        <v>1</v>
      </c>
      <c r="M19">
        <f t="shared" si="2"/>
        <v>1965</v>
      </c>
      <c r="O19">
        <v>17</v>
      </c>
      <c r="P19">
        <v>1928</v>
      </c>
      <c r="Q19">
        <f t="shared" si="3"/>
        <v>2.6234567901234566E-2</v>
      </c>
      <c r="R19" t="e">
        <f t="shared" si="4"/>
        <v>#N/A</v>
      </c>
      <c r="T19" t="e">
        <f t="shared" si="5"/>
        <v>#N/A</v>
      </c>
      <c r="U19">
        <f t="shared" si="6"/>
        <v>1928</v>
      </c>
      <c r="W19">
        <v>0.77160493827160492</v>
      </c>
      <c r="X19">
        <v>1967</v>
      </c>
      <c r="Y19">
        <f t="shared" si="0"/>
        <v>1</v>
      </c>
      <c r="Z19">
        <f t="shared" si="7"/>
        <v>4.7839506172839497E-2</v>
      </c>
    </row>
    <row r="20" spans="8:26">
      <c r="H20">
        <v>18</v>
      </c>
      <c r="I20">
        <f>'Lab test'!AZ21</f>
        <v>1965</v>
      </c>
      <c r="J20">
        <f>IF('Lab test'!AU21&gt;0,'Lab test'!AU21,NA())</f>
        <v>0.98213343601591574</v>
      </c>
      <c r="K20">
        <f>IF('Lab test'!AT21&gt;0,'Lab test'!AT21,NA())</f>
        <v>0.37938721618464943</v>
      </c>
      <c r="L20">
        <f t="shared" si="1"/>
        <v>1</v>
      </c>
      <c r="M20">
        <f t="shared" si="2"/>
        <v>1965</v>
      </c>
      <c r="O20">
        <v>18</v>
      </c>
      <c r="P20">
        <v>1928</v>
      </c>
      <c r="Q20">
        <f t="shared" si="3"/>
        <v>2.7777777777777776E-2</v>
      </c>
      <c r="R20" t="e">
        <f t="shared" si="4"/>
        <v>#N/A</v>
      </c>
      <c r="T20" t="e">
        <f t="shared" si="5"/>
        <v>#N/A</v>
      </c>
      <c r="U20">
        <f t="shared" si="6"/>
        <v>1928</v>
      </c>
      <c r="W20">
        <v>0.78395061728395066</v>
      </c>
      <c r="X20">
        <v>1968</v>
      </c>
      <c r="Y20">
        <f t="shared" si="0"/>
        <v>3</v>
      </c>
      <c r="Z20">
        <f t="shared" si="7"/>
        <v>1.2345679012345734E-2</v>
      </c>
    </row>
    <row r="21" spans="8:26">
      <c r="H21">
        <v>19</v>
      </c>
      <c r="I21">
        <f>'Lab test'!AZ22</f>
        <v>1965</v>
      </c>
      <c r="J21">
        <f>IF('Lab test'!AU22&gt;0,'Lab test'!AU22,NA())</f>
        <v>0.90938937235271466</v>
      </c>
      <c r="K21">
        <f>IF('Lab test'!AT22&gt;0,'Lab test'!AT22,NA())</f>
        <v>0.44427694734093015</v>
      </c>
      <c r="L21">
        <f t="shared" si="1"/>
        <v>1</v>
      </c>
      <c r="M21">
        <f t="shared" si="2"/>
        <v>1965</v>
      </c>
      <c r="O21">
        <v>19</v>
      </c>
      <c r="P21">
        <v>1928</v>
      </c>
      <c r="Q21">
        <f t="shared" si="3"/>
        <v>2.9320987654320986E-2</v>
      </c>
      <c r="R21" t="e">
        <f t="shared" si="4"/>
        <v>#N/A</v>
      </c>
      <c r="T21" t="e">
        <f t="shared" si="5"/>
        <v>#N/A</v>
      </c>
      <c r="U21">
        <f t="shared" si="6"/>
        <v>1928</v>
      </c>
      <c r="W21">
        <v>0.8070987654320988</v>
      </c>
      <c r="X21">
        <v>1971</v>
      </c>
      <c r="Y21">
        <f t="shared" si="0"/>
        <v>1</v>
      </c>
      <c r="Z21">
        <f t="shared" si="7"/>
        <v>2.314814814814814E-2</v>
      </c>
    </row>
    <row r="22" spans="8:26">
      <c r="H22">
        <v>20</v>
      </c>
      <c r="I22">
        <f>'Lab test'!AZ23</f>
        <v>1965</v>
      </c>
      <c r="J22">
        <f>IF('Lab test'!AU23&gt;0,'Lab test'!AU23,NA())</f>
        <v>0.777883660634065</v>
      </c>
      <c r="K22">
        <f>IF('Lab test'!AT23&gt;0,'Lab test'!AT23,NA())</f>
        <v>0.60063939738644889</v>
      </c>
      <c r="L22">
        <f t="shared" si="1"/>
        <v>1</v>
      </c>
      <c r="M22">
        <f t="shared" si="2"/>
        <v>1965</v>
      </c>
      <c r="O22">
        <v>20</v>
      </c>
      <c r="P22">
        <v>1928</v>
      </c>
      <c r="Q22">
        <f t="shared" si="3"/>
        <v>3.0864197530864196E-2</v>
      </c>
      <c r="R22" t="e">
        <f t="shared" si="4"/>
        <v>#N/A</v>
      </c>
      <c r="T22" t="e">
        <f t="shared" si="5"/>
        <v>#N/A</v>
      </c>
      <c r="U22">
        <f t="shared" si="6"/>
        <v>1928</v>
      </c>
      <c r="W22">
        <v>0.83024691358024694</v>
      </c>
      <c r="X22">
        <v>1972</v>
      </c>
      <c r="Y22">
        <f t="shared" si="0"/>
        <v>5</v>
      </c>
      <c r="Z22">
        <f t="shared" si="7"/>
        <v>2.314814814814814E-2</v>
      </c>
    </row>
    <row r="23" spans="8:26">
      <c r="H23">
        <v>21</v>
      </c>
      <c r="I23">
        <f>'Lab test'!AZ24</f>
        <v>1965</v>
      </c>
      <c r="J23">
        <f>IF('Lab test'!AU24&gt;0,'Lab test'!AU24,NA())</f>
        <v>1.2389500962649211</v>
      </c>
      <c r="K23">
        <f>IF('Lab test'!AT24&gt;0,'Lab test'!AT24,NA())</f>
        <v>0.10452144329222224</v>
      </c>
      <c r="L23">
        <f t="shared" si="1"/>
        <v>1</v>
      </c>
      <c r="M23">
        <f t="shared" si="2"/>
        <v>1965</v>
      </c>
      <c r="O23">
        <v>21</v>
      </c>
      <c r="P23">
        <v>1928</v>
      </c>
      <c r="Q23">
        <f t="shared" si="3"/>
        <v>3.2407407407407406E-2</v>
      </c>
      <c r="R23" t="e">
        <f t="shared" si="4"/>
        <v>#N/A</v>
      </c>
      <c r="T23" t="e">
        <f t="shared" si="5"/>
        <v>#N/A</v>
      </c>
      <c r="U23">
        <f t="shared" si="6"/>
        <v>1928</v>
      </c>
      <c r="W23">
        <v>0.86882716049382713</v>
      </c>
      <c r="X23">
        <v>1977</v>
      </c>
      <c r="Y23">
        <f t="shared" si="0"/>
        <v>1</v>
      </c>
      <c r="Z23">
        <f t="shared" si="7"/>
        <v>3.8580246913580196E-2</v>
      </c>
    </row>
    <row r="24" spans="8:26">
      <c r="H24">
        <v>22</v>
      </c>
      <c r="I24">
        <f>'Lab test'!AZ25</f>
        <v>1965</v>
      </c>
      <c r="J24">
        <f>IF('Lab test'!AU25&gt;0,'Lab test'!AU25,NA())</f>
        <v>1.2269145937620329</v>
      </c>
      <c r="K24">
        <f>IF('Lab test'!AT25&gt;0,'Lab test'!AT25,NA())</f>
        <v>0.10350609438872335</v>
      </c>
      <c r="L24">
        <f t="shared" si="1"/>
        <v>1</v>
      </c>
      <c r="M24">
        <f t="shared" si="2"/>
        <v>1965</v>
      </c>
      <c r="O24">
        <v>22</v>
      </c>
      <c r="P24">
        <v>1928</v>
      </c>
      <c r="Q24">
        <f t="shared" si="3"/>
        <v>3.3950617283950615E-2</v>
      </c>
      <c r="R24" t="e">
        <f t="shared" si="4"/>
        <v>#N/A</v>
      </c>
      <c r="T24" t="e">
        <f t="shared" si="5"/>
        <v>#N/A</v>
      </c>
      <c r="U24">
        <f t="shared" si="6"/>
        <v>1928</v>
      </c>
      <c r="W24">
        <v>0.87345679012345678</v>
      </c>
      <c r="X24">
        <v>1978</v>
      </c>
      <c r="Y24">
        <f t="shared" si="0"/>
        <v>2</v>
      </c>
      <c r="Z24">
        <f t="shared" si="7"/>
        <v>4.6296296296296502E-3</v>
      </c>
    </row>
    <row r="25" spans="8:26">
      <c r="H25">
        <v>23</v>
      </c>
      <c r="I25">
        <f>'Lab test'!AZ26</f>
        <v>1965</v>
      </c>
      <c r="J25">
        <f>IF('Lab test'!AU26&gt;0,'Lab test'!AU26,NA())</f>
        <v>1.236118213323065</v>
      </c>
      <c r="K25">
        <f>IF('Lab test'!AT26&gt;0,'Lab test'!AT26,NA())</f>
        <v>0.10428253738857871</v>
      </c>
      <c r="L25">
        <f t="shared" si="1"/>
        <v>1</v>
      </c>
      <c r="M25">
        <f t="shared" si="2"/>
        <v>1965</v>
      </c>
      <c r="O25">
        <v>23</v>
      </c>
      <c r="P25">
        <v>1928</v>
      </c>
      <c r="Q25">
        <f t="shared" si="3"/>
        <v>3.5493827160493825E-2</v>
      </c>
      <c r="R25">
        <f t="shared" si="4"/>
        <v>3.5493827160493825E-2</v>
      </c>
      <c r="T25">
        <f t="shared" si="5"/>
        <v>3.5493827160493825E-2</v>
      </c>
      <c r="U25">
        <f t="shared" si="6"/>
        <v>1928</v>
      </c>
      <c r="W25">
        <v>0.88888888888888884</v>
      </c>
      <c r="X25">
        <v>1980</v>
      </c>
      <c r="Y25">
        <f t="shared" si="0"/>
        <v>2</v>
      </c>
      <c r="Z25">
        <f t="shared" si="7"/>
        <v>1.5432098765432056E-2</v>
      </c>
    </row>
    <row r="26" spans="8:26">
      <c r="H26">
        <v>24</v>
      </c>
      <c r="I26">
        <f>'Lab test'!AZ27</f>
        <v>1965</v>
      </c>
      <c r="J26" t="e">
        <f>IF('Lab test'!AU27&gt;0,'Lab test'!AU27,NA())</f>
        <v>#N/A</v>
      </c>
      <c r="K26" t="e">
        <f>IF('Lab test'!AT27&gt;0,'Lab test'!AT27,NA())</f>
        <v>#N/A</v>
      </c>
      <c r="L26" t="e">
        <f t="shared" si="1"/>
        <v>#N/A</v>
      </c>
      <c r="M26" t="e">
        <f t="shared" si="2"/>
        <v>#N/A</v>
      </c>
      <c r="O26">
        <v>24</v>
      </c>
      <c r="P26">
        <v>1933</v>
      </c>
      <c r="Q26">
        <f t="shared" si="3"/>
        <v>3.7037037037037035E-2</v>
      </c>
      <c r="R26" t="e">
        <f t="shared" si="4"/>
        <v>#N/A</v>
      </c>
      <c r="T26" t="e">
        <f t="shared" si="5"/>
        <v>#N/A</v>
      </c>
      <c r="U26">
        <f t="shared" si="6"/>
        <v>1933</v>
      </c>
      <c r="W26">
        <v>0.89660493827160492</v>
      </c>
      <c r="X26">
        <v>1982</v>
      </c>
      <c r="Y26">
        <f t="shared" si="0"/>
        <v>3</v>
      </c>
      <c r="Z26">
        <f t="shared" si="7"/>
        <v>7.7160493827160836E-3</v>
      </c>
    </row>
    <row r="27" spans="8:26">
      <c r="H27">
        <v>25</v>
      </c>
      <c r="I27">
        <f>'Lab test'!AZ28</f>
        <v>1965</v>
      </c>
      <c r="J27">
        <f>IF('Lab test'!AU28&gt;0,'Lab test'!AU28,NA())</f>
        <v>1.1290375304838918</v>
      </c>
      <c r="K27">
        <f>IF('Lab test'!AT28&gt;0,'Lab test'!AT28,NA())</f>
        <v>0.13594438346449247</v>
      </c>
      <c r="L27">
        <f t="shared" si="1"/>
        <v>1</v>
      </c>
      <c r="M27">
        <f t="shared" si="2"/>
        <v>1965</v>
      </c>
      <c r="O27">
        <v>25</v>
      </c>
      <c r="P27">
        <v>1933</v>
      </c>
      <c r="Q27">
        <f t="shared" si="3"/>
        <v>3.8580246913580245E-2</v>
      </c>
      <c r="R27" t="e">
        <f t="shared" si="4"/>
        <v>#N/A</v>
      </c>
      <c r="T27" t="e">
        <f t="shared" si="5"/>
        <v>#N/A</v>
      </c>
      <c r="U27">
        <f t="shared" si="6"/>
        <v>1933</v>
      </c>
      <c r="W27">
        <v>0.9135802469135802</v>
      </c>
      <c r="X27">
        <v>1985</v>
      </c>
      <c r="Y27">
        <f t="shared" si="0"/>
        <v>2</v>
      </c>
      <c r="Z27">
        <f t="shared" si="7"/>
        <v>1.6975308641975273E-2</v>
      </c>
    </row>
    <row r="28" spans="8:26">
      <c r="H28">
        <v>26</v>
      </c>
      <c r="I28">
        <f>'Lab test'!AZ29</f>
        <v>1965</v>
      </c>
      <c r="J28">
        <f>IF('Lab test'!AU29&gt;0,'Lab test'!AU29,NA())</f>
        <v>1.0881521755872159</v>
      </c>
      <c r="K28">
        <f>IF('Lab test'!AT29&gt;0,'Lab test'!AT29,NA())</f>
        <v>0.18491617869933433</v>
      </c>
      <c r="L28">
        <f t="shared" si="1"/>
        <v>1</v>
      </c>
      <c r="M28">
        <f t="shared" si="2"/>
        <v>1965</v>
      </c>
      <c r="O28">
        <v>26</v>
      </c>
      <c r="P28">
        <v>1933</v>
      </c>
      <c r="Q28">
        <f t="shared" si="3"/>
        <v>4.0123456790123455E-2</v>
      </c>
      <c r="R28" t="e">
        <f t="shared" si="4"/>
        <v>#N/A</v>
      </c>
      <c r="T28" t="e">
        <f t="shared" si="5"/>
        <v>#N/A</v>
      </c>
      <c r="U28">
        <f t="shared" si="6"/>
        <v>1933</v>
      </c>
      <c r="W28">
        <v>0.91975308641975306</v>
      </c>
      <c r="X28">
        <v>1987</v>
      </c>
      <c r="Y28">
        <f t="shared" si="0"/>
        <v>17</v>
      </c>
      <c r="Z28">
        <f t="shared" si="7"/>
        <v>6.1728395061728669E-3</v>
      </c>
    </row>
    <row r="29" spans="8:26">
      <c r="H29">
        <v>27</v>
      </c>
      <c r="I29">
        <f>'Lab test'!AZ30</f>
        <v>1965</v>
      </c>
      <c r="J29">
        <f>IF('Lab test'!AU30&gt;0,'Lab test'!AU30,NA())</f>
        <v>0.9447879347965602</v>
      </c>
      <c r="K29">
        <f>IF('Lab test'!AT30&gt;0,'Lab test'!AT30,NA())</f>
        <v>0.3608777315798819</v>
      </c>
      <c r="L29">
        <f t="shared" si="1"/>
        <v>1</v>
      </c>
      <c r="M29">
        <f t="shared" si="2"/>
        <v>1965</v>
      </c>
      <c r="O29">
        <v>27</v>
      </c>
      <c r="P29">
        <v>1933</v>
      </c>
      <c r="Q29">
        <f t="shared" si="3"/>
        <v>4.1666666666666664E-2</v>
      </c>
      <c r="R29" t="e">
        <f t="shared" si="4"/>
        <v>#N/A</v>
      </c>
      <c r="T29" t="e">
        <f t="shared" si="5"/>
        <v>#N/A</v>
      </c>
      <c r="U29">
        <f t="shared" si="6"/>
        <v>1933</v>
      </c>
      <c r="W29">
        <v>0.93827160493827155</v>
      </c>
      <c r="X29">
        <v>2004</v>
      </c>
      <c r="Y29">
        <f t="shared" si="0"/>
        <v>11</v>
      </c>
      <c r="Z29">
        <f t="shared" si="7"/>
        <v>1.851851851851849E-2</v>
      </c>
    </row>
    <row r="30" spans="8:26">
      <c r="H30">
        <v>28</v>
      </c>
      <c r="I30">
        <f>'Lab test'!AZ31</f>
        <v>1965</v>
      </c>
      <c r="J30">
        <f>IF('Lab test'!AU31&gt;0,'Lab test'!AU31,NA())</f>
        <v>0.89629190091130784</v>
      </c>
      <c r="K30">
        <f>IF('Lab test'!AT31&gt;0,'Lab test'!AT31,NA())</f>
        <v>0.42556011044727304</v>
      </c>
      <c r="L30">
        <f t="shared" si="1"/>
        <v>1</v>
      </c>
      <c r="M30">
        <f t="shared" si="2"/>
        <v>1965</v>
      </c>
      <c r="O30">
        <v>28</v>
      </c>
      <c r="P30">
        <v>1933</v>
      </c>
      <c r="Q30">
        <f t="shared" si="3"/>
        <v>4.3209876543209874E-2</v>
      </c>
      <c r="R30" t="e">
        <f t="shared" si="4"/>
        <v>#N/A</v>
      </c>
      <c r="T30" t="e">
        <f t="shared" si="5"/>
        <v>#N/A</v>
      </c>
      <c r="U30">
        <f t="shared" si="6"/>
        <v>1933</v>
      </c>
      <c r="W30">
        <v>0.93981481481481477</v>
      </c>
      <c r="X30">
        <v>2015</v>
      </c>
      <c r="Y30">
        <f t="shared" si="0"/>
        <v>1</v>
      </c>
      <c r="Z30">
        <f t="shared" si="7"/>
        <v>1.5432098765432167E-3</v>
      </c>
    </row>
    <row r="31" spans="8:26">
      <c r="H31">
        <v>29</v>
      </c>
      <c r="I31">
        <f>'Lab test'!AZ32</f>
        <v>1965</v>
      </c>
      <c r="J31">
        <f>IF('Lab test'!AU32&gt;0,'Lab test'!AU32,NA())</f>
        <v>0.77328186368887175</v>
      </c>
      <c r="K31">
        <f>IF('Lab test'!AT32&gt;0,'Lab test'!AT32,NA())</f>
        <v>0.57449392656608378</v>
      </c>
      <c r="L31">
        <f t="shared" si="1"/>
        <v>1</v>
      </c>
      <c r="M31">
        <f t="shared" si="2"/>
        <v>1965</v>
      </c>
      <c r="O31">
        <v>29</v>
      </c>
      <c r="P31">
        <v>1933</v>
      </c>
      <c r="Q31">
        <f t="shared" si="3"/>
        <v>4.4753086419753084E-2</v>
      </c>
      <c r="R31" t="e">
        <f t="shared" si="4"/>
        <v>#N/A</v>
      </c>
      <c r="T31" t="e">
        <f t="shared" si="5"/>
        <v>#N/A</v>
      </c>
      <c r="U31">
        <f t="shared" si="6"/>
        <v>1933</v>
      </c>
      <c r="W31">
        <v>0.95987654320987659</v>
      </c>
      <c r="X31">
        <v>2016</v>
      </c>
      <c r="Y31">
        <f t="shared" si="0"/>
        <v>1</v>
      </c>
      <c r="Z31">
        <f t="shared" si="7"/>
        <v>2.0061728395061817E-2</v>
      </c>
    </row>
    <row r="32" spans="8:26">
      <c r="H32">
        <v>30</v>
      </c>
      <c r="I32">
        <f>'Lab test'!AZ33</f>
        <v>1965</v>
      </c>
      <c r="J32">
        <f>IF('Lab test'!AU33&gt;0,'Lab test'!AU33,NA())</f>
        <v>1.2253216531895776</v>
      </c>
      <c r="K32">
        <f>IF('Lab test'!AT33&gt;0,'Lab test'!AT33,NA())</f>
        <v>0.1027362191960427</v>
      </c>
      <c r="L32">
        <f t="shared" si="1"/>
        <v>1</v>
      </c>
      <c r="M32">
        <f t="shared" si="2"/>
        <v>1965</v>
      </c>
      <c r="O32">
        <v>30</v>
      </c>
      <c r="P32">
        <v>1933</v>
      </c>
      <c r="Q32">
        <f t="shared" si="3"/>
        <v>4.6296296296296294E-2</v>
      </c>
      <c r="R32" t="e">
        <f t="shared" si="4"/>
        <v>#N/A</v>
      </c>
      <c r="T32" t="e">
        <f t="shared" si="5"/>
        <v>#N/A</v>
      </c>
      <c r="U32">
        <f t="shared" si="6"/>
        <v>1933</v>
      </c>
      <c r="W32">
        <v>0.97839506172839508</v>
      </c>
      <c r="X32">
        <v>2017</v>
      </c>
      <c r="Y32">
        <f t="shared" si="0"/>
        <v>2</v>
      </c>
      <c r="Z32">
        <f t="shared" si="7"/>
        <v>1.851851851851849E-2</v>
      </c>
    </row>
    <row r="33" spans="8:26">
      <c r="H33">
        <v>31</v>
      </c>
      <c r="I33">
        <f>'Lab test'!AZ34</f>
        <v>1980</v>
      </c>
      <c r="J33">
        <f>IF('Lab test'!AU34&gt;0,'Lab test'!AU34,NA())</f>
        <v>1.2807080054902387</v>
      </c>
      <c r="K33">
        <f>IF('Lab test'!AT34&gt;0,'Lab test'!AT34,NA())</f>
        <v>4.634293759890018E-2</v>
      </c>
      <c r="L33">
        <f t="shared" si="1"/>
        <v>1</v>
      </c>
      <c r="M33">
        <f t="shared" si="2"/>
        <v>1980</v>
      </c>
      <c r="O33">
        <v>31</v>
      </c>
      <c r="P33">
        <v>1933</v>
      </c>
      <c r="Q33">
        <f t="shared" si="3"/>
        <v>4.7839506172839504E-2</v>
      </c>
      <c r="R33" t="e">
        <f t="shared" si="4"/>
        <v>#N/A</v>
      </c>
      <c r="T33" t="e">
        <f t="shared" si="5"/>
        <v>#N/A</v>
      </c>
      <c r="U33">
        <f t="shared" si="6"/>
        <v>1933</v>
      </c>
      <c r="W33">
        <v>0.9907407407407407</v>
      </c>
      <c r="X33">
        <v>2019</v>
      </c>
      <c r="Y33">
        <f t="shared" si="0"/>
        <v>1</v>
      </c>
      <c r="Z33">
        <f t="shared" si="7"/>
        <v>1.2345679012345623E-2</v>
      </c>
    </row>
    <row r="34" spans="8:26">
      <c r="H34">
        <v>32</v>
      </c>
      <c r="I34">
        <f>'Lab test'!AZ35</f>
        <v>1980</v>
      </c>
      <c r="J34">
        <f>IF('Lab test'!AU35&gt;0,'Lab test'!AU35,NA())</f>
        <v>1.310877485246057</v>
      </c>
      <c r="K34">
        <f>IF('Lab test'!AT35&gt;0,'Lab test'!AT35,NA())</f>
        <v>4.641453281394127E-2</v>
      </c>
      <c r="L34">
        <f t="shared" si="1"/>
        <v>1</v>
      </c>
      <c r="M34">
        <f t="shared" si="2"/>
        <v>1980</v>
      </c>
      <c r="O34">
        <v>32</v>
      </c>
      <c r="P34">
        <v>1933</v>
      </c>
      <c r="Q34">
        <f t="shared" si="3"/>
        <v>4.9382716049382713E-2</v>
      </c>
      <c r="R34" t="e">
        <f t="shared" si="4"/>
        <v>#N/A</v>
      </c>
      <c r="T34" t="e">
        <f t="shared" si="5"/>
        <v>#N/A</v>
      </c>
      <c r="U34">
        <f t="shared" si="6"/>
        <v>1933</v>
      </c>
      <c r="W34">
        <v>1</v>
      </c>
      <c r="X34">
        <v>2020</v>
      </c>
      <c r="Z34">
        <f t="shared" si="7"/>
        <v>9.2592592592593004E-3</v>
      </c>
    </row>
    <row r="35" spans="8:26">
      <c r="H35">
        <v>33</v>
      </c>
      <c r="I35">
        <f>'Lab test'!AZ36</f>
        <v>1980</v>
      </c>
      <c r="J35">
        <f>IF('Lab test'!AU36&gt;0,'Lab test'!AU36,NA())</f>
        <v>1.3383591935321377</v>
      </c>
      <c r="K35">
        <f>IF('Lab test'!AT36&gt;0,'Lab test'!AT36,NA())</f>
        <v>4.738758381632998E-2</v>
      </c>
      <c r="L35">
        <f t="shared" si="1"/>
        <v>1</v>
      </c>
      <c r="M35">
        <f t="shared" si="2"/>
        <v>1980</v>
      </c>
      <c r="O35">
        <v>33</v>
      </c>
      <c r="P35">
        <v>1933</v>
      </c>
      <c r="Q35">
        <f t="shared" si="3"/>
        <v>5.0925925925925923E-2</v>
      </c>
      <c r="R35" t="e">
        <f t="shared" si="4"/>
        <v>#N/A</v>
      </c>
      <c r="T35" t="e">
        <f t="shared" si="5"/>
        <v>#N/A</v>
      </c>
      <c r="U35">
        <f t="shared" si="6"/>
        <v>1933</v>
      </c>
      <c r="W35" t="e">
        <v>#N/A</v>
      </c>
      <c r="X35">
        <v>1909</v>
      </c>
    </row>
    <row r="36" spans="8:26">
      <c r="H36">
        <v>34</v>
      </c>
      <c r="I36">
        <f>'Lab test'!AZ37</f>
        <v>1980</v>
      </c>
      <c r="J36">
        <f>IF('Lab test'!AU37&gt;0,'Lab test'!AU37,NA())</f>
        <v>1.1507039699495796</v>
      </c>
      <c r="K36">
        <f>IF('Lab test'!AT37&gt;0,'Lab test'!AT37,NA())</f>
        <v>4.1065384964786705E-2</v>
      </c>
      <c r="L36">
        <f t="shared" si="1"/>
        <v>1</v>
      </c>
      <c r="M36">
        <f t="shared" si="2"/>
        <v>1980</v>
      </c>
      <c r="O36">
        <v>34</v>
      </c>
      <c r="P36">
        <v>1933</v>
      </c>
      <c r="Q36">
        <f t="shared" si="3"/>
        <v>5.2469135802469133E-2</v>
      </c>
      <c r="R36" t="e">
        <f t="shared" si="4"/>
        <v>#N/A</v>
      </c>
      <c r="T36" t="e">
        <f t="shared" si="5"/>
        <v>#N/A</v>
      </c>
      <c r="U36">
        <f t="shared" si="6"/>
        <v>1933</v>
      </c>
      <c r="W36" t="e">
        <v>#N/A</v>
      </c>
      <c r="X36">
        <v>1909</v>
      </c>
    </row>
    <row r="37" spans="8:26">
      <c r="H37">
        <v>35</v>
      </c>
      <c r="I37">
        <f>'Lab test'!AZ38</f>
        <v>2017</v>
      </c>
      <c r="J37">
        <f>IF('Lab test'!AU38&gt;0,'Lab test'!AU38,NA())</f>
        <v>0.42822134440814413</v>
      </c>
      <c r="K37">
        <f>IF('Lab test'!AT38&gt;0,'Lab test'!AT38,NA())</f>
        <v>0.52920832717373667</v>
      </c>
      <c r="L37">
        <f t="shared" si="1"/>
        <v>1</v>
      </c>
      <c r="M37">
        <f t="shared" si="2"/>
        <v>2017</v>
      </c>
      <c r="O37">
        <v>35</v>
      </c>
      <c r="P37">
        <v>1933</v>
      </c>
      <c r="Q37">
        <f t="shared" si="3"/>
        <v>5.4012345679012343E-2</v>
      </c>
      <c r="R37" t="e">
        <f t="shared" si="4"/>
        <v>#N/A</v>
      </c>
      <c r="T37" t="e">
        <f t="shared" si="5"/>
        <v>#N/A</v>
      </c>
      <c r="U37">
        <f t="shared" si="6"/>
        <v>1933</v>
      </c>
      <c r="W37" t="e">
        <v>#N/A</v>
      </c>
      <c r="X37">
        <v>1909</v>
      </c>
    </row>
    <row r="38" spans="8:26">
      <c r="H38">
        <v>36</v>
      </c>
      <c r="I38">
        <f>'Lab test'!AZ39</f>
        <v>2017</v>
      </c>
      <c r="J38">
        <f>IF('Lab test'!AU39&gt;0,'Lab test'!AU39,NA())</f>
        <v>0.28915774314220588</v>
      </c>
      <c r="K38">
        <f>IF('Lab test'!AT39&gt;0,'Lab test'!AT39,NA())</f>
        <v>0.35734950519367314</v>
      </c>
      <c r="L38">
        <f t="shared" si="1"/>
        <v>1</v>
      </c>
      <c r="M38">
        <f t="shared" si="2"/>
        <v>2017</v>
      </c>
      <c r="O38">
        <v>36</v>
      </c>
      <c r="P38">
        <v>1933</v>
      </c>
      <c r="Q38">
        <f t="shared" si="3"/>
        <v>5.5555555555555552E-2</v>
      </c>
      <c r="R38" t="e">
        <f t="shared" si="4"/>
        <v>#N/A</v>
      </c>
      <c r="T38" t="e">
        <f t="shared" si="5"/>
        <v>#N/A</v>
      </c>
      <c r="U38">
        <f t="shared" si="6"/>
        <v>1933</v>
      </c>
      <c r="W38" t="e">
        <v>#N/A</v>
      </c>
      <c r="X38">
        <v>1909</v>
      </c>
    </row>
    <row r="39" spans="8:26">
      <c r="H39">
        <v>37</v>
      </c>
      <c r="I39">
        <f>'Lab test'!AZ40</f>
        <v>2017</v>
      </c>
      <c r="J39">
        <f>IF('Lab test'!AU40&gt;0,'Lab test'!AU40,NA())</f>
        <v>0.65657979823389157</v>
      </c>
      <c r="K39">
        <f>IF('Lab test'!AT40&gt;0,'Lab test'!AT40,NA())</f>
        <v>0.30428261682022567</v>
      </c>
      <c r="L39">
        <f t="shared" si="1"/>
        <v>1</v>
      </c>
      <c r="M39">
        <f t="shared" si="2"/>
        <v>2017</v>
      </c>
      <c r="O39">
        <v>37</v>
      </c>
      <c r="P39">
        <v>1933</v>
      </c>
      <c r="Q39">
        <f t="shared" si="3"/>
        <v>5.7098765432098762E-2</v>
      </c>
      <c r="R39" t="e">
        <f t="shared" si="4"/>
        <v>#N/A</v>
      </c>
      <c r="T39" t="e">
        <f t="shared" si="5"/>
        <v>#N/A</v>
      </c>
      <c r="U39">
        <f t="shared" si="6"/>
        <v>1933</v>
      </c>
      <c r="W39" t="e">
        <v>#N/A</v>
      </c>
      <c r="X39">
        <v>1909</v>
      </c>
    </row>
    <row r="40" spans="8:26">
      <c r="H40">
        <v>38</v>
      </c>
      <c r="I40">
        <f>'Lab test'!AZ41</f>
        <v>2017</v>
      </c>
      <c r="J40">
        <f>IF('Lab test'!AU41&gt;0,'Lab test'!AU41,NA())</f>
        <v>0.74324833160076531</v>
      </c>
      <c r="K40">
        <f>IF('Lab test'!AT41&gt;0,'Lab test'!AT41,NA())</f>
        <v>0.34444792224049547</v>
      </c>
      <c r="L40">
        <f t="shared" si="1"/>
        <v>1</v>
      </c>
      <c r="M40">
        <f t="shared" si="2"/>
        <v>2017</v>
      </c>
      <c r="O40">
        <v>38</v>
      </c>
      <c r="P40">
        <v>1933</v>
      </c>
      <c r="Q40">
        <f t="shared" si="3"/>
        <v>5.8641975308641972E-2</v>
      </c>
      <c r="R40" t="e">
        <f t="shared" si="4"/>
        <v>#N/A</v>
      </c>
      <c r="T40" t="e">
        <f t="shared" si="5"/>
        <v>#N/A</v>
      </c>
      <c r="U40">
        <f t="shared" si="6"/>
        <v>1933</v>
      </c>
      <c r="W40" t="e">
        <v>#N/A</v>
      </c>
      <c r="X40">
        <v>1909</v>
      </c>
    </row>
    <row r="41" spans="8:26">
      <c r="H41">
        <v>39</v>
      </c>
      <c r="I41">
        <f>'Lab test'!AZ42</f>
        <v>2017</v>
      </c>
      <c r="J41">
        <f>IF('Lab test'!AU42&gt;0,'Lab test'!AU42,NA())</f>
        <v>0.89163536600162485</v>
      </c>
      <c r="K41">
        <f>IF('Lab test'!AT42&gt;0,'Lab test'!AT42,NA())</f>
        <v>0.1377385978806222</v>
      </c>
      <c r="L41">
        <f t="shared" si="1"/>
        <v>1</v>
      </c>
      <c r="M41">
        <f t="shared" si="2"/>
        <v>2017</v>
      </c>
      <c r="O41">
        <v>39</v>
      </c>
      <c r="P41">
        <v>1933</v>
      </c>
      <c r="Q41">
        <f t="shared" si="3"/>
        <v>6.0185185185185182E-2</v>
      </c>
      <c r="R41" t="e">
        <f t="shared" si="4"/>
        <v>#N/A</v>
      </c>
      <c r="T41" t="e">
        <f t="shared" si="5"/>
        <v>#N/A</v>
      </c>
      <c r="U41">
        <f t="shared" si="6"/>
        <v>1933</v>
      </c>
      <c r="W41" t="e">
        <v>#N/A</v>
      </c>
      <c r="X41">
        <v>1909</v>
      </c>
    </row>
    <row r="42" spans="8:26">
      <c r="H42">
        <v>40</v>
      </c>
      <c r="I42">
        <f>'Lab test'!AZ43</f>
        <v>2017</v>
      </c>
      <c r="J42">
        <f>IF('Lab test'!AU43&gt;0,'Lab test'!AU43,NA())</f>
        <v>0.9018780108540736</v>
      </c>
      <c r="K42">
        <f>IF('Lab test'!AT43&gt;0,'Lab test'!AT43,NA())</f>
        <v>0.13932086748808736</v>
      </c>
      <c r="L42">
        <f t="shared" si="1"/>
        <v>1</v>
      </c>
      <c r="M42">
        <f t="shared" si="2"/>
        <v>2017</v>
      </c>
      <c r="O42">
        <v>40</v>
      </c>
      <c r="P42">
        <v>1933</v>
      </c>
      <c r="Q42">
        <f t="shared" si="3"/>
        <v>6.1728395061728392E-2</v>
      </c>
      <c r="R42" t="e">
        <f t="shared" si="4"/>
        <v>#N/A</v>
      </c>
      <c r="T42" t="e">
        <f t="shared" si="5"/>
        <v>#N/A</v>
      </c>
      <c r="U42">
        <f t="shared" si="6"/>
        <v>1933</v>
      </c>
      <c r="W42" t="e">
        <v>#N/A</v>
      </c>
      <c r="X42">
        <v>1909</v>
      </c>
    </row>
    <row r="43" spans="8:26">
      <c r="H43">
        <v>41</v>
      </c>
      <c r="I43">
        <f>'Lab test'!AZ44</f>
        <v>2017</v>
      </c>
      <c r="J43">
        <f>IF('Lab test'!AU44&gt;0,'Lab test'!AU44,NA())</f>
        <v>0.1533524191250033</v>
      </c>
      <c r="K43">
        <f>IF('Lab test'!AT44&gt;0,'Lab test'!AT44,NA())</f>
        <v>0.30000612220387285</v>
      </c>
      <c r="L43">
        <f t="shared" si="1"/>
        <v>1</v>
      </c>
      <c r="M43">
        <f t="shared" si="2"/>
        <v>2017</v>
      </c>
      <c r="O43">
        <v>41</v>
      </c>
      <c r="P43">
        <v>1933</v>
      </c>
      <c r="Q43">
        <f t="shared" si="3"/>
        <v>6.3271604938271608E-2</v>
      </c>
      <c r="R43" t="e">
        <f t="shared" si="4"/>
        <v>#N/A</v>
      </c>
      <c r="T43" t="e">
        <f t="shared" si="5"/>
        <v>#N/A</v>
      </c>
      <c r="U43">
        <f t="shared" si="6"/>
        <v>1933</v>
      </c>
      <c r="W43" t="e">
        <v>#N/A</v>
      </c>
      <c r="X43">
        <v>1909</v>
      </c>
    </row>
    <row r="44" spans="8:26">
      <c r="H44">
        <v>42</v>
      </c>
      <c r="I44">
        <f>'Lab test'!AZ45</f>
        <v>2017</v>
      </c>
      <c r="J44">
        <f>IF('Lab test'!AU45&gt;0,'Lab test'!AU45,NA())</f>
        <v>0.19082705307784759</v>
      </c>
      <c r="K44">
        <f>IF('Lab test'!AT45&gt;0,'Lab test'!AT45,NA())</f>
        <v>0.37331842909378327</v>
      </c>
      <c r="L44">
        <f t="shared" si="1"/>
        <v>1</v>
      </c>
      <c r="M44">
        <f t="shared" si="2"/>
        <v>2017</v>
      </c>
      <c r="O44">
        <v>42</v>
      </c>
      <c r="P44">
        <v>1933</v>
      </c>
      <c r="Q44">
        <f t="shared" si="3"/>
        <v>6.4814814814814811E-2</v>
      </c>
      <c r="R44" t="e">
        <f t="shared" si="4"/>
        <v>#N/A</v>
      </c>
      <c r="T44" t="e">
        <f t="shared" si="5"/>
        <v>#N/A</v>
      </c>
      <c r="U44">
        <f t="shared" si="6"/>
        <v>1933</v>
      </c>
      <c r="W44" t="e">
        <v>#N/A</v>
      </c>
      <c r="X44">
        <v>1909</v>
      </c>
    </row>
    <row r="45" spans="8:26">
      <c r="H45">
        <v>43</v>
      </c>
      <c r="I45">
        <f>'Lab test'!AZ46</f>
        <v>2017</v>
      </c>
      <c r="J45">
        <f>IF('Lab test'!AU46&gt;0,'Lab test'!AU46,NA())</f>
        <v>0.51366152640248863</v>
      </c>
      <c r="K45">
        <f>IF('Lab test'!AT46&gt;0,'Lab test'!AT46,NA())</f>
        <v>0.45219841717054027</v>
      </c>
      <c r="L45">
        <f t="shared" si="1"/>
        <v>1</v>
      </c>
      <c r="M45">
        <f t="shared" si="2"/>
        <v>2017</v>
      </c>
      <c r="O45">
        <v>43</v>
      </c>
      <c r="P45">
        <v>1933</v>
      </c>
      <c r="Q45">
        <f t="shared" si="3"/>
        <v>6.6358024691358028E-2</v>
      </c>
      <c r="R45" t="e">
        <f t="shared" si="4"/>
        <v>#N/A</v>
      </c>
      <c r="T45" t="e">
        <f t="shared" si="5"/>
        <v>#N/A</v>
      </c>
      <c r="U45">
        <f t="shared" si="6"/>
        <v>1933</v>
      </c>
      <c r="W45" t="e">
        <v>#N/A</v>
      </c>
      <c r="X45">
        <v>1909</v>
      </c>
    </row>
    <row r="46" spans="8:26">
      <c r="H46">
        <v>44</v>
      </c>
      <c r="I46">
        <f>'Lab test'!AZ47</f>
        <v>2017</v>
      </c>
      <c r="J46">
        <f>IF('Lab test'!AU47&gt;0,'Lab test'!AU47,NA())</f>
        <v>0.53549006894460627</v>
      </c>
      <c r="K46">
        <f>IF('Lab test'!AT47&gt;0,'Lab test'!AT47,NA())</f>
        <v>0.47141502553873432</v>
      </c>
      <c r="L46">
        <f t="shared" si="1"/>
        <v>1</v>
      </c>
      <c r="M46">
        <f t="shared" si="2"/>
        <v>2017</v>
      </c>
      <c r="O46">
        <v>44</v>
      </c>
      <c r="P46">
        <v>1933</v>
      </c>
      <c r="Q46">
        <f t="shared" si="3"/>
        <v>6.7901234567901231E-2</v>
      </c>
      <c r="R46" t="e">
        <f t="shared" si="4"/>
        <v>#N/A</v>
      </c>
      <c r="T46" t="e">
        <f t="shared" si="5"/>
        <v>#N/A</v>
      </c>
      <c r="U46">
        <f t="shared" si="6"/>
        <v>1933</v>
      </c>
      <c r="W46" t="e">
        <v>#N/A</v>
      </c>
      <c r="X46">
        <v>1909</v>
      </c>
    </row>
    <row r="47" spans="8:26">
      <c r="H47">
        <v>45</v>
      </c>
      <c r="I47">
        <f>'Lab test'!AZ48</f>
        <v>2017</v>
      </c>
      <c r="J47">
        <f>IF('Lab test'!AU48&gt;0,'Lab test'!AU48,NA())</f>
        <v>0.83137273947858403</v>
      </c>
      <c r="K47">
        <f>IF('Lab test'!AT48&gt;0,'Lab test'!AT48,NA())</f>
        <v>0.24396443802461787</v>
      </c>
      <c r="L47">
        <f t="shared" si="1"/>
        <v>1</v>
      </c>
      <c r="M47">
        <f t="shared" si="2"/>
        <v>2017</v>
      </c>
      <c r="O47">
        <v>45</v>
      </c>
      <c r="P47">
        <v>1933</v>
      </c>
      <c r="Q47">
        <f t="shared" si="3"/>
        <v>6.9444444444444448E-2</v>
      </c>
      <c r="R47" t="e">
        <f t="shared" si="4"/>
        <v>#N/A</v>
      </c>
      <c r="T47" t="e">
        <f t="shared" si="5"/>
        <v>#N/A</v>
      </c>
      <c r="U47">
        <f t="shared" si="6"/>
        <v>1933</v>
      </c>
      <c r="W47" t="e">
        <v>#N/A</v>
      </c>
      <c r="X47">
        <v>1909</v>
      </c>
    </row>
    <row r="48" spans="8:26">
      <c r="H48">
        <v>46</v>
      </c>
      <c r="I48">
        <f>'Lab test'!AZ49</f>
        <v>2017</v>
      </c>
      <c r="J48">
        <f>IF('Lab test'!AU49&gt;0,'Lab test'!AU49,NA())</f>
        <v>0.84251726963721796</v>
      </c>
      <c r="K48">
        <f>IF('Lab test'!AT49&gt;0,'Lab test'!AT49,NA())</f>
        <v>0.24723477503242589</v>
      </c>
      <c r="L48">
        <f t="shared" si="1"/>
        <v>1</v>
      </c>
      <c r="M48">
        <f t="shared" si="2"/>
        <v>2017</v>
      </c>
      <c r="O48">
        <v>46</v>
      </c>
      <c r="P48">
        <v>1933</v>
      </c>
      <c r="Q48">
        <f t="shared" si="3"/>
        <v>7.098765432098765E-2</v>
      </c>
      <c r="R48" t="e">
        <f t="shared" si="4"/>
        <v>#N/A</v>
      </c>
      <c r="T48" t="e">
        <f t="shared" si="5"/>
        <v>#N/A</v>
      </c>
      <c r="U48">
        <f t="shared" si="6"/>
        <v>1933</v>
      </c>
      <c r="W48" t="e">
        <v>#N/A</v>
      </c>
      <c r="X48">
        <v>1928</v>
      </c>
    </row>
    <row r="49" spans="8:24">
      <c r="H49">
        <v>47</v>
      </c>
      <c r="I49">
        <f>'Lab test'!AZ50</f>
        <v>2015</v>
      </c>
      <c r="J49">
        <f>IF('Lab test'!AU50&gt;0,'Lab test'!AU50,NA())</f>
        <v>0.41572751646701595</v>
      </c>
      <c r="K49">
        <f>IF('Lab test'!AT50&gt;0,'Lab test'!AT50,NA())</f>
        <v>0.38259672626337743</v>
      </c>
      <c r="L49">
        <f t="shared" si="1"/>
        <v>1</v>
      </c>
      <c r="M49">
        <f t="shared" si="2"/>
        <v>2015</v>
      </c>
      <c r="O49">
        <v>47</v>
      </c>
      <c r="P49">
        <v>1933</v>
      </c>
      <c r="Q49">
        <f t="shared" si="3"/>
        <v>7.2530864197530867E-2</v>
      </c>
      <c r="R49" t="e">
        <f t="shared" si="4"/>
        <v>#N/A</v>
      </c>
      <c r="T49" t="e">
        <f t="shared" si="5"/>
        <v>#N/A</v>
      </c>
      <c r="U49">
        <f t="shared" si="6"/>
        <v>1933</v>
      </c>
      <c r="W49" t="e">
        <v>#N/A</v>
      </c>
      <c r="X49">
        <v>1928</v>
      </c>
    </row>
    <row r="50" spans="8:24">
      <c r="H50">
        <v>48</v>
      </c>
      <c r="I50">
        <f>'Lab test'!AZ51</f>
        <v>2004</v>
      </c>
      <c r="J50">
        <f>IF('Lab test'!AU51&gt;0,'Lab test'!AU51,NA())</f>
        <v>0.29887391387072509</v>
      </c>
      <c r="K50">
        <f>IF('Lab test'!AT51&gt;0,'Lab test'!AT51,NA())</f>
        <v>0.32670458130080182</v>
      </c>
      <c r="L50">
        <f t="shared" si="1"/>
        <v>1</v>
      </c>
      <c r="M50">
        <f t="shared" si="2"/>
        <v>2004</v>
      </c>
      <c r="O50">
        <v>48</v>
      </c>
      <c r="P50">
        <v>1933</v>
      </c>
      <c r="Q50">
        <f t="shared" si="3"/>
        <v>7.407407407407407E-2</v>
      </c>
      <c r="R50" t="e">
        <f t="shared" si="4"/>
        <v>#N/A</v>
      </c>
      <c r="T50" t="e">
        <f t="shared" si="5"/>
        <v>#N/A</v>
      </c>
      <c r="U50">
        <f t="shared" si="6"/>
        <v>1933</v>
      </c>
      <c r="W50" t="e">
        <v>#N/A</v>
      </c>
      <c r="X50">
        <v>1928</v>
      </c>
    </row>
    <row r="51" spans="8:24">
      <c r="H51">
        <v>49</v>
      </c>
      <c r="I51">
        <f>'Lab test'!AZ52</f>
        <v>2004</v>
      </c>
      <c r="J51">
        <f>IF('Lab test'!AU52&gt;0,'Lab test'!AU52,NA())</f>
        <v>0.24918383371184996</v>
      </c>
      <c r="K51">
        <f>IF('Lab test'!AT52&gt;0,'Lab test'!AT52,NA())</f>
        <v>0.2723874392563127</v>
      </c>
      <c r="L51">
        <f t="shared" si="1"/>
        <v>1</v>
      </c>
      <c r="M51">
        <f t="shared" si="2"/>
        <v>2004</v>
      </c>
      <c r="O51">
        <v>49</v>
      </c>
      <c r="P51">
        <v>1933</v>
      </c>
      <c r="Q51">
        <f t="shared" si="3"/>
        <v>7.5617283950617287E-2</v>
      </c>
      <c r="R51" t="e">
        <f t="shared" si="4"/>
        <v>#N/A</v>
      </c>
      <c r="T51" t="e">
        <f t="shared" si="5"/>
        <v>#N/A</v>
      </c>
      <c r="U51">
        <f t="shared" si="6"/>
        <v>1933</v>
      </c>
      <c r="W51" t="e">
        <v>#N/A</v>
      </c>
      <c r="X51">
        <v>1928</v>
      </c>
    </row>
    <row r="52" spans="8:24">
      <c r="H52">
        <v>50</v>
      </c>
      <c r="I52">
        <f>'Lab test'!AZ53</f>
        <v>2004</v>
      </c>
      <c r="J52">
        <f>IF('Lab test'!AU53&gt;0,'Lab test'!AU53,NA())</f>
        <v>0.25780167049217145</v>
      </c>
      <c r="K52">
        <f>IF('Lab test'!AT53&gt;0,'Lab test'!AT53,NA())</f>
        <v>0.2818077554042499</v>
      </c>
      <c r="L52">
        <f t="shared" si="1"/>
        <v>1</v>
      </c>
      <c r="M52">
        <f t="shared" si="2"/>
        <v>2004</v>
      </c>
      <c r="O52">
        <v>50</v>
      </c>
      <c r="P52">
        <v>1933</v>
      </c>
      <c r="Q52">
        <f t="shared" si="3"/>
        <v>7.716049382716049E-2</v>
      </c>
      <c r="R52" t="e">
        <f t="shared" si="4"/>
        <v>#N/A</v>
      </c>
      <c r="T52" t="e">
        <f t="shared" si="5"/>
        <v>#N/A</v>
      </c>
      <c r="U52">
        <f t="shared" si="6"/>
        <v>1933</v>
      </c>
      <c r="W52" t="e">
        <v>#N/A</v>
      </c>
      <c r="X52">
        <v>1928</v>
      </c>
    </row>
    <row r="53" spans="8:24">
      <c r="H53">
        <v>51</v>
      </c>
      <c r="I53">
        <f>'Lab test'!AZ54</f>
        <v>2004</v>
      </c>
      <c r="J53">
        <f>IF('Lab test'!AU54&gt;0,'Lab test'!AU54,NA())</f>
        <v>0.25670152111596023</v>
      </c>
      <c r="K53">
        <f>IF('Lab test'!AT54&gt;0,'Lab test'!AT54,NA())</f>
        <v>0.28060516185344947</v>
      </c>
      <c r="L53">
        <f t="shared" si="1"/>
        <v>1</v>
      </c>
      <c r="M53">
        <f t="shared" si="2"/>
        <v>2004</v>
      </c>
      <c r="O53">
        <v>51</v>
      </c>
      <c r="P53">
        <v>1933</v>
      </c>
      <c r="Q53">
        <f t="shared" si="3"/>
        <v>7.8703703703703706E-2</v>
      </c>
      <c r="R53" t="e">
        <f t="shared" si="4"/>
        <v>#N/A</v>
      </c>
      <c r="T53" t="e">
        <f t="shared" si="5"/>
        <v>#N/A</v>
      </c>
      <c r="U53">
        <f t="shared" si="6"/>
        <v>1933</v>
      </c>
      <c r="W53" t="e">
        <v>#N/A</v>
      </c>
      <c r="X53">
        <v>1928</v>
      </c>
    </row>
    <row r="54" spans="8:24">
      <c r="H54">
        <v>52</v>
      </c>
      <c r="I54">
        <f>'Lab test'!AZ55</f>
        <v>2004</v>
      </c>
      <c r="J54">
        <f>IF('Lab test'!AU55&gt;0,'Lab test'!AU55,NA())</f>
        <v>0.35527490522448896</v>
      </c>
      <c r="K54">
        <f>IF('Lab test'!AT55&gt;0,'Lab test'!AT55,NA())</f>
        <v>0.31068603520413929</v>
      </c>
      <c r="L54">
        <f t="shared" si="1"/>
        <v>1</v>
      </c>
      <c r="M54">
        <f t="shared" si="2"/>
        <v>2004</v>
      </c>
      <c r="O54">
        <v>52</v>
      </c>
      <c r="P54">
        <v>1933</v>
      </c>
      <c r="Q54">
        <f t="shared" si="3"/>
        <v>8.0246913580246909E-2</v>
      </c>
      <c r="R54" t="e">
        <f t="shared" si="4"/>
        <v>#N/A</v>
      </c>
      <c r="T54" t="e">
        <f t="shared" si="5"/>
        <v>#N/A</v>
      </c>
      <c r="U54">
        <f t="shared" si="6"/>
        <v>1933</v>
      </c>
      <c r="W54" t="e">
        <v>#N/A</v>
      </c>
      <c r="X54">
        <v>1928</v>
      </c>
    </row>
    <row r="55" spans="8:24">
      <c r="H55">
        <v>53</v>
      </c>
      <c r="I55">
        <f>'Lab test'!AZ56</f>
        <v>2004</v>
      </c>
      <c r="J55">
        <f>IF('Lab test'!AU56&gt;0,'Lab test'!AU56,NA())</f>
        <v>0.34104630662549001</v>
      </c>
      <c r="K55">
        <f>IF('Lab test'!AT56&gt;0,'Lab test'!AT56,NA())</f>
        <v>0.29824320059852344</v>
      </c>
      <c r="L55">
        <f t="shared" si="1"/>
        <v>1</v>
      </c>
      <c r="M55">
        <f t="shared" si="2"/>
        <v>2004</v>
      </c>
      <c r="O55">
        <v>53</v>
      </c>
      <c r="P55">
        <v>1933</v>
      </c>
      <c r="Q55">
        <f t="shared" si="3"/>
        <v>8.1790123456790126E-2</v>
      </c>
      <c r="R55" t="e">
        <f t="shared" si="4"/>
        <v>#N/A</v>
      </c>
      <c r="T55" t="e">
        <f t="shared" si="5"/>
        <v>#N/A</v>
      </c>
      <c r="U55">
        <f t="shared" si="6"/>
        <v>1933</v>
      </c>
      <c r="W55" t="e">
        <v>#N/A</v>
      </c>
      <c r="X55">
        <v>1928</v>
      </c>
    </row>
    <row r="56" spans="8:24">
      <c r="H56">
        <v>54</v>
      </c>
      <c r="I56">
        <f>'Lab test'!AZ57</f>
        <v>2004</v>
      </c>
      <c r="J56">
        <f>IF('Lab test'!AU57&gt;0,'Lab test'!AU57,NA())</f>
        <v>0.32197705077116157</v>
      </c>
      <c r="K56">
        <f>IF('Lab test'!AT57&gt;0,'Lab test'!AT57,NA())</f>
        <v>0.2815672366940899</v>
      </c>
      <c r="L56">
        <f t="shared" si="1"/>
        <v>1</v>
      </c>
      <c r="M56">
        <f t="shared" si="2"/>
        <v>2004</v>
      </c>
      <c r="O56">
        <v>54</v>
      </c>
      <c r="P56">
        <v>1933</v>
      </c>
      <c r="Q56">
        <f t="shared" si="3"/>
        <v>8.3333333333333329E-2</v>
      </c>
      <c r="R56" t="e">
        <f t="shared" si="4"/>
        <v>#N/A</v>
      </c>
      <c r="T56" t="e">
        <f t="shared" si="5"/>
        <v>#N/A</v>
      </c>
      <c r="U56">
        <f t="shared" si="6"/>
        <v>1933</v>
      </c>
      <c r="W56" t="e">
        <v>#N/A</v>
      </c>
      <c r="X56">
        <v>1933</v>
      </c>
    </row>
    <row r="57" spans="8:24">
      <c r="H57">
        <v>55</v>
      </c>
      <c r="I57">
        <f>'Lab test'!AZ58</f>
        <v>2004</v>
      </c>
      <c r="J57">
        <f>IF('Lab test'!AU58&gt;0,'Lab test'!AU58,NA())</f>
        <v>0.36246254781573584</v>
      </c>
      <c r="K57">
        <f>IF('Lab test'!AT58&gt;0,'Lab test'!AT58,NA())</f>
        <v>0.31697159082965648</v>
      </c>
      <c r="L57">
        <f t="shared" si="1"/>
        <v>1</v>
      </c>
      <c r="M57">
        <f t="shared" si="2"/>
        <v>2004</v>
      </c>
      <c r="O57">
        <v>55</v>
      </c>
      <c r="P57">
        <v>1933</v>
      </c>
      <c r="Q57">
        <f t="shared" si="3"/>
        <v>8.4876543209876545E-2</v>
      </c>
      <c r="R57" t="e">
        <f t="shared" si="4"/>
        <v>#N/A</v>
      </c>
      <c r="T57" t="e">
        <f t="shared" si="5"/>
        <v>#N/A</v>
      </c>
      <c r="U57">
        <f t="shared" si="6"/>
        <v>1933</v>
      </c>
      <c r="W57" t="e">
        <v>#N/A</v>
      </c>
      <c r="X57">
        <v>1933</v>
      </c>
    </row>
    <row r="58" spans="8:24">
      <c r="H58">
        <v>56</v>
      </c>
      <c r="I58">
        <f>'Lab test'!AZ59</f>
        <v>2004</v>
      </c>
      <c r="J58">
        <f>IF('Lab test'!AU59&gt;0,'Lab test'!AU59,NA())</f>
        <v>0.375635003013572</v>
      </c>
      <c r="K58">
        <f>IF('Lab test'!AT59&gt;0,'Lab test'!AT59,NA())</f>
        <v>0.2627926668706061</v>
      </c>
      <c r="L58">
        <f t="shared" si="1"/>
        <v>1</v>
      </c>
      <c r="M58">
        <f t="shared" si="2"/>
        <v>2004</v>
      </c>
      <c r="O58">
        <v>56</v>
      </c>
      <c r="P58">
        <v>1933</v>
      </c>
      <c r="Q58">
        <f t="shared" si="3"/>
        <v>8.6419753086419748E-2</v>
      </c>
      <c r="R58" t="e">
        <f t="shared" si="4"/>
        <v>#N/A</v>
      </c>
      <c r="T58" t="e">
        <f t="shared" si="5"/>
        <v>#N/A</v>
      </c>
      <c r="U58">
        <f t="shared" si="6"/>
        <v>1933</v>
      </c>
      <c r="W58" t="e">
        <v>#N/A</v>
      </c>
      <c r="X58">
        <v>1933</v>
      </c>
    </row>
    <row r="59" spans="8:24">
      <c r="H59">
        <v>57</v>
      </c>
      <c r="I59">
        <f>'Lab test'!AZ60</f>
        <v>2004</v>
      </c>
      <c r="J59">
        <f>IF('Lab test'!AU60&gt;0,'Lab test'!AU60,NA())</f>
        <v>0.37669114641473478</v>
      </c>
      <c r="K59">
        <f>IF('Lab test'!AT60&gt;0,'Lab test'!AT60,NA())</f>
        <v>0.26353154034821785</v>
      </c>
      <c r="L59">
        <f t="shared" si="1"/>
        <v>1</v>
      </c>
      <c r="M59">
        <f t="shared" si="2"/>
        <v>2004</v>
      </c>
      <c r="O59">
        <v>57</v>
      </c>
      <c r="P59">
        <v>1933</v>
      </c>
      <c r="Q59">
        <f t="shared" si="3"/>
        <v>8.7962962962962965E-2</v>
      </c>
      <c r="R59" t="e">
        <f t="shared" si="4"/>
        <v>#N/A</v>
      </c>
      <c r="T59" t="e">
        <f t="shared" si="5"/>
        <v>#N/A</v>
      </c>
      <c r="U59">
        <f t="shared" si="6"/>
        <v>1933</v>
      </c>
      <c r="W59" t="e">
        <v>#N/A</v>
      </c>
      <c r="X59">
        <v>1933</v>
      </c>
    </row>
    <row r="60" spans="8:24">
      <c r="H60">
        <v>58</v>
      </c>
      <c r="I60">
        <f>'Lab test'!AZ61</f>
        <v>2004</v>
      </c>
      <c r="J60">
        <f>IF('Lab test'!AU61&gt;0,'Lab test'!AU61,NA())</f>
        <v>0.36354802853359763</v>
      </c>
      <c r="K60">
        <f>IF('Lab test'!AT61&gt;0,'Lab test'!AT61,NA())</f>
        <v>0.25433667040460406</v>
      </c>
      <c r="L60">
        <f t="shared" si="1"/>
        <v>1</v>
      </c>
      <c r="M60">
        <f t="shared" si="2"/>
        <v>2004</v>
      </c>
      <c r="O60">
        <v>58</v>
      </c>
      <c r="P60">
        <v>1933</v>
      </c>
      <c r="Q60">
        <f t="shared" si="3"/>
        <v>8.9506172839506168E-2</v>
      </c>
      <c r="R60" t="e">
        <f t="shared" si="4"/>
        <v>#N/A</v>
      </c>
      <c r="T60" t="e">
        <f t="shared" si="5"/>
        <v>#N/A</v>
      </c>
      <c r="U60">
        <f t="shared" si="6"/>
        <v>1933</v>
      </c>
      <c r="W60" t="e">
        <v>#N/A</v>
      </c>
      <c r="X60">
        <v>1933</v>
      </c>
    </row>
    <row r="61" spans="8:24">
      <c r="H61">
        <v>59</v>
      </c>
      <c r="I61">
        <f>'Lab test'!AZ62</f>
        <v>2004</v>
      </c>
      <c r="J61">
        <f>IF('Lab test'!AU62&gt;0,'Lab test'!AU62,NA())</f>
        <v>0.33644034790375221</v>
      </c>
      <c r="K61">
        <f>IF('Lab test'!AT62&gt;0,'Lab test'!AT62,NA())</f>
        <v>0.23537225114590049</v>
      </c>
      <c r="L61">
        <f t="shared" si="1"/>
        <v>1</v>
      </c>
      <c r="M61">
        <f t="shared" si="2"/>
        <v>2004</v>
      </c>
      <c r="O61">
        <v>59</v>
      </c>
      <c r="P61">
        <v>1933</v>
      </c>
      <c r="Q61">
        <f t="shared" si="3"/>
        <v>9.1049382716049385E-2</v>
      </c>
      <c r="R61" t="e">
        <f t="shared" si="4"/>
        <v>#N/A</v>
      </c>
      <c r="T61" t="e">
        <f t="shared" si="5"/>
        <v>#N/A</v>
      </c>
      <c r="U61">
        <f t="shared" si="6"/>
        <v>1933</v>
      </c>
      <c r="W61" t="e">
        <v>#N/A</v>
      </c>
      <c r="X61">
        <v>1933</v>
      </c>
    </row>
    <row r="62" spans="8:24">
      <c r="H62">
        <v>60</v>
      </c>
      <c r="I62">
        <f>'Lab test'!AZ63</f>
        <v>1962</v>
      </c>
      <c r="J62" t="e">
        <f>IF('Lab test'!AU63&gt;0,'Lab test'!AU63,NA())</f>
        <v>#N/A</v>
      </c>
      <c r="K62">
        <f>IF('Lab test'!AT63&gt;0,'Lab test'!AT63,NA())</f>
        <v>0.76004473552548202</v>
      </c>
      <c r="L62">
        <f t="shared" si="1"/>
        <v>1</v>
      </c>
      <c r="M62">
        <f t="shared" si="2"/>
        <v>1962</v>
      </c>
      <c r="O62">
        <v>60</v>
      </c>
      <c r="P62">
        <v>1933</v>
      </c>
      <c r="Q62">
        <f t="shared" si="3"/>
        <v>9.2592592592592587E-2</v>
      </c>
      <c r="R62" t="e">
        <f t="shared" si="4"/>
        <v>#N/A</v>
      </c>
      <c r="T62" t="e">
        <f t="shared" si="5"/>
        <v>#N/A</v>
      </c>
      <c r="U62">
        <f t="shared" si="6"/>
        <v>1933</v>
      </c>
      <c r="W62" t="e">
        <v>#N/A</v>
      </c>
      <c r="X62">
        <v>1933</v>
      </c>
    </row>
    <row r="63" spans="8:24">
      <c r="H63">
        <v>61</v>
      </c>
      <c r="I63">
        <f>'Lab test'!AZ64</f>
        <v>1962</v>
      </c>
      <c r="J63" t="e">
        <f>IF('Lab test'!AU64&gt;0,'Lab test'!AU64,NA())</f>
        <v>#N/A</v>
      </c>
      <c r="K63">
        <f>IF('Lab test'!AT64&gt;0,'Lab test'!AT64,NA())</f>
        <v>0.72369476991339388</v>
      </c>
      <c r="L63">
        <f t="shared" si="1"/>
        <v>1</v>
      </c>
      <c r="M63">
        <f t="shared" si="2"/>
        <v>1962</v>
      </c>
      <c r="O63">
        <v>61</v>
      </c>
      <c r="P63">
        <v>1933</v>
      </c>
      <c r="Q63">
        <f t="shared" si="3"/>
        <v>9.4135802469135804E-2</v>
      </c>
      <c r="R63" t="e">
        <f t="shared" si="4"/>
        <v>#N/A</v>
      </c>
      <c r="T63" t="e">
        <f t="shared" si="5"/>
        <v>#N/A</v>
      </c>
      <c r="U63">
        <f t="shared" si="6"/>
        <v>1933</v>
      </c>
      <c r="W63" t="e">
        <v>#N/A</v>
      </c>
      <c r="X63">
        <v>1933</v>
      </c>
    </row>
    <row r="64" spans="8:24">
      <c r="H64">
        <v>62</v>
      </c>
      <c r="I64">
        <f>'Lab test'!AZ65</f>
        <v>1962</v>
      </c>
      <c r="J64" t="e">
        <f>IF('Lab test'!AU65&gt;0,'Lab test'!AU65,NA())</f>
        <v>#N/A</v>
      </c>
      <c r="K64">
        <f>IF('Lab test'!AT65&gt;0,'Lab test'!AT65,NA())</f>
        <v>0.71873795642083627</v>
      </c>
      <c r="L64">
        <f t="shared" si="1"/>
        <v>1</v>
      </c>
      <c r="M64">
        <f t="shared" si="2"/>
        <v>1962</v>
      </c>
      <c r="O64">
        <v>62</v>
      </c>
      <c r="P64">
        <v>1933</v>
      </c>
      <c r="Q64">
        <f t="shared" si="3"/>
        <v>9.5679012345679007E-2</v>
      </c>
      <c r="R64" t="e">
        <f t="shared" si="4"/>
        <v>#N/A</v>
      </c>
      <c r="T64" t="e">
        <f t="shared" si="5"/>
        <v>#N/A</v>
      </c>
      <c r="U64">
        <f t="shared" si="6"/>
        <v>1933</v>
      </c>
      <c r="W64" t="e">
        <v>#N/A</v>
      </c>
      <c r="X64">
        <v>1933</v>
      </c>
    </row>
    <row r="65" spans="8:24">
      <c r="H65">
        <v>63</v>
      </c>
      <c r="I65">
        <f>'Lab test'!AZ66</f>
        <v>1960</v>
      </c>
      <c r="J65">
        <f>IF('Lab test'!AU66&gt;0,'Lab test'!AU66,NA())</f>
        <v>0.30105781050075592</v>
      </c>
      <c r="K65">
        <f>IF('Lab test'!AT66&gt;0,'Lab test'!AT66,NA())</f>
        <v>0.51220406089760762</v>
      </c>
      <c r="L65">
        <f t="shared" si="1"/>
        <v>1</v>
      </c>
      <c r="M65">
        <f t="shared" si="2"/>
        <v>1960</v>
      </c>
      <c r="O65">
        <v>63</v>
      </c>
      <c r="P65">
        <v>1933</v>
      </c>
      <c r="Q65">
        <f t="shared" si="3"/>
        <v>9.7222222222222224E-2</v>
      </c>
      <c r="R65" t="e">
        <f t="shared" si="4"/>
        <v>#N/A</v>
      </c>
      <c r="T65" t="e">
        <f t="shared" si="5"/>
        <v>#N/A</v>
      </c>
      <c r="U65">
        <f t="shared" si="6"/>
        <v>1933</v>
      </c>
      <c r="W65" t="e">
        <v>#N/A</v>
      </c>
      <c r="X65">
        <v>1933</v>
      </c>
    </row>
    <row r="66" spans="8:24">
      <c r="H66">
        <v>64</v>
      </c>
      <c r="I66">
        <f>'Lab test'!AZ67</f>
        <v>1960</v>
      </c>
      <c r="J66">
        <f>IF('Lab test'!AU67&gt;0,'Lab test'!AU67,NA())</f>
        <v>0.25929817872161881</v>
      </c>
      <c r="K66">
        <f>IF('Lab test'!AT67&gt;0,'Lab test'!AT67,NA())</f>
        <v>0.44115640083761687</v>
      </c>
      <c r="L66">
        <f t="shared" si="1"/>
        <v>1</v>
      </c>
      <c r="M66">
        <f t="shared" si="2"/>
        <v>1960</v>
      </c>
      <c r="O66">
        <v>64</v>
      </c>
      <c r="P66">
        <v>1933</v>
      </c>
      <c r="Q66">
        <f t="shared" si="3"/>
        <v>9.8765432098765427E-2</v>
      </c>
      <c r="R66" t="e">
        <f t="shared" si="4"/>
        <v>#N/A</v>
      </c>
      <c r="T66" t="e">
        <f t="shared" si="5"/>
        <v>#N/A</v>
      </c>
      <c r="U66">
        <f t="shared" si="6"/>
        <v>1933</v>
      </c>
      <c r="W66" t="e">
        <v>#N/A</v>
      </c>
      <c r="X66">
        <v>1933</v>
      </c>
    </row>
    <row r="67" spans="8:24">
      <c r="H67">
        <v>65</v>
      </c>
      <c r="I67">
        <f>'Lab test'!AZ68</f>
        <v>1960</v>
      </c>
      <c r="J67">
        <f>IF('Lab test'!AU68&gt;0,'Lab test'!AU68,NA())</f>
        <v>0.32533666618630075</v>
      </c>
      <c r="K67">
        <f>IF('Lab test'!AT68&gt;0,'Lab test'!AT68,NA())</f>
        <v>0.55351084000225337</v>
      </c>
      <c r="L67">
        <f t="shared" si="1"/>
        <v>1</v>
      </c>
      <c r="M67">
        <f t="shared" si="2"/>
        <v>1960</v>
      </c>
      <c r="O67">
        <v>65</v>
      </c>
      <c r="P67">
        <v>1933</v>
      </c>
      <c r="Q67">
        <f t="shared" si="3"/>
        <v>0.10030864197530864</v>
      </c>
      <c r="R67" t="e">
        <f t="shared" si="4"/>
        <v>#N/A</v>
      </c>
      <c r="T67" t="e">
        <f t="shared" si="5"/>
        <v>#N/A</v>
      </c>
      <c r="U67">
        <f t="shared" si="6"/>
        <v>1933</v>
      </c>
      <c r="W67" t="e">
        <v>#N/A</v>
      </c>
      <c r="X67">
        <v>1933</v>
      </c>
    </row>
    <row r="68" spans="8:24">
      <c r="H68">
        <v>66</v>
      </c>
      <c r="I68">
        <f>'Lab test'!AZ69</f>
        <v>1960</v>
      </c>
      <c r="J68">
        <f>IF('Lab test'!AU69&gt;0,'Lab test'!AU69,NA())</f>
        <v>0.25832702449419703</v>
      </c>
      <c r="K68">
        <f>IF('Lab test'!AT69&gt;0,'Lab test'!AT69,NA())</f>
        <v>0.43950412967343105</v>
      </c>
      <c r="L68">
        <f t="shared" ref="L68:L131" si="8">IF(OR(ISNUMBER(J68),ISNUMBER(K68)),1,NA())</f>
        <v>1</v>
      </c>
      <c r="M68">
        <f t="shared" ref="M68:M131" si="9">IF(ISNUMBER(L68),I68,NA())</f>
        <v>1960</v>
      </c>
      <c r="O68">
        <v>66</v>
      </c>
      <c r="P68">
        <v>1933</v>
      </c>
      <c r="Q68">
        <f t="shared" ref="Q68:Q131" si="10">O68/COUNT($O$3:$O$650)</f>
        <v>0.10185185185185185</v>
      </c>
      <c r="R68" t="e">
        <f t="shared" ref="R68:R131" si="11">IF(P68=P69,NA(),Q68)</f>
        <v>#N/A</v>
      </c>
      <c r="T68" t="e">
        <f t="shared" ref="T68:T131" si="12">R68</f>
        <v>#N/A</v>
      </c>
      <c r="U68">
        <f t="shared" ref="U68:U131" si="13">P68</f>
        <v>1933</v>
      </c>
      <c r="W68" t="e">
        <v>#N/A</v>
      </c>
      <c r="X68">
        <v>1933</v>
      </c>
    </row>
    <row r="69" spans="8:24">
      <c r="H69">
        <v>67</v>
      </c>
      <c r="I69">
        <f>'Lab test'!AZ70</f>
        <v>1960</v>
      </c>
      <c r="J69">
        <f>IF('Lab test'!AU70&gt;0,'Lab test'!AU70,NA())</f>
        <v>0.35612351643482798</v>
      </c>
      <c r="K69">
        <f>IF('Lab test'!AT70&gt;0,'Lab test'!AT70,NA())</f>
        <v>0.59812216143527075</v>
      </c>
      <c r="L69">
        <f t="shared" si="8"/>
        <v>1</v>
      </c>
      <c r="M69">
        <f t="shared" si="9"/>
        <v>1960</v>
      </c>
      <c r="O69">
        <v>67</v>
      </c>
      <c r="P69">
        <v>1933</v>
      </c>
      <c r="Q69">
        <f t="shared" si="10"/>
        <v>0.10339506172839506</v>
      </c>
      <c r="R69" t="e">
        <f t="shared" si="11"/>
        <v>#N/A</v>
      </c>
      <c r="T69" t="e">
        <f t="shared" si="12"/>
        <v>#N/A</v>
      </c>
      <c r="U69">
        <f t="shared" si="13"/>
        <v>1933</v>
      </c>
      <c r="W69" t="e">
        <v>#N/A</v>
      </c>
      <c r="X69">
        <v>1933</v>
      </c>
    </row>
    <row r="70" spans="8:24">
      <c r="H70">
        <v>68</v>
      </c>
      <c r="I70">
        <f>'Lab test'!AZ71</f>
        <v>1960</v>
      </c>
      <c r="J70">
        <f>IF('Lab test'!AU71&gt;0,'Lab test'!AU71,NA())</f>
        <v>0.29316245275574232</v>
      </c>
      <c r="K70">
        <f>IF('Lab test'!AT71&gt;0,'Lab test'!AT71,NA())</f>
        <v>0.49237680692737751</v>
      </c>
      <c r="L70">
        <f t="shared" si="8"/>
        <v>1</v>
      </c>
      <c r="M70">
        <f t="shared" si="9"/>
        <v>1960</v>
      </c>
      <c r="O70">
        <v>68</v>
      </c>
      <c r="P70">
        <v>1933</v>
      </c>
      <c r="Q70">
        <f t="shared" si="10"/>
        <v>0.10493827160493827</v>
      </c>
      <c r="R70" t="e">
        <f t="shared" si="11"/>
        <v>#N/A</v>
      </c>
      <c r="T70" t="e">
        <f t="shared" si="12"/>
        <v>#N/A</v>
      </c>
      <c r="U70">
        <f t="shared" si="13"/>
        <v>1933</v>
      </c>
      <c r="W70" t="e">
        <v>#N/A</v>
      </c>
      <c r="X70">
        <v>1933</v>
      </c>
    </row>
    <row r="71" spans="8:24">
      <c r="H71">
        <v>69</v>
      </c>
      <c r="I71">
        <f>'Lab test'!AZ72</f>
        <v>1960</v>
      </c>
      <c r="J71">
        <f>IF('Lab test'!AU72&gt;0,'Lab test'!AU72,NA())</f>
        <v>0.26364945415617097</v>
      </c>
      <c r="K71">
        <f>IF('Lab test'!AT72&gt;0,'Lab test'!AT72,NA())</f>
        <v>0.44280867200180263</v>
      </c>
      <c r="L71">
        <f t="shared" si="8"/>
        <v>1</v>
      </c>
      <c r="M71">
        <f t="shared" si="9"/>
        <v>1960</v>
      </c>
      <c r="O71">
        <v>69</v>
      </c>
      <c r="P71">
        <v>1933</v>
      </c>
      <c r="Q71">
        <f t="shared" si="10"/>
        <v>0.10648148148148148</v>
      </c>
      <c r="R71" t="e">
        <f t="shared" si="11"/>
        <v>#N/A</v>
      </c>
      <c r="T71" t="e">
        <f t="shared" si="12"/>
        <v>#N/A</v>
      </c>
      <c r="U71">
        <f t="shared" si="13"/>
        <v>1933</v>
      </c>
      <c r="W71" t="e">
        <v>#N/A</v>
      </c>
      <c r="X71">
        <v>1933</v>
      </c>
    </row>
    <row r="72" spans="8:24">
      <c r="H72">
        <v>70</v>
      </c>
      <c r="I72">
        <f>'Lab test'!AZ73</f>
        <v>1960</v>
      </c>
      <c r="J72">
        <f>IF('Lab test'!AU73&gt;0,'Lab test'!AU73,NA())</f>
        <v>0.34038325051505652</v>
      </c>
      <c r="K72">
        <f>IF('Lab test'!AT73&gt;0,'Lab test'!AT73,NA())</f>
        <v>0.57168582280829738</v>
      </c>
      <c r="L72">
        <f t="shared" si="8"/>
        <v>1</v>
      </c>
      <c r="M72">
        <f t="shared" si="9"/>
        <v>1960</v>
      </c>
      <c r="O72">
        <v>70</v>
      </c>
      <c r="P72">
        <v>1933</v>
      </c>
      <c r="Q72">
        <f t="shared" si="10"/>
        <v>0.10802469135802469</v>
      </c>
      <c r="R72" t="e">
        <f t="shared" si="11"/>
        <v>#N/A</v>
      </c>
      <c r="T72" t="e">
        <f t="shared" si="12"/>
        <v>#N/A</v>
      </c>
      <c r="U72">
        <f t="shared" si="13"/>
        <v>1933</v>
      </c>
      <c r="W72" t="e">
        <v>#N/A</v>
      </c>
      <c r="X72">
        <v>1933</v>
      </c>
    </row>
    <row r="73" spans="8:24">
      <c r="H73">
        <v>71</v>
      </c>
      <c r="I73">
        <f>'Lab test'!AZ74</f>
        <v>1960</v>
      </c>
      <c r="J73">
        <f>IF('Lab test'!AU74&gt;0,'Lab test'!AU74,NA())</f>
        <v>0.71778489718164218</v>
      </c>
      <c r="K73">
        <f>IF('Lab test'!AT74&gt;0,'Lab test'!AT74,NA())</f>
        <v>0.53533585719620902</v>
      </c>
      <c r="L73">
        <f t="shared" si="8"/>
        <v>1</v>
      </c>
      <c r="M73">
        <f t="shared" si="9"/>
        <v>1960</v>
      </c>
      <c r="O73">
        <v>71</v>
      </c>
      <c r="P73">
        <v>1933</v>
      </c>
      <c r="Q73">
        <f t="shared" si="10"/>
        <v>0.1095679012345679</v>
      </c>
      <c r="R73" t="e">
        <f t="shared" si="11"/>
        <v>#N/A</v>
      </c>
      <c r="T73" t="e">
        <f t="shared" si="12"/>
        <v>#N/A</v>
      </c>
      <c r="U73">
        <f t="shared" si="13"/>
        <v>1933</v>
      </c>
      <c r="W73" t="e">
        <v>#N/A</v>
      </c>
      <c r="X73">
        <v>1933</v>
      </c>
    </row>
    <row r="74" spans="8:24">
      <c r="H74">
        <v>72</v>
      </c>
      <c r="I74">
        <f>'Lab test'!AZ75</f>
        <v>1960</v>
      </c>
      <c r="J74">
        <f>IF('Lab test'!AU75&gt;0,'Lab test'!AU75,NA())</f>
        <v>0.80266698178777074</v>
      </c>
      <c r="K74">
        <f>IF('Lab test'!AT75&gt;0,'Lab test'!AT75,NA())</f>
        <v>0.45107002782273187</v>
      </c>
      <c r="L74">
        <f t="shared" si="8"/>
        <v>1</v>
      </c>
      <c r="M74">
        <f t="shared" si="9"/>
        <v>1960</v>
      </c>
      <c r="O74">
        <v>72</v>
      </c>
      <c r="P74">
        <v>1933</v>
      </c>
      <c r="Q74">
        <f t="shared" si="10"/>
        <v>0.1111111111111111</v>
      </c>
      <c r="R74" t="e">
        <f t="shared" si="11"/>
        <v>#N/A</v>
      </c>
      <c r="T74" t="e">
        <f t="shared" si="12"/>
        <v>#N/A</v>
      </c>
      <c r="U74">
        <f t="shared" si="13"/>
        <v>1933</v>
      </c>
      <c r="W74" t="e">
        <v>#N/A</v>
      </c>
      <c r="X74">
        <v>1933</v>
      </c>
    </row>
    <row r="75" spans="8:24">
      <c r="H75">
        <v>73</v>
      </c>
      <c r="I75">
        <f>'Lab test'!AZ76</f>
        <v>1960</v>
      </c>
      <c r="J75">
        <f>IF('Lab test'!AU76&gt;0,'Lab test'!AU76,NA())</f>
        <v>0.72771823441473038</v>
      </c>
      <c r="K75">
        <f>IF('Lab test'!AT76&gt;0,'Lab test'!AT76,NA())</f>
        <v>0.46428819713621844</v>
      </c>
      <c r="L75">
        <f t="shared" si="8"/>
        <v>1</v>
      </c>
      <c r="M75">
        <f t="shared" si="9"/>
        <v>1960</v>
      </c>
      <c r="O75">
        <v>73</v>
      </c>
      <c r="P75">
        <v>1933</v>
      </c>
      <c r="Q75">
        <f t="shared" si="10"/>
        <v>0.11265432098765432</v>
      </c>
      <c r="R75" t="e">
        <f t="shared" si="11"/>
        <v>#N/A</v>
      </c>
      <c r="T75" t="e">
        <f t="shared" si="12"/>
        <v>#N/A</v>
      </c>
      <c r="U75">
        <f t="shared" si="13"/>
        <v>1933</v>
      </c>
      <c r="W75" t="e">
        <v>#N/A</v>
      </c>
      <c r="X75">
        <v>1933</v>
      </c>
    </row>
    <row r="76" spans="8:24">
      <c r="H76">
        <v>74</v>
      </c>
      <c r="I76">
        <f>'Lab test'!AZ77</f>
        <v>1960</v>
      </c>
      <c r="J76">
        <f>IF('Lab test'!AU77&gt;0,'Lab test'!AU77,NA())</f>
        <v>0.78469261575680871</v>
      </c>
      <c r="K76">
        <f>IF('Lab test'!AT77&gt;0,'Lab test'!AT77,NA())</f>
        <v>0.50063816274830664</v>
      </c>
      <c r="L76">
        <f t="shared" si="8"/>
        <v>1</v>
      </c>
      <c r="M76">
        <f t="shared" si="9"/>
        <v>1960</v>
      </c>
      <c r="O76">
        <v>74</v>
      </c>
      <c r="P76">
        <v>1933</v>
      </c>
      <c r="Q76">
        <f t="shared" si="10"/>
        <v>0.11419753086419752</v>
      </c>
      <c r="R76" t="e">
        <f t="shared" si="11"/>
        <v>#N/A</v>
      </c>
      <c r="T76" t="e">
        <f t="shared" si="12"/>
        <v>#N/A</v>
      </c>
      <c r="U76">
        <f t="shared" si="13"/>
        <v>1933</v>
      </c>
      <c r="W76" t="e">
        <v>#N/A</v>
      </c>
      <c r="X76">
        <v>1933</v>
      </c>
    </row>
    <row r="77" spans="8:24">
      <c r="H77">
        <v>75</v>
      </c>
      <c r="I77">
        <f>'Lab test'!AZ78</f>
        <v>1960</v>
      </c>
      <c r="J77">
        <f>IF('Lab test'!AU78&gt;0,'Lab test'!AU78,NA())</f>
        <v>0.83589776406469851</v>
      </c>
      <c r="K77">
        <f>IF('Lab test'!AT78&gt;0,'Lab test'!AT78,NA())</f>
        <v>0.41141551988227176</v>
      </c>
      <c r="L77">
        <f t="shared" si="8"/>
        <v>1</v>
      </c>
      <c r="M77">
        <f t="shared" si="9"/>
        <v>1960</v>
      </c>
      <c r="O77">
        <v>75</v>
      </c>
      <c r="P77">
        <v>1933</v>
      </c>
      <c r="Q77">
        <f t="shared" si="10"/>
        <v>0.11574074074074074</v>
      </c>
      <c r="R77" t="e">
        <f t="shared" si="11"/>
        <v>#N/A</v>
      </c>
      <c r="T77" t="e">
        <f t="shared" si="12"/>
        <v>#N/A</v>
      </c>
      <c r="U77">
        <f t="shared" si="13"/>
        <v>1933</v>
      </c>
      <c r="W77" t="e">
        <v>#N/A</v>
      </c>
      <c r="X77">
        <v>1933</v>
      </c>
    </row>
    <row r="78" spans="8:24">
      <c r="H78">
        <v>76</v>
      </c>
      <c r="I78">
        <f>'Lab test'!AZ79</f>
        <v>1960</v>
      </c>
      <c r="J78">
        <f>IF('Lab test'!AU79&gt;0,'Lab test'!AU79,NA())</f>
        <v>0.8627539171270181</v>
      </c>
      <c r="K78">
        <f>IF('Lab test'!AT79&gt;0,'Lab test'!AT79,NA())</f>
        <v>0.42463368919575839</v>
      </c>
      <c r="L78">
        <f t="shared" si="8"/>
        <v>1</v>
      </c>
      <c r="M78">
        <f t="shared" si="9"/>
        <v>1960</v>
      </c>
      <c r="O78">
        <v>76</v>
      </c>
      <c r="P78">
        <v>1933</v>
      </c>
      <c r="Q78">
        <f t="shared" si="10"/>
        <v>0.11728395061728394</v>
      </c>
      <c r="R78" t="e">
        <f t="shared" si="11"/>
        <v>#N/A</v>
      </c>
      <c r="T78" t="e">
        <f t="shared" si="12"/>
        <v>#N/A</v>
      </c>
      <c r="U78">
        <f t="shared" si="13"/>
        <v>1933</v>
      </c>
      <c r="W78" t="e">
        <v>#N/A</v>
      </c>
      <c r="X78">
        <v>1933</v>
      </c>
    </row>
    <row r="79" spans="8:24">
      <c r="H79">
        <v>77</v>
      </c>
      <c r="I79">
        <f>'Lab test'!AZ80</f>
        <v>1934</v>
      </c>
      <c r="J79">
        <f>IF('Lab test'!AU80&gt;0,'Lab test'!AU80,NA())</f>
        <v>8.1418793104341983E-2</v>
      </c>
      <c r="K79">
        <f>IF('Lab test'!AT80&gt;0,'Lab test'!AT80,NA())</f>
        <v>0.2411554474956889</v>
      </c>
      <c r="L79">
        <f t="shared" si="8"/>
        <v>1</v>
      </c>
      <c r="M79">
        <f t="shared" si="9"/>
        <v>1934</v>
      </c>
      <c r="O79">
        <v>77</v>
      </c>
      <c r="P79">
        <v>1933</v>
      </c>
      <c r="Q79">
        <f t="shared" si="10"/>
        <v>0.11882716049382716</v>
      </c>
      <c r="R79" t="e">
        <f t="shared" si="11"/>
        <v>#N/A</v>
      </c>
      <c r="T79" t="e">
        <f t="shared" si="12"/>
        <v>#N/A</v>
      </c>
      <c r="U79">
        <f t="shared" si="13"/>
        <v>1933</v>
      </c>
      <c r="W79" t="e">
        <v>#N/A</v>
      </c>
      <c r="X79">
        <v>1933</v>
      </c>
    </row>
    <row r="80" spans="8:24">
      <c r="H80">
        <v>78</v>
      </c>
      <c r="I80">
        <f>'Lab test'!AZ81</f>
        <v>1934</v>
      </c>
      <c r="J80">
        <f>IF('Lab test'!AU81&gt;0,'Lab test'!AU81,NA())</f>
        <v>8.6828336277165408E-2</v>
      </c>
      <c r="K80">
        <f>IF('Lab test'!AT81&gt;0,'Lab test'!AT81,NA())</f>
        <v>0.26642905703710262</v>
      </c>
      <c r="L80">
        <f t="shared" si="8"/>
        <v>1</v>
      </c>
      <c r="M80">
        <f t="shared" si="9"/>
        <v>1934</v>
      </c>
      <c r="O80">
        <v>78</v>
      </c>
      <c r="P80">
        <v>1933</v>
      </c>
      <c r="Q80">
        <f t="shared" si="10"/>
        <v>0.12037037037037036</v>
      </c>
      <c r="R80" t="e">
        <f t="shared" si="11"/>
        <v>#N/A</v>
      </c>
      <c r="T80" t="e">
        <f t="shared" si="12"/>
        <v>#N/A</v>
      </c>
      <c r="U80">
        <f t="shared" si="13"/>
        <v>1933</v>
      </c>
      <c r="W80" t="e">
        <v>#N/A</v>
      </c>
      <c r="X80">
        <v>1933</v>
      </c>
    </row>
    <row r="81" spans="8:24">
      <c r="H81">
        <v>79</v>
      </c>
      <c r="I81">
        <f>'Lab test'!AZ82</f>
        <v>1934</v>
      </c>
      <c r="J81">
        <f>IF('Lab test'!AU82&gt;0,'Lab test'!AU82,NA())</f>
        <v>0.12447982158240503</v>
      </c>
      <c r="K81">
        <f>IF('Lab test'!AT82&gt;0,'Lab test'!AT82,NA())</f>
        <v>0.24050782929894216</v>
      </c>
      <c r="L81">
        <f t="shared" si="8"/>
        <v>1</v>
      </c>
      <c r="M81">
        <f t="shared" si="9"/>
        <v>1934</v>
      </c>
      <c r="O81">
        <v>79</v>
      </c>
      <c r="P81">
        <v>1933</v>
      </c>
      <c r="Q81">
        <f t="shared" si="10"/>
        <v>0.12191358024691358</v>
      </c>
      <c r="R81" t="e">
        <f t="shared" si="11"/>
        <v>#N/A</v>
      </c>
      <c r="T81" t="e">
        <f t="shared" si="12"/>
        <v>#N/A</v>
      </c>
      <c r="U81">
        <f t="shared" si="13"/>
        <v>1933</v>
      </c>
      <c r="W81" t="e">
        <v>#N/A</v>
      </c>
      <c r="X81">
        <v>1933</v>
      </c>
    </row>
    <row r="82" spans="8:24">
      <c r="H82">
        <v>80</v>
      </c>
      <c r="I82">
        <f>'Lab test'!AZ83</f>
        <v>1934</v>
      </c>
      <c r="J82">
        <f>IF('Lab test'!AU83&gt;0,'Lab test'!AU83,NA())</f>
        <v>0.16397159184501497</v>
      </c>
      <c r="K82">
        <f>IF('Lab test'!AT83&gt;0,'Lab test'!AT83,NA())</f>
        <v>0.33276445491164647</v>
      </c>
      <c r="L82">
        <f t="shared" si="8"/>
        <v>1</v>
      </c>
      <c r="M82">
        <f t="shared" si="9"/>
        <v>1934</v>
      </c>
      <c r="O82">
        <v>80</v>
      </c>
      <c r="P82">
        <v>1933</v>
      </c>
      <c r="Q82">
        <f t="shared" si="10"/>
        <v>0.12345679012345678</v>
      </c>
      <c r="R82" t="e">
        <f t="shared" si="11"/>
        <v>#N/A</v>
      </c>
      <c r="T82" t="e">
        <f t="shared" si="12"/>
        <v>#N/A</v>
      </c>
      <c r="U82">
        <f t="shared" si="13"/>
        <v>1933</v>
      </c>
      <c r="W82" t="e">
        <v>#N/A</v>
      </c>
      <c r="X82">
        <v>1933</v>
      </c>
    </row>
    <row r="83" spans="8:24">
      <c r="H83">
        <v>81</v>
      </c>
      <c r="I83">
        <f>'Lab test'!AZ84</f>
        <v>1934</v>
      </c>
      <c r="J83">
        <f>IF('Lab test'!AU84&gt;0,'Lab test'!AU84,NA())</f>
        <v>0.29426774669959133</v>
      </c>
      <c r="K83">
        <f>IF('Lab test'!AT84&gt;0,'Lab test'!AT84,NA())</f>
        <v>0.29384447099213151</v>
      </c>
      <c r="L83">
        <f t="shared" si="8"/>
        <v>1</v>
      </c>
      <c r="M83">
        <f t="shared" si="9"/>
        <v>1934</v>
      </c>
      <c r="O83">
        <v>81</v>
      </c>
      <c r="P83">
        <v>1933</v>
      </c>
      <c r="Q83">
        <f t="shared" si="10"/>
        <v>0.125</v>
      </c>
      <c r="R83" t="e">
        <f t="shared" si="11"/>
        <v>#N/A</v>
      </c>
      <c r="T83" t="e">
        <f t="shared" si="12"/>
        <v>#N/A</v>
      </c>
      <c r="U83">
        <f t="shared" si="13"/>
        <v>1933</v>
      </c>
      <c r="W83" t="e">
        <v>#N/A</v>
      </c>
      <c r="X83">
        <v>1933</v>
      </c>
    </row>
    <row r="84" spans="8:24">
      <c r="H84">
        <v>82</v>
      </c>
      <c r="I84">
        <f>'Lab test'!AZ85</f>
        <v>1934</v>
      </c>
      <c r="J84">
        <f>IF('Lab test'!AU85&gt;0,'Lab test'!AU85,NA())</f>
        <v>0.41620410022873988</v>
      </c>
      <c r="K84">
        <f>IF('Lab test'!AT85&gt;0,'Lab test'!AT85,NA())</f>
        <v>0.43394096457861686</v>
      </c>
      <c r="L84">
        <f t="shared" si="8"/>
        <v>1</v>
      </c>
      <c r="M84">
        <f t="shared" si="9"/>
        <v>1934</v>
      </c>
      <c r="O84">
        <v>82</v>
      </c>
      <c r="P84">
        <v>1933</v>
      </c>
      <c r="Q84">
        <f t="shared" si="10"/>
        <v>0.12654320987654322</v>
      </c>
      <c r="R84" t="e">
        <f t="shared" si="11"/>
        <v>#N/A</v>
      </c>
      <c r="T84" t="e">
        <f t="shared" si="12"/>
        <v>#N/A</v>
      </c>
      <c r="U84">
        <f t="shared" si="13"/>
        <v>1933</v>
      </c>
      <c r="W84" t="e">
        <v>#N/A</v>
      </c>
      <c r="X84">
        <v>1933</v>
      </c>
    </row>
    <row r="85" spans="8:24">
      <c r="H85">
        <v>83</v>
      </c>
      <c r="I85">
        <f>'Lab test'!AZ86</f>
        <v>1934</v>
      </c>
      <c r="J85">
        <f>IF('Lab test'!AU86&gt;0,'Lab test'!AU86,NA())</f>
        <v>3.4505954836150668E-2</v>
      </c>
      <c r="K85">
        <f>IF('Lab test'!AT86&gt;0,'Lab test'!AT86,NA())</f>
        <v>0.13564357259641754</v>
      </c>
      <c r="L85">
        <f t="shared" si="8"/>
        <v>1</v>
      </c>
      <c r="M85">
        <f t="shared" si="9"/>
        <v>1934</v>
      </c>
      <c r="O85">
        <v>83</v>
      </c>
      <c r="P85">
        <v>1933</v>
      </c>
      <c r="Q85">
        <f t="shared" si="10"/>
        <v>0.12808641975308643</v>
      </c>
      <c r="R85" t="e">
        <f t="shared" si="11"/>
        <v>#N/A</v>
      </c>
      <c r="T85" t="e">
        <f t="shared" si="12"/>
        <v>#N/A</v>
      </c>
      <c r="U85">
        <f t="shared" si="13"/>
        <v>1933</v>
      </c>
      <c r="W85" t="e">
        <v>#N/A</v>
      </c>
      <c r="X85">
        <v>1933</v>
      </c>
    </row>
    <row r="86" spans="8:24">
      <c r="H86">
        <v>84</v>
      </c>
      <c r="I86">
        <f>'Lab test'!AZ87</f>
        <v>1934</v>
      </c>
      <c r="J86">
        <f>IF('Lab test'!AU87&gt;0,'Lab test'!AU87,NA())</f>
        <v>3.8288785255329569E-2</v>
      </c>
      <c r="K86">
        <f>IF('Lab test'!AT87&gt;0,'Lab test'!AT87,NA())</f>
        <v>0.15479396936850673</v>
      </c>
      <c r="L86">
        <f t="shared" si="8"/>
        <v>1</v>
      </c>
      <c r="M86">
        <f t="shared" si="9"/>
        <v>1934</v>
      </c>
      <c r="O86">
        <v>84</v>
      </c>
      <c r="P86">
        <v>1933</v>
      </c>
      <c r="Q86">
        <f t="shared" si="10"/>
        <v>0.12962962962962962</v>
      </c>
      <c r="R86" t="e">
        <f t="shared" si="11"/>
        <v>#N/A</v>
      </c>
      <c r="T86" t="e">
        <f t="shared" si="12"/>
        <v>#N/A</v>
      </c>
      <c r="U86">
        <f t="shared" si="13"/>
        <v>1933</v>
      </c>
      <c r="W86" t="e">
        <v>#N/A</v>
      </c>
      <c r="X86">
        <v>1933</v>
      </c>
    </row>
    <row r="87" spans="8:24">
      <c r="H87">
        <v>85</v>
      </c>
      <c r="I87">
        <f>'Lab test'!AZ88</f>
        <v>1934</v>
      </c>
      <c r="J87">
        <f>IF('Lab test'!AU88&gt;0,'Lab test'!AU88,NA())</f>
        <v>9.0883936512525992E-2</v>
      </c>
      <c r="K87">
        <f>IF('Lab test'!AT88&gt;0,'Lab test'!AT88,NA())</f>
        <v>0.2352034831345686</v>
      </c>
      <c r="L87">
        <f t="shared" si="8"/>
        <v>1</v>
      </c>
      <c r="M87">
        <f t="shared" si="9"/>
        <v>1934</v>
      </c>
      <c r="O87">
        <v>85</v>
      </c>
      <c r="P87">
        <v>1933</v>
      </c>
      <c r="Q87">
        <f t="shared" si="10"/>
        <v>0.13117283950617284</v>
      </c>
      <c r="R87" t="e">
        <f t="shared" si="11"/>
        <v>#N/A</v>
      </c>
      <c r="T87" t="e">
        <f t="shared" si="12"/>
        <v>#N/A</v>
      </c>
      <c r="U87">
        <f t="shared" si="13"/>
        <v>1933</v>
      </c>
      <c r="W87" t="e">
        <v>#N/A</v>
      </c>
      <c r="X87">
        <v>1933</v>
      </c>
    </row>
    <row r="88" spans="8:24">
      <c r="H88">
        <v>86</v>
      </c>
      <c r="I88">
        <f>'Lab test'!AZ89</f>
        <v>1934</v>
      </c>
      <c r="J88">
        <f>IF('Lab test'!AU89&gt;0,'Lab test'!AU89,NA())</f>
        <v>0.11120120750457747</v>
      </c>
      <c r="K88">
        <f>IF('Lab test'!AT89&gt;0,'Lab test'!AT89,NA())</f>
        <v>0.29453913877225468</v>
      </c>
      <c r="L88">
        <f t="shared" si="8"/>
        <v>1</v>
      </c>
      <c r="M88">
        <f t="shared" si="9"/>
        <v>1934</v>
      </c>
      <c r="O88">
        <v>86</v>
      </c>
      <c r="P88">
        <v>1933</v>
      </c>
      <c r="Q88">
        <f t="shared" si="10"/>
        <v>0.13271604938271606</v>
      </c>
      <c r="R88" t="e">
        <f t="shared" si="11"/>
        <v>#N/A</v>
      </c>
      <c r="T88" t="e">
        <f t="shared" si="12"/>
        <v>#N/A</v>
      </c>
      <c r="U88">
        <f t="shared" si="13"/>
        <v>1933</v>
      </c>
      <c r="W88" t="e">
        <v>#N/A</v>
      </c>
      <c r="X88">
        <v>1933</v>
      </c>
    </row>
    <row r="89" spans="8:24">
      <c r="H89">
        <v>87</v>
      </c>
      <c r="I89">
        <f>'Lab test'!AZ90</f>
        <v>1934</v>
      </c>
      <c r="J89">
        <f>IF('Lab test'!AU90&gt;0,'Lab test'!AU90,NA())</f>
        <v>0.19371481349938846</v>
      </c>
      <c r="K89">
        <f>IF('Lab test'!AT90&gt;0,'Lab test'!AT90,NA())</f>
        <v>0.26797986958233588</v>
      </c>
      <c r="L89">
        <f t="shared" si="8"/>
        <v>1</v>
      </c>
      <c r="M89">
        <f t="shared" si="9"/>
        <v>1934</v>
      </c>
      <c r="O89">
        <v>87</v>
      </c>
      <c r="P89">
        <v>1933</v>
      </c>
      <c r="Q89">
        <f t="shared" si="10"/>
        <v>0.13425925925925927</v>
      </c>
      <c r="R89" t="e">
        <f t="shared" si="11"/>
        <v>#N/A</v>
      </c>
      <c r="T89" t="e">
        <f t="shared" si="12"/>
        <v>#N/A</v>
      </c>
      <c r="U89">
        <f t="shared" si="13"/>
        <v>1933</v>
      </c>
      <c r="W89" t="e">
        <v>#N/A</v>
      </c>
      <c r="X89">
        <v>1933</v>
      </c>
    </row>
    <row r="90" spans="8:24">
      <c r="H90">
        <v>88</v>
      </c>
      <c r="I90">
        <f>'Lab test'!AZ91</f>
        <v>1934</v>
      </c>
      <c r="J90">
        <f>IF('Lab test'!AU91&gt;0,'Lab test'!AU91,NA())</f>
        <v>0.23212022446925107</v>
      </c>
      <c r="K90">
        <f>IF('Lab test'!AT91&gt;0,'Lab test'!AT91,NA())</f>
        <v>0.32427251782276756</v>
      </c>
      <c r="L90">
        <f t="shared" si="8"/>
        <v>1</v>
      </c>
      <c r="M90">
        <f t="shared" si="9"/>
        <v>1934</v>
      </c>
      <c r="O90">
        <v>88</v>
      </c>
      <c r="P90">
        <v>1933</v>
      </c>
      <c r="Q90">
        <f t="shared" si="10"/>
        <v>0.13580246913580246</v>
      </c>
      <c r="R90" t="e">
        <f t="shared" si="11"/>
        <v>#N/A</v>
      </c>
      <c r="T90" t="e">
        <f t="shared" si="12"/>
        <v>#N/A</v>
      </c>
      <c r="U90">
        <f t="shared" si="13"/>
        <v>1933</v>
      </c>
      <c r="W90" t="e">
        <v>#N/A</v>
      </c>
      <c r="X90">
        <v>1933</v>
      </c>
    </row>
    <row r="91" spans="8:24">
      <c r="H91">
        <v>89</v>
      </c>
      <c r="I91">
        <f>'Lab test'!AZ92</f>
        <v>1934</v>
      </c>
      <c r="J91">
        <f>IF('Lab test'!AU92&gt;0,'Lab test'!AU92,NA())</f>
        <v>6.7548364638132477E-2</v>
      </c>
      <c r="K91">
        <f>IF('Lab test'!AT92&gt;0,'Lab test'!AT92,NA())</f>
        <v>0.21826083698616702</v>
      </c>
      <c r="L91">
        <f t="shared" si="8"/>
        <v>1</v>
      </c>
      <c r="M91">
        <f t="shared" si="9"/>
        <v>1934</v>
      </c>
      <c r="O91">
        <v>89</v>
      </c>
      <c r="P91">
        <v>1933</v>
      </c>
      <c r="Q91">
        <f t="shared" si="10"/>
        <v>0.13734567901234568</v>
      </c>
      <c r="R91" t="e">
        <f t="shared" si="11"/>
        <v>#N/A</v>
      </c>
      <c r="T91" t="e">
        <f t="shared" si="12"/>
        <v>#N/A</v>
      </c>
      <c r="U91">
        <f t="shared" si="13"/>
        <v>1933</v>
      </c>
      <c r="W91" t="e">
        <v>#N/A</v>
      </c>
      <c r="X91">
        <v>1933</v>
      </c>
    </row>
    <row r="92" spans="8:24">
      <c r="H92">
        <v>90</v>
      </c>
      <c r="I92">
        <f>'Lab test'!AZ93</f>
        <v>1934</v>
      </c>
      <c r="J92">
        <f>IF('Lab test'!AU93&gt;0,'Lab test'!AU93,NA())</f>
        <v>0.15059868805898122</v>
      </c>
      <c r="K92">
        <f>IF('Lab test'!AT93&gt;0,'Lab test'!AT93,NA())</f>
        <v>0.31008712796085569</v>
      </c>
      <c r="L92">
        <f t="shared" si="8"/>
        <v>1</v>
      </c>
      <c r="M92">
        <f t="shared" si="9"/>
        <v>1934</v>
      </c>
      <c r="O92">
        <v>90</v>
      </c>
      <c r="P92">
        <v>1933</v>
      </c>
      <c r="Q92">
        <f t="shared" si="10"/>
        <v>0.1388888888888889</v>
      </c>
      <c r="R92" t="e">
        <f t="shared" si="11"/>
        <v>#N/A</v>
      </c>
      <c r="T92" t="e">
        <f t="shared" si="12"/>
        <v>#N/A</v>
      </c>
      <c r="U92">
        <f t="shared" si="13"/>
        <v>1933</v>
      </c>
      <c r="W92" t="e">
        <v>#N/A</v>
      </c>
      <c r="X92">
        <v>1933</v>
      </c>
    </row>
    <row r="93" spans="8:24">
      <c r="H93">
        <v>91</v>
      </c>
      <c r="I93">
        <f>'Lab test'!AZ94</f>
        <v>1934</v>
      </c>
      <c r="J93">
        <f>IF('Lab test'!AU94&gt;0,'Lab test'!AU94,NA())</f>
        <v>0.25200969786464456</v>
      </c>
      <c r="K93">
        <f>IF('Lab test'!AT94&gt;0,'Lab test'!AT94,NA())</f>
        <v>0.26083141088404099</v>
      </c>
      <c r="L93">
        <f t="shared" si="8"/>
        <v>1</v>
      </c>
      <c r="M93">
        <f t="shared" si="9"/>
        <v>1934</v>
      </c>
      <c r="O93">
        <v>91</v>
      </c>
      <c r="P93">
        <v>1933</v>
      </c>
      <c r="Q93">
        <f t="shared" si="10"/>
        <v>0.14043209876543211</v>
      </c>
      <c r="R93" t="e">
        <f t="shared" si="11"/>
        <v>#N/A</v>
      </c>
      <c r="T93" t="e">
        <f t="shared" si="12"/>
        <v>#N/A</v>
      </c>
      <c r="U93">
        <f t="shared" si="13"/>
        <v>1933</v>
      </c>
      <c r="W93" t="e">
        <v>#N/A</v>
      </c>
      <c r="X93">
        <v>1933</v>
      </c>
    </row>
    <row r="94" spans="8:24">
      <c r="H94">
        <v>92</v>
      </c>
      <c r="I94">
        <f>'Lab test'!AZ95</f>
        <v>1934</v>
      </c>
      <c r="J94">
        <f>IF('Lab test'!AU95&gt;0,'Lab test'!AU95,NA())</f>
        <v>4.0102563353280905E-2</v>
      </c>
      <c r="K94">
        <f>IF('Lab test'!AT95&gt;0,'Lab test'!AT95,NA())</f>
        <v>0.17190320000870835</v>
      </c>
      <c r="L94">
        <f t="shared" si="8"/>
        <v>1</v>
      </c>
      <c r="M94">
        <f t="shared" si="9"/>
        <v>1934</v>
      </c>
      <c r="O94">
        <v>92</v>
      </c>
      <c r="P94">
        <v>1933</v>
      </c>
      <c r="Q94">
        <f t="shared" si="10"/>
        <v>0.1419753086419753</v>
      </c>
      <c r="R94" t="e">
        <f t="shared" si="11"/>
        <v>#N/A</v>
      </c>
      <c r="T94" t="e">
        <f t="shared" si="12"/>
        <v>#N/A</v>
      </c>
      <c r="U94">
        <f t="shared" si="13"/>
        <v>1933</v>
      </c>
      <c r="W94" t="e">
        <v>#N/A</v>
      </c>
      <c r="X94">
        <v>1933</v>
      </c>
    </row>
    <row r="95" spans="8:24">
      <c r="H95">
        <v>93</v>
      </c>
      <c r="I95">
        <f>'Lab test'!AZ96</f>
        <v>1934</v>
      </c>
      <c r="J95">
        <f>IF('Lab test'!AU96&gt;0,'Lab test'!AU96,NA())</f>
        <v>7.263099613412656E-2</v>
      </c>
      <c r="K95">
        <f>IF('Lab test'!AT96&gt;0,'Lab test'!AT96,NA())</f>
        <v>0.20386330282968676</v>
      </c>
      <c r="L95">
        <f t="shared" si="8"/>
        <v>1</v>
      </c>
      <c r="M95">
        <f t="shared" si="9"/>
        <v>1934</v>
      </c>
      <c r="O95">
        <v>93</v>
      </c>
      <c r="P95">
        <v>1933</v>
      </c>
      <c r="Q95">
        <f t="shared" si="10"/>
        <v>0.14351851851851852</v>
      </c>
      <c r="R95" t="e">
        <f t="shared" si="11"/>
        <v>#N/A</v>
      </c>
      <c r="T95" t="e">
        <f t="shared" si="12"/>
        <v>#N/A</v>
      </c>
      <c r="U95">
        <f t="shared" si="13"/>
        <v>1933</v>
      </c>
      <c r="W95" t="e">
        <v>#N/A</v>
      </c>
      <c r="X95">
        <v>1933</v>
      </c>
    </row>
    <row r="96" spans="8:24">
      <c r="H96">
        <v>94</v>
      </c>
      <c r="I96">
        <f>'Lab test'!AZ97</f>
        <v>1934</v>
      </c>
      <c r="J96">
        <f>IF('Lab test'!AU97&gt;0,'Lab test'!AU97,NA())</f>
        <v>0.25295994902458802</v>
      </c>
      <c r="K96">
        <f>IF('Lab test'!AT97&gt;0,'Lab test'!AT97,NA())</f>
        <v>0.2562046061708273</v>
      </c>
      <c r="L96">
        <f t="shared" si="8"/>
        <v>1</v>
      </c>
      <c r="M96">
        <f t="shared" si="9"/>
        <v>1934</v>
      </c>
      <c r="O96">
        <v>94</v>
      </c>
      <c r="P96">
        <v>1933</v>
      </c>
      <c r="Q96">
        <f t="shared" si="10"/>
        <v>0.14506172839506173</v>
      </c>
      <c r="R96" t="e">
        <f t="shared" si="11"/>
        <v>#N/A</v>
      </c>
      <c r="T96" t="e">
        <f t="shared" si="12"/>
        <v>#N/A</v>
      </c>
      <c r="U96">
        <f t="shared" si="13"/>
        <v>1933</v>
      </c>
      <c r="W96" t="e">
        <v>#N/A</v>
      </c>
      <c r="X96">
        <v>1933</v>
      </c>
    </row>
    <row r="97" spans="8:24">
      <c r="H97">
        <v>95</v>
      </c>
      <c r="I97">
        <f>'Lab test'!AZ98</f>
        <v>1934</v>
      </c>
      <c r="J97">
        <f>IF('Lab test'!AU98&gt;0,'Lab test'!AU98,NA())</f>
        <v>0.13551900719384577</v>
      </c>
      <c r="K97">
        <f>IF('Lab test'!AT98&gt;0,'Lab test'!AT98,NA())</f>
        <v>0.19312581729373399</v>
      </c>
      <c r="L97">
        <f t="shared" si="8"/>
        <v>1</v>
      </c>
      <c r="M97">
        <f t="shared" si="9"/>
        <v>1934</v>
      </c>
      <c r="O97">
        <v>95</v>
      </c>
      <c r="P97">
        <v>1933</v>
      </c>
      <c r="Q97">
        <f t="shared" si="10"/>
        <v>0.14660493827160495</v>
      </c>
      <c r="R97" t="e">
        <f t="shared" si="11"/>
        <v>#N/A</v>
      </c>
      <c r="T97" t="e">
        <f t="shared" si="12"/>
        <v>#N/A</v>
      </c>
      <c r="U97">
        <f t="shared" si="13"/>
        <v>1933</v>
      </c>
      <c r="W97" t="e">
        <v>#N/A</v>
      </c>
      <c r="X97">
        <v>1933</v>
      </c>
    </row>
    <row r="98" spans="8:24">
      <c r="H98">
        <v>96</v>
      </c>
      <c r="I98">
        <f>'Lab test'!AZ99</f>
        <v>1934</v>
      </c>
      <c r="J98">
        <f>IF('Lab test'!AU99&gt;0,'Lab test'!AU99,NA())</f>
        <v>0.22254779560069551</v>
      </c>
      <c r="K98">
        <f>IF('Lab test'!AT99&gt;0,'Lab test'!AT99,NA())</f>
        <v>0.31812626123732268</v>
      </c>
      <c r="L98">
        <f t="shared" si="8"/>
        <v>1</v>
      </c>
      <c r="M98">
        <f t="shared" si="9"/>
        <v>1934</v>
      </c>
      <c r="O98">
        <v>96</v>
      </c>
      <c r="P98">
        <v>1933</v>
      </c>
      <c r="Q98">
        <f t="shared" si="10"/>
        <v>0.14814814814814814</v>
      </c>
      <c r="R98" t="e">
        <f t="shared" si="11"/>
        <v>#N/A</v>
      </c>
      <c r="T98" t="e">
        <f t="shared" si="12"/>
        <v>#N/A</v>
      </c>
      <c r="U98">
        <f t="shared" si="13"/>
        <v>1933</v>
      </c>
      <c r="W98" t="e">
        <v>#N/A</v>
      </c>
      <c r="X98">
        <v>1933</v>
      </c>
    </row>
    <row r="99" spans="8:24">
      <c r="H99">
        <v>97</v>
      </c>
      <c r="I99">
        <f>'Lab test'!AZ100</f>
        <v>1934</v>
      </c>
      <c r="J99">
        <f>IF('Lab test'!AU100&gt;0,'Lab test'!AU100,NA())</f>
        <v>0.24711013921243075</v>
      </c>
      <c r="K99">
        <f>IF('Lab test'!AT100&gt;0,'Lab test'!AT100,NA())</f>
        <v>0.22852688182856856</v>
      </c>
      <c r="L99">
        <f t="shared" si="8"/>
        <v>1</v>
      </c>
      <c r="M99">
        <f t="shared" si="9"/>
        <v>1934</v>
      </c>
      <c r="O99">
        <v>97</v>
      </c>
      <c r="P99">
        <v>1933</v>
      </c>
      <c r="Q99">
        <f t="shared" si="10"/>
        <v>0.14969135802469136</v>
      </c>
      <c r="R99" t="e">
        <f t="shared" si="11"/>
        <v>#N/A</v>
      </c>
      <c r="T99" t="e">
        <f t="shared" si="12"/>
        <v>#N/A</v>
      </c>
      <c r="U99">
        <f t="shared" si="13"/>
        <v>1933</v>
      </c>
      <c r="W99" t="e">
        <v>#N/A</v>
      </c>
      <c r="X99">
        <v>1933</v>
      </c>
    </row>
    <row r="100" spans="8:24">
      <c r="H100">
        <v>98</v>
      </c>
      <c r="I100">
        <f>'Lab test'!AZ101</f>
        <v>1934</v>
      </c>
      <c r="J100">
        <f>IF('Lab test'!AU101&gt;0,'Lab test'!AU101,NA())</f>
        <v>0.2362238705192902</v>
      </c>
      <c r="K100">
        <f>IF('Lab test'!AT101&gt;0,'Lab test'!AT101,NA())</f>
        <v>0.22068090572493562</v>
      </c>
      <c r="L100">
        <f t="shared" si="8"/>
        <v>1</v>
      </c>
      <c r="M100">
        <f t="shared" si="9"/>
        <v>1934</v>
      </c>
      <c r="O100">
        <v>98</v>
      </c>
      <c r="P100">
        <v>1933</v>
      </c>
      <c r="Q100">
        <f t="shared" si="10"/>
        <v>0.15123456790123457</v>
      </c>
      <c r="R100" t="e">
        <f t="shared" si="11"/>
        <v>#N/A</v>
      </c>
      <c r="T100" t="e">
        <f t="shared" si="12"/>
        <v>#N/A</v>
      </c>
      <c r="U100">
        <f t="shared" si="13"/>
        <v>1933</v>
      </c>
      <c r="W100" t="e">
        <v>#N/A</v>
      </c>
      <c r="X100">
        <v>1933</v>
      </c>
    </row>
    <row r="101" spans="8:24">
      <c r="H101">
        <v>99</v>
      </c>
      <c r="I101">
        <f>'Lab test'!AZ102</f>
        <v>1934</v>
      </c>
      <c r="J101">
        <f>IF('Lab test'!AU102&gt;0,'Lab test'!AU102,NA())</f>
        <v>0.68140383445120845</v>
      </c>
      <c r="K101">
        <f>IF('Lab test'!AT102&gt;0,'Lab test'!AT102,NA())</f>
        <v>0.3238240450206778</v>
      </c>
      <c r="L101">
        <f t="shared" si="8"/>
        <v>1</v>
      </c>
      <c r="M101">
        <f t="shared" si="9"/>
        <v>1934</v>
      </c>
      <c r="O101">
        <v>99</v>
      </c>
      <c r="P101">
        <v>1933</v>
      </c>
      <c r="Q101">
        <f t="shared" si="10"/>
        <v>0.15277777777777779</v>
      </c>
      <c r="R101" t="e">
        <f t="shared" si="11"/>
        <v>#N/A</v>
      </c>
      <c r="T101" t="e">
        <f t="shared" si="12"/>
        <v>#N/A</v>
      </c>
      <c r="U101">
        <f t="shared" si="13"/>
        <v>1933</v>
      </c>
      <c r="W101" t="e">
        <v>#N/A</v>
      </c>
      <c r="X101">
        <v>1933</v>
      </c>
    </row>
    <row r="102" spans="8:24">
      <c r="H102">
        <v>100</v>
      </c>
      <c r="I102">
        <f>'Lab test'!AZ103</f>
        <v>1934</v>
      </c>
      <c r="J102">
        <f>IF('Lab test'!AU103&gt;0,'Lab test'!AU103,NA())</f>
        <v>7.7329952997042248E-2</v>
      </c>
      <c r="K102">
        <f>IF('Lab test'!AT103&gt;0,'Lab test'!AT103,NA())</f>
        <v>0.2245247458937866</v>
      </c>
      <c r="L102">
        <f t="shared" si="8"/>
        <v>1</v>
      </c>
      <c r="M102">
        <f t="shared" si="9"/>
        <v>1934</v>
      </c>
      <c r="O102">
        <v>100</v>
      </c>
      <c r="P102">
        <v>1933</v>
      </c>
      <c r="Q102">
        <f t="shared" si="10"/>
        <v>0.15432098765432098</v>
      </c>
      <c r="R102" t="e">
        <f t="shared" si="11"/>
        <v>#N/A</v>
      </c>
      <c r="T102" t="e">
        <f t="shared" si="12"/>
        <v>#N/A</v>
      </c>
      <c r="U102">
        <f t="shared" si="13"/>
        <v>1933</v>
      </c>
      <c r="W102" t="e">
        <v>#N/A</v>
      </c>
      <c r="X102">
        <v>1933</v>
      </c>
    </row>
    <row r="103" spans="8:24">
      <c r="H103">
        <v>101</v>
      </c>
      <c r="I103">
        <f>'Lab test'!AZ104</f>
        <v>1934</v>
      </c>
      <c r="J103">
        <f>IF('Lab test'!AU104&gt;0,'Lab test'!AU104,NA())</f>
        <v>0.27841065362787754</v>
      </c>
      <c r="K103">
        <f>IF('Lab test'!AT104&gt;0,'Lab test'!AT104,NA())</f>
        <v>0.27147188655279747</v>
      </c>
      <c r="L103">
        <f t="shared" si="8"/>
        <v>1</v>
      </c>
      <c r="M103">
        <f t="shared" si="9"/>
        <v>1934</v>
      </c>
      <c r="O103">
        <v>101</v>
      </c>
      <c r="P103">
        <v>1933</v>
      </c>
      <c r="Q103">
        <f t="shared" si="10"/>
        <v>0.1558641975308642</v>
      </c>
      <c r="R103" t="e">
        <f t="shared" si="11"/>
        <v>#N/A</v>
      </c>
      <c r="T103" t="e">
        <f t="shared" si="12"/>
        <v>#N/A</v>
      </c>
      <c r="U103">
        <f t="shared" si="13"/>
        <v>1933</v>
      </c>
      <c r="W103" t="e">
        <v>#N/A</v>
      </c>
      <c r="X103">
        <v>1933</v>
      </c>
    </row>
    <row r="104" spans="8:24">
      <c r="H104">
        <v>102</v>
      </c>
      <c r="I104">
        <f>'Lab test'!AZ105</f>
        <v>1934</v>
      </c>
      <c r="J104">
        <f>IF('Lab test'!AU105&gt;0,'Lab test'!AU105,NA())</f>
        <v>0.3109239161777691</v>
      </c>
      <c r="K104">
        <f>IF('Lab test'!AT105&gt;0,'Lab test'!AT105,NA())</f>
        <v>0.30215058897453856</v>
      </c>
      <c r="L104">
        <f t="shared" si="8"/>
        <v>1</v>
      </c>
      <c r="M104">
        <f t="shared" si="9"/>
        <v>1934</v>
      </c>
      <c r="O104">
        <v>102</v>
      </c>
      <c r="P104">
        <v>1933</v>
      </c>
      <c r="Q104">
        <f t="shared" si="10"/>
        <v>0.15740740740740741</v>
      </c>
      <c r="R104" t="e">
        <f t="shared" si="11"/>
        <v>#N/A</v>
      </c>
      <c r="T104" t="e">
        <f t="shared" si="12"/>
        <v>#N/A</v>
      </c>
      <c r="U104">
        <f t="shared" si="13"/>
        <v>1933</v>
      </c>
      <c r="W104" t="e">
        <v>#N/A</v>
      </c>
      <c r="X104">
        <v>1933</v>
      </c>
    </row>
    <row r="105" spans="8:24">
      <c r="H105">
        <v>103</v>
      </c>
      <c r="I105">
        <f>'Lab test'!AZ106</f>
        <v>1934</v>
      </c>
      <c r="J105">
        <f>IF('Lab test'!AU106&gt;0,'Lab test'!AU106,NA())</f>
        <v>4.0381948452635229E-2</v>
      </c>
      <c r="K105">
        <f>IF('Lab test'!AT106&gt;0,'Lab test'!AT106,NA())</f>
        <v>0.16559131164643109</v>
      </c>
      <c r="L105">
        <f t="shared" si="8"/>
        <v>1</v>
      </c>
      <c r="M105">
        <f t="shared" si="9"/>
        <v>1934</v>
      </c>
      <c r="O105">
        <v>103</v>
      </c>
      <c r="P105">
        <v>1933</v>
      </c>
      <c r="Q105">
        <f t="shared" si="10"/>
        <v>0.15895061728395063</v>
      </c>
      <c r="R105" t="e">
        <f t="shared" si="11"/>
        <v>#N/A</v>
      </c>
      <c r="T105" t="e">
        <f t="shared" si="12"/>
        <v>#N/A</v>
      </c>
      <c r="U105">
        <f t="shared" si="13"/>
        <v>1933</v>
      </c>
      <c r="W105" t="e">
        <v>#N/A</v>
      </c>
      <c r="X105">
        <v>1933</v>
      </c>
    </row>
    <row r="106" spans="8:24">
      <c r="H106">
        <v>104</v>
      </c>
      <c r="I106">
        <f>'Lab test'!AZ107</f>
        <v>1934</v>
      </c>
      <c r="J106">
        <f>IF('Lab test'!AU107&gt;0,'Lab test'!AU107,NA())</f>
        <v>4.0464136950164348E-2</v>
      </c>
      <c r="K106">
        <f>IF('Lab test'!AT107&gt;0,'Lab test'!AT107,NA())</f>
        <v>0.17418347712143262</v>
      </c>
      <c r="L106">
        <f t="shared" si="8"/>
        <v>1</v>
      </c>
      <c r="M106">
        <f t="shared" si="9"/>
        <v>1934</v>
      </c>
      <c r="O106">
        <v>104</v>
      </c>
      <c r="P106">
        <v>1933</v>
      </c>
      <c r="Q106">
        <f t="shared" si="10"/>
        <v>0.16049382716049382</v>
      </c>
      <c r="R106" t="e">
        <f t="shared" si="11"/>
        <v>#N/A</v>
      </c>
      <c r="T106" t="e">
        <f t="shared" si="12"/>
        <v>#N/A</v>
      </c>
      <c r="U106">
        <f t="shared" si="13"/>
        <v>1933</v>
      </c>
      <c r="W106" t="e">
        <v>#N/A</v>
      </c>
      <c r="X106">
        <v>1933</v>
      </c>
    </row>
    <row r="107" spans="8:24">
      <c r="H107">
        <v>105</v>
      </c>
      <c r="I107">
        <f>'Lab test'!AZ108</f>
        <v>1934</v>
      </c>
      <c r="J107">
        <f>IF('Lab test'!AU108&gt;0,'Lab test'!AU108,NA())</f>
        <v>6.5982759430172205E-2</v>
      </c>
      <c r="K107">
        <f>IF('Lab test'!AT108&gt;0,'Lab test'!AT108,NA())</f>
        <v>0.17726859836157469</v>
      </c>
      <c r="L107">
        <f t="shared" si="8"/>
        <v>1</v>
      </c>
      <c r="M107">
        <f t="shared" si="9"/>
        <v>1934</v>
      </c>
      <c r="O107">
        <v>105</v>
      </c>
      <c r="P107">
        <v>1933</v>
      </c>
      <c r="Q107">
        <f t="shared" si="10"/>
        <v>0.16203703703703703</v>
      </c>
      <c r="R107" t="e">
        <f t="shared" si="11"/>
        <v>#N/A</v>
      </c>
      <c r="T107" t="e">
        <f t="shared" si="12"/>
        <v>#N/A</v>
      </c>
      <c r="U107">
        <f t="shared" si="13"/>
        <v>1933</v>
      </c>
      <c r="W107" t="e">
        <v>#N/A</v>
      </c>
      <c r="X107">
        <v>1933</v>
      </c>
    </row>
    <row r="108" spans="8:24">
      <c r="H108">
        <v>106</v>
      </c>
      <c r="I108">
        <f>'Lab test'!AZ109</f>
        <v>1934</v>
      </c>
      <c r="J108">
        <f>IF('Lab test'!AU109&gt;0,'Lab test'!AU109,NA())</f>
        <v>5.7993904801096403E-2</v>
      </c>
      <c r="K108">
        <f>IF('Lab test'!AT109&gt;0,'Lab test'!AT109,NA())</f>
        <v>0.16032193507127626</v>
      </c>
      <c r="L108">
        <f t="shared" si="8"/>
        <v>1</v>
      </c>
      <c r="M108">
        <f t="shared" si="9"/>
        <v>1934</v>
      </c>
      <c r="O108">
        <v>106</v>
      </c>
      <c r="P108">
        <v>1933</v>
      </c>
      <c r="Q108">
        <f t="shared" si="10"/>
        <v>0.16358024691358025</v>
      </c>
      <c r="R108" t="e">
        <f t="shared" si="11"/>
        <v>#N/A</v>
      </c>
      <c r="T108" t="e">
        <f t="shared" si="12"/>
        <v>#N/A</v>
      </c>
      <c r="U108">
        <f t="shared" si="13"/>
        <v>1933</v>
      </c>
      <c r="W108" t="e">
        <v>#N/A</v>
      </c>
      <c r="X108">
        <v>1933</v>
      </c>
    </row>
    <row r="109" spans="8:24">
      <c r="H109">
        <v>107</v>
      </c>
      <c r="I109">
        <f>'Lab test'!AZ110</f>
        <v>1934</v>
      </c>
      <c r="J109">
        <f>IF('Lab test'!AU110&gt;0,'Lab test'!AU110,NA())</f>
        <v>0.20206531913178805</v>
      </c>
      <c r="K109">
        <f>IF('Lab test'!AT110&gt;0,'Lab test'!AT110,NA())</f>
        <v>0.28449806900749747</v>
      </c>
      <c r="L109">
        <f t="shared" si="8"/>
        <v>1</v>
      </c>
      <c r="M109">
        <f t="shared" si="9"/>
        <v>1934</v>
      </c>
      <c r="O109">
        <v>107</v>
      </c>
      <c r="P109">
        <v>1933</v>
      </c>
      <c r="Q109">
        <f t="shared" si="10"/>
        <v>0.16512345679012347</v>
      </c>
      <c r="R109" t="e">
        <f t="shared" si="11"/>
        <v>#N/A</v>
      </c>
      <c r="T109" t="e">
        <f t="shared" si="12"/>
        <v>#N/A</v>
      </c>
      <c r="U109">
        <f t="shared" si="13"/>
        <v>1933</v>
      </c>
      <c r="W109" t="e">
        <v>#N/A</v>
      </c>
      <c r="X109">
        <v>1933</v>
      </c>
    </row>
    <row r="110" spans="8:24">
      <c r="H110">
        <v>108</v>
      </c>
      <c r="I110">
        <f>'Lab test'!AZ111</f>
        <v>1934</v>
      </c>
      <c r="J110">
        <f>IF('Lab test'!AU111&gt;0,'Lab test'!AU111,NA())</f>
        <v>0.28203180703949543</v>
      </c>
      <c r="K110">
        <f>IF('Lab test'!AT111&gt;0,'Lab test'!AT111,NA())</f>
        <v>0.40319599621383334</v>
      </c>
      <c r="L110">
        <f t="shared" si="8"/>
        <v>1</v>
      </c>
      <c r="M110">
        <f t="shared" si="9"/>
        <v>1934</v>
      </c>
      <c r="O110">
        <v>108</v>
      </c>
      <c r="P110">
        <v>1933</v>
      </c>
      <c r="Q110">
        <f t="shared" si="10"/>
        <v>0.16666666666666666</v>
      </c>
      <c r="R110" t="e">
        <f t="shared" si="11"/>
        <v>#N/A</v>
      </c>
      <c r="T110" t="e">
        <f t="shared" si="12"/>
        <v>#N/A</v>
      </c>
      <c r="U110">
        <f t="shared" si="13"/>
        <v>1933</v>
      </c>
      <c r="W110" t="e">
        <v>#N/A</v>
      </c>
      <c r="X110">
        <v>1933</v>
      </c>
    </row>
    <row r="111" spans="8:24">
      <c r="H111">
        <v>109</v>
      </c>
      <c r="I111">
        <f>'Lab test'!AZ112</f>
        <v>1934</v>
      </c>
      <c r="J111">
        <f>IF('Lab test'!AU112&gt;0,'Lab test'!AU112,NA())</f>
        <v>0.26883733653472369</v>
      </c>
      <c r="K111">
        <f>IF('Lab test'!AT112&gt;0,'Lab test'!AT112,NA())</f>
        <v>0.38433302563073002</v>
      </c>
      <c r="L111">
        <f t="shared" si="8"/>
        <v>1</v>
      </c>
      <c r="M111">
        <f t="shared" si="9"/>
        <v>1934</v>
      </c>
      <c r="O111">
        <v>109</v>
      </c>
      <c r="P111">
        <v>1933</v>
      </c>
      <c r="Q111">
        <f t="shared" si="10"/>
        <v>0.16820987654320987</v>
      </c>
      <c r="R111" t="e">
        <f t="shared" si="11"/>
        <v>#N/A</v>
      </c>
      <c r="T111" t="e">
        <f t="shared" si="12"/>
        <v>#N/A</v>
      </c>
      <c r="U111">
        <f t="shared" si="13"/>
        <v>1933</v>
      </c>
      <c r="W111" t="e">
        <v>#N/A</v>
      </c>
      <c r="X111">
        <v>1933</v>
      </c>
    </row>
    <row r="112" spans="8:24">
      <c r="H112">
        <v>110</v>
      </c>
      <c r="I112">
        <f>'Lab test'!AZ113</f>
        <v>1934</v>
      </c>
      <c r="J112">
        <f>IF('Lab test'!AU113&gt;0,'Lab test'!AU113,NA())</f>
        <v>0.26782738586847804</v>
      </c>
      <c r="K112">
        <f>IF('Lab test'!AT113&gt;0,'Lab test'!AT113,NA())</f>
        <v>0.24685776158599904</v>
      </c>
      <c r="L112">
        <f t="shared" si="8"/>
        <v>1</v>
      </c>
      <c r="M112">
        <f t="shared" si="9"/>
        <v>1934</v>
      </c>
      <c r="O112">
        <v>110</v>
      </c>
      <c r="P112">
        <v>1933</v>
      </c>
      <c r="Q112">
        <f t="shared" si="10"/>
        <v>0.16975308641975309</v>
      </c>
      <c r="R112" t="e">
        <f t="shared" si="11"/>
        <v>#N/A</v>
      </c>
      <c r="T112" t="e">
        <f t="shared" si="12"/>
        <v>#N/A</v>
      </c>
      <c r="U112">
        <f t="shared" si="13"/>
        <v>1933</v>
      </c>
      <c r="W112" t="e">
        <v>#N/A</v>
      </c>
      <c r="X112">
        <v>1933</v>
      </c>
    </row>
    <row r="113" spans="8:24">
      <c r="H113">
        <v>111</v>
      </c>
      <c r="I113">
        <f>'Lab test'!AZ114</f>
        <v>1934</v>
      </c>
      <c r="J113">
        <f>IF('Lab test'!AU114&gt;0,'Lab test'!AU114,NA())</f>
        <v>0.79683095538849746</v>
      </c>
      <c r="K113">
        <f>IF('Lab test'!AT114&gt;0,'Lab test'!AT114,NA())</f>
        <v>0.37609812741173981</v>
      </c>
      <c r="L113">
        <f t="shared" si="8"/>
        <v>1</v>
      </c>
      <c r="M113">
        <f t="shared" si="9"/>
        <v>1934</v>
      </c>
      <c r="O113">
        <v>111</v>
      </c>
      <c r="P113">
        <v>1933</v>
      </c>
      <c r="Q113">
        <f t="shared" si="10"/>
        <v>0.17129629629629631</v>
      </c>
      <c r="R113" t="e">
        <f t="shared" si="11"/>
        <v>#N/A</v>
      </c>
      <c r="T113" t="e">
        <f t="shared" si="12"/>
        <v>#N/A</v>
      </c>
      <c r="U113">
        <f t="shared" si="13"/>
        <v>1933</v>
      </c>
      <c r="W113" t="e">
        <v>#N/A</v>
      </c>
      <c r="X113">
        <v>1933</v>
      </c>
    </row>
    <row r="114" spans="8:24">
      <c r="H114">
        <v>112</v>
      </c>
      <c r="I114">
        <f>'Lab test'!AZ115</f>
        <v>1934</v>
      </c>
      <c r="J114">
        <f>IF('Lab test'!AU115&gt;0,'Lab test'!AU115,NA())</f>
        <v>5.01683415185235E-2</v>
      </c>
      <c r="K114">
        <f>IF('Lab test'!AT115&gt;0,'Lab test'!AT115,NA())</f>
        <v>0.22490813621020811</v>
      </c>
      <c r="L114">
        <f t="shared" si="8"/>
        <v>1</v>
      </c>
      <c r="M114">
        <f t="shared" si="9"/>
        <v>1934</v>
      </c>
      <c r="O114">
        <v>112</v>
      </c>
      <c r="P114">
        <v>1933</v>
      </c>
      <c r="Q114">
        <f t="shared" si="10"/>
        <v>0.1728395061728395</v>
      </c>
      <c r="R114" t="e">
        <f t="shared" si="11"/>
        <v>#N/A</v>
      </c>
      <c r="T114" t="e">
        <f t="shared" si="12"/>
        <v>#N/A</v>
      </c>
      <c r="U114">
        <f t="shared" si="13"/>
        <v>1933</v>
      </c>
      <c r="W114" t="e">
        <v>#N/A</v>
      </c>
      <c r="X114">
        <v>1933</v>
      </c>
    </row>
    <row r="115" spans="8:24">
      <c r="H115">
        <v>113</v>
      </c>
      <c r="I115">
        <f>'Lab test'!AZ116</f>
        <v>1934</v>
      </c>
      <c r="J115">
        <f>IF('Lab test'!AU116&gt;0,'Lab test'!AU116,NA())</f>
        <v>7.2138759630632113E-2</v>
      </c>
      <c r="K115">
        <f>IF('Lab test'!AT116&gt;0,'Lab test'!AT116,NA())</f>
        <v>0.19942484606427047</v>
      </c>
      <c r="L115">
        <f t="shared" si="8"/>
        <v>1</v>
      </c>
      <c r="M115">
        <f t="shared" si="9"/>
        <v>1934</v>
      </c>
      <c r="O115">
        <v>113</v>
      </c>
      <c r="P115">
        <v>1933</v>
      </c>
      <c r="Q115">
        <f t="shared" si="10"/>
        <v>0.17438271604938271</v>
      </c>
      <c r="R115" t="e">
        <f t="shared" si="11"/>
        <v>#N/A</v>
      </c>
      <c r="T115" t="e">
        <f t="shared" si="12"/>
        <v>#N/A</v>
      </c>
      <c r="U115">
        <f t="shared" si="13"/>
        <v>1933</v>
      </c>
      <c r="W115" t="e">
        <v>#N/A</v>
      </c>
      <c r="X115">
        <v>1933</v>
      </c>
    </row>
    <row r="116" spans="8:24">
      <c r="H116">
        <v>114</v>
      </c>
      <c r="I116">
        <f>'Lab test'!AZ117</f>
        <v>1934</v>
      </c>
      <c r="J116">
        <f>IF('Lab test'!AU117&gt;0,'Lab test'!AU117,NA())</f>
        <v>0.20019202117574061</v>
      </c>
      <c r="K116">
        <f>IF('Lab test'!AT117&gt;0,'Lab test'!AT117,NA())</f>
        <v>0.281818719324606</v>
      </c>
      <c r="L116">
        <f t="shared" si="8"/>
        <v>1</v>
      </c>
      <c r="M116">
        <f t="shared" si="9"/>
        <v>1934</v>
      </c>
      <c r="O116">
        <v>114</v>
      </c>
      <c r="P116">
        <v>1933</v>
      </c>
      <c r="Q116">
        <f t="shared" si="10"/>
        <v>0.17592592592592593</v>
      </c>
      <c r="R116" t="e">
        <f t="shared" si="11"/>
        <v>#N/A</v>
      </c>
      <c r="T116" t="e">
        <f t="shared" si="12"/>
        <v>#N/A</v>
      </c>
      <c r="U116">
        <f t="shared" si="13"/>
        <v>1933</v>
      </c>
      <c r="W116" t="e">
        <v>#N/A</v>
      </c>
      <c r="X116">
        <v>1933</v>
      </c>
    </row>
    <row r="117" spans="8:24">
      <c r="H117">
        <v>115</v>
      </c>
      <c r="I117">
        <f>'Lab test'!AZ118</f>
        <v>1934</v>
      </c>
      <c r="J117">
        <f>IF('Lab test'!AU118&gt;0,'Lab test'!AU118,NA())</f>
        <v>0.3032025024069207</v>
      </c>
      <c r="K117">
        <f>IF('Lab test'!AT118&gt;0,'Lab test'!AT118,NA())</f>
        <v>0.28277322742828476</v>
      </c>
      <c r="L117">
        <f t="shared" si="8"/>
        <v>1</v>
      </c>
      <c r="M117">
        <f t="shared" si="9"/>
        <v>1934</v>
      </c>
      <c r="O117">
        <v>115</v>
      </c>
      <c r="P117">
        <v>1933</v>
      </c>
      <c r="Q117">
        <f t="shared" si="10"/>
        <v>0.17746913580246915</v>
      </c>
      <c r="R117" t="e">
        <f t="shared" si="11"/>
        <v>#N/A</v>
      </c>
      <c r="T117" t="e">
        <f t="shared" si="12"/>
        <v>#N/A</v>
      </c>
      <c r="U117">
        <f t="shared" si="13"/>
        <v>1933</v>
      </c>
      <c r="W117" t="e">
        <v>#N/A</v>
      </c>
      <c r="X117">
        <v>1933</v>
      </c>
    </row>
    <row r="118" spans="8:24">
      <c r="H118">
        <v>116</v>
      </c>
      <c r="I118">
        <f>'Lab test'!AZ119</f>
        <v>1934</v>
      </c>
      <c r="J118">
        <f>IF('Lab test'!AU119&gt;0,'Lab test'!AU119,NA())</f>
        <v>0.82739001284851976</v>
      </c>
      <c r="K118">
        <f>IF('Lab test'!AT119&gt;0,'Lab test'!AT119,NA())</f>
        <v>0.3839803660553287</v>
      </c>
      <c r="L118">
        <f t="shared" si="8"/>
        <v>1</v>
      </c>
      <c r="M118">
        <f t="shared" si="9"/>
        <v>1934</v>
      </c>
      <c r="O118">
        <v>116</v>
      </c>
      <c r="P118">
        <v>1933</v>
      </c>
      <c r="Q118">
        <f t="shared" si="10"/>
        <v>0.17901234567901234</v>
      </c>
      <c r="R118" t="e">
        <f t="shared" si="11"/>
        <v>#N/A</v>
      </c>
      <c r="T118" t="e">
        <f t="shared" si="12"/>
        <v>#N/A</v>
      </c>
      <c r="U118">
        <f t="shared" si="13"/>
        <v>1933</v>
      </c>
      <c r="W118" t="e">
        <v>#N/A</v>
      </c>
      <c r="X118">
        <v>1933</v>
      </c>
    </row>
    <row r="119" spans="8:24">
      <c r="H119">
        <v>117</v>
      </c>
      <c r="I119">
        <f>'Lab test'!AZ120</f>
        <v>1934</v>
      </c>
      <c r="J119">
        <f>IF('Lab test'!AU120&gt;0,'Lab test'!AU120,NA())</f>
        <v>0.12406715888618183</v>
      </c>
      <c r="K119">
        <f>IF('Lab test'!AT120&gt;0,'Lab test'!AT120,NA())</f>
        <v>0.24066656654645777</v>
      </c>
      <c r="L119">
        <f t="shared" si="8"/>
        <v>1</v>
      </c>
      <c r="M119">
        <f t="shared" si="9"/>
        <v>1934</v>
      </c>
      <c r="O119">
        <v>117</v>
      </c>
      <c r="P119">
        <v>1933</v>
      </c>
      <c r="Q119">
        <f t="shared" si="10"/>
        <v>0.18055555555555555</v>
      </c>
      <c r="R119" t="e">
        <f t="shared" si="11"/>
        <v>#N/A</v>
      </c>
      <c r="T119" t="e">
        <f t="shared" si="12"/>
        <v>#N/A</v>
      </c>
      <c r="U119">
        <f t="shared" si="13"/>
        <v>1933</v>
      </c>
      <c r="W119" t="e">
        <v>#N/A</v>
      </c>
      <c r="X119">
        <v>1933</v>
      </c>
    </row>
    <row r="120" spans="8:24">
      <c r="H120">
        <v>118</v>
      </c>
      <c r="I120">
        <f>'Lab test'!AZ121</f>
        <v>1934</v>
      </c>
      <c r="J120">
        <f>IF('Lab test'!AU121&gt;0,'Lab test'!AU121,NA())</f>
        <v>0.12108954707291349</v>
      </c>
      <c r="K120">
        <f>IF('Lab test'!AT121&gt;0,'Lab test'!AT121,NA())</f>
        <v>0.23489056894934279</v>
      </c>
      <c r="L120">
        <f t="shared" si="8"/>
        <v>1</v>
      </c>
      <c r="M120">
        <f t="shared" si="9"/>
        <v>1934</v>
      </c>
      <c r="O120">
        <v>118</v>
      </c>
      <c r="P120">
        <v>1933</v>
      </c>
      <c r="Q120">
        <f t="shared" si="10"/>
        <v>0.18209876543209877</v>
      </c>
      <c r="R120" t="e">
        <f t="shared" si="11"/>
        <v>#N/A</v>
      </c>
      <c r="T120" t="e">
        <f t="shared" si="12"/>
        <v>#N/A</v>
      </c>
      <c r="U120">
        <f t="shared" si="13"/>
        <v>1933</v>
      </c>
      <c r="W120" t="e">
        <v>#N/A</v>
      </c>
      <c r="X120">
        <v>1933</v>
      </c>
    </row>
    <row r="121" spans="8:24">
      <c r="H121">
        <v>119</v>
      </c>
      <c r="I121">
        <f>'Lab test'!AZ122</f>
        <v>1934</v>
      </c>
      <c r="J121">
        <f>IF('Lab test'!AU122&gt;0,'Lab test'!AU122,NA())</f>
        <v>0.15582835156104441</v>
      </c>
      <c r="K121">
        <f>IF('Lab test'!AT122&gt;0,'Lab test'!AT122,NA())</f>
        <v>0.30227720758235099</v>
      </c>
      <c r="L121">
        <f t="shared" si="8"/>
        <v>1</v>
      </c>
      <c r="M121">
        <f t="shared" si="9"/>
        <v>1934</v>
      </c>
      <c r="O121">
        <v>119</v>
      </c>
      <c r="P121">
        <v>1933</v>
      </c>
      <c r="Q121">
        <f t="shared" si="10"/>
        <v>0.18364197530864199</v>
      </c>
      <c r="R121" t="e">
        <f t="shared" si="11"/>
        <v>#N/A</v>
      </c>
      <c r="T121" t="e">
        <f t="shared" si="12"/>
        <v>#N/A</v>
      </c>
      <c r="U121">
        <f t="shared" si="13"/>
        <v>1933</v>
      </c>
      <c r="W121" t="e">
        <v>#N/A</v>
      </c>
      <c r="X121">
        <v>1933</v>
      </c>
    </row>
    <row r="122" spans="8:24">
      <c r="H122">
        <v>120</v>
      </c>
      <c r="I122">
        <f>'Lab test'!AZ123</f>
        <v>1934</v>
      </c>
      <c r="J122">
        <f>IF('Lab test'!AU123&gt;0,'Lab test'!AU123,NA())</f>
        <v>0.14094029249470261</v>
      </c>
      <c r="K122">
        <f>IF('Lab test'!AT123&gt;0,'Lab test'!AT123,NA())</f>
        <v>0.27339721959677615</v>
      </c>
      <c r="L122">
        <f t="shared" si="8"/>
        <v>1</v>
      </c>
      <c r="M122">
        <f t="shared" si="9"/>
        <v>1934</v>
      </c>
      <c r="O122">
        <v>120</v>
      </c>
      <c r="P122">
        <v>1933</v>
      </c>
      <c r="Q122">
        <f t="shared" si="10"/>
        <v>0.18518518518518517</v>
      </c>
      <c r="R122" t="e">
        <f t="shared" si="11"/>
        <v>#N/A</v>
      </c>
      <c r="T122" t="e">
        <f t="shared" si="12"/>
        <v>#N/A</v>
      </c>
      <c r="U122">
        <f t="shared" si="13"/>
        <v>1933</v>
      </c>
      <c r="W122" t="e">
        <v>#N/A</v>
      </c>
      <c r="X122">
        <v>1933</v>
      </c>
    </row>
    <row r="123" spans="8:24">
      <c r="H123">
        <v>121</v>
      </c>
      <c r="I123">
        <f>'Lab test'!AZ124</f>
        <v>1934</v>
      </c>
      <c r="J123">
        <f>IF('Lab test'!AU124&gt;0,'Lab test'!AU124,NA())</f>
        <v>0.17865670879610185</v>
      </c>
      <c r="K123">
        <f>IF('Lab test'!AT124&gt;0,'Lab test'!AT124,NA())</f>
        <v>0.34655985582689924</v>
      </c>
      <c r="L123">
        <f t="shared" si="8"/>
        <v>1</v>
      </c>
      <c r="M123">
        <f t="shared" si="9"/>
        <v>1934</v>
      </c>
      <c r="O123">
        <v>121</v>
      </c>
      <c r="P123">
        <v>1933</v>
      </c>
      <c r="Q123">
        <f t="shared" si="10"/>
        <v>0.18672839506172839</v>
      </c>
      <c r="R123" t="e">
        <f t="shared" si="11"/>
        <v>#N/A</v>
      </c>
      <c r="T123" t="e">
        <f t="shared" si="12"/>
        <v>#N/A</v>
      </c>
      <c r="U123">
        <f t="shared" si="13"/>
        <v>1933</v>
      </c>
      <c r="W123" t="e">
        <v>#N/A</v>
      </c>
      <c r="X123">
        <v>1933</v>
      </c>
    </row>
    <row r="124" spans="8:24">
      <c r="H124">
        <v>122</v>
      </c>
      <c r="I124">
        <f>'Lab test'!AZ125</f>
        <v>1934</v>
      </c>
      <c r="J124">
        <f>IF('Lab test'!AU125&gt;0,'Lab test'!AU125,NA())</f>
        <v>0.15086566520559713</v>
      </c>
      <c r="K124">
        <f>IF('Lab test'!AT125&gt;0,'Lab test'!AT125,NA())</f>
        <v>0.29265054492049269</v>
      </c>
      <c r="L124">
        <f t="shared" si="8"/>
        <v>1</v>
      </c>
      <c r="M124">
        <f t="shared" si="9"/>
        <v>1934</v>
      </c>
      <c r="O124">
        <v>122</v>
      </c>
      <c r="P124">
        <v>1933</v>
      </c>
      <c r="Q124">
        <f t="shared" si="10"/>
        <v>0.18827160493827161</v>
      </c>
      <c r="R124">
        <f t="shared" si="11"/>
        <v>0.18827160493827161</v>
      </c>
      <c r="T124">
        <f t="shared" si="12"/>
        <v>0.18827160493827161</v>
      </c>
      <c r="U124">
        <f t="shared" si="13"/>
        <v>1933</v>
      </c>
      <c r="W124" t="e">
        <v>#N/A</v>
      </c>
      <c r="X124">
        <v>1933</v>
      </c>
    </row>
    <row r="125" spans="8:24">
      <c r="H125">
        <v>123</v>
      </c>
      <c r="I125">
        <f>'Lab test'!AZ126</f>
        <v>1934</v>
      </c>
      <c r="J125">
        <f>IF('Lab test'!AU126&gt;0,'Lab test'!AU126,NA())</f>
        <v>0.11811193525964513</v>
      </c>
      <c r="K125">
        <f>IF('Lab test'!AT126&gt;0,'Lab test'!AT126,NA())</f>
        <v>0.22911457135222785</v>
      </c>
      <c r="L125">
        <f t="shared" si="8"/>
        <v>1</v>
      </c>
      <c r="M125">
        <f t="shared" si="9"/>
        <v>1934</v>
      </c>
      <c r="O125">
        <v>123</v>
      </c>
      <c r="P125">
        <v>1934</v>
      </c>
      <c r="Q125">
        <f t="shared" si="10"/>
        <v>0.18981481481481483</v>
      </c>
      <c r="R125" t="e">
        <f t="shared" si="11"/>
        <v>#N/A</v>
      </c>
      <c r="T125" t="e">
        <f t="shared" si="12"/>
        <v>#N/A</v>
      </c>
      <c r="U125">
        <f t="shared" si="13"/>
        <v>1934</v>
      </c>
      <c r="W125" t="e">
        <v>#N/A</v>
      </c>
      <c r="X125">
        <v>1933</v>
      </c>
    </row>
    <row r="126" spans="8:24">
      <c r="H126">
        <v>124</v>
      </c>
      <c r="I126">
        <f>'Lab test'!AZ127</f>
        <v>1934</v>
      </c>
      <c r="J126">
        <f>IF('Lab test'!AU127&gt;0,'Lab test'!AU127,NA())</f>
        <v>0.12208208434400294</v>
      </c>
      <c r="K126">
        <f>IF('Lab test'!AT127&gt;0,'Lab test'!AT127,NA())</f>
        <v>0.23681590148171447</v>
      </c>
      <c r="L126">
        <f t="shared" si="8"/>
        <v>1</v>
      </c>
      <c r="M126">
        <f t="shared" si="9"/>
        <v>1934</v>
      </c>
      <c r="O126">
        <v>124</v>
      </c>
      <c r="P126">
        <v>1934</v>
      </c>
      <c r="Q126">
        <f t="shared" si="10"/>
        <v>0.19135802469135801</v>
      </c>
      <c r="R126" t="e">
        <f t="shared" si="11"/>
        <v>#N/A</v>
      </c>
      <c r="T126" t="e">
        <f t="shared" si="12"/>
        <v>#N/A</v>
      </c>
      <c r="U126">
        <f t="shared" si="13"/>
        <v>1934</v>
      </c>
      <c r="W126" t="e">
        <v>#N/A</v>
      </c>
      <c r="X126">
        <v>1933</v>
      </c>
    </row>
    <row r="127" spans="8:24">
      <c r="H127">
        <v>125</v>
      </c>
      <c r="I127">
        <f>'Lab test'!AZ128</f>
        <v>1939</v>
      </c>
      <c r="J127" t="e">
        <f>IF('Lab test'!AU128&gt;0,'Lab test'!AU128,NA())</f>
        <v>#N/A</v>
      </c>
      <c r="K127">
        <f>IF('Lab test'!AT128&gt;0,'Lab test'!AT128,NA())</f>
        <v>0.38955393689032747</v>
      </c>
      <c r="L127">
        <f t="shared" si="8"/>
        <v>1</v>
      </c>
      <c r="M127">
        <f t="shared" si="9"/>
        <v>1939</v>
      </c>
      <c r="O127">
        <v>125</v>
      </c>
      <c r="P127">
        <v>1934</v>
      </c>
      <c r="Q127">
        <f t="shared" si="10"/>
        <v>0.19290123456790123</v>
      </c>
      <c r="R127" t="e">
        <f t="shared" si="11"/>
        <v>#N/A</v>
      </c>
      <c r="T127" t="e">
        <f t="shared" si="12"/>
        <v>#N/A</v>
      </c>
      <c r="U127">
        <f t="shared" si="13"/>
        <v>1934</v>
      </c>
      <c r="W127" t="e">
        <v>#N/A</v>
      </c>
      <c r="X127">
        <v>1933</v>
      </c>
    </row>
    <row r="128" spans="8:24">
      <c r="H128">
        <v>126</v>
      </c>
      <c r="I128">
        <f>'Lab test'!AZ129</f>
        <v>1939</v>
      </c>
      <c r="J128" t="e">
        <f>IF('Lab test'!AU129&gt;0,'Lab test'!AU129,NA())</f>
        <v>#N/A</v>
      </c>
      <c r="K128">
        <f>IF('Lab test'!AT129&gt;0,'Lab test'!AT129,NA())</f>
        <v>0.41931936541541204</v>
      </c>
      <c r="L128">
        <f t="shared" si="8"/>
        <v>1</v>
      </c>
      <c r="M128">
        <f t="shared" si="9"/>
        <v>1939</v>
      </c>
      <c r="O128">
        <v>126</v>
      </c>
      <c r="P128">
        <v>1934</v>
      </c>
      <c r="Q128">
        <f t="shared" si="10"/>
        <v>0.19444444444444445</v>
      </c>
      <c r="R128" t="e">
        <f t="shared" si="11"/>
        <v>#N/A</v>
      </c>
      <c r="T128" t="e">
        <f t="shared" si="12"/>
        <v>#N/A</v>
      </c>
      <c r="U128">
        <f t="shared" si="13"/>
        <v>1934</v>
      </c>
      <c r="W128" t="e">
        <v>#N/A</v>
      </c>
      <c r="X128">
        <v>1933</v>
      </c>
    </row>
    <row r="129" spans="8:24">
      <c r="H129">
        <v>127</v>
      </c>
      <c r="I129">
        <f>'Lab test'!AZ130</f>
        <v>1939</v>
      </c>
      <c r="J129" t="e">
        <f>IF('Lab test'!AU130&gt;0,'Lab test'!AU130,NA())</f>
        <v>#N/A</v>
      </c>
      <c r="K129">
        <f>IF('Lab test'!AT130&gt;0,'Lab test'!AT130,NA())</f>
        <v>0.3022897964821582</v>
      </c>
      <c r="L129">
        <f t="shared" si="8"/>
        <v>1</v>
      </c>
      <c r="M129">
        <f t="shared" si="9"/>
        <v>1939</v>
      </c>
      <c r="O129">
        <v>127</v>
      </c>
      <c r="P129">
        <v>1934</v>
      </c>
      <c r="Q129">
        <f t="shared" si="10"/>
        <v>0.19598765432098766</v>
      </c>
      <c r="R129" t="e">
        <f t="shared" si="11"/>
        <v>#N/A</v>
      </c>
      <c r="T129" t="e">
        <f t="shared" si="12"/>
        <v>#N/A</v>
      </c>
      <c r="U129">
        <f t="shared" si="13"/>
        <v>1934</v>
      </c>
      <c r="W129" t="e">
        <v>#N/A</v>
      </c>
      <c r="X129">
        <v>1933</v>
      </c>
    </row>
    <row r="130" spans="8:24">
      <c r="H130">
        <v>128</v>
      </c>
      <c r="I130">
        <f>'Lab test'!AZ131</f>
        <v>1939</v>
      </c>
      <c r="J130" t="e">
        <f>IF('Lab test'!AU131&gt;0,'Lab test'!AU131,NA())</f>
        <v>#N/A</v>
      </c>
      <c r="K130">
        <f>IF('Lab test'!AT131&gt;0,'Lab test'!AT131,NA())</f>
        <v>0.3022897964821582</v>
      </c>
      <c r="L130">
        <f t="shared" si="8"/>
        <v>1</v>
      </c>
      <c r="M130">
        <f t="shared" si="9"/>
        <v>1939</v>
      </c>
      <c r="O130">
        <v>128</v>
      </c>
      <c r="P130">
        <v>1934</v>
      </c>
      <c r="Q130">
        <f t="shared" si="10"/>
        <v>0.19753086419753085</v>
      </c>
      <c r="R130" t="e">
        <f t="shared" si="11"/>
        <v>#N/A</v>
      </c>
      <c r="T130" t="e">
        <f t="shared" si="12"/>
        <v>#N/A</v>
      </c>
      <c r="U130">
        <f t="shared" si="13"/>
        <v>1934</v>
      </c>
      <c r="W130" t="e">
        <v>#N/A</v>
      </c>
      <c r="X130">
        <v>1933</v>
      </c>
    </row>
    <row r="131" spans="8:24">
      <c r="H131">
        <v>129</v>
      </c>
      <c r="I131">
        <f>'Lab test'!AZ132</f>
        <v>1939</v>
      </c>
      <c r="J131" t="e">
        <f>IF('Lab test'!AU132&gt;0,'Lab test'!AU132,NA())</f>
        <v>#N/A</v>
      </c>
      <c r="K131">
        <f>IF('Lab test'!AT132&gt;0,'Lab test'!AT132,NA())</f>
        <v>0.34456571405760156</v>
      </c>
      <c r="L131">
        <f t="shared" si="8"/>
        <v>1</v>
      </c>
      <c r="M131">
        <f t="shared" si="9"/>
        <v>1939</v>
      </c>
      <c r="O131">
        <v>129</v>
      </c>
      <c r="P131">
        <v>1934</v>
      </c>
      <c r="Q131">
        <f t="shared" si="10"/>
        <v>0.19907407407407407</v>
      </c>
      <c r="R131" t="e">
        <f t="shared" si="11"/>
        <v>#N/A</v>
      </c>
      <c r="T131" t="e">
        <f t="shared" si="12"/>
        <v>#N/A</v>
      </c>
      <c r="U131">
        <f t="shared" si="13"/>
        <v>1934</v>
      </c>
      <c r="W131" t="e">
        <v>#N/A</v>
      </c>
      <c r="X131">
        <v>1933</v>
      </c>
    </row>
    <row r="132" spans="8:24">
      <c r="H132">
        <v>130</v>
      </c>
      <c r="I132">
        <f>'Lab test'!AZ133</f>
        <v>1939</v>
      </c>
      <c r="J132" t="e">
        <f>IF('Lab test'!AU133&gt;0,'Lab test'!AU133,NA())</f>
        <v>#N/A</v>
      </c>
      <c r="K132">
        <f>IF('Lab test'!AT133&gt;0,'Lab test'!AT133,NA())</f>
        <v>0.32806042722189011</v>
      </c>
      <c r="L132">
        <f t="shared" ref="L132:L195" si="14">IF(OR(ISNUMBER(J132),ISNUMBER(K132)),1,NA())</f>
        <v>1</v>
      </c>
      <c r="M132">
        <f t="shared" ref="M132:M195" si="15">IF(ISNUMBER(L132),I132,NA())</f>
        <v>1939</v>
      </c>
      <c r="O132">
        <v>130</v>
      </c>
      <c r="P132">
        <v>1934</v>
      </c>
      <c r="Q132">
        <f t="shared" ref="Q132:Q195" si="16">O132/COUNT($O$3:$O$650)</f>
        <v>0.20061728395061729</v>
      </c>
      <c r="R132" t="e">
        <f t="shared" ref="R132:R195" si="17">IF(P132=P133,NA(),Q132)</f>
        <v>#N/A</v>
      </c>
      <c r="T132" t="e">
        <f t="shared" ref="T132:T195" si="18">R132</f>
        <v>#N/A</v>
      </c>
      <c r="U132">
        <f t="shared" ref="U132:U195" si="19">P132</f>
        <v>1934</v>
      </c>
      <c r="W132" t="e">
        <v>#N/A</v>
      </c>
      <c r="X132">
        <v>1933</v>
      </c>
    </row>
    <row r="133" spans="8:24">
      <c r="H133">
        <v>131</v>
      </c>
      <c r="I133">
        <f>'Lab test'!AZ134</f>
        <v>1939</v>
      </c>
      <c r="J133" t="e">
        <f>IF('Lab test'!AU134&gt;0,'Lab test'!AU134,NA())</f>
        <v>#N/A</v>
      </c>
      <c r="K133">
        <f>IF('Lab test'!AT134&gt;0,'Lab test'!AT134,NA())</f>
        <v>0.31234577184605744</v>
      </c>
      <c r="L133">
        <f t="shared" si="14"/>
        <v>1</v>
      </c>
      <c r="M133">
        <f t="shared" si="15"/>
        <v>1939</v>
      </c>
      <c r="O133">
        <v>131</v>
      </c>
      <c r="P133">
        <v>1934</v>
      </c>
      <c r="Q133">
        <f t="shared" si="16"/>
        <v>0.2021604938271605</v>
      </c>
      <c r="R133" t="e">
        <f t="shared" si="17"/>
        <v>#N/A</v>
      </c>
      <c r="T133" t="e">
        <f t="shared" si="18"/>
        <v>#N/A</v>
      </c>
      <c r="U133">
        <f t="shared" si="19"/>
        <v>1934</v>
      </c>
      <c r="W133" t="e">
        <v>#N/A</v>
      </c>
      <c r="X133">
        <v>1933</v>
      </c>
    </row>
    <row r="134" spans="8:24">
      <c r="H134">
        <v>132</v>
      </c>
      <c r="I134">
        <f>'Lab test'!AZ135</f>
        <v>1939</v>
      </c>
      <c r="J134" t="e">
        <f>IF('Lab test'!AU135&gt;0,'Lab test'!AU135,NA())</f>
        <v>#N/A</v>
      </c>
      <c r="K134">
        <f>IF('Lab test'!AT135&gt;0,'Lab test'!AT135,NA())</f>
        <v>0.53159753422996803</v>
      </c>
      <c r="L134">
        <f t="shared" si="14"/>
        <v>1</v>
      </c>
      <c r="M134">
        <f t="shared" si="15"/>
        <v>1939</v>
      </c>
      <c r="O134">
        <v>132</v>
      </c>
      <c r="P134">
        <v>1934</v>
      </c>
      <c r="Q134">
        <f t="shared" si="16"/>
        <v>0.20370370370370369</v>
      </c>
      <c r="R134" t="e">
        <f t="shared" si="17"/>
        <v>#N/A</v>
      </c>
      <c r="T134" t="e">
        <f t="shared" si="18"/>
        <v>#N/A</v>
      </c>
      <c r="U134">
        <f t="shared" si="19"/>
        <v>1934</v>
      </c>
      <c r="W134" t="e">
        <v>#N/A</v>
      </c>
      <c r="X134">
        <v>1933</v>
      </c>
    </row>
    <row r="135" spans="8:24">
      <c r="H135">
        <v>133</v>
      </c>
      <c r="I135">
        <f>'Lab test'!AZ136</f>
        <v>1939</v>
      </c>
      <c r="J135" t="e">
        <f>IF('Lab test'!AU136&gt;0,'Lab test'!AU136,NA())</f>
        <v>#N/A</v>
      </c>
      <c r="K135">
        <f>IF('Lab test'!AT136&gt;0,'Lab test'!AT136,NA())</f>
        <v>0.56292975945594959</v>
      </c>
      <c r="L135">
        <f t="shared" si="14"/>
        <v>1</v>
      </c>
      <c r="M135">
        <f t="shared" si="15"/>
        <v>1939</v>
      </c>
      <c r="O135">
        <v>133</v>
      </c>
      <c r="P135">
        <v>1934</v>
      </c>
      <c r="Q135">
        <f t="shared" si="16"/>
        <v>0.20524691358024691</v>
      </c>
      <c r="R135" t="e">
        <f t="shared" si="17"/>
        <v>#N/A</v>
      </c>
      <c r="T135" t="e">
        <f t="shared" si="18"/>
        <v>#N/A</v>
      </c>
      <c r="U135">
        <f t="shared" si="19"/>
        <v>1934</v>
      </c>
      <c r="W135" t="e">
        <v>#N/A</v>
      </c>
      <c r="X135">
        <v>1933</v>
      </c>
    </row>
    <row r="136" spans="8:24">
      <c r="H136">
        <v>134</v>
      </c>
      <c r="I136">
        <f>'Lab test'!AZ137</f>
        <v>1939</v>
      </c>
      <c r="J136" t="e">
        <f>IF('Lab test'!AU137&gt;0,'Lab test'!AU137,NA())</f>
        <v>#N/A</v>
      </c>
      <c r="K136">
        <f>IF('Lab test'!AT137&gt;0,'Lab test'!AT137,NA())</f>
        <v>0.62609995658685913</v>
      </c>
      <c r="L136">
        <f t="shared" si="14"/>
        <v>1</v>
      </c>
      <c r="M136">
        <f t="shared" si="15"/>
        <v>1939</v>
      </c>
      <c r="O136">
        <v>134</v>
      </c>
      <c r="P136">
        <v>1934</v>
      </c>
      <c r="Q136">
        <f t="shared" si="16"/>
        <v>0.20679012345679013</v>
      </c>
      <c r="R136" t="e">
        <f t="shared" si="17"/>
        <v>#N/A</v>
      </c>
      <c r="T136" t="e">
        <f t="shared" si="18"/>
        <v>#N/A</v>
      </c>
      <c r="U136">
        <f t="shared" si="19"/>
        <v>1934</v>
      </c>
      <c r="W136" t="e">
        <v>#N/A</v>
      </c>
      <c r="X136">
        <v>1933</v>
      </c>
    </row>
    <row r="137" spans="8:24">
      <c r="H137">
        <v>135</v>
      </c>
      <c r="I137">
        <f>'Lab test'!AZ138</f>
        <v>1939</v>
      </c>
      <c r="J137" t="e">
        <f>IF('Lab test'!AU138&gt;0,'Lab test'!AU138,NA())</f>
        <v>#N/A</v>
      </c>
      <c r="K137">
        <f>IF('Lab test'!AT138&gt;0,'Lab test'!AT138,NA())</f>
        <v>0.95027323887179593</v>
      </c>
      <c r="L137">
        <f t="shared" si="14"/>
        <v>1</v>
      </c>
      <c r="M137">
        <f t="shared" si="15"/>
        <v>1939</v>
      </c>
      <c r="O137">
        <v>135</v>
      </c>
      <c r="P137">
        <v>1934</v>
      </c>
      <c r="Q137">
        <f t="shared" si="16"/>
        <v>0.20833333333333334</v>
      </c>
      <c r="R137" t="e">
        <f t="shared" si="17"/>
        <v>#N/A</v>
      </c>
      <c r="T137" t="e">
        <f t="shared" si="18"/>
        <v>#N/A</v>
      </c>
      <c r="U137">
        <f t="shared" si="19"/>
        <v>1934</v>
      </c>
      <c r="W137" t="e">
        <v>#N/A</v>
      </c>
      <c r="X137">
        <v>1933</v>
      </c>
    </row>
    <row r="138" spans="8:24">
      <c r="H138">
        <v>136</v>
      </c>
      <c r="I138">
        <f>'Lab test'!AZ139</f>
        <v>1939</v>
      </c>
      <c r="J138" t="e">
        <f>IF('Lab test'!AU139&gt;0,'Lab test'!AU139,NA())</f>
        <v>#N/A</v>
      </c>
      <c r="K138">
        <f>IF('Lab test'!AT139&gt;0,'Lab test'!AT139,NA())</f>
        <v>1.0743456653442474</v>
      </c>
      <c r="L138">
        <f t="shared" si="14"/>
        <v>1</v>
      </c>
      <c r="M138">
        <f t="shared" si="15"/>
        <v>1939</v>
      </c>
      <c r="O138">
        <v>136</v>
      </c>
      <c r="P138">
        <v>1934</v>
      </c>
      <c r="Q138">
        <f t="shared" si="16"/>
        <v>0.20987654320987653</v>
      </c>
      <c r="R138" t="e">
        <f t="shared" si="17"/>
        <v>#N/A</v>
      </c>
      <c r="T138" t="e">
        <f t="shared" si="18"/>
        <v>#N/A</v>
      </c>
      <c r="U138">
        <f t="shared" si="19"/>
        <v>1934</v>
      </c>
      <c r="W138" t="e">
        <v>#N/A</v>
      </c>
      <c r="X138">
        <v>1933</v>
      </c>
    </row>
    <row r="139" spans="8:24">
      <c r="H139">
        <v>137</v>
      </c>
      <c r="I139">
        <f>'Lab test'!AZ140</f>
        <v>1939</v>
      </c>
      <c r="J139" t="e">
        <f>IF('Lab test'!AU140&gt;0,'Lab test'!AU140,NA())</f>
        <v>#N/A</v>
      </c>
      <c r="K139">
        <f>IF('Lab test'!AT140&gt;0,'Lab test'!AT140,NA())</f>
        <v>1.6041419259635914</v>
      </c>
      <c r="L139">
        <f t="shared" si="14"/>
        <v>1</v>
      </c>
      <c r="M139">
        <f t="shared" si="15"/>
        <v>1939</v>
      </c>
      <c r="O139">
        <v>137</v>
      </c>
      <c r="P139">
        <v>1934</v>
      </c>
      <c r="Q139">
        <f t="shared" si="16"/>
        <v>0.21141975308641975</v>
      </c>
      <c r="R139" t="e">
        <f t="shared" si="17"/>
        <v>#N/A</v>
      </c>
      <c r="T139" t="e">
        <f t="shared" si="18"/>
        <v>#N/A</v>
      </c>
      <c r="U139">
        <f t="shared" si="19"/>
        <v>1934</v>
      </c>
      <c r="W139" t="e">
        <v>#N/A</v>
      </c>
      <c r="X139">
        <v>1933</v>
      </c>
    </row>
    <row r="140" spans="8:24">
      <c r="H140">
        <v>138</v>
      </c>
      <c r="I140">
        <f>'Lab test'!AZ141</f>
        <v>1939</v>
      </c>
      <c r="J140" t="e">
        <f>IF('Lab test'!AU141&gt;0,'Lab test'!AU141,NA())</f>
        <v>#N/A</v>
      </c>
      <c r="K140">
        <f>IF('Lab test'!AT141&gt;0,'Lab test'!AT141,NA())</f>
        <v>0.39762280324794341</v>
      </c>
      <c r="L140">
        <f t="shared" si="14"/>
        <v>1</v>
      </c>
      <c r="M140">
        <f t="shared" si="15"/>
        <v>1939</v>
      </c>
      <c r="O140">
        <v>138</v>
      </c>
      <c r="P140">
        <v>1934</v>
      </c>
      <c r="Q140">
        <f t="shared" si="16"/>
        <v>0.21296296296296297</v>
      </c>
      <c r="R140" t="e">
        <f t="shared" si="17"/>
        <v>#N/A</v>
      </c>
      <c r="T140" t="e">
        <f t="shared" si="18"/>
        <v>#N/A</v>
      </c>
      <c r="U140">
        <f t="shared" si="19"/>
        <v>1934</v>
      </c>
      <c r="W140" t="e">
        <v>#N/A</v>
      </c>
      <c r="X140">
        <v>1933</v>
      </c>
    </row>
    <row r="141" spans="8:24">
      <c r="H141">
        <v>139</v>
      </c>
      <c r="I141">
        <f>'Lab test'!AZ142</f>
        <v>1939</v>
      </c>
      <c r="J141" t="e">
        <f>IF('Lab test'!AU142&gt;0,'Lab test'!AU142,NA())</f>
        <v>#N/A</v>
      </c>
      <c r="K141">
        <f>IF('Lab test'!AT142&gt;0,'Lab test'!AT142,NA())</f>
        <v>0.35110762238948906</v>
      </c>
      <c r="L141">
        <f t="shared" si="14"/>
        <v>1</v>
      </c>
      <c r="M141">
        <f t="shared" si="15"/>
        <v>1939</v>
      </c>
      <c r="O141">
        <v>139</v>
      </c>
      <c r="P141">
        <v>1934</v>
      </c>
      <c r="Q141">
        <f t="shared" si="16"/>
        <v>0.21450617283950618</v>
      </c>
      <c r="R141" t="e">
        <f t="shared" si="17"/>
        <v>#N/A</v>
      </c>
      <c r="T141" t="e">
        <f t="shared" si="18"/>
        <v>#N/A</v>
      </c>
      <c r="U141">
        <f t="shared" si="19"/>
        <v>1934</v>
      </c>
      <c r="W141" t="e">
        <v>#N/A</v>
      </c>
      <c r="X141">
        <v>1933</v>
      </c>
    </row>
    <row r="142" spans="8:24">
      <c r="H142">
        <v>140</v>
      </c>
      <c r="I142">
        <f>'Lab test'!AZ143</f>
        <v>1939</v>
      </c>
      <c r="J142" t="e">
        <f>IF('Lab test'!AU143&gt;0,'Lab test'!AU143,NA())</f>
        <v>#N/A</v>
      </c>
      <c r="K142">
        <f>IF('Lab test'!AT143&gt;0,'Lab test'!AT143,NA())</f>
        <v>0.3118761317731959</v>
      </c>
      <c r="L142">
        <f t="shared" si="14"/>
        <v>1</v>
      </c>
      <c r="M142">
        <f t="shared" si="15"/>
        <v>1939</v>
      </c>
      <c r="O142">
        <v>140</v>
      </c>
      <c r="P142">
        <v>1934</v>
      </c>
      <c r="Q142">
        <f t="shared" si="16"/>
        <v>0.21604938271604937</v>
      </c>
      <c r="R142" t="e">
        <f t="shared" si="17"/>
        <v>#N/A</v>
      </c>
      <c r="T142" t="e">
        <f t="shared" si="18"/>
        <v>#N/A</v>
      </c>
      <c r="U142">
        <f t="shared" si="19"/>
        <v>1934</v>
      </c>
      <c r="W142" t="e">
        <v>#N/A</v>
      </c>
      <c r="X142">
        <v>1933</v>
      </c>
    </row>
    <row r="143" spans="8:24">
      <c r="H143">
        <v>141</v>
      </c>
      <c r="I143">
        <f>'Lab test'!AZ144</f>
        <v>1939</v>
      </c>
      <c r="J143" t="e">
        <f>IF('Lab test'!AU144&gt;0,'Lab test'!AU144,NA())</f>
        <v>#N/A</v>
      </c>
      <c r="K143">
        <f>IF('Lab test'!AT144&gt;0,'Lab test'!AT144,NA())</f>
        <v>0.2992070328369692</v>
      </c>
      <c r="L143">
        <f t="shared" si="14"/>
        <v>1</v>
      </c>
      <c r="M143">
        <f t="shared" si="15"/>
        <v>1939</v>
      </c>
      <c r="O143">
        <v>141</v>
      </c>
      <c r="P143">
        <v>1934</v>
      </c>
      <c r="Q143">
        <f t="shared" si="16"/>
        <v>0.21759259259259259</v>
      </c>
      <c r="R143" t="e">
        <f t="shared" si="17"/>
        <v>#N/A</v>
      </c>
      <c r="T143" t="e">
        <f t="shared" si="18"/>
        <v>#N/A</v>
      </c>
      <c r="U143">
        <f t="shared" si="19"/>
        <v>1934</v>
      </c>
      <c r="W143" t="e">
        <v>#N/A</v>
      </c>
      <c r="X143">
        <v>1933</v>
      </c>
    </row>
    <row r="144" spans="8:24">
      <c r="H144">
        <v>142</v>
      </c>
      <c r="I144">
        <f>'Lab test'!AZ145</f>
        <v>1939</v>
      </c>
      <c r="J144" t="e">
        <f>IF('Lab test'!AU145&gt;0,'Lab test'!AU145,NA())</f>
        <v>#N/A</v>
      </c>
      <c r="K144">
        <f>IF('Lab test'!AT145&gt;0,'Lab test'!AT145,NA())</f>
        <v>0.41939904410146706</v>
      </c>
      <c r="L144">
        <f t="shared" si="14"/>
        <v>1</v>
      </c>
      <c r="M144">
        <f t="shared" si="15"/>
        <v>1939</v>
      </c>
      <c r="O144">
        <v>142</v>
      </c>
      <c r="P144">
        <v>1934</v>
      </c>
      <c r="Q144">
        <f t="shared" si="16"/>
        <v>0.2191358024691358</v>
      </c>
      <c r="R144" t="e">
        <f t="shared" si="17"/>
        <v>#N/A</v>
      </c>
      <c r="T144" t="e">
        <f t="shared" si="18"/>
        <v>#N/A</v>
      </c>
      <c r="U144">
        <f t="shared" si="19"/>
        <v>1934</v>
      </c>
      <c r="W144" t="e">
        <v>#N/A</v>
      </c>
      <c r="X144">
        <v>1933</v>
      </c>
    </row>
    <row r="145" spans="8:24">
      <c r="H145">
        <v>143</v>
      </c>
      <c r="I145">
        <f>'Lab test'!AZ146</f>
        <v>1939</v>
      </c>
      <c r="J145" t="e">
        <f>IF('Lab test'!AU146&gt;0,'Lab test'!AU146,NA())</f>
        <v>#N/A</v>
      </c>
      <c r="K145">
        <f>IF('Lab test'!AT146&gt;0,'Lab test'!AT146,NA())</f>
        <v>0.44499639812222946</v>
      </c>
      <c r="L145">
        <f t="shared" si="14"/>
        <v>1</v>
      </c>
      <c r="M145">
        <f t="shared" si="15"/>
        <v>1939</v>
      </c>
      <c r="O145">
        <v>143</v>
      </c>
      <c r="P145">
        <v>1934</v>
      </c>
      <c r="Q145">
        <f t="shared" si="16"/>
        <v>0.22067901234567902</v>
      </c>
      <c r="R145" t="e">
        <f t="shared" si="17"/>
        <v>#N/A</v>
      </c>
      <c r="T145" t="e">
        <f t="shared" si="18"/>
        <v>#N/A</v>
      </c>
      <c r="U145">
        <f t="shared" si="19"/>
        <v>1934</v>
      </c>
      <c r="W145" t="e">
        <v>#N/A</v>
      </c>
      <c r="X145">
        <v>1933</v>
      </c>
    </row>
    <row r="146" spans="8:24">
      <c r="H146">
        <v>144</v>
      </c>
      <c r="I146">
        <f>'Lab test'!AZ147</f>
        <v>1939</v>
      </c>
      <c r="J146" t="e">
        <f>IF('Lab test'!AU147&gt;0,'Lab test'!AU147,NA())</f>
        <v>#N/A</v>
      </c>
      <c r="K146">
        <f>IF('Lab test'!AT147&gt;0,'Lab test'!AT147,NA())</f>
        <v>0.46109873569917537</v>
      </c>
      <c r="L146">
        <f t="shared" si="14"/>
        <v>1</v>
      </c>
      <c r="M146">
        <f t="shared" si="15"/>
        <v>1939</v>
      </c>
      <c r="O146">
        <v>144</v>
      </c>
      <c r="P146">
        <v>1934</v>
      </c>
      <c r="Q146">
        <f t="shared" si="16"/>
        <v>0.22222222222222221</v>
      </c>
      <c r="R146" t="e">
        <f t="shared" si="17"/>
        <v>#N/A</v>
      </c>
      <c r="T146" t="e">
        <f t="shared" si="18"/>
        <v>#N/A</v>
      </c>
      <c r="U146">
        <f t="shared" si="19"/>
        <v>1934</v>
      </c>
      <c r="W146" t="e">
        <v>#N/A</v>
      </c>
      <c r="X146">
        <v>1933</v>
      </c>
    </row>
    <row r="147" spans="8:24">
      <c r="H147">
        <v>145</v>
      </c>
      <c r="I147">
        <f>'Lab test'!AZ148</f>
        <v>1939</v>
      </c>
      <c r="J147" t="e">
        <f>IF('Lab test'!AU148&gt;0,'Lab test'!AU148,NA())</f>
        <v>#N/A</v>
      </c>
      <c r="K147">
        <f>IF('Lab test'!AT148&gt;0,'Lab test'!AT148,NA())</f>
        <v>0.60196979325447642</v>
      </c>
      <c r="L147">
        <f t="shared" si="14"/>
        <v>1</v>
      </c>
      <c r="M147">
        <f t="shared" si="15"/>
        <v>1939</v>
      </c>
      <c r="O147">
        <v>145</v>
      </c>
      <c r="P147">
        <v>1934</v>
      </c>
      <c r="Q147">
        <f t="shared" si="16"/>
        <v>0.22376543209876543</v>
      </c>
      <c r="R147" t="e">
        <f t="shared" si="17"/>
        <v>#N/A</v>
      </c>
      <c r="T147" t="e">
        <f t="shared" si="18"/>
        <v>#N/A</v>
      </c>
      <c r="U147">
        <f t="shared" si="19"/>
        <v>1934</v>
      </c>
      <c r="W147" t="e">
        <v>#N/A</v>
      </c>
      <c r="X147">
        <v>1933</v>
      </c>
    </row>
    <row r="148" spans="8:24">
      <c r="H148">
        <v>146</v>
      </c>
      <c r="I148">
        <f>'Lab test'!AZ149</f>
        <v>1939</v>
      </c>
      <c r="J148" t="e">
        <f>IF('Lab test'!AU149&gt;0,'Lab test'!AU149,NA())</f>
        <v>#N/A</v>
      </c>
      <c r="K148">
        <f>IF('Lab test'!AT149&gt;0,'Lab test'!AT149,NA())</f>
        <v>0.82402182416060177</v>
      </c>
      <c r="L148">
        <f t="shared" si="14"/>
        <v>1</v>
      </c>
      <c r="M148">
        <f t="shared" si="15"/>
        <v>1939</v>
      </c>
      <c r="O148">
        <v>146</v>
      </c>
      <c r="P148">
        <v>1934</v>
      </c>
      <c r="Q148">
        <f t="shared" si="16"/>
        <v>0.22530864197530864</v>
      </c>
      <c r="R148" t="e">
        <f t="shared" si="17"/>
        <v>#N/A</v>
      </c>
      <c r="T148" t="e">
        <f t="shared" si="18"/>
        <v>#N/A</v>
      </c>
      <c r="U148">
        <f t="shared" si="19"/>
        <v>1934</v>
      </c>
      <c r="W148" t="e">
        <v>#N/A</v>
      </c>
      <c r="X148">
        <v>1933</v>
      </c>
    </row>
    <row r="149" spans="8:24">
      <c r="H149">
        <v>147</v>
      </c>
      <c r="I149">
        <f>'Lab test'!AZ150</f>
        <v>1939</v>
      </c>
      <c r="J149" t="e">
        <f>IF('Lab test'!AU150&gt;0,'Lab test'!AU150,NA())</f>
        <v>#N/A</v>
      </c>
      <c r="K149">
        <f>IF('Lab test'!AT150&gt;0,'Lab test'!AT150,NA())</f>
        <v>1.2475045270927856</v>
      </c>
      <c r="L149">
        <f t="shared" si="14"/>
        <v>1</v>
      </c>
      <c r="M149">
        <f t="shared" si="15"/>
        <v>1939</v>
      </c>
      <c r="O149">
        <v>147</v>
      </c>
      <c r="P149">
        <v>1934</v>
      </c>
      <c r="Q149">
        <f t="shared" si="16"/>
        <v>0.22685185185185186</v>
      </c>
      <c r="R149" t="e">
        <f t="shared" si="17"/>
        <v>#N/A</v>
      </c>
      <c r="T149" t="e">
        <f t="shared" si="18"/>
        <v>#N/A</v>
      </c>
      <c r="U149">
        <f t="shared" si="19"/>
        <v>1934</v>
      </c>
      <c r="W149" t="e">
        <v>#N/A</v>
      </c>
      <c r="X149">
        <v>1933</v>
      </c>
    </row>
    <row r="150" spans="8:24">
      <c r="H150">
        <v>148</v>
      </c>
      <c r="I150">
        <f>'Lab test'!AZ151</f>
        <v>1939</v>
      </c>
      <c r="J150" t="e">
        <f>IF('Lab test'!AU151&gt;0,'Lab test'!AU151,NA())</f>
        <v>#N/A</v>
      </c>
      <c r="K150">
        <f>IF('Lab test'!AT151&gt;0,'Lab test'!AT151,NA())</f>
        <v>0.29222202097363392</v>
      </c>
      <c r="L150">
        <f t="shared" si="14"/>
        <v>1</v>
      </c>
      <c r="M150">
        <f t="shared" si="15"/>
        <v>1939</v>
      </c>
      <c r="O150">
        <v>148</v>
      </c>
      <c r="P150">
        <v>1934</v>
      </c>
      <c r="Q150">
        <f t="shared" si="16"/>
        <v>0.22839506172839505</v>
      </c>
      <c r="R150" t="e">
        <f t="shared" si="17"/>
        <v>#N/A</v>
      </c>
      <c r="T150" t="e">
        <f t="shared" si="18"/>
        <v>#N/A</v>
      </c>
      <c r="U150">
        <f t="shared" si="19"/>
        <v>1934</v>
      </c>
      <c r="W150" t="e">
        <v>#N/A</v>
      </c>
      <c r="X150">
        <v>1933</v>
      </c>
    </row>
    <row r="151" spans="8:24">
      <c r="H151">
        <v>149</v>
      </c>
      <c r="I151">
        <f>'Lab test'!AZ152</f>
        <v>1939</v>
      </c>
      <c r="J151" t="e">
        <f>IF('Lab test'!AU152&gt;0,'Lab test'!AU152,NA())</f>
        <v>#N/A</v>
      </c>
      <c r="K151">
        <f>IF('Lab test'!AT152&gt;0,'Lab test'!AT152,NA())</f>
        <v>0.234304685559169</v>
      </c>
      <c r="L151">
        <f t="shared" si="14"/>
        <v>1</v>
      </c>
      <c r="M151">
        <f t="shared" si="15"/>
        <v>1939</v>
      </c>
      <c r="O151">
        <v>149</v>
      </c>
      <c r="P151">
        <v>1934</v>
      </c>
      <c r="Q151">
        <f t="shared" si="16"/>
        <v>0.22993827160493827</v>
      </c>
      <c r="R151" t="e">
        <f t="shared" si="17"/>
        <v>#N/A</v>
      </c>
      <c r="T151" t="e">
        <f t="shared" si="18"/>
        <v>#N/A</v>
      </c>
      <c r="U151">
        <f t="shared" si="19"/>
        <v>1934</v>
      </c>
      <c r="W151" t="e">
        <v>#N/A</v>
      </c>
      <c r="X151">
        <v>1933</v>
      </c>
    </row>
    <row r="152" spans="8:24">
      <c r="H152">
        <v>150</v>
      </c>
      <c r="I152">
        <f>'Lab test'!AZ153</f>
        <v>1939</v>
      </c>
      <c r="J152" t="e">
        <f>IF('Lab test'!AU153&gt;0,'Lab test'!AU153,NA())</f>
        <v>#N/A</v>
      </c>
      <c r="K152">
        <f>IF('Lab test'!AT153&gt;0,'Lab test'!AT153,NA())</f>
        <v>0.22126347205761535</v>
      </c>
      <c r="L152">
        <f t="shared" si="14"/>
        <v>1</v>
      </c>
      <c r="M152">
        <f t="shared" si="15"/>
        <v>1939</v>
      </c>
      <c r="O152">
        <v>150</v>
      </c>
      <c r="P152">
        <v>1934</v>
      </c>
      <c r="Q152">
        <f t="shared" si="16"/>
        <v>0.23148148148148148</v>
      </c>
      <c r="R152" t="e">
        <f t="shared" si="17"/>
        <v>#N/A</v>
      </c>
      <c r="T152" t="e">
        <f t="shared" si="18"/>
        <v>#N/A</v>
      </c>
      <c r="U152">
        <f t="shared" si="19"/>
        <v>1934</v>
      </c>
      <c r="W152" t="e">
        <v>#N/A</v>
      </c>
      <c r="X152">
        <v>1933</v>
      </c>
    </row>
    <row r="153" spans="8:24">
      <c r="H153">
        <v>151</v>
      </c>
      <c r="I153">
        <f>'Lab test'!AZ154</f>
        <v>1939</v>
      </c>
      <c r="J153" t="e">
        <f>IF('Lab test'!AU154&gt;0,'Lab test'!AU154,NA())</f>
        <v>#N/A</v>
      </c>
      <c r="K153">
        <f>IF('Lab test'!AT154&gt;0,'Lab test'!AT154,NA())</f>
        <v>0.21239512485531817</v>
      </c>
      <c r="L153">
        <f t="shared" si="14"/>
        <v>1</v>
      </c>
      <c r="M153">
        <f t="shared" si="15"/>
        <v>1939</v>
      </c>
      <c r="O153">
        <v>151</v>
      </c>
      <c r="P153">
        <v>1934</v>
      </c>
      <c r="Q153">
        <f t="shared" si="16"/>
        <v>0.2330246913580247</v>
      </c>
      <c r="R153" t="e">
        <f t="shared" si="17"/>
        <v>#N/A</v>
      </c>
      <c r="T153" t="e">
        <f t="shared" si="18"/>
        <v>#N/A</v>
      </c>
      <c r="U153">
        <f t="shared" si="19"/>
        <v>1934</v>
      </c>
      <c r="W153" t="e">
        <v>#N/A</v>
      </c>
      <c r="X153">
        <v>1933</v>
      </c>
    </row>
    <row r="154" spans="8:24">
      <c r="H154">
        <v>152</v>
      </c>
      <c r="I154">
        <f>'Lab test'!AZ155</f>
        <v>1939</v>
      </c>
      <c r="J154" t="e">
        <f>IF('Lab test'!AU155&gt;0,'Lab test'!AU155,NA())</f>
        <v>#N/A</v>
      </c>
      <c r="K154">
        <f>IF('Lab test'!AT155&gt;0,'Lab test'!AT155,NA())</f>
        <v>0.2089481221860954</v>
      </c>
      <c r="L154">
        <f t="shared" si="14"/>
        <v>1</v>
      </c>
      <c r="M154">
        <f t="shared" si="15"/>
        <v>1939</v>
      </c>
      <c r="O154">
        <v>152</v>
      </c>
      <c r="P154">
        <v>1934</v>
      </c>
      <c r="Q154">
        <f t="shared" si="16"/>
        <v>0.23456790123456789</v>
      </c>
      <c r="R154" t="e">
        <f t="shared" si="17"/>
        <v>#N/A</v>
      </c>
      <c r="T154" t="e">
        <f t="shared" si="18"/>
        <v>#N/A</v>
      </c>
      <c r="U154">
        <f t="shared" si="19"/>
        <v>1934</v>
      </c>
      <c r="W154" t="e">
        <v>#N/A</v>
      </c>
      <c r="X154">
        <v>1934</v>
      </c>
    </row>
    <row r="155" spans="8:24">
      <c r="H155">
        <v>153</v>
      </c>
      <c r="I155">
        <f>'Lab test'!AZ156</f>
        <v>1939</v>
      </c>
      <c r="J155" t="e">
        <f>IF('Lab test'!AU156&gt;0,'Lab test'!AU156,NA())</f>
        <v>#N/A</v>
      </c>
      <c r="K155">
        <f>IF('Lab test'!AT156&gt;0,'Lab test'!AT156,NA())</f>
        <v>0.20555706160786749</v>
      </c>
      <c r="L155">
        <f t="shared" si="14"/>
        <v>1</v>
      </c>
      <c r="M155">
        <f t="shared" si="15"/>
        <v>1939</v>
      </c>
      <c r="O155">
        <v>153</v>
      </c>
      <c r="P155">
        <v>1934</v>
      </c>
      <c r="Q155">
        <f t="shared" si="16"/>
        <v>0.2361111111111111</v>
      </c>
      <c r="R155" t="e">
        <f t="shared" si="17"/>
        <v>#N/A</v>
      </c>
      <c r="T155" t="e">
        <f t="shared" si="18"/>
        <v>#N/A</v>
      </c>
      <c r="U155">
        <f t="shared" si="19"/>
        <v>1934</v>
      </c>
      <c r="W155" t="e">
        <v>#N/A</v>
      </c>
      <c r="X155">
        <v>1934</v>
      </c>
    </row>
    <row r="156" spans="8:24">
      <c r="H156">
        <v>154</v>
      </c>
      <c r="I156">
        <f>'Lab test'!AZ157</f>
        <v>1939</v>
      </c>
      <c r="J156" t="e">
        <f>IF('Lab test'!AU157&gt;0,'Lab test'!AU157,NA())</f>
        <v>#N/A</v>
      </c>
      <c r="K156">
        <f>IF('Lab test'!AT157&gt;0,'Lab test'!AT157,NA())</f>
        <v>0.24012649456431293</v>
      </c>
      <c r="L156">
        <f t="shared" si="14"/>
        <v>1</v>
      </c>
      <c r="M156">
        <f t="shared" si="15"/>
        <v>1939</v>
      </c>
      <c r="O156">
        <v>154</v>
      </c>
      <c r="P156">
        <v>1934</v>
      </c>
      <c r="Q156">
        <f t="shared" si="16"/>
        <v>0.23765432098765432</v>
      </c>
      <c r="R156" t="e">
        <f t="shared" si="17"/>
        <v>#N/A</v>
      </c>
      <c r="T156" t="e">
        <f t="shared" si="18"/>
        <v>#N/A</v>
      </c>
      <c r="U156">
        <f t="shared" si="19"/>
        <v>1934</v>
      </c>
      <c r="W156" t="e">
        <v>#N/A</v>
      </c>
      <c r="X156">
        <v>1934</v>
      </c>
    </row>
    <row r="157" spans="8:24">
      <c r="H157">
        <v>155</v>
      </c>
      <c r="I157">
        <f>'Lab test'!AZ158</f>
        <v>1939</v>
      </c>
      <c r="J157" t="e">
        <f>IF('Lab test'!AU158&gt;0,'Lab test'!AU158,NA())</f>
        <v>#N/A</v>
      </c>
      <c r="K157">
        <f>IF('Lab test'!AT158&gt;0,'Lab test'!AT158,NA())</f>
        <v>0.26273835390627037</v>
      </c>
      <c r="L157">
        <f t="shared" si="14"/>
        <v>1</v>
      </c>
      <c r="M157">
        <f t="shared" si="15"/>
        <v>1939</v>
      </c>
      <c r="O157">
        <v>155</v>
      </c>
      <c r="P157">
        <v>1934</v>
      </c>
      <c r="Q157">
        <f t="shared" si="16"/>
        <v>0.23919753086419754</v>
      </c>
      <c r="R157" t="e">
        <f t="shared" si="17"/>
        <v>#N/A</v>
      </c>
      <c r="T157" t="e">
        <f t="shared" si="18"/>
        <v>#N/A</v>
      </c>
      <c r="U157">
        <f t="shared" si="19"/>
        <v>1934</v>
      </c>
      <c r="W157" t="e">
        <v>#N/A</v>
      </c>
      <c r="X157">
        <v>1934</v>
      </c>
    </row>
    <row r="158" spans="8:24">
      <c r="H158">
        <v>156</v>
      </c>
      <c r="I158">
        <f>'Lab test'!AZ159</f>
        <v>1939</v>
      </c>
      <c r="J158" t="e">
        <f>IF('Lab test'!AU159&gt;0,'Lab test'!AU159,NA())</f>
        <v>#N/A</v>
      </c>
      <c r="K158">
        <f>IF('Lab test'!AT159&gt;0,'Lab test'!AT159,NA())</f>
        <v>0.28747949175132603</v>
      </c>
      <c r="L158">
        <f t="shared" si="14"/>
        <v>1</v>
      </c>
      <c r="M158">
        <f t="shared" si="15"/>
        <v>1939</v>
      </c>
      <c r="O158">
        <v>156</v>
      </c>
      <c r="P158">
        <v>1934</v>
      </c>
      <c r="Q158">
        <f t="shared" si="16"/>
        <v>0.24074074074074073</v>
      </c>
      <c r="R158" t="e">
        <f t="shared" si="17"/>
        <v>#N/A</v>
      </c>
      <c r="T158" t="e">
        <f t="shared" si="18"/>
        <v>#N/A</v>
      </c>
      <c r="U158">
        <f t="shared" si="19"/>
        <v>1934</v>
      </c>
      <c r="W158" t="e">
        <v>#N/A</v>
      </c>
      <c r="X158">
        <v>1934</v>
      </c>
    </row>
    <row r="159" spans="8:24">
      <c r="H159">
        <v>157</v>
      </c>
      <c r="I159">
        <f>'Lab test'!AZ160</f>
        <v>1939</v>
      </c>
      <c r="J159" t="e">
        <f>IF('Lab test'!AU160&gt;0,'Lab test'!AU160,NA())</f>
        <v>#N/A</v>
      </c>
      <c r="K159">
        <f>IF('Lab test'!AT160&gt;0,'Lab test'!AT160,NA())</f>
        <v>0.34699777623386224</v>
      </c>
      <c r="L159">
        <f t="shared" si="14"/>
        <v>1</v>
      </c>
      <c r="M159">
        <f t="shared" si="15"/>
        <v>1939</v>
      </c>
      <c r="O159">
        <v>157</v>
      </c>
      <c r="P159">
        <v>1934</v>
      </c>
      <c r="Q159">
        <f t="shared" si="16"/>
        <v>0.24228395061728394</v>
      </c>
      <c r="R159" t="e">
        <f t="shared" si="17"/>
        <v>#N/A</v>
      </c>
      <c r="T159" t="e">
        <f t="shared" si="18"/>
        <v>#N/A</v>
      </c>
      <c r="U159">
        <f t="shared" si="19"/>
        <v>1934</v>
      </c>
      <c r="W159" t="e">
        <v>#N/A</v>
      </c>
      <c r="X159">
        <v>1934</v>
      </c>
    </row>
    <row r="160" spans="8:24">
      <c r="H160">
        <v>158</v>
      </c>
      <c r="I160">
        <f>'Lab test'!AZ161</f>
        <v>1939</v>
      </c>
      <c r="J160" t="e">
        <f>IF('Lab test'!AU161&gt;0,'Lab test'!AU161,NA())</f>
        <v>#N/A</v>
      </c>
      <c r="K160">
        <f>IF('Lab test'!AT161&gt;0,'Lab test'!AT161,NA())</f>
        <v>0.45084144898790657</v>
      </c>
      <c r="L160">
        <f t="shared" si="14"/>
        <v>1</v>
      </c>
      <c r="M160">
        <f t="shared" si="15"/>
        <v>1939</v>
      </c>
      <c r="O160">
        <v>158</v>
      </c>
      <c r="P160">
        <v>1934</v>
      </c>
      <c r="Q160">
        <f t="shared" si="16"/>
        <v>0.24382716049382716</v>
      </c>
      <c r="R160" t="e">
        <f t="shared" si="17"/>
        <v>#N/A</v>
      </c>
      <c r="T160" t="e">
        <f t="shared" si="18"/>
        <v>#N/A</v>
      </c>
      <c r="U160">
        <f t="shared" si="19"/>
        <v>1934</v>
      </c>
      <c r="W160" t="e">
        <v>#N/A</v>
      </c>
      <c r="X160">
        <v>1934</v>
      </c>
    </row>
    <row r="161" spans="8:24">
      <c r="H161">
        <v>159</v>
      </c>
      <c r="I161">
        <f>'Lab test'!AZ162</f>
        <v>1939</v>
      </c>
      <c r="J161" t="e">
        <f>IF('Lab test'!AU162&gt;0,'Lab test'!AU162,NA())</f>
        <v>#N/A</v>
      </c>
      <c r="K161">
        <f>IF('Lab test'!AT162&gt;0,'Lab test'!AT162,NA())</f>
        <v>0.58098904895370651</v>
      </c>
      <c r="L161">
        <f t="shared" si="14"/>
        <v>1</v>
      </c>
      <c r="M161">
        <f t="shared" si="15"/>
        <v>1939</v>
      </c>
      <c r="O161">
        <v>159</v>
      </c>
      <c r="P161">
        <v>1934</v>
      </c>
      <c r="Q161">
        <f t="shared" si="16"/>
        <v>0.24537037037037038</v>
      </c>
      <c r="R161" t="e">
        <f t="shared" si="17"/>
        <v>#N/A</v>
      </c>
      <c r="T161" t="e">
        <f t="shared" si="18"/>
        <v>#N/A</v>
      </c>
      <c r="U161">
        <f t="shared" si="19"/>
        <v>1934</v>
      </c>
      <c r="W161" t="e">
        <v>#N/A</v>
      </c>
      <c r="X161">
        <v>1934</v>
      </c>
    </row>
    <row r="162" spans="8:24">
      <c r="H162">
        <v>160</v>
      </c>
      <c r="I162">
        <f>'Lab test'!AZ163</f>
        <v>1939</v>
      </c>
      <c r="J162" t="e">
        <f>IF('Lab test'!AU163&gt;0,'Lab test'!AU163,NA())</f>
        <v>#N/A</v>
      </c>
      <c r="K162">
        <f>IF('Lab test'!AT163&gt;0,'Lab test'!AT163,NA())</f>
        <v>0.6731666479539854</v>
      </c>
      <c r="L162">
        <f t="shared" si="14"/>
        <v>1</v>
      </c>
      <c r="M162">
        <f t="shared" si="15"/>
        <v>1939</v>
      </c>
      <c r="O162">
        <v>160</v>
      </c>
      <c r="P162">
        <v>1934</v>
      </c>
      <c r="Q162">
        <f t="shared" si="16"/>
        <v>0.24691358024691357</v>
      </c>
      <c r="R162" t="e">
        <f t="shared" si="17"/>
        <v>#N/A</v>
      </c>
      <c r="T162" t="e">
        <f t="shared" si="18"/>
        <v>#N/A</v>
      </c>
      <c r="U162">
        <f t="shared" si="19"/>
        <v>1934</v>
      </c>
      <c r="W162" t="e">
        <v>#N/A</v>
      </c>
      <c r="X162">
        <v>1934</v>
      </c>
    </row>
    <row r="163" spans="8:24">
      <c r="H163">
        <v>161</v>
      </c>
      <c r="I163">
        <f>'Lab test'!AZ164</f>
        <v>1939</v>
      </c>
      <c r="J163" t="e">
        <f>IF('Lab test'!AU164&gt;0,'Lab test'!AU164,NA())</f>
        <v>#N/A</v>
      </c>
      <c r="K163">
        <f>IF('Lab test'!AT164&gt;0,'Lab test'!AT164,NA())</f>
        <v>0.95698059107511413</v>
      </c>
      <c r="L163">
        <f t="shared" si="14"/>
        <v>1</v>
      </c>
      <c r="M163">
        <f t="shared" si="15"/>
        <v>1939</v>
      </c>
      <c r="O163">
        <v>161</v>
      </c>
      <c r="P163">
        <v>1934</v>
      </c>
      <c r="Q163">
        <f t="shared" si="16"/>
        <v>0.24845679012345678</v>
      </c>
      <c r="R163" t="e">
        <f t="shared" si="17"/>
        <v>#N/A</v>
      </c>
      <c r="T163" t="e">
        <f t="shared" si="18"/>
        <v>#N/A</v>
      </c>
      <c r="U163">
        <f t="shared" si="19"/>
        <v>1934</v>
      </c>
      <c r="W163" t="e">
        <v>#N/A</v>
      </c>
      <c r="X163">
        <v>1934</v>
      </c>
    </row>
    <row r="164" spans="8:24">
      <c r="H164">
        <v>162</v>
      </c>
      <c r="I164">
        <f>'Lab test'!AZ165</f>
        <v>1939</v>
      </c>
      <c r="J164" t="e">
        <f>IF('Lab test'!AU165&gt;0,'Lab test'!AU165,NA())</f>
        <v>#N/A</v>
      </c>
      <c r="K164">
        <f>IF('Lab test'!AT165&gt;0,'Lab test'!AT165,NA())</f>
        <v>0.86749444058465663</v>
      </c>
      <c r="L164">
        <f t="shared" si="14"/>
        <v>1</v>
      </c>
      <c r="M164">
        <f t="shared" si="15"/>
        <v>1939</v>
      </c>
      <c r="O164">
        <v>162</v>
      </c>
      <c r="P164">
        <v>1934</v>
      </c>
      <c r="Q164">
        <f t="shared" si="16"/>
        <v>0.25</v>
      </c>
      <c r="R164" t="e">
        <f t="shared" si="17"/>
        <v>#N/A</v>
      </c>
      <c r="T164" t="e">
        <f t="shared" si="18"/>
        <v>#N/A</v>
      </c>
      <c r="U164">
        <f t="shared" si="19"/>
        <v>1934</v>
      </c>
      <c r="W164" t="e">
        <v>#N/A</v>
      </c>
      <c r="X164">
        <v>1934</v>
      </c>
    </row>
    <row r="165" spans="8:24">
      <c r="H165">
        <v>163</v>
      </c>
      <c r="I165">
        <f>'Lab test'!AZ166</f>
        <v>1939</v>
      </c>
      <c r="J165" t="e">
        <f>IF('Lab test'!AU166&gt;0,'Lab test'!AU166,NA())</f>
        <v>#N/A</v>
      </c>
      <c r="K165">
        <f>IF('Lab test'!AT166&gt;0,'Lab test'!AT166,NA())</f>
        <v>0.30177159481585053</v>
      </c>
      <c r="L165">
        <f t="shared" si="14"/>
        <v>1</v>
      </c>
      <c r="M165">
        <f t="shared" si="15"/>
        <v>1939</v>
      </c>
      <c r="O165">
        <v>163</v>
      </c>
      <c r="P165">
        <v>1934</v>
      </c>
      <c r="Q165">
        <f t="shared" si="16"/>
        <v>0.25154320987654322</v>
      </c>
      <c r="R165" t="e">
        <f t="shared" si="17"/>
        <v>#N/A</v>
      </c>
      <c r="T165" t="e">
        <f t="shared" si="18"/>
        <v>#N/A</v>
      </c>
      <c r="U165">
        <f t="shared" si="19"/>
        <v>1934</v>
      </c>
      <c r="W165" t="e">
        <v>#N/A</v>
      </c>
      <c r="X165">
        <v>1934</v>
      </c>
    </row>
    <row r="166" spans="8:24">
      <c r="H166">
        <v>164</v>
      </c>
      <c r="I166">
        <f>'Lab test'!AZ167</f>
        <v>1939</v>
      </c>
      <c r="J166" t="e">
        <f>IF('Lab test'!AU167&gt;0,'Lab test'!AU167,NA())</f>
        <v>#N/A</v>
      </c>
      <c r="K166">
        <f>IF('Lab test'!AT167&gt;0,'Lab test'!AT167,NA())</f>
        <v>0.20777116908169746</v>
      </c>
      <c r="L166">
        <f t="shared" si="14"/>
        <v>1</v>
      </c>
      <c r="M166">
        <f t="shared" si="15"/>
        <v>1939</v>
      </c>
      <c r="O166">
        <v>164</v>
      </c>
      <c r="P166">
        <v>1934</v>
      </c>
      <c r="Q166">
        <f t="shared" si="16"/>
        <v>0.25308641975308643</v>
      </c>
      <c r="R166" t="e">
        <f t="shared" si="17"/>
        <v>#N/A</v>
      </c>
      <c r="T166" t="e">
        <f t="shared" si="18"/>
        <v>#N/A</v>
      </c>
      <c r="U166">
        <f t="shared" si="19"/>
        <v>1934</v>
      </c>
      <c r="W166" t="e">
        <v>#N/A</v>
      </c>
      <c r="X166">
        <v>1934</v>
      </c>
    </row>
    <row r="167" spans="8:24">
      <c r="H167">
        <v>165</v>
      </c>
      <c r="I167">
        <f>'Lab test'!AZ168</f>
        <v>1939</v>
      </c>
      <c r="J167" t="e">
        <f>IF('Lab test'!AU168&gt;0,'Lab test'!AU168,NA())</f>
        <v>#N/A</v>
      </c>
      <c r="K167">
        <f>IF('Lab test'!AT168&gt;0,'Lab test'!AT168,NA())</f>
        <v>0.19010419228441863</v>
      </c>
      <c r="L167">
        <f t="shared" si="14"/>
        <v>1</v>
      </c>
      <c r="M167">
        <f t="shared" si="15"/>
        <v>1939</v>
      </c>
      <c r="O167">
        <v>165</v>
      </c>
      <c r="P167">
        <v>1934</v>
      </c>
      <c r="Q167">
        <f t="shared" si="16"/>
        <v>0.25462962962962965</v>
      </c>
      <c r="R167" t="e">
        <f t="shared" si="17"/>
        <v>#N/A</v>
      </c>
      <c r="T167" t="e">
        <f t="shared" si="18"/>
        <v>#N/A</v>
      </c>
      <c r="U167">
        <f t="shared" si="19"/>
        <v>1934</v>
      </c>
      <c r="W167" t="e">
        <v>#N/A</v>
      </c>
      <c r="X167">
        <v>1934</v>
      </c>
    </row>
    <row r="168" spans="8:24">
      <c r="H168">
        <v>166</v>
      </c>
      <c r="I168">
        <f>'Lab test'!AZ169</f>
        <v>1939</v>
      </c>
      <c r="J168" t="e">
        <f>IF('Lab test'!AU169&gt;0,'Lab test'!AU169,NA())</f>
        <v>#N/A</v>
      </c>
      <c r="K168">
        <f>IF('Lab test'!AT169&gt;0,'Lab test'!AT169,NA())</f>
        <v>0.18675531753105906</v>
      </c>
      <c r="L168">
        <f t="shared" si="14"/>
        <v>1</v>
      </c>
      <c r="M168">
        <f t="shared" si="15"/>
        <v>1939</v>
      </c>
      <c r="O168">
        <v>166</v>
      </c>
      <c r="P168">
        <v>1934</v>
      </c>
      <c r="Q168">
        <f t="shared" si="16"/>
        <v>0.25617283950617287</v>
      </c>
      <c r="R168" t="e">
        <f t="shared" si="17"/>
        <v>#N/A</v>
      </c>
      <c r="T168" t="e">
        <f t="shared" si="18"/>
        <v>#N/A</v>
      </c>
      <c r="U168">
        <f t="shared" si="19"/>
        <v>1934</v>
      </c>
      <c r="W168" t="e">
        <v>#N/A</v>
      </c>
      <c r="X168">
        <v>1934</v>
      </c>
    </row>
    <row r="169" spans="8:24">
      <c r="H169">
        <v>167</v>
      </c>
      <c r="I169">
        <f>'Lab test'!AZ170</f>
        <v>1939</v>
      </c>
      <c r="J169" t="e">
        <f>IF('Lab test'!AU170&gt;0,'Lab test'!AU170,NA())</f>
        <v>#N/A</v>
      </c>
      <c r="K169">
        <f>IF('Lab test'!AT170&gt;0,'Lab test'!AT170,NA())</f>
        <v>0.22307975292688204</v>
      </c>
      <c r="L169">
        <f t="shared" si="14"/>
        <v>1</v>
      </c>
      <c r="M169">
        <f t="shared" si="15"/>
        <v>1939</v>
      </c>
      <c r="O169">
        <v>167</v>
      </c>
      <c r="P169">
        <v>1934</v>
      </c>
      <c r="Q169">
        <f t="shared" si="16"/>
        <v>0.25771604938271603</v>
      </c>
      <c r="R169" t="e">
        <f t="shared" si="17"/>
        <v>#N/A</v>
      </c>
      <c r="T169" t="e">
        <f t="shared" si="18"/>
        <v>#N/A</v>
      </c>
      <c r="U169">
        <f t="shared" si="19"/>
        <v>1934</v>
      </c>
      <c r="W169" t="e">
        <v>#N/A</v>
      </c>
      <c r="X169">
        <v>1934</v>
      </c>
    </row>
    <row r="170" spans="8:24">
      <c r="H170">
        <v>168</v>
      </c>
      <c r="I170">
        <f>'Lab test'!AZ171</f>
        <v>1939</v>
      </c>
      <c r="J170" t="e">
        <f>IF('Lab test'!AU171&gt;0,'Lab test'!AU171,NA())</f>
        <v>#N/A</v>
      </c>
      <c r="K170">
        <f>IF('Lab test'!AT171&gt;0,'Lab test'!AT171,NA())</f>
        <v>0.28273292921091303</v>
      </c>
      <c r="L170">
        <f t="shared" si="14"/>
        <v>1</v>
      </c>
      <c r="M170">
        <f t="shared" si="15"/>
        <v>1939</v>
      </c>
      <c r="O170">
        <v>168</v>
      </c>
      <c r="P170">
        <v>1934</v>
      </c>
      <c r="Q170">
        <f t="shared" si="16"/>
        <v>0.25925925925925924</v>
      </c>
      <c r="R170" t="e">
        <f t="shared" si="17"/>
        <v>#N/A</v>
      </c>
      <c r="T170" t="e">
        <f t="shared" si="18"/>
        <v>#N/A</v>
      </c>
      <c r="U170">
        <f t="shared" si="19"/>
        <v>1934</v>
      </c>
      <c r="W170" t="e">
        <v>#N/A</v>
      </c>
      <c r="X170">
        <v>1934</v>
      </c>
    </row>
    <row r="171" spans="8:24">
      <c r="H171">
        <v>169</v>
      </c>
      <c r="I171">
        <f>'Lab test'!AZ172</f>
        <v>1939</v>
      </c>
      <c r="J171" t="e">
        <f>IF('Lab test'!AU172&gt;0,'Lab test'!AU172,NA())</f>
        <v>#N/A</v>
      </c>
      <c r="K171">
        <f>IF('Lab test'!AT172&gt;0,'Lab test'!AT172,NA())</f>
        <v>0.30177159481585053</v>
      </c>
      <c r="L171">
        <f t="shared" si="14"/>
        <v>1</v>
      </c>
      <c r="M171">
        <f t="shared" si="15"/>
        <v>1939</v>
      </c>
      <c r="O171">
        <v>169</v>
      </c>
      <c r="P171">
        <v>1934</v>
      </c>
      <c r="Q171">
        <f t="shared" si="16"/>
        <v>0.26080246913580246</v>
      </c>
      <c r="R171" t="e">
        <f t="shared" si="17"/>
        <v>#N/A</v>
      </c>
      <c r="T171" t="e">
        <f t="shared" si="18"/>
        <v>#N/A</v>
      </c>
      <c r="U171">
        <f t="shared" si="19"/>
        <v>1934</v>
      </c>
      <c r="W171" t="e">
        <v>#N/A</v>
      </c>
      <c r="X171">
        <v>1934</v>
      </c>
    </row>
    <row r="172" spans="8:24">
      <c r="H172">
        <v>170</v>
      </c>
      <c r="I172">
        <f>'Lab test'!AZ173</f>
        <v>1939</v>
      </c>
      <c r="J172" t="e">
        <f>IF('Lab test'!AU173&gt;0,'Lab test'!AU173,NA())</f>
        <v>#N/A</v>
      </c>
      <c r="K172">
        <f>IF('Lab test'!AT173&gt;0,'Lab test'!AT173,NA())</f>
        <v>0.33772528047119454</v>
      </c>
      <c r="L172">
        <f t="shared" si="14"/>
        <v>1</v>
      </c>
      <c r="M172">
        <f t="shared" si="15"/>
        <v>1939</v>
      </c>
      <c r="O172">
        <v>170</v>
      </c>
      <c r="P172">
        <v>1934</v>
      </c>
      <c r="Q172">
        <f t="shared" si="16"/>
        <v>0.26234567901234568</v>
      </c>
      <c r="R172" t="e">
        <f t="shared" si="17"/>
        <v>#N/A</v>
      </c>
      <c r="T172" t="e">
        <f t="shared" si="18"/>
        <v>#N/A</v>
      </c>
      <c r="U172">
        <f t="shared" si="19"/>
        <v>1934</v>
      </c>
      <c r="W172" t="e">
        <v>#N/A</v>
      </c>
      <c r="X172">
        <v>1934</v>
      </c>
    </row>
    <row r="173" spans="8:24">
      <c r="H173">
        <v>171</v>
      </c>
      <c r="I173">
        <f>'Lab test'!AZ174</f>
        <v>1939</v>
      </c>
      <c r="J173" t="e">
        <f>IF('Lab test'!AU174&gt;0,'Lab test'!AU174,NA())</f>
        <v>#N/A</v>
      </c>
      <c r="K173">
        <f>IF('Lab test'!AT174&gt;0,'Lab test'!AT174,NA())</f>
        <v>0.39866208841663964</v>
      </c>
      <c r="L173">
        <f t="shared" si="14"/>
        <v>1</v>
      </c>
      <c r="M173">
        <f t="shared" si="15"/>
        <v>1939</v>
      </c>
      <c r="O173">
        <v>171</v>
      </c>
      <c r="P173">
        <v>1934</v>
      </c>
      <c r="Q173">
        <f t="shared" si="16"/>
        <v>0.2638888888888889</v>
      </c>
      <c r="R173" t="e">
        <f t="shared" si="17"/>
        <v>#N/A</v>
      </c>
      <c r="T173" t="e">
        <f t="shared" si="18"/>
        <v>#N/A</v>
      </c>
      <c r="U173">
        <f t="shared" si="19"/>
        <v>1934</v>
      </c>
      <c r="W173" t="e">
        <v>#N/A</v>
      </c>
      <c r="X173">
        <v>1934</v>
      </c>
    </row>
    <row r="174" spans="8:24">
      <c r="H174">
        <v>172</v>
      </c>
      <c r="I174">
        <f>'Lab test'!AZ175</f>
        <v>1939</v>
      </c>
      <c r="J174" t="e">
        <f>IF('Lab test'!AU175&gt;0,'Lab test'!AU175,NA())</f>
        <v>#N/A</v>
      </c>
      <c r="K174">
        <f>IF('Lab test'!AT175&gt;0,'Lab test'!AT175,NA())</f>
        <v>0.57902592908259642</v>
      </c>
      <c r="L174">
        <f t="shared" si="14"/>
        <v>1</v>
      </c>
      <c r="M174">
        <f t="shared" si="15"/>
        <v>1939</v>
      </c>
      <c r="O174">
        <v>172</v>
      </c>
      <c r="P174">
        <v>1934</v>
      </c>
      <c r="Q174">
        <f t="shared" si="16"/>
        <v>0.26543209876543211</v>
      </c>
      <c r="R174" t="e">
        <f t="shared" si="17"/>
        <v>#N/A</v>
      </c>
      <c r="T174" t="e">
        <f t="shared" si="18"/>
        <v>#N/A</v>
      </c>
      <c r="U174">
        <f t="shared" si="19"/>
        <v>1934</v>
      </c>
      <c r="W174" t="e">
        <v>#N/A</v>
      </c>
      <c r="X174">
        <v>1934</v>
      </c>
    </row>
    <row r="175" spans="8:24">
      <c r="H175">
        <v>173</v>
      </c>
      <c r="I175">
        <f>'Lab test'!AZ176</f>
        <v>1939</v>
      </c>
      <c r="J175" t="e">
        <f>IF('Lab test'!AU176&gt;0,'Lab test'!AU176,NA())</f>
        <v>#N/A</v>
      </c>
      <c r="K175">
        <f>IF('Lab test'!AT176&gt;0,'Lab test'!AT176,NA())</f>
        <v>0.84099049368239565</v>
      </c>
      <c r="L175">
        <f t="shared" si="14"/>
        <v>1</v>
      </c>
      <c r="M175">
        <f t="shared" si="15"/>
        <v>1939</v>
      </c>
      <c r="O175">
        <v>173</v>
      </c>
      <c r="P175">
        <v>1934</v>
      </c>
      <c r="Q175">
        <f t="shared" si="16"/>
        <v>0.26697530864197533</v>
      </c>
      <c r="R175" t="e">
        <f t="shared" si="17"/>
        <v>#N/A</v>
      </c>
      <c r="T175" t="e">
        <f t="shared" si="18"/>
        <v>#N/A</v>
      </c>
      <c r="U175">
        <f t="shared" si="19"/>
        <v>1934</v>
      </c>
      <c r="W175" t="e">
        <v>#N/A</v>
      </c>
      <c r="X175">
        <v>1934</v>
      </c>
    </row>
    <row r="176" spans="8:24">
      <c r="H176">
        <v>174</v>
      </c>
      <c r="I176">
        <f>'Lab test'!AZ177</f>
        <v>1939</v>
      </c>
      <c r="J176" t="e">
        <f>IF('Lab test'!AU177&gt;0,'Lab test'!AU177,NA())</f>
        <v>#N/A</v>
      </c>
      <c r="K176">
        <f>IF('Lab test'!AT177&gt;0,'Lab test'!AT177,NA())</f>
        <v>1.0045655139823491</v>
      </c>
      <c r="L176">
        <f t="shared" si="14"/>
        <v>1</v>
      </c>
      <c r="M176">
        <f t="shared" si="15"/>
        <v>1939</v>
      </c>
      <c r="O176">
        <v>174</v>
      </c>
      <c r="P176">
        <v>1934</v>
      </c>
      <c r="Q176">
        <f t="shared" si="16"/>
        <v>0.26851851851851855</v>
      </c>
      <c r="R176" t="e">
        <f t="shared" si="17"/>
        <v>#N/A</v>
      </c>
      <c r="T176" t="e">
        <f t="shared" si="18"/>
        <v>#N/A</v>
      </c>
      <c r="U176">
        <f t="shared" si="19"/>
        <v>1934</v>
      </c>
      <c r="W176" t="e">
        <v>#N/A</v>
      </c>
      <c r="X176">
        <v>1934</v>
      </c>
    </row>
    <row r="177" spans="8:24">
      <c r="H177">
        <v>175</v>
      </c>
      <c r="I177">
        <f>'Lab test'!AZ178</f>
        <v>1939</v>
      </c>
      <c r="J177" t="e">
        <f>IF('Lab test'!AU178&gt;0,'Lab test'!AU178,NA())</f>
        <v>#N/A</v>
      </c>
      <c r="K177">
        <f>IF('Lab test'!AT178&gt;0,'Lab test'!AT178,NA())</f>
        <v>0.22572326583598407</v>
      </c>
      <c r="L177">
        <f t="shared" si="14"/>
        <v>1</v>
      </c>
      <c r="M177">
        <f t="shared" si="15"/>
        <v>1939</v>
      </c>
      <c r="O177">
        <v>175</v>
      </c>
      <c r="P177">
        <v>1934</v>
      </c>
      <c r="Q177">
        <f t="shared" si="16"/>
        <v>0.27006172839506171</v>
      </c>
      <c r="R177" t="e">
        <f t="shared" si="17"/>
        <v>#N/A</v>
      </c>
      <c r="T177" t="e">
        <f t="shared" si="18"/>
        <v>#N/A</v>
      </c>
      <c r="U177">
        <f t="shared" si="19"/>
        <v>1934</v>
      </c>
      <c r="W177" t="e">
        <v>#N/A</v>
      </c>
      <c r="X177">
        <v>1934</v>
      </c>
    </row>
    <row r="178" spans="8:24">
      <c r="H178">
        <v>176</v>
      </c>
      <c r="I178">
        <f>'Lab test'!AZ179</f>
        <v>1939</v>
      </c>
      <c r="J178" t="e">
        <f>IF('Lab test'!AU179&gt;0,'Lab test'!AU179,NA())</f>
        <v>#N/A</v>
      </c>
      <c r="K178">
        <f>IF('Lab test'!AT179&gt;0,'Lab test'!AT179,NA())</f>
        <v>0.19322737104026258</v>
      </c>
      <c r="L178">
        <f t="shared" si="14"/>
        <v>1</v>
      </c>
      <c r="M178">
        <f t="shared" si="15"/>
        <v>1939</v>
      </c>
      <c r="O178">
        <v>176</v>
      </c>
      <c r="P178">
        <v>1934</v>
      </c>
      <c r="Q178">
        <f t="shared" si="16"/>
        <v>0.27160493827160492</v>
      </c>
      <c r="R178" t="e">
        <f t="shared" si="17"/>
        <v>#N/A</v>
      </c>
      <c r="T178" t="e">
        <f t="shared" si="18"/>
        <v>#N/A</v>
      </c>
      <c r="U178">
        <f t="shared" si="19"/>
        <v>1934</v>
      </c>
      <c r="W178" t="e">
        <v>#N/A</v>
      </c>
      <c r="X178">
        <v>1934</v>
      </c>
    </row>
    <row r="179" spans="8:24">
      <c r="H179">
        <v>177</v>
      </c>
      <c r="I179">
        <f>'Lab test'!AZ180</f>
        <v>1939</v>
      </c>
      <c r="J179" t="e">
        <f>IF('Lab test'!AU180&gt;0,'Lab test'!AU180,NA())</f>
        <v>#N/A</v>
      </c>
      <c r="K179">
        <f>IF('Lab test'!AT180&gt;0,'Lab test'!AT180,NA())</f>
        <v>0.18548272435530894</v>
      </c>
      <c r="L179">
        <f t="shared" si="14"/>
        <v>1</v>
      </c>
      <c r="M179">
        <f t="shared" si="15"/>
        <v>1939</v>
      </c>
      <c r="O179">
        <v>177</v>
      </c>
      <c r="P179">
        <v>1934</v>
      </c>
      <c r="Q179">
        <f t="shared" si="16"/>
        <v>0.27314814814814814</v>
      </c>
      <c r="R179" t="e">
        <f t="shared" si="17"/>
        <v>#N/A</v>
      </c>
      <c r="T179" t="e">
        <f t="shared" si="18"/>
        <v>#N/A</v>
      </c>
      <c r="U179">
        <f t="shared" si="19"/>
        <v>1934</v>
      </c>
      <c r="W179" t="e">
        <v>#N/A</v>
      </c>
      <c r="X179">
        <v>1934</v>
      </c>
    </row>
    <row r="180" spans="8:24">
      <c r="H180">
        <v>178</v>
      </c>
      <c r="I180">
        <f>'Lab test'!AZ181</f>
        <v>1939</v>
      </c>
      <c r="J180" t="e">
        <f>IF('Lab test'!AU181&gt;0,'Lab test'!AU181,NA())</f>
        <v>#N/A</v>
      </c>
      <c r="K180">
        <f>IF('Lab test'!AT181&gt;0,'Lab test'!AT181,NA())</f>
        <v>0.18700641382567429</v>
      </c>
      <c r="L180">
        <f t="shared" si="14"/>
        <v>1</v>
      </c>
      <c r="M180">
        <f t="shared" si="15"/>
        <v>1939</v>
      </c>
      <c r="O180">
        <v>178</v>
      </c>
      <c r="P180">
        <v>1934</v>
      </c>
      <c r="Q180">
        <f t="shared" si="16"/>
        <v>0.27469135802469136</v>
      </c>
      <c r="R180" t="e">
        <f t="shared" si="17"/>
        <v>#N/A</v>
      </c>
      <c r="T180" t="e">
        <f t="shared" si="18"/>
        <v>#N/A</v>
      </c>
      <c r="U180">
        <f t="shared" si="19"/>
        <v>1934</v>
      </c>
      <c r="W180" t="e">
        <v>#N/A</v>
      </c>
      <c r="X180">
        <v>1934</v>
      </c>
    </row>
    <row r="181" spans="8:24">
      <c r="H181">
        <v>179</v>
      </c>
      <c r="I181">
        <f>'Lab test'!AZ182</f>
        <v>1939</v>
      </c>
      <c r="J181" t="e">
        <f>IF('Lab test'!AU182&gt;0,'Lab test'!AU182,NA())</f>
        <v>#N/A</v>
      </c>
      <c r="K181">
        <f>IF('Lab test'!AT182&gt;0,'Lab test'!AT182,NA())</f>
        <v>0.18247248837939781</v>
      </c>
      <c r="L181">
        <f t="shared" si="14"/>
        <v>1</v>
      </c>
      <c r="M181">
        <f t="shared" si="15"/>
        <v>1939</v>
      </c>
      <c r="O181">
        <v>179</v>
      </c>
      <c r="P181">
        <v>1934</v>
      </c>
      <c r="Q181">
        <f t="shared" si="16"/>
        <v>0.27623456790123457</v>
      </c>
      <c r="R181" t="e">
        <f t="shared" si="17"/>
        <v>#N/A</v>
      </c>
      <c r="T181" t="e">
        <f t="shared" si="18"/>
        <v>#N/A</v>
      </c>
      <c r="U181">
        <f t="shared" si="19"/>
        <v>1934</v>
      </c>
      <c r="W181" t="e">
        <v>#N/A</v>
      </c>
      <c r="X181">
        <v>1934</v>
      </c>
    </row>
    <row r="182" spans="8:24">
      <c r="H182">
        <v>180</v>
      </c>
      <c r="I182">
        <f>'Lab test'!AZ183</f>
        <v>1939</v>
      </c>
      <c r="J182" t="e">
        <f>IF('Lab test'!AU183&gt;0,'Lab test'!AU183,NA())</f>
        <v>#N/A</v>
      </c>
      <c r="K182">
        <f>IF('Lab test'!AT183&gt;0,'Lab test'!AT183,NA())</f>
        <v>0.18854261998518254</v>
      </c>
      <c r="L182">
        <f t="shared" si="14"/>
        <v>1</v>
      </c>
      <c r="M182">
        <f t="shared" si="15"/>
        <v>1939</v>
      </c>
      <c r="O182">
        <v>180</v>
      </c>
      <c r="P182">
        <v>1934</v>
      </c>
      <c r="Q182">
        <f t="shared" si="16"/>
        <v>0.27777777777777779</v>
      </c>
      <c r="R182" t="e">
        <f t="shared" si="17"/>
        <v>#N/A</v>
      </c>
      <c r="T182" t="e">
        <f t="shared" si="18"/>
        <v>#N/A</v>
      </c>
      <c r="U182">
        <f t="shared" si="19"/>
        <v>1934</v>
      </c>
      <c r="W182" t="e">
        <v>#N/A</v>
      </c>
      <c r="X182">
        <v>1934</v>
      </c>
    </row>
    <row r="183" spans="8:24">
      <c r="H183">
        <v>181</v>
      </c>
      <c r="I183">
        <f>'Lab test'!AZ184</f>
        <v>1939</v>
      </c>
      <c r="J183" t="e">
        <f>IF('Lab test'!AU184&gt;0,'Lab test'!AU184,NA())</f>
        <v>#N/A</v>
      </c>
      <c r="K183">
        <f>IF('Lab test'!AT184&gt;0,'Lab test'!AT184,NA())</f>
        <v>0.26368413783907368</v>
      </c>
      <c r="L183">
        <f t="shared" si="14"/>
        <v>1</v>
      </c>
      <c r="M183">
        <f t="shared" si="15"/>
        <v>1939</v>
      </c>
      <c r="O183">
        <v>181</v>
      </c>
      <c r="P183">
        <v>1934</v>
      </c>
      <c r="Q183">
        <f t="shared" si="16"/>
        <v>0.27932098765432101</v>
      </c>
      <c r="R183" t="e">
        <f t="shared" si="17"/>
        <v>#N/A</v>
      </c>
      <c r="T183" t="e">
        <f t="shared" si="18"/>
        <v>#N/A</v>
      </c>
      <c r="U183">
        <f t="shared" si="19"/>
        <v>1934</v>
      </c>
      <c r="W183" t="e">
        <v>#N/A</v>
      </c>
      <c r="X183">
        <v>1934</v>
      </c>
    </row>
    <row r="184" spans="8:24">
      <c r="H184">
        <v>182</v>
      </c>
      <c r="I184">
        <f>'Lab test'!AZ185</f>
        <v>1939</v>
      </c>
      <c r="J184" t="e">
        <f>IF('Lab test'!AU185&gt;0,'Lab test'!AU185,NA())</f>
        <v>#N/A</v>
      </c>
      <c r="K184">
        <f>IF('Lab test'!AT185&gt;0,'Lab test'!AT185,NA())</f>
        <v>0.25519482428669626</v>
      </c>
      <c r="L184">
        <f t="shared" si="14"/>
        <v>1</v>
      </c>
      <c r="M184">
        <f t="shared" si="15"/>
        <v>1939</v>
      </c>
      <c r="O184">
        <v>182</v>
      </c>
      <c r="P184">
        <v>1934</v>
      </c>
      <c r="Q184">
        <f t="shared" si="16"/>
        <v>0.28086419753086422</v>
      </c>
      <c r="R184" t="e">
        <f t="shared" si="17"/>
        <v>#N/A</v>
      </c>
      <c r="T184" t="e">
        <f t="shared" si="18"/>
        <v>#N/A</v>
      </c>
      <c r="U184">
        <f t="shared" si="19"/>
        <v>1934</v>
      </c>
      <c r="W184" t="e">
        <v>#N/A</v>
      </c>
      <c r="X184">
        <v>1934</v>
      </c>
    </row>
    <row r="185" spans="8:24">
      <c r="H185">
        <v>183</v>
      </c>
      <c r="I185">
        <f>'Lab test'!AZ186</f>
        <v>1939</v>
      </c>
      <c r="J185" t="e">
        <f>IF('Lab test'!AU186&gt;0,'Lab test'!AU186,NA())</f>
        <v>#N/A</v>
      </c>
      <c r="K185">
        <f>IF('Lab test'!AT186&gt;0,'Lab test'!AT186,NA())</f>
        <v>0.38104004151776222</v>
      </c>
      <c r="L185">
        <f t="shared" si="14"/>
        <v>1</v>
      </c>
      <c r="M185">
        <f t="shared" si="15"/>
        <v>1939</v>
      </c>
      <c r="O185">
        <v>183</v>
      </c>
      <c r="P185">
        <v>1934</v>
      </c>
      <c r="Q185">
        <f t="shared" si="16"/>
        <v>0.28240740740740738</v>
      </c>
      <c r="R185" t="e">
        <f t="shared" si="17"/>
        <v>#N/A</v>
      </c>
      <c r="T185" t="e">
        <f t="shared" si="18"/>
        <v>#N/A</v>
      </c>
      <c r="U185">
        <f t="shared" si="19"/>
        <v>1934</v>
      </c>
      <c r="W185" t="e">
        <v>#N/A</v>
      </c>
      <c r="X185">
        <v>1934</v>
      </c>
    </row>
    <row r="186" spans="8:24">
      <c r="H186">
        <v>184</v>
      </c>
      <c r="I186">
        <f>'Lab test'!AZ187</f>
        <v>1939</v>
      </c>
      <c r="J186" t="e">
        <f>IF('Lab test'!AU187&gt;0,'Lab test'!AU187,NA())</f>
        <v>#N/A</v>
      </c>
      <c r="K186">
        <f>IF('Lab test'!AT187&gt;0,'Lab test'!AT187,NA())</f>
        <v>0.33156524979597468</v>
      </c>
      <c r="L186">
        <f t="shared" si="14"/>
        <v>1</v>
      </c>
      <c r="M186">
        <f t="shared" si="15"/>
        <v>1939</v>
      </c>
      <c r="O186">
        <v>184</v>
      </c>
      <c r="P186">
        <v>1934</v>
      </c>
      <c r="Q186">
        <f t="shared" si="16"/>
        <v>0.2839506172839506</v>
      </c>
      <c r="R186" t="e">
        <f t="shared" si="17"/>
        <v>#N/A</v>
      </c>
      <c r="T186" t="e">
        <f t="shared" si="18"/>
        <v>#N/A</v>
      </c>
      <c r="U186">
        <f t="shared" si="19"/>
        <v>1934</v>
      </c>
      <c r="W186" t="e">
        <v>#N/A</v>
      </c>
      <c r="X186">
        <v>1934</v>
      </c>
    </row>
    <row r="187" spans="8:24">
      <c r="H187">
        <v>185</v>
      </c>
      <c r="I187">
        <f>'Lab test'!AZ188</f>
        <v>1939</v>
      </c>
      <c r="J187" t="e">
        <f>IF('Lab test'!AU188&gt;0,'Lab test'!AU188,NA())</f>
        <v>#N/A</v>
      </c>
      <c r="K187">
        <f>IF('Lab test'!AT188&gt;0,'Lab test'!AT188,NA())</f>
        <v>0.56894380066558803</v>
      </c>
      <c r="L187">
        <f t="shared" si="14"/>
        <v>1</v>
      </c>
      <c r="M187">
        <f t="shared" si="15"/>
        <v>1939</v>
      </c>
      <c r="O187">
        <v>185</v>
      </c>
      <c r="P187">
        <v>1934</v>
      </c>
      <c r="Q187">
        <f t="shared" si="16"/>
        <v>0.28549382716049382</v>
      </c>
      <c r="R187" t="e">
        <f t="shared" si="17"/>
        <v>#N/A</v>
      </c>
      <c r="T187" t="e">
        <f t="shared" si="18"/>
        <v>#N/A</v>
      </c>
      <c r="U187">
        <f t="shared" si="19"/>
        <v>1934</v>
      </c>
      <c r="W187" t="e">
        <v>#N/A</v>
      </c>
      <c r="X187">
        <v>1934</v>
      </c>
    </row>
    <row r="188" spans="8:24">
      <c r="H188">
        <v>186</v>
      </c>
      <c r="I188">
        <f>'Lab test'!AZ189</f>
        <v>1939</v>
      </c>
      <c r="J188" t="e">
        <f>IF('Lab test'!AU189&gt;0,'Lab test'!AU189,NA())</f>
        <v>#N/A</v>
      </c>
      <c r="K188">
        <f>IF('Lab test'!AT189&gt;0,'Lab test'!AT189,NA())</f>
        <v>0.48703670162272333</v>
      </c>
      <c r="L188">
        <f t="shared" si="14"/>
        <v>1</v>
      </c>
      <c r="M188">
        <f t="shared" si="15"/>
        <v>1939</v>
      </c>
      <c r="O188">
        <v>186</v>
      </c>
      <c r="P188">
        <v>1934</v>
      </c>
      <c r="Q188">
        <f t="shared" si="16"/>
        <v>0.28703703703703703</v>
      </c>
      <c r="R188">
        <f t="shared" si="17"/>
        <v>0.28703703703703703</v>
      </c>
      <c r="T188">
        <f t="shared" si="18"/>
        <v>0.28703703703703703</v>
      </c>
      <c r="U188">
        <f t="shared" si="19"/>
        <v>1934</v>
      </c>
      <c r="W188" t="e">
        <v>#N/A</v>
      </c>
      <c r="X188">
        <v>1934</v>
      </c>
    </row>
    <row r="189" spans="8:24">
      <c r="H189">
        <v>187</v>
      </c>
      <c r="I189">
        <f>'Lab test'!AZ190</f>
        <v>1939</v>
      </c>
      <c r="J189" t="e">
        <f>IF('Lab test'!AU190&gt;0,'Lab test'!AU190,NA())</f>
        <v>#N/A</v>
      </c>
      <c r="K189">
        <f>IF('Lab test'!AT190&gt;0,'Lab test'!AT190,NA())</f>
        <v>0.46370681088827237</v>
      </c>
      <c r="L189">
        <f t="shared" si="14"/>
        <v>1</v>
      </c>
      <c r="M189">
        <f t="shared" si="15"/>
        <v>1939</v>
      </c>
      <c r="O189">
        <v>187</v>
      </c>
      <c r="P189">
        <v>1937</v>
      </c>
      <c r="Q189">
        <f t="shared" si="16"/>
        <v>0.28858024691358025</v>
      </c>
      <c r="R189" t="e">
        <f t="shared" si="17"/>
        <v>#N/A</v>
      </c>
      <c r="T189" t="e">
        <f t="shared" si="18"/>
        <v>#N/A</v>
      </c>
      <c r="U189">
        <f t="shared" si="19"/>
        <v>1937</v>
      </c>
      <c r="W189" t="e">
        <v>#N/A</v>
      </c>
      <c r="X189">
        <v>1934</v>
      </c>
    </row>
    <row r="190" spans="8:24">
      <c r="H190">
        <v>188</v>
      </c>
      <c r="I190">
        <f>'Lab test'!AZ191</f>
        <v>1939</v>
      </c>
      <c r="J190" t="e">
        <f>IF('Lab test'!AU191&gt;0,'Lab test'!AU191,NA())</f>
        <v>#N/A</v>
      </c>
      <c r="K190">
        <f>IF('Lab test'!AT191&gt;0,'Lab test'!AT191,NA())</f>
        <v>0.51574252256048314</v>
      </c>
      <c r="L190">
        <f t="shared" si="14"/>
        <v>1</v>
      </c>
      <c r="M190">
        <f t="shared" si="15"/>
        <v>1939</v>
      </c>
      <c r="O190">
        <v>188</v>
      </c>
      <c r="P190">
        <v>1937</v>
      </c>
      <c r="Q190">
        <f t="shared" si="16"/>
        <v>0.29012345679012347</v>
      </c>
      <c r="R190" t="e">
        <f t="shared" si="17"/>
        <v>#N/A</v>
      </c>
      <c r="T190" t="e">
        <f t="shared" si="18"/>
        <v>#N/A</v>
      </c>
      <c r="U190">
        <f t="shared" si="19"/>
        <v>1937</v>
      </c>
      <c r="W190" t="e">
        <v>#N/A</v>
      </c>
      <c r="X190">
        <v>1934</v>
      </c>
    </row>
    <row r="191" spans="8:24">
      <c r="H191">
        <v>189</v>
      </c>
      <c r="I191">
        <f>'Lab test'!AZ192</f>
        <v>1939</v>
      </c>
      <c r="J191" t="e">
        <f>IF('Lab test'!AU192&gt;0,'Lab test'!AU192,NA())</f>
        <v>#N/A</v>
      </c>
      <c r="K191">
        <f>IF('Lab test'!AT192&gt;0,'Lab test'!AT192,NA())</f>
        <v>0.70379844054274177</v>
      </c>
      <c r="L191">
        <f t="shared" si="14"/>
        <v>1</v>
      </c>
      <c r="M191">
        <f t="shared" si="15"/>
        <v>1939</v>
      </c>
      <c r="O191">
        <v>189</v>
      </c>
      <c r="P191">
        <v>1937</v>
      </c>
      <c r="Q191">
        <f t="shared" si="16"/>
        <v>0.29166666666666669</v>
      </c>
      <c r="R191" t="e">
        <f t="shared" si="17"/>
        <v>#N/A</v>
      </c>
      <c r="T191" t="e">
        <f t="shared" si="18"/>
        <v>#N/A</v>
      </c>
      <c r="U191">
        <f t="shared" si="19"/>
        <v>1937</v>
      </c>
      <c r="W191" t="e">
        <v>#N/A</v>
      </c>
      <c r="X191">
        <v>1934</v>
      </c>
    </row>
    <row r="192" spans="8:24">
      <c r="H192">
        <v>190</v>
      </c>
      <c r="I192">
        <f>'Lab test'!AZ193</f>
        <v>1939</v>
      </c>
      <c r="J192" t="e">
        <f>IF('Lab test'!AU193&gt;0,'Lab test'!AU193,NA())</f>
        <v>#N/A</v>
      </c>
      <c r="K192">
        <f>IF('Lab test'!AT193&gt;0,'Lab test'!AT193,NA())</f>
        <v>0.78277647551548768</v>
      </c>
      <c r="L192">
        <f t="shared" si="14"/>
        <v>1</v>
      </c>
      <c r="M192">
        <f t="shared" si="15"/>
        <v>1939</v>
      </c>
      <c r="O192">
        <v>190</v>
      </c>
      <c r="P192">
        <v>1937</v>
      </c>
      <c r="Q192">
        <f t="shared" si="16"/>
        <v>0.2932098765432099</v>
      </c>
      <c r="R192" t="e">
        <f t="shared" si="17"/>
        <v>#N/A</v>
      </c>
      <c r="T192" t="e">
        <f t="shared" si="18"/>
        <v>#N/A</v>
      </c>
      <c r="U192">
        <f t="shared" si="19"/>
        <v>1937</v>
      </c>
      <c r="W192" t="e">
        <v>#N/A</v>
      </c>
      <c r="X192">
        <v>1934</v>
      </c>
    </row>
    <row r="193" spans="8:24">
      <c r="H193">
        <v>191</v>
      </c>
      <c r="I193">
        <f>'Lab test'!AZ194</f>
        <v>1939</v>
      </c>
      <c r="J193" t="e">
        <f>IF('Lab test'!AU194&gt;0,'Lab test'!AU194,NA())</f>
        <v>#N/A</v>
      </c>
      <c r="K193">
        <f>IF('Lab test'!AT194&gt;0,'Lab test'!AT194,NA())</f>
        <v>1.033810603795414</v>
      </c>
      <c r="L193">
        <f t="shared" si="14"/>
        <v>1</v>
      </c>
      <c r="M193">
        <f t="shared" si="15"/>
        <v>1939</v>
      </c>
      <c r="O193">
        <v>191</v>
      </c>
      <c r="P193">
        <v>1937</v>
      </c>
      <c r="Q193">
        <f t="shared" si="16"/>
        <v>0.29475308641975306</v>
      </c>
      <c r="R193" t="e">
        <f t="shared" si="17"/>
        <v>#N/A</v>
      </c>
      <c r="T193" t="e">
        <f t="shared" si="18"/>
        <v>#N/A</v>
      </c>
      <c r="U193">
        <f t="shared" si="19"/>
        <v>1937</v>
      </c>
      <c r="W193" t="e">
        <v>#N/A</v>
      </c>
      <c r="X193">
        <v>1934</v>
      </c>
    </row>
    <row r="194" spans="8:24">
      <c r="H194">
        <v>192</v>
      </c>
      <c r="I194">
        <f>'Lab test'!AZ195</f>
        <v>1939</v>
      </c>
      <c r="J194" t="e">
        <f>IF('Lab test'!AU195&gt;0,'Lab test'!AU195,NA())</f>
        <v>#N/A</v>
      </c>
      <c r="K194">
        <f>IF('Lab test'!AT195&gt;0,'Lab test'!AT195,NA())</f>
        <v>1.168790086410471</v>
      </c>
      <c r="L194">
        <f t="shared" si="14"/>
        <v>1</v>
      </c>
      <c r="M194">
        <f t="shared" si="15"/>
        <v>1939</v>
      </c>
      <c r="O194">
        <v>192</v>
      </c>
      <c r="P194">
        <v>1937</v>
      </c>
      <c r="Q194">
        <f t="shared" si="16"/>
        <v>0.29629629629629628</v>
      </c>
      <c r="R194" t="e">
        <f t="shared" si="17"/>
        <v>#N/A</v>
      </c>
      <c r="T194" t="e">
        <f t="shared" si="18"/>
        <v>#N/A</v>
      </c>
      <c r="U194">
        <f t="shared" si="19"/>
        <v>1937</v>
      </c>
      <c r="W194" t="e">
        <v>#N/A</v>
      </c>
      <c r="X194">
        <v>1934</v>
      </c>
    </row>
    <row r="195" spans="8:24">
      <c r="H195">
        <v>193</v>
      </c>
      <c r="I195">
        <f>'Lab test'!AZ196</f>
        <v>1939</v>
      </c>
      <c r="J195" t="e">
        <f>IF('Lab test'!AU196&gt;0,'Lab test'!AU196,NA())</f>
        <v>#N/A</v>
      </c>
      <c r="K195">
        <f>IF('Lab test'!AT196&gt;0,'Lab test'!AT196,NA())</f>
        <v>0.17029918819162476</v>
      </c>
      <c r="L195">
        <f t="shared" si="14"/>
        <v>1</v>
      </c>
      <c r="M195">
        <f t="shared" si="15"/>
        <v>1939</v>
      </c>
      <c r="O195">
        <v>193</v>
      </c>
      <c r="P195">
        <v>1937</v>
      </c>
      <c r="Q195">
        <f t="shared" si="16"/>
        <v>0.2978395061728395</v>
      </c>
      <c r="R195" t="e">
        <f t="shared" si="17"/>
        <v>#N/A</v>
      </c>
      <c r="T195" t="e">
        <f t="shared" si="18"/>
        <v>#N/A</v>
      </c>
      <c r="U195">
        <f t="shared" si="19"/>
        <v>1937</v>
      </c>
      <c r="W195" t="e">
        <v>#N/A</v>
      </c>
      <c r="X195">
        <v>1934</v>
      </c>
    </row>
    <row r="196" spans="8:24">
      <c r="H196">
        <v>194</v>
      </c>
      <c r="I196">
        <f>'Lab test'!AZ197</f>
        <v>1939</v>
      </c>
      <c r="J196" t="e">
        <f>IF('Lab test'!AU197&gt;0,'Lab test'!AU197,NA())</f>
        <v>#N/A</v>
      </c>
      <c r="K196">
        <f>IF('Lab test'!AT197&gt;0,'Lab test'!AT197,NA())</f>
        <v>0.12479500926461229</v>
      </c>
      <c r="L196">
        <f t="shared" ref="L196:L259" si="20">IF(OR(ISNUMBER(J196),ISNUMBER(K196)),1,NA())</f>
        <v>1</v>
      </c>
      <c r="M196">
        <f t="shared" ref="M196:M259" si="21">IF(ISNUMBER(L196),I196,NA())</f>
        <v>1939</v>
      </c>
      <c r="O196">
        <v>194</v>
      </c>
      <c r="P196">
        <v>1937</v>
      </c>
      <c r="Q196">
        <f t="shared" ref="Q196:Q259" si="22">O196/COUNT($O$3:$O$650)</f>
        <v>0.29938271604938271</v>
      </c>
      <c r="R196" t="e">
        <f t="shared" ref="R196:R259" si="23">IF(P196=P197,NA(),Q196)</f>
        <v>#N/A</v>
      </c>
      <c r="T196" t="e">
        <f t="shared" ref="T196:T259" si="24">R196</f>
        <v>#N/A</v>
      </c>
      <c r="U196">
        <f t="shared" ref="U196:U259" si="25">P196</f>
        <v>1937</v>
      </c>
      <c r="W196" t="e">
        <v>#N/A</v>
      </c>
      <c r="X196">
        <v>1934</v>
      </c>
    </row>
    <row r="197" spans="8:24">
      <c r="H197">
        <v>195</v>
      </c>
      <c r="I197">
        <f>'Lab test'!AZ198</f>
        <v>1939</v>
      </c>
      <c r="J197" t="e">
        <f>IF('Lab test'!AU198&gt;0,'Lab test'!AU198,NA())</f>
        <v>#N/A</v>
      </c>
      <c r="K197">
        <f>IF('Lab test'!AT198&gt;0,'Lab test'!AT198,NA())</f>
        <v>0.12479500926461229</v>
      </c>
      <c r="L197">
        <f t="shared" si="20"/>
        <v>1</v>
      </c>
      <c r="M197">
        <f t="shared" si="21"/>
        <v>1939</v>
      </c>
      <c r="O197">
        <v>195</v>
      </c>
      <c r="P197">
        <v>1937</v>
      </c>
      <c r="Q197">
        <f t="shared" si="22"/>
        <v>0.30092592592592593</v>
      </c>
      <c r="R197" t="e">
        <f t="shared" si="23"/>
        <v>#N/A</v>
      </c>
      <c r="T197" t="e">
        <f t="shared" si="24"/>
        <v>#N/A</v>
      </c>
      <c r="U197">
        <f t="shared" si="25"/>
        <v>1937</v>
      </c>
      <c r="W197" t="e">
        <v>#N/A</v>
      </c>
      <c r="X197">
        <v>1934</v>
      </c>
    </row>
    <row r="198" spans="8:24">
      <c r="H198">
        <v>196</v>
      </c>
      <c r="I198">
        <f>'Lab test'!AZ199</f>
        <v>1939</v>
      </c>
      <c r="J198" t="e">
        <f>IF('Lab test'!AU199&gt;0,'Lab test'!AU199,NA())</f>
        <v>#N/A</v>
      </c>
      <c r="K198">
        <f>IF('Lab test'!AT199&gt;0,'Lab test'!AT199,NA())</f>
        <v>0.11405486739299127</v>
      </c>
      <c r="L198">
        <f t="shared" si="20"/>
        <v>1</v>
      </c>
      <c r="M198">
        <f t="shared" si="21"/>
        <v>1939</v>
      </c>
      <c r="O198">
        <v>196</v>
      </c>
      <c r="P198">
        <v>1937</v>
      </c>
      <c r="Q198">
        <f t="shared" si="22"/>
        <v>0.30246913580246915</v>
      </c>
      <c r="R198" t="e">
        <f t="shared" si="23"/>
        <v>#N/A</v>
      </c>
      <c r="T198" t="e">
        <f t="shared" si="24"/>
        <v>#N/A</v>
      </c>
      <c r="U198">
        <f t="shared" si="25"/>
        <v>1937</v>
      </c>
      <c r="W198" t="e">
        <v>#N/A</v>
      </c>
      <c r="X198">
        <v>1934</v>
      </c>
    </row>
    <row r="199" spans="8:24">
      <c r="H199">
        <v>197</v>
      </c>
      <c r="I199">
        <f>'Lab test'!AZ200</f>
        <v>1939</v>
      </c>
      <c r="J199" t="e">
        <f>IF('Lab test'!AU200&gt;0,'Lab test'!AU200,NA())</f>
        <v>#N/A</v>
      </c>
      <c r="K199">
        <f>IF('Lab test'!AT200&gt;0,'Lab test'!AT200,NA())</f>
        <v>0.13107366177086094</v>
      </c>
      <c r="L199">
        <f t="shared" si="20"/>
        <v>1</v>
      </c>
      <c r="M199">
        <f t="shared" si="21"/>
        <v>1939</v>
      </c>
      <c r="O199">
        <v>197</v>
      </c>
      <c r="P199">
        <v>1937</v>
      </c>
      <c r="Q199">
        <f t="shared" si="22"/>
        <v>0.30401234567901236</v>
      </c>
      <c r="R199" t="e">
        <f t="shared" si="23"/>
        <v>#N/A</v>
      </c>
      <c r="T199" t="e">
        <f t="shared" si="24"/>
        <v>#N/A</v>
      </c>
      <c r="U199">
        <f t="shared" si="25"/>
        <v>1937</v>
      </c>
      <c r="W199" t="e">
        <v>#N/A</v>
      </c>
      <c r="X199">
        <v>1934</v>
      </c>
    </row>
    <row r="200" spans="8:24">
      <c r="H200">
        <v>198</v>
      </c>
      <c r="I200">
        <f>'Lab test'!AZ201</f>
        <v>1939</v>
      </c>
      <c r="J200" t="e">
        <f>IF('Lab test'!AU201&gt;0,'Lab test'!AU201,NA())</f>
        <v>#N/A</v>
      </c>
      <c r="K200">
        <f>IF('Lab test'!AT201&gt;0,'Lab test'!AT201,NA())</f>
        <v>0.18033657959516219</v>
      </c>
      <c r="L200">
        <f t="shared" si="20"/>
        <v>1</v>
      </c>
      <c r="M200">
        <f t="shared" si="21"/>
        <v>1939</v>
      </c>
      <c r="O200">
        <v>198</v>
      </c>
      <c r="P200">
        <v>1937</v>
      </c>
      <c r="Q200">
        <f t="shared" si="22"/>
        <v>0.30555555555555558</v>
      </c>
      <c r="R200" t="e">
        <f t="shared" si="23"/>
        <v>#N/A</v>
      </c>
      <c r="T200" t="e">
        <f t="shared" si="24"/>
        <v>#N/A</v>
      </c>
      <c r="U200">
        <f t="shared" si="25"/>
        <v>1937</v>
      </c>
      <c r="W200" t="e">
        <v>#N/A</v>
      </c>
      <c r="X200">
        <v>1934</v>
      </c>
    </row>
    <row r="201" spans="8:24">
      <c r="H201">
        <v>199</v>
      </c>
      <c r="I201">
        <f>'Lab test'!AZ202</f>
        <v>1939</v>
      </c>
      <c r="J201" t="e">
        <f>IF('Lab test'!AU202&gt;0,'Lab test'!AU202,NA())</f>
        <v>#N/A</v>
      </c>
      <c r="K201">
        <f>IF('Lab test'!AT202&gt;0,'Lab test'!AT202,NA())</f>
        <v>0.19253430188409193</v>
      </c>
      <c r="L201">
        <f t="shared" si="20"/>
        <v>1</v>
      </c>
      <c r="M201">
        <f t="shared" si="21"/>
        <v>1939</v>
      </c>
      <c r="O201">
        <v>199</v>
      </c>
      <c r="P201">
        <v>1937</v>
      </c>
      <c r="Q201">
        <f t="shared" si="22"/>
        <v>0.30709876543209874</v>
      </c>
      <c r="R201" t="e">
        <f t="shared" si="23"/>
        <v>#N/A</v>
      </c>
      <c r="T201" t="e">
        <f t="shared" si="24"/>
        <v>#N/A</v>
      </c>
      <c r="U201">
        <f t="shared" si="25"/>
        <v>1937</v>
      </c>
      <c r="W201" t="e">
        <v>#N/A</v>
      </c>
      <c r="X201">
        <v>1934</v>
      </c>
    </row>
    <row r="202" spans="8:24">
      <c r="H202">
        <v>200</v>
      </c>
      <c r="I202">
        <f>'Lab test'!AZ203</f>
        <v>1939</v>
      </c>
      <c r="J202" t="e">
        <f>IF('Lab test'!AU203&gt;0,'Lab test'!AU203,NA())</f>
        <v>#N/A</v>
      </c>
      <c r="K202">
        <f>IF('Lab test'!AT203&gt;0,'Lab test'!AT203,NA())</f>
        <v>0.20057338017566478</v>
      </c>
      <c r="L202">
        <f t="shared" si="20"/>
        <v>1</v>
      </c>
      <c r="M202">
        <f t="shared" si="21"/>
        <v>1939</v>
      </c>
      <c r="O202">
        <v>200</v>
      </c>
      <c r="P202">
        <v>1937</v>
      </c>
      <c r="Q202">
        <f t="shared" si="22"/>
        <v>0.30864197530864196</v>
      </c>
      <c r="R202" t="e">
        <f t="shared" si="23"/>
        <v>#N/A</v>
      </c>
      <c r="T202" t="e">
        <f t="shared" si="24"/>
        <v>#N/A</v>
      </c>
      <c r="U202">
        <f t="shared" si="25"/>
        <v>1937</v>
      </c>
      <c r="W202" t="e">
        <v>#N/A</v>
      </c>
      <c r="X202">
        <v>1934</v>
      </c>
    </row>
    <row r="203" spans="8:24">
      <c r="H203">
        <v>201</v>
      </c>
      <c r="I203">
        <f>'Lab test'!AZ204</f>
        <v>1939</v>
      </c>
      <c r="J203" t="e">
        <f>IF('Lab test'!AU204&gt;0,'Lab test'!AU204,NA())</f>
        <v>#N/A</v>
      </c>
      <c r="K203">
        <f>IF('Lab test'!AT204&gt;0,'Lab test'!AT204,NA())</f>
        <v>0.24012649456431401</v>
      </c>
      <c r="L203">
        <f t="shared" si="20"/>
        <v>1</v>
      </c>
      <c r="M203">
        <f t="shared" si="21"/>
        <v>1939</v>
      </c>
      <c r="O203">
        <v>201</v>
      </c>
      <c r="P203">
        <v>1937</v>
      </c>
      <c r="Q203">
        <f t="shared" si="22"/>
        <v>0.31018518518518517</v>
      </c>
      <c r="R203" t="e">
        <f t="shared" si="23"/>
        <v>#N/A</v>
      </c>
      <c r="T203" t="e">
        <f t="shared" si="24"/>
        <v>#N/A</v>
      </c>
      <c r="U203">
        <f t="shared" si="25"/>
        <v>1937</v>
      </c>
      <c r="W203" t="e">
        <v>#N/A</v>
      </c>
      <c r="X203">
        <v>1934</v>
      </c>
    </row>
    <row r="204" spans="8:24">
      <c r="H204">
        <v>202</v>
      </c>
      <c r="I204">
        <f>'Lab test'!AZ205</f>
        <v>1939</v>
      </c>
      <c r="J204" t="e">
        <f>IF('Lab test'!AU205&gt;0,'Lab test'!AU205,NA())</f>
        <v>#N/A</v>
      </c>
      <c r="K204">
        <f>IF('Lab test'!AT205&gt;0,'Lab test'!AT205,NA())</f>
        <v>0.28050962073851138</v>
      </c>
      <c r="L204">
        <f t="shared" si="20"/>
        <v>1</v>
      </c>
      <c r="M204">
        <f t="shared" si="21"/>
        <v>1939</v>
      </c>
      <c r="O204">
        <v>202</v>
      </c>
      <c r="P204">
        <v>1937</v>
      </c>
      <c r="Q204">
        <f t="shared" si="22"/>
        <v>0.31172839506172839</v>
      </c>
      <c r="R204">
        <f t="shared" si="23"/>
        <v>0.31172839506172839</v>
      </c>
      <c r="T204">
        <f t="shared" si="24"/>
        <v>0.31172839506172839</v>
      </c>
      <c r="U204">
        <f t="shared" si="25"/>
        <v>1937</v>
      </c>
      <c r="W204" t="e">
        <v>#N/A</v>
      </c>
      <c r="X204">
        <v>1934</v>
      </c>
    </row>
    <row r="205" spans="8:24">
      <c r="H205">
        <v>203</v>
      </c>
      <c r="I205">
        <f>'Lab test'!AZ206</f>
        <v>1939</v>
      </c>
      <c r="J205" t="e">
        <f>IF('Lab test'!AU206&gt;0,'Lab test'!AU206,NA())</f>
        <v>#N/A</v>
      </c>
      <c r="K205">
        <f>IF('Lab test'!AT206&gt;0,'Lab test'!AT206,NA())</f>
        <v>0.29948291201875293</v>
      </c>
      <c r="L205">
        <f t="shared" si="20"/>
        <v>1</v>
      </c>
      <c r="M205">
        <f t="shared" si="21"/>
        <v>1939</v>
      </c>
      <c r="O205">
        <v>203</v>
      </c>
      <c r="P205">
        <v>1938</v>
      </c>
      <c r="Q205">
        <f t="shared" si="22"/>
        <v>0.31327160493827161</v>
      </c>
      <c r="R205" t="e">
        <f t="shared" si="23"/>
        <v>#N/A</v>
      </c>
      <c r="T205" t="e">
        <f t="shared" si="24"/>
        <v>#N/A</v>
      </c>
      <c r="U205">
        <f t="shared" si="25"/>
        <v>1938</v>
      </c>
      <c r="W205" t="e">
        <v>#N/A</v>
      </c>
      <c r="X205">
        <v>1934</v>
      </c>
    </row>
    <row r="206" spans="8:24">
      <c r="H206">
        <v>204</v>
      </c>
      <c r="I206">
        <f>'Lab test'!AZ207</f>
        <v>1939</v>
      </c>
      <c r="J206" t="e">
        <f>IF('Lab test'!AU207&gt;0,'Lab test'!AU207,NA())</f>
        <v>#N/A</v>
      </c>
      <c r="K206">
        <f>IF('Lab test'!AT207&gt;0,'Lab test'!AT207,NA())</f>
        <v>0.45084144898790601</v>
      </c>
      <c r="L206">
        <f t="shared" si="20"/>
        <v>1</v>
      </c>
      <c r="M206">
        <f t="shared" si="21"/>
        <v>1939</v>
      </c>
      <c r="O206">
        <v>204</v>
      </c>
      <c r="P206">
        <v>1938</v>
      </c>
      <c r="Q206">
        <f t="shared" si="22"/>
        <v>0.31481481481481483</v>
      </c>
      <c r="R206" t="e">
        <f t="shared" si="23"/>
        <v>#N/A</v>
      </c>
      <c r="T206" t="e">
        <f t="shared" si="24"/>
        <v>#N/A</v>
      </c>
      <c r="U206">
        <f t="shared" si="25"/>
        <v>1938</v>
      </c>
      <c r="W206" t="e">
        <v>#N/A</v>
      </c>
      <c r="X206">
        <v>1934</v>
      </c>
    </row>
    <row r="207" spans="8:24">
      <c r="H207">
        <v>205</v>
      </c>
      <c r="I207">
        <f>'Lab test'!AZ208</f>
        <v>1939</v>
      </c>
      <c r="J207" t="e">
        <f>IF('Lab test'!AU208&gt;0,'Lab test'!AU208,NA())</f>
        <v>#N/A</v>
      </c>
      <c r="K207">
        <f>IF('Lab test'!AT208&gt;0,'Lab test'!AT208,NA())</f>
        <v>0.70703482494443437</v>
      </c>
      <c r="L207">
        <f t="shared" si="20"/>
        <v>1</v>
      </c>
      <c r="M207">
        <f t="shared" si="21"/>
        <v>1939</v>
      </c>
      <c r="O207">
        <v>205</v>
      </c>
      <c r="P207">
        <v>1938</v>
      </c>
      <c r="Q207">
        <f t="shared" si="22"/>
        <v>0.31635802469135804</v>
      </c>
      <c r="R207" t="e">
        <f t="shared" si="23"/>
        <v>#N/A</v>
      </c>
      <c r="T207" t="e">
        <f t="shared" si="24"/>
        <v>#N/A</v>
      </c>
      <c r="U207">
        <f t="shared" si="25"/>
        <v>1938</v>
      </c>
      <c r="W207" t="e">
        <v>#N/A</v>
      </c>
      <c r="X207">
        <v>1934</v>
      </c>
    </row>
    <row r="208" spans="8:24">
      <c r="H208">
        <v>206</v>
      </c>
      <c r="I208">
        <f>'Lab test'!AZ209</f>
        <v>1939</v>
      </c>
      <c r="J208" t="e">
        <f>IF('Lab test'!AU209&gt;0,'Lab test'!AU209,NA())</f>
        <v>#N/A</v>
      </c>
      <c r="K208">
        <f>IF('Lab test'!AT209&gt;0,'Lab test'!AT209,NA())</f>
        <v>0.7799688079038315</v>
      </c>
      <c r="L208">
        <f t="shared" si="20"/>
        <v>1</v>
      </c>
      <c r="M208">
        <f t="shared" si="21"/>
        <v>1939</v>
      </c>
      <c r="O208">
        <v>206</v>
      </c>
      <c r="P208">
        <v>1938</v>
      </c>
      <c r="Q208">
        <f t="shared" si="22"/>
        <v>0.31790123456790126</v>
      </c>
      <c r="R208" t="e">
        <f t="shared" si="23"/>
        <v>#N/A</v>
      </c>
      <c r="T208" t="e">
        <f t="shared" si="24"/>
        <v>#N/A</v>
      </c>
      <c r="U208">
        <f t="shared" si="25"/>
        <v>1938</v>
      </c>
      <c r="W208" t="e">
        <v>#N/A</v>
      </c>
      <c r="X208">
        <v>1934</v>
      </c>
    </row>
    <row r="209" spans="8:24">
      <c r="H209">
        <v>207</v>
      </c>
      <c r="I209">
        <f>'Lab test'!AZ210</f>
        <v>1939</v>
      </c>
      <c r="J209" t="e">
        <f>IF('Lab test'!AU210&gt;0,'Lab test'!AU210,NA())</f>
        <v>#N/A</v>
      </c>
      <c r="K209">
        <f>IF('Lab test'!AT210&gt;0,'Lab test'!AT210,NA())</f>
        <v>0.98075885316822609</v>
      </c>
      <c r="L209">
        <f t="shared" si="20"/>
        <v>1</v>
      </c>
      <c r="M209">
        <f t="shared" si="21"/>
        <v>1939</v>
      </c>
      <c r="O209">
        <v>207</v>
      </c>
      <c r="P209">
        <v>1938</v>
      </c>
      <c r="Q209">
        <f t="shared" si="22"/>
        <v>0.31944444444444442</v>
      </c>
      <c r="R209" t="e">
        <f t="shared" si="23"/>
        <v>#N/A</v>
      </c>
      <c r="T209" t="e">
        <f t="shared" si="24"/>
        <v>#N/A</v>
      </c>
      <c r="U209">
        <f t="shared" si="25"/>
        <v>1938</v>
      </c>
      <c r="W209" t="e">
        <v>#N/A</v>
      </c>
      <c r="X209">
        <v>1934</v>
      </c>
    </row>
    <row r="210" spans="8:24">
      <c r="H210">
        <v>208</v>
      </c>
      <c r="I210">
        <f>'Lab test'!AZ211</f>
        <v>1939</v>
      </c>
      <c r="J210" t="e">
        <f>IF('Lab test'!AU211&gt;0,'Lab test'!AU211,NA())</f>
        <v>#N/A</v>
      </c>
      <c r="K210">
        <f>IF('Lab test'!AT211&gt;0,'Lab test'!AT211,NA())</f>
        <v>1.0908165096552418</v>
      </c>
      <c r="L210">
        <f t="shared" si="20"/>
        <v>1</v>
      </c>
      <c r="M210">
        <f t="shared" si="21"/>
        <v>1939</v>
      </c>
      <c r="O210">
        <v>208</v>
      </c>
      <c r="P210">
        <v>1938</v>
      </c>
      <c r="Q210">
        <f t="shared" si="22"/>
        <v>0.32098765432098764</v>
      </c>
      <c r="R210" t="e">
        <f t="shared" si="23"/>
        <v>#N/A</v>
      </c>
      <c r="T210" t="e">
        <f t="shared" si="24"/>
        <v>#N/A</v>
      </c>
      <c r="U210">
        <f t="shared" si="25"/>
        <v>1938</v>
      </c>
      <c r="W210" t="e">
        <v>#N/A</v>
      </c>
      <c r="X210">
        <v>1934</v>
      </c>
    </row>
    <row r="211" spans="8:24">
      <c r="H211">
        <v>209</v>
      </c>
      <c r="I211">
        <f>'Lab test'!AZ212</f>
        <v>1933</v>
      </c>
      <c r="J211">
        <f>IF('Lab test'!AU212&gt;0,'Lab test'!AU212,NA())</f>
        <v>0.87343532684283731</v>
      </c>
      <c r="K211">
        <f>IF('Lab test'!AT212&gt;0,'Lab test'!AT212,NA())</f>
        <v>0.1441548056555573</v>
      </c>
      <c r="L211">
        <f t="shared" si="20"/>
        <v>1</v>
      </c>
      <c r="M211">
        <f t="shared" si="21"/>
        <v>1933</v>
      </c>
      <c r="O211">
        <v>209</v>
      </c>
      <c r="P211">
        <v>1938</v>
      </c>
      <c r="Q211">
        <f t="shared" si="22"/>
        <v>0.32253086419753085</v>
      </c>
      <c r="R211" t="e">
        <f t="shared" si="23"/>
        <v>#N/A</v>
      </c>
      <c r="T211" t="e">
        <f t="shared" si="24"/>
        <v>#N/A</v>
      </c>
      <c r="U211">
        <f t="shared" si="25"/>
        <v>1938</v>
      </c>
      <c r="W211" t="e">
        <v>#N/A</v>
      </c>
      <c r="X211">
        <v>1934</v>
      </c>
    </row>
    <row r="212" spans="8:24">
      <c r="H212">
        <v>210</v>
      </c>
      <c r="I212">
        <f>'Lab test'!AZ213</f>
        <v>1933</v>
      </c>
      <c r="J212">
        <f>IF('Lab test'!AU213&gt;0,'Lab test'!AU213,NA())</f>
        <v>1.0598052851182198</v>
      </c>
      <c r="K212">
        <f>IF('Lab test'!AT213&gt;0,'Lab test'!AT213,NA())</f>
        <v>0.1046054027176473</v>
      </c>
      <c r="L212">
        <f t="shared" si="20"/>
        <v>1</v>
      </c>
      <c r="M212">
        <f t="shared" si="21"/>
        <v>1933</v>
      </c>
      <c r="O212">
        <v>210</v>
      </c>
      <c r="P212">
        <v>1938</v>
      </c>
      <c r="Q212">
        <f t="shared" si="22"/>
        <v>0.32407407407407407</v>
      </c>
      <c r="R212" t="e">
        <f t="shared" si="23"/>
        <v>#N/A</v>
      </c>
      <c r="T212" t="e">
        <f t="shared" si="24"/>
        <v>#N/A</v>
      </c>
      <c r="U212">
        <f t="shared" si="25"/>
        <v>1938</v>
      </c>
      <c r="W212" t="e">
        <v>#N/A</v>
      </c>
      <c r="X212">
        <v>1934</v>
      </c>
    </row>
    <row r="213" spans="8:24">
      <c r="H213">
        <v>211</v>
      </c>
      <c r="I213">
        <f>'Lab test'!AZ214</f>
        <v>1933</v>
      </c>
      <c r="J213">
        <f>IF('Lab test'!AU214&gt;0,'Lab test'!AU214,NA())</f>
        <v>1.0681502086230876</v>
      </c>
      <c r="K213">
        <f>IF('Lab test'!AT214&gt;0,'Lab test'!AT214,NA())</f>
        <v>6.1626159686014183E-2</v>
      </c>
      <c r="L213">
        <f t="shared" si="20"/>
        <v>1</v>
      </c>
      <c r="M213">
        <f t="shared" si="21"/>
        <v>1933</v>
      </c>
      <c r="O213">
        <v>211</v>
      </c>
      <c r="P213">
        <v>1938</v>
      </c>
      <c r="Q213">
        <f t="shared" si="22"/>
        <v>0.32561728395061729</v>
      </c>
      <c r="R213" t="e">
        <f t="shared" si="23"/>
        <v>#N/A</v>
      </c>
      <c r="T213" t="e">
        <f t="shared" si="24"/>
        <v>#N/A</v>
      </c>
      <c r="U213">
        <f t="shared" si="25"/>
        <v>1938</v>
      </c>
      <c r="W213" t="e">
        <v>#N/A</v>
      </c>
      <c r="X213">
        <v>1934</v>
      </c>
    </row>
    <row r="214" spans="8:24">
      <c r="H214">
        <v>212</v>
      </c>
      <c r="I214">
        <f>'Lab test'!AZ215</f>
        <v>1933</v>
      </c>
      <c r="J214">
        <f>IF('Lab test'!AU215&gt;0,'Lab test'!AU215,NA())</f>
        <v>1.1112656467315716</v>
      </c>
      <c r="K214">
        <f>IF('Lab test'!AT215&gt;0,'Lab test'!AT215,NA())</f>
        <v>0.17345482330633011</v>
      </c>
      <c r="L214">
        <f t="shared" si="20"/>
        <v>1</v>
      </c>
      <c r="M214">
        <f t="shared" si="21"/>
        <v>1933</v>
      </c>
      <c r="O214">
        <v>212</v>
      </c>
      <c r="P214">
        <v>1938</v>
      </c>
      <c r="Q214">
        <f t="shared" si="22"/>
        <v>0.3271604938271605</v>
      </c>
      <c r="R214" t="e">
        <f t="shared" si="23"/>
        <v>#N/A</v>
      </c>
      <c r="T214" t="e">
        <f t="shared" si="24"/>
        <v>#N/A</v>
      </c>
      <c r="U214">
        <f t="shared" si="25"/>
        <v>1938</v>
      </c>
      <c r="W214" t="e">
        <v>#N/A</v>
      </c>
      <c r="X214">
        <v>1934</v>
      </c>
    </row>
    <row r="215" spans="8:24">
      <c r="H215">
        <v>213</v>
      </c>
      <c r="I215">
        <f>'Lab test'!AZ216</f>
        <v>1933</v>
      </c>
      <c r="J215">
        <f>IF('Lab test'!AU216&gt;0,'Lab test'!AU216,NA())</f>
        <v>1.023643949930459</v>
      </c>
      <c r="K215">
        <f>IF('Lab test'!AT216&gt;0,'Lab test'!AT216,NA())</f>
        <v>8.7708011311992171E-2</v>
      </c>
      <c r="L215">
        <f t="shared" si="20"/>
        <v>1</v>
      </c>
      <c r="M215">
        <f t="shared" si="21"/>
        <v>1933</v>
      </c>
      <c r="O215">
        <v>213</v>
      </c>
      <c r="P215">
        <v>1938</v>
      </c>
      <c r="Q215">
        <f t="shared" si="22"/>
        <v>0.32870370370370372</v>
      </c>
      <c r="R215" t="e">
        <f t="shared" si="23"/>
        <v>#N/A</v>
      </c>
      <c r="T215" t="e">
        <f t="shared" si="24"/>
        <v>#N/A</v>
      </c>
      <c r="U215">
        <f t="shared" si="25"/>
        <v>1938</v>
      </c>
      <c r="W215" t="e">
        <v>#N/A</v>
      </c>
      <c r="X215">
        <v>1934</v>
      </c>
    </row>
    <row r="216" spans="8:24">
      <c r="H216">
        <v>214</v>
      </c>
      <c r="I216">
        <f>'Lab test'!AZ217</f>
        <v>1933</v>
      </c>
      <c r="J216">
        <f>IF('Lab test'!AU217&gt;0,'Lab test'!AU217,NA())</f>
        <v>1.1321279554937416</v>
      </c>
      <c r="K216">
        <f>IF('Lab test'!AT217&gt;0,'Lab test'!AT217,NA())</f>
        <v>6.4577170386866389E-2</v>
      </c>
      <c r="L216">
        <f t="shared" si="20"/>
        <v>1</v>
      </c>
      <c r="M216">
        <f t="shared" si="21"/>
        <v>1933</v>
      </c>
      <c r="O216">
        <v>214</v>
      </c>
      <c r="P216">
        <v>1938</v>
      </c>
      <c r="Q216">
        <f t="shared" si="22"/>
        <v>0.33024691358024694</v>
      </c>
      <c r="R216" t="e">
        <f t="shared" si="23"/>
        <v>#N/A</v>
      </c>
      <c r="T216" t="e">
        <f t="shared" si="24"/>
        <v>#N/A</v>
      </c>
      <c r="U216">
        <f t="shared" si="25"/>
        <v>1938</v>
      </c>
      <c r="W216" t="e">
        <v>#N/A</v>
      </c>
      <c r="X216">
        <v>1934</v>
      </c>
    </row>
    <row r="217" spans="8:24">
      <c r="H217">
        <v>215</v>
      </c>
      <c r="I217">
        <f>'Lab test'!AZ218</f>
        <v>1933</v>
      </c>
      <c r="J217">
        <f>IF('Lab test'!AU218&gt;0,'Lab test'!AU218,NA())</f>
        <v>1.1126564673157162</v>
      </c>
      <c r="K217">
        <f>IF('Lab test'!AT218&gt;0,'Lab test'!AT218,NA())</f>
        <v>0.17233597540399795</v>
      </c>
      <c r="L217">
        <f t="shared" si="20"/>
        <v>1</v>
      </c>
      <c r="M217">
        <f t="shared" si="21"/>
        <v>1933</v>
      </c>
      <c r="O217">
        <v>215</v>
      </c>
      <c r="P217">
        <v>1938</v>
      </c>
      <c r="Q217">
        <f t="shared" si="22"/>
        <v>0.3317901234567901</v>
      </c>
      <c r="R217" t="e">
        <f t="shared" si="23"/>
        <v>#N/A</v>
      </c>
      <c r="T217" t="e">
        <f t="shared" si="24"/>
        <v>#N/A</v>
      </c>
      <c r="U217">
        <f t="shared" si="25"/>
        <v>1938</v>
      </c>
      <c r="W217" t="e">
        <v>#N/A</v>
      </c>
      <c r="X217">
        <v>1937</v>
      </c>
    </row>
    <row r="218" spans="8:24">
      <c r="H218">
        <v>216</v>
      </c>
      <c r="I218">
        <f>'Lab test'!AZ219</f>
        <v>1933</v>
      </c>
      <c r="J218">
        <f>IF('Lab test'!AU219&gt;0,'Lab test'!AU219,NA())</f>
        <v>1.1293463143254521</v>
      </c>
      <c r="K218">
        <f>IF('Lab test'!AT219&gt;0,'Lab test'!AT219,NA())</f>
        <v>0.18047406313140898</v>
      </c>
      <c r="L218">
        <f t="shared" si="20"/>
        <v>1</v>
      </c>
      <c r="M218">
        <f t="shared" si="21"/>
        <v>1933</v>
      </c>
      <c r="O218">
        <v>216</v>
      </c>
      <c r="P218">
        <v>1938</v>
      </c>
      <c r="Q218">
        <f t="shared" si="22"/>
        <v>0.33333333333333331</v>
      </c>
      <c r="R218" t="e">
        <f t="shared" si="23"/>
        <v>#N/A</v>
      </c>
      <c r="T218" t="e">
        <f t="shared" si="24"/>
        <v>#N/A</v>
      </c>
      <c r="U218">
        <f t="shared" si="25"/>
        <v>1938</v>
      </c>
      <c r="W218" t="e">
        <v>#N/A</v>
      </c>
      <c r="X218">
        <v>1937</v>
      </c>
    </row>
    <row r="219" spans="8:24">
      <c r="H219">
        <v>217</v>
      </c>
      <c r="I219">
        <f>'Lab test'!AZ220</f>
        <v>1933</v>
      </c>
      <c r="J219">
        <f>IF('Lab test'!AU220&gt;0,'Lab test'!AU220,NA())</f>
        <v>1.0555555555555556</v>
      </c>
      <c r="K219">
        <f>IF('Lab test'!AT220&gt;0,'Lab test'!AT220,NA())</f>
        <v>0.2681571036092148</v>
      </c>
      <c r="L219">
        <f t="shared" si="20"/>
        <v>1</v>
      </c>
      <c r="M219">
        <f t="shared" si="21"/>
        <v>1933</v>
      </c>
      <c r="O219">
        <v>217</v>
      </c>
      <c r="P219">
        <v>1938</v>
      </c>
      <c r="Q219">
        <f t="shared" si="22"/>
        <v>0.33487654320987653</v>
      </c>
      <c r="R219" t="e">
        <f t="shared" si="23"/>
        <v>#N/A</v>
      </c>
      <c r="T219" t="e">
        <f t="shared" si="24"/>
        <v>#N/A</v>
      </c>
      <c r="U219">
        <f t="shared" si="25"/>
        <v>1938</v>
      </c>
      <c r="W219" t="e">
        <v>#N/A</v>
      </c>
      <c r="X219">
        <v>1937</v>
      </c>
    </row>
    <row r="220" spans="8:24">
      <c r="H220">
        <v>218</v>
      </c>
      <c r="I220">
        <f>'Lab test'!AZ221</f>
        <v>1933</v>
      </c>
      <c r="J220">
        <f>IF('Lab test'!AU221&gt;0,'Lab test'!AU221,NA())</f>
        <v>1.1431623931623933</v>
      </c>
      <c r="K220">
        <f>IF('Lab test'!AT221&gt;0,'Lab test'!AT221,NA())</f>
        <v>0.28927641153467182</v>
      </c>
      <c r="L220">
        <f t="shared" si="20"/>
        <v>1</v>
      </c>
      <c r="M220">
        <f t="shared" si="21"/>
        <v>1933</v>
      </c>
      <c r="O220">
        <v>218</v>
      </c>
      <c r="P220">
        <v>1938</v>
      </c>
      <c r="Q220">
        <f t="shared" si="22"/>
        <v>0.33641975308641975</v>
      </c>
      <c r="R220" t="e">
        <f t="shared" si="23"/>
        <v>#N/A</v>
      </c>
      <c r="T220" t="e">
        <f t="shared" si="24"/>
        <v>#N/A</v>
      </c>
      <c r="U220">
        <f t="shared" si="25"/>
        <v>1938</v>
      </c>
      <c r="W220" t="e">
        <v>#N/A</v>
      </c>
      <c r="X220">
        <v>1937</v>
      </c>
    </row>
    <row r="221" spans="8:24">
      <c r="H221">
        <v>219</v>
      </c>
      <c r="I221">
        <f>'Lab test'!AZ222</f>
        <v>1933</v>
      </c>
      <c r="J221">
        <f>IF('Lab test'!AU222&gt;0,'Lab test'!AU222,NA())</f>
        <v>0.99145299145299148</v>
      </c>
      <c r="K221">
        <f>IF('Lab test'!AT222&gt;0,'Lab test'!AT222,NA())</f>
        <v>0.25187225926047707</v>
      </c>
      <c r="L221">
        <f t="shared" si="20"/>
        <v>1</v>
      </c>
      <c r="M221">
        <f t="shared" si="21"/>
        <v>1933</v>
      </c>
      <c r="O221">
        <v>219</v>
      </c>
      <c r="P221">
        <v>1938</v>
      </c>
      <c r="Q221">
        <f t="shared" si="22"/>
        <v>0.33796296296296297</v>
      </c>
      <c r="R221" t="e">
        <f t="shared" si="23"/>
        <v>#N/A</v>
      </c>
      <c r="T221" t="e">
        <f t="shared" si="24"/>
        <v>#N/A</v>
      </c>
      <c r="U221">
        <f t="shared" si="25"/>
        <v>1938</v>
      </c>
      <c r="W221" t="e">
        <v>#N/A</v>
      </c>
      <c r="X221">
        <v>1937</v>
      </c>
    </row>
    <row r="222" spans="8:24">
      <c r="H222">
        <v>220</v>
      </c>
      <c r="I222">
        <f>'Lab test'!AZ223</f>
        <v>1933</v>
      </c>
      <c r="J222">
        <f>IF('Lab test'!AU223&gt;0,'Lab test'!AU223,NA())</f>
        <v>1.0256410256410258</v>
      </c>
      <c r="K222">
        <f>IF('Lab test'!AT223&gt;0,'Lab test'!AT223,NA())</f>
        <v>0.24026045720311631</v>
      </c>
      <c r="L222">
        <f t="shared" si="20"/>
        <v>1</v>
      </c>
      <c r="M222">
        <f t="shared" si="21"/>
        <v>1933</v>
      </c>
      <c r="O222">
        <v>220</v>
      </c>
      <c r="P222">
        <v>1938</v>
      </c>
      <c r="Q222">
        <f t="shared" si="22"/>
        <v>0.33950617283950618</v>
      </c>
      <c r="R222" t="e">
        <f t="shared" si="23"/>
        <v>#N/A</v>
      </c>
      <c r="T222" t="e">
        <f t="shared" si="24"/>
        <v>#N/A</v>
      </c>
      <c r="U222">
        <f t="shared" si="25"/>
        <v>1938</v>
      </c>
      <c r="W222" t="e">
        <v>#N/A</v>
      </c>
      <c r="X222">
        <v>1937</v>
      </c>
    </row>
    <row r="223" spans="8:24">
      <c r="H223">
        <v>221</v>
      </c>
      <c r="I223">
        <f>'Lab test'!AZ224</f>
        <v>1933</v>
      </c>
      <c r="J223">
        <f>IF('Lab test'!AU224&gt;0,'Lab test'!AU224,NA())</f>
        <v>1.0811965811965811</v>
      </c>
      <c r="K223">
        <f>IF('Lab test'!AT224&gt;0,'Lab test'!AT224,NA())</f>
        <v>0.28045648956167174</v>
      </c>
      <c r="L223">
        <f t="shared" si="20"/>
        <v>1</v>
      </c>
      <c r="M223">
        <f t="shared" si="21"/>
        <v>1933</v>
      </c>
      <c r="O223">
        <v>221</v>
      </c>
      <c r="P223">
        <v>1938</v>
      </c>
      <c r="Q223">
        <f t="shared" si="22"/>
        <v>0.3410493827160494</v>
      </c>
      <c r="R223" t="e">
        <f t="shared" si="23"/>
        <v>#N/A</v>
      </c>
      <c r="T223" t="e">
        <f t="shared" si="24"/>
        <v>#N/A</v>
      </c>
      <c r="U223">
        <f t="shared" si="25"/>
        <v>1938</v>
      </c>
      <c r="W223" t="e">
        <v>#N/A</v>
      </c>
      <c r="X223">
        <v>1937</v>
      </c>
    </row>
    <row r="224" spans="8:24">
      <c r="H224">
        <v>222</v>
      </c>
      <c r="I224">
        <f>'Lab test'!AZ225</f>
        <v>1933</v>
      </c>
      <c r="J224">
        <f>IF('Lab test'!AU225&gt;0,'Lab test'!AU225,NA())</f>
        <v>1.1858974358974359</v>
      </c>
      <c r="K224">
        <f>IF('Lab test'!AT225&gt;0,'Lab test'!AT225,NA())</f>
        <v>0.20405354199586023</v>
      </c>
      <c r="L224">
        <f t="shared" si="20"/>
        <v>1</v>
      </c>
      <c r="M224">
        <f t="shared" si="21"/>
        <v>1933</v>
      </c>
      <c r="O224">
        <v>222</v>
      </c>
      <c r="P224">
        <v>1938</v>
      </c>
      <c r="Q224">
        <f t="shared" si="22"/>
        <v>0.34259259259259262</v>
      </c>
      <c r="R224" t="e">
        <f t="shared" si="23"/>
        <v>#N/A</v>
      </c>
      <c r="T224" t="e">
        <f t="shared" si="24"/>
        <v>#N/A</v>
      </c>
      <c r="U224">
        <f t="shared" si="25"/>
        <v>1938</v>
      </c>
      <c r="W224" t="e">
        <v>#N/A</v>
      </c>
      <c r="X224">
        <v>1937</v>
      </c>
    </row>
    <row r="225" spans="8:24">
      <c r="H225">
        <v>223</v>
      </c>
      <c r="I225">
        <f>'Lab test'!AZ226</f>
        <v>1933</v>
      </c>
      <c r="J225">
        <f>IF('Lab test'!AU226&gt;0,'Lab test'!AU226,NA())</f>
        <v>0.86324786324786329</v>
      </c>
      <c r="K225">
        <f>IF('Lab test'!AT226&gt;0,'Lab test'!AT226,NA())</f>
        <v>0.29687502238448887</v>
      </c>
      <c r="L225">
        <f t="shared" si="20"/>
        <v>1</v>
      </c>
      <c r="M225">
        <f t="shared" si="21"/>
        <v>1933</v>
      </c>
      <c r="O225">
        <v>223</v>
      </c>
      <c r="P225">
        <v>1938</v>
      </c>
      <c r="Q225">
        <f t="shared" si="22"/>
        <v>0.34413580246913578</v>
      </c>
      <c r="R225" t="e">
        <f t="shared" si="23"/>
        <v>#N/A</v>
      </c>
      <c r="T225" t="e">
        <f t="shared" si="24"/>
        <v>#N/A</v>
      </c>
      <c r="U225">
        <f t="shared" si="25"/>
        <v>1938</v>
      </c>
      <c r="W225" t="e">
        <v>#N/A</v>
      </c>
      <c r="X225">
        <v>1937</v>
      </c>
    </row>
    <row r="226" spans="8:24">
      <c r="H226">
        <v>224</v>
      </c>
      <c r="I226">
        <f>'Lab test'!AZ227</f>
        <v>1933</v>
      </c>
      <c r="J226">
        <f>IF('Lab test'!AU227&gt;0,'Lab test'!AU227,NA())</f>
        <v>1.1239316239316239</v>
      </c>
      <c r="K226">
        <f>IF('Lab test'!AT227&gt;0,'Lab test'!AT227,NA())</f>
        <v>0.19613164718240897</v>
      </c>
      <c r="L226">
        <f t="shared" si="20"/>
        <v>1</v>
      </c>
      <c r="M226">
        <f t="shared" si="21"/>
        <v>1933</v>
      </c>
      <c r="O226">
        <v>224</v>
      </c>
      <c r="P226">
        <v>1938</v>
      </c>
      <c r="Q226">
        <f t="shared" si="22"/>
        <v>0.34567901234567899</v>
      </c>
      <c r="R226" t="e">
        <f t="shared" si="23"/>
        <v>#N/A</v>
      </c>
      <c r="T226" t="e">
        <f t="shared" si="24"/>
        <v>#N/A</v>
      </c>
      <c r="U226">
        <f t="shared" si="25"/>
        <v>1938</v>
      </c>
      <c r="W226" t="e">
        <v>#N/A</v>
      </c>
      <c r="X226">
        <v>1937</v>
      </c>
    </row>
    <row r="227" spans="8:24">
      <c r="H227">
        <v>225</v>
      </c>
      <c r="I227">
        <f>'Lab test'!AZ228</f>
        <v>1933</v>
      </c>
      <c r="J227">
        <f>IF('Lab test'!AU228&gt;0,'Lab test'!AU228,NA())</f>
        <v>0.93376068376068388</v>
      </c>
      <c r="K227">
        <f>IF('Lab test'!AT228&gt;0,'Lab test'!AT228,NA())</f>
        <v>0.32810568686800567</v>
      </c>
      <c r="L227">
        <f t="shared" si="20"/>
        <v>1</v>
      </c>
      <c r="M227">
        <f t="shared" si="21"/>
        <v>1933</v>
      </c>
      <c r="O227">
        <v>225</v>
      </c>
      <c r="P227">
        <v>1938</v>
      </c>
      <c r="Q227">
        <f t="shared" si="22"/>
        <v>0.34722222222222221</v>
      </c>
      <c r="R227" t="e">
        <f t="shared" si="23"/>
        <v>#N/A</v>
      </c>
      <c r="T227" t="e">
        <f t="shared" si="24"/>
        <v>#N/A</v>
      </c>
      <c r="U227">
        <f t="shared" si="25"/>
        <v>1938</v>
      </c>
      <c r="W227" t="e">
        <v>#N/A</v>
      </c>
      <c r="X227">
        <v>1937</v>
      </c>
    </row>
    <row r="228" spans="8:24">
      <c r="H228">
        <v>226</v>
      </c>
      <c r="I228">
        <f>'Lab test'!AZ229</f>
        <v>1933</v>
      </c>
      <c r="J228">
        <f>IF('Lab test'!AU229&gt;0,'Lab test'!AU229,NA())</f>
        <v>1.1794871794871795</v>
      </c>
      <c r="K228">
        <f>IF('Lab test'!AT229&gt;0,'Lab test'!AT229,NA())</f>
        <v>0.44595712933490705</v>
      </c>
      <c r="L228">
        <f t="shared" si="20"/>
        <v>1</v>
      </c>
      <c r="M228">
        <f t="shared" si="21"/>
        <v>1933</v>
      </c>
      <c r="O228">
        <v>226</v>
      </c>
      <c r="P228">
        <v>1938</v>
      </c>
      <c r="Q228">
        <f t="shared" si="22"/>
        <v>0.34876543209876543</v>
      </c>
      <c r="R228" t="e">
        <f t="shared" si="23"/>
        <v>#N/A</v>
      </c>
      <c r="T228" t="e">
        <f t="shared" si="24"/>
        <v>#N/A</v>
      </c>
      <c r="U228">
        <f t="shared" si="25"/>
        <v>1938</v>
      </c>
      <c r="W228" t="e">
        <v>#N/A</v>
      </c>
      <c r="X228">
        <v>1937</v>
      </c>
    </row>
    <row r="229" spans="8:24">
      <c r="H229">
        <v>227</v>
      </c>
      <c r="I229">
        <f>'Lab test'!AZ230</f>
        <v>1933</v>
      </c>
      <c r="J229">
        <f>IF('Lab test'!AU230&gt;0,'Lab test'!AU230,NA())</f>
        <v>0.97222222222222221</v>
      </c>
      <c r="K229">
        <f>IF('Lab test'!AT230&gt;0,'Lab test'!AT230,NA())</f>
        <v>0.33977374116629883</v>
      </c>
      <c r="L229">
        <f t="shared" si="20"/>
        <v>1</v>
      </c>
      <c r="M229">
        <f t="shared" si="21"/>
        <v>1933</v>
      </c>
      <c r="O229">
        <v>227</v>
      </c>
      <c r="P229">
        <v>1938</v>
      </c>
      <c r="Q229">
        <f t="shared" si="22"/>
        <v>0.35030864197530864</v>
      </c>
      <c r="R229" t="e">
        <f t="shared" si="23"/>
        <v>#N/A</v>
      </c>
      <c r="T229" t="e">
        <f t="shared" si="24"/>
        <v>#N/A</v>
      </c>
      <c r="U229">
        <f t="shared" si="25"/>
        <v>1938</v>
      </c>
      <c r="W229" t="e">
        <v>#N/A</v>
      </c>
      <c r="X229">
        <v>1937</v>
      </c>
    </row>
    <row r="230" spans="8:24">
      <c r="H230">
        <v>228</v>
      </c>
      <c r="I230">
        <f>'Lab test'!AZ231</f>
        <v>1933</v>
      </c>
      <c r="J230">
        <f>IF('Lab test'!AU231&gt;0,'Lab test'!AU231,NA())</f>
        <v>0.76923076923076927</v>
      </c>
      <c r="K230">
        <f>IF('Lab test'!AT231&gt;0,'Lab test'!AT231,NA())</f>
        <v>0.27214180378136837</v>
      </c>
      <c r="L230">
        <f t="shared" si="20"/>
        <v>1</v>
      </c>
      <c r="M230">
        <f t="shared" si="21"/>
        <v>1933</v>
      </c>
      <c r="O230">
        <v>228</v>
      </c>
      <c r="P230">
        <v>1938</v>
      </c>
      <c r="Q230">
        <f t="shared" si="22"/>
        <v>0.35185185185185186</v>
      </c>
      <c r="R230" t="e">
        <f t="shared" si="23"/>
        <v>#N/A</v>
      </c>
      <c r="T230" t="e">
        <f t="shared" si="24"/>
        <v>#N/A</v>
      </c>
      <c r="U230">
        <f t="shared" si="25"/>
        <v>1938</v>
      </c>
      <c r="W230" t="e">
        <v>#N/A</v>
      </c>
      <c r="X230">
        <v>1937</v>
      </c>
    </row>
    <row r="231" spans="8:24">
      <c r="H231">
        <v>229</v>
      </c>
      <c r="I231">
        <f>'Lab test'!AZ232</f>
        <v>1933</v>
      </c>
      <c r="J231">
        <f>IF('Lab test'!AU232&gt;0,'Lab test'!AU232,NA())</f>
        <v>1.1538461538461537</v>
      </c>
      <c r="K231">
        <f>IF('Lab test'!AT232&gt;0,'Lab test'!AT232,NA())</f>
        <v>0.423267358647192</v>
      </c>
      <c r="L231">
        <f t="shared" si="20"/>
        <v>1</v>
      </c>
      <c r="M231">
        <f t="shared" si="21"/>
        <v>1933</v>
      </c>
      <c r="O231">
        <v>229</v>
      </c>
      <c r="P231">
        <v>1938</v>
      </c>
      <c r="Q231">
        <f t="shared" si="22"/>
        <v>0.35339506172839508</v>
      </c>
      <c r="R231" t="e">
        <f t="shared" si="23"/>
        <v>#N/A</v>
      </c>
      <c r="T231" t="e">
        <f t="shared" si="24"/>
        <v>#N/A</v>
      </c>
      <c r="U231">
        <f t="shared" si="25"/>
        <v>1938</v>
      </c>
      <c r="W231" t="e">
        <v>#N/A</v>
      </c>
      <c r="X231">
        <v>1937</v>
      </c>
    </row>
    <row r="232" spans="8:24">
      <c r="H232">
        <v>230</v>
      </c>
      <c r="I232">
        <f>'Lab test'!AZ233</f>
        <v>1933</v>
      </c>
      <c r="J232">
        <f>IF('Lab test'!AU233&gt;0,'Lab test'!AU233,NA())</f>
        <v>1.0961538461538463</v>
      </c>
      <c r="K232">
        <f>IF('Lab test'!AT233&gt;0,'Lab test'!AT233,NA())</f>
        <v>0.40847739690771884</v>
      </c>
      <c r="L232">
        <f t="shared" si="20"/>
        <v>1</v>
      </c>
      <c r="M232">
        <f t="shared" si="21"/>
        <v>1933</v>
      </c>
      <c r="O232">
        <v>230</v>
      </c>
      <c r="P232">
        <v>1938</v>
      </c>
      <c r="Q232">
        <f t="shared" si="22"/>
        <v>0.35493827160493829</v>
      </c>
      <c r="R232" t="e">
        <f t="shared" si="23"/>
        <v>#N/A</v>
      </c>
      <c r="T232" t="e">
        <f t="shared" si="24"/>
        <v>#N/A</v>
      </c>
      <c r="U232">
        <f t="shared" si="25"/>
        <v>1938</v>
      </c>
      <c r="W232" t="e">
        <v>#N/A</v>
      </c>
      <c r="X232">
        <v>1938</v>
      </c>
    </row>
    <row r="233" spans="8:24">
      <c r="H233">
        <v>231</v>
      </c>
      <c r="I233">
        <f>'Lab test'!AZ234</f>
        <v>1933</v>
      </c>
      <c r="J233">
        <f>IF('Lab test'!AU234&gt;0,'Lab test'!AU234,NA())</f>
        <v>1.1239316239316239</v>
      </c>
      <c r="K233">
        <f>IF('Lab test'!AT234&gt;0,'Lab test'!AT234,NA())</f>
        <v>0.4093902832737043</v>
      </c>
      <c r="L233">
        <f t="shared" si="20"/>
        <v>1</v>
      </c>
      <c r="M233">
        <f t="shared" si="21"/>
        <v>1933</v>
      </c>
      <c r="O233">
        <v>231</v>
      </c>
      <c r="P233">
        <v>1938</v>
      </c>
      <c r="Q233">
        <f t="shared" si="22"/>
        <v>0.35648148148148145</v>
      </c>
      <c r="R233" t="e">
        <f t="shared" si="23"/>
        <v>#N/A</v>
      </c>
      <c r="T233" t="e">
        <f t="shared" si="24"/>
        <v>#N/A</v>
      </c>
      <c r="U233">
        <f t="shared" si="25"/>
        <v>1938</v>
      </c>
      <c r="W233" t="e">
        <v>#N/A</v>
      </c>
      <c r="X233">
        <v>1938</v>
      </c>
    </row>
    <row r="234" spans="8:24">
      <c r="H234">
        <v>232</v>
      </c>
      <c r="I234">
        <f>'Lab test'!AZ235</f>
        <v>1933</v>
      </c>
      <c r="J234">
        <f>IF('Lab test'!AU235&gt;0,'Lab test'!AU235,NA())</f>
        <v>1.0811965811965811</v>
      </c>
      <c r="K234">
        <f>IF('Lab test'!AT235&gt;0,'Lab test'!AT235,NA())</f>
        <v>0.38835433346248149</v>
      </c>
      <c r="L234">
        <f t="shared" si="20"/>
        <v>1</v>
      </c>
      <c r="M234">
        <f t="shared" si="21"/>
        <v>1933</v>
      </c>
      <c r="O234">
        <v>232</v>
      </c>
      <c r="P234">
        <v>1938</v>
      </c>
      <c r="Q234">
        <f t="shared" si="22"/>
        <v>0.35802469135802467</v>
      </c>
      <c r="R234" t="e">
        <f t="shared" si="23"/>
        <v>#N/A</v>
      </c>
      <c r="T234" t="e">
        <f t="shared" si="24"/>
        <v>#N/A</v>
      </c>
      <c r="U234">
        <f t="shared" si="25"/>
        <v>1938</v>
      </c>
      <c r="W234" t="e">
        <v>#N/A</v>
      </c>
      <c r="X234">
        <v>1938</v>
      </c>
    </row>
    <row r="235" spans="8:24">
      <c r="H235">
        <v>233</v>
      </c>
      <c r="I235">
        <f>'Lab test'!AZ236</f>
        <v>1933</v>
      </c>
      <c r="J235">
        <f>IF('Lab test'!AU236&gt;0,'Lab test'!AU236,NA())</f>
        <v>0.84615384615384615</v>
      </c>
      <c r="K235">
        <f>IF('Lab test'!AT236&gt;0,'Lab test'!AT236,NA())</f>
        <v>0.30392947836194206</v>
      </c>
      <c r="L235">
        <f t="shared" si="20"/>
        <v>1</v>
      </c>
      <c r="M235">
        <f t="shared" si="21"/>
        <v>1933</v>
      </c>
      <c r="O235">
        <v>233</v>
      </c>
      <c r="P235">
        <v>1938</v>
      </c>
      <c r="Q235">
        <f t="shared" si="22"/>
        <v>0.35956790123456789</v>
      </c>
      <c r="R235" t="e">
        <f t="shared" si="23"/>
        <v>#N/A</v>
      </c>
      <c r="T235" t="e">
        <f t="shared" si="24"/>
        <v>#N/A</v>
      </c>
      <c r="U235">
        <f t="shared" si="25"/>
        <v>1938</v>
      </c>
      <c r="W235" t="e">
        <v>#N/A</v>
      </c>
      <c r="X235">
        <v>1938</v>
      </c>
    </row>
    <row r="236" spans="8:24">
      <c r="H236">
        <v>234</v>
      </c>
      <c r="I236">
        <f>'Lab test'!AZ237</f>
        <v>1933</v>
      </c>
      <c r="J236">
        <f>IF('Lab test'!AU237&gt;0,'Lab test'!AU237,NA())</f>
        <v>0.34265734265734266</v>
      </c>
      <c r="K236">
        <f>IF('Lab test'!AT237&gt;0,'Lab test'!AT237,NA())</f>
        <v>0.40073232327226049</v>
      </c>
      <c r="L236">
        <f t="shared" si="20"/>
        <v>1</v>
      </c>
      <c r="M236">
        <f t="shared" si="21"/>
        <v>1933</v>
      </c>
      <c r="O236">
        <v>234</v>
      </c>
      <c r="P236">
        <v>1938</v>
      </c>
      <c r="Q236">
        <f t="shared" si="22"/>
        <v>0.3611111111111111</v>
      </c>
      <c r="R236" t="e">
        <f t="shared" si="23"/>
        <v>#N/A</v>
      </c>
      <c r="T236" t="e">
        <f t="shared" si="24"/>
        <v>#N/A</v>
      </c>
      <c r="U236">
        <f t="shared" si="25"/>
        <v>1938</v>
      </c>
      <c r="W236" t="e">
        <v>#N/A</v>
      </c>
      <c r="X236">
        <v>1938</v>
      </c>
    </row>
    <row r="237" spans="8:24">
      <c r="H237">
        <v>235</v>
      </c>
      <c r="I237">
        <f>'Lab test'!AZ238</f>
        <v>1933</v>
      </c>
      <c r="J237">
        <f>IF('Lab test'!AU238&gt;0,'Lab test'!AU238,NA())</f>
        <v>0.73193473193473202</v>
      </c>
      <c r="K237">
        <f>IF('Lab test'!AT238&gt;0,'Lab test'!AT238,NA())</f>
        <v>0.36886821582250323</v>
      </c>
      <c r="L237">
        <f t="shared" si="20"/>
        <v>1</v>
      </c>
      <c r="M237">
        <f t="shared" si="21"/>
        <v>1933</v>
      </c>
      <c r="O237">
        <v>235</v>
      </c>
      <c r="P237">
        <v>1938</v>
      </c>
      <c r="Q237">
        <f t="shared" si="22"/>
        <v>0.36265432098765432</v>
      </c>
      <c r="R237" t="e">
        <f t="shared" si="23"/>
        <v>#N/A</v>
      </c>
      <c r="T237" t="e">
        <f t="shared" si="24"/>
        <v>#N/A</v>
      </c>
      <c r="U237">
        <f t="shared" si="25"/>
        <v>1938</v>
      </c>
      <c r="W237" t="e">
        <v>#N/A</v>
      </c>
      <c r="X237">
        <v>1938</v>
      </c>
    </row>
    <row r="238" spans="8:24">
      <c r="H238">
        <v>236</v>
      </c>
      <c r="I238">
        <f>'Lab test'!AZ239</f>
        <v>1933</v>
      </c>
      <c r="J238">
        <f>IF('Lab test'!AU239&gt;0,'Lab test'!AU239,NA())</f>
        <v>0.53613053613053618</v>
      </c>
      <c r="K238">
        <f>IF('Lab test'!AT239&gt;0,'Lab test'!AT239,NA())</f>
        <v>0.43248249432427566</v>
      </c>
      <c r="L238">
        <f t="shared" si="20"/>
        <v>1</v>
      </c>
      <c r="M238">
        <f t="shared" si="21"/>
        <v>1933</v>
      </c>
      <c r="O238">
        <v>236</v>
      </c>
      <c r="P238">
        <v>1938</v>
      </c>
      <c r="Q238">
        <f t="shared" si="22"/>
        <v>0.36419753086419754</v>
      </c>
      <c r="R238" t="e">
        <f t="shared" si="23"/>
        <v>#N/A</v>
      </c>
      <c r="T238" t="e">
        <f t="shared" si="24"/>
        <v>#N/A</v>
      </c>
      <c r="U238">
        <f t="shared" si="25"/>
        <v>1938</v>
      </c>
      <c r="W238" t="e">
        <v>#N/A</v>
      </c>
      <c r="X238">
        <v>1938</v>
      </c>
    </row>
    <row r="239" spans="8:24">
      <c r="H239">
        <v>237</v>
      </c>
      <c r="I239">
        <f>'Lab test'!AZ240</f>
        <v>1933</v>
      </c>
      <c r="J239">
        <f>IF('Lab test'!AU240&gt;0,'Lab test'!AU240,NA())</f>
        <v>0.51515151515151514</v>
      </c>
      <c r="K239">
        <f>IF('Lab test'!AT240&gt;0,'Lab test'!AT240,NA())</f>
        <v>0.54745416384568002</v>
      </c>
      <c r="L239">
        <f t="shared" si="20"/>
        <v>1</v>
      </c>
      <c r="M239">
        <f t="shared" si="21"/>
        <v>1933</v>
      </c>
      <c r="O239">
        <v>237</v>
      </c>
      <c r="P239">
        <v>1938</v>
      </c>
      <c r="Q239">
        <f t="shared" si="22"/>
        <v>0.36574074074074076</v>
      </c>
      <c r="R239" t="e">
        <f t="shared" si="23"/>
        <v>#N/A</v>
      </c>
      <c r="T239" t="e">
        <f t="shared" si="24"/>
        <v>#N/A</v>
      </c>
      <c r="U239">
        <f t="shared" si="25"/>
        <v>1938</v>
      </c>
      <c r="W239" t="e">
        <v>#N/A</v>
      </c>
      <c r="X239">
        <v>1938</v>
      </c>
    </row>
    <row r="240" spans="8:24">
      <c r="H240">
        <v>238</v>
      </c>
      <c r="I240">
        <f>'Lab test'!AZ241</f>
        <v>1933</v>
      </c>
      <c r="J240">
        <f>IF('Lab test'!AU241&gt;0,'Lab test'!AU241,NA())</f>
        <v>0.18671328671328674</v>
      </c>
      <c r="K240">
        <f>IF('Lab test'!AT241&gt;0,'Lab test'!AT241,NA())</f>
        <v>0.34837304619975001</v>
      </c>
      <c r="L240">
        <f t="shared" si="20"/>
        <v>1</v>
      </c>
      <c r="M240">
        <f t="shared" si="21"/>
        <v>1933</v>
      </c>
      <c r="O240">
        <v>238</v>
      </c>
      <c r="P240">
        <v>1938</v>
      </c>
      <c r="Q240">
        <f t="shared" si="22"/>
        <v>0.36728395061728397</v>
      </c>
      <c r="R240" t="e">
        <f t="shared" si="23"/>
        <v>#N/A</v>
      </c>
      <c r="T240" t="e">
        <f t="shared" si="24"/>
        <v>#N/A</v>
      </c>
      <c r="U240">
        <f t="shared" si="25"/>
        <v>1938</v>
      </c>
      <c r="W240" t="e">
        <v>#N/A</v>
      </c>
      <c r="X240">
        <v>1938</v>
      </c>
    </row>
    <row r="241" spans="8:24">
      <c r="H241">
        <v>239</v>
      </c>
      <c r="I241">
        <f>'Lab test'!AZ242</f>
        <v>1933</v>
      </c>
      <c r="J241">
        <f>IF('Lab test'!AU242&gt;0,'Lab test'!AU242,NA())</f>
        <v>0.3867132867132867</v>
      </c>
      <c r="K241">
        <f>IF('Lab test'!AT242&gt;0,'Lab test'!AT242,NA())</f>
        <v>0.48225155900497763</v>
      </c>
      <c r="L241">
        <f t="shared" si="20"/>
        <v>1</v>
      </c>
      <c r="M241">
        <f t="shared" si="21"/>
        <v>1933</v>
      </c>
      <c r="O241">
        <v>239</v>
      </c>
      <c r="P241">
        <v>1938</v>
      </c>
      <c r="Q241">
        <f t="shared" si="22"/>
        <v>0.36882716049382713</v>
      </c>
      <c r="R241" t="e">
        <f t="shared" si="23"/>
        <v>#N/A</v>
      </c>
      <c r="T241" t="e">
        <f t="shared" si="24"/>
        <v>#N/A</v>
      </c>
      <c r="U241">
        <f t="shared" si="25"/>
        <v>1938</v>
      </c>
      <c r="W241" t="e">
        <v>#N/A</v>
      </c>
      <c r="X241">
        <v>1938</v>
      </c>
    </row>
    <row r="242" spans="8:24">
      <c r="H242">
        <v>240</v>
      </c>
      <c r="I242">
        <f>'Lab test'!AZ243</f>
        <v>1933</v>
      </c>
      <c r="J242">
        <f>IF('Lab test'!AU243&gt;0,'Lab test'!AU243,NA())</f>
        <v>0.50815850815850827</v>
      </c>
      <c r="K242">
        <f>IF('Lab test'!AT243&gt;0,'Lab test'!AT243,NA())</f>
        <v>0.42246670630132671</v>
      </c>
      <c r="L242">
        <f t="shared" si="20"/>
        <v>1</v>
      </c>
      <c r="M242">
        <f t="shared" si="21"/>
        <v>1933</v>
      </c>
      <c r="O242">
        <v>240</v>
      </c>
      <c r="P242">
        <v>1938</v>
      </c>
      <c r="Q242">
        <f t="shared" si="22"/>
        <v>0.37037037037037035</v>
      </c>
      <c r="R242" t="e">
        <f t="shared" si="23"/>
        <v>#N/A</v>
      </c>
      <c r="T242" t="e">
        <f t="shared" si="24"/>
        <v>#N/A</v>
      </c>
      <c r="U242">
        <f t="shared" si="25"/>
        <v>1938</v>
      </c>
      <c r="W242" t="e">
        <v>#N/A</v>
      </c>
      <c r="X242">
        <v>1938</v>
      </c>
    </row>
    <row r="243" spans="8:24">
      <c r="H243">
        <v>241</v>
      </c>
      <c r="I243">
        <f>'Lab test'!AZ244</f>
        <v>1933</v>
      </c>
      <c r="J243">
        <f>IF('Lab test'!AU244&gt;0,'Lab test'!AU244,NA())</f>
        <v>0.70629370629370636</v>
      </c>
      <c r="K243">
        <f>IF('Lab test'!AT244&gt;0,'Lab test'!AT244,NA())</f>
        <v>0.40619729229071527</v>
      </c>
      <c r="L243">
        <f t="shared" si="20"/>
        <v>1</v>
      </c>
      <c r="M243">
        <f t="shared" si="21"/>
        <v>1933</v>
      </c>
      <c r="O243">
        <v>241</v>
      </c>
      <c r="P243">
        <v>1938</v>
      </c>
      <c r="Q243">
        <f t="shared" si="22"/>
        <v>0.37191358024691357</v>
      </c>
      <c r="R243" t="e">
        <f t="shared" si="23"/>
        <v>#N/A</v>
      </c>
      <c r="T243" t="e">
        <f t="shared" si="24"/>
        <v>#N/A</v>
      </c>
      <c r="U243">
        <f t="shared" si="25"/>
        <v>1938</v>
      </c>
      <c r="W243" t="e">
        <v>#N/A</v>
      </c>
      <c r="X243">
        <v>1938</v>
      </c>
    </row>
    <row r="244" spans="8:24">
      <c r="H244">
        <v>242</v>
      </c>
      <c r="I244">
        <f>'Lab test'!AZ245</f>
        <v>1933</v>
      </c>
      <c r="J244">
        <f>IF('Lab test'!AU245&gt;0,'Lab test'!AU245,NA())</f>
        <v>0.68128778293265846</v>
      </c>
      <c r="K244">
        <f>IF('Lab test'!AT245&gt;0,'Lab test'!AT245,NA())</f>
        <v>0.23005970823835847</v>
      </c>
      <c r="L244">
        <f t="shared" si="20"/>
        <v>1</v>
      </c>
      <c r="M244">
        <f t="shared" si="21"/>
        <v>1933</v>
      </c>
      <c r="O244">
        <v>242</v>
      </c>
      <c r="P244">
        <v>1938</v>
      </c>
      <c r="Q244">
        <f t="shared" si="22"/>
        <v>0.37345679012345678</v>
      </c>
      <c r="R244" t="e">
        <f t="shared" si="23"/>
        <v>#N/A</v>
      </c>
      <c r="T244" t="e">
        <f t="shared" si="24"/>
        <v>#N/A</v>
      </c>
      <c r="U244">
        <f t="shared" si="25"/>
        <v>1938</v>
      </c>
      <c r="W244" t="e">
        <v>#N/A</v>
      </c>
      <c r="X244">
        <v>1938</v>
      </c>
    </row>
    <row r="245" spans="8:24">
      <c r="H245">
        <v>243</v>
      </c>
      <c r="I245">
        <f>'Lab test'!AZ246</f>
        <v>1933</v>
      </c>
      <c r="J245">
        <f>IF('Lab test'!AU246&gt;0,'Lab test'!AU246,NA())</f>
        <v>0.65484273243730073</v>
      </c>
      <c r="K245">
        <f>IF('Lab test'!AT246&gt;0,'Lab test'!AT246,NA())</f>
        <v>0.2349648400377404</v>
      </c>
      <c r="L245">
        <f t="shared" si="20"/>
        <v>1</v>
      </c>
      <c r="M245">
        <f t="shared" si="21"/>
        <v>1933</v>
      </c>
      <c r="O245">
        <v>243</v>
      </c>
      <c r="P245">
        <v>1938</v>
      </c>
      <c r="Q245">
        <f t="shared" si="22"/>
        <v>0.375</v>
      </c>
      <c r="R245" t="e">
        <f t="shared" si="23"/>
        <v>#N/A</v>
      </c>
      <c r="T245" t="e">
        <f t="shared" si="24"/>
        <v>#N/A</v>
      </c>
      <c r="U245">
        <f t="shared" si="25"/>
        <v>1938</v>
      </c>
      <c r="W245" t="e">
        <v>#N/A</v>
      </c>
      <c r="X245">
        <v>1938</v>
      </c>
    </row>
    <row r="246" spans="8:24">
      <c r="H246">
        <v>244</v>
      </c>
      <c r="I246">
        <f>'Lab test'!AZ247</f>
        <v>1933</v>
      </c>
      <c r="J246">
        <f>IF('Lab test'!AU247&gt;0,'Lab test'!AU247,NA())</f>
        <v>0.69217143008222515</v>
      </c>
      <c r="K246">
        <f>IF('Lab test'!AT247&gt;0,'Lab test'!AT247,NA())</f>
        <v>0.24073494770506743</v>
      </c>
      <c r="L246">
        <f t="shared" si="20"/>
        <v>1</v>
      </c>
      <c r="M246">
        <f t="shared" si="21"/>
        <v>1933</v>
      </c>
      <c r="O246">
        <v>244</v>
      </c>
      <c r="P246">
        <v>1938</v>
      </c>
      <c r="Q246">
        <f t="shared" si="22"/>
        <v>0.37654320987654322</v>
      </c>
      <c r="R246" t="e">
        <f t="shared" si="23"/>
        <v>#N/A</v>
      </c>
      <c r="T246" t="e">
        <f t="shared" si="24"/>
        <v>#N/A</v>
      </c>
      <c r="U246">
        <f t="shared" si="25"/>
        <v>1938</v>
      </c>
      <c r="W246" t="e">
        <v>#N/A</v>
      </c>
      <c r="X246">
        <v>1938</v>
      </c>
    </row>
    <row r="247" spans="8:24">
      <c r="H247">
        <v>245</v>
      </c>
      <c r="I247">
        <f>'Lab test'!AZ248</f>
        <v>1933</v>
      </c>
      <c r="J247">
        <f>IF('Lab test'!AU248&gt;0,'Lab test'!AU248,NA())</f>
        <v>0.7605985037406483</v>
      </c>
      <c r="K247">
        <f>IF('Lab test'!AT248&gt;0,'Lab test'!AT248,NA())</f>
        <v>0.26153179250894387</v>
      </c>
      <c r="L247">
        <f t="shared" si="20"/>
        <v>1</v>
      </c>
      <c r="M247">
        <f t="shared" si="21"/>
        <v>1933</v>
      </c>
      <c r="O247">
        <v>245</v>
      </c>
      <c r="P247">
        <v>1938</v>
      </c>
      <c r="Q247">
        <f t="shared" si="22"/>
        <v>0.37808641975308643</v>
      </c>
      <c r="R247" t="e">
        <f t="shared" si="23"/>
        <v>#N/A</v>
      </c>
      <c r="T247" t="e">
        <f t="shared" si="24"/>
        <v>#N/A</v>
      </c>
      <c r="U247">
        <f t="shared" si="25"/>
        <v>1938</v>
      </c>
      <c r="W247" t="e">
        <v>#N/A</v>
      </c>
      <c r="X247">
        <v>1938</v>
      </c>
    </row>
    <row r="248" spans="8:24">
      <c r="H248">
        <v>246</v>
      </c>
      <c r="I248">
        <f>'Lab test'!AZ249</f>
        <v>1933</v>
      </c>
      <c r="J248">
        <f>IF('Lab test'!AU249&gt;0,'Lab test'!AU249,NA())</f>
        <v>0.6097560975609756</v>
      </c>
      <c r="K248">
        <f>IF('Lab test'!AT249&gt;0,'Lab test'!AT249,NA())</f>
        <v>0.15611027628361965</v>
      </c>
      <c r="L248">
        <f t="shared" si="20"/>
        <v>1</v>
      </c>
      <c r="M248">
        <f t="shared" si="21"/>
        <v>1933</v>
      </c>
      <c r="O248">
        <v>246</v>
      </c>
      <c r="P248">
        <v>1938</v>
      </c>
      <c r="Q248">
        <f t="shared" si="22"/>
        <v>0.37962962962962965</v>
      </c>
      <c r="R248" t="e">
        <f t="shared" si="23"/>
        <v>#N/A</v>
      </c>
      <c r="T248" t="e">
        <f t="shared" si="24"/>
        <v>#N/A</v>
      </c>
      <c r="U248">
        <f t="shared" si="25"/>
        <v>1938</v>
      </c>
      <c r="W248" t="e">
        <v>#N/A</v>
      </c>
      <c r="X248">
        <v>1938</v>
      </c>
    </row>
    <row r="249" spans="8:24">
      <c r="H249">
        <v>247</v>
      </c>
      <c r="I249">
        <f>'Lab test'!AZ250</f>
        <v>1933</v>
      </c>
      <c r="J249">
        <f>IF('Lab test'!AU250&gt;0,'Lab test'!AU250,NA())</f>
        <v>0.68518518518518523</v>
      </c>
      <c r="K249">
        <f>IF('Lab test'!AT250&gt;0,'Lab test'!AT250,NA())</f>
        <v>0.19648400422599385</v>
      </c>
      <c r="L249">
        <f t="shared" si="20"/>
        <v>1</v>
      </c>
      <c r="M249">
        <f t="shared" si="21"/>
        <v>1933</v>
      </c>
      <c r="O249">
        <v>247</v>
      </c>
      <c r="P249">
        <v>1938</v>
      </c>
      <c r="Q249">
        <f t="shared" si="22"/>
        <v>0.38117283950617287</v>
      </c>
      <c r="R249" t="e">
        <f t="shared" si="23"/>
        <v>#N/A</v>
      </c>
      <c r="T249" t="e">
        <f t="shared" si="24"/>
        <v>#N/A</v>
      </c>
      <c r="U249">
        <f t="shared" si="25"/>
        <v>1938</v>
      </c>
      <c r="W249" t="e">
        <v>#N/A</v>
      </c>
      <c r="X249">
        <v>1938</v>
      </c>
    </row>
    <row r="250" spans="8:24">
      <c r="H250">
        <v>248</v>
      </c>
      <c r="I250">
        <f>'Lab test'!AZ251</f>
        <v>1933</v>
      </c>
      <c r="J250">
        <f>IF('Lab test'!AU251&gt;0,'Lab test'!AU251,NA())</f>
        <v>0.5138427464008859</v>
      </c>
      <c r="K250">
        <f>IF('Lab test'!AT251&gt;0,'Lab test'!AT251,NA())</f>
        <v>0.18945160752767079</v>
      </c>
      <c r="L250">
        <f t="shared" si="20"/>
        <v>1</v>
      </c>
      <c r="M250">
        <f t="shared" si="21"/>
        <v>1933</v>
      </c>
      <c r="O250">
        <v>248</v>
      </c>
      <c r="P250">
        <v>1938</v>
      </c>
      <c r="Q250">
        <f t="shared" si="22"/>
        <v>0.38271604938271603</v>
      </c>
      <c r="R250" t="e">
        <f t="shared" si="23"/>
        <v>#N/A</v>
      </c>
      <c r="T250" t="e">
        <f t="shared" si="24"/>
        <v>#N/A</v>
      </c>
      <c r="U250">
        <f t="shared" si="25"/>
        <v>1938</v>
      </c>
      <c r="W250" t="e">
        <v>#N/A</v>
      </c>
      <c r="X250">
        <v>1938</v>
      </c>
    </row>
    <row r="251" spans="8:24">
      <c r="H251">
        <v>249</v>
      </c>
      <c r="I251">
        <f>'Lab test'!AZ252</f>
        <v>1933</v>
      </c>
      <c r="J251">
        <f>IF('Lab test'!AU252&gt;0,'Lab test'!AU252,NA())</f>
        <v>0.61154855643044614</v>
      </c>
      <c r="K251">
        <f>IF('Lab test'!AT252&gt;0,'Lab test'!AT252,NA())</f>
        <v>0.18376620870063035</v>
      </c>
      <c r="L251">
        <f t="shared" si="20"/>
        <v>1</v>
      </c>
      <c r="M251">
        <f t="shared" si="21"/>
        <v>1933</v>
      </c>
      <c r="O251">
        <v>249</v>
      </c>
      <c r="P251">
        <v>1938</v>
      </c>
      <c r="Q251">
        <f t="shared" si="22"/>
        <v>0.38425925925925924</v>
      </c>
      <c r="R251" t="e">
        <f t="shared" si="23"/>
        <v>#N/A</v>
      </c>
      <c r="T251" t="e">
        <f t="shared" si="24"/>
        <v>#N/A</v>
      </c>
      <c r="U251">
        <f t="shared" si="25"/>
        <v>1938</v>
      </c>
      <c r="W251" t="e">
        <v>#N/A</v>
      </c>
      <c r="X251">
        <v>1938</v>
      </c>
    </row>
    <row r="252" spans="8:24">
      <c r="H252">
        <v>250</v>
      </c>
      <c r="I252">
        <f>'Lab test'!AZ253</f>
        <v>1933</v>
      </c>
      <c r="J252">
        <f>IF('Lab test'!AU253&gt;0,'Lab test'!AU253,NA())</f>
        <v>0.40704500978473579</v>
      </c>
      <c r="K252">
        <f>IF('Lab test'!AT253&gt;0,'Lab test'!AT253,NA())</f>
        <v>9.9457210619263534E-2</v>
      </c>
      <c r="L252">
        <f t="shared" si="20"/>
        <v>1</v>
      </c>
      <c r="M252">
        <f t="shared" si="21"/>
        <v>1933</v>
      </c>
      <c r="O252">
        <v>250</v>
      </c>
      <c r="P252">
        <v>1938</v>
      </c>
      <c r="Q252">
        <f t="shared" si="22"/>
        <v>0.38580246913580246</v>
      </c>
      <c r="R252" t="e">
        <f t="shared" si="23"/>
        <v>#N/A</v>
      </c>
      <c r="T252" t="e">
        <f t="shared" si="24"/>
        <v>#N/A</v>
      </c>
      <c r="U252">
        <f t="shared" si="25"/>
        <v>1938</v>
      </c>
      <c r="W252" t="e">
        <v>#N/A</v>
      </c>
      <c r="X252">
        <v>1938</v>
      </c>
    </row>
    <row r="253" spans="8:24">
      <c r="H253">
        <v>251</v>
      </c>
      <c r="I253">
        <f>'Lab test'!AZ254</f>
        <v>1933</v>
      </c>
      <c r="J253">
        <f>IF('Lab test'!AU254&gt;0,'Lab test'!AU254,NA())</f>
        <v>0.5471349353049908</v>
      </c>
      <c r="K253">
        <f>IF('Lab test'!AT254&gt;0,'Lab test'!AT254,NA())</f>
        <v>0.13653989910355002</v>
      </c>
      <c r="L253">
        <f t="shared" si="20"/>
        <v>1</v>
      </c>
      <c r="M253">
        <f t="shared" si="21"/>
        <v>1933</v>
      </c>
      <c r="O253">
        <v>251</v>
      </c>
      <c r="P253">
        <v>1938</v>
      </c>
      <c r="Q253">
        <f t="shared" si="22"/>
        <v>0.38734567901234568</v>
      </c>
      <c r="R253" t="e">
        <f t="shared" si="23"/>
        <v>#N/A</v>
      </c>
      <c r="T253" t="e">
        <f t="shared" si="24"/>
        <v>#N/A</v>
      </c>
      <c r="U253">
        <f t="shared" si="25"/>
        <v>1938</v>
      </c>
      <c r="W253" t="e">
        <v>#N/A</v>
      </c>
      <c r="X253">
        <v>1938</v>
      </c>
    </row>
    <row r="254" spans="8:24">
      <c r="H254">
        <v>252</v>
      </c>
      <c r="I254">
        <f>'Lab test'!AZ255</f>
        <v>1933</v>
      </c>
      <c r="J254">
        <f>IF('Lab test'!AU255&gt;0,'Lab test'!AU255,NA())</f>
        <v>0.33493530499075785</v>
      </c>
      <c r="K254">
        <f>IF('Lab test'!AT255&gt;0,'Lab test'!AT255,NA())</f>
        <v>0.16359477998255403</v>
      </c>
      <c r="L254">
        <f t="shared" si="20"/>
        <v>1</v>
      </c>
      <c r="M254">
        <f t="shared" si="21"/>
        <v>1933</v>
      </c>
      <c r="O254">
        <v>252</v>
      </c>
      <c r="P254">
        <v>1938</v>
      </c>
      <c r="Q254">
        <f t="shared" si="22"/>
        <v>0.3888888888888889</v>
      </c>
      <c r="R254">
        <f t="shared" si="23"/>
        <v>0.3888888888888889</v>
      </c>
      <c r="T254">
        <f t="shared" si="24"/>
        <v>0.3888888888888889</v>
      </c>
      <c r="U254">
        <f t="shared" si="25"/>
        <v>1938</v>
      </c>
      <c r="W254" t="e">
        <v>#N/A</v>
      </c>
      <c r="X254">
        <v>1938</v>
      </c>
    </row>
    <row r="255" spans="8:24">
      <c r="H255">
        <v>253</v>
      </c>
      <c r="I255">
        <f>'Lab test'!AZ256</f>
        <v>1933</v>
      </c>
      <c r="J255">
        <f>IF('Lab test'!AU256&gt;0,'Lab test'!AU256,NA())</f>
        <v>0.30219224283305229</v>
      </c>
      <c r="K255">
        <f>IF('Lab test'!AT256&gt;0,'Lab test'!AT256,NA())</f>
        <v>0.25568824924188327</v>
      </c>
      <c r="L255">
        <f t="shared" si="20"/>
        <v>1</v>
      </c>
      <c r="M255">
        <f t="shared" si="21"/>
        <v>1933</v>
      </c>
      <c r="O255">
        <v>253</v>
      </c>
      <c r="P255">
        <v>1939</v>
      </c>
      <c r="Q255">
        <f t="shared" si="22"/>
        <v>0.39043209876543211</v>
      </c>
      <c r="R255" t="e">
        <f t="shared" si="23"/>
        <v>#N/A</v>
      </c>
      <c r="T255" t="e">
        <f t="shared" si="24"/>
        <v>#N/A</v>
      </c>
      <c r="U255">
        <f t="shared" si="25"/>
        <v>1939</v>
      </c>
      <c r="W255" t="e">
        <v>#N/A</v>
      </c>
      <c r="X255">
        <v>1938</v>
      </c>
    </row>
    <row r="256" spans="8:24">
      <c r="H256">
        <v>254</v>
      </c>
      <c r="I256">
        <f>'Lab test'!AZ257</f>
        <v>1933</v>
      </c>
      <c r="J256">
        <f>IF('Lab test'!AU257&gt;0,'Lab test'!AU257,NA())</f>
        <v>0.31406491499227207</v>
      </c>
      <c r="K256">
        <f>IF('Lab test'!AT257&gt;0,'Lab test'!AT257,NA())</f>
        <v>0.25205818360552606</v>
      </c>
      <c r="L256">
        <f t="shared" si="20"/>
        <v>1</v>
      </c>
      <c r="M256">
        <f t="shared" si="21"/>
        <v>1933</v>
      </c>
      <c r="O256">
        <v>254</v>
      </c>
      <c r="P256">
        <v>1939</v>
      </c>
      <c r="Q256">
        <f t="shared" si="22"/>
        <v>0.39197530864197533</v>
      </c>
      <c r="R256" t="e">
        <f t="shared" si="23"/>
        <v>#N/A</v>
      </c>
      <c r="T256" t="e">
        <f t="shared" si="24"/>
        <v>#N/A</v>
      </c>
      <c r="U256">
        <f t="shared" si="25"/>
        <v>1939</v>
      </c>
      <c r="W256" t="e">
        <v>#N/A</v>
      </c>
      <c r="X256">
        <v>1938</v>
      </c>
    </row>
    <row r="257" spans="8:24">
      <c r="H257">
        <v>255</v>
      </c>
      <c r="I257">
        <f>'Lab test'!AZ258</f>
        <v>1933</v>
      </c>
      <c r="J257">
        <f>IF('Lab test'!AU258&gt;0,'Lab test'!AU258,NA())</f>
        <v>0.67334167709637049</v>
      </c>
      <c r="K257">
        <f>IF('Lab test'!AT258&gt;0,'Lab test'!AT258,NA())</f>
        <v>0.22171387824667943</v>
      </c>
      <c r="L257">
        <f t="shared" si="20"/>
        <v>1</v>
      </c>
      <c r="M257">
        <f t="shared" si="21"/>
        <v>1933</v>
      </c>
      <c r="O257">
        <v>255</v>
      </c>
      <c r="P257">
        <v>1939</v>
      </c>
      <c r="Q257">
        <f t="shared" si="22"/>
        <v>0.39351851851851855</v>
      </c>
      <c r="R257" t="e">
        <f t="shared" si="23"/>
        <v>#N/A</v>
      </c>
      <c r="T257" t="e">
        <f t="shared" si="24"/>
        <v>#N/A</v>
      </c>
      <c r="U257">
        <f t="shared" si="25"/>
        <v>1939</v>
      </c>
      <c r="W257" t="e">
        <v>#N/A</v>
      </c>
      <c r="X257">
        <v>1938</v>
      </c>
    </row>
    <row r="258" spans="8:24">
      <c r="H258">
        <v>256</v>
      </c>
      <c r="I258">
        <f>'Lab test'!AZ259</f>
        <v>1933</v>
      </c>
      <c r="J258">
        <f>IF('Lab test'!AU259&gt;0,'Lab test'!AU259,NA())</f>
        <v>0.6707317073170731</v>
      </c>
      <c r="K258">
        <f>IF('Lab test'!AT259&gt;0,'Lab test'!AT259,NA())</f>
        <v>0.22695125576955136</v>
      </c>
      <c r="L258">
        <f t="shared" si="20"/>
        <v>1</v>
      </c>
      <c r="M258">
        <f t="shared" si="21"/>
        <v>1933</v>
      </c>
      <c r="O258">
        <v>256</v>
      </c>
      <c r="P258">
        <v>1939</v>
      </c>
      <c r="Q258">
        <f t="shared" si="22"/>
        <v>0.39506172839506171</v>
      </c>
      <c r="R258" t="e">
        <f t="shared" si="23"/>
        <v>#N/A</v>
      </c>
      <c r="T258" t="e">
        <f t="shared" si="24"/>
        <v>#N/A</v>
      </c>
      <c r="U258">
        <f t="shared" si="25"/>
        <v>1939</v>
      </c>
      <c r="W258" t="e">
        <v>#N/A</v>
      </c>
      <c r="X258">
        <v>1938</v>
      </c>
    </row>
    <row r="259" spans="8:24">
      <c r="H259">
        <v>257</v>
      </c>
      <c r="I259">
        <f>'Lab test'!AZ260</f>
        <v>1933</v>
      </c>
      <c r="J259">
        <f>IF('Lab test'!AU260&gt;0,'Lab test'!AU260,NA())</f>
        <v>0.23117408906882592</v>
      </c>
      <c r="K259">
        <f>IF('Lab test'!AT260&gt;0,'Lab test'!AT260,NA())</f>
        <v>0.21035603896323504</v>
      </c>
      <c r="L259">
        <f t="shared" si="20"/>
        <v>1</v>
      </c>
      <c r="M259">
        <f t="shared" si="21"/>
        <v>1933</v>
      </c>
      <c r="O259">
        <v>257</v>
      </c>
      <c r="P259">
        <v>1939</v>
      </c>
      <c r="Q259">
        <f t="shared" si="22"/>
        <v>0.39660493827160492</v>
      </c>
      <c r="R259" t="e">
        <f t="shared" si="23"/>
        <v>#N/A</v>
      </c>
      <c r="T259" t="e">
        <f t="shared" si="24"/>
        <v>#N/A</v>
      </c>
      <c r="U259">
        <f t="shared" si="25"/>
        <v>1939</v>
      </c>
      <c r="W259" t="e">
        <v>#N/A</v>
      </c>
      <c r="X259">
        <v>1938</v>
      </c>
    </row>
    <row r="260" spans="8:24">
      <c r="H260">
        <v>258</v>
      </c>
      <c r="I260">
        <f>'Lab test'!AZ261</f>
        <v>1933</v>
      </c>
      <c r="J260">
        <f>IF('Lab test'!AU261&gt;0,'Lab test'!AU261,NA())</f>
        <v>0.23238866396761132</v>
      </c>
      <c r="K260">
        <f>IF('Lab test'!AT261&gt;0,'Lab test'!AT261,NA())</f>
        <v>0.20731493830036216</v>
      </c>
      <c r="L260">
        <f t="shared" ref="L260:L323" si="26">IF(OR(ISNUMBER(J260),ISNUMBER(K260)),1,NA())</f>
        <v>1</v>
      </c>
      <c r="M260">
        <f t="shared" ref="M260:M323" si="27">IF(ISNUMBER(L260),I260,NA())</f>
        <v>1933</v>
      </c>
      <c r="O260">
        <v>258</v>
      </c>
      <c r="P260">
        <v>1939</v>
      </c>
      <c r="Q260">
        <f t="shared" ref="Q260:Q323" si="28">O260/COUNT($O$3:$O$650)</f>
        <v>0.39814814814814814</v>
      </c>
      <c r="R260" t="e">
        <f t="shared" ref="R260:R323" si="29">IF(P260=P261,NA(),Q260)</f>
        <v>#N/A</v>
      </c>
      <c r="T260" t="e">
        <f t="shared" ref="T260:T323" si="30">R260</f>
        <v>#N/A</v>
      </c>
      <c r="U260">
        <f t="shared" ref="U260:U323" si="31">P260</f>
        <v>1939</v>
      </c>
      <c r="W260" t="e">
        <v>#N/A</v>
      </c>
      <c r="X260">
        <v>1938</v>
      </c>
    </row>
    <row r="261" spans="8:24">
      <c r="H261">
        <v>259</v>
      </c>
      <c r="I261">
        <f>'Lab test'!AZ262</f>
        <v>1933</v>
      </c>
      <c r="J261">
        <f>IF('Lab test'!AU262&gt;0,'Lab test'!AU262,NA())</f>
        <v>0.15355285961871751</v>
      </c>
      <c r="K261">
        <f>IF('Lab test'!AT262&gt;0,'Lab test'!AT262,NA())</f>
        <v>0.20164080598741679</v>
      </c>
      <c r="L261">
        <f t="shared" si="26"/>
        <v>1</v>
      </c>
      <c r="M261">
        <f t="shared" si="27"/>
        <v>1933</v>
      </c>
      <c r="O261">
        <v>259</v>
      </c>
      <c r="P261">
        <v>1939</v>
      </c>
      <c r="Q261">
        <f t="shared" si="28"/>
        <v>0.39969135802469136</v>
      </c>
      <c r="R261" t="e">
        <f t="shared" si="29"/>
        <v>#N/A</v>
      </c>
      <c r="T261" t="e">
        <f t="shared" si="30"/>
        <v>#N/A</v>
      </c>
      <c r="U261">
        <f t="shared" si="31"/>
        <v>1939</v>
      </c>
      <c r="W261" t="e">
        <v>#N/A</v>
      </c>
      <c r="X261">
        <v>1938</v>
      </c>
    </row>
    <row r="262" spans="8:24">
      <c r="H262">
        <v>260</v>
      </c>
      <c r="I262">
        <f>'Lab test'!AZ263</f>
        <v>1933</v>
      </c>
      <c r="J262">
        <f>IF('Lab test'!AU263&gt;0,'Lab test'!AU263,NA())</f>
        <v>0.16800785083415112</v>
      </c>
      <c r="K262">
        <f>IF('Lab test'!AT263&gt;0,'Lab test'!AT263,NA())</f>
        <v>0.199766118155801</v>
      </c>
      <c r="L262">
        <f t="shared" si="26"/>
        <v>1</v>
      </c>
      <c r="M262">
        <f t="shared" si="27"/>
        <v>1933</v>
      </c>
      <c r="O262">
        <v>260</v>
      </c>
      <c r="P262">
        <v>1939</v>
      </c>
      <c r="Q262">
        <f t="shared" si="28"/>
        <v>0.40123456790123457</v>
      </c>
      <c r="R262" t="e">
        <f t="shared" si="29"/>
        <v>#N/A</v>
      </c>
      <c r="T262" t="e">
        <f t="shared" si="30"/>
        <v>#N/A</v>
      </c>
      <c r="U262">
        <f t="shared" si="31"/>
        <v>1939</v>
      </c>
      <c r="W262" t="e">
        <v>#N/A</v>
      </c>
      <c r="X262">
        <v>1938</v>
      </c>
    </row>
    <row r="263" spans="8:24">
      <c r="H263">
        <v>261</v>
      </c>
      <c r="I263">
        <f>'Lab test'!AZ264</f>
        <v>1933</v>
      </c>
      <c r="J263">
        <f>IF('Lab test'!AU264&gt;0,'Lab test'!AU264,NA())</f>
        <v>0.13135459425323651</v>
      </c>
      <c r="K263">
        <f>IF('Lab test'!AT264&gt;0,'Lab test'!AT264,NA())</f>
        <v>0.22244168423990465</v>
      </c>
      <c r="L263">
        <f t="shared" si="26"/>
        <v>1</v>
      </c>
      <c r="M263">
        <f t="shared" si="27"/>
        <v>1933</v>
      </c>
      <c r="O263">
        <v>261</v>
      </c>
      <c r="P263">
        <v>1939</v>
      </c>
      <c r="Q263">
        <f t="shared" si="28"/>
        <v>0.40277777777777779</v>
      </c>
      <c r="R263" t="e">
        <f t="shared" si="29"/>
        <v>#N/A</v>
      </c>
      <c r="T263" t="e">
        <f t="shared" si="30"/>
        <v>#N/A</v>
      </c>
      <c r="U263">
        <f t="shared" si="31"/>
        <v>1939</v>
      </c>
      <c r="W263" t="e">
        <v>#N/A</v>
      </c>
      <c r="X263">
        <v>1938</v>
      </c>
    </row>
    <row r="264" spans="8:24">
      <c r="H264">
        <v>262</v>
      </c>
      <c r="I264">
        <f>'Lab test'!AZ265</f>
        <v>1933</v>
      </c>
      <c r="J264">
        <f>IF('Lab test'!AU265&gt;0,'Lab test'!AU265,NA())</f>
        <v>8.4590163934426227E-2</v>
      </c>
      <c r="K264">
        <f>IF('Lab test'!AT265&gt;0,'Lab test'!AT265,NA())</f>
        <v>0.21103265364353677</v>
      </c>
      <c r="L264">
        <f t="shared" si="26"/>
        <v>1</v>
      </c>
      <c r="M264">
        <f t="shared" si="27"/>
        <v>1933</v>
      </c>
      <c r="O264">
        <v>262</v>
      </c>
      <c r="P264">
        <v>1939</v>
      </c>
      <c r="Q264">
        <f t="shared" si="28"/>
        <v>0.40432098765432101</v>
      </c>
      <c r="R264" t="e">
        <f t="shared" si="29"/>
        <v>#N/A</v>
      </c>
      <c r="T264" t="e">
        <f t="shared" si="30"/>
        <v>#N/A</v>
      </c>
      <c r="U264">
        <f t="shared" si="31"/>
        <v>1939</v>
      </c>
      <c r="W264" t="e">
        <v>#N/A</v>
      </c>
      <c r="X264">
        <v>1938</v>
      </c>
    </row>
    <row r="265" spans="8:24">
      <c r="H265">
        <v>263</v>
      </c>
      <c r="I265">
        <f>'Lab test'!AZ266</f>
        <v>1987</v>
      </c>
      <c r="J265">
        <f>IF('Lab test'!AU266&gt;0,'Lab test'!AU266,NA())</f>
        <v>0.71045576407506705</v>
      </c>
      <c r="K265">
        <f>IF('Lab test'!AT266&gt;0,'Lab test'!AT266,NA())</f>
        <v>0.69696291321268566</v>
      </c>
      <c r="L265">
        <f t="shared" si="26"/>
        <v>1</v>
      </c>
      <c r="M265">
        <f t="shared" si="27"/>
        <v>1987</v>
      </c>
      <c r="O265">
        <v>263</v>
      </c>
      <c r="P265">
        <v>1939</v>
      </c>
      <c r="Q265">
        <f t="shared" si="28"/>
        <v>0.40586419753086422</v>
      </c>
      <c r="R265" t="e">
        <f t="shared" si="29"/>
        <v>#N/A</v>
      </c>
      <c r="T265" t="e">
        <f t="shared" si="30"/>
        <v>#N/A</v>
      </c>
      <c r="U265">
        <f t="shared" si="31"/>
        <v>1939</v>
      </c>
      <c r="W265" t="e">
        <v>#N/A</v>
      </c>
      <c r="X265">
        <v>1938</v>
      </c>
    </row>
    <row r="266" spans="8:24">
      <c r="H266">
        <v>264</v>
      </c>
      <c r="I266">
        <f>'Lab test'!AZ267</f>
        <v>1987</v>
      </c>
      <c r="J266">
        <f>IF('Lab test'!AU267&gt;0,'Lab test'!AU267,NA())</f>
        <v>0.54358974358974355</v>
      </c>
      <c r="K266">
        <f>IF('Lab test'!AT267&gt;0,'Lab test'!AT267,NA())</f>
        <v>0.55757033057014849</v>
      </c>
      <c r="L266">
        <f t="shared" si="26"/>
        <v>1</v>
      </c>
      <c r="M266">
        <f t="shared" si="27"/>
        <v>1987</v>
      </c>
      <c r="O266">
        <v>264</v>
      </c>
      <c r="P266">
        <v>1939</v>
      </c>
      <c r="Q266">
        <f t="shared" si="28"/>
        <v>0.40740740740740738</v>
      </c>
      <c r="R266" t="e">
        <f t="shared" si="29"/>
        <v>#N/A</v>
      </c>
      <c r="T266" t="e">
        <f t="shared" si="30"/>
        <v>#N/A</v>
      </c>
      <c r="U266">
        <f t="shared" si="31"/>
        <v>1939</v>
      </c>
      <c r="W266" t="e">
        <v>#N/A</v>
      </c>
      <c r="X266">
        <v>1938</v>
      </c>
    </row>
    <row r="267" spans="8:24">
      <c r="H267">
        <v>265</v>
      </c>
      <c r="I267">
        <f>'Lab test'!AZ268</f>
        <v>1987</v>
      </c>
      <c r="J267">
        <f>IF('Lab test'!AU268&gt;0,'Lab test'!AU268,NA())</f>
        <v>0.55024271844660189</v>
      </c>
      <c r="K267">
        <f>IF('Lab test'!AT268&gt;0,'Lab test'!AT268,NA())</f>
        <v>0.59623204688798426</v>
      </c>
      <c r="L267">
        <f t="shared" si="26"/>
        <v>1</v>
      </c>
      <c r="M267">
        <f t="shared" si="27"/>
        <v>1987</v>
      </c>
      <c r="O267">
        <v>265</v>
      </c>
      <c r="P267">
        <v>1939</v>
      </c>
      <c r="Q267">
        <f t="shared" si="28"/>
        <v>0.4089506172839506</v>
      </c>
      <c r="R267" t="e">
        <f t="shared" si="29"/>
        <v>#N/A</v>
      </c>
      <c r="T267" t="e">
        <f t="shared" si="30"/>
        <v>#N/A</v>
      </c>
      <c r="U267">
        <f t="shared" si="31"/>
        <v>1939</v>
      </c>
      <c r="W267" t="e">
        <v>#N/A</v>
      </c>
      <c r="X267">
        <v>1938</v>
      </c>
    </row>
    <row r="268" spans="8:24">
      <c r="H268">
        <v>266</v>
      </c>
      <c r="I268">
        <f>'Lab test'!AZ269</f>
        <v>1987</v>
      </c>
      <c r="J268">
        <f>IF('Lab test'!AU269&gt;0,'Lab test'!AU269,NA())</f>
        <v>0.56966019417475722</v>
      </c>
      <c r="K268">
        <f>IF('Lab test'!AT269&gt;0,'Lab test'!AT269,NA())</f>
        <v>0.61727243672082011</v>
      </c>
      <c r="L268">
        <f t="shared" si="26"/>
        <v>1</v>
      </c>
      <c r="M268">
        <f t="shared" si="27"/>
        <v>1987</v>
      </c>
      <c r="O268">
        <v>266</v>
      </c>
      <c r="P268">
        <v>1939</v>
      </c>
      <c r="Q268">
        <f t="shared" si="28"/>
        <v>0.41049382716049382</v>
      </c>
      <c r="R268" t="e">
        <f t="shared" si="29"/>
        <v>#N/A</v>
      </c>
      <c r="T268" t="e">
        <f t="shared" si="30"/>
        <v>#N/A</v>
      </c>
      <c r="U268">
        <f t="shared" si="31"/>
        <v>1939</v>
      </c>
      <c r="W268" t="e">
        <v>#N/A</v>
      </c>
      <c r="X268">
        <v>1938</v>
      </c>
    </row>
    <row r="269" spans="8:24">
      <c r="H269">
        <v>267</v>
      </c>
      <c r="I269">
        <f>'Lab test'!AZ270</f>
        <v>1928</v>
      </c>
      <c r="J269">
        <f>IF('Lab test'!AU270&gt;0,'Lab test'!AU270,NA())</f>
        <v>0.97750000000000004</v>
      </c>
      <c r="K269">
        <f>IF('Lab test'!AT270&gt;0,'Lab test'!AT270,NA())</f>
        <v>0.48262937231742575</v>
      </c>
      <c r="L269">
        <f t="shared" si="26"/>
        <v>1</v>
      </c>
      <c r="M269">
        <f t="shared" si="27"/>
        <v>1928</v>
      </c>
      <c r="O269">
        <v>267</v>
      </c>
      <c r="P269">
        <v>1939</v>
      </c>
      <c r="Q269">
        <f t="shared" si="28"/>
        <v>0.41203703703703703</v>
      </c>
      <c r="R269" t="e">
        <f t="shared" si="29"/>
        <v>#N/A</v>
      </c>
      <c r="T269" t="e">
        <f t="shared" si="30"/>
        <v>#N/A</v>
      </c>
      <c r="U269">
        <f t="shared" si="31"/>
        <v>1939</v>
      </c>
      <c r="W269" t="e">
        <v>#N/A</v>
      </c>
      <c r="X269">
        <v>1938</v>
      </c>
    </row>
    <row r="270" spans="8:24">
      <c r="H270">
        <v>268</v>
      </c>
      <c r="I270">
        <f>'Lab test'!AZ271</f>
        <v>1928</v>
      </c>
      <c r="J270">
        <f>IF('Lab test'!AU271&gt;0,'Lab test'!AU271,NA())</f>
        <v>1.0875000000000001</v>
      </c>
      <c r="K270">
        <f>IF('Lab test'!AT271&gt;0,'Lab test'!AT271,NA())</f>
        <v>0.54874149847113507</v>
      </c>
      <c r="L270">
        <f t="shared" si="26"/>
        <v>1</v>
      </c>
      <c r="M270">
        <f t="shared" si="27"/>
        <v>1928</v>
      </c>
      <c r="O270">
        <v>268</v>
      </c>
      <c r="P270">
        <v>1939</v>
      </c>
      <c r="Q270">
        <f t="shared" si="28"/>
        <v>0.41358024691358025</v>
      </c>
      <c r="R270" t="e">
        <f t="shared" si="29"/>
        <v>#N/A</v>
      </c>
      <c r="T270" t="e">
        <f t="shared" si="30"/>
        <v>#N/A</v>
      </c>
      <c r="U270">
        <f t="shared" si="31"/>
        <v>1939</v>
      </c>
      <c r="W270" t="e">
        <v>#N/A</v>
      </c>
      <c r="X270">
        <v>1938</v>
      </c>
    </row>
    <row r="271" spans="8:24">
      <c r="H271">
        <v>269</v>
      </c>
      <c r="I271">
        <f>'Lab test'!AZ272</f>
        <v>1928</v>
      </c>
      <c r="J271">
        <f>IF('Lab test'!AU272&gt;0,'Lab test'!AU272,NA())</f>
        <v>1.0875000000000001</v>
      </c>
      <c r="K271">
        <f>IF('Lab test'!AT272&gt;0,'Lab test'!AT272,NA())</f>
        <v>0.54277691696601416</v>
      </c>
      <c r="L271">
        <f t="shared" si="26"/>
        <v>1</v>
      </c>
      <c r="M271">
        <f t="shared" si="27"/>
        <v>1928</v>
      </c>
      <c r="O271">
        <v>269</v>
      </c>
      <c r="P271">
        <v>1939</v>
      </c>
      <c r="Q271">
        <f t="shared" si="28"/>
        <v>0.41512345679012347</v>
      </c>
      <c r="R271" t="e">
        <f t="shared" si="29"/>
        <v>#N/A</v>
      </c>
      <c r="T271" t="e">
        <f t="shared" si="30"/>
        <v>#N/A</v>
      </c>
      <c r="U271">
        <f t="shared" si="31"/>
        <v>1939</v>
      </c>
      <c r="W271" t="e">
        <v>#N/A</v>
      </c>
      <c r="X271">
        <v>1938</v>
      </c>
    </row>
    <row r="272" spans="8:24">
      <c r="H272">
        <v>270</v>
      </c>
      <c r="I272">
        <f>'Lab test'!AZ273</f>
        <v>1928</v>
      </c>
      <c r="J272">
        <f>IF('Lab test'!AU273&gt;0,'Lab test'!AU273,NA())</f>
        <v>0.75625000000000009</v>
      </c>
      <c r="K272">
        <f>IF('Lab test'!AT273&gt;0,'Lab test'!AT273,NA())</f>
        <v>0.55828368256510974</v>
      </c>
      <c r="L272">
        <f t="shared" si="26"/>
        <v>1</v>
      </c>
      <c r="M272">
        <f t="shared" si="27"/>
        <v>1928</v>
      </c>
      <c r="O272">
        <v>270</v>
      </c>
      <c r="P272">
        <v>1939</v>
      </c>
      <c r="Q272">
        <f t="shared" si="28"/>
        <v>0.41666666666666669</v>
      </c>
      <c r="R272" t="e">
        <f t="shared" si="29"/>
        <v>#N/A</v>
      </c>
      <c r="T272" t="e">
        <f t="shared" si="30"/>
        <v>#N/A</v>
      </c>
      <c r="U272">
        <f t="shared" si="31"/>
        <v>1939</v>
      </c>
      <c r="W272" t="e">
        <v>#N/A</v>
      </c>
      <c r="X272">
        <v>1938</v>
      </c>
    </row>
    <row r="273" spans="8:24">
      <c r="H273">
        <v>271</v>
      </c>
      <c r="I273">
        <f>'Lab test'!AZ274</f>
        <v>1928</v>
      </c>
      <c r="J273">
        <f>IF('Lab test'!AU274&gt;0,'Lab test'!AU274,NA())</f>
        <v>0.70250000000000012</v>
      </c>
      <c r="K273">
        <f>IF('Lab test'!AT274&gt;0,'Lab test'!AT274,NA())</f>
        <v>0.53229653114090503</v>
      </c>
      <c r="L273">
        <f t="shared" si="26"/>
        <v>1</v>
      </c>
      <c r="M273">
        <f t="shared" si="27"/>
        <v>1928</v>
      </c>
      <c r="O273">
        <v>271</v>
      </c>
      <c r="P273">
        <v>1939</v>
      </c>
      <c r="Q273">
        <f t="shared" si="28"/>
        <v>0.4182098765432099</v>
      </c>
      <c r="R273" t="e">
        <f t="shared" si="29"/>
        <v>#N/A</v>
      </c>
      <c r="T273" t="e">
        <f t="shared" si="30"/>
        <v>#N/A</v>
      </c>
      <c r="U273">
        <f t="shared" si="31"/>
        <v>1939</v>
      </c>
      <c r="W273" t="e">
        <v>#N/A</v>
      </c>
      <c r="X273">
        <v>1938</v>
      </c>
    </row>
    <row r="274" spans="8:24">
      <c r="H274">
        <v>272</v>
      </c>
      <c r="I274">
        <f>'Lab test'!AZ275</f>
        <v>1928</v>
      </c>
      <c r="J274">
        <f>IF('Lab test'!AU275&gt;0,'Lab test'!AU275,NA())</f>
        <v>0.42125000000000007</v>
      </c>
      <c r="K274">
        <f>IF('Lab test'!AT275&gt;0,'Lab test'!AT275,NA())</f>
        <v>0.50371933469870411</v>
      </c>
      <c r="L274">
        <f t="shared" si="26"/>
        <v>1</v>
      </c>
      <c r="M274">
        <f t="shared" si="27"/>
        <v>1928</v>
      </c>
      <c r="O274">
        <v>272</v>
      </c>
      <c r="P274">
        <v>1939</v>
      </c>
      <c r="Q274">
        <f t="shared" si="28"/>
        <v>0.41975308641975306</v>
      </c>
      <c r="R274" t="e">
        <f t="shared" si="29"/>
        <v>#N/A</v>
      </c>
      <c r="T274" t="e">
        <f t="shared" si="30"/>
        <v>#N/A</v>
      </c>
      <c r="U274">
        <f t="shared" si="31"/>
        <v>1939</v>
      </c>
      <c r="W274" t="e">
        <v>#N/A</v>
      </c>
      <c r="X274">
        <v>1938</v>
      </c>
    </row>
    <row r="275" spans="8:24">
      <c r="H275">
        <v>273</v>
      </c>
      <c r="I275">
        <f>'Lab test'!AZ276</f>
        <v>1928</v>
      </c>
      <c r="J275">
        <f>IF('Lab test'!AU276&gt;0,'Lab test'!AU276,NA())</f>
        <v>0.4875000000000001</v>
      </c>
      <c r="K275">
        <f>IF('Lab test'!AT276&gt;0,'Lab test'!AT276,NA())</f>
        <v>0.60499645171607908</v>
      </c>
      <c r="L275">
        <f t="shared" si="26"/>
        <v>1</v>
      </c>
      <c r="M275">
        <f t="shared" si="27"/>
        <v>1928</v>
      </c>
      <c r="O275">
        <v>273</v>
      </c>
      <c r="P275">
        <v>1939</v>
      </c>
      <c r="Q275">
        <f t="shared" si="28"/>
        <v>0.42129629629629628</v>
      </c>
      <c r="R275" t="e">
        <f t="shared" si="29"/>
        <v>#N/A</v>
      </c>
      <c r="T275" t="e">
        <f t="shared" si="30"/>
        <v>#N/A</v>
      </c>
      <c r="U275">
        <f t="shared" si="31"/>
        <v>1939</v>
      </c>
      <c r="W275" t="e">
        <v>#N/A</v>
      </c>
      <c r="X275">
        <v>1938</v>
      </c>
    </row>
    <row r="276" spans="8:24">
      <c r="H276">
        <v>274</v>
      </c>
      <c r="I276">
        <f>'Lab test'!AZ277</f>
        <v>1928</v>
      </c>
      <c r="J276">
        <f>IF('Lab test'!AU277&gt;0,'Lab test'!AU277,NA())</f>
        <v>0.24375000000000005</v>
      </c>
      <c r="K276">
        <f>IF('Lab test'!AT277&gt;0,'Lab test'!AT277,NA())</f>
        <v>0.53809780561285891</v>
      </c>
      <c r="L276">
        <f t="shared" si="26"/>
        <v>1</v>
      </c>
      <c r="M276">
        <f t="shared" si="27"/>
        <v>1928</v>
      </c>
      <c r="O276">
        <v>274</v>
      </c>
      <c r="P276">
        <v>1939</v>
      </c>
      <c r="Q276">
        <f t="shared" si="28"/>
        <v>0.4228395061728395</v>
      </c>
      <c r="R276" t="e">
        <f t="shared" si="29"/>
        <v>#N/A</v>
      </c>
      <c r="T276" t="e">
        <f t="shared" si="30"/>
        <v>#N/A</v>
      </c>
      <c r="U276">
        <f t="shared" si="31"/>
        <v>1939</v>
      </c>
      <c r="W276" t="e">
        <v>#N/A</v>
      </c>
      <c r="X276">
        <v>1938</v>
      </c>
    </row>
    <row r="277" spans="8:24">
      <c r="H277">
        <v>275</v>
      </c>
      <c r="I277">
        <f>'Lab test'!AZ278</f>
        <v>1928</v>
      </c>
      <c r="J277">
        <f>IF('Lab test'!AU278&gt;0,'Lab test'!AU278,NA())</f>
        <v>0.16900000000000001</v>
      </c>
      <c r="K277">
        <f>IF('Lab test'!AT278&gt;0,'Lab test'!AT278,NA())</f>
        <v>0.39592284799378785</v>
      </c>
      <c r="L277">
        <f t="shared" si="26"/>
        <v>1</v>
      </c>
      <c r="M277">
        <f t="shared" si="27"/>
        <v>1928</v>
      </c>
      <c r="O277">
        <v>275</v>
      </c>
      <c r="P277">
        <v>1939</v>
      </c>
      <c r="Q277">
        <f t="shared" si="28"/>
        <v>0.42438271604938271</v>
      </c>
      <c r="R277" t="e">
        <f t="shared" si="29"/>
        <v>#N/A</v>
      </c>
      <c r="T277" t="e">
        <f t="shared" si="30"/>
        <v>#N/A</v>
      </c>
      <c r="U277">
        <f t="shared" si="31"/>
        <v>1939</v>
      </c>
      <c r="W277" t="e">
        <v>#N/A</v>
      </c>
      <c r="X277">
        <v>1938</v>
      </c>
    </row>
    <row r="278" spans="8:24">
      <c r="H278">
        <v>276</v>
      </c>
      <c r="I278">
        <f>'Lab test'!AZ279</f>
        <v>2016</v>
      </c>
      <c r="J278">
        <f>IF('Lab test'!AU279&gt;0,'Lab test'!AU279,NA())</f>
        <v>1.0342644271697803</v>
      </c>
      <c r="K278">
        <f>IF('Lab test'!AT279&gt;0,'Lab test'!AT279,NA())</f>
        <v>6.5880440172496016E-2</v>
      </c>
      <c r="L278">
        <f t="shared" si="26"/>
        <v>1</v>
      </c>
      <c r="M278">
        <f t="shared" si="27"/>
        <v>2016</v>
      </c>
      <c r="O278">
        <v>276</v>
      </c>
      <c r="P278">
        <v>1939</v>
      </c>
      <c r="Q278">
        <f t="shared" si="28"/>
        <v>0.42592592592592593</v>
      </c>
      <c r="R278" t="e">
        <f t="shared" si="29"/>
        <v>#N/A</v>
      </c>
      <c r="T278" t="e">
        <f t="shared" si="30"/>
        <v>#N/A</v>
      </c>
      <c r="U278">
        <f t="shared" si="31"/>
        <v>1939</v>
      </c>
      <c r="W278" t="e">
        <v>#N/A</v>
      </c>
      <c r="X278">
        <v>1938</v>
      </c>
    </row>
    <row r="279" spans="8:24">
      <c r="H279">
        <v>277</v>
      </c>
      <c r="I279">
        <f>'Lab test'!AZ280</f>
        <v>2016</v>
      </c>
      <c r="J279">
        <f>IF('Lab test'!AU280&gt;0,'Lab test'!AU280,NA())</f>
        <v>1.024778471330511</v>
      </c>
      <c r="K279">
        <f>IF('Lab test'!AT280&gt;0,'Lab test'!AT280,NA())</f>
        <v>9.7192580415400728E-2</v>
      </c>
      <c r="L279">
        <f t="shared" si="26"/>
        <v>1</v>
      </c>
      <c r="M279">
        <f t="shared" si="27"/>
        <v>2016</v>
      </c>
      <c r="O279">
        <v>277</v>
      </c>
      <c r="P279">
        <v>1939</v>
      </c>
      <c r="Q279">
        <f t="shared" si="28"/>
        <v>0.42746913580246915</v>
      </c>
      <c r="R279" t="e">
        <f t="shared" si="29"/>
        <v>#N/A</v>
      </c>
      <c r="T279" t="e">
        <f t="shared" si="30"/>
        <v>#N/A</v>
      </c>
      <c r="U279">
        <f t="shared" si="31"/>
        <v>1939</v>
      </c>
      <c r="W279" t="e">
        <v>#N/A</v>
      </c>
      <c r="X279">
        <v>1938</v>
      </c>
    </row>
    <row r="280" spans="8:24">
      <c r="H280">
        <v>278</v>
      </c>
      <c r="I280">
        <f>'Lab test'!AZ281</f>
        <v>2016</v>
      </c>
      <c r="J280">
        <f>IF('Lab test'!AU281&gt;0,'Lab test'!AU281,NA())</f>
        <v>0.84554380320268663</v>
      </c>
      <c r="K280">
        <f>IF('Lab test'!AT281&gt;0,'Lab test'!AT281,NA())</f>
        <v>0.1079833421677923</v>
      </c>
      <c r="L280">
        <f t="shared" si="26"/>
        <v>1</v>
      </c>
      <c r="M280">
        <f t="shared" si="27"/>
        <v>2016</v>
      </c>
      <c r="O280">
        <v>278</v>
      </c>
      <c r="P280">
        <v>1939</v>
      </c>
      <c r="Q280">
        <f t="shared" si="28"/>
        <v>0.42901234567901236</v>
      </c>
      <c r="R280" t="e">
        <f t="shared" si="29"/>
        <v>#N/A</v>
      </c>
      <c r="T280" t="e">
        <f t="shared" si="30"/>
        <v>#N/A</v>
      </c>
      <c r="U280">
        <f t="shared" si="31"/>
        <v>1939</v>
      </c>
      <c r="W280" t="e">
        <v>#N/A</v>
      </c>
      <c r="X280">
        <v>1938</v>
      </c>
    </row>
    <row r="281" spans="8:24">
      <c r="H281">
        <v>279</v>
      </c>
      <c r="I281">
        <f>'Lab test'!AZ282</f>
        <v>2016</v>
      </c>
      <c r="J281">
        <f>IF('Lab test'!AU282&gt;0,'Lab test'!AU282,NA())</f>
        <v>0.83163899996276169</v>
      </c>
      <c r="K281">
        <f>IF('Lab test'!AT282&gt;0,'Lab test'!AT282,NA())</f>
        <v>0.1335404094760882</v>
      </c>
      <c r="L281">
        <f t="shared" si="26"/>
        <v>1</v>
      </c>
      <c r="M281">
        <f t="shared" si="27"/>
        <v>2016</v>
      </c>
      <c r="O281">
        <v>279</v>
      </c>
      <c r="P281">
        <v>1939</v>
      </c>
      <c r="Q281">
        <f t="shared" si="28"/>
        <v>0.43055555555555558</v>
      </c>
      <c r="R281" t="e">
        <f t="shared" si="29"/>
        <v>#N/A</v>
      </c>
      <c r="T281" t="e">
        <f t="shared" si="30"/>
        <v>#N/A</v>
      </c>
      <c r="U281">
        <f t="shared" si="31"/>
        <v>1939</v>
      </c>
      <c r="W281" t="e">
        <v>#N/A</v>
      </c>
      <c r="X281">
        <v>1939</v>
      </c>
    </row>
    <row r="282" spans="8:24">
      <c r="H282">
        <v>280</v>
      </c>
      <c r="I282">
        <f>'Lab test'!AZ283</f>
        <v>2016</v>
      </c>
      <c r="J282">
        <f>IF('Lab test'!AU283&gt;0,'Lab test'!AU283,NA())</f>
        <v>0.83813195359536996</v>
      </c>
      <c r="K282">
        <f>IF('Lab test'!AT283&gt;0,'Lab test'!AT283,NA())</f>
        <v>0.10703678411933691</v>
      </c>
      <c r="L282">
        <f t="shared" si="26"/>
        <v>1</v>
      </c>
      <c r="M282">
        <f t="shared" si="27"/>
        <v>2016</v>
      </c>
      <c r="O282">
        <v>280</v>
      </c>
      <c r="P282">
        <v>1939</v>
      </c>
      <c r="Q282">
        <f t="shared" si="28"/>
        <v>0.43209876543209874</v>
      </c>
      <c r="R282" t="e">
        <f t="shared" si="29"/>
        <v>#N/A</v>
      </c>
      <c r="T282" t="e">
        <f t="shared" si="30"/>
        <v>#N/A</v>
      </c>
      <c r="U282">
        <f t="shared" si="31"/>
        <v>1939</v>
      </c>
      <c r="W282" t="e">
        <v>#N/A</v>
      </c>
      <c r="X282">
        <v>1939</v>
      </c>
    </row>
    <row r="283" spans="8:24">
      <c r="H283">
        <v>281</v>
      </c>
      <c r="I283">
        <f>'Lab test'!AZ284</f>
        <v>2020</v>
      </c>
      <c r="J283">
        <f>IF('Lab test'!AU284&gt;0,'Lab test'!AU284,NA())</f>
        <v>1.1111413228196587</v>
      </c>
      <c r="K283">
        <f>IF('Lab test'!AT284&gt;0,'Lab test'!AT284,NA())</f>
        <v>0.13013613388687759</v>
      </c>
      <c r="L283">
        <f t="shared" si="26"/>
        <v>1</v>
      </c>
      <c r="M283">
        <f t="shared" si="27"/>
        <v>2020</v>
      </c>
      <c r="O283">
        <v>281</v>
      </c>
      <c r="P283">
        <v>1939</v>
      </c>
      <c r="Q283">
        <f t="shared" si="28"/>
        <v>0.43364197530864196</v>
      </c>
      <c r="R283" t="e">
        <f t="shared" si="29"/>
        <v>#N/A</v>
      </c>
      <c r="T283" t="e">
        <f t="shared" si="30"/>
        <v>#N/A</v>
      </c>
      <c r="U283">
        <f t="shared" si="31"/>
        <v>1939</v>
      </c>
      <c r="W283" t="e">
        <v>#N/A</v>
      </c>
      <c r="X283">
        <v>1939</v>
      </c>
    </row>
    <row r="284" spans="8:24">
      <c r="H284">
        <v>282</v>
      </c>
      <c r="I284">
        <f>'Lab test'!AZ285</f>
        <v>2020</v>
      </c>
      <c r="J284">
        <f>IF('Lab test'!AU285&gt;0,'Lab test'!AU285,NA())</f>
        <v>1.1230610952833175</v>
      </c>
      <c r="K284">
        <f>IF('Lab test'!AT285&gt;0,'Lab test'!AT285,NA())</f>
        <v>0.11044789816484829</v>
      </c>
      <c r="L284">
        <f t="shared" si="26"/>
        <v>1</v>
      </c>
      <c r="M284">
        <f t="shared" si="27"/>
        <v>2020</v>
      </c>
      <c r="O284">
        <v>282</v>
      </c>
      <c r="P284">
        <v>1939</v>
      </c>
      <c r="Q284">
        <f t="shared" si="28"/>
        <v>0.43518518518518517</v>
      </c>
      <c r="R284" t="e">
        <f t="shared" si="29"/>
        <v>#N/A</v>
      </c>
      <c r="T284" t="e">
        <f t="shared" si="30"/>
        <v>#N/A</v>
      </c>
      <c r="U284">
        <f t="shared" si="31"/>
        <v>1939</v>
      </c>
      <c r="W284" t="e">
        <v>#N/A</v>
      </c>
      <c r="X284">
        <v>1939</v>
      </c>
    </row>
    <row r="285" spans="8:24">
      <c r="H285">
        <v>283</v>
      </c>
      <c r="I285">
        <f>'Lab test'!AZ286</f>
        <v>2020</v>
      </c>
      <c r="J285">
        <f>IF('Lab test'!AU286&gt;0,'Lab test'!AU286,NA())</f>
        <v>1.1800406797454237</v>
      </c>
      <c r="K285">
        <f>IF('Lab test'!AT286&gt;0,'Lab test'!AT286,NA())</f>
        <v>9.2318763434484113E-2</v>
      </c>
      <c r="L285">
        <f t="shared" si="26"/>
        <v>1</v>
      </c>
      <c r="M285">
        <f t="shared" si="27"/>
        <v>2020</v>
      </c>
      <c r="O285">
        <v>283</v>
      </c>
      <c r="P285">
        <v>1939</v>
      </c>
      <c r="Q285">
        <f t="shared" si="28"/>
        <v>0.43672839506172839</v>
      </c>
      <c r="R285" t="e">
        <f t="shared" si="29"/>
        <v>#N/A</v>
      </c>
      <c r="T285" t="e">
        <f t="shared" si="30"/>
        <v>#N/A</v>
      </c>
      <c r="U285">
        <f t="shared" si="31"/>
        <v>1939</v>
      </c>
      <c r="W285" t="e">
        <v>#N/A</v>
      </c>
      <c r="X285">
        <v>1939</v>
      </c>
    </row>
    <row r="286" spans="8:24">
      <c r="H286">
        <v>284</v>
      </c>
      <c r="I286">
        <f>'Lab test'!AZ287</f>
        <v>2020</v>
      </c>
      <c r="J286">
        <f>IF('Lab test'!AU287&gt;0,'Lab test'!AU287,NA())</f>
        <v>1.143095430651031</v>
      </c>
      <c r="K286">
        <f>IF('Lab test'!AT287&gt;0,'Lab test'!AT287,NA())</f>
        <v>7.8409679859592532E-2</v>
      </c>
      <c r="L286">
        <f t="shared" si="26"/>
        <v>1</v>
      </c>
      <c r="M286">
        <f t="shared" si="27"/>
        <v>2020</v>
      </c>
      <c r="O286">
        <v>284</v>
      </c>
      <c r="P286">
        <v>1939</v>
      </c>
      <c r="Q286">
        <f t="shared" si="28"/>
        <v>0.43827160493827161</v>
      </c>
      <c r="R286" t="e">
        <f t="shared" si="29"/>
        <v>#N/A</v>
      </c>
      <c r="T286" t="e">
        <f t="shared" si="30"/>
        <v>#N/A</v>
      </c>
      <c r="U286">
        <f t="shared" si="31"/>
        <v>1939</v>
      </c>
      <c r="W286" t="e">
        <v>#N/A</v>
      </c>
      <c r="X286">
        <v>1939</v>
      </c>
    </row>
    <row r="287" spans="8:24">
      <c r="H287">
        <v>285</v>
      </c>
      <c r="I287">
        <f>'Lab test'!AZ288</f>
        <v>2020</v>
      </c>
      <c r="J287">
        <f>IF('Lab test'!AU288&gt;0,'Lab test'!AU288,NA())</f>
        <v>1.1419999999999999</v>
      </c>
      <c r="K287">
        <f>IF('Lab test'!AT288&gt;0,'Lab test'!AT288,NA())</f>
        <v>6.0569111778250508E-2</v>
      </c>
      <c r="L287">
        <f t="shared" si="26"/>
        <v>1</v>
      </c>
      <c r="M287">
        <f t="shared" si="27"/>
        <v>2020</v>
      </c>
      <c r="O287">
        <v>285</v>
      </c>
      <c r="P287">
        <v>1939</v>
      </c>
      <c r="Q287">
        <f t="shared" si="28"/>
        <v>0.43981481481481483</v>
      </c>
      <c r="R287" t="e">
        <f t="shared" si="29"/>
        <v>#N/A</v>
      </c>
      <c r="T287" t="e">
        <f t="shared" si="30"/>
        <v>#N/A</v>
      </c>
      <c r="U287">
        <f t="shared" si="31"/>
        <v>1939</v>
      </c>
      <c r="W287" t="e">
        <v>#N/A</v>
      </c>
      <c r="X287">
        <v>1939</v>
      </c>
    </row>
    <row r="288" spans="8:24">
      <c r="H288">
        <v>286</v>
      </c>
      <c r="I288">
        <f>'Lab test'!AZ289</f>
        <v>2020</v>
      </c>
      <c r="J288">
        <f>IF('Lab test'!AU289&gt;0,'Lab test'!AU289,NA())</f>
        <v>1.1741194104421684</v>
      </c>
      <c r="K288">
        <f>IF('Lab test'!AT289&gt;0,'Lab test'!AT289,NA())</f>
        <v>4.8771677430958567E-2</v>
      </c>
      <c r="L288">
        <f t="shared" si="26"/>
        <v>1</v>
      </c>
      <c r="M288">
        <f t="shared" si="27"/>
        <v>2020</v>
      </c>
      <c r="O288">
        <v>286</v>
      </c>
      <c r="P288">
        <v>1939</v>
      </c>
      <c r="Q288">
        <f t="shared" si="28"/>
        <v>0.44135802469135804</v>
      </c>
      <c r="R288" t="e">
        <f t="shared" si="29"/>
        <v>#N/A</v>
      </c>
      <c r="T288" t="e">
        <f t="shared" si="30"/>
        <v>#N/A</v>
      </c>
      <c r="U288">
        <f t="shared" si="31"/>
        <v>1939</v>
      </c>
      <c r="W288" t="e">
        <v>#N/A</v>
      </c>
      <c r="X288">
        <v>1939</v>
      </c>
    </row>
    <row r="289" spans="8:24">
      <c r="H289">
        <v>287</v>
      </c>
      <c r="I289">
        <f>'Lab test'!AZ290</f>
        <v>2016</v>
      </c>
      <c r="J289">
        <f>IF('Lab test'!AU290&gt;0,'Lab test'!AU290,NA())</f>
        <v>1.1052631578947369</v>
      </c>
      <c r="K289">
        <f>IF('Lab test'!AT290&gt;0,'Lab test'!AT290,NA())</f>
        <v>6.9210826691294761E-2</v>
      </c>
      <c r="L289">
        <f t="shared" si="26"/>
        <v>1</v>
      </c>
      <c r="M289">
        <f t="shared" si="27"/>
        <v>2016</v>
      </c>
      <c r="O289">
        <v>287</v>
      </c>
      <c r="P289">
        <v>1939</v>
      </c>
      <c r="Q289">
        <f t="shared" si="28"/>
        <v>0.44290123456790126</v>
      </c>
      <c r="R289" t="e">
        <f t="shared" si="29"/>
        <v>#N/A</v>
      </c>
      <c r="T289" t="e">
        <f t="shared" si="30"/>
        <v>#N/A</v>
      </c>
      <c r="U289">
        <f t="shared" si="31"/>
        <v>1939</v>
      </c>
      <c r="W289" t="e">
        <v>#N/A</v>
      </c>
      <c r="X289">
        <v>1939</v>
      </c>
    </row>
    <row r="290" spans="8:24">
      <c r="H290">
        <v>288</v>
      </c>
      <c r="I290">
        <f>'Lab test'!AZ291</f>
        <v>2016</v>
      </c>
      <c r="J290" t="e">
        <f>IF('Lab test'!AU291&gt;0,'Lab test'!AU291,NA())</f>
        <v>#N/A</v>
      </c>
      <c r="K290" t="e">
        <f>IF('Lab test'!AT291&gt;0,'Lab test'!AT291,NA())</f>
        <v>#N/A</v>
      </c>
      <c r="L290" t="e">
        <f t="shared" si="26"/>
        <v>#N/A</v>
      </c>
      <c r="M290" t="e">
        <f t="shared" si="27"/>
        <v>#N/A</v>
      </c>
      <c r="O290">
        <v>288</v>
      </c>
      <c r="P290">
        <v>1939</v>
      </c>
      <c r="Q290">
        <f t="shared" si="28"/>
        <v>0.44444444444444442</v>
      </c>
      <c r="R290" t="e">
        <f t="shared" si="29"/>
        <v>#N/A</v>
      </c>
      <c r="T290" t="e">
        <f t="shared" si="30"/>
        <v>#N/A</v>
      </c>
      <c r="U290">
        <f t="shared" si="31"/>
        <v>1939</v>
      </c>
      <c r="W290" t="e">
        <v>#N/A</v>
      </c>
      <c r="X290">
        <v>1939</v>
      </c>
    </row>
    <row r="291" spans="8:24">
      <c r="H291">
        <v>289</v>
      </c>
      <c r="I291">
        <f>'Lab test'!AZ292</f>
        <v>2016</v>
      </c>
      <c r="J291" t="e">
        <f>IF('Lab test'!AU292&gt;0,'Lab test'!AU292,NA())</f>
        <v>#N/A</v>
      </c>
      <c r="K291" t="e">
        <f>IF('Lab test'!AT292&gt;0,'Lab test'!AT292,NA())</f>
        <v>#N/A</v>
      </c>
      <c r="L291" t="e">
        <f t="shared" si="26"/>
        <v>#N/A</v>
      </c>
      <c r="M291" t="e">
        <f t="shared" si="27"/>
        <v>#N/A</v>
      </c>
      <c r="O291">
        <v>289</v>
      </c>
      <c r="P291">
        <v>1939</v>
      </c>
      <c r="Q291">
        <f t="shared" si="28"/>
        <v>0.44598765432098764</v>
      </c>
      <c r="R291" t="e">
        <f t="shared" si="29"/>
        <v>#N/A</v>
      </c>
      <c r="T291" t="e">
        <f t="shared" si="30"/>
        <v>#N/A</v>
      </c>
      <c r="U291">
        <f t="shared" si="31"/>
        <v>1939</v>
      </c>
      <c r="W291" t="e">
        <v>#N/A</v>
      </c>
      <c r="X291">
        <v>1939</v>
      </c>
    </row>
    <row r="292" spans="8:24">
      <c r="H292">
        <v>290</v>
      </c>
      <c r="I292">
        <f>'Lab test'!AZ293</f>
        <v>2016</v>
      </c>
      <c r="J292">
        <f>IF('Lab test'!AU293&gt;0,'Lab test'!AU293,NA())</f>
        <v>0.9</v>
      </c>
      <c r="K292">
        <f>IF('Lab test'!AT293&gt;0,'Lab test'!AT293,NA())</f>
        <v>7.514318326483431E-2</v>
      </c>
      <c r="L292">
        <f t="shared" si="26"/>
        <v>1</v>
      </c>
      <c r="M292">
        <f t="shared" si="27"/>
        <v>2016</v>
      </c>
      <c r="O292">
        <v>290</v>
      </c>
      <c r="P292">
        <v>1939</v>
      </c>
      <c r="Q292">
        <f t="shared" si="28"/>
        <v>0.44753086419753085</v>
      </c>
      <c r="R292" t="e">
        <f t="shared" si="29"/>
        <v>#N/A</v>
      </c>
      <c r="T292" t="e">
        <f t="shared" si="30"/>
        <v>#N/A</v>
      </c>
      <c r="U292">
        <f t="shared" si="31"/>
        <v>1939</v>
      </c>
      <c r="W292" t="e">
        <v>#N/A</v>
      </c>
      <c r="X292">
        <v>1939</v>
      </c>
    </row>
    <row r="293" spans="8:24">
      <c r="H293">
        <v>291</v>
      </c>
      <c r="I293">
        <f>'Lab test'!AZ294</f>
        <v>2016</v>
      </c>
      <c r="J293" t="e">
        <f>IF('Lab test'!AU294&gt;0,'Lab test'!AU294,NA())</f>
        <v>#N/A</v>
      </c>
      <c r="K293" t="e">
        <f>IF('Lab test'!AT294&gt;0,'Lab test'!AT294,NA())</f>
        <v>#N/A</v>
      </c>
      <c r="L293" t="e">
        <f t="shared" si="26"/>
        <v>#N/A</v>
      </c>
      <c r="M293" t="e">
        <f t="shared" si="27"/>
        <v>#N/A</v>
      </c>
      <c r="O293">
        <v>291</v>
      </c>
      <c r="P293">
        <v>1939</v>
      </c>
      <c r="Q293">
        <f t="shared" si="28"/>
        <v>0.44907407407407407</v>
      </c>
      <c r="R293" t="e">
        <f t="shared" si="29"/>
        <v>#N/A</v>
      </c>
      <c r="T293" t="e">
        <f t="shared" si="30"/>
        <v>#N/A</v>
      </c>
      <c r="U293">
        <f t="shared" si="31"/>
        <v>1939</v>
      </c>
      <c r="W293" t="e">
        <v>#N/A</v>
      </c>
      <c r="X293">
        <v>1939</v>
      </c>
    </row>
    <row r="294" spans="8:24">
      <c r="H294">
        <v>292</v>
      </c>
      <c r="I294">
        <f>'Lab test'!AZ295</f>
        <v>2016</v>
      </c>
      <c r="J294" t="e">
        <f>IF('Lab test'!AU295&gt;0,'Lab test'!AU295,NA())</f>
        <v>#N/A</v>
      </c>
      <c r="K294" t="e">
        <f>IF('Lab test'!AT295&gt;0,'Lab test'!AT295,NA())</f>
        <v>#N/A</v>
      </c>
      <c r="L294" t="e">
        <f t="shared" si="26"/>
        <v>#N/A</v>
      </c>
      <c r="M294" t="e">
        <f t="shared" si="27"/>
        <v>#N/A</v>
      </c>
      <c r="O294">
        <v>292</v>
      </c>
      <c r="P294">
        <v>1939</v>
      </c>
      <c r="Q294">
        <f t="shared" si="28"/>
        <v>0.45061728395061729</v>
      </c>
      <c r="R294" t="e">
        <f t="shared" si="29"/>
        <v>#N/A</v>
      </c>
      <c r="T294" t="e">
        <f t="shared" si="30"/>
        <v>#N/A</v>
      </c>
      <c r="U294">
        <f t="shared" si="31"/>
        <v>1939</v>
      </c>
      <c r="W294" t="e">
        <v>#N/A</v>
      </c>
      <c r="X294">
        <v>1939</v>
      </c>
    </row>
    <row r="295" spans="8:24">
      <c r="H295">
        <v>293</v>
      </c>
      <c r="I295">
        <f>'Lab test'!AZ296</f>
        <v>2016</v>
      </c>
      <c r="J295" t="e">
        <f>IF('Lab test'!AU296&gt;0,'Lab test'!AU296,NA())</f>
        <v>#N/A</v>
      </c>
      <c r="K295" t="e">
        <f>IF('Lab test'!AT296&gt;0,'Lab test'!AT296,NA())</f>
        <v>#N/A</v>
      </c>
      <c r="L295" t="e">
        <f t="shared" si="26"/>
        <v>#N/A</v>
      </c>
      <c r="M295" t="e">
        <f t="shared" si="27"/>
        <v>#N/A</v>
      </c>
      <c r="O295">
        <v>293</v>
      </c>
      <c r="P295">
        <v>1939</v>
      </c>
      <c r="Q295">
        <f t="shared" si="28"/>
        <v>0.4521604938271605</v>
      </c>
      <c r="R295" t="e">
        <f t="shared" si="29"/>
        <v>#N/A</v>
      </c>
      <c r="T295" t="e">
        <f t="shared" si="30"/>
        <v>#N/A</v>
      </c>
      <c r="U295">
        <f t="shared" si="31"/>
        <v>1939</v>
      </c>
      <c r="W295" t="e">
        <v>#N/A</v>
      </c>
      <c r="X295">
        <v>1939</v>
      </c>
    </row>
    <row r="296" spans="8:24">
      <c r="H296">
        <v>294</v>
      </c>
      <c r="I296">
        <f>'Lab test'!AZ297</f>
        <v>2016</v>
      </c>
      <c r="J296" t="e">
        <f>IF('Lab test'!AU297&gt;0,'Lab test'!AU297,NA())</f>
        <v>#N/A</v>
      </c>
      <c r="K296" t="e">
        <f>IF('Lab test'!AT297&gt;0,'Lab test'!AT297,NA())</f>
        <v>#N/A</v>
      </c>
      <c r="L296" t="e">
        <f t="shared" si="26"/>
        <v>#N/A</v>
      </c>
      <c r="M296" t="e">
        <f t="shared" si="27"/>
        <v>#N/A</v>
      </c>
      <c r="O296">
        <v>294</v>
      </c>
      <c r="P296">
        <v>1939</v>
      </c>
      <c r="Q296">
        <f t="shared" si="28"/>
        <v>0.45370370370370372</v>
      </c>
      <c r="R296" t="e">
        <f t="shared" si="29"/>
        <v>#N/A</v>
      </c>
      <c r="T296" t="e">
        <f t="shared" si="30"/>
        <v>#N/A</v>
      </c>
      <c r="U296">
        <f t="shared" si="31"/>
        <v>1939</v>
      </c>
      <c r="W296" t="e">
        <v>#N/A</v>
      </c>
      <c r="X296">
        <v>1939</v>
      </c>
    </row>
    <row r="297" spans="8:24">
      <c r="H297">
        <v>295</v>
      </c>
      <c r="I297">
        <f>'Lab test'!AZ298</f>
        <v>2016</v>
      </c>
      <c r="J297" t="e">
        <f>IF('Lab test'!AU298&gt;0,'Lab test'!AU298,NA())</f>
        <v>#N/A</v>
      </c>
      <c r="K297" t="e">
        <f>IF('Lab test'!AT298&gt;0,'Lab test'!AT298,NA())</f>
        <v>#N/A</v>
      </c>
      <c r="L297" t="e">
        <f t="shared" si="26"/>
        <v>#N/A</v>
      </c>
      <c r="M297" t="e">
        <f t="shared" si="27"/>
        <v>#N/A</v>
      </c>
      <c r="O297">
        <v>295</v>
      </c>
      <c r="P297">
        <v>1939</v>
      </c>
      <c r="Q297">
        <f t="shared" si="28"/>
        <v>0.45524691358024694</v>
      </c>
      <c r="R297" t="e">
        <f t="shared" si="29"/>
        <v>#N/A</v>
      </c>
      <c r="T297" t="e">
        <f t="shared" si="30"/>
        <v>#N/A</v>
      </c>
      <c r="U297">
        <f t="shared" si="31"/>
        <v>1939</v>
      </c>
      <c r="W297" t="e">
        <v>#N/A</v>
      </c>
      <c r="X297">
        <v>1939</v>
      </c>
    </row>
    <row r="298" spans="8:24">
      <c r="H298">
        <v>296</v>
      </c>
      <c r="I298">
        <f>'Lab test'!AZ299</f>
        <v>2016</v>
      </c>
      <c r="J298" t="e">
        <f>IF('Lab test'!AU299&gt;0,'Lab test'!AU299,NA())</f>
        <v>#N/A</v>
      </c>
      <c r="K298" t="e">
        <f>IF('Lab test'!AT299&gt;0,'Lab test'!AT299,NA())</f>
        <v>#N/A</v>
      </c>
      <c r="L298" t="e">
        <f t="shared" si="26"/>
        <v>#N/A</v>
      </c>
      <c r="M298" t="e">
        <f t="shared" si="27"/>
        <v>#N/A</v>
      </c>
      <c r="O298">
        <v>296</v>
      </c>
      <c r="P298">
        <v>1939</v>
      </c>
      <c r="Q298">
        <f t="shared" si="28"/>
        <v>0.4567901234567901</v>
      </c>
      <c r="R298" t="e">
        <f t="shared" si="29"/>
        <v>#N/A</v>
      </c>
      <c r="T298" t="e">
        <f t="shared" si="30"/>
        <v>#N/A</v>
      </c>
      <c r="U298">
        <f t="shared" si="31"/>
        <v>1939</v>
      </c>
      <c r="W298" t="e">
        <v>#N/A</v>
      </c>
      <c r="X298">
        <v>1939</v>
      </c>
    </row>
    <row r="299" spans="8:24">
      <c r="H299">
        <v>297</v>
      </c>
      <c r="I299">
        <f>'Lab test'!AZ300</f>
        <v>2016</v>
      </c>
      <c r="J299" t="e">
        <f>IF('Lab test'!AU300&gt;0,'Lab test'!AU300,NA())</f>
        <v>#N/A</v>
      </c>
      <c r="K299" t="e">
        <f>IF('Lab test'!AT300&gt;0,'Lab test'!AT300,NA())</f>
        <v>#N/A</v>
      </c>
      <c r="L299" t="e">
        <f t="shared" si="26"/>
        <v>#N/A</v>
      </c>
      <c r="M299" t="e">
        <f t="shared" si="27"/>
        <v>#N/A</v>
      </c>
      <c r="O299">
        <v>297</v>
      </c>
      <c r="P299">
        <v>1939</v>
      </c>
      <c r="Q299">
        <f t="shared" si="28"/>
        <v>0.45833333333333331</v>
      </c>
      <c r="R299" t="e">
        <f t="shared" si="29"/>
        <v>#N/A</v>
      </c>
      <c r="T299" t="e">
        <f t="shared" si="30"/>
        <v>#N/A</v>
      </c>
      <c r="U299">
        <f t="shared" si="31"/>
        <v>1939</v>
      </c>
      <c r="W299" t="e">
        <v>#N/A</v>
      </c>
      <c r="X299">
        <v>1939</v>
      </c>
    </row>
    <row r="300" spans="8:24">
      <c r="H300">
        <v>298</v>
      </c>
      <c r="I300">
        <f>'Lab test'!AZ301</f>
        <v>2016</v>
      </c>
      <c r="J300" t="e">
        <f>IF('Lab test'!AU301&gt;0,'Lab test'!AU301,NA())</f>
        <v>#N/A</v>
      </c>
      <c r="K300" t="e">
        <f>IF('Lab test'!AT301&gt;0,'Lab test'!AT301,NA())</f>
        <v>#N/A</v>
      </c>
      <c r="L300" t="e">
        <f t="shared" si="26"/>
        <v>#N/A</v>
      </c>
      <c r="M300" t="e">
        <f t="shared" si="27"/>
        <v>#N/A</v>
      </c>
      <c r="O300">
        <v>298</v>
      </c>
      <c r="P300">
        <v>1939</v>
      </c>
      <c r="Q300">
        <f t="shared" si="28"/>
        <v>0.45987654320987653</v>
      </c>
      <c r="R300" t="e">
        <f t="shared" si="29"/>
        <v>#N/A</v>
      </c>
      <c r="T300" t="e">
        <f t="shared" si="30"/>
        <v>#N/A</v>
      </c>
      <c r="U300">
        <f t="shared" si="31"/>
        <v>1939</v>
      </c>
      <c r="W300" t="e">
        <v>#N/A</v>
      </c>
      <c r="X300">
        <v>1939</v>
      </c>
    </row>
    <row r="301" spans="8:24">
      <c r="H301">
        <v>299</v>
      </c>
      <c r="I301">
        <f>'Lab test'!AZ302</f>
        <v>2016</v>
      </c>
      <c r="J301">
        <f>IF('Lab test'!AU302&gt;0,'Lab test'!AU302,NA())</f>
        <v>0.75421052631578955</v>
      </c>
      <c r="K301">
        <f>IF('Lab test'!AT302&gt;0,'Lab test'!AT302,NA())</f>
        <v>0.12594173288714336</v>
      </c>
      <c r="L301">
        <f t="shared" si="26"/>
        <v>1</v>
      </c>
      <c r="M301">
        <f t="shared" si="27"/>
        <v>2016</v>
      </c>
      <c r="O301">
        <v>299</v>
      </c>
      <c r="P301">
        <v>1939</v>
      </c>
      <c r="Q301">
        <f t="shared" si="28"/>
        <v>0.46141975308641975</v>
      </c>
      <c r="R301" t="e">
        <f t="shared" si="29"/>
        <v>#N/A</v>
      </c>
      <c r="T301" t="e">
        <f t="shared" si="30"/>
        <v>#N/A</v>
      </c>
      <c r="U301">
        <f t="shared" si="31"/>
        <v>1939</v>
      </c>
      <c r="W301" t="e">
        <v>#N/A</v>
      </c>
      <c r="X301">
        <v>1939</v>
      </c>
    </row>
    <row r="302" spans="8:24">
      <c r="H302">
        <v>300</v>
      </c>
      <c r="I302">
        <f>'Lab test'!AZ303</f>
        <v>2016</v>
      </c>
      <c r="J302" t="e">
        <f>IF('Lab test'!AU303&gt;0,'Lab test'!AU303,NA())</f>
        <v>#N/A</v>
      </c>
      <c r="K302" t="e">
        <f>IF('Lab test'!AT303&gt;0,'Lab test'!AT303,NA())</f>
        <v>#N/A</v>
      </c>
      <c r="L302" t="e">
        <f t="shared" si="26"/>
        <v>#N/A</v>
      </c>
      <c r="M302" t="e">
        <f t="shared" si="27"/>
        <v>#N/A</v>
      </c>
      <c r="O302">
        <v>300</v>
      </c>
      <c r="P302">
        <v>1939</v>
      </c>
      <c r="Q302">
        <f t="shared" si="28"/>
        <v>0.46296296296296297</v>
      </c>
      <c r="R302" t="e">
        <f t="shared" si="29"/>
        <v>#N/A</v>
      </c>
      <c r="T302" t="e">
        <f t="shared" si="30"/>
        <v>#N/A</v>
      </c>
      <c r="U302">
        <f t="shared" si="31"/>
        <v>1939</v>
      </c>
      <c r="W302" t="e">
        <v>#N/A</v>
      </c>
      <c r="X302">
        <v>1939</v>
      </c>
    </row>
    <row r="303" spans="8:24">
      <c r="H303">
        <v>301</v>
      </c>
      <c r="I303">
        <f>'Lab test'!AZ304</f>
        <v>2016</v>
      </c>
      <c r="J303">
        <f>IF('Lab test'!AU304&gt;0,'Lab test'!AU304,NA())</f>
        <v>0.58684210526315794</v>
      </c>
      <c r="K303">
        <f>IF('Lab test'!AT304&gt;0,'Lab test'!AT304,NA())</f>
        <v>0.14699061287770221</v>
      </c>
      <c r="L303">
        <f t="shared" si="26"/>
        <v>1</v>
      </c>
      <c r="M303">
        <f t="shared" si="27"/>
        <v>2016</v>
      </c>
      <c r="O303">
        <v>301</v>
      </c>
      <c r="P303">
        <v>1939</v>
      </c>
      <c r="Q303">
        <f t="shared" si="28"/>
        <v>0.46450617283950618</v>
      </c>
      <c r="R303" t="e">
        <f t="shared" si="29"/>
        <v>#N/A</v>
      </c>
      <c r="T303" t="e">
        <f t="shared" si="30"/>
        <v>#N/A</v>
      </c>
      <c r="U303">
        <f t="shared" si="31"/>
        <v>1939</v>
      </c>
      <c r="W303" t="e">
        <v>#N/A</v>
      </c>
      <c r="X303">
        <v>1939</v>
      </c>
    </row>
    <row r="304" spans="8:24">
      <c r="H304">
        <v>302</v>
      </c>
      <c r="I304">
        <f>'Lab test'!AZ305</f>
        <v>2016</v>
      </c>
      <c r="J304" t="e">
        <f>IF('Lab test'!AU305&gt;0,'Lab test'!AU305,NA())</f>
        <v>#N/A</v>
      </c>
      <c r="K304" t="e">
        <f>IF('Lab test'!AT305&gt;0,'Lab test'!AT305,NA())</f>
        <v>#N/A</v>
      </c>
      <c r="L304" t="e">
        <f t="shared" si="26"/>
        <v>#N/A</v>
      </c>
      <c r="M304" t="e">
        <f t="shared" si="27"/>
        <v>#N/A</v>
      </c>
      <c r="O304">
        <v>302</v>
      </c>
      <c r="P304">
        <v>1939</v>
      </c>
      <c r="Q304">
        <f t="shared" si="28"/>
        <v>0.4660493827160494</v>
      </c>
      <c r="R304" t="e">
        <f t="shared" si="29"/>
        <v>#N/A</v>
      </c>
      <c r="T304" t="e">
        <f t="shared" si="30"/>
        <v>#N/A</v>
      </c>
      <c r="U304">
        <f t="shared" si="31"/>
        <v>1939</v>
      </c>
      <c r="W304" t="e">
        <v>#N/A</v>
      </c>
      <c r="X304">
        <v>1939</v>
      </c>
    </row>
    <row r="305" spans="8:24">
      <c r="H305">
        <v>303</v>
      </c>
      <c r="I305">
        <f>'Lab test'!AZ306</f>
        <v>2016</v>
      </c>
      <c r="J305">
        <f>IF('Lab test'!AU306&gt;0,'Lab test'!AU306,NA())</f>
        <v>1.5874861716202324</v>
      </c>
      <c r="K305">
        <f>IF('Lab test'!AT306&gt;0,'Lab test'!AT306,NA())</f>
        <v>5.0788395033448272E-2</v>
      </c>
      <c r="L305">
        <f t="shared" si="26"/>
        <v>1</v>
      </c>
      <c r="M305">
        <f t="shared" si="27"/>
        <v>2016</v>
      </c>
      <c r="O305">
        <v>303</v>
      </c>
      <c r="P305">
        <v>1939</v>
      </c>
      <c r="Q305">
        <f t="shared" si="28"/>
        <v>0.46759259259259262</v>
      </c>
      <c r="R305" t="e">
        <f t="shared" si="29"/>
        <v>#N/A</v>
      </c>
      <c r="T305" t="e">
        <f t="shared" si="30"/>
        <v>#N/A</v>
      </c>
      <c r="U305">
        <f t="shared" si="31"/>
        <v>1939</v>
      </c>
      <c r="W305" t="e">
        <v>#N/A</v>
      </c>
      <c r="X305">
        <v>1939</v>
      </c>
    </row>
    <row r="306" spans="8:24">
      <c r="H306">
        <v>304</v>
      </c>
      <c r="I306">
        <f>'Lab test'!AZ307</f>
        <v>2016</v>
      </c>
      <c r="J306">
        <f>IF('Lab test'!AU307&gt;0,'Lab test'!AU307,NA())</f>
        <v>1.5869004051105828</v>
      </c>
      <c r="K306">
        <f>IF('Lab test'!AT307&gt;0,'Lab test'!AT307,NA())</f>
        <v>5.0036823857674308E-2</v>
      </c>
      <c r="L306">
        <f t="shared" si="26"/>
        <v>1</v>
      </c>
      <c r="M306">
        <f t="shared" si="27"/>
        <v>2016</v>
      </c>
      <c r="O306">
        <v>304</v>
      </c>
      <c r="P306">
        <v>1939</v>
      </c>
      <c r="Q306">
        <f t="shared" si="28"/>
        <v>0.46913580246913578</v>
      </c>
      <c r="R306" t="e">
        <f t="shared" si="29"/>
        <v>#N/A</v>
      </c>
      <c r="T306" t="e">
        <f t="shared" si="30"/>
        <v>#N/A</v>
      </c>
      <c r="U306">
        <f t="shared" si="31"/>
        <v>1939</v>
      </c>
      <c r="W306" t="e">
        <v>#N/A</v>
      </c>
      <c r="X306">
        <v>1939</v>
      </c>
    </row>
    <row r="307" spans="8:24">
      <c r="H307">
        <v>305</v>
      </c>
      <c r="I307">
        <f>'Lab test'!AZ308</f>
        <v>2016</v>
      </c>
      <c r="J307">
        <f>IF('Lab test'!AU308&gt;0,'Lab test'!AU308,NA())</f>
        <v>1.3020624788107931</v>
      </c>
      <c r="K307">
        <f>IF('Lab test'!AT308&gt;0,'Lab test'!AT308,NA())</f>
        <v>6.4435117578470175E-2</v>
      </c>
      <c r="L307">
        <f t="shared" si="26"/>
        <v>1</v>
      </c>
      <c r="M307">
        <f t="shared" si="27"/>
        <v>2016</v>
      </c>
      <c r="O307">
        <v>305</v>
      </c>
      <c r="P307">
        <v>1939</v>
      </c>
      <c r="Q307">
        <f t="shared" si="28"/>
        <v>0.47067901234567899</v>
      </c>
      <c r="R307" t="e">
        <f t="shared" si="29"/>
        <v>#N/A</v>
      </c>
      <c r="T307" t="e">
        <f t="shared" si="30"/>
        <v>#N/A</v>
      </c>
      <c r="U307">
        <f t="shared" si="31"/>
        <v>1939</v>
      </c>
      <c r="W307" t="e">
        <v>#N/A</v>
      </c>
      <c r="X307">
        <v>1939</v>
      </c>
    </row>
    <row r="308" spans="8:24">
      <c r="H308">
        <v>306</v>
      </c>
      <c r="I308">
        <f>'Lab test'!AZ309</f>
        <v>2016</v>
      </c>
      <c r="J308">
        <f>IF('Lab test'!AU309&gt;0,'Lab test'!AU309,NA())</f>
        <v>1.1250588124005259</v>
      </c>
      <c r="K308">
        <f>IF('Lab test'!AT309&gt;0,'Lab test'!AT309,NA())</f>
        <v>7.4856302549148837E-2</v>
      </c>
      <c r="L308">
        <f t="shared" si="26"/>
        <v>1</v>
      </c>
      <c r="M308">
        <f t="shared" si="27"/>
        <v>2016</v>
      </c>
      <c r="O308">
        <v>306</v>
      </c>
      <c r="P308">
        <v>1939</v>
      </c>
      <c r="Q308">
        <f t="shared" si="28"/>
        <v>0.47222222222222221</v>
      </c>
      <c r="R308" t="e">
        <f t="shared" si="29"/>
        <v>#N/A</v>
      </c>
      <c r="T308" t="e">
        <f t="shared" si="30"/>
        <v>#N/A</v>
      </c>
      <c r="U308">
        <f t="shared" si="31"/>
        <v>1939</v>
      </c>
      <c r="W308" t="e">
        <v>#N/A</v>
      </c>
      <c r="X308">
        <v>1939</v>
      </c>
    </row>
    <row r="309" spans="8:24">
      <c r="H309">
        <v>307</v>
      </c>
      <c r="I309">
        <f>'Lab test'!AZ310</f>
        <v>2019</v>
      </c>
      <c r="J309" t="e">
        <f>IF('Lab test'!AU310&gt;0,'Lab test'!AU310,NA())</f>
        <v>#N/A</v>
      </c>
      <c r="K309">
        <f>IF('Lab test'!AT310&gt;0,'Lab test'!AT310,NA())</f>
        <v>7.4469224855689145E-2</v>
      </c>
      <c r="L309">
        <f t="shared" si="26"/>
        <v>1</v>
      </c>
      <c r="M309">
        <f t="shared" si="27"/>
        <v>2019</v>
      </c>
      <c r="O309">
        <v>307</v>
      </c>
      <c r="P309">
        <v>1939</v>
      </c>
      <c r="Q309">
        <f t="shared" si="28"/>
        <v>0.47376543209876543</v>
      </c>
      <c r="R309" t="e">
        <f t="shared" si="29"/>
        <v>#N/A</v>
      </c>
      <c r="T309" t="e">
        <f t="shared" si="30"/>
        <v>#N/A</v>
      </c>
      <c r="U309">
        <f t="shared" si="31"/>
        <v>1939</v>
      </c>
      <c r="W309" t="e">
        <v>#N/A</v>
      </c>
      <c r="X309">
        <v>1939</v>
      </c>
    </row>
    <row r="310" spans="8:24">
      <c r="H310">
        <v>308</v>
      </c>
      <c r="I310">
        <f>'Lab test'!AZ311</f>
        <v>2019</v>
      </c>
      <c r="J310" t="e">
        <f>IF('Lab test'!AU311&gt;0,'Lab test'!AU311,NA())</f>
        <v>#N/A</v>
      </c>
      <c r="K310">
        <f>IF('Lab test'!AT311&gt;0,'Lab test'!AT311,NA())</f>
        <v>8.9075535875300829E-2</v>
      </c>
      <c r="L310">
        <f t="shared" si="26"/>
        <v>1</v>
      </c>
      <c r="M310">
        <f t="shared" si="27"/>
        <v>2019</v>
      </c>
      <c r="O310">
        <v>308</v>
      </c>
      <c r="P310">
        <v>1939</v>
      </c>
      <c r="Q310">
        <f t="shared" si="28"/>
        <v>0.47530864197530864</v>
      </c>
      <c r="R310" t="e">
        <f t="shared" si="29"/>
        <v>#N/A</v>
      </c>
      <c r="T310" t="e">
        <f t="shared" si="30"/>
        <v>#N/A</v>
      </c>
      <c r="U310">
        <f t="shared" si="31"/>
        <v>1939</v>
      </c>
      <c r="W310" t="e">
        <v>#N/A</v>
      </c>
      <c r="X310">
        <v>1939</v>
      </c>
    </row>
    <row r="311" spans="8:24">
      <c r="H311">
        <v>309</v>
      </c>
      <c r="I311">
        <f>'Lab test'!AZ312</f>
        <v>2019</v>
      </c>
      <c r="J311" t="e">
        <f>IF('Lab test'!AU312&gt;0,'Lab test'!AU312,NA())</f>
        <v>#N/A</v>
      </c>
      <c r="K311">
        <f>IF('Lab test'!AT312&gt;0,'Lab test'!AT312,NA())</f>
        <v>0.12553628027610716</v>
      </c>
      <c r="L311">
        <f t="shared" si="26"/>
        <v>1</v>
      </c>
      <c r="M311">
        <f t="shared" si="27"/>
        <v>2019</v>
      </c>
      <c r="O311">
        <v>309</v>
      </c>
      <c r="P311">
        <v>1939</v>
      </c>
      <c r="Q311">
        <f t="shared" si="28"/>
        <v>0.47685185185185186</v>
      </c>
      <c r="R311" t="e">
        <f t="shared" si="29"/>
        <v>#N/A</v>
      </c>
      <c r="T311" t="e">
        <f t="shared" si="30"/>
        <v>#N/A</v>
      </c>
      <c r="U311">
        <f t="shared" si="31"/>
        <v>1939</v>
      </c>
      <c r="W311" t="e">
        <v>#N/A</v>
      </c>
      <c r="X311">
        <v>1939</v>
      </c>
    </row>
    <row r="312" spans="8:24">
      <c r="H312">
        <v>310</v>
      </c>
      <c r="I312">
        <f>'Lab test'!AZ313</f>
        <v>2019</v>
      </c>
      <c r="J312" t="e">
        <f>IF('Lab test'!AU313&gt;0,'Lab test'!AU313,NA())</f>
        <v>#N/A</v>
      </c>
      <c r="K312">
        <f>IF('Lab test'!AT313&gt;0,'Lab test'!AT313,NA())</f>
        <v>9.0518265251719382E-2</v>
      </c>
      <c r="L312">
        <f t="shared" si="26"/>
        <v>1</v>
      </c>
      <c r="M312">
        <f t="shared" si="27"/>
        <v>2019</v>
      </c>
      <c r="O312">
        <v>310</v>
      </c>
      <c r="P312">
        <v>1939</v>
      </c>
      <c r="Q312">
        <f t="shared" si="28"/>
        <v>0.47839506172839508</v>
      </c>
      <c r="R312" t="e">
        <f t="shared" si="29"/>
        <v>#N/A</v>
      </c>
      <c r="T312" t="e">
        <f t="shared" si="30"/>
        <v>#N/A</v>
      </c>
      <c r="U312">
        <f t="shared" si="31"/>
        <v>1939</v>
      </c>
      <c r="W312" t="e">
        <v>#N/A</v>
      </c>
      <c r="X312">
        <v>1939</v>
      </c>
    </row>
    <row r="313" spans="8:24">
      <c r="H313">
        <v>311</v>
      </c>
      <c r="I313">
        <f>'Lab test'!AZ314</f>
        <v>2019</v>
      </c>
      <c r="J313" t="e">
        <f>IF('Lab test'!AU314&gt;0,'Lab test'!AU314,NA())</f>
        <v>#N/A</v>
      </c>
      <c r="K313">
        <f>IF('Lab test'!AT314&gt;0,'Lab test'!AT314,NA())</f>
        <v>0.10967906592544101</v>
      </c>
      <c r="L313">
        <f t="shared" si="26"/>
        <v>1</v>
      </c>
      <c r="M313">
        <f t="shared" si="27"/>
        <v>2019</v>
      </c>
      <c r="O313">
        <v>311</v>
      </c>
      <c r="P313">
        <v>1939</v>
      </c>
      <c r="Q313">
        <f t="shared" si="28"/>
        <v>0.47993827160493829</v>
      </c>
      <c r="R313" t="e">
        <f t="shared" si="29"/>
        <v>#N/A</v>
      </c>
      <c r="T313" t="e">
        <f t="shared" si="30"/>
        <v>#N/A</v>
      </c>
      <c r="U313">
        <f t="shared" si="31"/>
        <v>1939</v>
      </c>
      <c r="W313" t="e">
        <v>#N/A</v>
      </c>
      <c r="X313">
        <v>1939</v>
      </c>
    </row>
    <row r="314" spans="8:24">
      <c r="H314">
        <v>312</v>
      </c>
      <c r="I314">
        <f>'Lab test'!AZ315</f>
        <v>2019</v>
      </c>
      <c r="J314" t="e">
        <f>IF('Lab test'!AU315&gt;0,'Lab test'!AU315,NA())</f>
        <v>#N/A</v>
      </c>
      <c r="K314">
        <f>IF('Lab test'!AT315&gt;0,'Lab test'!AT315,NA())</f>
        <v>0.11562552130694083</v>
      </c>
      <c r="L314">
        <f t="shared" si="26"/>
        <v>1</v>
      </c>
      <c r="M314">
        <f t="shared" si="27"/>
        <v>2019</v>
      </c>
      <c r="O314">
        <v>312</v>
      </c>
      <c r="P314">
        <v>1939</v>
      </c>
      <c r="Q314">
        <f t="shared" si="28"/>
        <v>0.48148148148148145</v>
      </c>
      <c r="R314" t="e">
        <f t="shared" si="29"/>
        <v>#N/A</v>
      </c>
      <c r="T314" t="e">
        <f t="shared" si="30"/>
        <v>#N/A</v>
      </c>
      <c r="U314">
        <f t="shared" si="31"/>
        <v>1939</v>
      </c>
      <c r="W314" t="e">
        <v>#N/A</v>
      </c>
      <c r="X314">
        <v>1939</v>
      </c>
    </row>
    <row r="315" spans="8:24">
      <c r="H315">
        <v>313</v>
      </c>
      <c r="I315">
        <f>'Lab test'!AZ316</f>
        <v>2019</v>
      </c>
      <c r="J315" t="e">
        <f>IF('Lab test'!AU316&gt;0,'Lab test'!AU316,NA())</f>
        <v>#N/A</v>
      </c>
      <c r="K315">
        <f>IF('Lab test'!AT316&gt;0,'Lab test'!AT316,NA())</f>
        <v>0.13379524608374582</v>
      </c>
      <c r="L315">
        <f t="shared" si="26"/>
        <v>1</v>
      </c>
      <c r="M315">
        <f t="shared" si="27"/>
        <v>2019</v>
      </c>
      <c r="O315">
        <v>313</v>
      </c>
      <c r="P315">
        <v>1939</v>
      </c>
      <c r="Q315">
        <f t="shared" si="28"/>
        <v>0.48302469135802467</v>
      </c>
      <c r="R315" t="e">
        <f t="shared" si="29"/>
        <v>#N/A</v>
      </c>
      <c r="T315" t="e">
        <f t="shared" si="30"/>
        <v>#N/A</v>
      </c>
      <c r="U315">
        <f t="shared" si="31"/>
        <v>1939</v>
      </c>
      <c r="W315" t="e">
        <v>#N/A</v>
      </c>
      <c r="X315">
        <v>1939</v>
      </c>
    </row>
    <row r="316" spans="8:24">
      <c r="H316">
        <v>314</v>
      </c>
      <c r="I316">
        <f>'Lab test'!AZ317</f>
        <v>2019</v>
      </c>
      <c r="J316" t="e">
        <f>IF('Lab test'!AU317&gt;0,'Lab test'!AU317,NA())</f>
        <v>#N/A</v>
      </c>
      <c r="K316">
        <f>IF('Lab test'!AT317&gt;0,'Lab test'!AT317,NA())</f>
        <v>0.13049165976069035</v>
      </c>
      <c r="L316">
        <f t="shared" si="26"/>
        <v>1</v>
      </c>
      <c r="M316">
        <f t="shared" si="27"/>
        <v>2019</v>
      </c>
      <c r="O316">
        <v>314</v>
      </c>
      <c r="P316">
        <v>1939</v>
      </c>
      <c r="Q316">
        <f t="shared" si="28"/>
        <v>0.48456790123456789</v>
      </c>
      <c r="R316" t="e">
        <f t="shared" si="29"/>
        <v>#N/A</v>
      </c>
      <c r="T316" t="e">
        <f t="shared" si="30"/>
        <v>#N/A</v>
      </c>
      <c r="U316">
        <f t="shared" si="31"/>
        <v>1939</v>
      </c>
      <c r="W316" t="e">
        <v>#N/A</v>
      </c>
      <c r="X316">
        <v>1939</v>
      </c>
    </row>
    <row r="317" spans="8:24">
      <c r="H317">
        <v>315</v>
      </c>
      <c r="I317">
        <f>'Lab test'!AZ318</f>
        <v>1937</v>
      </c>
      <c r="J317">
        <f>IF('Lab test'!AU318&gt;0,'Lab test'!AU318,NA())</f>
        <v>0.85632181033735433</v>
      </c>
      <c r="K317">
        <f>IF('Lab test'!AT318&gt;0,'Lab test'!AT318,NA())</f>
        <v>8.7918162649678389E-2</v>
      </c>
      <c r="L317">
        <f t="shared" si="26"/>
        <v>1</v>
      </c>
      <c r="M317">
        <f t="shared" si="27"/>
        <v>1937</v>
      </c>
      <c r="O317">
        <v>315</v>
      </c>
      <c r="P317">
        <v>1939</v>
      </c>
      <c r="Q317">
        <f t="shared" si="28"/>
        <v>0.4861111111111111</v>
      </c>
      <c r="R317" t="e">
        <f t="shared" si="29"/>
        <v>#N/A</v>
      </c>
      <c r="T317" t="e">
        <f t="shared" si="30"/>
        <v>#N/A</v>
      </c>
      <c r="U317">
        <f t="shared" si="31"/>
        <v>1939</v>
      </c>
      <c r="W317" t="e">
        <v>#N/A</v>
      </c>
      <c r="X317">
        <v>1939</v>
      </c>
    </row>
    <row r="318" spans="8:24">
      <c r="H318">
        <v>316</v>
      </c>
      <c r="I318">
        <f>'Lab test'!AZ319</f>
        <v>1937</v>
      </c>
      <c r="J318">
        <f>IF('Lab test'!AU319&gt;0,'Lab test'!AU319,NA())</f>
        <v>0.72647071495514282</v>
      </c>
      <c r="K318">
        <f>IF('Lab test'!AT319&gt;0,'Lab test'!AT319,NA())</f>
        <v>7.3307854036667397E-2</v>
      </c>
      <c r="L318">
        <f t="shared" si="26"/>
        <v>1</v>
      </c>
      <c r="M318">
        <f t="shared" si="27"/>
        <v>1937</v>
      </c>
      <c r="O318">
        <v>316</v>
      </c>
      <c r="P318">
        <v>1939</v>
      </c>
      <c r="Q318">
        <f t="shared" si="28"/>
        <v>0.48765432098765432</v>
      </c>
      <c r="R318" t="e">
        <f t="shared" si="29"/>
        <v>#N/A</v>
      </c>
      <c r="T318" t="e">
        <f t="shared" si="30"/>
        <v>#N/A</v>
      </c>
      <c r="U318">
        <f t="shared" si="31"/>
        <v>1939</v>
      </c>
      <c r="W318" t="e">
        <v>#N/A</v>
      </c>
      <c r="X318">
        <v>1939</v>
      </c>
    </row>
    <row r="319" spans="8:24">
      <c r="H319">
        <v>317</v>
      </c>
      <c r="I319">
        <f>'Lab test'!AZ320</f>
        <v>1937</v>
      </c>
      <c r="J319">
        <f>IF('Lab test'!AU320&gt;0,'Lab test'!AU320,NA())</f>
        <v>0.72307718054039571</v>
      </c>
      <c r="K319">
        <f>IF('Lab test'!AT320&gt;0,'Lab test'!AT320,NA())</f>
        <v>8.9617770164284072E-2</v>
      </c>
      <c r="L319">
        <f t="shared" si="26"/>
        <v>1</v>
      </c>
      <c r="M319">
        <f t="shared" si="27"/>
        <v>1937</v>
      </c>
      <c r="O319">
        <v>317</v>
      </c>
      <c r="P319">
        <v>1939</v>
      </c>
      <c r="Q319">
        <f t="shared" si="28"/>
        <v>0.48919753086419754</v>
      </c>
      <c r="R319" t="e">
        <f t="shared" si="29"/>
        <v>#N/A</v>
      </c>
      <c r="T319" t="e">
        <f t="shared" si="30"/>
        <v>#N/A</v>
      </c>
      <c r="U319">
        <f t="shared" si="31"/>
        <v>1939</v>
      </c>
      <c r="W319" t="e">
        <v>#N/A</v>
      </c>
      <c r="X319">
        <v>1939</v>
      </c>
    </row>
    <row r="320" spans="8:24">
      <c r="H320">
        <v>318</v>
      </c>
      <c r="I320">
        <f>'Lab test'!AZ321</f>
        <v>1937</v>
      </c>
      <c r="J320">
        <f>IF('Lab test'!AU321&gt;0,'Lab test'!AU321,NA())</f>
        <v>0.70263144234674091</v>
      </c>
      <c r="K320">
        <f>IF('Lab test'!AT321&gt;0,'Lab test'!AT321,NA())</f>
        <v>8.8561313041331746E-2</v>
      </c>
      <c r="L320">
        <f t="shared" si="26"/>
        <v>1</v>
      </c>
      <c r="M320">
        <f t="shared" si="27"/>
        <v>1937</v>
      </c>
      <c r="O320">
        <v>318</v>
      </c>
      <c r="P320">
        <v>1939</v>
      </c>
      <c r="Q320">
        <f t="shared" si="28"/>
        <v>0.49074074074074076</v>
      </c>
      <c r="R320" t="e">
        <f t="shared" si="29"/>
        <v>#N/A</v>
      </c>
      <c r="T320" t="e">
        <f t="shared" si="30"/>
        <v>#N/A</v>
      </c>
      <c r="U320">
        <f t="shared" si="31"/>
        <v>1939</v>
      </c>
      <c r="W320" t="e">
        <v>#N/A</v>
      </c>
      <c r="X320">
        <v>1939</v>
      </c>
    </row>
    <row r="321" spans="8:24">
      <c r="H321">
        <v>319</v>
      </c>
      <c r="I321">
        <f>'Lab test'!AZ322</f>
        <v>1937</v>
      </c>
      <c r="J321">
        <f>IF('Lab test'!AU322&gt;0,'Lab test'!AU322,NA())</f>
        <v>0.53499996192759491</v>
      </c>
      <c r="K321">
        <f>IF('Lab test'!AT322&gt;0,'Lab test'!AT322,NA())</f>
        <v>0.11935476436873577</v>
      </c>
      <c r="L321">
        <f t="shared" si="26"/>
        <v>1</v>
      </c>
      <c r="M321">
        <f t="shared" si="27"/>
        <v>1937</v>
      </c>
      <c r="O321">
        <v>319</v>
      </c>
      <c r="P321">
        <v>1939</v>
      </c>
      <c r="Q321">
        <f t="shared" si="28"/>
        <v>0.49228395061728397</v>
      </c>
      <c r="R321" t="e">
        <f t="shared" si="29"/>
        <v>#N/A</v>
      </c>
      <c r="T321" t="e">
        <f t="shared" si="30"/>
        <v>#N/A</v>
      </c>
      <c r="U321">
        <f t="shared" si="31"/>
        <v>1939</v>
      </c>
      <c r="W321" t="e">
        <v>#N/A</v>
      </c>
      <c r="X321">
        <v>1939</v>
      </c>
    </row>
    <row r="322" spans="8:24">
      <c r="H322">
        <v>320</v>
      </c>
      <c r="I322">
        <f>'Lab test'!AZ323</f>
        <v>1937</v>
      </c>
      <c r="J322">
        <f>IF('Lab test'!AU323&gt;0,'Lab test'!AU323,NA())</f>
        <v>0.54499995104976495</v>
      </c>
      <c r="K322">
        <f>IF('Lab test'!AT323&gt;0,'Lab test'!AT323,NA())</f>
        <v>0.12025106294422178</v>
      </c>
      <c r="L322">
        <f t="shared" si="26"/>
        <v>1</v>
      </c>
      <c r="M322">
        <f t="shared" si="27"/>
        <v>1937</v>
      </c>
      <c r="O322">
        <v>320</v>
      </c>
      <c r="P322">
        <v>1939</v>
      </c>
      <c r="Q322">
        <f t="shared" si="28"/>
        <v>0.49382716049382713</v>
      </c>
      <c r="R322" t="e">
        <f t="shared" si="29"/>
        <v>#N/A</v>
      </c>
      <c r="T322" t="e">
        <f t="shared" si="30"/>
        <v>#N/A</v>
      </c>
      <c r="U322">
        <f t="shared" si="31"/>
        <v>1939</v>
      </c>
      <c r="W322" t="e">
        <v>#N/A</v>
      </c>
      <c r="X322">
        <v>1939</v>
      </c>
    </row>
    <row r="323" spans="8:24">
      <c r="H323">
        <v>321</v>
      </c>
      <c r="I323">
        <f>'Lab test'!AZ324</f>
        <v>1937</v>
      </c>
      <c r="J323">
        <f>IF('Lab test'!AU324&gt;0,'Lab test'!AU324,NA())</f>
        <v>0.97101473037061137</v>
      </c>
      <c r="K323">
        <f>IF('Lab test'!AT324&gt;0,'Lab test'!AT324,NA())</f>
        <v>8.6051899270541202E-2</v>
      </c>
      <c r="L323">
        <f t="shared" si="26"/>
        <v>1</v>
      </c>
      <c r="M323">
        <f t="shared" si="27"/>
        <v>1937</v>
      </c>
      <c r="O323">
        <v>321</v>
      </c>
      <c r="P323">
        <v>1939</v>
      </c>
      <c r="Q323">
        <f t="shared" si="28"/>
        <v>0.49537037037037035</v>
      </c>
      <c r="R323" t="e">
        <f t="shared" si="29"/>
        <v>#N/A</v>
      </c>
      <c r="T323" t="e">
        <f t="shared" si="30"/>
        <v>#N/A</v>
      </c>
      <c r="U323">
        <f t="shared" si="31"/>
        <v>1939</v>
      </c>
      <c r="W323" t="e">
        <v>#N/A</v>
      </c>
      <c r="X323">
        <v>1939</v>
      </c>
    </row>
    <row r="324" spans="8:24">
      <c r="H324">
        <v>322</v>
      </c>
      <c r="I324">
        <f>'Lab test'!AZ325</f>
        <v>1937</v>
      </c>
      <c r="J324">
        <f>IF('Lab test'!AU325&gt;0,'Lab test'!AU325,NA())</f>
        <v>0.9088237138456039</v>
      </c>
      <c r="K324">
        <f>IF('Lab test'!AT325&gt;0,'Lab test'!AT325,NA())</f>
        <v>7.953423419951508E-2</v>
      </c>
      <c r="L324">
        <f t="shared" ref="L324:L387" si="32">IF(OR(ISNUMBER(J324),ISNUMBER(K324)),1,NA())</f>
        <v>1</v>
      </c>
      <c r="M324">
        <f t="shared" ref="M324:M387" si="33">IF(ISNUMBER(L324),I324,NA())</f>
        <v>1937</v>
      </c>
      <c r="O324">
        <v>322</v>
      </c>
      <c r="P324">
        <v>1939</v>
      </c>
      <c r="Q324">
        <f t="shared" ref="Q324:Q387" si="34">O324/COUNT($O$3:$O$650)</f>
        <v>0.49691358024691357</v>
      </c>
      <c r="R324" t="e">
        <f t="shared" ref="R324:R387" si="35">IF(P324=P325,NA(),Q324)</f>
        <v>#N/A</v>
      </c>
      <c r="T324" t="e">
        <f t="shared" ref="T324:T387" si="36">R324</f>
        <v>#N/A</v>
      </c>
      <c r="U324">
        <f t="shared" ref="U324:U387" si="37">P324</f>
        <v>1939</v>
      </c>
      <c r="W324" t="e">
        <v>#N/A</v>
      </c>
      <c r="X324">
        <v>1939</v>
      </c>
    </row>
    <row r="325" spans="8:24">
      <c r="H325">
        <v>323</v>
      </c>
      <c r="I325">
        <f>'Lab test'!AZ326</f>
        <v>1937</v>
      </c>
      <c r="J325">
        <f>IF('Lab test'!AU326&gt;0,'Lab test'!AU326,NA())</f>
        <v>0.77187509348136851</v>
      </c>
      <c r="K325">
        <f>IF('Lab test'!AT326&gt;0,'Lab test'!AT326,NA())</f>
        <v>7.632402556224846E-2</v>
      </c>
      <c r="L325">
        <f t="shared" si="32"/>
        <v>1</v>
      </c>
      <c r="M325">
        <f t="shared" si="33"/>
        <v>1937</v>
      </c>
      <c r="O325">
        <v>323</v>
      </c>
      <c r="P325">
        <v>1939</v>
      </c>
      <c r="Q325">
        <f t="shared" si="34"/>
        <v>0.49845679012345678</v>
      </c>
      <c r="R325" t="e">
        <f t="shared" si="35"/>
        <v>#N/A</v>
      </c>
      <c r="T325" t="e">
        <f t="shared" si="36"/>
        <v>#N/A</v>
      </c>
      <c r="U325">
        <f t="shared" si="37"/>
        <v>1939</v>
      </c>
      <c r="W325" t="e">
        <v>#N/A</v>
      </c>
      <c r="X325">
        <v>1939</v>
      </c>
    </row>
    <row r="326" spans="8:24">
      <c r="H326">
        <v>324</v>
      </c>
      <c r="I326">
        <f>'Lab test'!AZ327</f>
        <v>1937</v>
      </c>
      <c r="J326">
        <f>IF('Lab test'!AU327&gt;0,'Lab test'!AU327,NA())</f>
        <v>0.72941199556184444</v>
      </c>
      <c r="K326">
        <f>IF('Lab test'!AT327&gt;0,'Lab test'!AT327,NA())</f>
        <v>7.6633040601107247E-2</v>
      </c>
      <c r="L326">
        <f t="shared" si="32"/>
        <v>1</v>
      </c>
      <c r="M326">
        <f t="shared" si="33"/>
        <v>1937</v>
      </c>
      <c r="O326">
        <v>324</v>
      </c>
      <c r="P326">
        <v>1939</v>
      </c>
      <c r="Q326">
        <f t="shared" si="34"/>
        <v>0.5</v>
      </c>
      <c r="R326" t="e">
        <f t="shared" si="35"/>
        <v>#N/A</v>
      </c>
      <c r="T326" t="e">
        <f t="shared" si="36"/>
        <v>#N/A</v>
      </c>
      <c r="U326">
        <f t="shared" si="37"/>
        <v>1939</v>
      </c>
      <c r="W326" t="e">
        <v>#N/A</v>
      </c>
      <c r="X326">
        <v>1939</v>
      </c>
    </row>
    <row r="327" spans="8:24">
      <c r="H327">
        <v>325</v>
      </c>
      <c r="I327">
        <f>'Lab test'!AZ328</f>
        <v>1937</v>
      </c>
      <c r="J327">
        <f>IF('Lab test'!AU328&gt;0,'Lab test'!AU328,NA())</f>
        <v>1.0859375920649841</v>
      </c>
      <c r="K327">
        <f>IF('Lab test'!AT328&gt;0,'Lab test'!AT328,NA())</f>
        <v>7.5401556039258216E-2</v>
      </c>
      <c r="L327">
        <f t="shared" si="32"/>
        <v>1</v>
      </c>
      <c r="M327">
        <f t="shared" si="33"/>
        <v>1937</v>
      </c>
      <c r="O327">
        <v>325</v>
      </c>
      <c r="P327">
        <v>1939</v>
      </c>
      <c r="Q327">
        <f t="shared" si="34"/>
        <v>0.50154320987654322</v>
      </c>
      <c r="R327" t="e">
        <f t="shared" si="35"/>
        <v>#N/A</v>
      </c>
      <c r="T327" t="e">
        <f t="shared" si="36"/>
        <v>#N/A</v>
      </c>
      <c r="U327">
        <f t="shared" si="37"/>
        <v>1939</v>
      </c>
      <c r="W327" t="e">
        <v>#N/A</v>
      </c>
      <c r="X327">
        <v>1939</v>
      </c>
    </row>
    <row r="328" spans="8:24">
      <c r="H328">
        <v>326</v>
      </c>
      <c r="I328">
        <f>'Lab test'!AZ329</f>
        <v>1937</v>
      </c>
      <c r="J328">
        <f>IF('Lab test'!AU329&gt;0,'Lab test'!AU329,NA())</f>
        <v>1.1243076121164086</v>
      </c>
      <c r="K328">
        <f>IF('Lab test'!AT329&gt;0,'Lab test'!AT329,NA())</f>
        <v>7.8155201402365912E-2</v>
      </c>
      <c r="L328">
        <f t="shared" si="32"/>
        <v>1</v>
      </c>
      <c r="M328">
        <f t="shared" si="33"/>
        <v>1937</v>
      </c>
      <c r="O328">
        <v>326</v>
      </c>
      <c r="P328">
        <v>1939</v>
      </c>
      <c r="Q328">
        <f t="shared" si="34"/>
        <v>0.50308641975308643</v>
      </c>
      <c r="R328" t="e">
        <f t="shared" si="35"/>
        <v>#N/A</v>
      </c>
      <c r="T328" t="e">
        <f t="shared" si="36"/>
        <v>#N/A</v>
      </c>
      <c r="U328">
        <f t="shared" si="37"/>
        <v>1939</v>
      </c>
      <c r="W328" t="e">
        <v>#N/A</v>
      </c>
      <c r="X328">
        <v>1939</v>
      </c>
    </row>
    <row r="329" spans="8:24">
      <c r="H329">
        <v>327</v>
      </c>
      <c r="I329">
        <f>'Lab test'!AZ330</f>
        <v>1937</v>
      </c>
      <c r="J329">
        <f>IF('Lab test'!AU330&gt;0,'Lab test'!AU330,NA())</f>
        <v>0.95593752861096426</v>
      </c>
      <c r="K329">
        <f>IF('Lab test'!AT330&gt;0,'Lab test'!AT330,NA())</f>
        <v>0.12603249466126315</v>
      </c>
      <c r="L329">
        <f t="shared" si="32"/>
        <v>1</v>
      </c>
      <c r="M329">
        <f t="shared" si="33"/>
        <v>1937</v>
      </c>
      <c r="O329">
        <v>327</v>
      </c>
      <c r="P329">
        <v>1939</v>
      </c>
      <c r="Q329">
        <f t="shared" si="34"/>
        <v>0.50462962962962965</v>
      </c>
      <c r="R329" t="e">
        <f t="shared" si="35"/>
        <v>#N/A</v>
      </c>
      <c r="T329" t="e">
        <f t="shared" si="36"/>
        <v>#N/A</v>
      </c>
      <c r="U329">
        <f t="shared" si="37"/>
        <v>1939</v>
      </c>
      <c r="W329" t="e">
        <v>#N/A</v>
      </c>
      <c r="X329">
        <v>1939</v>
      </c>
    </row>
    <row r="330" spans="8:24">
      <c r="H330">
        <v>328</v>
      </c>
      <c r="I330">
        <f>'Lab test'!AZ331</f>
        <v>1937</v>
      </c>
      <c r="J330">
        <f>IF('Lab test'!AU331&gt;0,'Lab test'!AU331,NA())</f>
        <v>0.95484843557028409</v>
      </c>
      <c r="K330">
        <f>IF('Lab test'!AT331&gt;0,'Lab test'!AT331,NA())</f>
        <v>0.13053044207686629</v>
      </c>
      <c r="L330">
        <f t="shared" si="32"/>
        <v>1</v>
      </c>
      <c r="M330">
        <f t="shared" si="33"/>
        <v>1937</v>
      </c>
      <c r="O330">
        <v>328</v>
      </c>
      <c r="P330">
        <v>1939</v>
      </c>
      <c r="Q330">
        <f t="shared" si="34"/>
        <v>0.50617283950617287</v>
      </c>
      <c r="R330" t="e">
        <f t="shared" si="35"/>
        <v>#N/A</v>
      </c>
      <c r="T330" t="e">
        <f t="shared" si="36"/>
        <v>#N/A</v>
      </c>
      <c r="U330">
        <f t="shared" si="37"/>
        <v>1939</v>
      </c>
      <c r="W330" t="e">
        <v>#N/A</v>
      </c>
      <c r="X330">
        <v>1939</v>
      </c>
    </row>
    <row r="331" spans="8:24">
      <c r="H331">
        <v>329</v>
      </c>
      <c r="I331">
        <f>'Lab test'!AZ332</f>
        <v>1937</v>
      </c>
      <c r="J331">
        <f>IF('Lab test'!AU332&gt;0,'Lab test'!AU332,NA())</f>
        <v>0.72765425298947806</v>
      </c>
      <c r="K331">
        <f>IF('Lab test'!AT332&gt;0,'Lab test'!AT332,NA())</f>
        <v>0.15490699443535211</v>
      </c>
      <c r="L331">
        <f t="shared" si="32"/>
        <v>1</v>
      </c>
      <c r="M331">
        <f t="shared" si="33"/>
        <v>1937</v>
      </c>
      <c r="O331">
        <v>329</v>
      </c>
      <c r="P331">
        <v>1939</v>
      </c>
      <c r="Q331">
        <f t="shared" si="34"/>
        <v>0.50771604938271608</v>
      </c>
      <c r="R331" t="e">
        <f t="shared" si="35"/>
        <v>#N/A</v>
      </c>
      <c r="T331" t="e">
        <f t="shared" si="36"/>
        <v>#N/A</v>
      </c>
      <c r="U331">
        <f t="shared" si="37"/>
        <v>1939</v>
      </c>
      <c r="W331" t="e">
        <v>#N/A</v>
      </c>
      <c r="X331">
        <v>1939</v>
      </c>
    </row>
    <row r="332" spans="8:24">
      <c r="H332">
        <v>330</v>
      </c>
      <c r="I332">
        <f>'Lab test'!AZ333</f>
        <v>1937</v>
      </c>
      <c r="J332">
        <f>IF('Lab test'!AU333&gt;0,'Lab test'!AU333,NA())</f>
        <v>0.79898979022269889</v>
      </c>
      <c r="K332">
        <f>IF('Lab test'!AT333&gt;0,'Lab test'!AT333,NA())</f>
        <v>0.16365241490312282</v>
      </c>
      <c r="L332">
        <f t="shared" si="32"/>
        <v>1</v>
      </c>
      <c r="M332">
        <f t="shared" si="33"/>
        <v>1937</v>
      </c>
      <c r="O332">
        <v>330</v>
      </c>
      <c r="P332">
        <v>1939</v>
      </c>
      <c r="Q332">
        <f t="shared" si="34"/>
        <v>0.5092592592592593</v>
      </c>
      <c r="R332" t="e">
        <f t="shared" si="35"/>
        <v>#N/A</v>
      </c>
      <c r="T332" t="e">
        <f t="shared" si="36"/>
        <v>#N/A</v>
      </c>
      <c r="U332">
        <f t="shared" si="37"/>
        <v>1939</v>
      </c>
      <c r="W332" t="e">
        <v>#N/A</v>
      </c>
      <c r="X332">
        <v>1939</v>
      </c>
    </row>
    <row r="333" spans="8:24">
      <c r="H333">
        <v>331</v>
      </c>
      <c r="I333">
        <f>'Lab test'!AZ334</f>
        <v>1933</v>
      </c>
      <c r="J333">
        <f>IF('Lab test'!AU334&gt;0,'Lab test'!AU334,NA())</f>
        <v>5.730978260869566E-2</v>
      </c>
      <c r="K333">
        <f>IF('Lab test'!AT334&gt;0,'Lab test'!AT334,NA())</f>
        <v>0.42771599999999999</v>
      </c>
      <c r="L333">
        <f t="shared" si="32"/>
        <v>1</v>
      </c>
      <c r="M333">
        <f t="shared" si="33"/>
        <v>1933</v>
      </c>
      <c r="O333">
        <v>331</v>
      </c>
      <c r="P333">
        <v>1939</v>
      </c>
      <c r="Q333">
        <f t="shared" si="34"/>
        <v>0.51080246913580252</v>
      </c>
      <c r="R333" t="e">
        <f t="shared" si="35"/>
        <v>#N/A</v>
      </c>
      <c r="T333" t="e">
        <f t="shared" si="36"/>
        <v>#N/A</v>
      </c>
      <c r="U333">
        <f t="shared" si="37"/>
        <v>1939</v>
      </c>
      <c r="W333" t="e">
        <v>#N/A</v>
      </c>
      <c r="X333">
        <v>1939</v>
      </c>
    </row>
    <row r="334" spans="8:24">
      <c r="H334">
        <v>332</v>
      </c>
      <c r="I334">
        <f>'Lab test'!AZ335</f>
        <v>1933</v>
      </c>
      <c r="J334">
        <f>IF('Lab test'!AU335&gt;0,'Lab test'!AU335,NA())</f>
        <v>3.6363057065217391E-2</v>
      </c>
      <c r="K334">
        <f>IF('Lab test'!AT335&gt;0,'Lab test'!AT335,NA())</f>
        <v>0.27138580199999995</v>
      </c>
      <c r="L334">
        <f t="shared" si="32"/>
        <v>1</v>
      </c>
      <c r="M334">
        <f t="shared" si="33"/>
        <v>1933</v>
      </c>
      <c r="O334">
        <v>332</v>
      </c>
      <c r="P334">
        <v>1939</v>
      </c>
      <c r="Q334">
        <f t="shared" si="34"/>
        <v>0.51234567901234573</v>
      </c>
      <c r="R334" t="e">
        <f t="shared" si="35"/>
        <v>#N/A</v>
      </c>
      <c r="T334" t="e">
        <f t="shared" si="36"/>
        <v>#N/A</v>
      </c>
      <c r="U334">
        <f t="shared" si="37"/>
        <v>1939</v>
      </c>
      <c r="W334" t="e">
        <v>#N/A</v>
      </c>
      <c r="X334">
        <v>1939</v>
      </c>
    </row>
    <row r="335" spans="8:24">
      <c r="H335">
        <v>333</v>
      </c>
      <c r="I335">
        <f>'Lab test'!AZ336</f>
        <v>1933</v>
      </c>
      <c r="J335">
        <f>IF('Lab test'!AU336&gt;0,'Lab test'!AU336,NA())</f>
        <v>3.5130896739130439E-2</v>
      </c>
      <c r="K335">
        <f>IF('Lab test'!AT336&gt;0,'Lab test'!AT336,NA())</f>
        <v>0.29184929999999987</v>
      </c>
      <c r="L335">
        <f t="shared" si="32"/>
        <v>1</v>
      </c>
      <c r="M335">
        <f t="shared" si="33"/>
        <v>1933</v>
      </c>
      <c r="O335">
        <v>333</v>
      </c>
      <c r="P335">
        <v>1939</v>
      </c>
      <c r="Q335">
        <f t="shared" si="34"/>
        <v>0.51388888888888884</v>
      </c>
      <c r="R335" t="e">
        <f t="shared" si="35"/>
        <v>#N/A</v>
      </c>
      <c r="T335" t="e">
        <f t="shared" si="36"/>
        <v>#N/A</v>
      </c>
      <c r="U335">
        <f t="shared" si="37"/>
        <v>1939</v>
      </c>
      <c r="W335" t="e">
        <v>#N/A</v>
      </c>
      <c r="X335">
        <v>1939</v>
      </c>
    </row>
    <row r="336" spans="8:24">
      <c r="H336">
        <v>334</v>
      </c>
      <c r="I336">
        <f>'Lab test'!AZ337</f>
        <v>1933</v>
      </c>
      <c r="J336">
        <f>IF('Lab test'!AU337&gt;0,'Lab test'!AU337,NA())</f>
        <v>2.8872668478260873E-2</v>
      </c>
      <c r="K336">
        <f>IF('Lab test'!AT337&gt;0,'Lab test'!AT337,NA())</f>
        <v>0.23985917999999989</v>
      </c>
      <c r="L336">
        <f t="shared" si="32"/>
        <v>1</v>
      </c>
      <c r="M336">
        <f t="shared" si="33"/>
        <v>1933</v>
      </c>
      <c r="O336">
        <v>334</v>
      </c>
      <c r="P336">
        <v>1939</v>
      </c>
      <c r="Q336">
        <f t="shared" si="34"/>
        <v>0.51543209876543206</v>
      </c>
      <c r="R336" t="e">
        <f t="shared" si="35"/>
        <v>#N/A</v>
      </c>
      <c r="T336" t="e">
        <f t="shared" si="36"/>
        <v>#N/A</v>
      </c>
      <c r="U336">
        <f t="shared" si="37"/>
        <v>1939</v>
      </c>
      <c r="W336" t="e">
        <v>#N/A</v>
      </c>
      <c r="X336">
        <v>1939</v>
      </c>
    </row>
    <row r="337" spans="8:24">
      <c r="H337">
        <v>335</v>
      </c>
      <c r="I337">
        <f>'Lab test'!AZ338</f>
        <v>1933</v>
      </c>
      <c r="J337">
        <f>IF('Lab test'!AU338&gt;0,'Lab test'!AU338,NA())</f>
        <v>2.8874244497282611E-2</v>
      </c>
      <c r="K337">
        <f>IF('Lab test'!AT338&gt;0,'Lab test'!AT338,NA())</f>
        <v>0.23571871884000001</v>
      </c>
      <c r="L337">
        <f t="shared" si="32"/>
        <v>1</v>
      </c>
      <c r="M337">
        <f t="shared" si="33"/>
        <v>1933</v>
      </c>
      <c r="O337">
        <v>335</v>
      </c>
      <c r="P337">
        <v>1939</v>
      </c>
      <c r="Q337">
        <f t="shared" si="34"/>
        <v>0.51697530864197527</v>
      </c>
      <c r="R337" t="e">
        <f t="shared" si="35"/>
        <v>#N/A</v>
      </c>
      <c r="T337" t="e">
        <f t="shared" si="36"/>
        <v>#N/A</v>
      </c>
      <c r="U337">
        <f t="shared" si="37"/>
        <v>1939</v>
      </c>
      <c r="W337" t="e">
        <v>#N/A</v>
      </c>
      <c r="X337">
        <v>1939</v>
      </c>
    </row>
    <row r="338" spans="8:24">
      <c r="H338">
        <v>336</v>
      </c>
      <c r="I338">
        <f>'Lab test'!AZ339</f>
        <v>1933</v>
      </c>
      <c r="J338">
        <f>IF('Lab test'!AU339&gt;0,'Lab test'!AU339,NA())</f>
        <v>2.9468117119565217E-2</v>
      </c>
      <c r="K338">
        <f>IF('Lab test'!AT339&gt;0,'Lab test'!AT339,NA())</f>
        <v>0.24338875135999993</v>
      </c>
      <c r="L338">
        <f t="shared" si="32"/>
        <v>1</v>
      </c>
      <c r="M338">
        <f t="shared" si="33"/>
        <v>1933</v>
      </c>
      <c r="O338">
        <v>336</v>
      </c>
      <c r="P338">
        <v>1939</v>
      </c>
      <c r="Q338">
        <f t="shared" si="34"/>
        <v>0.51851851851851849</v>
      </c>
      <c r="R338">
        <f t="shared" si="35"/>
        <v>0.51851851851851849</v>
      </c>
      <c r="T338">
        <f t="shared" si="36"/>
        <v>0.51851851851851849</v>
      </c>
      <c r="U338">
        <f t="shared" si="37"/>
        <v>1939</v>
      </c>
      <c r="W338" t="e">
        <v>#N/A</v>
      </c>
      <c r="X338">
        <v>1939</v>
      </c>
    </row>
    <row r="339" spans="8:24">
      <c r="H339">
        <v>337</v>
      </c>
      <c r="I339">
        <f>'Lab test'!AZ340</f>
        <v>1933</v>
      </c>
      <c r="J339">
        <f>IF('Lab test'!AU340&gt;0,'Lab test'!AU340,NA())</f>
        <v>6.5055107246376823E-2</v>
      </c>
      <c r="K339">
        <f>IF('Lab test'!AT340&gt;0,'Lab test'!AT340,NA())</f>
        <v>0.34413609999999989</v>
      </c>
      <c r="L339">
        <f t="shared" si="32"/>
        <v>1</v>
      </c>
      <c r="M339">
        <f t="shared" si="33"/>
        <v>1933</v>
      </c>
      <c r="O339">
        <v>337</v>
      </c>
      <c r="P339">
        <v>1950</v>
      </c>
      <c r="Q339">
        <f t="shared" si="34"/>
        <v>0.52006172839506171</v>
      </c>
      <c r="R339" t="e">
        <f t="shared" si="35"/>
        <v>#N/A</v>
      </c>
      <c r="T339" t="e">
        <f t="shared" si="36"/>
        <v>#N/A</v>
      </c>
      <c r="U339">
        <f t="shared" si="37"/>
        <v>1950</v>
      </c>
      <c r="W339" t="e">
        <v>#N/A</v>
      </c>
      <c r="X339">
        <v>1939</v>
      </c>
    </row>
    <row r="340" spans="8:24">
      <c r="H340">
        <v>338</v>
      </c>
      <c r="I340">
        <f>'Lab test'!AZ341</f>
        <v>1933</v>
      </c>
      <c r="J340">
        <f>IF('Lab test'!AU341&gt;0,'Lab test'!AU341,NA())</f>
        <v>5.9557412008281581E-2</v>
      </c>
      <c r="K340">
        <f>IF('Lab test'!AT341&gt;0,'Lab test'!AT341,NA())</f>
        <v>0.3196530139999999</v>
      </c>
      <c r="L340">
        <f t="shared" si="32"/>
        <v>1</v>
      </c>
      <c r="M340">
        <f t="shared" si="33"/>
        <v>1933</v>
      </c>
      <c r="O340">
        <v>338</v>
      </c>
      <c r="P340">
        <v>1950</v>
      </c>
      <c r="Q340">
        <f t="shared" si="34"/>
        <v>0.52160493827160492</v>
      </c>
      <c r="R340" t="e">
        <f t="shared" si="35"/>
        <v>#N/A</v>
      </c>
      <c r="T340" t="e">
        <f t="shared" si="36"/>
        <v>#N/A</v>
      </c>
      <c r="U340">
        <f t="shared" si="37"/>
        <v>1950</v>
      </c>
      <c r="W340" t="e">
        <v>#N/A</v>
      </c>
      <c r="X340">
        <v>1939</v>
      </c>
    </row>
    <row r="341" spans="8:24">
      <c r="H341">
        <v>339</v>
      </c>
      <c r="I341">
        <f>'Lab test'!AZ342</f>
        <v>1933</v>
      </c>
      <c r="J341">
        <f>IF('Lab test'!AU342&gt;0,'Lab test'!AU342,NA())</f>
        <v>0.11408327645051196</v>
      </c>
      <c r="K341">
        <f>IF('Lab test'!AT342&gt;0,'Lab test'!AT342,NA())</f>
        <v>0.50927094399999995</v>
      </c>
      <c r="L341">
        <f t="shared" si="32"/>
        <v>1</v>
      </c>
      <c r="M341">
        <f t="shared" si="33"/>
        <v>1933</v>
      </c>
      <c r="O341">
        <v>339</v>
      </c>
      <c r="P341">
        <v>1950</v>
      </c>
      <c r="Q341">
        <f t="shared" si="34"/>
        <v>0.52314814814814814</v>
      </c>
      <c r="R341" t="e">
        <f t="shared" si="35"/>
        <v>#N/A</v>
      </c>
      <c r="T341" t="e">
        <f t="shared" si="36"/>
        <v>#N/A</v>
      </c>
      <c r="U341">
        <f t="shared" si="37"/>
        <v>1950</v>
      </c>
      <c r="W341" t="e">
        <v>#N/A</v>
      </c>
      <c r="X341">
        <v>1939</v>
      </c>
    </row>
    <row r="342" spans="8:24">
      <c r="H342">
        <v>340</v>
      </c>
      <c r="I342">
        <f>'Lab test'!AZ343</f>
        <v>1933</v>
      </c>
      <c r="J342">
        <f>IF('Lab test'!AU343&gt;0,'Lab test'!AU343,NA())</f>
        <v>9.0578440535573651E-2</v>
      </c>
      <c r="K342">
        <f>IF('Lab test'!AT343&gt;0,'Lab test'!AT343,NA())</f>
        <v>0.4312937664</v>
      </c>
      <c r="L342">
        <f t="shared" si="32"/>
        <v>1</v>
      </c>
      <c r="M342">
        <f t="shared" si="33"/>
        <v>1933</v>
      </c>
      <c r="O342">
        <v>340</v>
      </c>
      <c r="P342">
        <v>1950</v>
      </c>
      <c r="Q342">
        <f t="shared" si="34"/>
        <v>0.52469135802469136</v>
      </c>
      <c r="R342" t="e">
        <f t="shared" si="35"/>
        <v>#N/A</v>
      </c>
      <c r="T342" t="e">
        <f t="shared" si="36"/>
        <v>#N/A</v>
      </c>
      <c r="U342">
        <f t="shared" si="37"/>
        <v>1950</v>
      </c>
      <c r="W342" t="e">
        <v>#N/A</v>
      </c>
      <c r="X342">
        <v>1939</v>
      </c>
    </row>
    <row r="343" spans="8:24">
      <c r="H343">
        <v>341</v>
      </c>
      <c r="I343">
        <f>'Lab test'!AZ344</f>
        <v>1933</v>
      </c>
      <c r="J343">
        <f>IF('Lab test'!AU344&gt;0,'Lab test'!AU344,NA())</f>
        <v>0.11178934103439224</v>
      </c>
      <c r="K343">
        <f>IF('Lab test'!AT344&gt;0,'Lab test'!AT344,NA())</f>
        <v>0.52387499999999998</v>
      </c>
      <c r="L343">
        <f t="shared" si="32"/>
        <v>1</v>
      </c>
      <c r="M343">
        <f t="shared" si="33"/>
        <v>1933</v>
      </c>
      <c r="O343">
        <v>341</v>
      </c>
      <c r="P343">
        <v>1950</v>
      </c>
      <c r="Q343">
        <f t="shared" si="34"/>
        <v>0.52623456790123457</v>
      </c>
      <c r="R343" t="e">
        <f t="shared" si="35"/>
        <v>#N/A</v>
      </c>
      <c r="T343" t="e">
        <f t="shared" si="36"/>
        <v>#N/A</v>
      </c>
      <c r="U343">
        <f t="shared" si="37"/>
        <v>1950</v>
      </c>
      <c r="W343" t="e">
        <v>#N/A</v>
      </c>
      <c r="X343">
        <v>1939</v>
      </c>
    </row>
    <row r="344" spans="8:24">
      <c r="H344">
        <v>342</v>
      </c>
      <c r="I344">
        <f>'Lab test'!AZ345</f>
        <v>1933</v>
      </c>
      <c r="J344">
        <f>IF('Lab test'!AU345&gt;0,'Lab test'!AU345,NA())</f>
        <v>0.10952207928590181</v>
      </c>
      <c r="K344">
        <f>IF('Lab test'!AT345&gt;0,'Lab test'!AT345,NA())</f>
        <v>0.45737555200000007</v>
      </c>
      <c r="L344">
        <f t="shared" si="32"/>
        <v>1</v>
      </c>
      <c r="M344">
        <f t="shared" si="33"/>
        <v>1933</v>
      </c>
      <c r="O344">
        <v>342</v>
      </c>
      <c r="P344">
        <v>1950</v>
      </c>
      <c r="Q344">
        <f t="shared" si="34"/>
        <v>0.52777777777777779</v>
      </c>
      <c r="R344" t="e">
        <f t="shared" si="35"/>
        <v>#N/A</v>
      </c>
      <c r="T344" t="e">
        <f t="shared" si="36"/>
        <v>#N/A</v>
      </c>
      <c r="U344">
        <f t="shared" si="37"/>
        <v>1950</v>
      </c>
      <c r="W344" t="e">
        <v>#N/A</v>
      </c>
      <c r="X344">
        <v>1939</v>
      </c>
    </row>
    <row r="345" spans="8:24">
      <c r="H345">
        <v>343</v>
      </c>
      <c r="I345">
        <f>'Lab test'!AZ346</f>
        <v>1933</v>
      </c>
      <c r="J345">
        <f>IF('Lab test'!AU346&gt;0,'Lab test'!AU346,NA())</f>
        <v>0.10234953006038332</v>
      </c>
      <c r="K345">
        <f>IF('Lab test'!AT346&gt;0,'Lab test'!AT346,NA())</f>
        <v>0.43835797819999983</v>
      </c>
      <c r="L345">
        <f t="shared" si="32"/>
        <v>1</v>
      </c>
      <c r="M345">
        <f t="shared" si="33"/>
        <v>1933</v>
      </c>
      <c r="O345">
        <v>343</v>
      </c>
      <c r="P345">
        <v>1950</v>
      </c>
      <c r="Q345">
        <f t="shared" si="34"/>
        <v>0.52932098765432101</v>
      </c>
      <c r="R345" t="e">
        <f t="shared" si="35"/>
        <v>#N/A</v>
      </c>
      <c r="T345" t="e">
        <f t="shared" si="36"/>
        <v>#N/A</v>
      </c>
      <c r="U345">
        <f t="shared" si="37"/>
        <v>1950</v>
      </c>
      <c r="W345" t="e">
        <v>#N/A</v>
      </c>
      <c r="X345">
        <v>1939</v>
      </c>
    </row>
    <row r="346" spans="8:24">
      <c r="H346">
        <v>344</v>
      </c>
      <c r="I346">
        <f>'Lab test'!AZ347</f>
        <v>1933</v>
      </c>
      <c r="J346">
        <f>IF('Lab test'!AU347&gt;0,'Lab test'!AU347,NA())</f>
        <v>0.11255220792859019</v>
      </c>
      <c r="K346">
        <f>IF('Lab test'!AT347&gt;0,'Lab test'!AT347,NA())</f>
        <v>0.47803004479999994</v>
      </c>
      <c r="L346">
        <f t="shared" si="32"/>
        <v>1</v>
      </c>
      <c r="M346">
        <f t="shared" si="33"/>
        <v>1933</v>
      </c>
      <c r="O346">
        <v>344</v>
      </c>
      <c r="P346">
        <v>1950</v>
      </c>
      <c r="Q346">
        <f t="shared" si="34"/>
        <v>0.53086419753086422</v>
      </c>
      <c r="R346" t="e">
        <f t="shared" si="35"/>
        <v>#N/A</v>
      </c>
      <c r="T346" t="e">
        <f t="shared" si="36"/>
        <v>#N/A</v>
      </c>
      <c r="U346">
        <f t="shared" si="37"/>
        <v>1950</v>
      </c>
      <c r="W346" t="e">
        <v>#N/A</v>
      </c>
      <c r="X346">
        <v>1939</v>
      </c>
    </row>
    <row r="347" spans="8:24">
      <c r="H347">
        <v>345</v>
      </c>
      <c r="I347">
        <f>'Lab test'!AZ348</f>
        <v>1933</v>
      </c>
      <c r="J347">
        <f>IF('Lab test'!AU348&gt;0,'Lab test'!AU348,NA())</f>
        <v>0.12546493042793386</v>
      </c>
      <c r="K347">
        <f>IF('Lab test'!AT348&gt;0,'Lab test'!AT348,NA())</f>
        <v>0.53287276559999996</v>
      </c>
      <c r="L347">
        <f t="shared" si="32"/>
        <v>1</v>
      </c>
      <c r="M347">
        <f t="shared" si="33"/>
        <v>1933</v>
      </c>
      <c r="O347">
        <v>345</v>
      </c>
      <c r="P347">
        <v>1950</v>
      </c>
      <c r="Q347">
        <f t="shared" si="34"/>
        <v>0.53240740740740744</v>
      </c>
      <c r="R347" t="e">
        <f t="shared" si="35"/>
        <v>#N/A</v>
      </c>
      <c r="T347" t="e">
        <f t="shared" si="36"/>
        <v>#N/A</v>
      </c>
      <c r="U347">
        <f t="shared" si="37"/>
        <v>1950</v>
      </c>
      <c r="W347" t="e">
        <v>#N/A</v>
      </c>
      <c r="X347">
        <v>1939</v>
      </c>
    </row>
    <row r="348" spans="8:24">
      <c r="H348">
        <v>346</v>
      </c>
      <c r="I348">
        <f>'Lab test'!AZ349</f>
        <v>1933</v>
      </c>
      <c r="J348">
        <f>IF('Lab test'!AU349&gt;0,'Lab test'!AU349,NA())</f>
        <v>0.1641036970108696</v>
      </c>
      <c r="K348">
        <f>IF('Lab test'!AT349&gt;0,'Lab test'!AT349,NA())</f>
        <v>0.61648933120000005</v>
      </c>
      <c r="L348">
        <f t="shared" si="32"/>
        <v>1</v>
      </c>
      <c r="M348">
        <f t="shared" si="33"/>
        <v>1933</v>
      </c>
      <c r="O348">
        <v>346</v>
      </c>
      <c r="P348">
        <v>1950</v>
      </c>
      <c r="Q348">
        <f t="shared" si="34"/>
        <v>0.53395061728395066</v>
      </c>
      <c r="R348" t="e">
        <f t="shared" si="35"/>
        <v>#N/A</v>
      </c>
      <c r="T348" t="e">
        <f t="shared" si="36"/>
        <v>#N/A</v>
      </c>
      <c r="U348">
        <f t="shared" si="37"/>
        <v>1950</v>
      </c>
      <c r="W348" t="e">
        <v>#N/A</v>
      </c>
      <c r="X348">
        <v>1939</v>
      </c>
    </row>
    <row r="349" spans="8:24">
      <c r="H349">
        <v>347</v>
      </c>
      <c r="I349">
        <f>'Lab test'!AZ350</f>
        <v>1933</v>
      </c>
      <c r="J349">
        <f>IF('Lab test'!AU350&gt;0,'Lab test'!AU350,NA())</f>
        <v>0.1492295160326087</v>
      </c>
      <c r="K349">
        <f>IF('Lab test'!AT350&gt;0,'Lab test'!AT350,NA())</f>
        <v>0.56545467995999987</v>
      </c>
      <c r="L349">
        <f t="shared" si="32"/>
        <v>1</v>
      </c>
      <c r="M349">
        <f t="shared" si="33"/>
        <v>1933</v>
      </c>
      <c r="O349">
        <v>347</v>
      </c>
      <c r="P349">
        <v>1950</v>
      </c>
      <c r="Q349">
        <f t="shared" si="34"/>
        <v>0.53549382716049387</v>
      </c>
      <c r="R349" t="e">
        <f t="shared" si="35"/>
        <v>#N/A</v>
      </c>
      <c r="T349" t="e">
        <f t="shared" si="36"/>
        <v>#N/A</v>
      </c>
      <c r="U349">
        <f t="shared" si="37"/>
        <v>1950</v>
      </c>
      <c r="W349" t="e">
        <v>#N/A</v>
      </c>
      <c r="X349">
        <v>1939</v>
      </c>
    </row>
    <row r="350" spans="8:24">
      <c r="H350">
        <v>348</v>
      </c>
      <c r="I350">
        <f>'Lab test'!AZ351</f>
        <v>1933</v>
      </c>
      <c r="J350">
        <f>IF('Lab test'!AU351&gt;0,'Lab test'!AU351,NA())</f>
        <v>9.4701550271739141E-2</v>
      </c>
      <c r="K350">
        <f>IF('Lab test'!AT351&gt;0,'Lab test'!AT351,NA())</f>
        <v>0.3775583857999999</v>
      </c>
      <c r="L350">
        <f t="shared" si="32"/>
        <v>1</v>
      </c>
      <c r="M350">
        <f t="shared" si="33"/>
        <v>1933</v>
      </c>
      <c r="O350">
        <v>348</v>
      </c>
      <c r="P350">
        <v>1950</v>
      </c>
      <c r="Q350">
        <f t="shared" si="34"/>
        <v>0.53703703703703709</v>
      </c>
      <c r="R350" t="e">
        <f t="shared" si="35"/>
        <v>#N/A</v>
      </c>
      <c r="T350" t="e">
        <f t="shared" si="36"/>
        <v>#N/A</v>
      </c>
      <c r="U350">
        <f t="shared" si="37"/>
        <v>1950</v>
      </c>
      <c r="W350" t="e">
        <v>#N/A</v>
      </c>
      <c r="X350">
        <v>1939</v>
      </c>
    </row>
    <row r="351" spans="8:24">
      <c r="H351">
        <v>349</v>
      </c>
      <c r="I351">
        <f>'Lab test'!AZ352</f>
        <v>1933</v>
      </c>
      <c r="J351">
        <f>IF('Lab test'!AU352&gt;0,'Lab test'!AU352,NA())</f>
        <v>0.15542986141304346</v>
      </c>
      <c r="K351">
        <f>IF('Lab test'!AT352&gt;0,'Lab test'!AT352,NA())</f>
        <v>0.56394322559999988</v>
      </c>
      <c r="L351">
        <f t="shared" si="32"/>
        <v>1</v>
      </c>
      <c r="M351">
        <f t="shared" si="33"/>
        <v>1933</v>
      </c>
      <c r="O351">
        <v>349</v>
      </c>
      <c r="P351">
        <v>1950</v>
      </c>
      <c r="Q351">
        <f t="shared" si="34"/>
        <v>0.5385802469135802</v>
      </c>
      <c r="R351" t="e">
        <f t="shared" si="35"/>
        <v>#N/A</v>
      </c>
      <c r="T351" t="e">
        <f t="shared" si="36"/>
        <v>#N/A</v>
      </c>
      <c r="U351">
        <f t="shared" si="37"/>
        <v>1950</v>
      </c>
      <c r="W351" t="e">
        <v>#N/A</v>
      </c>
      <c r="X351">
        <v>1939</v>
      </c>
    </row>
    <row r="352" spans="8:24">
      <c r="H352">
        <v>350</v>
      </c>
      <c r="I352">
        <f>'Lab test'!AZ353</f>
        <v>1933</v>
      </c>
      <c r="J352">
        <f>IF('Lab test'!AU353&gt;0,'Lab test'!AU353,NA())</f>
        <v>0.11069957608695653</v>
      </c>
      <c r="K352">
        <f>IF('Lab test'!AT353&gt;0,'Lab test'!AT353,NA())</f>
        <v>0.42306675839999996</v>
      </c>
      <c r="L352">
        <f t="shared" si="32"/>
        <v>1</v>
      </c>
      <c r="M352">
        <f t="shared" si="33"/>
        <v>1933</v>
      </c>
      <c r="O352">
        <v>350</v>
      </c>
      <c r="P352">
        <v>1950</v>
      </c>
      <c r="Q352">
        <f t="shared" si="34"/>
        <v>0.54012345679012341</v>
      </c>
      <c r="R352" t="e">
        <f t="shared" si="35"/>
        <v>#N/A</v>
      </c>
      <c r="T352" t="e">
        <f t="shared" si="36"/>
        <v>#N/A</v>
      </c>
      <c r="U352">
        <f t="shared" si="37"/>
        <v>1950</v>
      </c>
      <c r="W352" t="e">
        <v>#N/A</v>
      </c>
      <c r="X352">
        <v>1939</v>
      </c>
    </row>
    <row r="353" spans="8:24">
      <c r="H353">
        <v>351</v>
      </c>
      <c r="I353">
        <f>'Lab test'!AZ354</f>
        <v>1933</v>
      </c>
      <c r="J353">
        <f>IF('Lab test'!AU354&gt;0,'Lab test'!AU354,NA())</f>
        <v>0.16189274290760869</v>
      </c>
      <c r="K353">
        <f>IF('Lab test'!AT354&gt;0,'Lab test'!AT354,NA())</f>
        <v>0.61871454590399988</v>
      </c>
      <c r="L353">
        <f t="shared" si="32"/>
        <v>1</v>
      </c>
      <c r="M353">
        <f t="shared" si="33"/>
        <v>1933</v>
      </c>
      <c r="O353">
        <v>351</v>
      </c>
      <c r="P353">
        <v>1950</v>
      </c>
      <c r="Q353">
        <f t="shared" si="34"/>
        <v>0.54166666666666663</v>
      </c>
      <c r="R353" t="e">
        <f t="shared" si="35"/>
        <v>#N/A</v>
      </c>
      <c r="T353" t="e">
        <f t="shared" si="36"/>
        <v>#N/A</v>
      </c>
      <c r="U353">
        <f t="shared" si="37"/>
        <v>1950</v>
      </c>
      <c r="W353" t="e">
        <v>#N/A</v>
      </c>
      <c r="X353">
        <v>1939</v>
      </c>
    </row>
    <row r="354" spans="8:24">
      <c r="H354">
        <v>352</v>
      </c>
      <c r="I354">
        <f>'Lab test'!AZ355</f>
        <v>1933</v>
      </c>
      <c r="J354">
        <f>IF('Lab test'!AU355&gt;0,'Lab test'!AU355,NA())</f>
        <v>0.11297763994565219</v>
      </c>
      <c r="K354">
        <f>IF('Lab test'!AT355&gt;0,'Lab test'!AT355,NA())</f>
        <v>0.43547121499999997</v>
      </c>
      <c r="L354">
        <f t="shared" si="32"/>
        <v>1</v>
      </c>
      <c r="M354">
        <f t="shared" si="33"/>
        <v>1933</v>
      </c>
      <c r="O354">
        <v>352</v>
      </c>
      <c r="P354">
        <v>1950</v>
      </c>
      <c r="Q354">
        <f t="shared" si="34"/>
        <v>0.54320987654320985</v>
      </c>
      <c r="R354" t="e">
        <f t="shared" si="35"/>
        <v>#N/A</v>
      </c>
      <c r="T354" t="e">
        <f t="shared" si="36"/>
        <v>#N/A</v>
      </c>
      <c r="U354">
        <f t="shared" si="37"/>
        <v>1950</v>
      </c>
      <c r="W354" t="e">
        <v>#N/A</v>
      </c>
      <c r="X354">
        <v>1939</v>
      </c>
    </row>
    <row r="355" spans="8:24">
      <c r="H355">
        <v>353</v>
      </c>
      <c r="I355">
        <f>'Lab test'!AZ356</f>
        <v>1933</v>
      </c>
      <c r="J355">
        <f>IF('Lab test'!AU356&gt;0,'Lab test'!AU356,NA())</f>
        <v>0.11069957608695653</v>
      </c>
      <c r="K355">
        <f>IF('Lab test'!AT356&gt;0,'Lab test'!AT356,NA())</f>
        <v>0.4599989504</v>
      </c>
      <c r="L355">
        <f t="shared" si="32"/>
        <v>1</v>
      </c>
      <c r="M355">
        <f t="shared" si="33"/>
        <v>1933</v>
      </c>
      <c r="O355">
        <v>353</v>
      </c>
      <c r="P355">
        <v>1950</v>
      </c>
      <c r="Q355">
        <f t="shared" si="34"/>
        <v>0.54475308641975306</v>
      </c>
      <c r="R355" t="e">
        <f t="shared" si="35"/>
        <v>#N/A</v>
      </c>
      <c r="T355" t="e">
        <f t="shared" si="36"/>
        <v>#N/A</v>
      </c>
      <c r="U355">
        <f t="shared" si="37"/>
        <v>1950</v>
      </c>
      <c r="W355" t="e">
        <v>#N/A</v>
      </c>
      <c r="X355">
        <v>1939</v>
      </c>
    </row>
    <row r="356" spans="8:24">
      <c r="H356">
        <v>354</v>
      </c>
      <c r="I356">
        <f>'Lab test'!AZ357</f>
        <v>1933</v>
      </c>
      <c r="J356">
        <f>IF('Lab test'!AU357&gt;0,'Lab test'!AU357,NA())</f>
        <v>9.5334823369565225E-2</v>
      </c>
      <c r="K356">
        <f>IF('Lab test'!AT357&gt;0,'Lab test'!AT357,NA())</f>
        <v>0.36746714999999996</v>
      </c>
      <c r="L356">
        <f t="shared" si="32"/>
        <v>1</v>
      </c>
      <c r="M356">
        <f t="shared" si="33"/>
        <v>1933</v>
      </c>
      <c r="O356">
        <v>354</v>
      </c>
      <c r="P356">
        <v>1950</v>
      </c>
      <c r="Q356">
        <f t="shared" si="34"/>
        <v>0.54629629629629628</v>
      </c>
      <c r="R356" t="e">
        <f t="shared" si="35"/>
        <v>#N/A</v>
      </c>
      <c r="T356" t="e">
        <f t="shared" si="36"/>
        <v>#N/A</v>
      </c>
      <c r="U356">
        <f t="shared" si="37"/>
        <v>1950</v>
      </c>
      <c r="W356" t="e">
        <v>#N/A</v>
      </c>
      <c r="X356">
        <v>1939</v>
      </c>
    </row>
    <row r="357" spans="8:24">
      <c r="H357">
        <v>355</v>
      </c>
      <c r="I357">
        <f>'Lab test'!AZ358</f>
        <v>1933</v>
      </c>
      <c r="J357">
        <f>IF('Lab test'!AU358&gt;0,'Lab test'!AU358,NA())</f>
        <v>0.15126914254076088</v>
      </c>
      <c r="K357">
        <f>IF('Lab test'!AT358&gt;0,'Lab test'!AT358,NA())</f>
        <v>0.56827368435199987</v>
      </c>
      <c r="L357">
        <f t="shared" si="32"/>
        <v>1</v>
      </c>
      <c r="M357">
        <f t="shared" si="33"/>
        <v>1933</v>
      </c>
      <c r="O357">
        <v>355</v>
      </c>
      <c r="P357">
        <v>1950</v>
      </c>
      <c r="Q357">
        <f t="shared" si="34"/>
        <v>0.5478395061728395</v>
      </c>
      <c r="R357" t="e">
        <f t="shared" si="35"/>
        <v>#N/A</v>
      </c>
      <c r="T357" t="e">
        <f t="shared" si="36"/>
        <v>#N/A</v>
      </c>
      <c r="U357">
        <f t="shared" si="37"/>
        <v>1950</v>
      </c>
      <c r="W357" t="e">
        <v>#N/A</v>
      </c>
      <c r="X357">
        <v>1939</v>
      </c>
    </row>
    <row r="358" spans="8:24">
      <c r="H358">
        <v>356</v>
      </c>
      <c r="I358">
        <f>'Lab test'!AZ359</f>
        <v>1933</v>
      </c>
      <c r="J358">
        <f>IF('Lab test'!AU359&gt;0,'Lab test'!AU359,NA())</f>
        <v>0.13478401222826086</v>
      </c>
      <c r="K358">
        <f>IF('Lab test'!AT359&gt;0,'Lab test'!AT359,NA())</f>
        <v>0.50634389759999987</v>
      </c>
      <c r="L358">
        <f t="shared" si="32"/>
        <v>1</v>
      </c>
      <c r="M358">
        <f t="shared" si="33"/>
        <v>1933</v>
      </c>
      <c r="O358">
        <v>356</v>
      </c>
      <c r="P358">
        <v>1950</v>
      </c>
      <c r="Q358">
        <f t="shared" si="34"/>
        <v>0.54938271604938271</v>
      </c>
      <c r="R358" t="e">
        <f t="shared" si="35"/>
        <v>#N/A</v>
      </c>
      <c r="T358" t="e">
        <f t="shared" si="36"/>
        <v>#N/A</v>
      </c>
      <c r="U358">
        <f t="shared" si="37"/>
        <v>1950</v>
      </c>
      <c r="W358" t="e">
        <v>#N/A</v>
      </c>
      <c r="X358">
        <v>1939</v>
      </c>
    </row>
    <row r="359" spans="8:24">
      <c r="H359">
        <v>357</v>
      </c>
      <c r="I359">
        <f>'Lab test'!AZ360</f>
        <v>1933</v>
      </c>
      <c r="J359">
        <f>IF('Lab test'!AU360&gt;0,'Lab test'!AU360,NA())</f>
        <v>8.5534850543478272E-2</v>
      </c>
      <c r="K359">
        <f>IF('Lab test'!AT360&gt;0,'Lab test'!AT360,NA())</f>
        <v>0.33816467999999994</v>
      </c>
      <c r="L359">
        <f t="shared" si="32"/>
        <v>1</v>
      </c>
      <c r="M359">
        <f t="shared" si="33"/>
        <v>1933</v>
      </c>
      <c r="O359">
        <v>357</v>
      </c>
      <c r="P359">
        <v>1950</v>
      </c>
      <c r="Q359">
        <f t="shared" si="34"/>
        <v>0.55092592592592593</v>
      </c>
      <c r="R359" t="e">
        <f t="shared" si="35"/>
        <v>#N/A</v>
      </c>
      <c r="T359" t="e">
        <f t="shared" si="36"/>
        <v>#N/A</v>
      </c>
      <c r="U359">
        <f t="shared" si="37"/>
        <v>1950</v>
      </c>
      <c r="W359" t="e">
        <v>#N/A</v>
      </c>
      <c r="X359">
        <v>1939</v>
      </c>
    </row>
    <row r="360" spans="8:24">
      <c r="H360">
        <v>358</v>
      </c>
      <c r="I360">
        <f>'Lab test'!AZ361</f>
        <v>1933</v>
      </c>
      <c r="J360">
        <f>IF('Lab test'!AU361&gt;0,'Lab test'!AU361,NA())</f>
        <v>0.12940548913043479</v>
      </c>
      <c r="K360">
        <f>IF('Lab test'!AT361&gt;0,'Lab test'!AT361,NA())</f>
        <v>0.48195655200000015</v>
      </c>
      <c r="L360">
        <f t="shared" si="32"/>
        <v>1</v>
      </c>
      <c r="M360">
        <f t="shared" si="33"/>
        <v>1933</v>
      </c>
      <c r="O360">
        <v>358</v>
      </c>
      <c r="P360">
        <v>1950</v>
      </c>
      <c r="Q360">
        <f t="shared" si="34"/>
        <v>0.55246913580246915</v>
      </c>
      <c r="R360" t="e">
        <f t="shared" si="35"/>
        <v>#N/A</v>
      </c>
      <c r="T360" t="e">
        <f t="shared" si="36"/>
        <v>#N/A</v>
      </c>
      <c r="U360">
        <f t="shared" si="37"/>
        <v>1950</v>
      </c>
      <c r="W360" t="e">
        <v>#N/A</v>
      </c>
      <c r="X360">
        <v>1939</v>
      </c>
    </row>
    <row r="361" spans="8:24">
      <c r="H361">
        <v>359</v>
      </c>
      <c r="I361">
        <f>'Lab test'!AZ362</f>
        <v>1933</v>
      </c>
      <c r="J361">
        <f>IF('Lab test'!AU362&gt;0,'Lab test'!AU362,NA())</f>
        <v>0.1452229891304348</v>
      </c>
      <c r="K361">
        <f>IF('Lab test'!AT362&gt;0,'Lab test'!AT362,NA())</f>
        <v>0.53619439999999985</v>
      </c>
      <c r="L361">
        <f t="shared" si="32"/>
        <v>1</v>
      </c>
      <c r="M361">
        <f t="shared" si="33"/>
        <v>1933</v>
      </c>
      <c r="O361">
        <v>359</v>
      </c>
      <c r="P361">
        <v>1950</v>
      </c>
      <c r="Q361">
        <f t="shared" si="34"/>
        <v>0.55401234567901236</v>
      </c>
      <c r="R361" t="e">
        <f t="shared" si="35"/>
        <v>#N/A</v>
      </c>
      <c r="T361" t="e">
        <f t="shared" si="36"/>
        <v>#N/A</v>
      </c>
      <c r="U361">
        <f t="shared" si="37"/>
        <v>1950</v>
      </c>
      <c r="W361" t="e">
        <v>#N/A</v>
      </c>
      <c r="X361">
        <v>1939</v>
      </c>
    </row>
    <row r="362" spans="8:24">
      <c r="H362">
        <v>360</v>
      </c>
      <c r="I362">
        <f>'Lab test'!AZ363</f>
        <v>1933</v>
      </c>
      <c r="J362">
        <f>IF('Lab test'!AU363&gt;0,'Lab test'!AU363,NA())</f>
        <v>0.11145606521739131</v>
      </c>
      <c r="K362">
        <f>IF('Lab test'!AT363&gt;0,'Lab test'!AT363,NA())</f>
        <v>0.41151967999999983</v>
      </c>
      <c r="L362">
        <f t="shared" si="32"/>
        <v>1</v>
      </c>
      <c r="M362">
        <f t="shared" si="33"/>
        <v>1933</v>
      </c>
      <c r="O362">
        <v>360</v>
      </c>
      <c r="P362">
        <v>1950</v>
      </c>
      <c r="Q362">
        <f t="shared" si="34"/>
        <v>0.55555555555555558</v>
      </c>
      <c r="R362" t="e">
        <f t="shared" si="35"/>
        <v>#N/A</v>
      </c>
      <c r="T362" t="e">
        <f t="shared" si="36"/>
        <v>#N/A</v>
      </c>
      <c r="U362">
        <f t="shared" si="37"/>
        <v>1950</v>
      </c>
      <c r="W362" t="e">
        <v>#N/A</v>
      </c>
      <c r="X362">
        <v>1939</v>
      </c>
    </row>
    <row r="363" spans="8:24">
      <c r="H363">
        <v>361</v>
      </c>
      <c r="I363">
        <f>'Lab test'!AZ364</f>
        <v>1933</v>
      </c>
      <c r="J363">
        <f>IF('Lab test'!AU364&gt;0,'Lab test'!AU364,NA())</f>
        <v>0.13028519429347829</v>
      </c>
      <c r="K363">
        <f>IF('Lab test'!AT364&gt;0,'Lab test'!AT364,NA())</f>
        <v>0.49791821040000001</v>
      </c>
      <c r="L363">
        <f t="shared" si="32"/>
        <v>1</v>
      </c>
      <c r="M363">
        <f t="shared" si="33"/>
        <v>1933</v>
      </c>
      <c r="O363">
        <v>361</v>
      </c>
      <c r="P363">
        <v>1950</v>
      </c>
      <c r="Q363">
        <f t="shared" si="34"/>
        <v>0.5570987654320988</v>
      </c>
      <c r="R363">
        <f t="shared" si="35"/>
        <v>0.5570987654320988</v>
      </c>
      <c r="T363">
        <f t="shared" si="36"/>
        <v>0.5570987654320988</v>
      </c>
      <c r="U363">
        <f t="shared" si="37"/>
        <v>1950</v>
      </c>
      <c r="W363" t="e">
        <v>#N/A</v>
      </c>
      <c r="X363">
        <v>1939</v>
      </c>
    </row>
    <row r="364" spans="8:24">
      <c r="H364">
        <v>362</v>
      </c>
      <c r="I364">
        <f>'Lab test'!AZ365</f>
        <v>1933</v>
      </c>
      <c r="J364">
        <f>IF('Lab test'!AU365&gt;0,'Lab test'!AU365,NA())</f>
        <v>0.11450494565217392</v>
      </c>
      <c r="K364">
        <f>IF('Lab test'!AT365&gt;0,'Lab test'!AT365,NA())</f>
        <v>0.44512243200000001</v>
      </c>
      <c r="L364">
        <f t="shared" si="32"/>
        <v>1</v>
      </c>
      <c r="M364">
        <f t="shared" si="33"/>
        <v>1933</v>
      </c>
      <c r="O364">
        <v>362</v>
      </c>
      <c r="P364">
        <v>1951</v>
      </c>
      <c r="Q364">
        <f t="shared" si="34"/>
        <v>0.55864197530864201</v>
      </c>
      <c r="R364">
        <f t="shared" si="35"/>
        <v>0.55864197530864201</v>
      </c>
      <c r="T364">
        <f t="shared" si="36"/>
        <v>0.55864197530864201</v>
      </c>
      <c r="U364">
        <f t="shared" si="37"/>
        <v>1951</v>
      </c>
      <c r="W364" t="e">
        <v>#N/A</v>
      </c>
      <c r="X364">
        <v>1950</v>
      </c>
    </row>
    <row r="365" spans="8:24">
      <c r="H365">
        <v>363</v>
      </c>
      <c r="I365">
        <f>'Lab test'!AZ366</f>
        <v>1933</v>
      </c>
      <c r="J365">
        <f>IF('Lab test'!AU366&gt;0,'Lab test'!AU366,NA())</f>
        <v>0.12852864945652173</v>
      </c>
      <c r="K365">
        <f>IF('Lab test'!AT366&gt;0,'Lab test'!AT366,NA())</f>
        <v>0.46633806719999993</v>
      </c>
      <c r="L365">
        <f t="shared" si="32"/>
        <v>1</v>
      </c>
      <c r="M365">
        <f t="shared" si="33"/>
        <v>1933</v>
      </c>
      <c r="O365">
        <v>363</v>
      </c>
      <c r="P365">
        <v>1952</v>
      </c>
      <c r="Q365">
        <f t="shared" si="34"/>
        <v>0.56018518518518523</v>
      </c>
      <c r="R365" t="e">
        <f t="shared" si="35"/>
        <v>#N/A</v>
      </c>
      <c r="T365" t="e">
        <f t="shared" si="36"/>
        <v>#N/A</v>
      </c>
      <c r="U365">
        <f t="shared" si="37"/>
        <v>1952</v>
      </c>
      <c r="W365" t="e">
        <v>#N/A</v>
      </c>
      <c r="X365">
        <v>1950</v>
      </c>
    </row>
    <row r="366" spans="8:24">
      <c r="H366">
        <v>364</v>
      </c>
      <c r="I366">
        <f>'Lab test'!AZ367</f>
        <v>1933</v>
      </c>
      <c r="J366">
        <f>IF('Lab test'!AU367&gt;0,'Lab test'!AU367,NA())</f>
        <v>0.11374845652173914</v>
      </c>
      <c r="K366">
        <f>IF('Lab test'!AT367&gt;0,'Lab test'!AT367,NA())</f>
        <v>0.41633958719999981</v>
      </c>
      <c r="L366">
        <f t="shared" si="32"/>
        <v>1</v>
      </c>
      <c r="M366">
        <f t="shared" si="33"/>
        <v>1933</v>
      </c>
      <c r="O366">
        <v>364</v>
      </c>
      <c r="P366">
        <v>1952</v>
      </c>
      <c r="Q366">
        <f t="shared" si="34"/>
        <v>0.56172839506172845</v>
      </c>
      <c r="R366" t="e">
        <f t="shared" si="35"/>
        <v>#N/A</v>
      </c>
      <c r="T366" t="e">
        <f t="shared" si="36"/>
        <v>#N/A</v>
      </c>
      <c r="U366">
        <f t="shared" si="37"/>
        <v>1952</v>
      </c>
      <c r="W366" t="e">
        <v>#N/A</v>
      </c>
      <c r="X366">
        <v>1950</v>
      </c>
    </row>
    <row r="367" spans="8:24">
      <c r="H367">
        <v>365</v>
      </c>
      <c r="I367">
        <f>'Lab test'!AZ368</f>
        <v>1933</v>
      </c>
      <c r="J367">
        <f>IF('Lab test'!AU368&gt;0,'Lab test'!AU368,NA())</f>
        <v>0.13028519429347829</v>
      </c>
      <c r="K367">
        <f>IF('Lab test'!AT368&gt;0,'Lab test'!AT368,NA())</f>
        <v>0.48944316159999995</v>
      </c>
      <c r="L367">
        <f t="shared" si="32"/>
        <v>1</v>
      </c>
      <c r="M367">
        <f t="shared" si="33"/>
        <v>1933</v>
      </c>
      <c r="O367">
        <v>365</v>
      </c>
      <c r="P367">
        <v>1952</v>
      </c>
      <c r="Q367">
        <f t="shared" si="34"/>
        <v>0.56327160493827155</v>
      </c>
      <c r="R367" t="e">
        <f t="shared" si="35"/>
        <v>#N/A</v>
      </c>
      <c r="T367" t="e">
        <f t="shared" si="36"/>
        <v>#N/A</v>
      </c>
      <c r="U367">
        <f t="shared" si="37"/>
        <v>1952</v>
      </c>
      <c r="W367" t="e">
        <v>#N/A</v>
      </c>
      <c r="X367">
        <v>1950</v>
      </c>
    </row>
    <row r="368" spans="8:24">
      <c r="H368">
        <v>366</v>
      </c>
      <c r="I368">
        <f>'Lab test'!AZ369</f>
        <v>1933</v>
      </c>
      <c r="J368">
        <f>IF('Lab test'!AU369&gt;0,'Lab test'!AU369,NA())</f>
        <v>0.1384919551630435</v>
      </c>
      <c r="K368">
        <f>IF('Lab test'!AT369&gt;0,'Lab test'!AT369,NA())</f>
        <v>0.51134197999999986</v>
      </c>
      <c r="L368">
        <f t="shared" si="32"/>
        <v>1</v>
      </c>
      <c r="M368">
        <f t="shared" si="33"/>
        <v>1933</v>
      </c>
      <c r="O368">
        <v>366</v>
      </c>
      <c r="P368">
        <v>1952</v>
      </c>
      <c r="Q368">
        <f t="shared" si="34"/>
        <v>0.56481481481481477</v>
      </c>
      <c r="R368" t="e">
        <f t="shared" si="35"/>
        <v>#N/A</v>
      </c>
      <c r="T368" t="e">
        <f t="shared" si="36"/>
        <v>#N/A</v>
      </c>
      <c r="U368">
        <f t="shared" si="37"/>
        <v>1952</v>
      </c>
      <c r="W368" t="e">
        <v>#N/A</v>
      </c>
      <c r="X368">
        <v>1950</v>
      </c>
    </row>
    <row r="369" spans="8:24">
      <c r="H369">
        <v>367</v>
      </c>
      <c r="I369">
        <f>'Lab test'!AZ370</f>
        <v>1933</v>
      </c>
      <c r="J369">
        <f>IF('Lab test'!AU370&gt;0,'Lab test'!AU370,NA())</f>
        <v>0.20765322153209109</v>
      </c>
      <c r="K369">
        <f>IF('Lab test'!AT370&gt;0,'Lab test'!AT370,NA())</f>
        <v>0.55232072999999982</v>
      </c>
      <c r="L369">
        <f t="shared" si="32"/>
        <v>1</v>
      </c>
      <c r="M369">
        <f t="shared" si="33"/>
        <v>1933</v>
      </c>
      <c r="O369">
        <v>367</v>
      </c>
      <c r="P369">
        <v>1952</v>
      </c>
      <c r="Q369">
        <f t="shared" si="34"/>
        <v>0.56635802469135799</v>
      </c>
      <c r="R369" t="e">
        <f t="shared" si="35"/>
        <v>#N/A</v>
      </c>
      <c r="T369" t="e">
        <f t="shared" si="36"/>
        <v>#N/A</v>
      </c>
      <c r="U369">
        <f t="shared" si="37"/>
        <v>1952</v>
      </c>
      <c r="W369" t="e">
        <v>#N/A</v>
      </c>
      <c r="X369">
        <v>1950</v>
      </c>
    </row>
    <row r="370" spans="8:24">
      <c r="H370">
        <v>368</v>
      </c>
      <c r="I370">
        <f>'Lab test'!AZ371</f>
        <v>1933</v>
      </c>
      <c r="J370">
        <f>IF('Lab test'!AU371&gt;0,'Lab test'!AU371,NA())</f>
        <v>0.19011652298136647</v>
      </c>
      <c r="K370">
        <f>IF('Lab test'!AT371&gt;0,'Lab test'!AT371,NA())</f>
        <v>0.50567622299999992</v>
      </c>
      <c r="L370">
        <f t="shared" si="32"/>
        <v>1</v>
      </c>
      <c r="M370">
        <f t="shared" si="33"/>
        <v>1933</v>
      </c>
      <c r="O370">
        <v>368</v>
      </c>
      <c r="P370">
        <v>1952</v>
      </c>
      <c r="Q370">
        <f t="shared" si="34"/>
        <v>0.5679012345679012</v>
      </c>
      <c r="R370">
        <f t="shared" si="35"/>
        <v>0.5679012345679012</v>
      </c>
      <c r="T370">
        <f t="shared" si="36"/>
        <v>0.5679012345679012</v>
      </c>
      <c r="U370">
        <f t="shared" si="37"/>
        <v>1952</v>
      </c>
      <c r="W370" t="e">
        <v>#N/A</v>
      </c>
      <c r="X370">
        <v>1950</v>
      </c>
    </row>
    <row r="371" spans="8:24">
      <c r="H371">
        <v>369</v>
      </c>
      <c r="I371">
        <f>'Lab test'!AZ372</f>
        <v>1933</v>
      </c>
      <c r="J371">
        <f>IF('Lab test'!AU372&gt;0,'Lab test'!AU372,NA())</f>
        <v>0.16597732919254657</v>
      </c>
      <c r="K371">
        <f>IF('Lab test'!AT372&gt;0,'Lab test'!AT372,NA())</f>
        <v>0.44147024999999984</v>
      </c>
      <c r="L371">
        <f t="shared" si="32"/>
        <v>1</v>
      </c>
      <c r="M371">
        <f t="shared" si="33"/>
        <v>1933</v>
      </c>
      <c r="O371">
        <v>369</v>
      </c>
      <c r="P371">
        <v>1957</v>
      </c>
      <c r="Q371">
        <f t="shared" si="34"/>
        <v>0.56944444444444442</v>
      </c>
      <c r="R371" t="e">
        <f t="shared" si="35"/>
        <v>#N/A</v>
      </c>
      <c r="T371" t="e">
        <f t="shared" si="36"/>
        <v>#N/A</v>
      </c>
      <c r="U371">
        <f t="shared" si="37"/>
        <v>1957</v>
      </c>
      <c r="W371" t="e">
        <v>#N/A</v>
      </c>
      <c r="X371">
        <v>1950</v>
      </c>
    </row>
    <row r="372" spans="8:24">
      <c r="H372">
        <v>370</v>
      </c>
      <c r="I372">
        <f>'Lab test'!AZ373</f>
        <v>1933</v>
      </c>
      <c r="J372">
        <f>IF('Lab test'!AU373&gt;0,'Lab test'!AU373,NA())</f>
        <v>0.1615369710144928</v>
      </c>
      <c r="K372">
        <f>IF('Lab test'!AT373&gt;0,'Lab test'!AT373,NA())</f>
        <v>0.42526421839999989</v>
      </c>
      <c r="L372">
        <f t="shared" si="32"/>
        <v>1</v>
      </c>
      <c r="M372">
        <f t="shared" si="33"/>
        <v>1933</v>
      </c>
      <c r="O372">
        <v>370</v>
      </c>
      <c r="P372">
        <v>1957</v>
      </c>
      <c r="Q372">
        <f t="shared" si="34"/>
        <v>0.57098765432098764</v>
      </c>
      <c r="R372" t="e">
        <f t="shared" si="35"/>
        <v>#N/A</v>
      </c>
      <c r="T372" t="e">
        <f t="shared" si="36"/>
        <v>#N/A</v>
      </c>
      <c r="U372">
        <f t="shared" si="37"/>
        <v>1957</v>
      </c>
      <c r="W372" t="e">
        <v>#N/A</v>
      </c>
      <c r="X372">
        <v>1950</v>
      </c>
    </row>
    <row r="373" spans="8:24">
      <c r="H373">
        <v>371</v>
      </c>
      <c r="I373">
        <f>'Lab test'!AZ374</f>
        <v>1933</v>
      </c>
      <c r="J373">
        <f>IF('Lab test'!AU374&gt;0,'Lab test'!AU374,NA())</f>
        <v>0.24235425003938041</v>
      </c>
      <c r="K373">
        <f>IF('Lab test'!AT374&gt;0,'Lab test'!AT374,NA())</f>
        <v>0.53759447203199984</v>
      </c>
      <c r="L373">
        <f t="shared" si="32"/>
        <v>1</v>
      </c>
      <c r="M373">
        <f t="shared" si="33"/>
        <v>1933</v>
      </c>
      <c r="O373">
        <v>371</v>
      </c>
      <c r="P373">
        <v>1957</v>
      </c>
      <c r="Q373">
        <f t="shared" si="34"/>
        <v>0.57253086419753085</v>
      </c>
      <c r="R373" t="e">
        <f t="shared" si="35"/>
        <v>#N/A</v>
      </c>
      <c r="T373" t="e">
        <f t="shared" si="36"/>
        <v>#N/A</v>
      </c>
      <c r="U373">
        <f t="shared" si="37"/>
        <v>1957</v>
      </c>
      <c r="W373" t="e">
        <v>#N/A</v>
      </c>
      <c r="X373">
        <v>1950</v>
      </c>
    </row>
    <row r="374" spans="8:24">
      <c r="H374">
        <v>372</v>
      </c>
      <c r="I374">
        <f>'Lab test'!AZ375</f>
        <v>1933</v>
      </c>
      <c r="J374">
        <f>IF('Lab test'!AU375&gt;0,'Lab test'!AU375,NA())</f>
        <v>0.22339196639537937</v>
      </c>
      <c r="K374">
        <f>IF('Lab test'!AT375&gt;0,'Lab test'!AT375,NA())</f>
        <v>0.47839674999999982</v>
      </c>
      <c r="L374">
        <f t="shared" si="32"/>
        <v>1</v>
      </c>
      <c r="M374">
        <f t="shared" si="33"/>
        <v>1933</v>
      </c>
      <c r="O374">
        <v>372</v>
      </c>
      <c r="P374">
        <v>1957</v>
      </c>
      <c r="Q374">
        <f t="shared" si="34"/>
        <v>0.57407407407407407</v>
      </c>
      <c r="R374" t="e">
        <f t="shared" si="35"/>
        <v>#N/A</v>
      </c>
      <c r="T374" t="e">
        <f t="shared" si="36"/>
        <v>#N/A</v>
      </c>
      <c r="U374">
        <f t="shared" si="37"/>
        <v>1957</v>
      </c>
      <c r="W374" t="e">
        <v>#N/A</v>
      </c>
      <c r="X374">
        <v>1950</v>
      </c>
    </row>
    <row r="375" spans="8:24">
      <c r="H375">
        <v>373</v>
      </c>
      <c r="I375">
        <f>'Lab test'!AZ376</f>
        <v>1933</v>
      </c>
      <c r="J375">
        <f>IF('Lab test'!AU376&gt;0,'Lab test'!AU376,NA())</f>
        <v>0.20177029141506961</v>
      </c>
      <c r="K375">
        <f>IF('Lab test'!AT376&gt;0,'Lab test'!AT376,NA())</f>
        <v>0.4475704191999999</v>
      </c>
      <c r="L375">
        <f t="shared" si="32"/>
        <v>1</v>
      </c>
      <c r="M375">
        <f t="shared" si="33"/>
        <v>1933</v>
      </c>
      <c r="O375">
        <v>373</v>
      </c>
      <c r="P375">
        <v>1957</v>
      </c>
      <c r="Q375">
        <f t="shared" si="34"/>
        <v>0.57561728395061729</v>
      </c>
      <c r="R375" t="e">
        <f t="shared" si="35"/>
        <v>#N/A</v>
      </c>
      <c r="T375" t="e">
        <f t="shared" si="36"/>
        <v>#N/A</v>
      </c>
      <c r="U375">
        <f t="shared" si="37"/>
        <v>1957</v>
      </c>
      <c r="W375" t="e">
        <v>#N/A</v>
      </c>
      <c r="X375">
        <v>1950</v>
      </c>
    </row>
    <row r="376" spans="8:24">
      <c r="H376">
        <v>374</v>
      </c>
      <c r="I376">
        <f>'Lab test'!AZ377</f>
        <v>1933</v>
      </c>
      <c r="J376">
        <f>IF('Lab test'!AU377&gt;0,'Lab test'!AU377,NA())</f>
        <v>0.22644876870569705</v>
      </c>
      <c r="K376">
        <f>IF('Lab test'!AT377&gt;0,'Lab test'!AT377,NA())</f>
        <v>0.50817047680000005</v>
      </c>
      <c r="L376">
        <f t="shared" si="32"/>
        <v>1</v>
      </c>
      <c r="M376">
        <f t="shared" si="33"/>
        <v>1933</v>
      </c>
      <c r="O376">
        <v>374</v>
      </c>
      <c r="P376">
        <v>1957</v>
      </c>
      <c r="Q376">
        <f t="shared" si="34"/>
        <v>0.5771604938271605</v>
      </c>
      <c r="R376" t="e">
        <f t="shared" si="35"/>
        <v>#N/A</v>
      </c>
      <c r="T376" t="e">
        <f t="shared" si="36"/>
        <v>#N/A</v>
      </c>
      <c r="U376">
        <f t="shared" si="37"/>
        <v>1957</v>
      </c>
      <c r="W376" t="e">
        <v>#N/A</v>
      </c>
      <c r="X376">
        <v>1950</v>
      </c>
    </row>
    <row r="377" spans="8:24">
      <c r="H377">
        <v>375</v>
      </c>
      <c r="I377">
        <f>'Lab test'!AZ378</f>
        <v>1933</v>
      </c>
      <c r="J377">
        <f>IF('Lab test'!AU378&gt;0,'Lab test'!AU378,NA())</f>
        <v>0.24400270937253873</v>
      </c>
      <c r="K377">
        <f>IF('Lab test'!AT378&gt;0,'Lab test'!AT378,NA())</f>
        <v>0.54756302660000011</v>
      </c>
      <c r="L377">
        <f t="shared" si="32"/>
        <v>1</v>
      </c>
      <c r="M377">
        <f t="shared" si="33"/>
        <v>1933</v>
      </c>
      <c r="O377">
        <v>375</v>
      </c>
      <c r="P377">
        <v>1957</v>
      </c>
      <c r="Q377">
        <f t="shared" si="34"/>
        <v>0.57870370370370372</v>
      </c>
      <c r="R377" t="e">
        <f t="shared" si="35"/>
        <v>#N/A</v>
      </c>
      <c r="T377" t="e">
        <f t="shared" si="36"/>
        <v>#N/A</v>
      </c>
      <c r="U377">
        <f t="shared" si="37"/>
        <v>1957</v>
      </c>
      <c r="W377" t="e">
        <v>#N/A</v>
      </c>
      <c r="X377">
        <v>1950</v>
      </c>
    </row>
    <row r="378" spans="8:24">
      <c r="H378">
        <v>376</v>
      </c>
      <c r="I378">
        <f>'Lab test'!AZ379</f>
        <v>1977</v>
      </c>
      <c r="J378">
        <f>IF('Lab test'!AU379&gt;0,'Lab test'!AU379,NA())</f>
        <v>0.9667307232158302</v>
      </c>
      <c r="K378">
        <f>IF('Lab test'!AT379&gt;0,'Lab test'!AT379,NA())</f>
        <v>4.8888694771544478E-2</v>
      </c>
      <c r="L378">
        <f t="shared" si="32"/>
        <v>1</v>
      </c>
      <c r="M378">
        <f t="shared" si="33"/>
        <v>1977</v>
      </c>
      <c r="O378">
        <v>376</v>
      </c>
      <c r="P378">
        <v>1957</v>
      </c>
      <c r="Q378">
        <f t="shared" si="34"/>
        <v>0.58024691358024694</v>
      </c>
      <c r="R378" t="e">
        <f t="shared" si="35"/>
        <v>#N/A</v>
      </c>
      <c r="T378" t="e">
        <f t="shared" si="36"/>
        <v>#N/A</v>
      </c>
      <c r="U378">
        <f t="shared" si="37"/>
        <v>1957</v>
      </c>
      <c r="W378" t="e">
        <v>#N/A</v>
      </c>
      <c r="X378">
        <v>1950</v>
      </c>
    </row>
    <row r="379" spans="8:24">
      <c r="H379">
        <v>377</v>
      </c>
      <c r="I379">
        <f>'Lab test'!AZ380</f>
        <v>1977</v>
      </c>
      <c r="J379">
        <f>IF('Lab test'!AU380&gt;0,'Lab test'!AU380,NA())</f>
        <v>0.97297777150801645</v>
      </c>
      <c r="K379">
        <f>IF('Lab test'!AT380&gt;0,'Lab test'!AT380,NA())</f>
        <v>4.9204615254720849E-2</v>
      </c>
      <c r="L379">
        <f t="shared" si="32"/>
        <v>1</v>
      </c>
      <c r="M379">
        <f t="shared" si="33"/>
        <v>1977</v>
      </c>
      <c r="O379">
        <v>377</v>
      </c>
      <c r="P379">
        <v>1957</v>
      </c>
      <c r="Q379">
        <f t="shared" si="34"/>
        <v>0.58179012345679015</v>
      </c>
      <c r="R379" t="e">
        <f t="shared" si="35"/>
        <v>#N/A</v>
      </c>
      <c r="T379" t="e">
        <f t="shared" si="36"/>
        <v>#N/A</v>
      </c>
      <c r="U379">
        <f t="shared" si="37"/>
        <v>1957</v>
      </c>
      <c r="W379" t="e">
        <v>#N/A</v>
      </c>
      <c r="X379">
        <v>1950</v>
      </c>
    </row>
    <row r="380" spans="8:24">
      <c r="H380">
        <v>378</v>
      </c>
      <c r="I380">
        <f>'Lab test'!AZ381</f>
        <v>1977</v>
      </c>
      <c r="J380">
        <f>IF('Lab test'!AU381&gt;0,'Lab test'!AU381,NA())</f>
        <v>0.77982887538641377</v>
      </c>
      <c r="K380">
        <f>IF('Lab test'!AT381&gt;0,'Lab test'!AT381,NA())</f>
        <v>4.4821218550648606E-2</v>
      </c>
      <c r="L380">
        <f t="shared" si="32"/>
        <v>1</v>
      </c>
      <c r="M380">
        <f t="shared" si="33"/>
        <v>1977</v>
      </c>
      <c r="O380">
        <v>378</v>
      </c>
      <c r="P380">
        <v>1957</v>
      </c>
      <c r="Q380">
        <f t="shared" si="34"/>
        <v>0.58333333333333337</v>
      </c>
      <c r="R380" t="e">
        <f t="shared" si="35"/>
        <v>#N/A</v>
      </c>
      <c r="T380" t="e">
        <f t="shared" si="36"/>
        <v>#N/A</v>
      </c>
      <c r="U380">
        <f t="shared" si="37"/>
        <v>1957</v>
      </c>
      <c r="W380" t="e">
        <v>#N/A</v>
      </c>
      <c r="X380">
        <v>1950</v>
      </c>
    </row>
    <row r="381" spans="8:24">
      <c r="H381">
        <v>379</v>
      </c>
      <c r="I381">
        <f>'Lab test'!AZ382</f>
        <v>1977</v>
      </c>
      <c r="J381">
        <f>IF('Lab test'!AU382&gt;0,'Lab test'!AU382,NA())</f>
        <v>0.7887608360736591</v>
      </c>
      <c r="K381">
        <f>IF('Lab test'!AT382&gt;0,'Lab test'!AT382,NA())</f>
        <v>4.5334589335810221E-2</v>
      </c>
      <c r="L381">
        <f t="shared" si="32"/>
        <v>1</v>
      </c>
      <c r="M381">
        <f t="shared" si="33"/>
        <v>1977</v>
      </c>
      <c r="O381">
        <v>379</v>
      </c>
      <c r="P381">
        <v>1957</v>
      </c>
      <c r="Q381">
        <f t="shared" si="34"/>
        <v>0.58487654320987659</v>
      </c>
      <c r="R381" t="e">
        <f t="shared" si="35"/>
        <v>#N/A</v>
      </c>
      <c r="T381" t="e">
        <f t="shared" si="36"/>
        <v>#N/A</v>
      </c>
      <c r="U381">
        <f t="shared" si="37"/>
        <v>1957</v>
      </c>
      <c r="W381" t="e">
        <v>#N/A</v>
      </c>
      <c r="X381">
        <v>1950</v>
      </c>
    </row>
    <row r="382" spans="8:24">
      <c r="H382">
        <v>380</v>
      </c>
      <c r="I382">
        <f>'Lab test'!AZ383</f>
        <v>1977</v>
      </c>
      <c r="J382">
        <f>IF('Lab test'!AU383&gt;0,'Lab test'!AU383,NA())</f>
        <v>0.98341477620702389</v>
      </c>
      <c r="K382">
        <f>IF('Lab test'!AT383&gt;0,'Lab test'!AT383,NA())</f>
        <v>8.2428591603750365E-2</v>
      </c>
      <c r="L382">
        <f t="shared" si="32"/>
        <v>1</v>
      </c>
      <c r="M382">
        <f t="shared" si="33"/>
        <v>1977</v>
      </c>
      <c r="O382">
        <v>380</v>
      </c>
      <c r="P382">
        <v>1957</v>
      </c>
      <c r="Q382">
        <f t="shared" si="34"/>
        <v>0.5864197530864198</v>
      </c>
      <c r="R382" t="e">
        <f t="shared" si="35"/>
        <v>#N/A</v>
      </c>
      <c r="T382" t="e">
        <f t="shared" si="36"/>
        <v>#N/A</v>
      </c>
      <c r="U382">
        <f t="shared" si="37"/>
        <v>1957</v>
      </c>
      <c r="W382" t="e">
        <v>#N/A</v>
      </c>
      <c r="X382">
        <v>1950</v>
      </c>
    </row>
    <row r="383" spans="8:24">
      <c r="H383">
        <v>381</v>
      </c>
      <c r="I383">
        <f>'Lab test'!AZ384</f>
        <v>1977</v>
      </c>
      <c r="J383">
        <f>IF('Lab test'!AU384&gt;0,'Lab test'!AU384,NA())</f>
        <v>0.94858117751894955</v>
      </c>
      <c r="K383">
        <f>IF('Lab test'!AT384&gt;0,'Lab test'!AT384,NA())</f>
        <v>7.9508883104532371E-2</v>
      </c>
      <c r="L383">
        <f t="shared" si="32"/>
        <v>1</v>
      </c>
      <c r="M383">
        <f t="shared" si="33"/>
        <v>1977</v>
      </c>
      <c r="O383">
        <v>381</v>
      </c>
      <c r="P383">
        <v>1957</v>
      </c>
      <c r="Q383">
        <f t="shared" si="34"/>
        <v>0.58796296296296291</v>
      </c>
      <c r="R383" t="e">
        <f t="shared" si="35"/>
        <v>#N/A</v>
      </c>
      <c r="T383" t="e">
        <f t="shared" si="36"/>
        <v>#N/A</v>
      </c>
      <c r="U383">
        <f t="shared" si="37"/>
        <v>1957</v>
      </c>
      <c r="W383" t="e">
        <v>#N/A</v>
      </c>
      <c r="X383">
        <v>1950</v>
      </c>
    </row>
    <row r="384" spans="8:24">
      <c r="H384">
        <v>382</v>
      </c>
      <c r="I384">
        <f>'Lab test'!AZ385</f>
        <v>1977</v>
      </c>
      <c r="J384">
        <f>IF('Lab test'!AU385&gt;0,'Lab test'!AU385,NA())</f>
        <v>0.75990373231486663</v>
      </c>
      <c r="K384">
        <f>IF('Lab test'!AT385&gt;0,'Lab test'!AT385,NA())</f>
        <v>4.3676006799134234E-2</v>
      </c>
      <c r="L384">
        <f t="shared" si="32"/>
        <v>1</v>
      </c>
      <c r="M384">
        <f t="shared" si="33"/>
        <v>1977</v>
      </c>
      <c r="O384">
        <v>382</v>
      </c>
      <c r="P384">
        <v>1957</v>
      </c>
      <c r="Q384">
        <f t="shared" si="34"/>
        <v>0.58950617283950613</v>
      </c>
      <c r="R384">
        <f t="shared" si="35"/>
        <v>0.58950617283950613</v>
      </c>
      <c r="T384">
        <f t="shared" si="36"/>
        <v>0.58950617283950613</v>
      </c>
      <c r="U384">
        <f t="shared" si="37"/>
        <v>1957</v>
      </c>
      <c r="W384" t="e">
        <v>#N/A</v>
      </c>
      <c r="X384">
        <v>1950</v>
      </c>
    </row>
    <row r="385" spans="8:24">
      <c r="H385">
        <v>383</v>
      </c>
      <c r="I385">
        <f>'Lab test'!AZ386</f>
        <v>1977</v>
      </c>
      <c r="J385">
        <f>IF('Lab test'!AU386&gt;0,'Lab test'!AU386,NA())</f>
        <v>0.92417270672531104</v>
      </c>
      <c r="K385">
        <f>IF('Lab test'!AT386&gt;0,'Lab test'!AT386,NA())</f>
        <v>4.6736486479905401E-2</v>
      </c>
      <c r="L385">
        <f t="shared" si="32"/>
        <v>1</v>
      </c>
      <c r="M385">
        <f t="shared" si="33"/>
        <v>1977</v>
      </c>
      <c r="O385">
        <v>383</v>
      </c>
      <c r="P385">
        <v>1959</v>
      </c>
      <c r="Q385">
        <f t="shared" si="34"/>
        <v>0.59104938271604934</v>
      </c>
      <c r="R385" t="e">
        <f t="shared" si="35"/>
        <v>#N/A</v>
      </c>
      <c r="T385" t="e">
        <f t="shared" si="36"/>
        <v>#N/A</v>
      </c>
      <c r="U385">
        <f t="shared" si="37"/>
        <v>1959</v>
      </c>
      <c r="W385" t="e">
        <v>#N/A</v>
      </c>
      <c r="X385">
        <v>1950</v>
      </c>
    </row>
    <row r="386" spans="8:24">
      <c r="H386">
        <v>384</v>
      </c>
      <c r="I386">
        <f>'Lab test'!AZ387</f>
        <v>1977</v>
      </c>
      <c r="J386">
        <f>IF('Lab test'!AU387&gt;0,'Lab test'!AU387,NA())</f>
        <v>0.96495988948486533</v>
      </c>
      <c r="K386">
        <f>IF('Lab test'!AT387&gt;0,'Lab test'!AT387,NA())</f>
        <v>8.0881726173701096E-2</v>
      </c>
      <c r="L386">
        <f t="shared" si="32"/>
        <v>1</v>
      </c>
      <c r="M386">
        <f t="shared" si="33"/>
        <v>1977</v>
      </c>
      <c r="O386">
        <v>384</v>
      </c>
      <c r="P386">
        <v>1959</v>
      </c>
      <c r="Q386">
        <f t="shared" si="34"/>
        <v>0.59259259259259256</v>
      </c>
      <c r="R386" t="e">
        <f t="shared" si="35"/>
        <v>#N/A</v>
      </c>
      <c r="T386" t="e">
        <f t="shared" si="36"/>
        <v>#N/A</v>
      </c>
      <c r="U386">
        <f t="shared" si="37"/>
        <v>1959</v>
      </c>
      <c r="W386" t="e">
        <v>#N/A</v>
      </c>
      <c r="X386">
        <v>1950</v>
      </c>
    </row>
    <row r="387" spans="8:24">
      <c r="H387">
        <v>385</v>
      </c>
      <c r="I387">
        <f>'Lab test'!AZ388</f>
        <v>1977</v>
      </c>
      <c r="J387">
        <f>IF('Lab test'!AU388&gt;0,'Lab test'!AU388,NA())</f>
        <v>0.94442882800646388</v>
      </c>
      <c r="K387">
        <f>IF('Lab test'!AT388&gt;0,'Lab test'!AT388,NA())</f>
        <v>7.9160838382771284E-2</v>
      </c>
      <c r="L387">
        <f t="shared" si="32"/>
        <v>1</v>
      </c>
      <c r="M387">
        <f t="shared" si="33"/>
        <v>1977</v>
      </c>
      <c r="O387">
        <v>385</v>
      </c>
      <c r="P387">
        <v>1959</v>
      </c>
      <c r="Q387">
        <f t="shared" si="34"/>
        <v>0.59413580246913578</v>
      </c>
      <c r="R387">
        <f t="shared" si="35"/>
        <v>0.59413580246913578</v>
      </c>
      <c r="T387">
        <f t="shared" si="36"/>
        <v>0.59413580246913578</v>
      </c>
      <c r="U387">
        <f t="shared" si="37"/>
        <v>1959</v>
      </c>
      <c r="W387" t="e">
        <v>#N/A</v>
      </c>
      <c r="X387">
        <v>1950</v>
      </c>
    </row>
    <row r="388" spans="8:24">
      <c r="H388">
        <v>386</v>
      </c>
      <c r="I388">
        <f>'Lab test'!AZ389</f>
        <v>1977</v>
      </c>
      <c r="J388">
        <f>IF('Lab test'!AU389&gt;0,'Lab test'!AU389,NA())</f>
        <v>0.47700358046184671</v>
      </c>
      <c r="K388">
        <f>IF('Lab test'!AT389&gt;0,'Lab test'!AT389,NA())</f>
        <v>0.39584279216259538</v>
      </c>
      <c r="L388">
        <f t="shared" ref="L388:L451" si="38">IF(OR(ISNUMBER(J388),ISNUMBER(K388)),1,NA())</f>
        <v>1</v>
      </c>
      <c r="M388">
        <f t="shared" ref="M388:M451" si="39">IF(ISNUMBER(L388),I388,NA())</f>
        <v>1977</v>
      </c>
      <c r="O388">
        <v>386</v>
      </c>
      <c r="P388">
        <v>1960</v>
      </c>
      <c r="Q388">
        <f t="shared" ref="Q388:Q451" si="40">O388/COUNT($O$3:$O$650)</f>
        <v>0.59567901234567899</v>
      </c>
      <c r="R388" t="e">
        <f t="shared" ref="R388:R451" si="41">IF(P388=P389,NA(),Q388)</f>
        <v>#N/A</v>
      </c>
      <c r="T388" t="e">
        <f t="shared" ref="T388:T451" si="42">R388</f>
        <v>#N/A</v>
      </c>
      <c r="U388">
        <f t="shared" ref="U388:U451" si="43">P388</f>
        <v>1960</v>
      </c>
      <c r="W388" t="e">
        <v>#N/A</v>
      </c>
      <c r="X388">
        <v>1952</v>
      </c>
    </row>
    <row r="389" spans="8:24">
      <c r="H389">
        <v>387</v>
      </c>
      <c r="I389">
        <f>'Lab test'!AZ390</f>
        <v>1977</v>
      </c>
      <c r="J389">
        <f>IF('Lab test'!AU390&gt;0,'Lab test'!AU390,NA())</f>
        <v>0.41707321880235193</v>
      </c>
      <c r="K389">
        <f>IF('Lab test'!AT390&gt;0,'Lab test'!AT390,NA())</f>
        <v>0.34610940929859391</v>
      </c>
      <c r="L389">
        <f t="shared" si="38"/>
        <v>1</v>
      </c>
      <c r="M389">
        <f t="shared" si="39"/>
        <v>1977</v>
      </c>
      <c r="O389">
        <v>387</v>
      </c>
      <c r="P389">
        <v>1960</v>
      </c>
      <c r="Q389">
        <f t="shared" si="40"/>
        <v>0.59722222222222221</v>
      </c>
      <c r="R389" t="e">
        <f t="shared" si="41"/>
        <v>#N/A</v>
      </c>
      <c r="T389" t="e">
        <f t="shared" si="42"/>
        <v>#N/A</v>
      </c>
      <c r="U389">
        <f t="shared" si="43"/>
        <v>1960</v>
      </c>
      <c r="W389" t="e">
        <v>#N/A</v>
      </c>
      <c r="X389">
        <v>1952</v>
      </c>
    </row>
    <row r="390" spans="8:24">
      <c r="H390">
        <v>388</v>
      </c>
      <c r="I390">
        <f>'Lab test'!AZ391</f>
        <v>1977</v>
      </c>
      <c r="J390">
        <f>IF('Lab test'!AU391&gt;0,'Lab test'!AU391,NA())</f>
        <v>0.50370362718279715</v>
      </c>
      <c r="K390">
        <f>IF('Lab test'!AT391&gt;0,'Lab test'!AT391,NA())</f>
        <v>0.48094983898594235</v>
      </c>
      <c r="L390">
        <f t="shared" si="38"/>
        <v>1</v>
      </c>
      <c r="M390">
        <f t="shared" si="39"/>
        <v>1977</v>
      </c>
      <c r="O390">
        <v>388</v>
      </c>
      <c r="P390">
        <v>1960</v>
      </c>
      <c r="Q390">
        <f t="shared" si="40"/>
        <v>0.59876543209876543</v>
      </c>
      <c r="R390" t="e">
        <f t="shared" si="41"/>
        <v>#N/A</v>
      </c>
      <c r="T390" t="e">
        <f t="shared" si="42"/>
        <v>#N/A</v>
      </c>
      <c r="U390">
        <f t="shared" si="43"/>
        <v>1960</v>
      </c>
      <c r="W390" t="e">
        <v>#N/A</v>
      </c>
      <c r="X390">
        <v>1952</v>
      </c>
    </row>
    <row r="391" spans="8:24">
      <c r="H391">
        <v>389</v>
      </c>
      <c r="I391">
        <f>'Lab test'!AZ392</f>
        <v>1977</v>
      </c>
      <c r="J391">
        <f>IF('Lab test'!AU392&gt;0,'Lab test'!AU392,NA())</f>
        <v>0.66901409889285135</v>
      </c>
      <c r="K391">
        <f>IF('Lab test'!AT392&gt;0,'Lab test'!AT392,NA())</f>
        <v>0.34117423294590943</v>
      </c>
      <c r="L391">
        <f t="shared" si="38"/>
        <v>1</v>
      </c>
      <c r="M391">
        <f t="shared" si="39"/>
        <v>1977</v>
      </c>
      <c r="O391">
        <v>389</v>
      </c>
      <c r="P391">
        <v>1960</v>
      </c>
      <c r="Q391">
        <f t="shared" si="40"/>
        <v>0.60030864197530864</v>
      </c>
      <c r="R391" t="e">
        <f t="shared" si="41"/>
        <v>#N/A</v>
      </c>
      <c r="T391" t="e">
        <f t="shared" si="42"/>
        <v>#N/A</v>
      </c>
      <c r="U391">
        <f t="shared" si="43"/>
        <v>1960</v>
      </c>
      <c r="W391" t="e">
        <v>#N/A</v>
      </c>
      <c r="X391">
        <v>1952</v>
      </c>
    </row>
    <row r="392" spans="8:24">
      <c r="H392">
        <v>390</v>
      </c>
      <c r="I392">
        <f>'Lab test'!AZ393</f>
        <v>1977</v>
      </c>
      <c r="J392">
        <f>IF('Lab test'!AU393&gt;0,'Lab test'!AU393,NA())</f>
        <v>0.66352651842924859</v>
      </c>
      <c r="K392">
        <f>IF('Lab test'!AT393&gt;0,'Lab test'!AT393,NA())</f>
        <v>0.3932687698735079</v>
      </c>
      <c r="L392">
        <f t="shared" si="38"/>
        <v>1</v>
      </c>
      <c r="M392">
        <f t="shared" si="39"/>
        <v>1977</v>
      </c>
      <c r="O392">
        <v>390</v>
      </c>
      <c r="P392">
        <v>1960</v>
      </c>
      <c r="Q392">
        <f t="shared" si="40"/>
        <v>0.60185185185185186</v>
      </c>
      <c r="R392" t="e">
        <f t="shared" si="41"/>
        <v>#N/A</v>
      </c>
      <c r="T392" t="e">
        <f t="shared" si="42"/>
        <v>#N/A</v>
      </c>
      <c r="U392">
        <f t="shared" si="43"/>
        <v>1960</v>
      </c>
      <c r="W392" t="e">
        <v>#N/A</v>
      </c>
      <c r="X392">
        <v>1952</v>
      </c>
    </row>
    <row r="393" spans="8:24">
      <c r="H393">
        <v>391</v>
      </c>
      <c r="I393">
        <f>'Lab test'!AZ394</f>
        <v>1977</v>
      </c>
      <c r="J393">
        <f>IF('Lab test'!AU394&gt;0,'Lab test'!AU394,NA())</f>
        <v>0.57594947399032614</v>
      </c>
      <c r="K393">
        <f>IF('Lab test'!AT394&gt;0,'Lab test'!AT394,NA())</f>
        <v>0.61573988743240926</v>
      </c>
      <c r="L393">
        <f t="shared" si="38"/>
        <v>1</v>
      </c>
      <c r="M393">
        <f t="shared" si="39"/>
        <v>1977</v>
      </c>
      <c r="O393">
        <v>391</v>
      </c>
      <c r="P393">
        <v>1960</v>
      </c>
      <c r="Q393">
        <f t="shared" si="40"/>
        <v>0.60339506172839508</v>
      </c>
      <c r="R393" t="e">
        <f t="shared" si="41"/>
        <v>#N/A</v>
      </c>
      <c r="T393" t="e">
        <f t="shared" si="42"/>
        <v>#N/A</v>
      </c>
      <c r="U393">
        <f t="shared" si="43"/>
        <v>1960</v>
      </c>
      <c r="W393" t="e">
        <v>#N/A</v>
      </c>
      <c r="X393">
        <v>1957</v>
      </c>
    </row>
    <row r="394" spans="8:24">
      <c r="H394">
        <v>392</v>
      </c>
      <c r="I394">
        <f>'Lab test'!AZ395</f>
        <v>1977</v>
      </c>
      <c r="J394">
        <f>IF('Lab test'!AU395&gt;0,'Lab test'!AU395,NA())</f>
        <v>0.29304071259381648</v>
      </c>
      <c r="K394">
        <f>IF('Lab test'!AT395&gt;0,'Lab test'!AT395,NA())</f>
        <v>0.4074949410901077</v>
      </c>
      <c r="L394">
        <f t="shared" si="38"/>
        <v>1</v>
      </c>
      <c r="M394">
        <f t="shared" si="39"/>
        <v>1977</v>
      </c>
      <c r="O394">
        <v>392</v>
      </c>
      <c r="P394">
        <v>1960</v>
      </c>
      <c r="Q394">
        <f t="shared" si="40"/>
        <v>0.60493827160493829</v>
      </c>
      <c r="R394" t="e">
        <f t="shared" si="41"/>
        <v>#N/A</v>
      </c>
      <c r="T394" t="e">
        <f t="shared" si="42"/>
        <v>#N/A</v>
      </c>
      <c r="U394">
        <f t="shared" si="43"/>
        <v>1960</v>
      </c>
      <c r="W394" t="e">
        <v>#N/A</v>
      </c>
      <c r="X394">
        <v>1957</v>
      </c>
    </row>
    <row r="395" spans="8:24">
      <c r="H395">
        <v>393</v>
      </c>
      <c r="I395">
        <f>'Lab test'!AZ396</f>
        <v>1977</v>
      </c>
      <c r="J395">
        <f>IF('Lab test'!AU396&gt;0,'Lab test'!AU396,NA())</f>
        <v>0.42813907384307182</v>
      </c>
      <c r="K395">
        <f>IF('Lab test'!AT396&gt;0,'Lab test'!AT396,NA())</f>
        <v>0.59535927663362243</v>
      </c>
      <c r="L395">
        <f t="shared" si="38"/>
        <v>1</v>
      </c>
      <c r="M395">
        <f t="shared" si="39"/>
        <v>1977</v>
      </c>
      <c r="O395">
        <v>393</v>
      </c>
      <c r="P395">
        <v>1960</v>
      </c>
      <c r="Q395">
        <f t="shared" si="40"/>
        <v>0.60648148148148151</v>
      </c>
      <c r="R395" t="e">
        <f t="shared" si="41"/>
        <v>#N/A</v>
      </c>
      <c r="T395" t="e">
        <f t="shared" si="42"/>
        <v>#N/A</v>
      </c>
      <c r="U395">
        <f t="shared" si="43"/>
        <v>1960</v>
      </c>
      <c r="W395" t="e">
        <v>#N/A</v>
      </c>
      <c r="X395">
        <v>1957</v>
      </c>
    </row>
    <row r="396" spans="8:24">
      <c r="H396">
        <v>394</v>
      </c>
      <c r="I396">
        <f>'Lab test'!AZ397</f>
        <v>1980</v>
      </c>
      <c r="J396">
        <f>IF('Lab test'!AU397&gt;0,'Lab test'!AU397,NA())</f>
        <v>1.056</v>
      </c>
      <c r="K396">
        <f>IF('Lab test'!AT397&gt;0,'Lab test'!AT397,NA())</f>
        <v>7.9408417129236825E-2</v>
      </c>
      <c r="L396">
        <f t="shared" si="38"/>
        <v>1</v>
      </c>
      <c r="M396">
        <f t="shared" si="39"/>
        <v>1980</v>
      </c>
      <c r="O396">
        <v>394</v>
      </c>
      <c r="P396">
        <v>1960</v>
      </c>
      <c r="Q396">
        <f t="shared" si="40"/>
        <v>0.60802469135802473</v>
      </c>
      <c r="R396" t="e">
        <f t="shared" si="41"/>
        <v>#N/A</v>
      </c>
      <c r="T396" t="e">
        <f t="shared" si="42"/>
        <v>#N/A</v>
      </c>
      <c r="U396">
        <f t="shared" si="43"/>
        <v>1960</v>
      </c>
      <c r="W396" t="e">
        <v>#N/A</v>
      </c>
      <c r="X396">
        <v>1957</v>
      </c>
    </row>
    <row r="397" spans="8:24">
      <c r="H397">
        <v>395</v>
      </c>
      <c r="I397">
        <f>'Lab test'!AZ398</f>
        <v>1980</v>
      </c>
      <c r="J397">
        <f>IF('Lab test'!AU398&gt;0,'Lab test'!AU398,NA())</f>
        <v>1.004</v>
      </c>
      <c r="K397">
        <f>IF('Lab test'!AT398&gt;0,'Lab test'!AT398,NA())</f>
        <v>9.6320296372152933E-2</v>
      </c>
      <c r="L397">
        <f t="shared" si="38"/>
        <v>1</v>
      </c>
      <c r="M397">
        <f t="shared" si="39"/>
        <v>1980</v>
      </c>
      <c r="O397">
        <v>395</v>
      </c>
      <c r="P397">
        <v>1960</v>
      </c>
      <c r="Q397">
        <f t="shared" si="40"/>
        <v>0.60956790123456794</v>
      </c>
      <c r="R397" t="e">
        <f t="shared" si="41"/>
        <v>#N/A</v>
      </c>
      <c r="T397" t="e">
        <f t="shared" si="42"/>
        <v>#N/A</v>
      </c>
      <c r="U397">
        <f t="shared" si="43"/>
        <v>1960</v>
      </c>
      <c r="W397" t="e">
        <v>#N/A</v>
      </c>
      <c r="X397">
        <v>1957</v>
      </c>
    </row>
    <row r="398" spans="8:24">
      <c r="H398">
        <v>396</v>
      </c>
      <c r="I398">
        <f>'Lab test'!AZ399</f>
        <v>1980</v>
      </c>
      <c r="J398">
        <f>IF('Lab test'!AU399&gt;0,'Lab test'!AU399,NA())</f>
        <v>0.999</v>
      </c>
      <c r="K398">
        <f>IF('Lab test'!AT399&gt;0,'Lab test'!AT399,NA())</f>
        <v>0.12533003319707886</v>
      </c>
      <c r="L398">
        <f t="shared" si="38"/>
        <v>1</v>
      </c>
      <c r="M398">
        <f t="shared" si="39"/>
        <v>1980</v>
      </c>
      <c r="O398">
        <v>396</v>
      </c>
      <c r="P398">
        <v>1960</v>
      </c>
      <c r="Q398">
        <f t="shared" si="40"/>
        <v>0.61111111111111116</v>
      </c>
      <c r="R398" t="e">
        <f t="shared" si="41"/>
        <v>#N/A</v>
      </c>
      <c r="T398" t="e">
        <f t="shared" si="42"/>
        <v>#N/A</v>
      </c>
      <c r="U398">
        <f t="shared" si="43"/>
        <v>1960</v>
      </c>
      <c r="W398" t="e">
        <v>#N/A</v>
      </c>
      <c r="X398">
        <v>1957</v>
      </c>
    </row>
    <row r="399" spans="8:24">
      <c r="H399">
        <v>397</v>
      </c>
      <c r="I399">
        <f>'Lab test'!AZ400</f>
        <v>1980</v>
      </c>
      <c r="J399">
        <f>IF('Lab test'!AU400&gt;0,'Lab test'!AU400,NA())</f>
        <v>0.88000000000000012</v>
      </c>
      <c r="K399">
        <f>IF('Lab test'!AT400&gt;0,'Lab test'!AT400,NA())</f>
        <v>0.16560124506520929</v>
      </c>
      <c r="L399">
        <f t="shared" si="38"/>
        <v>1</v>
      </c>
      <c r="M399">
        <f t="shared" si="39"/>
        <v>1980</v>
      </c>
      <c r="O399">
        <v>397</v>
      </c>
      <c r="P399">
        <v>1960</v>
      </c>
      <c r="Q399">
        <f t="shared" si="40"/>
        <v>0.61265432098765427</v>
      </c>
      <c r="R399" t="e">
        <f t="shared" si="41"/>
        <v>#N/A</v>
      </c>
      <c r="T399" t="e">
        <f t="shared" si="42"/>
        <v>#N/A</v>
      </c>
      <c r="U399">
        <f t="shared" si="43"/>
        <v>1960</v>
      </c>
      <c r="W399" t="e">
        <v>#N/A</v>
      </c>
      <c r="X399">
        <v>1957</v>
      </c>
    </row>
    <row r="400" spans="8:24">
      <c r="H400">
        <v>398</v>
      </c>
      <c r="I400">
        <f>'Lab test'!AZ401</f>
        <v>1980</v>
      </c>
      <c r="J400">
        <f>IF('Lab test'!AU401&gt;0,'Lab test'!AU401,NA())</f>
        <v>1.0089999999999999</v>
      </c>
      <c r="K400">
        <f>IF('Lab test'!AT401&gt;0,'Lab test'!AT401,NA())</f>
        <v>8.1983914528185653E-2</v>
      </c>
      <c r="L400">
        <f t="shared" si="38"/>
        <v>1</v>
      </c>
      <c r="M400">
        <f t="shared" si="39"/>
        <v>1980</v>
      </c>
      <c r="O400">
        <v>398</v>
      </c>
      <c r="P400">
        <v>1960</v>
      </c>
      <c r="Q400">
        <f t="shared" si="40"/>
        <v>0.61419753086419748</v>
      </c>
      <c r="R400" t="e">
        <f t="shared" si="41"/>
        <v>#N/A</v>
      </c>
      <c r="T400" t="e">
        <f t="shared" si="42"/>
        <v>#N/A</v>
      </c>
      <c r="U400">
        <f t="shared" si="43"/>
        <v>1960</v>
      </c>
      <c r="W400" t="e">
        <v>#N/A</v>
      </c>
      <c r="X400">
        <v>1957</v>
      </c>
    </row>
    <row r="401" spans="8:24">
      <c r="H401">
        <v>399</v>
      </c>
      <c r="I401">
        <f>'Lab test'!AZ402</f>
        <v>1980</v>
      </c>
      <c r="J401">
        <f>IF('Lab test'!AU402&gt;0,'Lab test'!AU402,NA())</f>
        <v>0.82899999999999985</v>
      </c>
      <c r="K401">
        <f>IF('Lab test'!AT402&gt;0,'Lab test'!AT402,NA())</f>
        <v>0.48983932113447265</v>
      </c>
      <c r="L401">
        <f t="shared" si="38"/>
        <v>1</v>
      </c>
      <c r="M401">
        <f t="shared" si="39"/>
        <v>1980</v>
      </c>
      <c r="O401">
        <v>399</v>
      </c>
      <c r="P401">
        <v>1960</v>
      </c>
      <c r="Q401">
        <f t="shared" si="40"/>
        <v>0.6157407407407407</v>
      </c>
      <c r="R401">
        <f t="shared" si="41"/>
        <v>0.6157407407407407</v>
      </c>
      <c r="T401">
        <f t="shared" si="42"/>
        <v>0.6157407407407407</v>
      </c>
      <c r="U401">
        <f t="shared" si="43"/>
        <v>1960</v>
      </c>
      <c r="W401" t="e">
        <v>#N/A</v>
      </c>
      <c r="X401">
        <v>1957</v>
      </c>
    </row>
    <row r="402" spans="8:24">
      <c r="H402">
        <v>400</v>
      </c>
      <c r="I402">
        <f>'Lab test'!AZ403</f>
        <v>1978</v>
      </c>
      <c r="J402">
        <f>IF('Lab test'!AU403&gt;0,'Lab test'!AU403,NA())</f>
        <v>0.81399999999999995</v>
      </c>
      <c r="K402">
        <f>IF('Lab test'!AT403&gt;0,'Lab test'!AT403,NA())</f>
        <v>0.31094652201830331</v>
      </c>
      <c r="L402">
        <f t="shared" si="38"/>
        <v>1</v>
      </c>
      <c r="M402">
        <f t="shared" si="39"/>
        <v>1978</v>
      </c>
      <c r="O402">
        <v>400</v>
      </c>
      <c r="P402">
        <v>1962</v>
      </c>
      <c r="Q402">
        <f t="shared" si="40"/>
        <v>0.61728395061728392</v>
      </c>
      <c r="R402" t="e">
        <f t="shared" si="41"/>
        <v>#N/A</v>
      </c>
      <c r="T402" t="e">
        <f t="shared" si="42"/>
        <v>#N/A</v>
      </c>
      <c r="U402">
        <f t="shared" si="43"/>
        <v>1962</v>
      </c>
      <c r="W402" t="e">
        <v>#N/A</v>
      </c>
      <c r="X402">
        <v>1957</v>
      </c>
    </row>
    <row r="403" spans="8:24">
      <c r="H403">
        <v>401</v>
      </c>
      <c r="I403">
        <f>'Lab test'!AZ404</f>
        <v>1978</v>
      </c>
      <c r="J403">
        <f>IF('Lab test'!AU404&gt;0,'Lab test'!AU404,NA())</f>
        <v>0.88900000000000001</v>
      </c>
      <c r="K403">
        <f>IF('Lab test'!AT404&gt;0,'Lab test'!AT404,NA())</f>
        <v>0.28351615416934006</v>
      </c>
      <c r="L403">
        <f t="shared" si="38"/>
        <v>1</v>
      </c>
      <c r="M403">
        <f t="shared" si="39"/>
        <v>1978</v>
      </c>
      <c r="O403">
        <v>401</v>
      </c>
      <c r="P403">
        <v>1962</v>
      </c>
      <c r="Q403">
        <f t="shared" si="40"/>
        <v>0.61882716049382713</v>
      </c>
      <c r="R403" t="e">
        <f t="shared" si="41"/>
        <v>#N/A</v>
      </c>
      <c r="T403" t="e">
        <f t="shared" si="42"/>
        <v>#N/A</v>
      </c>
      <c r="U403">
        <f t="shared" si="43"/>
        <v>1962</v>
      </c>
      <c r="W403" t="e">
        <v>#N/A</v>
      </c>
      <c r="X403">
        <v>1957</v>
      </c>
    </row>
    <row r="404" spans="8:24">
      <c r="H404">
        <v>402</v>
      </c>
      <c r="I404">
        <f>'Lab test'!AZ405</f>
        <v>1978</v>
      </c>
      <c r="J404">
        <f>IF('Lab test'!AU405&gt;0,'Lab test'!AU405,NA())</f>
        <v>0.94099999999999995</v>
      </c>
      <c r="K404">
        <f>IF('Lab test'!AT405&gt;0,'Lab test'!AT405,NA())</f>
        <v>0.23549427253480876</v>
      </c>
      <c r="L404">
        <f t="shared" si="38"/>
        <v>1</v>
      </c>
      <c r="M404">
        <f t="shared" si="39"/>
        <v>1978</v>
      </c>
      <c r="O404">
        <v>402</v>
      </c>
      <c r="P404">
        <v>1962</v>
      </c>
      <c r="Q404">
        <f t="shared" si="40"/>
        <v>0.62037037037037035</v>
      </c>
      <c r="R404" t="e">
        <f t="shared" si="41"/>
        <v>#N/A</v>
      </c>
      <c r="T404" t="e">
        <f t="shared" si="42"/>
        <v>#N/A</v>
      </c>
      <c r="U404">
        <f t="shared" si="43"/>
        <v>1962</v>
      </c>
      <c r="W404" t="e">
        <v>#N/A</v>
      </c>
      <c r="X404">
        <v>1957</v>
      </c>
    </row>
    <row r="405" spans="8:24">
      <c r="H405">
        <v>403</v>
      </c>
      <c r="I405">
        <f>'Lab test'!AZ406</f>
        <v>1977</v>
      </c>
      <c r="J405">
        <f>IF('Lab test'!AU406&gt;0,'Lab test'!AU406,NA())</f>
        <v>0.94099999999999995</v>
      </c>
      <c r="K405">
        <f>IF('Lab test'!AT406&gt;0,'Lab test'!AT406,NA())</f>
        <v>0.1047603066300252</v>
      </c>
      <c r="L405">
        <f t="shared" si="38"/>
        <v>1</v>
      </c>
      <c r="M405">
        <f t="shared" si="39"/>
        <v>1977</v>
      </c>
      <c r="O405">
        <v>403</v>
      </c>
      <c r="P405">
        <v>1962</v>
      </c>
      <c r="Q405">
        <f t="shared" si="40"/>
        <v>0.62191358024691357</v>
      </c>
      <c r="R405" t="e">
        <f t="shared" si="41"/>
        <v>#N/A</v>
      </c>
      <c r="T405" t="e">
        <f t="shared" si="42"/>
        <v>#N/A</v>
      </c>
      <c r="U405">
        <f t="shared" si="43"/>
        <v>1962</v>
      </c>
      <c r="W405" t="e">
        <v>#N/A</v>
      </c>
      <c r="X405">
        <v>1957</v>
      </c>
    </row>
    <row r="406" spans="8:24">
      <c r="H406">
        <v>404</v>
      </c>
      <c r="I406">
        <f>'Lab test'!AZ407</f>
        <v>1977</v>
      </c>
      <c r="J406">
        <f>IF('Lab test'!AU407&gt;0,'Lab test'!AU407,NA())</f>
        <v>1.008</v>
      </c>
      <c r="K406">
        <f>IF('Lab test'!AT407&gt;0,'Lab test'!AT407,NA())</f>
        <v>0.13086211614936263</v>
      </c>
      <c r="L406">
        <f t="shared" si="38"/>
        <v>1</v>
      </c>
      <c r="M406">
        <f t="shared" si="39"/>
        <v>1977</v>
      </c>
      <c r="O406">
        <v>404</v>
      </c>
      <c r="P406">
        <v>1962</v>
      </c>
      <c r="Q406">
        <f t="shared" si="40"/>
        <v>0.62345679012345678</v>
      </c>
      <c r="R406" t="e">
        <f t="shared" si="41"/>
        <v>#N/A</v>
      </c>
      <c r="T406" t="e">
        <f t="shared" si="42"/>
        <v>#N/A</v>
      </c>
      <c r="U406">
        <f t="shared" si="43"/>
        <v>1962</v>
      </c>
      <c r="W406" t="e">
        <v>#N/A</v>
      </c>
      <c r="X406">
        <v>1959</v>
      </c>
    </row>
    <row r="407" spans="8:24">
      <c r="H407">
        <v>405</v>
      </c>
      <c r="I407">
        <f>'Lab test'!AZ408</f>
        <v>1977</v>
      </c>
      <c r="J407">
        <f>IF('Lab test'!AU408&gt;0,'Lab test'!AU408,NA())</f>
        <v>0.98899999999999999</v>
      </c>
      <c r="K407">
        <f>IF('Lab test'!AT408&gt;0,'Lab test'!AT408,NA())</f>
        <v>0.18273899613595873</v>
      </c>
      <c r="L407">
        <f t="shared" si="38"/>
        <v>1</v>
      </c>
      <c r="M407">
        <f t="shared" si="39"/>
        <v>1977</v>
      </c>
      <c r="O407">
        <v>405</v>
      </c>
      <c r="P407">
        <v>1962</v>
      </c>
      <c r="Q407">
        <f t="shared" si="40"/>
        <v>0.625</v>
      </c>
      <c r="R407" t="e">
        <f t="shared" si="41"/>
        <v>#N/A</v>
      </c>
      <c r="T407" t="e">
        <f t="shared" si="42"/>
        <v>#N/A</v>
      </c>
      <c r="U407">
        <f t="shared" si="43"/>
        <v>1962</v>
      </c>
      <c r="W407" t="e">
        <v>#N/A</v>
      </c>
      <c r="X407">
        <v>1959</v>
      </c>
    </row>
    <row r="408" spans="8:24">
      <c r="H408">
        <v>406</v>
      </c>
      <c r="I408">
        <f>'Lab test'!AZ409</f>
        <v>1977</v>
      </c>
      <c r="J408">
        <f>IF('Lab test'!AU409&gt;0,'Lab test'!AU409,NA())</f>
        <v>1.0089999999999999</v>
      </c>
      <c r="K408">
        <f>IF('Lab test'!AT409&gt;0,'Lab test'!AT409,NA())</f>
        <v>0.18643442578481531</v>
      </c>
      <c r="L408">
        <f t="shared" si="38"/>
        <v>1</v>
      </c>
      <c r="M408">
        <f t="shared" si="39"/>
        <v>1977</v>
      </c>
      <c r="O408">
        <v>406</v>
      </c>
      <c r="P408">
        <v>1962</v>
      </c>
      <c r="Q408">
        <f t="shared" si="40"/>
        <v>0.62654320987654322</v>
      </c>
      <c r="R408" t="e">
        <f t="shared" si="41"/>
        <v>#N/A</v>
      </c>
      <c r="T408" t="e">
        <f t="shared" si="42"/>
        <v>#N/A</v>
      </c>
      <c r="U408">
        <f t="shared" si="43"/>
        <v>1962</v>
      </c>
      <c r="W408" t="e">
        <v>#N/A</v>
      </c>
      <c r="X408">
        <v>1960</v>
      </c>
    </row>
    <row r="409" spans="8:24">
      <c r="H409">
        <v>407</v>
      </c>
      <c r="I409">
        <f>'Lab test'!AZ410</f>
        <v>1977</v>
      </c>
      <c r="J409">
        <f>IF('Lab test'!AU410&gt;0,'Lab test'!AU410,NA())</f>
        <v>0.95099999999999996</v>
      </c>
      <c r="K409">
        <f>IF('Lab test'!AT410&gt;0,'Lab test'!AT410,NA())</f>
        <v>0.20277121058715084</v>
      </c>
      <c r="L409">
        <f t="shared" si="38"/>
        <v>1</v>
      </c>
      <c r="M409">
        <f t="shared" si="39"/>
        <v>1977</v>
      </c>
      <c r="O409">
        <v>407</v>
      </c>
      <c r="P409">
        <v>1962</v>
      </c>
      <c r="Q409">
        <f t="shared" si="40"/>
        <v>0.62808641975308643</v>
      </c>
      <c r="R409" t="e">
        <f t="shared" si="41"/>
        <v>#N/A</v>
      </c>
      <c r="T409" t="e">
        <f t="shared" si="42"/>
        <v>#N/A</v>
      </c>
      <c r="U409">
        <f t="shared" si="43"/>
        <v>1962</v>
      </c>
      <c r="W409" t="e">
        <v>#N/A</v>
      </c>
      <c r="X409">
        <v>1960</v>
      </c>
    </row>
    <row r="410" spans="8:24">
      <c r="H410">
        <v>408</v>
      </c>
      <c r="I410">
        <f>'Lab test'!AZ411</f>
        <v>1977</v>
      </c>
      <c r="J410">
        <f>IF('Lab test'!AU411&gt;0,'Lab test'!AU411,NA())</f>
        <v>0.872</v>
      </c>
      <c r="K410">
        <f>IF('Lab test'!AT411&gt;0,'Lab test'!AT411,NA())</f>
        <v>0.27816602428044396</v>
      </c>
      <c r="L410">
        <f t="shared" si="38"/>
        <v>1</v>
      </c>
      <c r="M410">
        <f t="shared" si="39"/>
        <v>1977</v>
      </c>
      <c r="O410">
        <v>408</v>
      </c>
      <c r="P410">
        <v>1962</v>
      </c>
      <c r="Q410">
        <f t="shared" si="40"/>
        <v>0.62962962962962965</v>
      </c>
      <c r="R410" t="e">
        <f t="shared" si="41"/>
        <v>#N/A</v>
      </c>
      <c r="T410" t="e">
        <f t="shared" si="42"/>
        <v>#N/A</v>
      </c>
      <c r="U410">
        <f t="shared" si="43"/>
        <v>1962</v>
      </c>
      <c r="W410" t="e">
        <v>#N/A</v>
      </c>
      <c r="X410">
        <v>1960</v>
      </c>
    </row>
    <row r="411" spans="8:24">
      <c r="H411">
        <v>409</v>
      </c>
      <c r="I411">
        <f>'Lab test'!AZ412</f>
        <v>1977</v>
      </c>
      <c r="J411">
        <f>IF('Lab test'!AU412&gt;0,'Lab test'!AU412,NA())</f>
        <v>0.91200000000000003</v>
      </c>
      <c r="K411">
        <f>IF('Lab test'!AT412&gt;0,'Lab test'!AT412,NA())</f>
        <v>0.53930509707657448</v>
      </c>
      <c r="L411">
        <f t="shared" si="38"/>
        <v>1</v>
      </c>
      <c r="M411">
        <f t="shared" si="39"/>
        <v>1977</v>
      </c>
      <c r="O411">
        <v>409</v>
      </c>
      <c r="P411">
        <v>1962</v>
      </c>
      <c r="Q411">
        <f t="shared" si="40"/>
        <v>0.63117283950617287</v>
      </c>
      <c r="R411" t="e">
        <f t="shared" si="41"/>
        <v>#N/A</v>
      </c>
      <c r="T411" t="e">
        <f t="shared" si="42"/>
        <v>#N/A</v>
      </c>
      <c r="U411">
        <f t="shared" si="43"/>
        <v>1962</v>
      </c>
      <c r="W411" t="e">
        <v>#N/A</v>
      </c>
      <c r="X411">
        <v>1960</v>
      </c>
    </row>
    <row r="412" spans="8:24">
      <c r="H412">
        <v>410</v>
      </c>
      <c r="I412">
        <f>'Lab test'!AZ413</f>
        <v>1971</v>
      </c>
      <c r="J412" t="e">
        <f>IF('Lab test'!AU413&gt;0,'Lab test'!AU413,NA())</f>
        <v>#N/A</v>
      </c>
      <c r="K412">
        <f>IF('Lab test'!AT413&gt;0,'Lab test'!AT413,NA())</f>
        <v>0.39676768308876392</v>
      </c>
      <c r="L412">
        <f t="shared" si="38"/>
        <v>1</v>
      </c>
      <c r="M412">
        <f t="shared" si="39"/>
        <v>1971</v>
      </c>
      <c r="O412">
        <v>410</v>
      </c>
      <c r="P412">
        <v>1962</v>
      </c>
      <c r="Q412">
        <f t="shared" si="40"/>
        <v>0.63271604938271608</v>
      </c>
      <c r="R412" t="e">
        <f t="shared" si="41"/>
        <v>#N/A</v>
      </c>
      <c r="T412" t="e">
        <f t="shared" si="42"/>
        <v>#N/A</v>
      </c>
      <c r="U412">
        <f t="shared" si="43"/>
        <v>1962</v>
      </c>
      <c r="W412" t="e">
        <v>#N/A</v>
      </c>
      <c r="X412">
        <v>1960</v>
      </c>
    </row>
    <row r="413" spans="8:24">
      <c r="H413">
        <v>411</v>
      </c>
      <c r="I413">
        <f>'Lab test'!AZ414</f>
        <v>1971</v>
      </c>
      <c r="J413" t="e">
        <f>IF('Lab test'!AU414&gt;0,'Lab test'!AU414,NA())</f>
        <v>#N/A</v>
      </c>
      <c r="K413">
        <f>IF('Lab test'!AT414&gt;0,'Lab test'!AT414,NA())</f>
        <v>0.37033167311551884</v>
      </c>
      <c r="L413">
        <f t="shared" si="38"/>
        <v>1</v>
      </c>
      <c r="M413">
        <f t="shared" si="39"/>
        <v>1971</v>
      </c>
      <c r="O413">
        <v>411</v>
      </c>
      <c r="P413">
        <v>1962</v>
      </c>
      <c r="Q413">
        <f t="shared" si="40"/>
        <v>0.6342592592592593</v>
      </c>
      <c r="R413" t="e">
        <f t="shared" si="41"/>
        <v>#N/A</v>
      </c>
      <c r="T413" t="e">
        <f t="shared" si="42"/>
        <v>#N/A</v>
      </c>
      <c r="U413">
        <f t="shared" si="43"/>
        <v>1962</v>
      </c>
      <c r="W413" t="e">
        <v>#N/A</v>
      </c>
      <c r="X413">
        <v>1960</v>
      </c>
    </row>
    <row r="414" spans="8:24">
      <c r="H414">
        <v>412</v>
      </c>
      <c r="I414">
        <f>'Lab test'!AZ415</f>
        <v>1971</v>
      </c>
      <c r="J414" t="e">
        <f>IF('Lab test'!AU415&gt;0,'Lab test'!AU415,NA())</f>
        <v>#N/A</v>
      </c>
      <c r="K414">
        <f>IF('Lab test'!AT415&gt;0,'Lab test'!AT415,NA())</f>
        <v>0.55795464324285493</v>
      </c>
      <c r="L414">
        <f t="shared" si="38"/>
        <v>1</v>
      </c>
      <c r="M414">
        <f t="shared" si="39"/>
        <v>1971</v>
      </c>
      <c r="O414">
        <v>412</v>
      </c>
      <c r="P414">
        <v>1962</v>
      </c>
      <c r="Q414">
        <f t="shared" si="40"/>
        <v>0.63580246913580252</v>
      </c>
      <c r="R414" t="e">
        <f t="shared" si="41"/>
        <v>#N/A</v>
      </c>
      <c r="T414" t="e">
        <f t="shared" si="42"/>
        <v>#N/A</v>
      </c>
      <c r="U414">
        <f t="shared" si="43"/>
        <v>1962</v>
      </c>
      <c r="W414" t="e">
        <v>#N/A</v>
      </c>
      <c r="X414">
        <v>1960</v>
      </c>
    </row>
    <row r="415" spans="8:24">
      <c r="H415">
        <v>413</v>
      </c>
      <c r="I415">
        <f>'Lab test'!AZ416</f>
        <v>1971</v>
      </c>
      <c r="J415" t="e">
        <f>IF('Lab test'!AU416&gt;0,'Lab test'!AU416,NA())</f>
        <v>#N/A</v>
      </c>
      <c r="K415">
        <f>IF('Lab test'!AT416&gt;0,'Lab test'!AT416,NA())</f>
        <v>0.47116176195567699</v>
      </c>
      <c r="L415">
        <f t="shared" si="38"/>
        <v>1</v>
      </c>
      <c r="M415">
        <f t="shared" si="39"/>
        <v>1971</v>
      </c>
      <c r="O415">
        <v>413</v>
      </c>
      <c r="P415">
        <v>1962</v>
      </c>
      <c r="Q415">
        <f t="shared" si="40"/>
        <v>0.63734567901234573</v>
      </c>
      <c r="R415">
        <f t="shared" si="41"/>
        <v>0.63734567901234573</v>
      </c>
      <c r="T415">
        <f t="shared" si="42"/>
        <v>0.63734567901234573</v>
      </c>
      <c r="U415">
        <f t="shared" si="43"/>
        <v>1962</v>
      </c>
      <c r="W415" t="e">
        <v>#N/A</v>
      </c>
      <c r="X415">
        <v>1960</v>
      </c>
    </row>
    <row r="416" spans="8:24">
      <c r="H416">
        <v>414</v>
      </c>
      <c r="I416">
        <f>'Lab test'!AZ417</f>
        <v>1971</v>
      </c>
      <c r="J416" t="e">
        <f>IF('Lab test'!AU417&gt;0,'Lab test'!AU417,NA())</f>
        <v>#N/A</v>
      </c>
      <c r="K416">
        <f>IF('Lab test'!AT417&gt;0,'Lab test'!AT417,NA())</f>
        <v>0.83900341109296039</v>
      </c>
      <c r="L416">
        <f t="shared" si="38"/>
        <v>1</v>
      </c>
      <c r="M416">
        <f t="shared" si="39"/>
        <v>1971</v>
      </c>
      <c r="O416">
        <v>414</v>
      </c>
      <c r="P416">
        <v>1964</v>
      </c>
      <c r="Q416">
        <f t="shared" si="40"/>
        <v>0.63888888888888884</v>
      </c>
      <c r="R416" t="e">
        <f t="shared" si="41"/>
        <v>#N/A</v>
      </c>
      <c r="T416" t="e">
        <f t="shared" si="42"/>
        <v>#N/A</v>
      </c>
      <c r="U416">
        <f t="shared" si="43"/>
        <v>1964</v>
      </c>
      <c r="W416" t="e">
        <v>#N/A</v>
      </c>
      <c r="X416">
        <v>1960</v>
      </c>
    </row>
    <row r="417" spans="8:24">
      <c r="H417">
        <v>415</v>
      </c>
      <c r="I417">
        <f>'Lab test'!AZ418</f>
        <v>1971</v>
      </c>
      <c r="J417" t="e">
        <f>IF('Lab test'!AU418&gt;0,'Lab test'!AU418,NA())</f>
        <v>#N/A</v>
      </c>
      <c r="K417">
        <f>IF('Lab test'!AT418&gt;0,'Lab test'!AT418,NA())</f>
        <v>0.80734306339192341</v>
      </c>
      <c r="L417">
        <f t="shared" si="38"/>
        <v>1</v>
      </c>
      <c r="M417">
        <f t="shared" si="39"/>
        <v>1971</v>
      </c>
      <c r="O417">
        <v>415</v>
      </c>
      <c r="P417">
        <v>1964</v>
      </c>
      <c r="Q417">
        <f t="shared" si="40"/>
        <v>0.64043209876543206</v>
      </c>
      <c r="R417" t="e">
        <f t="shared" si="41"/>
        <v>#N/A</v>
      </c>
      <c r="T417" t="e">
        <f t="shared" si="42"/>
        <v>#N/A</v>
      </c>
      <c r="U417">
        <f t="shared" si="43"/>
        <v>1964</v>
      </c>
      <c r="W417" t="e">
        <v>#N/A</v>
      </c>
      <c r="X417">
        <v>1960</v>
      </c>
    </row>
    <row r="418" spans="8:24">
      <c r="H418">
        <v>416</v>
      </c>
      <c r="I418">
        <f>'Lab test'!AZ419</f>
        <v>1971</v>
      </c>
      <c r="J418">
        <f>IF('Lab test'!AU419&gt;0,'Lab test'!AU419,NA())</f>
        <v>0.93832837067054176</v>
      </c>
      <c r="K418">
        <f>IF('Lab test'!AT419&gt;0,'Lab test'!AT419,NA())</f>
        <v>6.5115662194649218E-2</v>
      </c>
      <c r="L418">
        <f t="shared" si="38"/>
        <v>1</v>
      </c>
      <c r="M418">
        <f t="shared" si="39"/>
        <v>1971</v>
      </c>
      <c r="O418">
        <v>416</v>
      </c>
      <c r="P418">
        <v>1964</v>
      </c>
      <c r="Q418">
        <f t="shared" si="40"/>
        <v>0.64197530864197527</v>
      </c>
      <c r="R418" t="e">
        <f t="shared" si="41"/>
        <v>#N/A</v>
      </c>
      <c r="T418" t="e">
        <f t="shared" si="42"/>
        <v>#N/A</v>
      </c>
      <c r="U418">
        <f t="shared" si="43"/>
        <v>1964</v>
      </c>
      <c r="W418" t="e">
        <v>#N/A</v>
      </c>
      <c r="X418">
        <v>1960</v>
      </c>
    </row>
    <row r="419" spans="8:24">
      <c r="H419">
        <v>417</v>
      </c>
      <c r="I419">
        <f>'Lab test'!AZ420</f>
        <v>1971</v>
      </c>
      <c r="J419">
        <f>IF('Lab test'!AU420&gt;0,'Lab test'!AU420,NA())</f>
        <v>0.78687246647398568</v>
      </c>
      <c r="K419">
        <f>IF('Lab test'!AT420&gt;0,'Lab test'!AT420,NA())</f>
        <v>9.5159583048022869E-2</v>
      </c>
      <c r="L419">
        <f t="shared" si="38"/>
        <v>1</v>
      </c>
      <c r="M419">
        <f t="shared" si="39"/>
        <v>1971</v>
      </c>
      <c r="O419">
        <v>417</v>
      </c>
      <c r="P419">
        <v>1964</v>
      </c>
      <c r="Q419">
        <f t="shared" si="40"/>
        <v>0.64351851851851849</v>
      </c>
      <c r="R419" t="e">
        <f t="shared" si="41"/>
        <v>#N/A</v>
      </c>
      <c r="T419" t="e">
        <f t="shared" si="42"/>
        <v>#N/A</v>
      </c>
      <c r="U419">
        <f t="shared" si="43"/>
        <v>1964</v>
      </c>
      <c r="W419" t="e">
        <v>#N/A</v>
      </c>
      <c r="X419">
        <v>1960</v>
      </c>
    </row>
    <row r="420" spans="8:24">
      <c r="H420">
        <v>418</v>
      </c>
      <c r="I420">
        <f>'Lab test'!AZ421</f>
        <v>1971</v>
      </c>
      <c r="J420">
        <f>IF('Lab test'!AU421&gt;0,'Lab test'!AU421,NA())</f>
        <v>0.6899256031818416</v>
      </c>
      <c r="K420">
        <f>IF('Lab test'!AT421&gt;0,'Lab test'!AT421,NA())</f>
        <v>0.1903381081546337</v>
      </c>
      <c r="L420">
        <f t="shared" si="38"/>
        <v>1</v>
      </c>
      <c r="M420">
        <f t="shared" si="39"/>
        <v>1971</v>
      </c>
      <c r="O420">
        <v>418</v>
      </c>
      <c r="P420">
        <v>1964</v>
      </c>
      <c r="Q420">
        <f t="shared" si="40"/>
        <v>0.64506172839506171</v>
      </c>
      <c r="R420" t="e">
        <f t="shared" si="41"/>
        <v>#N/A</v>
      </c>
      <c r="T420" t="e">
        <f t="shared" si="42"/>
        <v>#N/A</v>
      </c>
      <c r="U420">
        <f t="shared" si="43"/>
        <v>1964</v>
      </c>
      <c r="W420" t="e">
        <v>#N/A</v>
      </c>
      <c r="X420">
        <v>1960</v>
      </c>
    </row>
    <row r="421" spans="8:24">
      <c r="H421">
        <v>419</v>
      </c>
      <c r="I421">
        <f>'Lab test'!AZ422</f>
        <v>1971</v>
      </c>
      <c r="J421">
        <f>IF('Lab test'!AU422&gt;0,'Lab test'!AU422,NA())</f>
        <v>1.0233330653028985</v>
      </c>
      <c r="K421">
        <f>IF('Lab test'!AT422&gt;0,'Lab test'!AT422,NA())</f>
        <v>0.26524512189269084</v>
      </c>
      <c r="L421">
        <f t="shared" si="38"/>
        <v>1</v>
      </c>
      <c r="M421">
        <f t="shared" si="39"/>
        <v>1971</v>
      </c>
      <c r="O421">
        <v>419</v>
      </c>
      <c r="P421">
        <v>1964</v>
      </c>
      <c r="Q421">
        <f t="shared" si="40"/>
        <v>0.64660493827160492</v>
      </c>
      <c r="R421" t="e">
        <f t="shared" si="41"/>
        <v>#N/A</v>
      </c>
      <c r="T421" t="e">
        <f t="shared" si="42"/>
        <v>#N/A</v>
      </c>
      <c r="U421">
        <f t="shared" si="43"/>
        <v>1964</v>
      </c>
      <c r="W421" t="e">
        <v>#N/A</v>
      </c>
      <c r="X421">
        <v>1962</v>
      </c>
    </row>
    <row r="422" spans="8:24">
      <c r="H422">
        <v>420</v>
      </c>
      <c r="I422">
        <f>'Lab test'!AZ423</f>
        <v>1971</v>
      </c>
      <c r="J422">
        <f>IF('Lab test'!AU423&gt;0,'Lab test'!AU423,NA())</f>
        <v>0.85223530437427208</v>
      </c>
      <c r="K422">
        <f>IF('Lab test'!AT423&gt;0,'Lab test'!AT423,NA())</f>
        <v>0.24042708398480042</v>
      </c>
      <c r="L422">
        <f t="shared" si="38"/>
        <v>1</v>
      </c>
      <c r="M422">
        <f t="shared" si="39"/>
        <v>1971</v>
      </c>
      <c r="O422">
        <v>420</v>
      </c>
      <c r="P422">
        <v>1964</v>
      </c>
      <c r="Q422">
        <f t="shared" si="40"/>
        <v>0.64814814814814814</v>
      </c>
      <c r="R422" t="e">
        <f t="shared" si="41"/>
        <v>#N/A</v>
      </c>
      <c r="T422" t="e">
        <f t="shared" si="42"/>
        <v>#N/A</v>
      </c>
      <c r="U422">
        <f t="shared" si="43"/>
        <v>1964</v>
      </c>
      <c r="W422" t="e">
        <v>#N/A</v>
      </c>
      <c r="X422">
        <v>1962</v>
      </c>
    </row>
    <row r="423" spans="8:24">
      <c r="H423">
        <v>421</v>
      </c>
      <c r="I423">
        <f>'Lab test'!AZ424</f>
        <v>1971</v>
      </c>
      <c r="J423">
        <f>IF('Lab test'!AU424&gt;0,'Lab test'!AU424,NA())</f>
        <v>0.79607846928771109</v>
      </c>
      <c r="K423">
        <f>IF('Lab test'!AT424&gt;0,'Lab test'!AT424,NA())</f>
        <v>0.36453639264465204</v>
      </c>
      <c r="L423">
        <f t="shared" si="38"/>
        <v>1</v>
      </c>
      <c r="M423">
        <f t="shared" si="39"/>
        <v>1971</v>
      </c>
      <c r="O423">
        <v>421</v>
      </c>
      <c r="P423">
        <v>1964</v>
      </c>
      <c r="Q423">
        <f t="shared" si="40"/>
        <v>0.64969135802469136</v>
      </c>
      <c r="R423" t="e">
        <f t="shared" si="41"/>
        <v>#N/A</v>
      </c>
      <c r="T423" t="e">
        <f t="shared" si="42"/>
        <v>#N/A</v>
      </c>
      <c r="U423">
        <f t="shared" si="43"/>
        <v>1964</v>
      </c>
      <c r="W423" t="e">
        <v>#N/A</v>
      </c>
      <c r="X423">
        <v>1962</v>
      </c>
    </row>
    <row r="424" spans="8:24">
      <c r="H424">
        <v>422</v>
      </c>
      <c r="I424">
        <f>'Lab test'!AZ425</f>
        <v>1971</v>
      </c>
      <c r="J424">
        <f>IF('Lab test'!AU425&gt;0,'Lab test'!AU425,NA())</f>
        <v>1.1494521735689953</v>
      </c>
      <c r="K424">
        <f>IF('Lab test'!AT425&gt;0,'Lab test'!AT425,NA())</f>
        <v>0.25322755746650366</v>
      </c>
      <c r="L424">
        <f t="shared" si="38"/>
        <v>1</v>
      </c>
      <c r="M424">
        <f t="shared" si="39"/>
        <v>1971</v>
      </c>
      <c r="O424">
        <v>422</v>
      </c>
      <c r="P424">
        <v>1964</v>
      </c>
      <c r="Q424">
        <f t="shared" si="40"/>
        <v>0.65123456790123457</v>
      </c>
      <c r="R424" t="e">
        <f t="shared" si="41"/>
        <v>#N/A</v>
      </c>
      <c r="T424" t="e">
        <f t="shared" si="42"/>
        <v>#N/A</v>
      </c>
      <c r="U424">
        <f t="shared" si="43"/>
        <v>1964</v>
      </c>
      <c r="W424" t="e">
        <v>#N/A</v>
      </c>
      <c r="X424">
        <v>1962</v>
      </c>
    </row>
    <row r="425" spans="8:24">
      <c r="H425">
        <v>423</v>
      </c>
      <c r="I425">
        <f>'Lab test'!AZ426</f>
        <v>1971</v>
      </c>
      <c r="J425">
        <f>IF('Lab test'!AU426&gt;0,'Lab test'!AU426,NA())</f>
        <v>0.84503697907040565</v>
      </c>
      <c r="K425">
        <f>IF('Lab test'!AT426&gt;0,'Lab test'!AT426,NA())</f>
        <v>0.27924604663774732</v>
      </c>
      <c r="L425">
        <f t="shared" si="38"/>
        <v>1</v>
      </c>
      <c r="M425">
        <f t="shared" si="39"/>
        <v>1971</v>
      </c>
      <c r="O425">
        <v>423</v>
      </c>
      <c r="P425">
        <v>1964</v>
      </c>
      <c r="Q425">
        <f t="shared" si="40"/>
        <v>0.65277777777777779</v>
      </c>
      <c r="R425" t="e">
        <f t="shared" si="41"/>
        <v>#N/A</v>
      </c>
      <c r="T425" t="e">
        <f t="shared" si="42"/>
        <v>#N/A</v>
      </c>
      <c r="U425">
        <f t="shared" si="43"/>
        <v>1964</v>
      </c>
      <c r="W425" t="e">
        <v>#N/A</v>
      </c>
      <c r="X425">
        <v>1962</v>
      </c>
    </row>
    <row r="426" spans="8:24">
      <c r="H426">
        <v>424</v>
      </c>
      <c r="I426">
        <f>'Lab test'!AZ427</f>
        <v>1971</v>
      </c>
      <c r="J426">
        <f>IF('Lab test'!AU427&gt;0,'Lab test'!AU427,NA())</f>
        <v>0.87989942086025497</v>
      </c>
      <c r="K426">
        <f>IF('Lab test'!AT427&gt;0,'Lab test'!AT427,NA())</f>
        <v>0.23261319047539386</v>
      </c>
      <c r="L426">
        <f t="shared" si="38"/>
        <v>1</v>
      </c>
      <c r="M426">
        <f t="shared" si="39"/>
        <v>1971</v>
      </c>
      <c r="O426">
        <v>424</v>
      </c>
      <c r="P426">
        <v>1964</v>
      </c>
      <c r="Q426">
        <f t="shared" si="40"/>
        <v>0.65432098765432101</v>
      </c>
      <c r="R426" t="e">
        <f t="shared" si="41"/>
        <v>#N/A</v>
      </c>
      <c r="T426" t="e">
        <f t="shared" si="42"/>
        <v>#N/A</v>
      </c>
      <c r="U426">
        <f t="shared" si="43"/>
        <v>1964</v>
      </c>
      <c r="W426" t="e">
        <v>#N/A</v>
      </c>
      <c r="X426">
        <v>1962</v>
      </c>
    </row>
    <row r="427" spans="8:24">
      <c r="H427">
        <v>425</v>
      </c>
      <c r="I427">
        <f>'Lab test'!AZ428</f>
        <v>1934</v>
      </c>
      <c r="J427">
        <f>IF('Lab test'!AU428&gt;0,'Lab test'!AU428,NA())</f>
        <v>0.27627135514766743</v>
      </c>
      <c r="K427">
        <f>IF('Lab test'!AT428&gt;0,'Lab test'!AT428,NA())</f>
        <v>0.3865102652449865</v>
      </c>
      <c r="L427">
        <f t="shared" si="38"/>
        <v>1</v>
      </c>
      <c r="M427">
        <f t="shared" si="39"/>
        <v>1934</v>
      </c>
      <c r="O427">
        <v>425</v>
      </c>
      <c r="P427">
        <v>1964</v>
      </c>
      <c r="Q427">
        <f t="shared" si="40"/>
        <v>0.65586419753086422</v>
      </c>
      <c r="R427" t="e">
        <f t="shared" si="41"/>
        <v>#N/A</v>
      </c>
      <c r="T427" t="e">
        <f t="shared" si="42"/>
        <v>#N/A</v>
      </c>
      <c r="U427">
        <f t="shared" si="43"/>
        <v>1964</v>
      </c>
      <c r="W427" t="e">
        <v>#N/A</v>
      </c>
      <c r="X427">
        <v>1962</v>
      </c>
    </row>
    <row r="428" spans="8:24">
      <c r="H428">
        <v>426</v>
      </c>
      <c r="I428">
        <f>'Lab test'!AZ429</f>
        <v>1934</v>
      </c>
      <c r="J428">
        <f>IF('Lab test'!AU429&gt;0,'Lab test'!AU429,NA())</f>
        <v>0.3136831011572474</v>
      </c>
      <c r="K428">
        <f>IF('Lab test'!AT429&gt;0,'Lab test'!AT429,NA())</f>
        <v>0.43885019699691169</v>
      </c>
      <c r="L428">
        <f t="shared" si="38"/>
        <v>1</v>
      </c>
      <c r="M428">
        <f t="shared" si="39"/>
        <v>1934</v>
      </c>
      <c r="O428">
        <v>426</v>
      </c>
      <c r="P428">
        <v>1964</v>
      </c>
      <c r="Q428">
        <f t="shared" si="40"/>
        <v>0.65740740740740744</v>
      </c>
      <c r="R428" t="e">
        <f t="shared" si="41"/>
        <v>#N/A</v>
      </c>
      <c r="T428" t="e">
        <f t="shared" si="42"/>
        <v>#N/A</v>
      </c>
      <c r="U428">
        <f t="shared" si="43"/>
        <v>1964</v>
      </c>
      <c r="W428" t="e">
        <v>#N/A</v>
      </c>
      <c r="X428">
        <v>1962</v>
      </c>
    </row>
    <row r="429" spans="8:24">
      <c r="H429">
        <v>427</v>
      </c>
      <c r="I429">
        <f>'Lab test'!AZ430</f>
        <v>1934</v>
      </c>
      <c r="J429">
        <f>IF('Lab test'!AU430&gt;0,'Lab test'!AU430,NA())</f>
        <v>0.33238897416203733</v>
      </c>
      <c r="K429">
        <f>IF('Lab test'!AT430&gt;0,'Lab test'!AT430,NA())</f>
        <v>0.46502016287287429</v>
      </c>
      <c r="L429">
        <f t="shared" si="38"/>
        <v>1</v>
      </c>
      <c r="M429">
        <f t="shared" si="39"/>
        <v>1934</v>
      </c>
      <c r="O429">
        <v>427</v>
      </c>
      <c r="P429">
        <v>1964</v>
      </c>
      <c r="Q429">
        <f t="shared" si="40"/>
        <v>0.65895061728395066</v>
      </c>
      <c r="R429" t="e">
        <f t="shared" si="41"/>
        <v>#N/A</v>
      </c>
      <c r="T429" t="e">
        <f t="shared" si="42"/>
        <v>#N/A</v>
      </c>
      <c r="U429">
        <f t="shared" si="43"/>
        <v>1964</v>
      </c>
      <c r="W429" t="e">
        <v>#N/A</v>
      </c>
      <c r="X429">
        <v>1962</v>
      </c>
    </row>
    <row r="430" spans="8:24">
      <c r="H430">
        <v>428</v>
      </c>
      <c r="I430">
        <f>'Lab test'!AZ431</f>
        <v>1934</v>
      </c>
      <c r="J430">
        <f>IF('Lab test'!AU431&gt;0,'Lab test'!AU431,NA())</f>
        <v>0.49007988329055813</v>
      </c>
      <c r="K430">
        <f>IF('Lab test'!AT431&gt;0,'Lab test'!AT431,NA())</f>
        <v>0.38922963123581278</v>
      </c>
      <c r="L430">
        <f t="shared" si="38"/>
        <v>1</v>
      </c>
      <c r="M430">
        <f t="shared" si="39"/>
        <v>1934</v>
      </c>
      <c r="O430">
        <v>428</v>
      </c>
      <c r="P430">
        <v>1964</v>
      </c>
      <c r="Q430">
        <f t="shared" si="40"/>
        <v>0.66049382716049387</v>
      </c>
      <c r="R430" t="e">
        <f t="shared" si="41"/>
        <v>#N/A</v>
      </c>
      <c r="T430" t="e">
        <f t="shared" si="42"/>
        <v>#N/A</v>
      </c>
      <c r="U430">
        <f t="shared" si="43"/>
        <v>1964</v>
      </c>
      <c r="W430" t="e">
        <v>#N/A</v>
      </c>
      <c r="X430">
        <v>1962</v>
      </c>
    </row>
    <row r="431" spans="8:24">
      <c r="H431">
        <v>429</v>
      </c>
      <c r="I431">
        <f>'Lab test'!AZ432</f>
        <v>1934</v>
      </c>
      <c r="J431">
        <f>IF('Lab test'!AU432&gt;0,'Lab test'!AU432,NA())</f>
        <v>0.16997725164603367</v>
      </c>
      <c r="K431">
        <f>IF('Lab test'!AT432&gt;0,'Lab test'!AT432,NA())</f>
        <v>0.2835085920793407</v>
      </c>
      <c r="L431">
        <f t="shared" si="38"/>
        <v>1</v>
      </c>
      <c r="M431">
        <f t="shared" si="39"/>
        <v>1934</v>
      </c>
      <c r="O431">
        <v>429</v>
      </c>
      <c r="P431">
        <v>1964</v>
      </c>
      <c r="Q431">
        <f t="shared" si="40"/>
        <v>0.66203703703703709</v>
      </c>
      <c r="R431" t="e">
        <f t="shared" si="41"/>
        <v>#N/A</v>
      </c>
      <c r="T431" t="e">
        <f t="shared" si="42"/>
        <v>#N/A</v>
      </c>
      <c r="U431">
        <f t="shared" si="43"/>
        <v>1964</v>
      </c>
      <c r="W431" t="e">
        <v>#N/A</v>
      </c>
      <c r="X431">
        <v>1962</v>
      </c>
    </row>
    <row r="432" spans="8:24">
      <c r="H432">
        <v>430</v>
      </c>
      <c r="I432">
        <f>'Lab test'!AZ433</f>
        <v>1934</v>
      </c>
      <c r="J432">
        <f>IF('Lab test'!AU433&gt;0,'Lab test'!AU433,NA())</f>
        <v>0.16997725164603367</v>
      </c>
      <c r="K432">
        <f>IF('Lab test'!AT433&gt;0,'Lab test'!AT433,NA())</f>
        <v>0.2835085920793407</v>
      </c>
      <c r="L432">
        <f t="shared" si="38"/>
        <v>1</v>
      </c>
      <c r="M432">
        <f t="shared" si="39"/>
        <v>1934</v>
      </c>
      <c r="O432">
        <v>430</v>
      </c>
      <c r="P432">
        <v>1964</v>
      </c>
      <c r="Q432">
        <f t="shared" si="40"/>
        <v>0.6635802469135802</v>
      </c>
      <c r="R432" t="e">
        <f t="shared" si="41"/>
        <v>#N/A</v>
      </c>
      <c r="T432" t="e">
        <f t="shared" si="42"/>
        <v>#N/A</v>
      </c>
      <c r="U432">
        <f t="shared" si="43"/>
        <v>1964</v>
      </c>
      <c r="W432" t="e">
        <v>#N/A</v>
      </c>
      <c r="X432">
        <v>1962</v>
      </c>
    </row>
    <row r="433" spans="8:24">
      <c r="H433">
        <v>431</v>
      </c>
      <c r="I433">
        <f>'Lab test'!AZ434</f>
        <v>1934</v>
      </c>
      <c r="J433">
        <f>IF('Lab test'!AU434&gt;0,'Lab test'!AU434,NA())</f>
        <v>0.19471223704293225</v>
      </c>
      <c r="K433">
        <f>IF('Lab test'!AT434&gt;0,'Lab test'!AT434,NA())</f>
        <v>0.29199248411835044</v>
      </c>
      <c r="L433">
        <f t="shared" si="38"/>
        <v>1</v>
      </c>
      <c r="M433">
        <f t="shared" si="39"/>
        <v>1934</v>
      </c>
      <c r="O433">
        <v>431</v>
      </c>
      <c r="P433">
        <v>1964</v>
      </c>
      <c r="Q433">
        <f t="shared" si="40"/>
        <v>0.66512345679012341</v>
      </c>
      <c r="R433" t="e">
        <f t="shared" si="41"/>
        <v>#N/A</v>
      </c>
      <c r="T433" t="e">
        <f t="shared" si="42"/>
        <v>#N/A</v>
      </c>
      <c r="U433">
        <f t="shared" si="43"/>
        <v>1964</v>
      </c>
      <c r="W433" t="e">
        <v>#N/A</v>
      </c>
      <c r="X433">
        <v>1962</v>
      </c>
    </row>
    <row r="434" spans="8:24">
      <c r="H434">
        <v>432</v>
      </c>
      <c r="I434">
        <f>'Lab test'!AZ435</f>
        <v>1934</v>
      </c>
      <c r="J434">
        <f>IF('Lab test'!AU435&gt;0,'Lab test'!AU435,NA())</f>
        <v>0.20250072652464954</v>
      </c>
      <c r="K434">
        <f>IF('Lab test'!AT435&gt;0,'Lab test'!AT435,NA())</f>
        <v>0.30367218348308445</v>
      </c>
      <c r="L434">
        <f t="shared" si="38"/>
        <v>1</v>
      </c>
      <c r="M434">
        <f t="shared" si="39"/>
        <v>1934</v>
      </c>
      <c r="O434">
        <v>432</v>
      </c>
      <c r="P434">
        <v>1964</v>
      </c>
      <c r="Q434">
        <f t="shared" si="40"/>
        <v>0.66666666666666663</v>
      </c>
      <c r="R434" t="e">
        <f t="shared" si="41"/>
        <v>#N/A</v>
      </c>
      <c r="T434" t="e">
        <f t="shared" si="42"/>
        <v>#N/A</v>
      </c>
      <c r="U434">
        <f t="shared" si="43"/>
        <v>1964</v>
      </c>
      <c r="W434" t="e">
        <v>#N/A</v>
      </c>
      <c r="X434">
        <v>1964</v>
      </c>
    </row>
    <row r="435" spans="8:24">
      <c r="H435">
        <v>433</v>
      </c>
      <c r="I435">
        <f>'Lab test'!AZ436</f>
        <v>1934</v>
      </c>
      <c r="J435">
        <f>IF('Lab test'!AU436&gt;0,'Lab test'!AU436,NA())</f>
        <v>0.21807770548808414</v>
      </c>
      <c r="K435">
        <f>IF('Lab test'!AT436&gt;0,'Lab test'!AT436,NA())</f>
        <v>0.32703158221255252</v>
      </c>
      <c r="L435">
        <f t="shared" si="38"/>
        <v>1</v>
      </c>
      <c r="M435">
        <f t="shared" si="39"/>
        <v>1934</v>
      </c>
      <c r="O435">
        <v>433</v>
      </c>
      <c r="P435">
        <v>1964</v>
      </c>
      <c r="Q435">
        <f t="shared" si="40"/>
        <v>0.66820987654320985</v>
      </c>
      <c r="R435" t="e">
        <f t="shared" si="41"/>
        <v>#N/A</v>
      </c>
      <c r="T435" t="e">
        <f t="shared" si="42"/>
        <v>#N/A</v>
      </c>
      <c r="U435">
        <f t="shared" si="43"/>
        <v>1964</v>
      </c>
      <c r="W435" t="e">
        <v>#N/A</v>
      </c>
      <c r="X435">
        <v>1964</v>
      </c>
    </row>
    <row r="436" spans="8:24">
      <c r="H436">
        <v>434</v>
      </c>
      <c r="I436">
        <f>'Lab test'!AZ437</f>
        <v>1934</v>
      </c>
      <c r="J436">
        <f>IF('Lab test'!AU437&gt;0,'Lab test'!AU437,NA())</f>
        <v>0.57886648361551429</v>
      </c>
      <c r="K436">
        <f>IF('Lab test'!AT437&gt;0,'Lab test'!AT437,NA())</f>
        <v>0.48403905964765487</v>
      </c>
      <c r="L436">
        <f t="shared" si="38"/>
        <v>1</v>
      </c>
      <c r="M436">
        <f t="shared" si="39"/>
        <v>1934</v>
      </c>
      <c r="O436">
        <v>434</v>
      </c>
      <c r="P436">
        <v>1964</v>
      </c>
      <c r="Q436">
        <f t="shared" si="40"/>
        <v>0.66975308641975306</v>
      </c>
      <c r="R436" t="e">
        <f t="shared" si="41"/>
        <v>#N/A</v>
      </c>
      <c r="T436" t="e">
        <f t="shared" si="42"/>
        <v>#N/A</v>
      </c>
      <c r="U436">
        <f t="shared" si="43"/>
        <v>1964</v>
      </c>
      <c r="W436" t="e">
        <v>#N/A</v>
      </c>
      <c r="X436">
        <v>1964</v>
      </c>
    </row>
    <row r="437" spans="8:24">
      <c r="H437">
        <v>435</v>
      </c>
      <c r="I437">
        <f>'Lab test'!AZ438</f>
        <v>1934</v>
      </c>
      <c r="J437">
        <f>IF('Lab test'!AU438&gt;0,'Lab test'!AU438,NA())</f>
        <v>0.61430728873483142</v>
      </c>
      <c r="K437">
        <f>IF('Lab test'!AT438&gt;0,'Lab test'!AT438,NA())</f>
        <v>0.51367410411587855</v>
      </c>
      <c r="L437">
        <f t="shared" si="38"/>
        <v>1</v>
      </c>
      <c r="M437">
        <f t="shared" si="39"/>
        <v>1934</v>
      </c>
      <c r="O437">
        <v>435</v>
      </c>
      <c r="P437">
        <v>1964</v>
      </c>
      <c r="Q437">
        <f t="shared" si="40"/>
        <v>0.67129629629629628</v>
      </c>
      <c r="R437" t="e">
        <f t="shared" si="41"/>
        <v>#N/A</v>
      </c>
      <c r="T437" t="e">
        <f t="shared" si="42"/>
        <v>#N/A</v>
      </c>
      <c r="U437">
        <f t="shared" si="43"/>
        <v>1964</v>
      </c>
      <c r="W437" t="e">
        <v>#N/A</v>
      </c>
      <c r="X437">
        <v>1964</v>
      </c>
    </row>
    <row r="438" spans="8:24">
      <c r="H438">
        <v>436</v>
      </c>
      <c r="I438">
        <f>'Lab test'!AZ439</f>
        <v>1934</v>
      </c>
      <c r="J438">
        <f>IF('Lab test'!AU439&gt;0,'Lab test'!AU439,NA())</f>
        <v>9.5221527074229373E-2</v>
      </c>
      <c r="K438">
        <f>IF('Lab test'!AT439&gt;0,'Lab test'!AT439,NA())</f>
        <v>0.26572580735592816</v>
      </c>
      <c r="L438">
        <f t="shared" si="38"/>
        <v>1</v>
      </c>
      <c r="M438">
        <f t="shared" si="39"/>
        <v>1934</v>
      </c>
      <c r="O438">
        <v>436</v>
      </c>
      <c r="P438">
        <v>1964</v>
      </c>
      <c r="Q438">
        <f t="shared" si="40"/>
        <v>0.6728395061728395</v>
      </c>
      <c r="R438" t="e">
        <f t="shared" si="41"/>
        <v>#N/A</v>
      </c>
      <c r="T438" t="e">
        <f t="shared" si="42"/>
        <v>#N/A</v>
      </c>
      <c r="U438">
        <f t="shared" si="43"/>
        <v>1964</v>
      </c>
      <c r="W438" t="e">
        <v>#N/A</v>
      </c>
      <c r="X438">
        <v>1964</v>
      </c>
    </row>
    <row r="439" spans="8:24">
      <c r="H439">
        <v>437</v>
      </c>
      <c r="I439">
        <f>'Lab test'!AZ440</f>
        <v>1934</v>
      </c>
      <c r="J439">
        <f>IF('Lab test'!AU440&gt;0,'Lab test'!AU440,NA())</f>
        <v>0.59554011134042495</v>
      </c>
      <c r="K439">
        <f>IF('Lab test'!AT440&gt;0,'Lab test'!AT440,NA())</f>
        <v>0.28479600243205516</v>
      </c>
      <c r="L439">
        <f t="shared" si="38"/>
        <v>1</v>
      </c>
      <c r="M439">
        <f t="shared" si="39"/>
        <v>1934</v>
      </c>
      <c r="O439">
        <v>437</v>
      </c>
      <c r="P439">
        <v>1964</v>
      </c>
      <c r="Q439">
        <f t="shared" si="40"/>
        <v>0.67438271604938271</v>
      </c>
      <c r="R439" t="e">
        <f t="shared" si="41"/>
        <v>#N/A</v>
      </c>
      <c r="T439" t="e">
        <f t="shared" si="42"/>
        <v>#N/A</v>
      </c>
      <c r="U439">
        <f t="shared" si="43"/>
        <v>1964</v>
      </c>
      <c r="W439" t="e">
        <v>#N/A</v>
      </c>
      <c r="X439">
        <v>1964</v>
      </c>
    </row>
    <row r="440" spans="8:24">
      <c r="H440">
        <v>438</v>
      </c>
      <c r="I440">
        <f>'Lab test'!AZ441</f>
        <v>1934</v>
      </c>
      <c r="J440">
        <f>IF('Lab test'!AU441&gt;0,'Lab test'!AU441,NA())</f>
        <v>0.73013217650336104</v>
      </c>
      <c r="K440">
        <f>IF('Lab test'!AT441&gt;0,'Lab test'!AT441,NA())</f>
        <v>0.34915989898169963</v>
      </c>
      <c r="L440">
        <f t="shared" si="38"/>
        <v>1</v>
      </c>
      <c r="M440">
        <f t="shared" si="39"/>
        <v>1934</v>
      </c>
      <c r="O440">
        <v>438</v>
      </c>
      <c r="P440">
        <v>1964</v>
      </c>
      <c r="Q440">
        <f t="shared" si="40"/>
        <v>0.67592592592592593</v>
      </c>
      <c r="R440">
        <f t="shared" si="41"/>
        <v>0.67592592592592593</v>
      </c>
      <c r="T440">
        <f t="shared" si="42"/>
        <v>0.67592592592592593</v>
      </c>
      <c r="U440">
        <f t="shared" si="43"/>
        <v>1964</v>
      </c>
      <c r="W440" t="e">
        <v>#N/A</v>
      </c>
      <c r="X440">
        <v>1964</v>
      </c>
    </row>
    <row r="441" spans="8:24">
      <c r="H441">
        <v>439</v>
      </c>
      <c r="I441">
        <f>'Lab test'!AZ442</f>
        <v>1934</v>
      </c>
      <c r="J441">
        <f>IF('Lab test'!AU442&gt;0,'Lab test'!AU442,NA())</f>
        <v>0.72655893583531839</v>
      </c>
      <c r="K441">
        <f>IF('Lab test'!AT442&gt;0,'Lab test'!AT442,NA())</f>
        <v>0.34745112296710728</v>
      </c>
      <c r="L441">
        <f t="shared" si="38"/>
        <v>1</v>
      </c>
      <c r="M441">
        <f t="shared" si="39"/>
        <v>1934</v>
      </c>
      <c r="O441">
        <v>439</v>
      </c>
      <c r="P441">
        <v>1965</v>
      </c>
      <c r="Q441">
        <f t="shared" si="40"/>
        <v>0.67746913580246915</v>
      </c>
      <c r="R441" t="e">
        <f t="shared" si="41"/>
        <v>#N/A</v>
      </c>
      <c r="T441" t="e">
        <f t="shared" si="42"/>
        <v>#N/A</v>
      </c>
      <c r="U441">
        <f t="shared" si="43"/>
        <v>1965</v>
      </c>
      <c r="W441" t="e">
        <v>#N/A</v>
      </c>
      <c r="X441">
        <v>1964</v>
      </c>
    </row>
    <row r="442" spans="8:24">
      <c r="H442">
        <v>440</v>
      </c>
      <c r="I442">
        <f>'Lab test'!AZ443</f>
        <v>1934</v>
      </c>
      <c r="J442">
        <f>IF('Lab test'!AU443&gt;0,'Lab test'!AU443,NA())</f>
        <v>0.78611294696936096</v>
      </c>
      <c r="K442">
        <f>IF('Lab test'!AT443&gt;0,'Lab test'!AT443,NA())</f>
        <v>0.37593072321031284</v>
      </c>
      <c r="L442">
        <f t="shared" si="38"/>
        <v>1</v>
      </c>
      <c r="M442">
        <f t="shared" si="39"/>
        <v>1934</v>
      </c>
      <c r="O442">
        <v>440</v>
      </c>
      <c r="P442">
        <v>1965</v>
      </c>
      <c r="Q442">
        <f t="shared" si="40"/>
        <v>0.67901234567901236</v>
      </c>
      <c r="R442" t="e">
        <f t="shared" si="41"/>
        <v>#N/A</v>
      </c>
      <c r="T442" t="e">
        <f t="shared" si="42"/>
        <v>#N/A</v>
      </c>
      <c r="U442">
        <f t="shared" si="43"/>
        <v>1965</v>
      </c>
      <c r="W442" t="e">
        <v>#N/A</v>
      </c>
      <c r="X442">
        <v>1964</v>
      </c>
    </row>
    <row r="443" spans="8:24">
      <c r="H443">
        <v>441</v>
      </c>
      <c r="I443">
        <f>'Lab test'!AZ444</f>
        <v>1967</v>
      </c>
      <c r="J443">
        <f>IF('Lab test'!AU444&gt;0,'Lab test'!AU444,NA())</f>
        <v>0.42442100934506605</v>
      </c>
      <c r="K443">
        <f>IF('Lab test'!AT444&gt;0,'Lab test'!AT444,NA())</f>
        <v>0.32384510638040481</v>
      </c>
      <c r="L443">
        <f t="shared" si="38"/>
        <v>1</v>
      </c>
      <c r="M443">
        <f t="shared" si="39"/>
        <v>1967</v>
      </c>
      <c r="O443">
        <v>441</v>
      </c>
      <c r="P443">
        <v>1965</v>
      </c>
      <c r="Q443">
        <f t="shared" si="40"/>
        <v>0.68055555555555558</v>
      </c>
      <c r="R443" t="e">
        <f t="shared" si="41"/>
        <v>#N/A</v>
      </c>
      <c r="T443" t="e">
        <f t="shared" si="42"/>
        <v>#N/A</v>
      </c>
      <c r="U443">
        <f t="shared" si="43"/>
        <v>1965</v>
      </c>
      <c r="W443" t="e">
        <v>#N/A</v>
      </c>
      <c r="X443">
        <v>1964</v>
      </c>
    </row>
    <row r="444" spans="8:24">
      <c r="H444">
        <v>442</v>
      </c>
      <c r="I444">
        <f>'Lab test'!AZ445</f>
        <v>1967</v>
      </c>
      <c r="J444">
        <f>IF('Lab test'!AU445&gt;0,'Lab test'!AU445,NA())</f>
        <v>0.48721799542163191</v>
      </c>
      <c r="K444">
        <f>IF('Lab test'!AT445&gt;0,'Lab test'!AT445,NA())</f>
        <v>0.37176096395709735</v>
      </c>
      <c r="L444">
        <f t="shared" si="38"/>
        <v>1</v>
      </c>
      <c r="M444">
        <f t="shared" si="39"/>
        <v>1967</v>
      </c>
      <c r="O444">
        <v>442</v>
      </c>
      <c r="P444">
        <v>1965</v>
      </c>
      <c r="Q444">
        <f t="shared" si="40"/>
        <v>0.6820987654320988</v>
      </c>
      <c r="R444" t="e">
        <f t="shared" si="41"/>
        <v>#N/A</v>
      </c>
      <c r="T444" t="e">
        <f t="shared" si="42"/>
        <v>#N/A</v>
      </c>
      <c r="U444">
        <f t="shared" si="43"/>
        <v>1965</v>
      </c>
      <c r="W444" t="e">
        <v>#N/A</v>
      </c>
      <c r="X444">
        <v>1964</v>
      </c>
    </row>
    <row r="445" spans="8:24">
      <c r="H445">
        <v>443</v>
      </c>
      <c r="I445">
        <f>'Lab test'!AZ446</f>
        <v>1967</v>
      </c>
      <c r="J445">
        <f>IF('Lab test'!AU446&gt;0,'Lab test'!AU446,NA())</f>
        <v>0.33130823688670968</v>
      </c>
      <c r="K445">
        <f>IF('Lab test'!AT446&gt;0,'Lab test'!AT446,NA())</f>
        <v>0.56177212331294712</v>
      </c>
      <c r="L445">
        <f t="shared" si="38"/>
        <v>1</v>
      </c>
      <c r="M445">
        <f t="shared" si="39"/>
        <v>1967</v>
      </c>
      <c r="O445">
        <v>443</v>
      </c>
      <c r="P445">
        <v>1965</v>
      </c>
      <c r="Q445">
        <f t="shared" si="40"/>
        <v>0.68364197530864201</v>
      </c>
      <c r="R445" t="e">
        <f t="shared" si="41"/>
        <v>#N/A</v>
      </c>
      <c r="T445" t="e">
        <f t="shared" si="42"/>
        <v>#N/A</v>
      </c>
      <c r="U445">
        <f t="shared" si="43"/>
        <v>1965</v>
      </c>
      <c r="W445" t="e">
        <v>#N/A</v>
      </c>
      <c r="X445">
        <v>1964</v>
      </c>
    </row>
    <row r="446" spans="8:24">
      <c r="H446">
        <v>444</v>
      </c>
      <c r="I446">
        <f>'Lab test'!AZ447</f>
        <v>1967</v>
      </c>
      <c r="J446">
        <f>IF('Lab test'!AU447&gt;0,'Lab test'!AU447,NA())</f>
        <v>0.24848117766503225</v>
      </c>
      <c r="K446">
        <f>IF('Lab test'!AT447&gt;0,'Lab test'!AT447,NA())</f>
        <v>0.42132909248471029</v>
      </c>
      <c r="L446">
        <f t="shared" si="38"/>
        <v>1</v>
      </c>
      <c r="M446">
        <f t="shared" si="39"/>
        <v>1967</v>
      </c>
      <c r="O446">
        <v>444</v>
      </c>
      <c r="P446">
        <v>1965</v>
      </c>
      <c r="Q446">
        <f t="shared" si="40"/>
        <v>0.68518518518518523</v>
      </c>
      <c r="R446" t="e">
        <f t="shared" si="41"/>
        <v>#N/A</v>
      </c>
      <c r="T446" t="e">
        <f t="shared" si="42"/>
        <v>#N/A</v>
      </c>
      <c r="U446">
        <f t="shared" si="43"/>
        <v>1965</v>
      </c>
      <c r="W446" t="e">
        <v>#N/A</v>
      </c>
      <c r="X446">
        <v>1964</v>
      </c>
    </row>
    <row r="447" spans="8:24">
      <c r="H447">
        <v>445</v>
      </c>
      <c r="I447">
        <f>'Lab test'!AZ448</f>
        <v>1967</v>
      </c>
      <c r="J447">
        <f>IF('Lab test'!AU448&gt;0,'Lab test'!AU448,NA())</f>
        <v>0.10285713236678898</v>
      </c>
      <c r="K447">
        <f>IF('Lab test'!AT448&gt;0,'Lab test'!AT448,NA())</f>
        <v>0.31393148067488225</v>
      </c>
      <c r="L447">
        <f t="shared" si="38"/>
        <v>1</v>
      </c>
      <c r="M447">
        <f t="shared" si="39"/>
        <v>1967</v>
      </c>
      <c r="O447">
        <v>445</v>
      </c>
      <c r="P447">
        <v>1965</v>
      </c>
      <c r="Q447">
        <f t="shared" si="40"/>
        <v>0.68672839506172845</v>
      </c>
      <c r="R447" t="e">
        <f t="shared" si="41"/>
        <v>#N/A</v>
      </c>
      <c r="T447" t="e">
        <f t="shared" si="42"/>
        <v>#N/A</v>
      </c>
      <c r="U447">
        <f t="shared" si="43"/>
        <v>1965</v>
      </c>
      <c r="W447" t="e">
        <v>#N/A</v>
      </c>
      <c r="X447">
        <v>1964</v>
      </c>
    </row>
    <row r="448" spans="8:24">
      <c r="H448">
        <v>446</v>
      </c>
      <c r="I448">
        <f>'Lab test'!AZ449</f>
        <v>1967</v>
      </c>
      <c r="J448">
        <f>IF('Lab test'!AU449&gt;0,'Lab test'!AU449,NA())</f>
        <v>0.18947366488619016</v>
      </c>
      <c r="K448">
        <f>IF('Lab test'!AT449&gt;0,'Lab test'!AT449,NA())</f>
        <v>0.57829483282215133</v>
      </c>
      <c r="L448">
        <f t="shared" si="38"/>
        <v>1</v>
      </c>
      <c r="M448">
        <f t="shared" si="39"/>
        <v>1967</v>
      </c>
      <c r="O448">
        <v>446</v>
      </c>
      <c r="P448">
        <v>1965</v>
      </c>
      <c r="Q448">
        <f t="shared" si="40"/>
        <v>0.68827160493827155</v>
      </c>
      <c r="R448" t="e">
        <f t="shared" si="41"/>
        <v>#N/A</v>
      </c>
      <c r="T448" t="e">
        <f t="shared" si="42"/>
        <v>#N/A</v>
      </c>
      <c r="U448">
        <f t="shared" si="43"/>
        <v>1965</v>
      </c>
      <c r="W448" t="e">
        <v>#N/A</v>
      </c>
      <c r="X448">
        <v>1964</v>
      </c>
    </row>
    <row r="449" spans="8:24">
      <c r="H449">
        <v>447</v>
      </c>
      <c r="I449">
        <f>'Lab test'!AZ450</f>
        <v>1967</v>
      </c>
      <c r="J449">
        <f>IF('Lab test'!AU450&gt;0,'Lab test'!AU450,NA())</f>
        <v>7.7088713942267087E-2</v>
      </c>
      <c r="K449">
        <f>IF('Lab test'!AT450&gt;0,'Lab test'!AT450,NA())</f>
        <v>0.29410422926383706</v>
      </c>
      <c r="L449">
        <f t="shared" si="38"/>
        <v>1</v>
      </c>
      <c r="M449">
        <f t="shared" si="39"/>
        <v>1967</v>
      </c>
      <c r="O449">
        <v>447</v>
      </c>
      <c r="P449">
        <v>1965</v>
      </c>
      <c r="Q449">
        <f t="shared" si="40"/>
        <v>0.68981481481481477</v>
      </c>
      <c r="R449" t="e">
        <f t="shared" si="41"/>
        <v>#N/A</v>
      </c>
      <c r="T449" t="e">
        <f t="shared" si="42"/>
        <v>#N/A</v>
      </c>
      <c r="U449">
        <f t="shared" si="43"/>
        <v>1965</v>
      </c>
      <c r="W449" t="e">
        <v>#N/A</v>
      </c>
      <c r="X449">
        <v>1964</v>
      </c>
    </row>
    <row r="450" spans="8:24">
      <c r="H450">
        <v>448</v>
      </c>
      <c r="I450">
        <f>'Lab test'!AZ451</f>
        <v>1967</v>
      </c>
      <c r="J450">
        <f>IF('Lab test'!AU451&gt;0,'Lab test'!AU451,NA())</f>
        <v>0.12342855884014675</v>
      </c>
      <c r="K450">
        <f>IF('Lab test'!AT451&gt;0,'Lab test'!AT451,NA())</f>
        <v>0.4708972210123234</v>
      </c>
      <c r="L450">
        <f t="shared" si="38"/>
        <v>1</v>
      </c>
      <c r="M450">
        <f t="shared" si="39"/>
        <v>1967</v>
      </c>
      <c r="O450">
        <v>448</v>
      </c>
      <c r="P450">
        <v>1965</v>
      </c>
      <c r="Q450">
        <f t="shared" si="40"/>
        <v>0.69135802469135799</v>
      </c>
      <c r="R450" t="e">
        <f t="shared" si="41"/>
        <v>#N/A</v>
      </c>
      <c r="T450" t="e">
        <f t="shared" si="42"/>
        <v>#N/A</v>
      </c>
      <c r="U450">
        <f t="shared" si="43"/>
        <v>1965</v>
      </c>
      <c r="W450" t="e">
        <v>#N/A</v>
      </c>
      <c r="X450">
        <v>1964</v>
      </c>
    </row>
    <row r="451" spans="8:24">
      <c r="H451">
        <v>449</v>
      </c>
      <c r="I451">
        <f>'Lab test'!AZ452</f>
        <v>1967</v>
      </c>
      <c r="J451">
        <f>IF('Lab test'!AU452&gt;0,'Lab test'!AU452,NA())</f>
        <v>0.88888919547159806</v>
      </c>
      <c r="K451">
        <f>IF('Lab test'!AT452&gt;0,'Lab test'!AT452,NA())</f>
        <v>0.3965451034025998</v>
      </c>
      <c r="L451">
        <f t="shared" si="38"/>
        <v>1</v>
      </c>
      <c r="M451">
        <f t="shared" si="39"/>
        <v>1967</v>
      </c>
      <c r="O451">
        <v>449</v>
      </c>
      <c r="P451">
        <v>1965</v>
      </c>
      <c r="Q451">
        <f t="shared" si="40"/>
        <v>0.6929012345679012</v>
      </c>
      <c r="R451" t="e">
        <f t="shared" si="41"/>
        <v>#N/A</v>
      </c>
      <c r="T451" t="e">
        <f t="shared" si="42"/>
        <v>#N/A</v>
      </c>
      <c r="U451">
        <f t="shared" si="43"/>
        <v>1965</v>
      </c>
      <c r="W451" t="e">
        <v>#N/A</v>
      </c>
      <c r="X451">
        <v>1964</v>
      </c>
    </row>
    <row r="452" spans="8:24">
      <c r="H452">
        <v>450</v>
      </c>
      <c r="I452">
        <f>'Lab test'!AZ453</f>
        <v>1967</v>
      </c>
      <c r="J452">
        <f>IF('Lab test'!AU453&gt;0,'Lab test'!AU453,NA())</f>
        <v>0.40948813843719867</v>
      </c>
      <c r="K452">
        <f>IF('Lab test'!AT453&gt;0,'Lab test'!AT453,NA())</f>
        <v>0.39654509130017851</v>
      </c>
      <c r="L452">
        <f t="shared" ref="L452:L515" si="44">IF(OR(ISNUMBER(J452),ISNUMBER(K452)),1,NA())</f>
        <v>1</v>
      </c>
      <c r="M452">
        <f t="shared" ref="M452:M515" si="45">IF(ISNUMBER(L452),I452,NA())</f>
        <v>1967</v>
      </c>
      <c r="O452">
        <v>450</v>
      </c>
      <c r="P452">
        <v>1965</v>
      </c>
      <c r="Q452">
        <f t="shared" ref="Q452:Q515" si="46">O452/COUNT($O$3:$O$650)</f>
        <v>0.69444444444444442</v>
      </c>
      <c r="R452" t="e">
        <f t="shared" ref="R452:R515" si="47">IF(P452=P453,NA(),Q452)</f>
        <v>#N/A</v>
      </c>
      <c r="T452" t="e">
        <f t="shared" ref="T452:T515" si="48">R452</f>
        <v>#N/A</v>
      </c>
      <c r="U452">
        <f t="shared" ref="U452:U515" si="49">P452</f>
        <v>1965</v>
      </c>
      <c r="W452" t="e">
        <v>#N/A</v>
      </c>
      <c r="X452">
        <v>1964</v>
      </c>
    </row>
    <row r="453" spans="8:24">
      <c r="H453">
        <v>451</v>
      </c>
      <c r="I453">
        <f>'Lab test'!AZ454</f>
        <v>1967</v>
      </c>
      <c r="J453">
        <f>IF('Lab test'!AU454&gt;0,'Lab test'!AU454,NA())</f>
        <v>0.6962965364527518</v>
      </c>
      <c r="K453">
        <f>IF('Lab test'!AT454&gt;0,'Lab test'!AT454,NA())</f>
        <v>0.38828374708171226</v>
      </c>
      <c r="L453">
        <f t="shared" si="44"/>
        <v>1</v>
      </c>
      <c r="M453">
        <f t="shared" si="45"/>
        <v>1967</v>
      </c>
      <c r="O453">
        <v>451</v>
      </c>
      <c r="P453">
        <v>1965</v>
      </c>
      <c r="Q453">
        <f t="shared" si="46"/>
        <v>0.69598765432098764</v>
      </c>
      <c r="R453" t="e">
        <f t="shared" si="47"/>
        <v>#N/A</v>
      </c>
      <c r="T453" t="e">
        <f t="shared" si="48"/>
        <v>#N/A</v>
      </c>
      <c r="U453">
        <f t="shared" si="49"/>
        <v>1965</v>
      </c>
      <c r="W453" t="e">
        <v>#N/A</v>
      </c>
      <c r="X453">
        <v>1964</v>
      </c>
    </row>
    <row r="454" spans="8:24">
      <c r="H454">
        <v>452</v>
      </c>
      <c r="I454">
        <f>'Lab test'!AZ455</f>
        <v>1967</v>
      </c>
      <c r="J454">
        <f>IF('Lab test'!AU455&gt;0,'Lab test'!AU455,NA())</f>
        <v>0.49138576612463836</v>
      </c>
      <c r="K454">
        <f>IF('Lab test'!AT455&gt;0,'Lab test'!AT455,NA())</f>
        <v>0.59481763695026779</v>
      </c>
      <c r="L454">
        <f t="shared" si="44"/>
        <v>1</v>
      </c>
      <c r="M454">
        <f t="shared" si="45"/>
        <v>1967</v>
      </c>
      <c r="O454">
        <v>452</v>
      </c>
      <c r="P454">
        <v>1965</v>
      </c>
      <c r="Q454">
        <f t="shared" si="46"/>
        <v>0.69753086419753085</v>
      </c>
      <c r="R454" t="e">
        <f t="shared" si="47"/>
        <v>#N/A</v>
      </c>
      <c r="T454" t="e">
        <f t="shared" si="48"/>
        <v>#N/A</v>
      </c>
      <c r="U454">
        <f t="shared" si="49"/>
        <v>1965</v>
      </c>
      <c r="W454" t="e">
        <v>#N/A</v>
      </c>
      <c r="X454">
        <v>1964</v>
      </c>
    </row>
    <row r="455" spans="8:24">
      <c r="H455">
        <v>453</v>
      </c>
      <c r="I455">
        <f>'Lab test'!AZ456</f>
        <v>1967</v>
      </c>
      <c r="J455">
        <f>IF('Lab test'!AU456&gt;0,'Lab test'!AU456,NA())</f>
        <v>0.25593008652324917</v>
      </c>
      <c r="K455">
        <f>IF('Lab test'!AT456&gt;0,'Lab test'!AT456,NA())</f>
        <v>0.49568136412522307</v>
      </c>
      <c r="L455">
        <f t="shared" si="44"/>
        <v>1</v>
      </c>
      <c r="M455">
        <f t="shared" si="45"/>
        <v>1967</v>
      </c>
      <c r="O455">
        <v>453</v>
      </c>
      <c r="P455">
        <v>1965</v>
      </c>
      <c r="Q455">
        <f t="shared" si="46"/>
        <v>0.69907407407407407</v>
      </c>
      <c r="R455" t="e">
        <f t="shared" si="47"/>
        <v>#N/A</v>
      </c>
      <c r="T455" t="e">
        <f t="shared" si="48"/>
        <v>#N/A</v>
      </c>
      <c r="U455">
        <f t="shared" si="49"/>
        <v>1965</v>
      </c>
      <c r="W455" t="e">
        <v>#N/A</v>
      </c>
      <c r="X455">
        <v>1964</v>
      </c>
    </row>
    <row r="456" spans="8:24">
      <c r="H456">
        <v>454</v>
      </c>
      <c r="I456">
        <f>'Lab test'!AZ457</f>
        <v>1967</v>
      </c>
      <c r="J456">
        <f>IF('Lab test'!AU457&gt;0,'Lab test'!AU457,NA())</f>
        <v>0.37536412690076543</v>
      </c>
      <c r="K456">
        <f>IF('Lab test'!AT457&gt;0,'Lab test'!AT457,NA())</f>
        <v>0.72699933405032724</v>
      </c>
      <c r="L456">
        <f t="shared" si="44"/>
        <v>1</v>
      </c>
      <c r="M456">
        <f t="shared" si="45"/>
        <v>1967</v>
      </c>
      <c r="O456">
        <v>454</v>
      </c>
      <c r="P456">
        <v>1965</v>
      </c>
      <c r="Q456">
        <f t="shared" si="46"/>
        <v>0.70061728395061729</v>
      </c>
      <c r="R456" t="e">
        <f t="shared" si="47"/>
        <v>#N/A</v>
      </c>
      <c r="T456" t="e">
        <f t="shared" si="48"/>
        <v>#N/A</v>
      </c>
      <c r="U456">
        <f t="shared" si="49"/>
        <v>1965</v>
      </c>
      <c r="W456" t="e">
        <v>#N/A</v>
      </c>
      <c r="X456">
        <v>1964</v>
      </c>
    </row>
    <row r="457" spans="8:24">
      <c r="H457">
        <v>455</v>
      </c>
      <c r="I457">
        <f>'Lab test'!AZ458</f>
        <v>1967</v>
      </c>
      <c r="J457">
        <f>IF('Lab test'!AU458&gt;0,'Lab test'!AU458,NA())</f>
        <v>3.6842104087588902E-2</v>
      </c>
      <c r="K457">
        <f>IF('Lab test'!AT458&gt;0,'Lab test'!AT458,NA())</f>
        <v>0.28914746547496278</v>
      </c>
      <c r="L457">
        <f t="shared" si="44"/>
        <v>1</v>
      </c>
      <c r="M457">
        <f t="shared" si="45"/>
        <v>1967</v>
      </c>
      <c r="O457">
        <v>455</v>
      </c>
      <c r="P457">
        <v>1965</v>
      </c>
      <c r="Q457">
        <f t="shared" si="46"/>
        <v>0.7021604938271605</v>
      </c>
      <c r="R457" t="e">
        <f t="shared" si="47"/>
        <v>#N/A</v>
      </c>
      <c r="T457" t="e">
        <f t="shared" si="48"/>
        <v>#N/A</v>
      </c>
      <c r="U457">
        <f t="shared" si="49"/>
        <v>1965</v>
      </c>
      <c r="W457" t="e">
        <v>#N/A</v>
      </c>
      <c r="X457">
        <v>1964</v>
      </c>
    </row>
    <row r="458" spans="8:24">
      <c r="H458">
        <v>456</v>
      </c>
      <c r="I458">
        <f>'Lab test'!AZ459</f>
        <v>1967</v>
      </c>
      <c r="J458">
        <f>IF('Lab test'!AU459&gt;0,'Lab test'!AU459,NA())</f>
        <v>5.7894734994782565E-2</v>
      </c>
      <c r="K458">
        <f>IF('Lab test'!AT459&gt;0,'Lab test'!AT459,NA())</f>
        <v>0.45437458860351299</v>
      </c>
      <c r="L458">
        <f t="shared" si="44"/>
        <v>1</v>
      </c>
      <c r="M458">
        <f t="shared" si="45"/>
        <v>1967</v>
      </c>
      <c r="O458">
        <v>456</v>
      </c>
      <c r="P458">
        <v>1965</v>
      </c>
      <c r="Q458">
        <f t="shared" si="46"/>
        <v>0.70370370370370372</v>
      </c>
      <c r="R458" t="e">
        <f t="shared" si="47"/>
        <v>#N/A</v>
      </c>
      <c r="T458" t="e">
        <f t="shared" si="48"/>
        <v>#N/A</v>
      </c>
      <c r="U458">
        <f t="shared" si="49"/>
        <v>1965</v>
      </c>
      <c r="W458" t="e">
        <v>#N/A</v>
      </c>
      <c r="X458">
        <v>1965</v>
      </c>
    </row>
    <row r="459" spans="8:24">
      <c r="H459">
        <v>457</v>
      </c>
      <c r="I459">
        <f>'Lab test'!AZ460</f>
        <v>1967</v>
      </c>
      <c r="J459">
        <f>IF('Lab test'!AU460&gt;0,'Lab test'!AU460,NA())</f>
        <v>0.5971702018875813</v>
      </c>
      <c r="K459">
        <f>IF('Lab test'!AT460&gt;0,'Lab test'!AT460,NA())</f>
        <v>0.57829492481276024</v>
      </c>
      <c r="L459">
        <f t="shared" si="44"/>
        <v>1</v>
      </c>
      <c r="M459">
        <f t="shared" si="45"/>
        <v>1967</v>
      </c>
      <c r="O459">
        <v>457</v>
      </c>
      <c r="P459">
        <v>1965</v>
      </c>
      <c r="Q459">
        <f t="shared" si="46"/>
        <v>0.70524691358024694</v>
      </c>
      <c r="R459" t="e">
        <f t="shared" si="47"/>
        <v>#N/A</v>
      </c>
      <c r="T459" t="e">
        <f t="shared" si="48"/>
        <v>#N/A</v>
      </c>
      <c r="U459">
        <f t="shared" si="49"/>
        <v>1965</v>
      </c>
      <c r="W459" t="e">
        <v>#N/A</v>
      </c>
      <c r="X459">
        <v>1965</v>
      </c>
    </row>
    <row r="460" spans="8:24">
      <c r="H460">
        <v>458</v>
      </c>
      <c r="I460">
        <f>'Lab test'!AZ461</f>
        <v>1967</v>
      </c>
      <c r="J460">
        <f>IF('Lab test'!AU461&gt;0,'Lab test'!AU461,NA())</f>
        <v>0.42592607283014072</v>
      </c>
      <c r="K460">
        <f>IF('Lab test'!AT461&gt;0,'Lab test'!AT461,NA())</f>
        <v>0.38002239076082484</v>
      </c>
      <c r="L460">
        <f t="shared" si="44"/>
        <v>1</v>
      </c>
      <c r="M460">
        <f t="shared" si="45"/>
        <v>1967</v>
      </c>
      <c r="O460">
        <v>458</v>
      </c>
      <c r="P460">
        <v>1965</v>
      </c>
      <c r="Q460">
        <f t="shared" si="46"/>
        <v>0.70679012345679015</v>
      </c>
      <c r="R460" t="e">
        <f t="shared" si="47"/>
        <v>#N/A</v>
      </c>
      <c r="T460" t="e">
        <f t="shared" si="48"/>
        <v>#N/A</v>
      </c>
      <c r="U460">
        <f t="shared" si="49"/>
        <v>1965</v>
      </c>
      <c r="W460" t="e">
        <v>#N/A</v>
      </c>
      <c r="X460">
        <v>1965</v>
      </c>
    </row>
    <row r="461" spans="8:24">
      <c r="H461">
        <v>459</v>
      </c>
      <c r="I461">
        <f>'Lab test'!AZ462</f>
        <v>1967</v>
      </c>
      <c r="J461">
        <f>IF('Lab test'!AU462&gt;0,'Lab test'!AU462,NA())</f>
        <v>0.34894733730889366</v>
      </c>
      <c r="K461">
        <f>IF('Lab test'!AT462&gt;0,'Lab test'!AT462,NA())</f>
        <v>0.42132916397780285</v>
      </c>
      <c r="L461">
        <f t="shared" si="44"/>
        <v>1</v>
      </c>
      <c r="M461">
        <f t="shared" si="45"/>
        <v>1967</v>
      </c>
      <c r="O461">
        <v>459</v>
      </c>
      <c r="P461">
        <v>1965</v>
      </c>
      <c r="Q461">
        <f t="shared" si="46"/>
        <v>0.70833333333333337</v>
      </c>
      <c r="R461" t="e">
        <f t="shared" si="47"/>
        <v>#N/A</v>
      </c>
      <c r="T461" t="e">
        <f t="shared" si="48"/>
        <v>#N/A</v>
      </c>
      <c r="U461">
        <f t="shared" si="49"/>
        <v>1965</v>
      </c>
      <c r="W461" t="e">
        <v>#N/A</v>
      </c>
      <c r="X461">
        <v>1965</v>
      </c>
    </row>
    <row r="462" spans="8:24">
      <c r="H462">
        <v>460</v>
      </c>
      <c r="I462">
        <f>'Lab test'!AZ463</f>
        <v>1967</v>
      </c>
      <c r="J462">
        <f>IF('Lab test'!AU463&gt;0,'Lab test'!AU463,NA())</f>
        <v>0.49947363967743619</v>
      </c>
      <c r="K462">
        <f>IF('Lab test'!AT463&gt;0,'Lab test'!AT463,NA())</f>
        <v>0.60307899941920817</v>
      </c>
      <c r="L462">
        <f t="shared" si="44"/>
        <v>1</v>
      </c>
      <c r="M462">
        <f t="shared" si="45"/>
        <v>1967</v>
      </c>
      <c r="O462">
        <v>460</v>
      </c>
      <c r="P462">
        <v>1965</v>
      </c>
      <c r="Q462">
        <f t="shared" si="46"/>
        <v>0.70987654320987659</v>
      </c>
      <c r="R462" t="e">
        <f t="shared" si="47"/>
        <v>#N/A</v>
      </c>
      <c r="T462" t="e">
        <f t="shared" si="48"/>
        <v>#N/A</v>
      </c>
      <c r="U462">
        <f t="shared" si="49"/>
        <v>1965</v>
      </c>
      <c r="W462" t="e">
        <v>#N/A</v>
      </c>
      <c r="X462">
        <v>1965</v>
      </c>
    </row>
    <row r="463" spans="8:24">
      <c r="H463">
        <v>461</v>
      </c>
      <c r="I463">
        <f>'Lab test'!AZ464</f>
        <v>1967</v>
      </c>
      <c r="J463">
        <f>IF('Lab test'!AU464&gt;0,'Lab test'!AU464,NA())</f>
        <v>0.58947363165303313</v>
      </c>
      <c r="K463">
        <f>IF('Lab test'!AT464&gt;0,'Lab test'!AT464,NA())</f>
        <v>0.66090849251420047</v>
      </c>
      <c r="L463">
        <f t="shared" si="44"/>
        <v>1</v>
      </c>
      <c r="M463">
        <f t="shared" si="45"/>
        <v>1967</v>
      </c>
      <c r="O463">
        <v>461</v>
      </c>
      <c r="P463">
        <v>1965</v>
      </c>
      <c r="Q463">
        <f t="shared" si="46"/>
        <v>0.7114197530864198</v>
      </c>
      <c r="R463" t="e">
        <f t="shared" si="47"/>
        <v>#N/A</v>
      </c>
      <c r="T463" t="e">
        <f t="shared" si="48"/>
        <v>#N/A</v>
      </c>
      <c r="U463">
        <f t="shared" si="49"/>
        <v>1965</v>
      </c>
      <c r="W463" t="e">
        <v>#N/A</v>
      </c>
      <c r="X463">
        <v>1965</v>
      </c>
    </row>
    <row r="464" spans="8:24">
      <c r="H464">
        <v>462</v>
      </c>
      <c r="I464">
        <f>'Lab test'!AZ465</f>
        <v>1967</v>
      </c>
      <c r="J464">
        <f>IF('Lab test'!AU465&gt;0,'Lab test'!AU465,NA())</f>
        <v>0.24768418844278331</v>
      </c>
      <c r="K464">
        <f>IF('Lab test'!AT465&gt;0,'Lab test'!AT465,NA())</f>
        <v>0.29906109286267568</v>
      </c>
      <c r="L464">
        <f t="shared" si="44"/>
        <v>1</v>
      </c>
      <c r="M464">
        <f t="shared" si="45"/>
        <v>1967</v>
      </c>
      <c r="O464">
        <v>462</v>
      </c>
      <c r="P464">
        <v>1965</v>
      </c>
      <c r="Q464">
        <f t="shared" si="46"/>
        <v>0.71296296296296291</v>
      </c>
      <c r="R464" t="e">
        <f t="shared" si="47"/>
        <v>#N/A</v>
      </c>
      <c r="T464" t="e">
        <f t="shared" si="48"/>
        <v>#N/A</v>
      </c>
      <c r="U464">
        <f t="shared" si="49"/>
        <v>1965</v>
      </c>
      <c r="W464" t="e">
        <v>#N/A</v>
      </c>
      <c r="X464">
        <v>1965</v>
      </c>
    </row>
    <row r="465" spans="8:24">
      <c r="H465">
        <v>463</v>
      </c>
      <c r="I465">
        <f>'Lab test'!AZ466</f>
        <v>1967</v>
      </c>
      <c r="J465">
        <f>IF('Lab test'!AU466&gt;0,'Lab test'!AU466,NA())</f>
        <v>0.53052626848772988</v>
      </c>
      <c r="K465">
        <f>IF('Lab test'!AT466&gt;0,'Lab test'!AT466,NA())</f>
        <v>0.69395391713991061</v>
      </c>
      <c r="L465">
        <f t="shared" si="44"/>
        <v>1</v>
      </c>
      <c r="M465">
        <f t="shared" si="45"/>
        <v>1967</v>
      </c>
      <c r="O465">
        <v>463</v>
      </c>
      <c r="P465">
        <v>1965</v>
      </c>
      <c r="Q465">
        <f t="shared" si="46"/>
        <v>0.71450617283950613</v>
      </c>
      <c r="R465" t="e">
        <f t="shared" si="47"/>
        <v>#N/A</v>
      </c>
      <c r="T465" t="e">
        <f t="shared" si="48"/>
        <v>#N/A</v>
      </c>
      <c r="U465">
        <f t="shared" si="49"/>
        <v>1965</v>
      </c>
      <c r="W465" t="e">
        <v>#N/A</v>
      </c>
      <c r="X465">
        <v>1965</v>
      </c>
    </row>
    <row r="466" spans="8:24">
      <c r="H466">
        <v>464</v>
      </c>
      <c r="I466">
        <f>'Lab test'!AZ467</f>
        <v>1964</v>
      </c>
      <c r="J466">
        <f>IF('Lab test'!AU467&gt;0,'Lab test'!AU467,NA())</f>
        <v>5.8846795262787806E-2</v>
      </c>
      <c r="K466">
        <f>IF('Lab test'!AT467&gt;0,'Lab test'!AT467,NA())</f>
        <v>0.44468790808964898</v>
      </c>
      <c r="L466">
        <f t="shared" si="44"/>
        <v>1</v>
      </c>
      <c r="M466">
        <f t="shared" si="45"/>
        <v>1964</v>
      </c>
      <c r="O466">
        <v>464</v>
      </c>
      <c r="P466">
        <v>1965</v>
      </c>
      <c r="Q466">
        <f t="shared" si="46"/>
        <v>0.71604938271604934</v>
      </c>
      <c r="R466" t="e">
        <f t="shared" si="47"/>
        <v>#N/A</v>
      </c>
      <c r="T466" t="e">
        <f t="shared" si="48"/>
        <v>#N/A</v>
      </c>
      <c r="U466">
        <f t="shared" si="49"/>
        <v>1965</v>
      </c>
      <c r="W466" t="e">
        <v>#N/A</v>
      </c>
      <c r="X466">
        <v>1965</v>
      </c>
    </row>
    <row r="467" spans="8:24">
      <c r="H467">
        <v>465</v>
      </c>
      <c r="I467">
        <f>'Lab test'!AZ468</f>
        <v>1964</v>
      </c>
      <c r="J467">
        <f>IF('Lab test'!AU468&gt;0,'Lab test'!AU468,NA())</f>
        <v>0.10403896169729526</v>
      </c>
      <c r="K467">
        <f>IF('Lab test'!AT468&gt;0,'Lab test'!AT468,NA())</f>
        <v>0.77082755851496021</v>
      </c>
      <c r="L467">
        <f t="shared" si="44"/>
        <v>1</v>
      </c>
      <c r="M467">
        <f t="shared" si="45"/>
        <v>1964</v>
      </c>
      <c r="O467">
        <v>465</v>
      </c>
      <c r="P467">
        <v>1965</v>
      </c>
      <c r="Q467">
        <f t="shared" si="46"/>
        <v>0.71759259259259256</v>
      </c>
      <c r="R467" t="e">
        <f t="shared" si="47"/>
        <v>#N/A</v>
      </c>
      <c r="T467" t="e">
        <f t="shared" si="48"/>
        <v>#N/A</v>
      </c>
      <c r="U467">
        <f t="shared" si="49"/>
        <v>1965</v>
      </c>
      <c r="W467" t="e">
        <v>#N/A</v>
      </c>
      <c r="X467">
        <v>1965</v>
      </c>
    </row>
    <row r="468" spans="8:24">
      <c r="H468">
        <v>466</v>
      </c>
      <c r="I468">
        <f>'Lab test'!AZ469</f>
        <v>1964</v>
      </c>
      <c r="J468">
        <f>IF('Lab test'!AU469&gt;0,'Lab test'!AU469,NA())</f>
        <v>5.7982056717038606E-2</v>
      </c>
      <c r="K468">
        <f>IF('Lab test'!AT469&gt;0,'Lab test'!AT469,NA())</f>
        <v>0.42628936420237257</v>
      </c>
      <c r="L468">
        <f t="shared" si="44"/>
        <v>1</v>
      </c>
      <c r="M468">
        <f t="shared" si="45"/>
        <v>1964</v>
      </c>
      <c r="O468">
        <v>466</v>
      </c>
      <c r="P468">
        <v>1965</v>
      </c>
      <c r="Q468">
        <f t="shared" si="46"/>
        <v>0.71913580246913578</v>
      </c>
      <c r="R468" t="e">
        <f t="shared" si="47"/>
        <v>#N/A</v>
      </c>
      <c r="T468" t="e">
        <f t="shared" si="48"/>
        <v>#N/A</v>
      </c>
      <c r="U468">
        <f t="shared" si="49"/>
        <v>1965</v>
      </c>
      <c r="W468" t="e">
        <v>#N/A</v>
      </c>
      <c r="X468">
        <v>1965</v>
      </c>
    </row>
    <row r="469" spans="8:24">
      <c r="H469">
        <v>467</v>
      </c>
      <c r="I469">
        <f>'Lab test'!AZ470</f>
        <v>1964</v>
      </c>
      <c r="J469">
        <f>IF('Lab test'!AU470&gt;0,'Lab test'!AU470,NA())</f>
        <v>5.7364641036656873E-2</v>
      </c>
      <c r="K469">
        <f>IF('Lab test'!AT470&gt;0,'Lab test'!AT470,NA())</f>
        <v>0.4358908350631388</v>
      </c>
      <c r="L469">
        <f t="shared" si="44"/>
        <v>1</v>
      </c>
      <c r="M469">
        <f t="shared" si="45"/>
        <v>1964</v>
      </c>
      <c r="O469">
        <v>467</v>
      </c>
      <c r="P469">
        <v>1965</v>
      </c>
      <c r="Q469">
        <f t="shared" si="46"/>
        <v>0.72067901234567899</v>
      </c>
      <c r="R469" t="e">
        <f t="shared" si="47"/>
        <v>#N/A</v>
      </c>
      <c r="T469" t="e">
        <f t="shared" si="48"/>
        <v>#N/A</v>
      </c>
      <c r="U469">
        <f t="shared" si="49"/>
        <v>1965</v>
      </c>
      <c r="W469" t="e">
        <v>#N/A</v>
      </c>
      <c r="X469">
        <v>1965</v>
      </c>
    </row>
    <row r="470" spans="8:24">
      <c r="H470">
        <v>468</v>
      </c>
      <c r="I470">
        <f>'Lab test'!AZ471</f>
        <v>1964</v>
      </c>
      <c r="J470">
        <f>IF('Lab test'!AU471&gt;0,'Lab test'!AU471,NA())</f>
        <v>7.9947101535250295E-2</v>
      </c>
      <c r="K470">
        <f>IF('Lab test'!AT471&gt;0,'Lab test'!AT471,NA())</f>
        <v>0.68488190596219656</v>
      </c>
      <c r="L470">
        <f t="shared" si="44"/>
        <v>1</v>
      </c>
      <c r="M470">
        <f t="shared" si="45"/>
        <v>1964</v>
      </c>
      <c r="O470">
        <v>468</v>
      </c>
      <c r="P470">
        <v>1965</v>
      </c>
      <c r="Q470">
        <f t="shared" si="46"/>
        <v>0.72222222222222221</v>
      </c>
      <c r="R470" t="e">
        <f t="shared" si="47"/>
        <v>#N/A</v>
      </c>
      <c r="T470" t="e">
        <f t="shared" si="48"/>
        <v>#N/A</v>
      </c>
      <c r="U470">
        <f t="shared" si="49"/>
        <v>1965</v>
      </c>
      <c r="W470" t="e">
        <v>#N/A</v>
      </c>
      <c r="X470">
        <v>1965</v>
      </c>
    </row>
    <row r="471" spans="8:24">
      <c r="H471">
        <v>469</v>
      </c>
      <c r="I471">
        <f>'Lab test'!AZ472</f>
        <v>1964</v>
      </c>
      <c r="J471">
        <f>IF('Lab test'!AU472&gt;0,'Lab test'!AU472,NA())</f>
        <v>8.6441010463035081E-2</v>
      </c>
      <c r="K471">
        <f>IF('Lab test'!AT472&gt;0,'Lab test'!AT472,NA())</f>
        <v>0.58957605981876582</v>
      </c>
      <c r="L471">
        <f t="shared" si="44"/>
        <v>1</v>
      </c>
      <c r="M471">
        <f t="shared" si="45"/>
        <v>1964</v>
      </c>
      <c r="O471">
        <v>469</v>
      </c>
      <c r="P471">
        <v>1965</v>
      </c>
      <c r="Q471">
        <f t="shared" si="46"/>
        <v>0.72376543209876543</v>
      </c>
      <c r="R471">
        <f t="shared" si="47"/>
        <v>0.72376543209876543</v>
      </c>
      <c r="T471">
        <f t="shared" si="48"/>
        <v>0.72376543209876543</v>
      </c>
      <c r="U471">
        <f t="shared" si="49"/>
        <v>1965</v>
      </c>
      <c r="W471" t="e">
        <v>#N/A</v>
      </c>
      <c r="X471">
        <v>1965</v>
      </c>
    </row>
    <row r="472" spans="8:24">
      <c r="H472">
        <v>470</v>
      </c>
      <c r="I472">
        <f>'Lab test'!AZ473</f>
        <v>1964</v>
      </c>
      <c r="J472">
        <f>IF('Lab test'!AU473&gt;0,'Lab test'!AU473,NA())</f>
        <v>7.8223179068827683E-2</v>
      </c>
      <c r="K472">
        <f>IF('Lab test'!AT473&gt;0,'Lab test'!AT473,NA())</f>
        <v>0.6121371483285547</v>
      </c>
      <c r="L472">
        <f t="shared" si="44"/>
        <v>1</v>
      </c>
      <c r="M472">
        <f t="shared" si="45"/>
        <v>1964</v>
      </c>
      <c r="O472">
        <v>470</v>
      </c>
      <c r="P472">
        <v>1967</v>
      </c>
      <c r="Q472">
        <f t="shared" si="46"/>
        <v>0.72530864197530864</v>
      </c>
      <c r="R472" t="e">
        <f t="shared" si="47"/>
        <v>#N/A</v>
      </c>
      <c r="T472" t="e">
        <f t="shared" si="48"/>
        <v>#N/A</v>
      </c>
      <c r="U472">
        <f t="shared" si="49"/>
        <v>1967</v>
      </c>
      <c r="W472" t="e">
        <v>#N/A</v>
      </c>
      <c r="X472">
        <v>1965</v>
      </c>
    </row>
    <row r="473" spans="8:24">
      <c r="H473">
        <v>471</v>
      </c>
      <c r="I473">
        <f>'Lab test'!AZ474</f>
        <v>1964</v>
      </c>
      <c r="J473">
        <f>IF('Lab test'!AU474&gt;0,'Lab test'!AU474,NA())</f>
        <v>7.5610290476078437E-2</v>
      </c>
      <c r="K473">
        <f>IF('Lab test'!AT474&gt;0,'Lab test'!AT474,NA())</f>
        <v>0.57798283048033117</v>
      </c>
      <c r="L473">
        <f t="shared" si="44"/>
        <v>1</v>
      </c>
      <c r="M473">
        <f t="shared" si="45"/>
        <v>1964</v>
      </c>
      <c r="O473">
        <v>471</v>
      </c>
      <c r="P473">
        <v>1967</v>
      </c>
      <c r="Q473">
        <f t="shared" si="46"/>
        <v>0.72685185185185186</v>
      </c>
      <c r="R473" t="e">
        <f t="shared" si="47"/>
        <v>#N/A</v>
      </c>
      <c r="T473" t="e">
        <f t="shared" si="48"/>
        <v>#N/A</v>
      </c>
      <c r="U473">
        <f t="shared" si="49"/>
        <v>1967</v>
      </c>
      <c r="W473" t="e">
        <v>#N/A</v>
      </c>
      <c r="X473">
        <v>1965</v>
      </c>
    </row>
    <row r="474" spans="8:24">
      <c r="H474">
        <v>472</v>
      </c>
      <c r="I474">
        <f>'Lab test'!AZ475</f>
        <v>1964</v>
      </c>
      <c r="J474">
        <f>IF('Lab test'!AU475&gt;0,'Lab test'!AU475,NA())</f>
        <v>7.8925050521305329E-2</v>
      </c>
      <c r="K474">
        <f>IF('Lab test'!AT475&gt;0,'Lab test'!AT475,NA())</f>
        <v>0.6137884263619946</v>
      </c>
      <c r="L474">
        <f t="shared" si="44"/>
        <v>1</v>
      </c>
      <c r="M474">
        <f t="shared" si="45"/>
        <v>1964</v>
      </c>
      <c r="O474">
        <v>472</v>
      </c>
      <c r="P474">
        <v>1967</v>
      </c>
      <c r="Q474">
        <f t="shared" si="46"/>
        <v>0.72839506172839508</v>
      </c>
      <c r="R474" t="e">
        <f t="shared" si="47"/>
        <v>#N/A</v>
      </c>
      <c r="T474" t="e">
        <f t="shared" si="48"/>
        <v>#N/A</v>
      </c>
      <c r="U474">
        <f t="shared" si="49"/>
        <v>1967</v>
      </c>
      <c r="W474" t="e">
        <v>#N/A</v>
      </c>
      <c r="X474">
        <v>1965</v>
      </c>
    </row>
    <row r="475" spans="8:24">
      <c r="H475">
        <v>473</v>
      </c>
      <c r="I475">
        <f>'Lab test'!AZ476</f>
        <v>1968</v>
      </c>
      <c r="J475" t="e">
        <f>IF('Lab test'!AU476&gt;0,'Lab test'!AU476,NA())</f>
        <v>#N/A</v>
      </c>
      <c r="K475">
        <f>IF('Lab test'!AT476&gt;0,'Lab test'!AT476,NA())</f>
        <v>0.57499999999999996</v>
      </c>
      <c r="L475">
        <f t="shared" si="44"/>
        <v>1</v>
      </c>
      <c r="M475">
        <f t="shared" si="45"/>
        <v>1968</v>
      </c>
      <c r="O475">
        <v>473</v>
      </c>
      <c r="P475">
        <v>1967</v>
      </c>
      <c r="Q475">
        <f t="shared" si="46"/>
        <v>0.72993827160493829</v>
      </c>
      <c r="R475" t="e">
        <f t="shared" si="47"/>
        <v>#N/A</v>
      </c>
      <c r="T475" t="e">
        <f t="shared" si="48"/>
        <v>#N/A</v>
      </c>
      <c r="U475">
        <f t="shared" si="49"/>
        <v>1967</v>
      </c>
      <c r="W475" t="e">
        <v>#N/A</v>
      </c>
      <c r="X475">
        <v>1965</v>
      </c>
    </row>
    <row r="476" spans="8:24">
      <c r="H476">
        <v>474</v>
      </c>
      <c r="I476">
        <f>'Lab test'!AZ477</f>
        <v>1968</v>
      </c>
      <c r="J476" t="e">
        <f>IF('Lab test'!AU477&gt;0,'Lab test'!AU477,NA())</f>
        <v>#N/A</v>
      </c>
      <c r="K476">
        <f>IF('Lab test'!AT477&gt;0,'Lab test'!AT477,NA())</f>
        <v>0.65800000000000003</v>
      </c>
      <c r="L476">
        <f t="shared" si="44"/>
        <v>1</v>
      </c>
      <c r="M476">
        <f t="shared" si="45"/>
        <v>1968</v>
      </c>
      <c r="O476">
        <v>474</v>
      </c>
      <c r="P476">
        <v>1967</v>
      </c>
      <c r="Q476">
        <f t="shared" si="46"/>
        <v>0.73148148148148151</v>
      </c>
      <c r="R476" t="e">
        <f t="shared" si="47"/>
        <v>#N/A</v>
      </c>
      <c r="T476" t="e">
        <f t="shared" si="48"/>
        <v>#N/A</v>
      </c>
      <c r="U476">
        <f t="shared" si="49"/>
        <v>1967</v>
      </c>
      <c r="W476" t="e">
        <v>#N/A</v>
      </c>
      <c r="X476">
        <v>1965</v>
      </c>
    </row>
    <row r="477" spans="8:24">
      <c r="H477">
        <v>475</v>
      </c>
      <c r="I477">
        <f>'Lab test'!AZ478</f>
        <v>1968</v>
      </c>
      <c r="J477" t="e">
        <f>IF('Lab test'!AU478&gt;0,'Lab test'!AU478,NA())</f>
        <v>#N/A</v>
      </c>
      <c r="K477">
        <f>IF('Lab test'!AT478&gt;0,'Lab test'!AT478,NA())</f>
        <v>0.73599999999999999</v>
      </c>
      <c r="L477">
        <f t="shared" si="44"/>
        <v>1</v>
      </c>
      <c r="M477">
        <f t="shared" si="45"/>
        <v>1968</v>
      </c>
      <c r="O477">
        <v>475</v>
      </c>
      <c r="P477">
        <v>1967</v>
      </c>
      <c r="Q477">
        <f t="shared" si="46"/>
        <v>0.73302469135802473</v>
      </c>
      <c r="R477" t="e">
        <f t="shared" si="47"/>
        <v>#N/A</v>
      </c>
      <c r="T477" t="e">
        <f t="shared" si="48"/>
        <v>#N/A</v>
      </c>
      <c r="U477">
        <f t="shared" si="49"/>
        <v>1967</v>
      </c>
      <c r="W477" t="e">
        <v>#N/A</v>
      </c>
      <c r="X477">
        <v>1965</v>
      </c>
    </row>
    <row r="478" spans="8:24">
      <c r="H478">
        <v>476</v>
      </c>
      <c r="I478">
        <f>'Lab test'!AZ479</f>
        <v>1968</v>
      </c>
      <c r="J478" t="e">
        <f>IF('Lab test'!AU479&gt;0,'Lab test'!AU479,NA())</f>
        <v>#N/A</v>
      </c>
      <c r="K478">
        <f>IF('Lab test'!AT479&gt;0,'Lab test'!AT479,NA())</f>
        <v>0.56100000000000005</v>
      </c>
      <c r="L478">
        <f t="shared" si="44"/>
        <v>1</v>
      </c>
      <c r="M478">
        <f t="shared" si="45"/>
        <v>1968</v>
      </c>
      <c r="O478">
        <v>476</v>
      </c>
      <c r="P478">
        <v>1967</v>
      </c>
      <c r="Q478">
        <f t="shared" si="46"/>
        <v>0.73456790123456794</v>
      </c>
      <c r="R478" t="e">
        <f t="shared" si="47"/>
        <v>#N/A</v>
      </c>
      <c r="T478" t="e">
        <f t="shared" si="48"/>
        <v>#N/A</v>
      </c>
      <c r="U478">
        <f t="shared" si="49"/>
        <v>1967</v>
      </c>
      <c r="W478" t="e">
        <v>#N/A</v>
      </c>
      <c r="X478">
        <v>1965</v>
      </c>
    </row>
    <row r="479" spans="8:24">
      <c r="H479">
        <v>477</v>
      </c>
      <c r="I479">
        <f>'Lab test'!AZ480</f>
        <v>1968</v>
      </c>
      <c r="J479" t="e">
        <f>IF('Lab test'!AU480&gt;0,'Lab test'!AU480,NA())</f>
        <v>#N/A</v>
      </c>
      <c r="K479">
        <f>IF('Lab test'!AT480&gt;0,'Lab test'!AT480,NA())</f>
        <v>0.67300000000000004</v>
      </c>
      <c r="L479">
        <f t="shared" si="44"/>
        <v>1</v>
      </c>
      <c r="M479">
        <f t="shared" si="45"/>
        <v>1968</v>
      </c>
      <c r="O479">
        <v>477</v>
      </c>
      <c r="P479">
        <v>1967</v>
      </c>
      <c r="Q479">
        <f t="shared" si="46"/>
        <v>0.73611111111111116</v>
      </c>
      <c r="R479" t="e">
        <f t="shared" si="47"/>
        <v>#N/A</v>
      </c>
      <c r="T479" t="e">
        <f t="shared" si="48"/>
        <v>#N/A</v>
      </c>
      <c r="U479">
        <f t="shared" si="49"/>
        <v>1967</v>
      </c>
      <c r="W479" t="e">
        <v>#N/A</v>
      </c>
      <c r="X479">
        <v>1965</v>
      </c>
    </row>
    <row r="480" spans="8:24">
      <c r="H480">
        <v>478</v>
      </c>
      <c r="I480">
        <f>'Lab test'!AZ481</f>
        <v>1972</v>
      </c>
      <c r="J480" t="e">
        <f>IF('Lab test'!AU481&gt;0,'Lab test'!AU481,NA())</f>
        <v>#N/A</v>
      </c>
      <c r="K480">
        <f>IF('Lab test'!AT481&gt;0,'Lab test'!AT481,NA())</f>
        <v>0.91</v>
      </c>
      <c r="L480">
        <f t="shared" si="44"/>
        <v>1</v>
      </c>
      <c r="M480">
        <f t="shared" si="45"/>
        <v>1972</v>
      </c>
      <c r="O480">
        <v>478</v>
      </c>
      <c r="P480">
        <v>1967</v>
      </c>
      <c r="Q480">
        <f t="shared" si="46"/>
        <v>0.73765432098765427</v>
      </c>
      <c r="R480" t="e">
        <f t="shared" si="47"/>
        <v>#N/A</v>
      </c>
      <c r="T480" t="e">
        <f t="shared" si="48"/>
        <v>#N/A</v>
      </c>
      <c r="U480">
        <f t="shared" si="49"/>
        <v>1967</v>
      </c>
      <c r="W480" t="e">
        <v>#N/A</v>
      </c>
      <c r="X480">
        <v>1965</v>
      </c>
    </row>
    <row r="481" spans="8:24">
      <c r="H481">
        <v>479</v>
      </c>
      <c r="I481">
        <f>'Lab test'!AZ482</f>
        <v>1972</v>
      </c>
      <c r="J481" t="e">
        <f>IF('Lab test'!AU482&gt;0,'Lab test'!AU482,NA())</f>
        <v>#N/A</v>
      </c>
      <c r="K481">
        <f>IF('Lab test'!AT482&gt;0,'Lab test'!AT482,NA())</f>
        <v>0.96</v>
      </c>
      <c r="L481">
        <f t="shared" si="44"/>
        <v>1</v>
      </c>
      <c r="M481">
        <f t="shared" si="45"/>
        <v>1972</v>
      </c>
      <c r="O481">
        <v>479</v>
      </c>
      <c r="P481">
        <v>1967</v>
      </c>
      <c r="Q481">
        <f t="shared" si="46"/>
        <v>0.73919753086419748</v>
      </c>
      <c r="R481" t="e">
        <f t="shared" si="47"/>
        <v>#N/A</v>
      </c>
      <c r="T481" t="e">
        <f t="shared" si="48"/>
        <v>#N/A</v>
      </c>
      <c r="U481">
        <f t="shared" si="49"/>
        <v>1967</v>
      </c>
      <c r="W481" t="e">
        <v>#N/A</v>
      </c>
      <c r="X481">
        <v>1965</v>
      </c>
    </row>
    <row r="482" spans="8:24">
      <c r="H482">
        <v>480</v>
      </c>
      <c r="I482">
        <f>'Lab test'!AZ483</f>
        <v>1972</v>
      </c>
      <c r="J482" t="e">
        <f>IF('Lab test'!AU483&gt;0,'Lab test'!AU483,NA())</f>
        <v>#N/A</v>
      </c>
      <c r="K482">
        <f>IF('Lab test'!AT483&gt;0,'Lab test'!AT483,NA())</f>
        <v>0.83</v>
      </c>
      <c r="L482">
        <f t="shared" si="44"/>
        <v>1</v>
      </c>
      <c r="M482">
        <f t="shared" si="45"/>
        <v>1972</v>
      </c>
      <c r="O482">
        <v>480</v>
      </c>
      <c r="P482">
        <v>1967</v>
      </c>
      <c r="Q482">
        <f t="shared" si="46"/>
        <v>0.7407407407407407</v>
      </c>
      <c r="R482" t="e">
        <f t="shared" si="47"/>
        <v>#N/A</v>
      </c>
      <c r="T482" t="e">
        <f t="shared" si="48"/>
        <v>#N/A</v>
      </c>
      <c r="U482">
        <f t="shared" si="49"/>
        <v>1967</v>
      </c>
      <c r="W482" t="e">
        <v>#N/A</v>
      </c>
      <c r="X482">
        <v>1965</v>
      </c>
    </row>
    <row r="483" spans="8:24">
      <c r="H483">
        <v>481</v>
      </c>
      <c r="I483">
        <f>'Lab test'!AZ484</f>
        <v>1972</v>
      </c>
      <c r="J483" t="e">
        <f>IF('Lab test'!AU484&gt;0,'Lab test'!AU484,NA())</f>
        <v>#N/A</v>
      </c>
      <c r="K483">
        <f>IF('Lab test'!AT484&gt;0,'Lab test'!AT484,NA())</f>
        <v>0.85</v>
      </c>
      <c r="L483">
        <f t="shared" si="44"/>
        <v>1</v>
      </c>
      <c r="M483">
        <f t="shared" si="45"/>
        <v>1972</v>
      </c>
      <c r="O483">
        <v>481</v>
      </c>
      <c r="P483">
        <v>1967</v>
      </c>
      <c r="Q483">
        <f t="shared" si="46"/>
        <v>0.74228395061728392</v>
      </c>
      <c r="R483" t="e">
        <f t="shared" si="47"/>
        <v>#N/A</v>
      </c>
      <c r="T483" t="e">
        <f t="shared" si="48"/>
        <v>#N/A</v>
      </c>
      <c r="U483">
        <f t="shared" si="49"/>
        <v>1967</v>
      </c>
      <c r="W483" t="e">
        <v>#N/A</v>
      </c>
      <c r="X483">
        <v>1965</v>
      </c>
    </row>
    <row r="484" spans="8:24">
      <c r="H484">
        <v>482</v>
      </c>
      <c r="I484">
        <f>'Lab test'!AZ485</f>
        <v>1972</v>
      </c>
      <c r="J484" t="e">
        <f>IF('Lab test'!AU485&gt;0,'Lab test'!AU485,NA())</f>
        <v>#N/A</v>
      </c>
      <c r="K484">
        <f>IF('Lab test'!AT485&gt;0,'Lab test'!AT485,NA())</f>
        <v>0.81</v>
      </c>
      <c r="L484">
        <f t="shared" si="44"/>
        <v>1</v>
      </c>
      <c r="M484">
        <f t="shared" si="45"/>
        <v>1972</v>
      </c>
      <c r="O484">
        <v>482</v>
      </c>
      <c r="P484">
        <v>1967</v>
      </c>
      <c r="Q484">
        <f t="shared" si="46"/>
        <v>0.74382716049382713</v>
      </c>
      <c r="R484" t="e">
        <f t="shared" si="47"/>
        <v>#N/A</v>
      </c>
      <c r="T484" t="e">
        <f t="shared" si="48"/>
        <v>#N/A</v>
      </c>
      <c r="U484">
        <f t="shared" si="49"/>
        <v>1967</v>
      </c>
      <c r="W484" t="e">
        <v>#N/A</v>
      </c>
      <c r="X484">
        <v>1965</v>
      </c>
    </row>
    <row r="485" spans="8:24">
      <c r="H485">
        <v>483</v>
      </c>
      <c r="I485">
        <f>'Lab test'!AZ486</f>
        <v>1972</v>
      </c>
      <c r="J485" t="e">
        <f>IF('Lab test'!AU486&gt;0,'Lab test'!AU486,NA())</f>
        <v>#N/A</v>
      </c>
      <c r="K485">
        <f>IF('Lab test'!AT486&gt;0,'Lab test'!AT486,NA())</f>
        <v>0.8</v>
      </c>
      <c r="L485">
        <f t="shared" si="44"/>
        <v>1</v>
      </c>
      <c r="M485">
        <f t="shared" si="45"/>
        <v>1972</v>
      </c>
      <c r="O485">
        <v>483</v>
      </c>
      <c r="P485">
        <v>1967</v>
      </c>
      <c r="Q485">
        <f t="shared" si="46"/>
        <v>0.74537037037037035</v>
      </c>
      <c r="R485" t="e">
        <f t="shared" si="47"/>
        <v>#N/A</v>
      </c>
      <c r="T485" t="e">
        <f t="shared" si="48"/>
        <v>#N/A</v>
      </c>
      <c r="U485">
        <f t="shared" si="49"/>
        <v>1967</v>
      </c>
      <c r="W485" t="e">
        <v>#N/A</v>
      </c>
      <c r="X485">
        <v>1965</v>
      </c>
    </row>
    <row r="486" spans="8:24">
      <c r="H486">
        <v>484</v>
      </c>
      <c r="I486">
        <f>'Lab test'!AZ487</f>
        <v>1972</v>
      </c>
      <c r="J486" t="e">
        <f>IF('Lab test'!AU487&gt;0,'Lab test'!AU487,NA())</f>
        <v>#N/A</v>
      </c>
      <c r="K486">
        <f>IF('Lab test'!AT487&gt;0,'Lab test'!AT487,NA())</f>
        <v>0.86</v>
      </c>
      <c r="L486">
        <f t="shared" si="44"/>
        <v>1</v>
      </c>
      <c r="M486">
        <f t="shared" si="45"/>
        <v>1972</v>
      </c>
      <c r="O486">
        <v>484</v>
      </c>
      <c r="P486">
        <v>1967</v>
      </c>
      <c r="Q486">
        <f t="shared" si="46"/>
        <v>0.74691358024691357</v>
      </c>
      <c r="R486" t="e">
        <f t="shared" si="47"/>
        <v>#N/A</v>
      </c>
      <c r="T486" t="e">
        <f t="shared" si="48"/>
        <v>#N/A</v>
      </c>
      <c r="U486">
        <f t="shared" si="49"/>
        <v>1967</v>
      </c>
      <c r="W486" t="e">
        <v>#N/A</v>
      </c>
      <c r="X486">
        <v>1965</v>
      </c>
    </row>
    <row r="487" spans="8:24">
      <c r="H487">
        <v>485</v>
      </c>
      <c r="I487">
        <f>'Lab test'!AZ488</f>
        <v>1972</v>
      </c>
      <c r="J487" t="e">
        <f>IF('Lab test'!AU488&gt;0,'Lab test'!AU488,NA())</f>
        <v>#N/A</v>
      </c>
      <c r="K487">
        <f>IF('Lab test'!AT488&gt;0,'Lab test'!AT488,NA())</f>
        <v>0.84</v>
      </c>
      <c r="L487">
        <f t="shared" si="44"/>
        <v>1</v>
      </c>
      <c r="M487">
        <f t="shared" si="45"/>
        <v>1972</v>
      </c>
      <c r="O487">
        <v>485</v>
      </c>
      <c r="P487">
        <v>1967</v>
      </c>
      <c r="Q487">
        <f t="shared" si="46"/>
        <v>0.74845679012345678</v>
      </c>
      <c r="R487" t="e">
        <f t="shared" si="47"/>
        <v>#N/A</v>
      </c>
      <c r="T487" t="e">
        <f t="shared" si="48"/>
        <v>#N/A</v>
      </c>
      <c r="U487">
        <f t="shared" si="49"/>
        <v>1967</v>
      </c>
      <c r="W487" t="e">
        <v>#N/A</v>
      </c>
      <c r="X487">
        <v>1965</v>
      </c>
    </row>
    <row r="488" spans="8:24">
      <c r="H488">
        <v>486</v>
      </c>
      <c r="I488">
        <f>'Lab test'!AZ489</f>
        <v>1972</v>
      </c>
      <c r="J488" t="e">
        <f>IF('Lab test'!AU489&gt;0,'Lab test'!AU489,NA())</f>
        <v>#N/A</v>
      </c>
      <c r="K488">
        <f>IF('Lab test'!AT489&gt;0,'Lab test'!AT489,NA())</f>
        <v>0.84</v>
      </c>
      <c r="L488">
        <f t="shared" si="44"/>
        <v>1</v>
      </c>
      <c r="M488">
        <f t="shared" si="45"/>
        <v>1972</v>
      </c>
      <c r="O488">
        <v>486</v>
      </c>
      <c r="P488">
        <v>1967</v>
      </c>
      <c r="Q488">
        <f t="shared" si="46"/>
        <v>0.75</v>
      </c>
      <c r="R488" t="e">
        <f t="shared" si="47"/>
        <v>#N/A</v>
      </c>
      <c r="T488" t="e">
        <f t="shared" si="48"/>
        <v>#N/A</v>
      </c>
      <c r="U488">
        <f t="shared" si="49"/>
        <v>1967</v>
      </c>
      <c r="W488" t="e">
        <v>#N/A</v>
      </c>
      <c r="X488">
        <v>1967</v>
      </c>
    </row>
    <row r="489" spans="8:24">
      <c r="H489">
        <v>487</v>
      </c>
      <c r="I489">
        <f>'Lab test'!AZ490</f>
        <v>1972</v>
      </c>
      <c r="J489" t="e">
        <f>IF('Lab test'!AU490&gt;0,'Lab test'!AU490,NA())</f>
        <v>#N/A</v>
      </c>
      <c r="K489">
        <f>IF('Lab test'!AT490&gt;0,'Lab test'!AT490,NA())</f>
        <v>0.91</v>
      </c>
      <c r="L489">
        <f t="shared" si="44"/>
        <v>1</v>
      </c>
      <c r="M489">
        <f t="shared" si="45"/>
        <v>1972</v>
      </c>
      <c r="O489">
        <v>487</v>
      </c>
      <c r="P489">
        <v>1967</v>
      </c>
      <c r="Q489">
        <f t="shared" si="46"/>
        <v>0.75154320987654322</v>
      </c>
      <c r="R489" t="e">
        <f t="shared" si="47"/>
        <v>#N/A</v>
      </c>
      <c r="T489" t="e">
        <f t="shared" si="48"/>
        <v>#N/A</v>
      </c>
      <c r="U489">
        <f t="shared" si="49"/>
        <v>1967</v>
      </c>
      <c r="W489" t="e">
        <v>#N/A</v>
      </c>
      <c r="X489">
        <v>1967</v>
      </c>
    </row>
    <row r="490" spans="8:24">
      <c r="H490">
        <v>488</v>
      </c>
      <c r="I490">
        <f>'Lab test'!AZ491</f>
        <v>1972</v>
      </c>
      <c r="J490" t="e">
        <f>IF('Lab test'!AU491&gt;0,'Lab test'!AU491,NA())</f>
        <v>#N/A</v>
      </c>
      <c r="K490">
        <f>IF('Lab test'!AT491&gt;0,'Lab test'!AT491,NA())</f>
        <v>0.86</v>
      </c>
      <c r="L490">
        <f t="shared" si="44"/>
        <v>1</v>
      </c>
      <c r="M490">
        <f t="shared" si="45"/>
        <v>1972</v>
      </c>
      <c r="O490">
        <v>488</v>
      </c>
      <c r="P490">
        <v>1967</v>
      </c>
      <c r="Q490">
        <f t="shared" si="46"/>
        <v>0.75308641975308643</v>
      </c>
      <c r="R490" t="e">
        <f t="shared" si="47"/>
        <v>#N/A</v>
      </c>
      <c r="T490" t="e">
        <f t="shared" si="48"/>
        <v>#N/A</v>
      </c>
      <c r="U490">
        <f t="shared" si="49"/>
        <v>1967</v>
      </c>
      <c r="W490" t="e">
        <v>#N/A</v>
      </c>
      <c r="X490">
        <v>1967</v>
      </c>
    </row>
    <row r="491" spans="8:24">
      <c r="H491">
        <v>489</v>
      </c>
      <c r="I491">
        <f>'Lab test'!AZ492</f>
        <v>1972</v>
      </c>
      <c r="J491" t="e">
        <f>IF('Lab test'!AU492&gt;0,'Lab test'!AU492,NA())</f>
        <v>#N/A</v>
      </c>
      <c r="K491">
        <f>IF('Lab test'!AT492&gt;0,'Lab test'!AT492,NA())</f>
        <v>0.8</v>
      </c>
      <c r="L491">
        <f t="shared" si="44"/>
        <v>1</v>
      </c>
      <c r="M491">
        <f t="shared" si="45"/>
        <v>1972</v>
      </c>
      <c r="O491">
        <v>489</v>
      </c>
      <c r="P491">
        <v>1967</v>
      </c>
      <c r="Q491">
        <f t="shared" si="46"/>
        <v>0.75462962962962965</v>
      </c>
      <c r="R491" t="e">
        <f t="shared" si="47"/>
        <v>#N/A</v>
      </c>
      <c r="T491" t="e">
        <f t="shared" si="48"/>
        <v>#N/A</v>
      </c>
      <c r="U491">
        <f t="shared" si="49"/>
        <v>1967</v>
      </c>
      <c r="W491" t="e">
        <v>#N/A</v>
      </c>
      <c r="X491">
        <v>1967</v>
      </c>
    </row>
    <row r="492" spans="8:24">
      <c r="H492">
        <v>490</v>
      </c>
      <c r="I492">
        <f>'Lab test'!AZ493</f>
        <v>1972</v>
      </c>
      <c r="J492" t="e">
        <f>IF('Lab test'!AU493&gt;0,'Lab test'!AU493,NA())</f>
        <v>#N/A</v>
      </c>
      <c r="K492">
        <f>IF('Lab test'!AT493&gt;0,'Lab test'!AT493,NA())</f>
        <v>0.9</v>
      </c>
      <c r="L492">
        <f t="shared" si="44"/>
        <v>1</v>
      </c>
      <c r="M492">
        <f t="shared" si="45"/>
        <v>1972</v>
      </c>
      <c r="O492">
        <v>490</v>
      </c>
      <c r="P492">
        <v>1967</v>
      </c>
      <c r="Q492">
        <f t="shared" si="46"/>
        <v>0.75617283950617287</v>
      </c>
      <c r="R492" t="e">
        <f t="shared" si="47"/>
        <v>#N/A</v>
      </c>
      <c r="T492" t="e">
        <f t="shared" si="48"/>
        <v>#N/A</v>
      </c>
      <c r="U492">
        <f t="shared" si="49"/>
        <v>1967</v>
      </c>
      <c r="W492" t="e">
        <v>#N/A</v>
      </c>
      <c r="X492">
        <v>1967</v>
      </c>
    </row>
    <row r="493" spans="8:24">
      <c r="H493">
        <v>491</v>
      </c>
      <c r="I493">
        <f>'Lab test'!AZ494</f>
        <v>1972</v>
      </c>
      <c r="J493" t="e">
        <f>IF('Lab test'!AU494&gt;0,'Lab test'!AU494,NA())</f>
        <v>#N/A</v>
      </c>
      <c r="K493">
        <f>IF('Lab test'!AT494&gt;0,'Lab test'!AT494,NA())</f>
        <v>0.81</v>
      </c>
      <c r="L493">
        <f t="shared" si="44"/>
        <v>1</v>
      </c>
      <c r="M493">
        <f t="shared" si="45"/>
        <v>1972</v>
      </c>
      <c r="O493">
        <v>491</v>
      </c>
      <c r="P493">
        <v>1967</v>
      </c>
      <c r="Q493">
        <f t="shared" si="46"/>
        <v>0.75771604938271608</v>
      </c>
      <c r="R493" t="e">
        <f t="shared" si="47"/>
        <v>#N/A</v>
      </c>
      <c r="T493" t="e">
        <f t="shared" si="48"/>
        <v>#N/A</v>
      </c>
      <c r="U493">
        <f t="shared" si="49"/>
        <v>1967</v>
      </c>
      <c r="W493" t="e">
        <v>#N/A</v>
      </c>
      <c r="X493">
        <v>1967</v>
      </c>
    </row>
    <row r="494" spans="8:24">
      <c r="H494">
        <v>492</v>
      </c>
      <c r="I494">
        <f>'Lab test'!AZ495</f>
        <v>1972</v>
      </c>
      <c r="J494" t="e">
        <f>IF('Lab test'!AU495&gt;0,'Lab test'!AU495,NA())</f>
        <v>#N/A</v>
      </c>
      <c r="K494">
        <f>IF('Lab test'!AT495&gt;0,'Lab test'!AT495,NA())</f>
        <v>0.85</v>
      </c>
      <c r="L494">
        <f t="shared" si="44"/>
        <v>1</v>
      </c>
      <c r="M494">
        <f t="shared" si="45"/>
        <v>1972</v>
      </c>
      <c r="O494">
        <v>492</v>
      </c>
      <c r="P494">
        <v>1967</v>
      </c>
      <c r="Q494">
        <f t="shared" si="46"/>
        <v>0.7592592592592593</v>
      </c>
      <c r="R494" t="e">
        <f t="shared" si="47"/>
        <v>#N/A</v>
      </c>
      <c r="T494" t="e">
        <f t="shared" si="48"/>
        <v>#N/A</v>
      </c>
      <c r="U494">
        <f t="shared" si="49"/>
        <v>1967</v>
      </c>
      <c r="W494" t="e">
        <v>#N/A</v>
      </c>
      <c r="X494">
        <v>1967</v>
      </c>
    </row>
    <row r="495" spans="8:24">
      <c r="H495">
        <v>493</v>
      </c>
      <c r="I495">
        <f>'Lab test'!AZ496</f>
        <v>1985</v>
      </c>
      <c r="J495">
        <f>IF('Lab test'!AU496&gt;0,'Lab test'!AU496,NA())</f>
        <v>0.82962962962962961</v>
      </c>
      <c r="K495">
        <f>IF('Lab test'!AT496&gt;0,'Lab test'!AT496,NA())</f>
        <v>0.17879649312928794</v>
      </c>
      <c r="L495">
        <f t="shared" si="44"/>
        <v>1</v>
      </c>
      <c r="M495">
        <f t="shared" si="45"/>
        <v>1985</v>
      </c>
      <c r="O495">
        <v>493</v>
      </c>
      <c r="P495">
        <v>1967</v>
      </c>
      <c r="Q495">
        <f t="shared" si="46"/>
        <v>0.76080246913580252</v>
      </c>
      <c r="R495" t="e">
        <f t="shared" si="47"/>
        <v>#N/A</v>
      </c>
      <c r="T495" t="e">
        <f t="shared" si="48"/>
        <v>#N/A</v>
      </c>
      <c r="U495">
        <f t="shared" si="49"/>
        <v>1967</v>
      </c>
      <c r="W495" t="e">
        <v>#N/A</v>
      </c>
      <c r="X495">
        <v>1967</v>
      </c>
    </row>
    <row r="496" spans="8:24">
      <c r="H496">
        <v>494</v>
      </c>
      <c r="I496">
        <f>'Lab test'!AZ497</f>
        <v>1985</v>
      </c>
      <c r="J496">
        <f>IF('Lab test'!AU497&gt;0,'Lab test'!AU497,NA())</f>
        <v>0.9</v>
      </c>
      <c r="K496">
        <f>IF('Lab test'!AT497&gt;0,'Lab test'!AT497,NA())</f>
        <v>0.27298393147418071</v>
      </c>
      <c r="L496">
        <f t="shared" si="44"/>
        <v>1</v>
      </c>
      <c r="M496">
        <f t="shared" si="45"/>
        <v>1985</v>
      </c>
      <c r="O496">
        <v>494</v>
      </c>
      <c r="P496">
        <v>1967</v>
      </c>
      <c r="Q496">
        <f t="shared" si="46"/>
        <v>0.76234567901234573</v>
      </c>
      <c r="R496" t="e">
        <f t="shared" si="47"/>
        <v>#N/A</v>
      </c>
      <c r="T496" t="e">
        <f t="shared" si="48"/>
        <v>#N/A</v>
      </c>
      <c r="U496">
        <f t="shared" si="49"/>
        <v>1967</v>
      </c>
      <c r="W496" t="e">
        <v>#N/A</v>
      </c>
      <c r="X496">
        <v>1967</v>
      </c>
    </row>
    <row r="497" spans="8:24">
      <c r="H497">
        <v>495</v>
      </c>
      <c r="I497">
        <f>'Lab test'!AZ498</f>
        <v>1985</v>
      </c>
      <c r="J497">
        <f>IF('Lab test'!AU498&gt;0,'Lab test'!AU498,NA())</f>
        <v>0.81481481481481477</v>
      </c>
      <c r="K497">
        <f>IF('Lab test'!AT498&gt;0,'Lab test'!AT498,NA())</f>
        <v>0.17560369860912209</v>
      </c>
      <c r="L497">
        <f t="shared" si="44"/>
        <v>1</v>
      </c>
      <c r="M497">
        <f t="shared" si="45"/>
        <v>1985</v>
      </c>
      <c r="O497">
        <v>495</v>
      </c>
      <c r="P497">
        <v>1967</v>
      </c>
      <c r="Q497">
        <f t="shared" si="46"/>
        <v>0.76388888888888884</v>
      </c>
      <c r="R497" t="e">
        <f t="shared" si="47"/>
        <v>#N/A</v>
      </c>
      <c r="T497" t="e">
        <f t="shared" si="48"/>
        <v>#N/A</v>
      </c>
      <c r="U497">
        <f t="shared" si="49"/>
        <v>1967</v>
      </c>
      <c r="W497" t="e">
        <v>#N/A</v>
      </c>
      <c r="X497">
        <v>1967</v>
      </c>
    </row>
    <row r="498" spans="8:24">
      <c r="H498">
        <v>496</v>
      </c>
      <c r="I498">
        <f>'Lab test'!AZ499</f>
        <v>1985</v>
      </c>
      <c r="J498">
        <f>IF('Lab test'!AU499&gt;0,'Lab test'!AU499,NA())</f>
        <v>0.88500000000000001</v>
      </c>
      <c r="K498">
        <f>IF('Lab test'!AT499&gt;0,'Lab test'!AT499,NA())</f>
        <v>0.26843419928294437</v>
      </c>
      <c r="L498">
        <f t="shared" si="44"/>
        <v>1</v>
      </c>
      <c r="M498">
        <f t="shared" si="45"/>
        <v>1985</v>
      </c>
      <c r="O498">
        <v>496</v>
      </c>
      <c r="P498">
        <v>1967</v>
      </c>
      <c r="Q498">
        <f t="shared" si="46"/>
        <v>0.76543209876543206</v>
      </c>
      <c r="R498" t="e">
        <f t="shared" si="47"/>
        <v>#N/A</v>
      </c>
      <c r="T498" t="e">
        <f t="shared" si="48"/>
        <v>#N/A</v>
      </c>
      <c r="U498">
        <f t="shared" si="49"/>
        <v>1967</v>
      </c>
      <c r="W498" t="e">
        <v>#N/A</v>
      </c>
      <c r="X498">
        <v>1967</v>
      </c>
    </row>
    <row r="499" spans="8:24">
      <c r="H499">
        <v>497</v>
      </c>
      <c r="I499">
        <f>'Lab test'!AZ500</f>
        <v>1985</v>
      </c>
      <c r="J499">
        <f>IF('Lab test'!AU500&gt;0,'Lab test'!AU500,NA())</f>
        <v>0.80888888888888888</v>
      </c>
      <c r="K499">
        <f>IF('Lab test'!AT500&gt;0,'Lab test'!AT500,NA())</f>
        <v>0.14527215066754645</v>
      </c>
      <c r="L499">
        <f t="shared" si="44"/>
        <v>1</v>
      </c>
      <c r="M499">
        <f t="shared" si="45"/>
        <v>1985</v>
      </c>
      <c r="O499">
        <v>497</v>
      </c>
      <c r="P499">
        <v>1967</v>
      </c>
      <c r="Q499">
        <f t="shared" si="46"/>
        <v>0.76697530864197527</v>
      </c>
      <c r="R499" t="e">
        <f t="shared" si="47"/>
        <v>#N/A</v>
      </c>
      <c r="T499" t="e">
        <f t="shared" si="48"/>
        <v>#N/A</v>
      </c>
      <c r="U499">
        <f t="shared" si="49"/>
        <v>1967</v>
      </c>
      <c r="W499" t="e">
        <v>#N/A</v>
      </c>
      <c r="X499">
        <v>1967</v>
      </c>
    </row>
    <row r="500" spans="8:24">
      <c r="H500">
        <v>498</v>
      </c>
      <c r="I500">
        <f>'Lab test'!AZ501</f>
        <v>1985</v>
      </c>
      <c r="J500">
        <f>IF('Lab test'!AU501&gt;0,'Lab test'!AU501,NA())</f>
        <v>0.91249999999999998</v>
      </c>
      <c r="K500">
        <f>IF('Lab test'!AT501&gt;0,'Lab test'!AT501,NA())</f>
        <v>0.27386194996722629</v>
      </c>
      <c r="L500">
        <f t="shared" si="44"/>
        <v>1</v>
      </c>
      <c r="M500">
        <f t="shared" si="45"/>
        <v>1985</v>
      </c>
      <c r="O500">
        <v>498</v>
      </c>
      <c r="P500">
        <v>1967</v>
      </c>
      <c r="Q500">
        <f t="shared" si="46"/>
        <v>0.76851851851851849</v>
      </c>
      <c r="R500" t="e">
        <f t="shared" si="47"/>
        <v>#N/A</v>
      </c>
      <c r="T500" t="e">
        <f t="shared" si="48"/>
        <v>#N/A</v>
      </c>
      <c r="U500">
        <f t="shared" si="49"/>
        <v>1967</v>
      </c>
      <c r="W500" t="e">
        <v>#N/A</v>
      </c>
      <c r="X500">
        <v>1967</v>
      </c>
    </row>
    <row r="501" spans="8:24">
      <c r="H501">
        <v>499</v>
      </c>
      <c r="I501">
        <f>'Lab test'!AZ502</f>
        <v>1985</v>
      </c>
      <c r="J501">
        <f>IF('Lab test'!AU502&gt;0,'Lab test'!AU502,NA())</f>
        <v>0.87058823529411766</v>
      </c>
      <c r="K501">
        <f>IF('Lab test'!AT502&gt;0,'Lab test'!AT502,NA())</f>
        <v>0.29533349311534168</v>
      </c>
      <c r="L501">
        <f t="shared" si="44"/>
        <v>1</v>
      </c>
      <c r="M501">
        <f t="shared" si="45"/>
        <v>1985</v>
      </c>
      <c r="O501">
        <v>499</v>
      </c>
      <c r="P501">
        <v>1967</v>
      </c>
      <c r="Q501">
        <f t="shared" si="46"/>
        <v>0.77006172839506171</v>
      </c>
      <c r="R501" t="e">
        <f t="shared" si="47"/>
        <v>#N/A</v>
      </c>
      <c r="T501" t="e">
        <f t="shared" si="48"/>
        <v>#N/A</v>
      </c>
      <c r="U501">
        <f t="shared" si="49"/>
        <v>1967</v>
      </c>
      <c r="W501" t="e">
        <v>#N/A</v>
      </c>
      <c r="X501">
        <v>1967</v>
      </c>
    </row>
    <row r="502" spans="8:24">
      <c r="H502">
        <v>500</v>
      </c>
      <c r="I502">
        <f>'Lab test'!AZ503</f>
        <v>1985</v>
      </c>
      <c r="J502">
        <f>IF('Lab test'!AU503&gt;0,'Lab test'!AU503,NA())</f>
        <v>0.91176470588235292</v>
      </c>
      <c r="K502">
        <f>IF('Lab test'!AT503&gt;0,'Lab test'!AT503,NA())</f>
        <v>0.29198105886916753</v>
      </c>
      <c r="L502">
        <f t="shared" si="44"/>
        <v>1</v>
      </c>
      <c r="M502">
        <f t="shared" si="45"/>
        <v>1985</v>
      </c>
      <c r="O502">
        <v>500</v>
      </c>
      <c r="P502">
        <v>1967</v>
      </c>
      <c r="Q502">
        <f t="shared" si="46"/>
        <v>0.77160493827160492</v>
      </c>
      <c r="R502">
        <f t="shared" si="47"/>
        <v>0.77160493827160492</v>
      </c>
      <c r="T502">
        <f t="shared" si="48"/>
        <v>0.77160493827160492</v>
      </c>
      <c r="U502">
        <f t="shared" si="49"/>
        <v>1967</v>
      </c>
      <c r="W502" t="e">
        <v>#N/A</v>
      </c>
      <c r="X502">
        <v>1967</v>
      </c>
    </row>
    <row r="503" spans="8:24">
      <c r="H503">
        <v>501</v>
      </c>
      <c r="I503">
        <f>'Lab test'!AZ504</f>
        <v>1985</v>
      </c>
      <c r="J503">
        <f>IF('Lab test'!AU504&gt;0,'Lab test'!AU504,NA())</f>
        <v>0.90352941176470591</v>
      </c>
      <c r="K503">
        <f>IF('Lab test'!AT504&gt;0,'Lab test'!AT504,NA())</f>
        <v>0.30650827393592217</v>
      </c>
      <c r="L503">
        <f t="shared" si="44"/>
        <v>1</v>
      </c>
      <c r="M503">
        <f t="shared" si="45"/>
        <v>1985</v>
      </c>
      <c r="O503">
        <v>501</v>
      </c>
      <c r="P503">
        <v>1968</v>
      </c>
      <c r="Q503">
        <f t="shared" si="46"/>
        <v>0.77314814814814814</v>
      </c>
      <c r="R503" t="e">
        <f t="shared" si="47"/>
        <v>#N/A</v>
      </c>
      <c r="T503" t="e">
        <f t="shared" si="48"/>
        <v>#N/A</v>
      </c>
      <c r="U503">
        <f t="shared" si="49"/>
        <v>1968</v>
      </c>
      <c r="W503" t="e">
        <v>#N/A</v>
      </c>
      <c r="X503">
        <v>1967</v>
      </c>
    </row>
    <row r="504" spans="8:24">
      <c r="H504">
        <v>502</v>
      </c>
      <c r="I504">
        <f>'Lab test'!AZ505</f>
        <v>1985</v>
      </c>
      <c r="J504">
        <f>IF('Lab test'!AU505&gt;0,'Lab test'!AU505,NA())</f>
        <v>0.88823529411764701</v>
      </c>
      <c r="K504">
        <f>IF('Lab test'!AT505&gt;0,'Lab test'!AT505,NA())</f>
        <v>0.22900318695889604</v>
      </c>
      <c r="L504">
        <f t="shared" si="44"/>
        <v>1</v>
      </c>
      <c r="M504">
        <f t="shared" si="45"/>
        <v>1985</v>
      </c>
      <c r="O504">
        <v>502</v>
      </c>
      <c r="P504">
        <v>1968</v>
      </c>
      <c r="Q504">
        <f t="shared" si="46"/>
        <v>0.77469135802469136</v>
      </c>
      <c r="R504" t="e">
        <f t="shared" si="47"/>
        <v>#N/A</v>
      </c>
      <c r="T504" t="e">
        <f t="shared" si="48"/>
        <v>#N/A</v>
      </c>
      <c r="U504">
        <f t="shared" si="49"/>
        <v>1968</v>
      </c>
      <c r="W504" t="e">
        <v>#N/A</v>
      </c>
      <c r="X504">
        <v>1967</v>
      </c>
    </row>
    <row r="505" spans="8:24">
      <c r="H505">
        <v>503</v>
      </c>
      <c r="I505">
        <f>'Lab test'!AZ506</f>
        <v>1985</v>
      </c>
      <c r="J505">
        <f>IF('Lab test'!AU506&gt;0,'Lab test'!AU506,NA())</f>
        <v>0.8529411764705882</v>
      </c>
      <c r="K505">
        <f>IF('Lab test'!AT506&gt;0,'Lab test'!AT506,NA())</f>
        <v>0.23147760271202458</v>
      </c>
      <c r="L505">
        <f t="shared" si="44"/>
        <v>1</v>
      </c>
      <c r="M505">
        <f t="shared" si="45"/>
        <v>1985</v>
      </c>
      <c r="O505">
        <v>503</v>
      </c>
      <c r="P505">
        <v>1968</v>
      </c>
      <c r="Q505">
        <f t="shared" si="46"/>
        <v>0.77623456790123457</v>
      </c>
      <c r="R505" t="e">
        <f t="shared" si="47"/>
        <v>#N/A</v>
      </c>
      <c r="T505" t="e">
        <f t="shared" si="48"/>
        <v>#N/A</v>
      </c>
      <c r="U505">
        <f t="shared" si="49"/>
        <v>1968</v>
      </c>
      <c r="W505" t="e">
        <v>#N/A</v>
      </c>
      <c r="X505">
        <v>1967</v>
      </c>
    </row>
    <row r="506" spans="8:24">
      <c r="H506">
        <v>504</v>
      </c>
      <c r="I506">
        <f>'Lab test'!AZ507</f>
        <v>1909</v>
      </c>
      <c r="J506">
        <f>IF('Lab test'!AU507&gt;0,'Lab test'!AU507,NA())</f>
        <v>1.3702623906705538</v>
      </c>
      <c r="K506">
        <f>IF('Lab test'!AT507&gt;0,'Lab test'!AT507,NA())</f>
        <v>7.9784326763767843E-2</v>
      </c>
      <c r="L506">
        <f t="shared" si="44"/>
        <v>1</v>
      </c>
      <c r="M506">
        <f t="shared" si="45"/>
        <v>1909</v>
      </c>
      <c r="O506">
        <v>504</v>
      </c>
      <c r="P506">
        <v>1968</v>
      </c>
      <c r="Q506">
        <f t="shared" si="46"/>
        <v>0.77777777777777779</v>
      </c>
      <c r="R506" t="e">
        <f t="shared" si="47"/>
        <v>#N/A</v>
      </c>
      <c r="T506" t="e">
        <f t="shared" si="48"/>
        <v>#N/A</v>
      </c>
      <c r="U506">
        <f t="shared" si="49"/>
        <v>1968</v>
      </c>
      <c r="W506" t="e">
        <v>#N/A</v>
      </c>
      <c r="X506">
        <v>1967</v>
      </c>
    </row>
    <row r="507" spans="8:24">
      <c r="H507">
        <v>505</v>
      </c>
      <c r="I507">
        <f>'Lab test'!AZ508</f>
        <v>1909</v>
      </c>
      <c r="J507">
        <f>IF('Lab test'!AU508&gt;0,'Lab test'!AU508,NA())</f>
        <v>1.296774193548387</v>
      </c>
      <c r="K507">
        <f>IF('Lab test'!AT508&gt;0,'Lab test'!AT508,NA())</f>
        <v>8.5301328082539027E-2</v>
      </c>
      <c r="L507">
        <f t="shared" si="44"/>
        <v>1</v>
      </c>
      <c r="M507">
        <f t="shared" si="45"/>
        <v>1909</v>
      </c>
      <c r="O507">
        <v>505</v>
      </c>
      <c r="P507">
        <v>1968</v>
      </c>
      <c r="Q507">
        <f t="shared" si="46"/>
        <v>0.77932098765432101</v>
      </c>
      <c r="R507" t="e">
        <f t="shared" si="47"/>
        <v>#N/A</v>
      </c>
      <c r="T507" t="e">
        <f t="shared" si="48"/>
        <v>#N/A</v>
      </c>
      <c r="U507">
        <f t="shared" si="49"/>
        <v>1968</v>
      </c>
      <c r="W507" t="e">
        <v>#N/A</v>
      </c>
      <c r="X507">
        <v>1967</v>
      </c>
    </row>
    <row r="508" spans="8:24">
      <c r="H508">
        <v>506</v>
      </c>
      <c r="I508">
        <f>'Lab test'!AZ509</f>
        <v>1909</v>
      </c>
      <c r="J508">
        <f>IF('Lab test'!AU509&gt;0,'Lab test'!AU509,NA())</f>
        <v>1.1559633027522933</v>
      </c>
      <c r="K508">
        <f>IF('Lab test'!AT509&gt;0,'Lab test'!AT509,NA())</f>
        <v>8.0208711480596384E-2</v>
      </c>
      <c r="L508">
        <f t="shared" si="44"/>
        <v>1</v>
      </c>
      <c r="M508">
        <f t="shared" si="45"/>
        <v>1909</v>
      </c>
      <c r="O508">
        <v>506</v>
      </c>
      <c r="P508">
        <v>1968</v>
      </c>
      <c r="Q508">
        <f t="shared" si="46"/>
        <v>0.78086419753086422</v>
      </c>
      <c r="R508" t="e">
        <f t="shared" si="47"/>
        <v>#N/A</v>
      </c>
      <c r="T508" t="e">
        <f t="shared" si="48"/>
        <v>#N/A</v>
      </c>
      <c r="U508">
        <f t="shared" si="49"/>
        <v>1968</v>
      </c>
      <c r="W508" t="e">
        <v>#N/A</v>
      </c>
      <c r="X508">
        <v>1967</v>
      </c>
    </row>
    <row r="509" spans="8:24">
      <c r="H509">
        <v>507</v>
      </c>
      <c r="I509">
        <f>'Lab test'!AZ510</f>
        <v>1909</v>
      </c>
      <c r="J509">
        <f>IF('Lab test'!AU510&gt;0,'Lab test'!AU510,NA())</f>
        <v>1.546938775510204</v>
      </c>
      <c r="K509">
        <f>IF('Lab test'!AT510&gt;0,'Lab test'!AT510,NA())</f>
        <v>8.0420903839010655E-2</v>
      </c>
      <c r="L509">
        <f t="shared" si="44"/>
        <v>1</v>
      </c>
      <c r="M509">
        <f t="shared" si="45"/>
        <v>1909</v>
      </c>
      <c r="O509">
        <v>507</v>
      </c>
      <c r="P509">
        <v>1968</v>
      </c>
      <c r="Q509">
        <f t="shared" si="46"/>
        <v>0.78240740740740744</v>
      </c>
      <c r="R509" t="e">
        <f t="shared" si="47"/>
        <v>#N/A</v>
      </c>
      <c r="T509" t="e">
        <f t="shared" si="48"/>
        <v>#N/A</v>
      </c>
      <c r="U509">
        <f t="shared" si="49"/>
        <v>1968</v>
      </c>
      <c r="W509" t="e">
        <v>#N/A</v>
      </c>
      <c r="X509">
        <v>1967</v>
      </c>
    </row>
    <row r="510" spans="8:24">
      <c r="H510">
        <v>508</v>
      </c>
      <c r="I510">
        <f>'Lab test'!AZ511</f>
        <v>1909</v>
      </c>
      <c r="J510">
        <f>IF('Lab test'!AU511&gt;0,'Lab test'!AU511,NA())</f>
        <v>1.221518987341772</v>
      </c>
      <c r="K510">
        <f>IF('Lab test'!AT511&gt;0,'Lab test'!AT511,NA())</f>
        <v>8.1906250347910603E-2</v>
      </c>
      <c r="L510">
        <f t="shared" si="44"/>
        <v>1</v>
      </c>
      <c r="M510">
        <f t="shared" si="45"/>
        <v>1909</v>
      </c>
      <c r="O510">
        <v>508</v>
      </c>
      <c r="P510">
        <v>1968</v>
      </c>
      <c r="Q510">
        <f t="shared" si="46"/>
        <v>0.78395061728395066</v>
      </c>
      <c r="R510">
        <f t="shared" si="47"/>
        <v>0.78395061728395066</v>
      </c>
      <c r="T510">
        <f t="shared" si="48"/>
        <v>0.78395061728395066</v>
      </c>
      <c r="U510">
        <f t="shared" si="49"/>
        <v>1968</v>
      </c>
      <c r="W510" t="e">
        <v>#N/A</v>
      </c>
      <c r="X510">
        <v>1967</v>
      </c>
    </row>
    <row r="511" spans="8:24">
      <c r="H511">
        <v>509</v>
      </c>
      <c r="I511">
        <f>'Lab test'!AZ512</f>
        <v>1909</v>
      </c>
      <c r="J511">
        <f>IF('Lab test'!AU512&gt;0,'Lab test'!AU512,NA())</f>
        <v>1.4732547597461469</v>
      </c>
      <c r="K511">
        <f>IF('Lab test'!AT512&gt;0,'Lab test'!AT512,NA())</f>
        <v>6.8962516484639746E-2</v>
      </c>
      <c r="L511">
        <f t="shared" si="44"/>
        <v>1</v>
      </c>
      <c r="M511">
        <f t="shared" si="45"/>
        <v>1909</v>
      </c>
      <c r="O511">
        <v>509</v>
      </c>
      <c r="P511">
        <v>1971</v>
      </c>
      <c r="Q511">
        <f t="shared" si="46"/>
        <v>0.78549382716049387</v>
      </c>
      <c r="R511" t="e">
        <f t="shared" si="47"/>
        <v>#N/A</v>
      </c>
      <c r="T511" t="e">
        <f t="shared" si="48"/>
        <v>#N/A</v>
      </c>
      <c r="U511">
        <f t="shared" si="49"/>
        <v>1971</v>
      </c>
      <c r="W511" t="e">
        <v>#N/A</v>
      </c>
      <c r="X511">
        <v>1967</v>
      </c>
    </row>
    <row r="512" spans="8:24">
      <c r="H512">
        <v>510</v>
      </c>
      <c r="I512">
        <f>'Lab test'!AZ513</f>
        <v>1909</v>
      </c>
      <c r="J512">
        <f>IF('Lab test'!AU513&gt;0,'Lab test'!AU513,NA())</f>
        <v>1.5882352941176472</v>
      </c>
      <c r="K512">
        <f>IF('Lab test'!AT513&gt;0,'Lab test'!AT513,NA())</f>
        <v>7.447951780341093E-2</v>
      </c>
      <c r="L512">
        <f t="shared" si="44"/>
        <v>1</v>
      </c>
      <c r="M512">
        <f t="shared" si="45"/>
        <v>1909</v>
      </c>
      <c r="O512">
        <v>510</v>
      </c>
      <c r="P512">
        <v>1971</v>
      </c>
      <c r="Q512">
        <f t="shared" si="46"/>
        <v>0.78703703703703709</v>
      </c>
      <c r="R512" t="e">
        <f t="shared" si="47"/>
        <v>#N/A</v>
      </c>
      <c r="T512" t="e">
        <f t="shared" si="48"/>
        <v>#N/A</v>
      </c>
      <c r="U512">
        <f t="shared" si="49"/>
        <v>1971</v>
      </c>
      <c r="W512" t="e">
        <v>#N/A</v>
      </c>
      <c r="X512">
        <v>1967</v>
      </c>
    </row>
    <row r="513" spans="8:24">
      <c r="H513">
        <v>511</v>
      </c>
      <c r="I513">
        <f>'Lab test'!AZ514</f>
        <v>1909</v>
      </c>
      <c r="J513">
        <f>IF('Lab test'!AU514&gt;0,'Lab test'!AU514,NA())</f>
        <v>1.5214723926380367</v>
      </c>
      <c r="K513">
        <f>IF('Lab test'!AT514&gt;0,'Lab test'!AT514,NA())</f>
        <v>6.077278254636697E-2</v>
      </c>
      <c r="L513">
        <f t="shared" si="44"/>
        <v>1</v>
      </c>
      <c r="M513">
        <f t="shared" si="45"/>
        <v>1909</v>
      </c>
      <c r="O513">
        <v>511</v>
      </c>
      <c r="P513">
        <v>1971</v>
      </c>
      <c r="Q513">
        <f t="shared" si="46"/>
        <v>0.7885802469135802</v>
      </c>
      <c r="R513" t="e">
        <f t="shared" si="47"/>
        <v>#N/A</v>
      </c>
      <c r="T513" t="e">
        <f t="shared" si="48"/>
        <v>#N/A</v>
      </c>
      <c r="U513">
        <f t="shared" si="49"/>
        <v>1971</v>
      </c>
      <c r="W513" t="e">
        <v>#N/A</v>
      </c>
      <c r="X513">
        <v>1967</v>
      </c>
    </row>
    <row r="514" spans="8:24">
      <c r="H514">
        <v>512</v>
      </c>
      <c r="I514">
        <f>'Lab test'!AZ515</f>
        <v>1909</v>
      </c>
      <c r="J514">
        <f>IF('Lab test'!AU515&gt;0,'Lab test'!AU515,NA())</f>
        <v>1.2041884816753927</v>
      </c>
      <c r="K514">
        <f>IF('Lab test'!AT515&gt;0,'Lab test'!AT515,NA())</f>
        <v>9.7608484870567044E-2</v>
      </c>
      <c r="L514">
        <f t="shared" si="44"/>
        <v>1</v>
      </c>
      <c r="M514">
        <f t="shared" si="45"/>
        <v>1909</v>
      </c>
      <c r="O514">
        <v>512</v>
      </c>
      <c r="P514">
        <v>1971</v>
      </c>
      <c r="Q514">
        <f t="shared" si="46"/>
        <v>0.79012345679012341</v>
      </c>
      <c r="R514" t="e">
        <f t="shared" si="47"/>
        <v>#N/A</v>
      </c>
      <c r="T514" t="e">
        <f t="shared" si="48"/>
        <v>#N/A</v>
      </c>
      <c r="U514">
        <f t="shared" si="49"/>
        <v>1971</v>
      </c>
      <c r="W514" t="e">
        <v>#N/A</v>
      </c>
      <c r="X514">
        <v>1967</v>
      </c>
    </row>
    <row r="515" spans="8:24">
      <c r="H515">
        <v>513</v>
      </c>
      <c r="I515">
        <f>'Lab test'!AZ516</f>
        <v>1909</v>
      </c>
      <c r="J515">
        <f>IF('Lab test'!AU516&gt;0,'Lab test'!AU516,NA())</f>
        <v>1.3179190751445087</v>
      </c>
      <c r="K515">
        <f>IF('Lab test'!AT516&gt;0,'Lab test'!AT516,NA())</f>
        <v>9.6759715436909935E-2</v>
      </c>
      <c r="L515">
        <f t="shared" si="44"/>
        <v>1</v>
      </c>
      <c r="M515">
        <f t="shared" si="45"/>
        <v>1909</v>
      </c>
      <c r="O515">
        <v>513</v>
      </c>
      <c r="P515">
        <v>1971</v>
      </c>
      <c r="Q515">
        <f t="shared" si="46"/>
        <v>0.79166666666666663</v>
      </c>
      <c r="R515" t="e">
        <f t="shared" si="47"/>
        <v>#N/A</v>
      </c>
      <c r="T515" t="e">
        <f t="shared" si="48"/>
        <v>#N/A</v>
      </c>
      <c r="U515">
        <f t="shared" si="49"/>
        <v>1971</v>
      </c>
      <c r="W515" t="e">
        <v>#N/A</v>
      </c>
      <c r="X515">
        <v>1967</v>
      </c>
    </row>
    <row r="516" spans="8:24">
      <c r="H516">
        <v>514</v>
      </c>
      <c r="I516">
        <f>'Lab test'!AZ517</f>
        <v>1909</v>
      </c>
      <c r="J516">
        <f>IF('Lab test'!AU517&gt;0,'Lab test'!AU517,NA())</f>
        <v>1.3134328358208955</v>
      </c>
      <c r="K516">
        <f>IF('Lab test'!AT517&gt;0,'Lab test'!AT517,NA())</f>
        <v>9.3364637702281511E-2</v>
      </c>
      <c r="L516">
        <f t="shared" ref="L516:L579" si="50">IF(OR(ISNUMBER(J516),ISNUMBER(K516)),1,NA())</f>
        <v>1</v>
      </c>
      <c r="M516">
        <f t="shared" ref="M516:M579" si="51">IF(ISNUMBER(L516),I516,NA())</f>
        <v>1909</v>
      </c>
      <c r="O516">
        <v>514</v>
      </c>
      <c r="P516">
        <v>1971</v>
      </c>
      <c r="Q516">
        <f t="shared" ref="Q516:Q579" si="52">O516/COUNT($O$3:$O$650)</f>
        <v>0.79320987654320985</v>
      </c>
      <c r="R516" t="e">
        <f t="shared" ref="R516:R579" si="53">IF(P516=P517,NA(),Q516)</f>
        <v>#N/A</v>
      </c>
      <c r="T516" t="e">
        <f t="shared" ref="T516:T579" si="54">R516</f>
        <v>#N/A</v>
      </c>
      <c r="U516">
        <f t="shared" ref="U516:U579" si="55">P516</f>
        <v>1971</v>
      </c>
      <c r="W516" t="e">
        <v>#N/A</v>
      </c>
      <c r="X516">
        <v>1967</v>
      </c>
    </row>
    <row r="517" spans="8:24">
      <c r="H517">
        <v>515</v>
      </c>
      <c r="I517">
        <f>'Lab test'!AZ518</f>
        <v>1909</v>
      </c>
      <c r="J517">
        <f>IF('Lab test'!AU518&gt;0,'Lab test'!AU518,NA())</f>
        <v>1.0780487804878049</v>
      </c>
      <c r="K517">
        <f>IF('Lab test'!AT518&gt;0,'Lab test'!AT518,NA())</f>
        <v>9.3789022419110066E-2</v>
      </c>
      <c r="L517">
        <f t="shared" si="50"/>
        <v>1</v>
      </c>
      <c r="M517">
        <f t="shared" si="51"/>
        <v>1909</v>
      </c>
      <c r="O517">
        <v>515</v>
      </c>
      <c r="P517">
        <v>1971</v>
      </c>
      <c r="Q517">
        <f t="shared" si="52"/>
        <v>0.79475308641975306</v>
      </c>
      <c r="R517" t="e">
        <f t="shared" si="53"/>
        <v>#N/A</v>
      </c>
      <c r="T517" t="e">
        <f t="shared" si="54"/>
        <v>#N/A</v>
      </c>
      <c r="U517">
        <f t="shared" si="55"/>
        <v>1971</v>
      </c>
      <c r="W517" t="e">
        <v>#N/A</v>
      </c>
      <c r="X517">
        <v>1967</v>
      </c>
    </row>
    <row r="518" spans="8:24">
      <c r="H518">
        <v>516</v>
      </c>
      <c r="I518">
        <f>'Lab test'!AZ519</f>
        <v>1909</v>
      </c>
      <c r="J518">
        <f>IF('Lab test'!AU519&gt;0,'Lab test'!AU519,NA())</f>
        <v>1.1219512195121952</v>
      </c>
      <c r="K518">
        <f>IF('Lab test'!AT519&gt;0,'Lab test'!AT519,NA())</f>
        <v>9.7608484870567044E-2</v>
      </c>
      <c r="L518">
        <f t="shared" si="50"/>
        <v>1</v>
      </c>
      <c r="M518">
        <f t="shared" si="51"/>
        <v>1909</v>
      </c>
      <c r="O518">
        <v>516</v>
      </c>
      <c r="P518">
        <v>1971</v>
      </c>
      <c r="Q518">
        <f t="shared" si="52"/>
        <v>0.79629629629629628</v>
      </c>
      <c r="R518" t="e">
        <f t="shared" si="53"/>
        <v>#N/A</v>
      </c>
      <c r="T518" t="e">
        <f t="shared" si="54"/>
        <v>#N/A</v>
      </c>
      <c r="U518">
        <f t="shared" si="55"/>
        <v>1971</v>
      </c>
      <c r="W518" t="e">
        <v>#N/A</v>
      </c>
      <c r="X518">
        <v>1968</v>
      </c>
    </row>
    <row r="519" spans="8:24">
      <c r="H519">
        <v>517</v>
      </c>
      <c r="I519">
        <f>'Lab test'!AZ520</f>
        <v>1909</v>
      </c>
      <c r="J519">
        <f>IF('Lab test'!AU520&gt;0,'Lab test'!AU520,NA())</f>
        <v>1.240223463687151</v>
      </c>
      <c r="K519">
        <f>IF('Lab test'!AT520&gt;0,'Lab test'!AT520,NA())</f>
        <v>9.421340713593862E-2</v>
      </c>
      <c r="L519">
        <f t="shared" si="50"/>
        <v>1</v>
      </c>
      <c r="M519">
        <f t="shared" si="51"/>
        <v>1909</v>
      </c>
      <c r="O519">
        <v>517</v>
      </c>
      <c r="P519">
        <v>1971</v>
      </c>
      <c r="Q519">
        <f t="shared" si="52"/>
        <v>0.7978395061728395</v>
      </c>
      <c r="R519" t="e">
        <f t="shared" si="53"/>
        <v>#N/A</v>
      </c>
      <c r="T519" t="e">
        <f t="shared" si="54"/>
        <v>#N/A</v>
      </c>
      <c r="U519">
        <f t="shared" si="55"/>
        <v>1971</v>
      </c>
      <c r="W519" t="e">
        <v>#N/A</v>
      </c>
      <c r="X519">
        <v>1968</v>
      </c>
    </row>
    <row r="520" spans="8:24">
      <c r="H520">
        <v>518</v>
      </c>
      <c r="I520">
        <f>'Lab test'!AZ521</f>
        <v>1938</v>
      </c>
      <c r="J520">
        <f>IF('Lab test'!AU521&gt;0,'Lab test'!AU521,NA())</f>
        <v>1.2529999999999999</v>
      </c>
      <c r="K520">
        <f>IF('Lab test'!AT521&gt;0,'Lab test'!AT521,NA())</f>
        <v>4.8341406754178563E-2</v>
      </c>
      <c r="L520">
        <f t="shared" si="50"/>
        <v>1</v>
      </c>
      <c r="M520">
        <f t="shared" si="51"/>
        <v>1938</v>
      </c>
      <c r="O520">
        <v>518</v>
      </c>
      <c r="P520">
        <v>1971</v>
      </c>
      <c r="Q520">
        <f t="shared" si="52"/>
        <v>0.79938271604938271</v>
      </c>
      <c r="R520" t="e">
        <f t="shared" si="53"/>
        <v>#N/A</v>
      </c>
      <c r="T520" t="e">
        <f t="shared" si="54"/>
        <v>#N/A</v>
      </c>
      <c r="U520">
        <f t="shared" si="55"/>
        <v>1971</v>
      </c>
      <c r="W520" t="e">
        <v>#N/A</v>
      </c>
      <c r="X520">
        <v>1968</v>
      </c>
    </row>
    <row r="521" spans="8:24">
      <c r="H521">
        <v>519</v>
      </c>
      <c r="I521">
        <f>'Lab test'!AZ522</f>
        <v>1938</v>
      </c>
      <c r="J521">
        <f>IF('Lab test'!AU522&gt;0,'Lab test'!AU522,NA())</f>
        <v>1.2569999999999999</v>
      </c>
      <c r="K521">
        <f>IF('Lab test'!AT522&gt;0,'Lab test'!AT522,NA())</f>
        <v>4.8826276261923693E-2</v>
      </c>
      <c r="L521">
        <f t="shared" si="50"/>
        <v>1</v>
      </c>
      <c r="M521">
        <f t="shared" si="51"/>
        <v>1938</v>
      </c>
      <c r="O521">
        <v>519</v>
      </c>
      <c r="P521">
        <v>1971</v>
      </c>
      <c r="Q521">
        <f t="shared" si="52"/>
        <v>0.80092592592592593</v>
      </c>
      <c r="R521" t="e">
        <f t="shared" si="53"/>
        <v>#N/A</v>
      </c>
      <c r="T521" t="e">
        <f t="shared" si="54"/>
        <v>#N/A</v>
      </c>
      <c r="U521">
        <f t="shared" si="55"/>
        <v>1971</v>
      </c>
      <c r="W521" t="e">
        <v>#N/A</v>
      </c>
      <c r="X521">
        <v>1968</v>
      </c>
    </row>
    <row r="522" spans="8:24">
      <c r="H522">
        <v>520</v>
      </c>
      <c r="I522">
        <f>'Lab test'!AZ523</f>
        <v>1938</v>
      </c>
      <c r="J522">
        <f>IF('Lab test'!AU523&gt;0,'Lab test'!AU523,NA())</f>
        <v>1.135</v>
      </c>
      <c r="K522">
        <f>IF('Lab test'!AT523&gt;0,'Lab test'!AT523,NA())</f>
        <v>7.2921712588496793E-2</v>
      </c>
      <c r="L522">
        <f t="shared" si="50"/>
        <v>1</v>
      </c>
      <c r="M522">
        <f t="shared" si="51"/>
        <v>1938</v>
      </c>
      <c r="O522">
        <v>520</v>
      </c>
      <c r="P522">
        <v>1971</v>
      </c>
      <c r="Q522">
        <f t="shared" si="52"/>
        <v>0.80246913580246915</v>
      </c>
      <c r="R522" t="e">
        <f t="shared" si="53"/>
        <v>#N/A</v>
      </c>
      <c r="T522" t="e">
        <f t="shared" si="54"/>
        <v>#N/A</v>
      </c>
      <c r="U522">
        <f t="shared" si="55"/>
        <v>1971</v>
      </c>
      <c r="W522" t="e">
        <v>#N/A</v>
      </c>
      <c r="X522">
        <v>1968</v>
      </c>
    </row>
    <row r="523" spans="8:24">
      <c r="H523">
        <v>521</v>
      </c>
      <c r="I523">
        <f>'Lab test'!AZ524</f>
        <v>1938</v>
      </c>
      <c r="J523">
        <f>IF('Lab test'!AU524&gt;0,'Lab test'!AU524,NA())</f>
        <v>1.127</v>
      </c>
      <c r="K523">
        <f>IF('Lab test'!AT524&gt;0,'Lab test'!AT524,NA())</f>
        <v>7.2455971723424287E-2</v>
      </c>
      <c r="L523">
        <f t="shared" si="50"/>
        <v>1</v>
      </c>
      <c r="M523">
        <f t="shared" si="51"/>
        <v>1938</v>
      </c>
      <c r="O523">
        <v>521</v>
      </c>
      <c r="P523">
        <v>1971</v>
      </c>
      <c r="Q523">
        <f t="shared" si="52"/>
        <v>0.80401234567901236</v>
      </c>
      <c r="R523" t="e">
        <f t="shared" si="53"/>
        <v>#N/A</v>
      </c>
      <c r="T523" t="e">
        <f t="shared" si="54"/>
        <v>#N/A</v>
      </c>
      <c r="U523">
        <f t="shared" si="55"/>
        <v>1971</v>
      </c>
      <c r="W523" t="e">
        <v>#N/A</v>
      </c>
      <c r="X523">
        <v>1968</v>
      </c>
    </row>
    <row r="524" spans="8:24">
      <c r="H524">
        <v>522</v>
      </c>
      <c r="I524">
        <f>'Lab test'!AZ525</f>
        <v>1938</v>
      </c>
      <c r="J524">
        <f>IF('Lab test'!AU525&gt;0,'Lab test'!AU525,NA())</f>
        <v>1.1080000000000001</v>
      </c>
      <c r="K524">
        <f>IF('Lab test'!AT525&gt;0,'Lab test'!AT525,NA())</f>
        <v>6.9220736071402708E-2</v>
      </c>
      <c r="L524">
        <f t="shared" si="50"/>
        <v>1</v>
      </c>
      <c r="M524">
        <f t="shared" si="51"/>
        <v>1938</v>
      </c>
      <c r="O524">
        <v>522</v>
      </c>
      <c r="P524">
        <v>1971</v>
      </c>
      <c r="Q524">
        <f t="shared" si="52"/>
        <v>0.80555555555555558</v>
      </c>
      <c r="R524" t="e">
        <f t="shared" si="53"/>
        <v>#N/A</v>
      </c>
      <c r="T524" t="e">
        <f t="shared" si="54"/>
        <v>#N/A</v>
      </c>
      <c r="U524">
        <f t="shared" si="55"/>
        <v>1971</v>
      </c>
      <c r="W524" t="e">
        <v>#N/A</v>
      </c>
      <c r="X524">
        <v>1968</v>
      </c>
    </row>
    <row r="525" spans="8:24">
      <c r="H525">
        <v>523</v>
      </c>
      <c r="I525">
        <f>'Lab test'!AZ526</f>
        <v>1938</v>
      </c>
      <c r="J525">
        <f>IF('Lab test'!AU526&gt;0,'Lab test'!AU526,NA())</f>
        <v>1.115</v>
      </c>
      <c r="K525">
        <f>IF('Lab test'!AT526&gt;0,'Lab test'!AT526,NA())</f>
        <v>9.9252705067417971E-2</v>
      </c>
      <c r="L525">
        <f t="shared" si="50"/>
        <v>1</v>
      </c>
      <c r="M525">
        <f t="shared" si="51"/>
        <v>1938</v>
      </c>
      <c r="O525">
        <v>523</v>
      </c>
      <c r="P525">
        <v>1971</v>
      </c>
      <c r="Q525">
        <f t="shared" si="52"/>
        <v>0.8070987654320988</v>
      </c>
      <c r="R525">
        <f t="shared" si="53"/>
        <v>0.8070987654320988</v>
      </c>
      <c r="T525">
        <f t="shared" si="54"/>
        <v>0.8070987654320988</v>
      </c>
      <c r="U525">
        <f t="shared" si="55"/>
        <v>1971</v>
      </c>
      <c r="W525" t="e">
        <v>#N/A</v>
      </c>
      <c r="X525">
        <v>1971</v>
      </c>
    </row>
    <row r="526" spans="8:24">
      <c r="H526">
        <v>524</v>
      </c>
      <c r="I526">
        <f>'Lab test'!AZ527</f>
        <v>1938</v>
      </c>
      <c r="J526">
        <f>IF('Lab test'!AU527&gt;0,'Lab test'!AU527,NA())</f>
        <v>1.1100000000000001</v>
      </c>
      <c r="K526">
        <f>IF('Lab test'!AT527&gt;0,'Lab test'!AT527,NA())</f>
        <v>9.8781419668237447E-2</v>
      </c>
      <c r="L526">
        <f t="shared" si="50"/>
        <v>1</v>
      </c>
      <c r="M526">
        <f t="shared" si="51"/>
        <v>1938</v>
      </c>
      <c r="O526">
        <v>524</v>
      </c>
      <c r="P526">
        <v>1972</v>
      </c>
      <c r="Q526">
        <f t="shared" si="52"/>
        <v>0.80864197530864201</v>
      </c>
      <c r="R526" t="e">
        <f t="shared" si="53"/>
        <v>#N/A</v>
      </c>
      <c r="T526" t="e">
        <f t="shared" si="54"/>
        <v>#N/A</v>
      </c>
      <c r="U526">
        <f t="shared" si="55"/>
        <v>1972</v>
      </c>
      <c r="W526" t="e">
        <v>#N/A</v>
      </c>
      <c r="X526">
        <v>1971</v>
      </c>
    </row>
    <row r="527" spans="8:24">
      <c r="H527">
        <v>525</v>
      </c>
      <c r="I527">
        <f>'Lab test'!AZ528</f>
        <v>1938</v>
      </c>
      <c r="J527">
        <f>IF('Lab test'!AU528&gt;0,'Lab test'!AU528,NA())</f>
        <v>1.052</v>
      </c>
      <c r="K527">
        <f>IF('Lab test'!AT528&gt;0,'Lab test'!AT528,NA())</f>
        <v>0.11470615330654728</v>
      </c>
      <c r="L527">
        <f t="shared" si="50"/>
        <v>1</v>
      </c>
      <c r="M527">
        <f t="shared" si="51"/>
        <v>1938</v>
      </c>
      <c r="O527">
        <v>525</v>
      </c>
      <c r="P527">
        <v>1972</v>
      </c>
      <c r="Q527">
        <f t="shared" si="52"/>
        <v>0.81018518518518523</v>
      </c>
      <c r="R527" t="e">
        <f t="shared" si="53"/>
        <v>#N/A</v>
      </c>
      <c r="T527" t="e">
        <f t="shared" si="54"/>
        <v>#N/A</v>
      </c>
      <c r="U527">
        <f t="shared" si="55"/>
        <v>1972</v>
      </c>
      <c r="W527" t="e">
        <v>#N/A</v>
      </c>
      <c r="X527">
        <v>1971</v>
      </c>
    </row>
    <row r="528" spans="8:24">
      <c r="H528">
        <v>526</v>
      </c>
      <c r="I528">
        <f>'Lab test'!AZ529</f>
        <v>1938</v>
      </c>
      <c r="J528">
        <f>IF('Lab test'!AU529&gt;0,'Lab test'!AU529,NA())</f>
        <v>1.0760000000000001</v>
      </c>
      <c r="K528">
        <f>IF('Lab test'!AT529&gt;0,'Lab test'!AT529,NA())</f>
        <v>0.12643422907850727</v>
      </c>
      <c r="L528">
        <f t="shared" si="50"/>
        <v>1</v>
      </c>
      <c r="M528">
        <f t="shared" si="51"/>
        <v>1938</v>
      </c>
      <c r="O528">
        <v>526</v>
      </c>
      <c r="P528">
        <v>1972</v>
      </c>
      <c r="Q528">
        <f t="shared" si="52"/>
        <v>0.81172839506172845</v>
      </c>
      <c r="R528" t="e">
        <f t="shared" si="53"/>
        <v>#N/A</v>
      </c>
      <c r="T528" t="e">
        <f t="shared" si="54"/>
        <v>#N/A</v>
      </c>
      <c r="U528">
        <f t="shared" si="55"/>
        <v>1972</v>
      </c>
      <c r="W528" t="e">
        <v>#N/A</v>
      </c>
      <c r="X528">
        <v>1971</v>
      </c>
    </row>
    <row r="529" spans="8:24">
      <c r="H529">
        <v>527</v>
      </c>
      <c r="I529">
        <f>'Lab test'!AZ530</f>
        <v>1938</v>
      </c>
      <c r="J529">
        <f>IF('Lab test'!AU530&gt;0,'Lab test'!AU530,NA())</f>
        <v>1.069</v>
      </c>
      <c r="K529">
        <f>IF('Lab test'!AT530&gt;0,'Lab test'!AT530,NA())</f>
        <v>0.12568239025346165</v>
      </c>
      <c r="L529">
        <f t="shared" si="50"/>
        <v>1</v>
      </c>
      <c r="M529">
        <f t="shared" si="51"/>
        <v>1938</v>
      </c>
      <c r="O529">
        <v>527</v>
      </c>
      <c r="P529">
        <v>1972</v>
      </c>
      <c r="Q529">
        <f t="shared" si="52"/>
        <v>0.81327160493827155</v>
      </c>
      <c r="R529" t="e">
        <f t="shared" si="53"/>
        <v>#N/A</v>
      </c>
      <c r="T529" t="e">
        <f t="shared" si="54"/>
        <v>#N/A</v>
      </c>
      <c r="U529">
        <f t="shared" si="55"/>
        <v>1972</v>
      </c>
      <c r="W529" t="e">
        <v>#N/A</v>
      </c>
      <c r="X529">
        <v>1971</v>
      </c>
    </row>
    <row r="530" spans="8:24">
      <c r="H530">
        <v>528</v>
      </c>
      <c r="I530">
        <f>'Lab test'!AZ531</f>
        <v>1938</v>
      </c>
      <c r="J530">
        <f>IF('Lab test'!AU531&gt;0,'Lab test'!AU531,NA())</f>
        <v>1.0189999999999999</v>
      </c>
      <c r="K530">
        <f>IF('Lab test'!AT531&gt;0,'Lab test'!AT531,NA())</f>
        <v>0.1284205584227005</v>
      </c>
      <c r="L530">
        <f t="shared" si="50"/>
        <v>1</v>
      </c>
      <c r="M530">
        <f t="shared" si="51"/>
        <v>1938</v>
      </c>
      <c r="O530">
        <v>528</v>
      </c>
      <c r="P530">
        <v>1972</v>
      </c>
      <c r="Q530">
        <f t="shared" si="52"/>
        <v>0.81481481481481477</v>
      </c>
      <c r="R530" t="e">
        <f t="shared" si="53"/>
        <v>#N/A</v>
      </c>
      <c r="T530" t="e">
        <f t="shared" si="54"/>
        <v>#N/A</v>
      </c>
      <c r="U530">
        <f t="shared" si="55"/>
        <v>1972</v>
      </c>
      <c r="W530" t="e">
        <v>#N/A</v>
      </c>
      <c r="X530">
        <v>1971</v>
      </c>
    </row>
    <row r="531" spans="8:24">
      <c r="H531">
        <v>529</v>
      </c>
      <c r="I531">
        <f>'Lab test'!AZ532</f>
        <v>1938</v>
      </c>
      <c r="J531">
        <f>IF('Lab test'!AU532&gt;0,'Lab test'!AU532,NA())</f>
        <v>1.018</v>
      </c>
      <c r="K531">
        <f>IF('Lab test'!AT532&gt;0,'Lab test'!AT532,NA())</f>
        <v>0.14098086876427218</v>
      </c>
      <c r="L531">
        <f t="shared" si="50"/>
        <v>1</v>
      </c>
      <c r="M531">
        <f t="shared" si="51"/>
        <v>1938</v>
      </c>
      <c r="O531">
        <v>529</v>
      </c>
      <c r="P531">
        <v>1972</v>
      </c>
      <c r="Q531">
        <f t="shared" si="52"/>
        <v>0.81635802469135799</v>
      </c>
      <c r="R531" t="e">
        <f t="shared" si="53"/>
        <v>#N/A</v>
      </c>
      <c r="T531" t="e">
        <f t="shared" si="54"/>
        <v>#N/A</v>
      </c>
      <c r="U531">
        <f t="shared" si="55"/>
        <v>1972</v>
      </c>
      <c r="W531" t="e">
        <v>#N/A</v>
      </c>
      <c r="X531">
        <v>1971</v>
      </c>
    </row>
    <row r="532" spans="8:24">
      <c r="H532">
        <v>530</v>
      </c>
      <c r="I532">
        <f>'Lab test'!AZ533</f>
        <v>1938</v>
      </c>
      <c r="J532">
        <f>IF('Lab test'!AU533&gt;0,'Lab test'!AU533,NA())</f>
        <v>0.94499999999999995</v>
      </c>
      <c r="K532">
        <f>IF('Lab test'!AT533&gt;0,'Lab test'!AT533,NA())</f>
        <v>0.1386394120104612</v>
      </c>
      <c r="L532">
        <f t="shared" si="50"/>
        <v>1</v>
      </c>
      <c r="M532">
        <f t="shared" si="51"/>
        <v>1938</v>
      </c>
      <c r="O532">
        <v>530</v>
      </c>
      <c r="P532">
        <v>1972</v>
      </c>
      <c r="Q532">
        <f t="shared" si="52"/>
        <v>0.8179012345679012</v>
      </c>
      <c r="R532" t="e">
        <f t="shared" si="53"/>
        <v>#N/A</v>
      </c>
      <c r="T532" t="e">
        <f t="shared" si="54"/>
        <v>#N/A</v>
      </c>
      <c r="U532">
        <f t="shared" si="55"/>
        <v>1972</v>
      </c>
      <c r="W532" t="e">
        <v>#N/A</v>
      </c>
      <c r="X532">
        <v>1971</v>
      </c>
    </row>
    <row r="533" spans="8:24">
      <c r="H533">
        <v>531</v>
      </c>
      <c r="I533">
        <f>'Lab test'!AZ534</f>
        <v>1938</v>
      </c>
      <c r="J533">
        <f>IF('Lab test'!AU534&gt;0,'Lab test'!AU534,NA())</f>
        <v>0.95899999999999996</v>
      </c>
      <c r="K533">
        <f>IF('Lab test'!AT534&gt;0,'Lab test'!AT534,NA())</f>
        <v>0.1411790858586334</v>
      </c>
      <c r="L533">
        <f t="shared" si="50"/>
        <v>1</v>
      </c>
      <c r="M533">
        <f t="shared" si="51"/>
        <v>1938</v>
      </c>
      <c r="O533">
        <v>531</v>
      </c>
      <c r="P533">
        <v>1972</v>
      </c>
      <c r="Q533">
        <f t="shared" si="52"/>
        <v>0.81944444444444442</v>
      </c>
      <c r="R533" t="e">
        <f t="shared" si="53"/>
        <v>#N/A</v>
      </c>
      <c r="T533" t="e">
        <f t="shared" si="54"/>
        <v>#N/A</v>
      </c>
      <c r="U533">
        <f t="shared" si="55"/>
        <v>1972</v>
      </c>
      <c r="W533" t="e">
        <v>#N/A</v>
      </c>
      <c r="X533">
        <v>1971</v>
      </c>
    </row>
    <row r="534" spans="8:24">
      <c r="H534">
        <v>532</v>
      </c>
      <c r="I534">
        <f>'Lab test'!AZ535</f>
        <v>1938</v>
      </c>
      <c r="J534">
        <f>IF('Lab test'!AU535&gt;0,'Lab test'!AU535,NA())</f>
        <v>0.94599999999999995</v>
      </c>
      <c r="K534">
        <f>IF('Lab test'!AT535&gt;0,'Lab test'!AT535,NA())</f>
        <v>0.15676338510271168</v>
      </c>
      <c r="L534">
        <f t="shared" si="50"/>
        <v>1</v>
      </c>
      <c r="M534">
        <f t="shared" si="51"/>
        <v>1938</v>
      </c>
      <c r="O534">
        <v>532</v>
      </c>
      <c r="P534">
        <v>1972</v>
      </c>
      <c r="Q534">
        <f t="shared" si="52"/>
        <v>0.82098765432098764</v>
      </c>
      <c r="R534" t="e">
        <f t="shared" si="53"/>
        <v>#N/A</v>
      </c>
      <c r="T534" t="e">
        <f t="shared" si="54"/>
        <v>#N/A</v>
      </c>
      <c r="U534">
        <f t="shared" si="55"/>
        <v>1972</v>
      </c>
      <c r="W534" t="e">
        <v>#N/A</v>
      </c>
      <c r="X534">
        <v>1971</v>
      </c>
    </row>
    <row r="535" spans="8:24">
      <c r="H535">
        <v>533</v>
      </c>
      <c r="I535">
        <f>'Lab test'!AZ536</f>
        <v>1938</v>
      </c>
      <c r="J535">
        <f>IF('Lab test'!AU536&gt;0,'Lab test'!AU536,NA())</f>
        <v>0.91700000000000004</v>
      </c>
      <c r="K535">
        <f>IF('Lab test'!AT536&gt;0,'Lab test'!AT536,NA())</f>
        <v>0.14939636263340392</v>
      </c>
      <c r="L535">
        <f t="shared" si="50"/>
        <v>1</v>
      </c>
      <c r="M535">
        <f t="shared" si="51"/>
        <v>1938</v>
      </c>
      <c r="O535">
        <v>533</v>
      </c>
      <c r="P535">
        <v>1972</v>
      </c>
      <c r="Q535">
        <f t="shared" si="52"/>
        <v>0.82253086419753085</v>
      </c>
      <c r="R535" t="e">
        <f t="shared" si="53"/>
        <v>#N/A</v>
      </c>
      <c r="T535" t="e">
        <f t="shared" si="54"/>
        <v>#N/A</v>
      </c>
      <c r="U535">
        <f t="shared" si="55"/>
        <v>1972</v>
      </c>
      <c r="W535" t="e">
        <v>#N/A</v>
      </c>
      <c r="X535">
        <v>1971</v>
      </c>
    </row>
    <row r="536" spans="8:24">
      <c r="H536">
        <v>534</v>
      </c>
      <c r="I536">
        <f>'Lab test'!AZ537</f>
        <v>1938</v>
      </c>
      <c r="J536">
        <f>IF('Lab test'!AU537&gt;0,'Lab test'!AU537,NA())</f>
        <v>1.2390000000000001</v>
      </c>
      <c r="K536">
        <f>IF('Lab test'!AT537&gt;0,'Lab test'!AT537,NA())</f>
        <v>0.18017961600105406</v>
      </c>
      <c r="L536">
        <f t="shared" si="50"/>
        <v>1</v>
      </c>
      <c r="M536">
        <f t="shared" si="51"/>
        <v>1938</v>
      </c>
      <c r="O536">
        <v>534</v>
      </c>
      <c r="P536">
        <v>1972</v>
      </c>
      <c r="Q536">
        <f t="shared" si="52"/>
        <v>0.82407407407407407</v>
      </c>
      <c r="R536" t="e">
        <f t="shared" si="53"/>
        <v>#N/A</v>
      </c>
      <c r="T536" t="e">
        <f t="shared" si="54"/>
        <v>#N/A</v>
      </c>
      <c r="U536">
        <f t="shared" si="55"/>
        <v>1972</v>
      </c>
      <c r="W536" t="e">
        <v>#N/A</v>
      </c>
      <c r="X536">
        <v>1971</v>
      </c>
    </row>
    <row r="537" spans="8:24">
      <c r="H537">
        <v>535</v>
      </c>
      <c r="I537">
        <f>'Lab test'!AZ538</f>
        <v>1938</v>
      </c>
      <c r="J537">
        <f>IF('Lab test'!AU538&gt;0,'Lab test'!AU538,NA())</f>
        <v>1.234</v>
      </c>
      <c r="K537">
        <f>IF('Lab test'!AT538&gt;0,'Lab test'!AT538,NA())</f>
        <v>0.18113050360057709</v>
      </c>
      <c r="L537">
        <f t="shared" si="50"/>
        <v>1</v>
      </c>
      <c r="M537">
        <f t="shared" si="51"/>
        <v>1938</v>
      </c>
      <c r="O537">
        <v>535</v>
      </c>
      <c r="P537">
        <v>1972</v>
      </c>
      <c r="Q537">
        <f t="shared" si="52"/>
        <v>0.82561728395061729</v>
      </c>
      <c r="R537" t="e">
        <f t="shared" si="53"/>
        <v>#N/A</v>
      </c>
      <c r="T537" t="e">
        <f t="shared" si="54"/>
        <v>#N/A</v>
      </c>
      <c r="U537">
        <f t="shared" si="55"/>
        <v>1972</v>
      </c>
      <c r="W537" t="e">
        <v>#N/A</v>
      </c>
      <c r="X537">
        <v>1971</v>
      </c>
    </row>
    <row r="538" spans="8:24">
      <c r="H538">
        <v>536</v>
      </c>
      <c r="I538">
        <f>'Lab test'!AZ539</f>
        <v>1938</v>
      </c>
      <c r="J538">
        <f>IF('Lab test'!AU539&gt;0,'Lab test'!AU539,NA())</f>
        <v>1.056</v>
      </c>
      <c r="K538">
        <f>IF('Lab test'!AT539&gt;0,'Lab test'!AT539,NA())</f>
        <v>0.20214706013697437</v>
      </c>
      <c r="L538">
        <f t="shared" si="50"/>
        <v>1</v>
      </c>
      <c r="M538">
        <f t="shared" si="51"/>
        <v>1938</v>
      </c>
      <c r="O538">
        <v>536</v>
      </c>
      <c r="P538">
        <v>1972</v>
      </c>
      <c r="Q538">
        <f t="shared" si="52"/>
        <v>0.8271604938271605</v>
      </c>
      <c r="R538" t="e">
        <f t="shared" si="53"/>
        <v>#N/A</v>
      </c>
      <c r="T538" t="e">
        <f t="shared" si="54"/>
        <v>#N/A</v>
      </c>
      <c r="U538">
        <f t="shared" si="55"/>
        <v>1972</v>
      </c>
      <c r="W538" t="e">
        <v>#N/A</v>
      </c>
      <c r="X538">
        <v>1971</v>
      </c>
    </row>
    <row r="539" spans="8:24">
      <c r="H539">
        <v>537</v>
      </c>
      <c r="I539">
        <f>'Lab test'!AZ540</f>
        <v>1938</v>
      </c>
      <c r="J539">
        <f>IF('Lab test'!AU540&gt;0,'Lab test'!AU540,NA())</f>
        <v>1.054</v>
      </c>
      <c r="K539">
        <f>IF('Lab test'!AT540&gt;0,'Lab test'!AT540,NA())</f>
        <v>0.20189811055552487</v>
      </c>
      <c r="L539">
        <f t="shared" si="50"/>
        <v>1</v>
      </c>
      <c r="M539">
        <f t="shared" si="51"/>
        <v>1938</v>
      </c>
      <c r="O539">
        <v>537</v>
      </c>
      <c r="P539">
        <v>1972</v>
      </c>
      <c r="Q539">
        <f t="shared" si="52"/>
        <v>0.82870370370370372</v>
      </c>
      <c r="R539" t="e">
        <f t="shared" si="53"/>
        <v>#N/A</v>
      </c>
      <c r="T539" t="e">
        <f t="shared" si="54"/>
        <v>#N/A</v>
      </c>
      <c r="U539">
        <f t="shared" si="55"/>
        <v>1972</v>
      </c>
      <c r="W539" t="e">
        <v>#N/A</v>
      </c>
      <c r="X539">
        <v>1972</v>
      </c>
    </row>
    <row r="540" spans="8:24">
      <c r="H540">
        <v>538</v>
      </c>
      <c r="I540">
        <f>'Lab test'!AZ541</f>
        <v>1938</v>
      </c>
      <c r="J540">
        <f>IF('Lab test'!AU541&gt;0,'Lab test'!AU541,NA())</f>
        <v>1.1319999999999999</v>
      </c>
      <c r="K540">
        <f>IF('Lab test'!AT541&gt;0,'Lab test'!AT541,NA())</f>
        <v>0.23013919503465416</v>
      </c>
      <c r="L540">
        <f t="shared" si="50"/>
        <v>1</v>
      </c>
      <c r="M540">
        <f t="shared" si="51"/>
        <v>1938</v>
      </c>
      <c r="O540">
        <v>538</v>
      </c>
      <c r="P540">
        <v>1972</v>
      </c>
      <c r="Q540">
        <f t="shared" si="52"/>
        <v>0.83024691358024694</v>
      </c>
      <c r="R540">
        <f t="shared" si="53"/>
        <v>0.83024691358024694</v>
      </c>
      <c r="T540">
        <f t="shared" si="54"/>
        <v>0.83024691358024694</v>
      </c>
      <c r="U540">
        <f t="shared" si="55"/>
        <v>1972</v>
      </c>
      <c r="W540" t="e">
        <v>#N/A</v>
      </c>
      <c r="X540">
        <v>1972</v>
      </c>
    </row>
    <row r="541" spans="8:24">
      <c r="H541">
        <v>539</v>
      </c>
      <c r="I541">
        <f>'Lab test'!AZ542</f>
        <v>1938</v>
      </c>
      <c r="J541">
        <f>IF('Lab test'!AU542&gt;0,'Lab test'!AU542,NA())</f>
        <v>1.1319999999999999</v>
      </c>
      <c r="K541">
        <f>IF('Lab test'!AT542&gt;0,'Lab test'!AT542,NA())</f>
        <v>0.23064651990553675</v>
      </c>
      <c r="L541">
        <f t="shared" si="50"/>
        <v>1</v>
      </c>
      <c r="M541">
        <f t="shared" si="51"/>
        <v>1938</v>
      </c>
      <c r="O541">
        <v>539</v>
      </c>
      <c r="P541">
        <v>1977</v>
      </c>
      <c r="Q541">
        <f t="shared" si="52"/>
        <v>0.83179012345679015</v>
      </c>
      <c r="R541" t="e">
        <f t="shared" si="53"/>
        <v>#N/A</v>
      </c>
      <c r="T541" t="e">
        <f t="shared" si="54"/>
        <v>#N/A</v>
      </c>
      <c r="U541">
        <f t="shared" si="55"/>
        <v>1977</v>
      </c>
      <c r="W541" t="e">
        <v>#N/A</v>
      </c>
      <c r="X541">
        <v>1972</v>
      </c>
    </row>
    <row r="542" spans="8:24">
      <c r="H542">
        <v>540</v>
      </c>
      <c r="I542">
        <f>'Lab test'!AZ543</f>
        <v>1938</v>
      </c>
      <c r="J542">
        <f>IF('Lab test'!AU543&gt;0,'Lab test'!AU543,NA())</f>
        <v>1.756</v>
      </c>
      <c r="K542">
        <f>IF('Lab test'!AT543&gt;0,'Lab test'!AT543,NA())</f>
        <v>7.6209255511163129E-2</v>
      </c>
      <c r="L542">
        <f t="shared" si="50"/>
        <v>1</v>
      </c>
      <c r="M542">
        <f t="shared" si="51"/>
        <v>1938</v>
      </c>
      <c r="O542">
        <v>540</v>
      </c>
      <c r="P542">
        <v>1977</v>
      </c>
      <c r="Q542">
        <f t="shared" si="52"/>
        <v>0.83333333333333337</v>
      </c>
      <c r="R542" t="e">
        <f t="shared" si="53"/>
        <v>#N/A</v>
      </c>
      <c r="T542" t="e">
        <f t="shared" si="54"/>
        <v>#N/A</v>
      </c>
      <c r="U542">
        <f t="shared" si="55"/>
        <v>1977</v>
      </c>
      <c r="W542" t="e">
        <v>#N/A</v>
      </c>
      <c r="X542">
        <v>1972</v>
      </c>
    </row>
    <row r="543" spans="8:24">
      <c r="H543">
        <v>541</v>
      </c>
      <c r="I543">
        <f>'Lab test'!AZ544</f>
        <v>1938</v>
      </c>
      <c r="J543">
        <f>IF('Lab test'!AU544&gt;0,'Lab test'!AU544,NA())</f>
        <v>1.6830000000000001</v>
      </c>
      <c r="K543">
        <f>IF('Lab test'!AT544&gt;0,'Lab test'!AT544,NA())</f>
        <v>7.2214839360233207E-2</v>
      </c>
      <c r="L543">
        <f t="shared" si="50"/>
        <v>1</v>
      </c>
      <c r="M543">
        <f t="shared" si="51"/>
        <v>1938</v>
      </c>
      <c r="O543">
        <v>541</v>
      </c>
      <c r="P543">
        <v>1977</v>
      </c>
      <c r="Q543">
        <f t="shared" si="52"/>
        <v>0.83487654320987659</v>
      </c>
      <c r="R543" t="e">
        <f t="shared" si="53"/>
        <v>#N/A</v>
      </c>
      <c r="T543" t="e">
        <f t="shared" si="54"/>
        <v>#N/A</v>
      </c>
      <c r="U543">
        <f t="shared" si="55"/>
        <v>1977</v>
      </c>
      <c r="W543" t="e">
        <v>#N/A</v>
      </c>
      <c r="X543">
        <v>1972</v>
      </c>
    </row>
    <row r="544" spans="8:24">
      <c r="H544">
        <v>542</v>
      </c>
      <c r="I544">
        <f>'Lab test'!AZ545</f>
        <v>1938</v>
      </c>
      <c r="J544">
        <f>IF('Lab test'!AU545&gt;0,'Lab test'!AU545,NA())</f>
        <v>1.494</v>
      </c>
      <c r="K544">
        <f>IF('Lab test'!AT545&gt;0,'Lab test'!AT545,NA())</f>
        <v>7.9949056831419743E-2</v>
      </c>
      <c r="L544">
        <f t="shared" si="50"/>
        <v>1</v>
      </c>
      <c r="M544">
        <f t="shared" si="51"/>
        <v>1938</v>
      </c>
      <c r="O544">
        <v>542</v>
      </c>
      <c r="P544">
        <v>1977</v>
      </c>
      <c r="Q544">
        <f t="shared" si="52"/>
        <v>0.8364197530864198</v>
      </c>
      <c r="R544" t="e">
        <f t="shared" si="53"/>
        <v>#N/A</v>
      </c>
      <c r="T544" t="e">
        <f t="shared" si="54"/>
        <v>#N/A</v>
      </c>
      <c r="U544">
        <f t="shared" si="55"/>
        <v>1977</v>
      </c>
      <c r="W544" t="e">
        <v>#N/A</v>
      </c>
      <c r="X544">
        <v>1972</v>
      </c>
    </row>
    <row r="545" spans="8:24">
      <c r="H545">
        <v>543</v>
      </c>
      <c r="I545">
        <f>'Lab test'!AZ546</f>
        <v>1938</v>
      </c>
      <c r="J545">
        <f>IF('Lab test'!AU546&gt;0,'Lab test'!AU546,NA())</f>
        <v>1.4159999999999999</v>
      </c>
      <c r="K545">
        <f>IF('Lab test'!AT546&gt;0,'Lab test'!AT546,NA())</f>
        <v>9.5468881923103058E-2</v>
      </c>
      <c r="L545">
        <f t="shared" si="50"/>
        <v>1</v>
      </c>
      <c r="M545">
        <f t="shared" si="51"/>
        <v>1938</v>
      </c>
      <c r="O545">
        <v>543</v>
      </c>
      <c r="P545">
        <v>1977</v>
      </c>
      <c r="Q545">
        <f t="shared" si="52"/>
        <v>0.83796296296296291</v>
      </c>
      <c r="R545" t="e">
        <f t="shared" si="53"/>
        <v>#N/A</v>
      </c>
      <c r="T545" t="e">
        <f t="shared" si="54"/>
        <v>#N/A</v>
      </c>
      <c r="U545">
        <f t="shared" si="55"/>
        <v>1977</v>
      </c>
      <c r="W545" t="e">
        <v>#N/A</v>
      </c>
      <c r="X545">
        <v>1972</v>
      </c>
    </row>
    <row r="546" spans="8:24">
      <c r="H546">
        <v>544</v>
      </c>
      <c r="I546">
        <f>'Lab test'!AZ547</f>
        <v>1938</v>
      </c>
      <c r="J546">
        <f>IF('Lab test'!AU547&gt;0,'Lab test'!AU547,NA())</f>
        <v>1.423</v>
      </c>
      <c r="K546">
        <f>IF('Lab test'!AT547&gt;0,'Lab test'!AT547,NA())</f>
        <v>9.6415706492212386E-2</v>
      </c>
      <c r="L546">
        <f t="shared" si="50"/>
        <v>1</v>
      </c>
      <c r="M546">
        <f t="shared" si="51"/>
        <v>1938</v>
      </c>
      <c r="O546">
        <v>544</v>
      </c>
      <c r="P546">
        <v>1977</v>
      </c>
      <c r="Q546">
        <f t="shared" si="52"/>
        <v>0.83950617283950613</v>
      </c>
      <c r="R546" t="e">
        <f t="shared" si="53"/>
        <v>#N/A</v>
      </c>
      <c r="T546" t="e">
        <f t="shared" si="54"/>
        <v>#N/A</v>
      </c>
      <c r="U546">
        <f t="shared" si="55"/>
        <v>1977</v>
      </c>
      <c r="W546" t="e">
        <v>#N/A</v>
      </c>
      <c r="X546">
        <v>1972</v>
      </c>
    </row>
    <row r="547" spans="8:24">
      <c r="H547">
        <v>545</v>
      </c>
      <c r="I547">
        <f>'Lab test'!AZ548</f>
        <v>1938</v>
      </c>
      <c r="J547">
        <f>IF('Lab test'!AU548&gt;0,'Lab test'!AU548,NA())</f>
        <v>1.3240000000000001</v>
      </c>
      <c r="K547">
        <f>IF('Lab test'!AT548&gt;0,'Lab test'!AT548,NA())</f>
        <v>0.10983165001668073</v>
      </c>
      <c r="L547">
        <f t="shared" si="50"/>
        <v>1</v>
      </c>
      <c r="M547">
        <f t="shared" si="51"/>
        <v>1938</v>
      </c>
      <c r="O547">
        <v>545</v>
      </c>
      <c r="P547">
        <v>1977</v>
      </c>
      <c r="Q547">
        <f t="shared" si="52"/>
        <v>0.84104938271604934</v>
      </c>
      <c r="R547" t="e">
        <f t="shared" si="53"/>
        <v>#N/A</v>
      </c>
      <c r="T547" t="e">
        <f t="shared" si="54"/>
        <v>#N/A</v>
      </c>
      <c r="U547">
        <f t="shared" si="55"/>
        <v>1977</v>
      </c>
      <c r="W547" t="e">
        <v>#N/A</v>
      </c>
      <c r="X547">
        <v>1972</v>
      </c>
    </row>
    <row r="548" spans="8:24">
      <c r="H548">
        <v>546</v>
      </c>
      <c r="I548">
        <f>'Lab test'!AZ549</f>
        <v>1938</v>
      </c>
      <c r="J548">
        <f>IF('Lab test'!AU549&gt;0,'Lab test'!AU549,NA())</f>
        <v>1.431</v>
      </c>
      <c r="K548">
        <f>IF('Lab test'!AT549&gt;0,'Lab test'!AT549,NA())</f>
        <v>0.11068970978243604</v>
      </c>
      <c r="L548">
        <f t="shared" si="50"/>
        <v>1</v>
      </c>
      <c r="M548">
        <f t="shared" si="51"/>
        <v>1938</v>
      </c>
      <c r="O548">
        <v>546</v>
      </c>
      <c r="P548">
        <v>1977</v>
      </c>
      <c r="Q548">
        <f t="shared" si="52"/>
        <v>0.84259259259259256</v>
      </c>
      <c r="R548" t="e">
        <f t="shared" si="53"/>
        <v>#N/A</v>
      </c>
      <c r="T548" t="e">
        <f t="shared" si="54"/>
        <v>#N/A</v>
      </c>
      <c r="U548">
        <f t="shared" si="55"/>
        <v>1977</v>
      </c>
      <c r="W548" t="e">
        <v>#N/A</v>
      </c>
      <c r="X548">
        <v>1972</v>
      </c>
    </row>
    <row r="549" spans="8:24">
      <c r="H549">
        <v>547</v>
      </c>
      <c r="I549">
        <f>'Lab test'!AZ550</f>
        <v>1938</v>
      </c>
      <c r="J549">
        <f>IF('Lab test'!AU550&gt;0,'Lab test'!AU550,NA())</f>
        <v>1.35</v>
      </c>
      <c r="K549">
        <f>IF('Lab test'!AT550&gt;0,'Lab test'!AT550,NA())</f>
        <v>0.11313541370642648</v>
      </c>
      <c r="L549">
        <f t="shared" si="50"/>
        <v>1</v>
      </c>
      <c r="M549">
        <f t="shared" si="51"/>
        <v>1938</v>
      </c>
      <c r="O549">
        <v>547</v>
      </c>
      <c r="P549">
        <v>1977</v>
      </c>
      <c r="Q549">
        <f t="shared" si="52"/>
        <v>0.84413580246913578</v>
      </c>
      <c r="R549" t="e">
        <f t="shared" si="53"/>
        <v>#N/A</v>
      </c>
      <c r="T549" t="e">
        <f t="shared" si="54"/>
        <v>#N/A</v>
      </c>
      <c r="U549">
        <f t="shared" si="55"/>
        <v>1977</v>
      </c>
      <c r="W549" t="e">
        <v>#N/A</v>
      </c>
      <c r="X549">
        <v>1972</v>
      </c>
    </row>
    <row r="550" spans="8:24">
      <c r="H550">
        <v>548</v>
      </c>
      <c r="I550">
        <f>'Lab test'!AZ551</f>
        <v>1938</v>
      </c>
      <c r="J550">
        <f>IF('Lab test'!AU551&gt;0,'Lab test'!AU551,NA())</f>
        <v>1.413</v>
      </c>
      <c r="K550">
        <f>IF('Lab test'!AT551&gt;0,'Lab test'!AT551,NA())</f>
        <v>0.10970706783653476</v>
      </c>
      <c r="L550">
        <f t="shared" si="50"/>
        <v>1</v>
      </c>
      <c r="M550">
        <f t="shared" si="51"/>
        <v>1938</v>
      </c>
      <c r="O550">
        <v>548</v>
      </c>
      <c r="P550">
        <v>1977</v>
      </c>
      <c r="Q550">
        <f t="shared" si="52"/>
        <v>0.84567901234567899</v>
      </c>
      <c r="R550" t="e">
        <f t="shared" si="53"/>
        <v>#N/A</v>
      </c>
      <c r="T550" t="e">
        <f t="shared" si="54"/>
        <v>#N/A</v>
      </c>
      <c r="U550">
        <f t="shared" si="55"/>
        <v>1977</v>
      </c>
      <c r="W550" t="e">
        <v>#N/A</v>
      </c>
      <c r="X550">
        <v>1972</v>
      </c>
    </row>
    <row r="551" spans="8:24">
      <c r="H551">
        <v>549</v>
      </c>
      <c r="I551">
        <f>'Lab test'!AZ552</f>
        <v>1938</v>
      </c>
      <c r="J551">
        <f>IF('Lab test'!AU552&gt;0,'Lab test'!AU552,NA())</f>
        <v>1.3280000000000001</v>
      </c>
      <c r="K551">
        <f>IF('Lab test'!AT552&gt;0,'Lab test'!AT552,NA())</f>
        <v>0.13880401464825026</v>
      </c>
      <c r="L551">
        <f t="shared" si="50"/>
        <v>1</v>
      </c>
      <c r="M551">
        <f t="shared" si="51"/>
        <v>1938</v>
      </c>
      <c r="O551">
        <v>549</v>
      </c>
      <c r="P551">
        <v>1977</v>
      </c>
      <c r="Q551">
        <f t="shared" si="52"/>
        <v>0.84722222222222221</v>
      </c>
      <c r="R551" t="e">
        <f t="shared" si="53"/>
        <v>#N/A</v>
      </c>
      <c r="T551" t="e">
        <f t="shared" si="54"/>
        <v>#N/A</v>
      </c>
      <c r="U551">
        <f t="shared" si="55"/>
        <v>1977</v>
      </c>
      <c r="W551" t="e">
        <v>#N/A</v>
      </c>
      <c r="X551">
        <v>1972</v>
      </c>
    </row>
    <row r="552" spans="8:24">
      <c r="H552">
        <v>550</v>
      </c>
      <c r="I552">
        <f>'Lab test'!AZ553</f>
        <v>1938</v>
      </c>
      <c r="J552">
        <f>IF('Lab test'!AU553&gt;0,'Lab test'!AU553,NA())</f>
        <v>1.3280000000000001</v>
      </c>
      <c r="K552">
        <f>IF('Lab test'!AT553&gt;0,'Lab test'!AT553,NA())</f>
        <v>0.13880401464825026</v>
      </c>
      <c r="L552">
        <f t="shared" si="50"/>
        <v>1</v>
      </c>
      <c r="M552">
        <f t="shared" si="51"/>
        <v>1938</v>
      </c>
      <c r="O552">
        <v>550</v>
      </c>
      <c r="P552">
        <v>1977</v>
      </c>
      <c r="Q552">
        <f t="shared" si="52"/>
        <v>0.84876543209876543</v>
      </c>
      <c r="R552" t="e">
        <f t="shared" si="53"/>
        <v>#N/A</v>
      </c>
      <c r="T552" t="e">
        <f t="shared" si="54"/>
        <v>#N/A</v>
      </c>
      <c r="U552">
        <f t="shared" si="55"/>
        <v>1977</v>
      </c>
      <c r="W552" t="e">
        <v>#N/A</v>
      </c>
      <c r="X552">
        <v>1972</v>
      </c>
    </row>
    <row r="553" spans="8:24">
      <c r="H553">
        <v>551</v>
      </c>
      <c r="I553">
        <f>'Lab test'!AZ554</f>
        <v>1938</v>
      </c>
      <c r="J553">
        <f>IF('Lab test'!AU554&gt;0,'Lab test'!AU554,NA())</f>
        <v>1.254</v>
      </c>
      <c r="K553">
        <f>IF('Lab test'!AT554&gt;0,'Lab test'!AT554,NA())</f>
        <v>0.17762537925898408</v>
      </c>
      <c r="L553">
        <f t="shared" si="50"/>
        <v>1</v>
      </c>
      <c r="M553">
        <f t="shared" si="51"/>
        <v>1938</v>
      </c>
      <c r="O553">
        <v>551</v>
      </c>
      <c r="P553">
        <v>1977</v>
      </c>
      <c r="Q553">
        <f t="shared" si="52"/>
        <v>0.85030864197530864</v>
      </c>
      <c r="R553" t="e">
        <f t="shared" si="53"/>
        <v>#N/A</v>
      </c>
      <c r="T553" t="e">
        <f t="shared" si="54"/>
        <v>#N/A</v>
      </c>
      <c r="U553">
        <f t="shared" si="55"/>
        <v>1977</v>
      </c>
      <c r="W553" t="e">
        <v>#N/A</v>
      </c>
      <c r="X553">
        <v>1977</v>
      </c>
    </row>
    <row r="554" spans="8:24">
      <c r="H554">
        <v>552</v>
      </c>
      <c r="I554">
        <f>'Lab test'!AZ555</f>
        <v>1938</v>
      </c>
      <c r="J554">
        <f>IF('Lab test'!AU555&gt;0,'Lab test'!AU555,NA())</f>
        <v>1.2330000000000001</v>
      </c>
      <c r="K554">
        <f>IF('Lab test'!AT555&gt;0,'Lab test'!AT555,NA())</f>
        <v>0.17726798412969036</v>
      </c>
      <c r="L554">
        <f t="shared" si="50"/>
        <v>1</v>
      </c>
      <c r="M554">
        <f t="shared" si="51"/>
        <v>1938</v>
      </c>
      <c r="O554">
        <v>552</v>
      </c>
      <c r="P554">
        <v>1977</v>
      </c>
      <c r="Q554">
        <f t="shared" si="52"/>
        <v>0.85185185185185186</v>
      </c>
      <c r="R554" t="e">
        <f t="shared" si="53"/>
        <v>#N/A</v>
      </c>
      <c r="T554" t="e">
        <f t="shared" si="54"/>
        <v>#N/A</v>
      </c>
      <c r="U554">
        <f t="shared" si="55"/>
        <v>1977</v>
      </c>
      <c r="W554" t="e">
        <v>#N/A</v>
      </c>
      <c r="X554">
        <v>1977</v>
      </c>
    </row>
    <row r="555" spans="8:24">
      <c r="H555">
        <v>553</v>
      </c>
      <c r="I555">
        <f>'Lab test'!AZ556</f>
        <v>1938</v>
      </c>
      <c r="J555">
        <f>IF('Lab test'!AU556&gt;0,'Lab test'!AU556,NA())</f>
        <v>1.198</v>
      </c>
      <c r="K555">
        <f>IF('Lab test'!AT556&gt;0,'Lab test'!AT556,NA())</f>
        <v>0.18304314681808162</v>
      </c>
      <c r="L555">
        <f t="shared" si="50"/>
        <v>1</v>
      </c>
      <c r="M555">
        <f t="shared" si="51"/>
        <v>1938</v>
      </c>
      <c r="O555">
        <v>553</v>
      </c>
      <c r="P555">
        <v>1977</v>
      </c>
      <c r="Q555">
        <f t="shared" si="52"/>
        <v>0.85339506172839508</v>
      </c>
      <c r="R555" t="e">
        <f t="shared" si="53"/>
        <v>#N/A</v>
      </c>
      <c r="T555" t="e">
        <f t="shared" si="54"/>
        <v>#N/A</v>
      </c>
      <c r="U555">
        <f t="shared" si="55"/>
        <v>1977</v>
      </c>
      <c r="W555" t="e">
        <v>#N/A</v>
      </c>
      <c r="X555">
        <v>1977</v>
      </c>
    </row>
    <row r="556" spans="8:24">
      <c r="H556">
        <v>554</v>
      </c>
      <c r="I556">
        <f>'Lab test'!AZ557</f>
        <v>1938</v>
      </c>
      <c r="J556">
        <f>IF('Lab test'!AU557&gt;0,'Lab test'!AU557,NA())</f>
        <v>1.2110000000000001</v>
      </c>
      <c r="K556">
        <f>IF('Lab test'!AT557&gt;0,'Lab test'!AT557,NA())</f>
        <v>0.18416827963252486</v>
      </c>
      <c r="L556">
        <f t="shared" si="50"/>
        <v>1</v>
      </c>
      <c r="M556">
        <f t="shared" si="51"/>
        <v>1938</v>
      </c>
      <c r="O556">
        <v>554</v>
      </c>
      <c r="P556">
        <v>1977</v>
      </c>
      <c r="Q556">
        <f t="shared" si="52"/>
        <v>0.85493827160493829</v>
      </c>
      <c r="R556" t="e">
        <f t="shared" si="53"/>
        <v>#N/A</v>
      </c>
      <c r="T556" t="e">
        <f t="shared" si="54"/>
        <v>#N/A</v>
      </c>
      <c r="U556">
        <f t="shared" si="55"/>
        <v>1977</v>
      </c>
      <c r="W556" t="e">
        <v>#N/A</v>
      </c>
      <c r="X556">
        <v>1977</v>
      </c>
    </row>
    <row r="557" spans="8:24">
      <c r="H557">
        <v>555</v>
      </c>
      <c r="I557">
        <f>'Lab test'!AZ558</f>
        <v>1938</v>
      </c>
      <c r="J557">
        <f>IF('Lab test'!AU558&gt;0,'Lab test'!AU558,NA())</f>
        <v>1.1779999999999999</v>
      </c>
      <c r="K557">
        <f>IF('Lab test'!AT558&gt;0,'Lab test'!AT558,NA())</f>
        <v>0.21202641239041395</v>
      </c>
      <c r="L557">
        <f t="shared" si="50"/>
        <v>1</v>
      </c>
      <c r="M557">
        <f t="shared" si="51"/>
        <v>1938</v>
      </c>
      <c r="O557">
        <v>555</v>
      </c>
      <c r="P557">
        <v>1977</v>
      </c>
      <c r="Q557">
        <f t="shared" si="52"/>
        <v>0.85648148148148151</v>
      </c>
      <c r="R557" t="e">
        <f t="shared" si="53"/>
        <v>#N/A</v>
      </c>
      <c r="T557" t="e">
        <f t="shared" si="54"/>
        <v>#N/A</v>
      </c>
      <c r="U557">
        <f t="shared" si="55"/>
        <v>1977</v>
      </c>
      <c r="W557" t="e">
        <v>#N/A</v>
      </c>
      <c r="X557">
        <v>1977</v>
      </c>
    </row>
    <row r="558" spans="8:24">
      <c r="H558">
        <v>556</v>
      </c>
      <c r="I558">
        <f>'Lab test'!AZ559</f>
        <v>1938</v>
      </c>
      <c r="J558">
        <f>IF('Lab test'!AU559&gt;0,'Lab test'!AU559,NA())</f>
        <v>1.175</v>
      </c>
      <c r="K558">
        <f>IF('Lab test'!AT559&gt;0,'Lab test'!AT559,NA())</f>
        <v>0.21066535207231932</v>
      </c>
      <c r="L558">
        <f t="shared" si="50"/>
        <v>1</v>
      </c>
      <c r="M558">
        <f t="shared" si="51"/>
        <v>1938</v>
      </c>
      <c r="O558">
        <v>556</v>
      </c>
      <c r="P558">
        <v>1977</v>
      </c>
      <c r="Q558">
        <f t="shared" si="52"/>
        <v>0.85802469135802473</v>
      </c>
      <c r="R558" t="e">
        <f t="shared" si="53"/>
        <v>#N/A</v>
      </c>
      <c r="T558" t="e">
        <f t="shared" si="54"/>
        <v>#N/A</v>
      </c>
      <c r="U558">
        <f t="shared" si="55"/>
        <v>1977</v>
      </c>
      <c r="W558" t="e">
        <v>#N/A</v>
      </c>
      <c r="X558">
        <v>1977</v>
      </c>
    </row>
    <row r="559" spans="8:24">
      <c r="H559">
        <v>557</v>
      </c>
      <c r="I559">
        <f>'Lab test'!AZ560</f>
        <v>1938</v>
      </c>
      <c r="J559">
        <f>IF('Lab test'!AU560&gt;0,'Lab test'!AU560,NA())</f>
        <v>1.1850000000000001</v>
      </c>
      <c r="K559">
        <f>IF('Lab test'!AT560&gt;0,'Lab test'!AT560,NA())</f>
        <v>0.21991869350266069</v>
      </c>
      <c r="L559">
        <f t="shared" si="50"/>
        <v>1</v>
      </c>
      <c r="M559">
        <f t="shared" si="51"/>
        <v>1938</v>
      </c>
      <c r="O559">
        <v>557</v>
      </c>
      <c r="P559">
        <v>1977</v>
      </c>
      <c r="Q559">
        <f t="shared" si="52"/>
        <v>0.85956790123456794</v>
      </c>
      <c r="R559" t="e">
        <f t="shared" si="53"/>
        <v>#N/A</v>
      </c>
      <c r="T559" t="e">
        <f t="shared" si="54"/>
        <v>#N/A</v>
      </c>
      <c r="U559">
        <f t="shared" si="55"/>
        <v>1977</v>
      </c>
      <c r="W559" t="e">
        <v>#N/A</v>
      </c>
      <c r="X559">
        <v>1977</v>
      </c>
    </row>
    <row r="560" spans="8:24">
      <c r="H560">
        <v>558</v>
      </c>
      <c r="I560">
        <f>'Lab test'!AZ561</f>
        <v>1938</v>
      </c>
      <c r="J560">
        <f>IF('Lab test'!AU561&gt;0,'Lab test'!AU561,NA())</f>
        <v>1.1950000000000001</v>
      </c>
      <c r="K560">
        <f>IF('Lab test'!AT561&gt;0,'Lab test'!AT561,NA())</f>
        <v>0.2212345927804524</v>
      </c>
      <c r="L560">
        <f t="shared" si="50"/>
        <v>1</v>
      </c>
      <c r="M560">
        <f t="shared" si="51"/>
        <v>1938</v>
      </c>
      <c r="O560">
        <v>558</v>
      </c>
      <c r="P560">
        <v>1977</v>
      </c>
      <c r="Q560">
        <f t="shared" si="52"/>
        <v>0.86111111111111116</v>
      </c>
      <c r="R560" t="e">
        <f t="shared" si="53"/>
        <v>#N/A</v>
      </c>
      <c r="T560" t="e">
        <f t="shared" si="54"/>
        <v>#N/A</v>
      </c>
      <c r="U560">
        <f t="shared" si="55"/>
        <v>1977</v>
      </c>
      <c r="W560" t="e">
        <v>#N/A</v>
      </c>
      <c r="X560">
        <v>1977</v>
      </c>
    </row>
    <row r="561" spans="8:24">
      <c r="H561">
        <v>559</v>
      </c>
      <c r="I561">
        <f>'Lab test'!AZ562</f>
        <v>1938</v>
      </c>
      <c r="J561">
        <f>IF('Lab test'!AU562&gt;0,'Lab test'!AU562,NA())</f>
        <v>1.1850000000000001</v>
      </c>
      <c r="K561">
        <f>IF('Lab test'!AT562&gt;0,'Lab test'!AT562,NA())</f>
        <v>0.22027686727058032</v>
      </c>
      <c r="L561">
        <f t="shared" si="50"/>
        <v>1</v>
      </c>
      <c r="M561">
        <f t="shared" si="51"/>
        <v>1938</v>
      </c>
      <c r="O561">
        <v>559</v>
      </c>
      <c r="P561">
        <v>1977</v>
      </c>
      <c r="Q561">
        <f t="shared" si="52"/>
        <v>0.86265432098765427</v>
      </c>
      <c r="R561" t="e">
        <f t="shared" si="53"/>
        <v>#N/A</v>
      </c>
      <c r="T561" t="e">
        <f t="shared" si="54"/>
        <v>#N/A</v>
      </c>
      <c r="U561">
        <f t="shared" si="55"/>
        <v>1977</v>
      </c>
      <c r="W561" t="e">
        <v>#N/A</v>
      </c>
      <c r="X561">
        <v>1977</v>
      </c>
    </row>
    <row r="562" spans="8:24">
      <c r="H562">
        <v>560</v>
      </c>
      <c r="I562">
        <f>'Lab test'!AZ563</f>
        <v>1938</v>
      </c>
      <c r="J562">
        <f>IF('Lab test'!AU563&gt;0,'Lab test'!AU563,NA())</f>
        <v>1.1719999999999999</v>
      </c>
      <c r="K562">
        <f>IF('Lab test'!AT563&gt;0,'Lab test'!AT563,NA())</f>
        <v>0.22423702332197012</v>
      </c>
      <c r="L562">
        <f t="shared" si="50"/>
        <v>1</v>
      </c>
      <c r="M562">
        <f t="shared" si="51"/>
        <v>1938</v>
      </c>
      <c r="O562">
        <v>560</v>
      </c>
      <c r="P562">
        <v>1977</v>
      </c>
      <c r="Q562">
        <f t="shared" si="52"/>
        <v>0.86419753086419748</v>
      </c>
      <c r="R562" t="e">
        <f t="shared" si="53"/>
        <v>#N/A</v>
      </c>
      <c r="T562" t="e">
        <f t="shared" si="54"/>
        <v>#N/A</v>
      </c>
      <c r="U562">
        <f t="shared" si="55"/>
        <v>1977</v>
      </c>
      <c r="W562" t="e">
        <v>#N/A</v>
      </c>
      <c r="X562">
        <v>1977</v>
      </c>
    </row>
    <row r="563" spans="8:24">
      <c r="H563">
        <v>561</v>
      </c>
      <c r="I563">
        <f>'Lab test'!AZ564</f>
        <v>1938</v>
      </c>
      <c r="J563">
        <f>IF('Lab test'!AU564&gt;0,'Lab test'!AU564,NA())</f>
        <v>1.145</v>
      </c>
      <c r="K563">
        <f>IF('Lab test'!AT564&gt;0,'Lab test'!AT564,NA())</f>
        <v>0.23510058943069806</v>
      </c>
      <c r="L563">
        <f t="shared" si="50"/>
        <v>1</v>
      </c>
      <c r="M563">
        <f t="shared" si="51"/>
        <v>1938</v>
      </c>
      <c r="O563">
        <v>561</v>
      </c>
      <c r="P563">
        <v>1977</v>
      </c>
      <c r="Q563">
        <f t="shared" si="52"/>
        <v>0.8657407407407407</v>
      </c>
      <c r="R563" t="e">
        <f t="shared" si="53"/>
        <v>#N/A</v>
      </c>
      <c r="T563" t="e">
        <f t="shared" si="54"/>
        <v>#N/A</v>
      </c>
      <c r="U563">
        <f t="shared" si="55"/>
        <v>1977</v>
      </c>
      <c r="W563" t="e">
        <v>#N/A</v>
      </c>
      <c r="X563">
        <v>1977</v>
      </c>
    </row>
    <row r="564" spans="8:24">
      <c r="H564">
        <v>562</v>
      </c>
      <c r="I564">
        <f>'Lab test'!AZ565</f>
        <v>1938</v>
      </c>
      <c r="J564">
        <f>IF('Lab test'!AU565&gt;0,'Lab test'!AU565,NA())</f>
        <v>1.141</v>
      </c>
      <c r="K564">
        <f>IF('Lab test'!AT565&gt;0,'Lab test'!AT565,NA())</f>
        <v>0.2331166182118736</v>
      </c>
      <c r="L564">
        <f t="shared" si="50"/>
        <v>1</v>
      </c>
      <c r="M564">
        <f t="shared" si="51"/>
        <v>1938</v>
      </c>
      <c r="O564">
        <v>562</v>
      </c>
      <c r="P564">
        <v>1977</v>
      </c>
      <c r="Q564">
        <f t="shared" si="52"/>
        <v>0.86728395061728392</v>
      </c>
      <c r="R564" t="e">
        <f t="shared" si="53"/>
        <v>#N/A</v>
      </c>
      <c r="T564" t="e">
        <f t="shared" si="54"/>
        <v>#N/A</v>
      </c>
      <c r="U564">
        <f t="shared" si="55"/>
        <v>1977</v>
      </c>
      <c r="W564" t="e">
        <v>#N/A</v>
      </c>
      <c r="X564">
        <v>1977</v>
      </c>
    </row>
    <row r="565" spans="8:24">
      <c r="H565">
        <v>563</v>
      </c>
      <c r="I565">
        <f>'Lab test'!AZ566</f>
        <v>1938</v>
      </c>
      <c r="J565">
        <f>IF('Lab test'!AU566&gt;0,'Lab test'!AU566,NA())</f>
        <v>1.038</v>
      </c>
      <c r="K565">
        <f>IF('Lab test'!AT566&gt;0,'Lab test'!AT566,NA())</f>
        <v>0.26513891034114151</v>
      </c>
      <c r="L565">
        <f t="shared" si="50"/>
        <v>1</v>
      </c>
      <c r="M565">
        <f t="shared" si="51"/>
        <v>1938</v>
      </c>
      <c r="O565">
        <v>563</v>
      </c>
      <c r="P565">
        <v>1977</v>
      </c>
      <c r="Q565">
        <f t="shared" si="52"/>
        <v>0.86882716049382713</v>
      </c>
      <c r="R565">
        <f t="shared" si="53"/>
        <v>0.86882716049382713</v>
      </c>
      <c r="T565">
        <f t="shared" si="54"/>
        <v>0.86882716049382713</v>
      </c>
      <c r="U565">
        <f t="shared" si="55"/>
        <v>1977</v>
      </c>
      <c r="W565" t="e">
        <v>#N/A</v>
      </c>
      <c r="X565">
        <v>1977</v>
      </c>
    </row>
    <row r="566" spans="8:24">
      <c r="H566">
        <v>564</v>
      </c>
      <c r="I566">
        <f>'Lab test'!AZ567</f>
        <v>1938</v>
      </c>
      <c r="J566">
        <f>IF('Lab test'!AU567&gt;0,'Lab test'!AU567,NA())</f>
        <v>1.081</v>
      </c>
      <c r="K566">
        <f>IF('Lab test'!AT567&gt;0,'Lab test'!AT567,NA())</f>
        <v>0.2783664233181391</v>
      </c>
      <c r="L566">
        <f t="shared" si="50"/>
        <v>1</v>
      </c>
      <c r="M566">
        <f t="shared" si="51"/>
        <v>1938</v>
      </c>
      <c r="O566">
        <v>564</v>
      </c>
      <c r="P566">
        <v>1978</v>
      </c>
      <c r="Q566">
        <f t="shared" si="52"/>
        <v>0.87037037037037035</v>
      </c>
      <c r="R566" t="e">
        <f t="shared" si="53"/>
        <v>#N/A</v>
      </c>
      <c r="T566" t="e">
        <f t="shared" si="54"/>
        <v>#N/A</v>
      </c>
      <c r="U566">
        <f t="shared" si="55"/>
        <v>1978</v>
      </c>
      <c r="W566" t="e">
        <v>#N/A</v>
      </c>
      <c r="X566">
        <v>1977</v>
      </c>
    </row>
    <row r="567" spans="8:24">
      <c r="H567">
        <v>565</v>
      </c>
      <c r="I567">
        <f>'Lab test'!AZ568</f>
        <v>1938</v>
      </c>
      <c r="J567">
        <f>IF('Lab test'!AU568&gt;0,'Lab test'!AU568,NA())</f>
        <v>1.109</v>
      </c>
      <c r="K567">
        <f>IF('Lab test'!AT568&gt;0,'Lab test'!AT568,NA())</f>
        <v>0.27874016985857697</v>
      </c>
      <c r="L567">
        <f t="shared" si="50"/>
        <v>1</v>
      </c>
      <c r="M567">
        <f t="shared" si="51"/>
        <v>1938</v>
      </c>
      <c r="O567">
        <v>565</v>
      </c>
      <c r="P567">
        <v>1978</v>
      </c>
      <c r="Q567">
        <f t="shared" si="52"/>
        <v>0.87191358024691357</v>
      </c>
      <c r="R567" t="e">
        <f t="shared" si="53"/>
        <v>#N/A</v>
      </c>
      <c r="T567" t="e">
        <f t="shared" si="54"/>
        <v>#N/A</v>
      </c>
      <c r="U567">
        <f t="shared" si="55"/>
        <v>1978</v>
      </c>
      <c r="W567" t="e">
        <v>#N/A</v>
      </c>
      <c r="X567">
        <v>1977</v>
      </c>
    </row>
    <row r="568" spans="8:24">
      <c r="H568">
        <v>566</v>
      </c>
      <c r="I568">
        <f>'Lab test'!AZ569</f>
        <v>1938</v>
      </c>
      <c r="J568">
        <f>IF('Lab test'!AU569&gt;0,'Lab test'!AU569,NA())</f>
        <v>0.99399999999999999</v>
      </c>
      <c r="K568">
        <f>IF('Lab test'!AT569&gt;0,'Lab test'!AT569,NA())</f>
        <v>0.31939834298783781</v>
      </c>
      <c r="L568">
        <f t="shared" si="50"/>
        <v>1</v>
      </c>
      <c r="M568">
        <f t="shared" si="51"/>
        <v>1938</v>
      </c>
      <c r="O568">
        <v>566</v>
      </c>
      <c r="P568">
        <v>1978</v>
      </c>
      <c r="Q568">
        <f t="shared" si="52"/>
        <v>0.87345679012345678</v>
      </c>
      <c r="R568">
        <f t="shared" si="53"/>
        <v>0.87345679012345678</v>
      </c>
      <c r="T568">
        <f t="shared" si="54"/>
        <v>0.87345679012345678</v>
      </c>
      <c r="U568">
        <f t="shared" si="55"/>
        <v>1978</v>
      </c>
      <c r="W568" t="e">
        <v>#N/A</v>
      </c>
      <c r="X568">
        <v>1977</v>
      </c>
    </row>
    <row r="569" spans="8:24">
      <c r="H569">
        <v>567</v>
      </c>
      <c r="I569">
        <f>'Lab test'!AZ570</f>
        <v>1938</v>
      </c>
      <c r="J569">
        <f>IF('Lab test'!AU570&gt;0,'Lab test'!AU570,NA())</f>
        <v>0.995</v>
      </c>
      <c r="K569">
        <f>IF('Lab test'!AT570&gt;0,'Lab test'!AT570,NA())</f>
        <v>0.32026341050122636</v>
      </c>
      <c r="L569">
        <f t="shared" si="50"/>
        <v>1</v>
      </c>
      <c r="M569">
        <f t="shared" si="51"/>
        <v>1938</v>
      </c>
      <c r="O569">
        <v>567</v>
      </c>
      <c r="P569">
        <v>1980</v>
      </c>
      <c r="Q569">
        <f t="shared" si="52"/>
        <v>0.875</v>
      </c>
      <c r="R569" t="e">
        <f t="shared" si="53"/>
        <v>#N/A</v>
      </c>
      <c r="T569" t="e">
        <f t="shared" si="54"/>
        <v>#N/A</v>
      </c>
      <c r="U569">
        <f t="shared" si="55"/>
        <v>1980</v>
      </c>
      <c r="W569" t="e">
        <v>#N/A</v>
      </c>
      <c r="X569">
        <v>1977</v>
      </c>
    </row>
    <row r="570" spans="8:24">
      <c r="H570">
        <v>568</v>
      </c>
      <c r="I570">
        <f>'Lab test'!AZ571</f>
        <v>1982</v>
      </c>
      <c r="J570" t="e">
        <f>IF('Lab test'!AU571&gt;0,'Lab test'!AU571,NA())</f>
        <v>#N/A</v>
      </c>
      <c r="K570" t="e">
        <f>IF('Lab test'!AT571&gt;0,'Lab test'!AT571,NA())</f>
        <v>#N/A</v>
      </c>
      <c r="L570" t="e">
        <f t="shared" si="50"/>
        <v>#N/A</v>
      </c>
      <c r="M570" t="e">
        <f t="shared" si="51"/>
        <v>#N/A</v>
      </c>
      <c r="O570">
        <v>568</v>
      </c>
      <c r="P570">
        <v>1980</v>
      </c>
      <c r="Q570">
        <f t="shared" si="52"/>
        <v>0.87654320987654322</v>
      </c>
      <c r="R570" t="e">
        <f t="shared" si="53"/>
        <v>#N/A</v>
      </c>
      <c r="T570" t="e">
        <f t="shared" si="54"/>
        <v>#N/A</v>
      </c>
      <c r="U570">
        <f t="shared" si="55"/>
        <v>1980</v>
      </c>
      <c r="W570" t="e">
        <v>#N/A</v>
      </c>
      <c r="X570">
        <v>1977</v>
      </c>
    </row>
    <row r="571" spans="8:24">
      <c r="H571">
        <v>569</v>
      </c>
      <c r="I571">
        <f>'Lab test'!AZ572</f>
        <v>1982</v>
      </c>
      <c r="J571" t="e">
        <f>IF('Lab test'!AU572&gt;0,'Lab test'!AU572,NA())</f>
        <v>#N/A</v>
      </c>
      <c r="K571" t="e">
        <f>IF('Lab test'!AT572&gt;0,'Lab test'!AT572,NA())</f>
        <v>#N/A</v>
      </c>
      <c r="L571" t="e">
        <f t="shared" si="50"/>
        <v>#N/A</v>
      </c>
      <c r="M571" t="e">
        <f t="shared" si="51"/>
        <v>#N/A</v>
      </c>
      <c r="O571">
        <v>569</v>
      </c>
      <c r="P571">
        <v>1980</v>
      </c>
      <c r="Q571">
        <f t="shared" si="52"/>
        <v>0.87808641975308643</v>
      </c>
      <c r="R571" t="e">
        <f t="shared" si="53"/>
        <v>#N/A</v>
      </c>
      <c r="T571" t="e">
        <f t="shared" si="54"/>
        <v>#N/A</v>
      </c>
      <c r="U571">
        <f t="shared" si="55"/>
        <v>1980</v>
      </c>
      <c r="W571" t="e">
        <v>#N/A</v>
      </c>
      <c r="X571">
        <v>1977</v>
      </c>
    </row>
    <row r="572" spans="8:24">
      <c r="H572">
        <v>570</v>
      </c>
      <c r="I572">
        <f>'Lab test'!AZ573</f>
        <v>1982</v>
      </c>
      <c r="J572">
        <f>IF('Lab test'!AU573&gt;0,'Lab test'!AU573,NA())</f>
        <v>0.61087866108786615</v>
      </c>
      <c r="K572">
        <f>IF('Lab test'!AT573&gt;0,'Lab test'!AT573,NA())</f>
        <v>0.26370991891233025</v>
      </c>
      <c r="L572">
        <f t="shared" si="50"/>
        <v>1</v>
      </c>
      <c r="M572">
        <f t="shared" si="51"/>
        <v>1982</v>
      </c>
      <c r="O572">
        <v>570</v>
      </c>
      <c r="P572">
        <v>1980</v>
      </c>
      <c r="Q572">
        <f t="shared" si="52"/>
        <v>0.87962962962962965</v>
      </c>
      <c r="R572" t="e">
        <f t="shared" si="53"/>
        <v>#N/A</v>
      </c>
      <c r="T572" t="e">
        <f t="shared" si="54"/>
        <v>#N/A</v>
      </c>
      <c r="U572">
        <f t="shared" si="55"/>
        <v>1980</v>
      </c>
      <c r="W572" t="e">
        <v>#N/A</v>
      </c>
      <c r="X572">
        <v>1977</v>
      </c>
    </row>
    <row r="573" spans="8:24">
      <c r="H573">
        <v>571</v>
      </c>
      <c r="I573">
        <f>'Lab test'!AZ574</f>
        <v>1982</v>
      </c>
      <c r="J573">
        <f>IF('Lab test'!AU574&gt;0,'Lab test'!AU574,NA())</f>
        <v>0.60591133004926112</v>
      </c>
      <c r="K573">
        <f>IF('Lab test'!AT574&gt;0,'Lab test'!AT574,NA())</f>
        <v>0.21430646249840371</v>
      </c>
      <c r="L573">
        <f t="shared" si="50"/>
        <v>1</v>
      </c>
      <c r="M573">
        <f t="shared" si="51"/>
        <v>1982</v>
      </c>
      <c r="O573">
        <v>571</v>
      </c>
      <c r="P573">
        <v>1980</v>
      </c>
      <c r="Q573">
        <f t="shared" si="52"/>
        <v>0.88117283950617287</v>
      </c>
      <c r="R573" t="e">
        <f t="shared" si="53"/>
        <v>#N/A</v>
      </c>
      <c r="T573" t="e">
        <f t="shared" si="54"/>
        <v>#N/A</v>
      </c>
      <c r="U573">
        <f t="shared" si="55"/>
        <v>1980</v>
      </c>
      <c r="W573" t="e">
        <v>#N/A</v>
      </c>
      <c r="X573">
        <v>1977</v>
      </c>
    </row>
    <row r="574" spans="8:24">
      <c r="H574">
        <v>572</v>
      </c>
      <c r="I574">
        <f>'Lab test'!AZ575</f>
        <v>1982</v>
      </c>
      <c r="J574">
        <f>IF('Lab test'!AU575&gt;0,'Lab test'!AU575,NA())</f>
        <v>0.5714285714285714</v>
      </c>
      <c r="K574">
        <f>IF('Lab test'!AT575&gt;0,'Lab test'!AT575,NA())</f>
        <v>0.20211015975459209</v>
      </c>
      <c r="L574">
        <f t="shared" si="50"/>
        <v>1</v>
      </c>
      <c r="M574">
        <f t="shared" si="51"/>
        <v>1982</v>
      </c>
      <c r="O574">
        <v>572</v>
      </c>
      <c r="P574">
        <v>1980</v>
      </c>
      <c r="Q574">
        <f t="shared" si="52"/>
        <v>0.88271604938271608</v>
      </c>
      <c r="R574" t="e">
        <f t="shared" si="53"/>
        <v>#N/A</v>
      </c>
      <c r="T574" t="e">
        <f t="shared" si="54"/>
        <v>#N/A</v>
      </c>
      <c r="U574">
        <f t="shared" si="55"/>
        <v>1980</v>
      </c>
      <c r="W574" t="e">
        <v>#N/A</v>
      </c>
      <c r="X574">
        <v>1977</v>
      </c>
    </row>
    <row r="575" spans="8:24">
      <c r="H575">
        <v>573</v>
      </c>
      <c r="I575">
        <f>'Lab test'!AZ576</f>
        <v>1982</v>
      </c>
      <c r="J575">
        <f>IF('Lab test'!AU576&gt;0,'Lab test'!AU576,NA())</f>
        <v>0.60904255319148937</v>
      </c>
      <c r="K575">
        <f>IF('Lab test'!AT576&gt;0,'Lab test'!AT576,NA())</f>
        <v>0.2791422411842544</v>
      </c>
      <c r="L575">
        <f t="shared" si="50"/>
        <v>1</v>
      </c>
      <c r="M575">
        <f t="shared" si="51"/>
        <v>1982</v>
      </c>
      <c r="O575">
        <v>573</v>
      </c>
      <c r="P575">
        <v>1980</v>
      </c>
      <c r="Q575">
        <f t="shared" si="52"/>
        <v>0.8842592592592593</v>
      </c>
      <c r="R575" t="e">
        <f t="shared" si="53"/>
        <v>#N/A</v>
      </c>
      <c r="T575" t="e">
        <f t="shared" si="54"/>
        <v>#N/A</v>
      </c>
      <c r="U575">
        <f t="shared" si="55"/>
        <v>1980</v>
      </c>
      <c r="W575" t="e">
        <v>#N/A</v>
      </c>
      <c r="X575">
        <v>1977</v>
      </c>
    </row>
    <row r="576" spans="8:24">
      <c r="H576">
        <v>574</v>
      </c>
      <c r="I576">
        <f>'Lab test'!AZ577</f>
        <v>1982</v>
      </c>
      <c r="J576">
        <f>IF('Lab test'!AU577&gt;0,'Lab test'!AU577,NA())</f>
        <v>0.57843137254901966</v>
      </c>
      <c r="K576">
        <f>IF('Lab test'!AT577&gt;0,'Lab test'!AT577,NA())</f>
        <v>0.31835689332816192</v>
      </c>
      <c r="L576">
        <f t="shared" si="50"/>
        <v>1</v>
      </c>
      <c r="M576">
        <f t="shared" si="51"/>
        <v>1982</v>
      </c>
      <c r="O576">
        <v>574</v>
      </c>
      <c r="P576">
        <v>1980</v>
      </c>
      <c r="Q576">
        <f t="shared" si="52"/>
        <v>0.88580246913580252</v>
      </c>
      <c r="R576" t="e">
        <f t="shared" si="53"/>
        <v>#N/A</v>
      </c>
      <c r="T576" t="e">
        <f t="shared" si="54"/>
        <v>#N/A</v>
      </c>
      <c r="U576">
        <f t="shared" si="55"/>
        <v>1980</v>
      </c>
      <c r="W576" t="e">
        <v>#N/A</v>
      </c>
      <c r="X576">
        <v>1977</v>
      </c>
    </row>
    <row r="577" spans="8:24">
      <c r="H577">
        <v>575</v>
      </c>
      <c r="I577">
        <f>'Lab test'!AZ578</f>
        <v>1965</v>
      </c>
      <c r="J577" t="e">
        <f>IF('Lab test'!AU578&gt;0,'Lab test'!AU578,NA())</f>
        <v>#N/A</v>
      </c>
      <c r="K577">
        <f>IF('Lab test'!AT578&gt;0,'Lab test'!AT578,NA())</f>
        <v>0.68161893022015496</v>
      </c>
      <c r="L577">
        <f t="shared" si="50"/>
        <v>1</v>
      </c>
      <c r="M577">
        <f t="shared" si="51"/>
        <v>1965</v>
      </c>
      <c r="O577">
        <v>575</v>
      </c>
      <c r="P577">
        <v>1980</v>
      </c>
      <c r="Q577">
        <f t="shared" si="52"/>
        <v>0.88734567901234573</v>
      </c>
      <c r="R577" t="e">
        <f t="shared" si="53"/>
        <v>#N/A</v>
      </c>
      <c r="T577" t="e">
        <f t="shared" si="54"/>
        <v>#N/A</v>
      </c>
      <c r="U577">
        <f t="shared" si="55"/>
        <v>1980</v>
      </c>
      <c r="W577" t="e">
        <v>#N/A</v>
      </c>
      <c r="X577">
        <v>1978</v>
      </c>
    </row>
    <row r="578" spans="8:24">
      <c r="H578">
        <v>576</v>
      </c>
      <c r="I578">
        <f>'Lab test'!AZ579</f>
        <v>1965</v>
      </c>
      <c r="J578" t="e">
        <f>IF('Lab test'!AU579&gt;0,'Lab test'!AU579,NA())</f>
        <v>#N/A</v>
      </c>
      <c r="K578">
        <f>IF('Lab test'!AT579&gt;0,'Lab test'!AT579,NA())</f>
        <v>0.83917908494441196</v>
      </c>
      <c r="L578">
        <f t="shared" si="50"/>
        <v>1</v>
      </c>
      <c r="M578">
        <f t="shared" si="51"/>
        <v>1965</v>
      </c>
      <c r="O578">
        <v>576</v>
      </c>
      <c r="P578">
        <v>1980</v>
      </c>
      <c r="Q578">
        <f t="shared" si="52"/>
        <v>0.88888888888888884</v>
      </c>
      <c r="R578">
        <f t="shared" si="53"/>
        <v>0.88888888888888884</v>
      </c>
      <c r="T578">
        <f t="shared" si="54"/>
        <v>0.88888888888888884</v>
      </c>
      <c r="U578">
        <f t="shared" si="55"/>
        <v>1980</v>
      </c>
      <c r="W578" t="e">
        <v>#N/A</v>
      </c>
      <c r="X578">
        <v>1978</v>
      </c>
    </row>
    <row r="579" spans="8:24">
      <c r="H579">
        <v>577</v>
      </c>
      <c r="I579">
        <f>'Lab test'!AZ580</f>
        <v>1965</v>
      </c>
      <c r="J579" t="e">
        <f>IF('Lab test'!AU580&gt;0,'Lab test'!AU580,NA())</f>
        <v>#N/A</v>
      </c>
      <c r="K579">
        <f>IF('Lab test'!AT580&gt;0,'Lab test'!AT580,NA())</f>
        <v>0.81040723060346065</v>
      </c>
      <c r="L579">
        <f t="shared" si="50"/>
        <v>1</v>
      </c>
      <c r="M579">
        <f t="shared" si="51"/>
        <v>1965</v>
      </c>
      <c r="O579">
        <v>577</v>
      </c>
      <c r="P579">
        <v>1982</v>
      </c>
      <c r="Q579">
        <f t="shared" si="52"/>
        <v>0.89043209876543206</v>
      </c>
      <c r="R579" t="e">
        <f t="shared" si="53"/>
        <v>#N/A</v>
      </c>
      <c r="T579" t="e">
        <f t="shared" si="54"/>
        <v>#N/A</v>
      </c>
      <c r="U579">
        <f t="shared" si="55"/>
        <v>1982</v>
      </c>
      <c r="W579" t="e">
        <v>#N/A</v>
      </c>
      <c r="X579">
        <v>1980</v>
      </c>
    </row>
    <row r="580" spans="8:24">
      <c r="H580">
        <v>578</v>
      </c>
      <c r="I580">
        <f>'Lab test'!AZ581</f>
        <v>1967</v>
      </c>
      <c r="J580" t="e">
        <f>IF('Lab test'!AU581&gt;0,'Lab test'!AU581,NA())</f>
        <v>#N/A</v>
      </c>
      <c r="K580">
        <f>IF('Lab test'!AT581&gt;0,'Lab test'!AT581,NA())</f>
        <v>0.61799999999999999</v>
      </c>
      <c r="L580">
        <f t="shared" ref="L580:L643" si="56">IF(OR(ISNUMBER(J580),ISNUMBER(K580)),1,NA())</f>
        <v>1</v>
      </c>
      <c r="M580">
        <f t="shared" ref="M580:M643" si="57">IF(ISNUMBER(L580),I580,NA())</f>
        <v>1967</v>
      </c>
      <c r="O580">
        <v>578</v>
      </c>
      <c r="P580">
        <v>1982</v>
      </c>
      <c r="Q580">
        <f t="shared" ref="Q580:Q643" si="58">O580/COUNT($O$3:$O$650)</f>
        <v>0.89197530864197527</v>
      </c>
      <c r="R580" t="e">
        <f t="shared" ref="R580:R643" si="59">IF(P580=P581,NA(),Q580)</f>
        <v>#N/A</v>
      </c>
      <c r="T580" t="e">
        <f t="shared" ref="T580:T643" si="60">R580</f>
        <v>#N/A</v>
      </c>
      <c r="U580">
        <f t="shared" ref="U580:U643" si="61">P580</f>
        <v>1982</v>
      </c>
      <c r="W580" t="e">
        <v>#N/A</v>
      </c>
      <c r="X580">
        <v>1980</v>
      </c>
    </row>
    <row r="581" spans="8:24">
      <c r="H581">
        <v>579</v>
      </c>
      <c r="I581">
        <f>'Lab test'!AZ582</f>
        <v>1967</v>
      </c>
      <c r="J581" t="e">
        <f>IF('Lab test'!AU582&gt;0,'Lab test'!AU582,NA())</f>
        <v>#N/A</v>
      </c>
      <c r="K581">
        <f>IF('Lab test'!AT582&gt;0,'Lab test'!AT582,NA())</f>
        <v>0.65600000000000003</v>
      </c>
      <c r="L581">
        <f t="shared" si="56"/>
        <v>1</v>
      </c>
      <c r="M581">
        <f t="shared" si="57"/>
        <v>1967</v>
      </c>
      <c r="O581">
        <v>579</v>
      </c>
      <c r="P581">
        <v>1982</v>
      </c>
      <c r="Q581">
        <f t="shared" si="58"/>
        <v>0.89351851851851849</v>
      </c>
      <c r="R581" t="e">
        <f t="shared" si="59"/>
        <v>#N/A</v>
      </c>
      <c r="T581" t="e">
        <f t="shared" si="60"/>
        <v>#N/A</v>
      </c>
      <c r="U581">
        <f t="shared" si="61"/>
        <v>1982</v>
      </c>
      <c r="W581" t="e">
        <v>#N/A</v>
      </c>
      <c r="X581">
        <v>1980</v>
      </c>
    </row>
    <row r="582" spans="8:24">
      <c r="H582">
        <v>580</v>
      </c>
      <c r="I582">
        <f>'Lab test'!AZ583</f>
        <v>1967</v>
      </c>
      <c r="J582" t="e">
        <f>IF('Lab test'!AU583&gt;0,'Lab test'!AU583,NA())</f>
        <v>#N/A</v>
      </c>
      <c r="K582">
        <f>IF('Lab test'!AT583&gt;0,'Lab test'!AT583,NA())</f>
        <v>0.68700000000000006</v>
      </c>
      <c r="L582">
        <f t="shared" si="56"/>
        <v>1</v>
      </c>
      <c r="M582">
        <f t="shared" si="57"/>
        <v>1967</v>
      </c>
      <c r="O582">
        <v>580</v>
      </c>
      <c r="P582">
        <v>1982</v>
      </c>
      <c r="Q582">
        <f t="shared" si="58"/>
        <v>0.89506172839506171</v>
      </c>
      <c r="R582" t="e">
        <f t="shared" si="59"/>
        <v>#N/A</v>
      </c>
      <c r="T582" t="e">
        <f t="shared" si="60"/>
        <v>#N/A</v>
      </c>
      <c r="U582">
        <f t="shared" si="61"/>
        <v>1982</v>
      </c>
      <c r="W582" t="e">
        <v>#N/A</v>
      </c>
      <c r="X582">
        <v>1980</v>
      </c>
    </row>
    <row r="583" spans="8:24">
      <c r="H583">
        <v>581</v>
      </c>
      <c r="I583">
        <f>'Lab test'!AZ584</f>
        <v>1967</v>
      </c>
      <c r="J583" t="e">
        <f>IF('Lab test'!AU584&gt;0,'Lab test'!AU584,NA())</f>
        <v>#N/A</v>
      </c>
      <c r="K583">
        <f>IF('Lab test'!AT584&gt;0,'Lab test'!AT584,NA())</f>
        <v>0.68400000000000005</v>
      </c>
      <c r="L583">
        <f t="shared" si="56"/>
        <v>1</v>
      </c>
      <c r="M583">
        <f t="shared" si="57"/>
        <v>1967</v>
      </c>
      <c r="O583">
        <v>581</v>
      </c>
      <c r="P583">
        <v>1982</v>
      </c>
      <c r="Q583">
        <f t="shared" si="58"/>
        <v>0.89660493827160492</v>
      </c>
      <c r="R583">
        <f t="shared" si="59"/>
        <v>0.89660493827160492</v>
      </c>
      <c r="T583">
        <f t="shared" si="60"/>
        <v>0.89660493827160492</v>
      </c>
      <c r="U583">
        <f t="shared" si="61"/>
        <v>1982</v>
      </c>
      <c r="W583" t="e">
        <v>#N/A</v>
      </c>
      <c r="X583">
        <v>1980</v>
      </c>
    </row>
    <row r="584" spans="8:24">
      <c r="H584">
        <v>582</v>
      </c>
      <c r="I584">
        <f>'Lab test'!AZ585</f>
        <v>1967</v>
      </c>
      <c r="J584" t="e">
        <f>IF('Lab test'!AU585&gt;0,'Lab test'!AU585,NA())</f>
        <v>#N/A</v>
      </c>
      <c r="K584">
        <f>IF('Lab test'!AT585&gt;0,'Lab test'!AT585,NA())</f>
        <v>0.68799999999999994</v>
      </c>
      <c r="L584">
        <f t="shared" si="56"/>
        <v>1</v>
      </c>
      <c r="M584">
        <f t="shared" si="57"/>
        <v>1967</v>
      </c>
      <c r="O584">
        <v>582</v>
      </c>
      <c r="P584">
        <v>1985</v>
      </c>
      <c r="Q584">
        <f t="shared" si="58"/>
        <v>0.89814814814814814</v>
      </c>
      <c r="R584" t="e">
        <f t="shared" si="59"/>
        <v>#N/A</v>
      </c>
      <c r="T584" t="e">
        <f t="shared" si="60"/>
        <v>#N/A</v>
      </c>
      <c r="U584">
        <f t="shared" si="61"/>
        <v>1985</v>
      </c>
      <c r="W584" t="e">
        <v>#N/A</v>
      </c>
      <c r="X584">
        <v>1980</v>
      </c>
    </row>
    <row r="585" spans="8:24">
      <c r="H585">
        <v>583</v>
      </c>
      <c r="I585">
        <f>'Lab test'!AZ586</f>
        <v>1967</v>
      </c>
      <c r="J585" t="e">
        <f>IF('Lab test'!AU586&gt;0,'Lab test'!AU586,NA())</f>
        <v>#N/A</v>
      </c>
      <c r="K585">
        <f>IF('Lab test'!AT586&gt;0,'Lab test'!AT586,NA())</f>
        <v>0.67400000000000004</v>
      </c>
      <c r="L585">
        <f t="shared" si="56"/>
        <v>1</v>
      </c>
      <c r="M585">
        <f t="shared" si="57"/>
        <v>1967</v>
      </c>
      <c r="O585">
        <v>583</v>
      </c>
      <c r="P585">
        <v>1985</v>
      </c>
      <c r="Q585">
        <f t="shared" si="58"/>
        <v>0.89969135802469136</v>
      </c>
      <c r="R585" t="e">
        <f t="shared" si="59"/>
        <v>#N/A</v>
      </c>
      <c r="T585" t="e">
        <f t="shared" si="60"/>
        <v>#N/A</v>
      </c>
      <c r="U585">
        <f t="shared" si="61"/>
        <v>1985</v>
      </c>
      <c r="W585" t="e">
        <v>#N/A</v>
      </c>
      <c r="X585">
        <v>1980</v>
      </c>
    </row>
    <row r="586" spans="8:24">
      <c r="H586">
        <v>584</v>
      </c>
      <c r="I586">
        <f>'Lab test'!AZ587</f>
        <v>1967</v>
      </c>
      <c r="J586" t="e">
        <f>IF('Lab test'!AU587&gt;0,'Lab test'!AU587,NA())</f>
        <v>#N/A</v>
      </c>
      <c r="K586">
        <f>IF('Lab test'!AT587&gt;0,'Lab test'!AT587,NA())</f>
        <v>0.61199999999999999</v>
      </c>
      <c r="L586">
        <f t="shared" si="56"/>
        <v>1</v>
      </c>
      <c r="M586">
        <f t="shared" si="57"/>
        <v>1967</v>
      </c>
      <c r="O586">
        <v>584</v>
      </c>
      <c r="P586">
        <v>1985</v>
      </c>
      <c r="Q586">
        <f t="shared" si="58"/>
        <v>0.90123456790123457</v>
      </c>
      <c r="R586" t="e">
        <f t="shared" si="59"/>
        <v>#N/A</v>
      </c>
      <c r="T586" t="e">
        <f t="shared" si="60"/>
        <v>#N/A</v>
      </c>
      <c r="U586">
        <f t="shared" si="61"/>
        <v>1985</v>
      </c>
      <c r="W586" t="e">
        <v>#N/A</v>
      </c>
      <c r="X586">
        <v>1980</v>
      </c>
    </row>
    <row r="587" spans="8:24">
      <c r="H587">
        <v>585</v>
      </c>
      <c r="I587">
        <f>'Lab test'!AZ588</f>
        <v>1967</v>
      </c>
      <c r="J587" t="e">
        <f>IF('Lab test'!AU588&gt;0,'Lab test'!AU588,NA())</f>
        <v>#N/A</v>
      </c>
      <c r="K587">
        <f>IF('Lab test'!AT588&gt;0,'Lab test'!AT588,NA())</f>
        <v>0.65500000000000003</v>
      </c>
      <c r="L587">
        <f t="shared" si="56"/>
        <v>1</v>
      </c>
      <c r="M587">
        <f t="shared" si="57"/>
        <v>1967</v>
      </c>
      <c r="O587">
        <v>585</v>
      </c>
      <c r="P587">
        <v>1985</v>
      </c>
      <c r="Q587">
        <f t="shared" si="58"/>
        <v>0.90277777777777779</v>
      </c>
      <c r="R587" t="e">
        <f t="shared" si="59"/>
        <v>#N/A</v>
      </c>
      <c r="T587" t="e">
        <f t="shared" si="60"/>
        <v>#N/A</v>
      </c>
      <c r="U587">
        <f t="shared" si="61"/>
        <v>1985</v>
      </c>
      <c r="W587" t="e">
        <v>#N/A</v>
      </c>
      <c r="X587">
        <v>1980</v>
      </c>
    </row>
    <row r="588" spans="8:24">
      <c r="H588">
        <v>586</v>
      </c>
      <c r="I588">
        <f>'Lab test'!AZ589</f>
        <v>1964</v>
      </c>
      <c r="J588">
        <f>IF('Lab test'!AU589&gt;0,'Lab test'!AU589,NA())</f>
        <v>6.8049186129352304E-2</v>
      </c>
      <c r="K588">
        <f>IF('Lab test'!AT589&gt;0,'Lab test'!AT589,NA())</f>
        <v>0.19619800025297726</v>
      </c>
      <c r="L588">
        <f t="shared" si="56"/>
        <v>1</v>
      </c>
      <c r="M588">
        <f t="shared" si="57"/>
        <v>1964</v>
      </c>
      <c r="O588">
        <v>586</v>
      </c>
      <c r="P588">
        <v>1985</v>
      </c>
      <c r="Q588">
        <f t="shared" si="58"/>
        <v>0.90432098765432101</v>
      </c>
      <c r="R588" t="e">
        <f t="shared" si="59"/>
        <v>#N/A</v>
      </c>
      <c r="T588" t="e">
        <f t="shared" si="60"/>
        <v>#N/A</v>
      </c>
      <c r="U588">
        <f t="shared" si="61"/>
        <v>1985</v>
      </c>
      <c r="W588" t="e">
        <v>#N/A</v>
      </c>
      <c r="X588">
        <v>1982</v>
      </c>
    </row>
    <row r="589" spans="8:24">
      <c r="H589">
        <v>587</v>
      </c>
      <c r="I589">
        <f>'Lab test'!AZ590</f>
        <v>1964</v>
      </c>
      <c r="J589">
        <f>IF('Lab test'!AU590&gt;0,'Lab test'!AU590,NA())</f>
        <v>8.8463586674812938E-2</v>
      </c>
      <c r="K589">
        <f>IF('Lab test'!AT590&gt;0,'Lab test'!AT590,NA())</f>
        <v>0.2605048763774504</v>
      </c>
      <c r="L589">
        <f t="shared" si="56"/>
        <v>1</v>
      </c>
      <c r="M589">
        <f t="shared" si="57"/>
        <v>1964</v>
      </c>
      <c r="O589">
        <v>587</v>
      </c>
      <c r="P589">
        <v>1985</v>
      </c>
      <c r="Q589">
        <f t="shared" si="58"/>
        <v>0.90586419753086422</v>
      </c>
      <c r="R589" t="e">
        <f t="shared" si="59"/>
        <v>#N/A</v>
      </c>
      <c r="T589" t="e">
        <f t="shared" si="60"/>
        <v>#N/A</v>
      </c>
      <c r="U589">
        <f t="shared" si="61"/>
        <v>1985</v>
      </c>
      <c r="W589" t="e">
        <v>#N/A</v>
      </c>
      <c r="X589">
        <v>1982</v>
      </c>
    </row>
    <row r="590" spans="8:24">
      <c r="H590">
        <v>588</v>
      </c>
      <c r="I590">
        <f>'Lab test'!AZ591</f>
        <v>1964</v>
      </c>
      <c r="J590">
        <f>IF('Lab test'!AU591&gt;0,'Lab test'!AU591,NA())</f>
        <v>8.6859004296075348E-2</v>
      </c>
      <c r="K590">
        <f>IF('Lab test'!AT591&gt;0,'Lab test'!AT591,NA())</f>
        <v>0.27605400006503689</v>
      </c>
      <c r="L590">
        <f t="shared" si="56"/>
        <v>1</v>
      </c>
      <c r="M590">
        <f t="shared" si="57"/>
        <v>1964</v>
      </c>
      <c r="O590">
        <v>588</v>
      </c>
      <c r="P590">
        <v>1985</v>
      </c>
      <c r="Q590">
        <f t="shared" si="58"/>
        <v>0.90740740740740744</v>
      </c>
      <c r="R590" t="e">
        <f t="shared" si="59"/>
        <v>#N/A</v>
      </c>
      <c r="T590" t="e">
        <f t="shared" si="60"/>
        <v>#N/A</v>
      </c>
      <c r="U590">
        <f t="shared" si="61"/>
        <v>1985</v>
      </c>
      <c r="W590" t="e">
        <v>#N/A</v>
      </c>
      <c r="X590">
        <v>1982</v>
      </c>
    </row>
    <row r="591" spans="8:24">
      <c r="H591">
        <v>589</v>
      </c>
      <c r="I591">
        <f>'Lab test'!AZ592</f>
        <v>1964</v>
      </c>
      <c r="J591">
        <f>IF('Lab test'!AU592&gt;0,'Lab test'!AU592,NA())</f>
        <v>0.16166453715688101</v>
      </c>
      <c r="K591">
        <f>IF('Lab test'!AT592&gt;0,'Lab test'!AT592,NA())</f>
        <v>0.22127468095561878</v>
      </c>
      <c r="L591">
        <f t="shared" si="56"/>
        <v>1</v>
      </c>
      <c r="M591">
        <f t="shared" si="57"/>
        <v>1964</v>
      </c>
      <c r="O591">
        <v>589</v>
      </c>
      <c r="P591">
        <v>1985</v>
      </c>
      <c r="Q591">
        <f t="shared" si="58"/>
        <v>0.90895061728395066</v>
      </c>
      <c r="R591" t="e">
        <f t="shared" si="59"/>
        <v>#N/A</v>
      </c>
      <c r="T591" t="e">
        <f t="shared" si="60"/>
        <v>#N/A</v>
      </c>
      <c r="U591">
        <f t="shared" si="61"/>
        <v>1985</v>
      </c>
      <c r="W591" t="e">
        <v>#N/A</v>
      </c>
      <c r="X591">
        <v>1982</v>
      </c>
    </row>
    <row r="592" spans="8:24">
      <c r="H592">
        <v>590</v>
      </c>
      <c r="I592">
        <f>'Lab test'!AZ593</f>
        <v>1964</v>
      </c>
      <c r="J592">
        <f>IF('Lab test'!AU593&gt;0,'Lab test'!AU593,NA())</f>
        <v>0.20237507600746862</v>
      </c>
      <c r="K592">
        <f>IF('Lab test'!AT593&gt;0,'Lab test'!AT593,NA())</f>
        <v>0.24808670536612881</v>
      </c>
      <c r="L592">
        <f t="shared" si="56"/>
        <v>1</v>
      </c>
      <c r="M592">
        <f t="shared" si="57"/>
        <v>1964</v>
      </c>
      <c r="O592">
        <v>590</v>
      </c>
      <c r="P592">
        <v>1985</v>
      </c>
      <c r="Q592">
        <f t="shared" si="58"/>
        <v>0.91049382716049387</v>
      </c>
      <c r="R592" t="e">
        <f t="shared" si="59"/>
        <v>#N/A</v>
      </c>
      <c r="T592" t="e">
        <f t="shared" si="60"/>
        <v>#N/A</v>
      </c>
      <c r="U592">
        <f t="shared" si="61"/>
        <v>1985</v>
      </c>
      <c r="W592" t="e">
        <v>#N/A</v>
      </c>
      <c r="X592">
        <v>1985</v>
      </c>
    </row>
    <row r="593" spans="8:24">
      <c r="H593">
        <v>591</v>
      </c>
      <c r="I593">
        <f>'Lab test'!AZ594</f>
        <v>1964</v>
      </c>
      <c r="J593">
        <f>IF('Lab test'!AU594&gt;0,'Lab test'!AU594,NA())</f>
        <v>0.21007635078011105</v>
      </c>
      <c r="K593">
        <f>IF('Lab test'!AT594&gt;0,'Lab test'!AT594,NA())</f>
        <v>0.25547922865223549</v>
      </c>
      <c r="L593">
        <f t="shared" si="56"/>
        <v>1</v>
      </c>
      <c r="M593">
        <f t="shared" si="57"/>
        <v>1964</v>
      </c>
      <c r="O593">
        <v>591</v>
      </c>
      <c r="P593">
        <v>1985</v>
      </c>
      <c r="Q593">
        <f t="shared" si="58"/>
        <v>0.91203703703703709</v>
      </c>
      <c r="R593" t="e">
        <f t="shared" si="59"/>
        <v>#N/A</v>
      </c>
      <c r="T593" t="e">
        <f t="shared" si="60"/>
        <v>#N/A</v>
      </c>
      <c r="U593">
        <f t="shared" si="61"/>
        <v>1985</v>
      </c>
      <c r="W593" t="e">
        <v>#N/A</v>
      </c>
      <c r="X593">
        <v>1985</v>
      </c>
    </row>
    <row r="594" spans="8:24">
      <c r="H594">
        <v>592</v>
      </c>
      <c r="I594">
        <f>'Lab test'!AZ595</f>
        <v>1964</v>
      </c>
      <c r="J594">
        <f>IF('Lab test'!AU595&gt;0,'Lab test'!AU595,NA())</f>
        <v>0.21744061368289605</v>
      </c>
      <c r="K594">
        <f>IF('Lab test'!AT595&gt;0,'Lab test'!AT595,NA())</f>
        <v>0.23737378469400774</v>
      </c>
      <c r="L594">
        <f t="shared" si="56"/>
        <v>1</v>
      </c>
      <c r="M594">
        <f t="shared" si="57"/>
        <v>1964</v>
      </c>
      <c r="O594">
        <v>592</v>
      </c>
      <c r="P594">
        <v>1985</v>
      </c>
      <c r="Q594">
        <f t="shared" si="58"/>
        <v>0.9135802469135802</v>
      </c>
      <c r="R594">
        <f t="shared" si="59"/>
        <v>0.9135802469135802</v>
      </c>
      <c r="T594">
        <f t="shared" si="60"/>
        <v>0.9135802469135802</v>
      </c>
      <c r="U594">
        <f t="shared" si="61"/>
        <v>1985</v>
      </c>
      <c r="W594" t="e">
        <v>#N/A</v>
      </c>
      <c r="X594">
        <v>1985</v>
      </c>
    </row>
    <row r="595" spans="8:24">
      <c r="H595">
        <v>593</v>
      </c>
      <c r="I595">
        <f>'Lab test'!AZ596</f>
        <v>1964</v>
      </c>
      <c r="J595">
        <f>IF('Lab test'!AU596&gt;0,'Lab test'!AU596,NA())</f>
        <v>0.21289086906615384</v>
      </c>
      <c r="K595">
        <f>IF('Lab test'!AT596&gt;0,'Lab test'!AT596,NA())</f>
        <v>0.22526042799014018</v>
      </c>
      <c r="L595">
        <f t="shared" si="56"/>
        <v>1</v>
      </c>
      <c r="M595">
        <f t="shared" si="57"/>
        <v>1964</v>
      </c>
      <c r="O595">
        <v>593</v>
      </c>
      <c r="P595">
        <v>1987</v>
      </c>
      <c r="Q595">
        <f t="shared" si="58"/>
        <v>0.91512345679012341</v>
      </c>
      <c r="R595" t="e">
        <f t="shared" si="59"/>
        <v>#N/A</v>
      </c>
      <c r="T595" t="e">
        <f t="shared" si="60"/>
        <v>#N/A</v>
      </c>
      <c r="U595">
        <f t="shared" si="61"/>
        <v>1987</v>
      </c>
      <c r="W595" t="e">
        <v>#N/A</v>
      </c>
      <c r="X595">
        <v>1985</v>
      </c>
    </row>
    <row r="596" spans="8:24">
      <c r="H596">
        <v>594</v>
      </c>
      <c r="I596">
        <f>'Lab test'!AZ597</f>
        <v>1964</v>
      </c>
      <c r="J596">
        <f>IF('Lab test'!AU597&gt;0,'Lab test'!AU597,NA())</f>
        <v>0.43365045052971174</v>
      </c>
      <c r="K596">
        <f>IF('Lab test'!AT597&gt;0,'Lab test'!AT597,NA())</f>
        <v>0.34051170774888662</v>
      </c>
      <c r="L596">
        <f t="shared" si="56"/>
        <v>1</v>
      </c>
      <c r="M596">
        <f t="shared" si="57"/>
        <v>1964</v>
      </c>
      <c r="O596">
        <v>594</v>
      </c>
      <c r="P596">
        <v>1987</v>
      </c>
      <c r="Q596">
        <f t="shared" si="58"/>
        <v>0.91666666666666663</v>
      </c>
      <c r="R596" t="e">
        <f t="shared" si="59"/>
        <v>#N/A</v>
      </c>
      <c r="T596" t="e">
        <f t="shared" si="60"/>
        <v>#N/A</v>
      </c>
      <c r="U596">
        <f t="shared" si="61"/>
        <v>1987</v>
      </c>
      <c r="W596" t="e">
        <v>#N/A</v>
      </c>
      <c r="X596">
        <v>1985</v>
      </c>
    </row>
    <row r="597" spans="8:24">
      <c r="H597">
        <v>595</v>
      </c>
      <c r="I597">
        <f>'Lab test'!AZ598</f>
        <v>1964</v>
      </c>
      <c r="J597">
        <f>IF('Lab test'!AU598&gt;0,'Lab test'!AU598,NA())</f>
        <v>0.49875947891637451</v>
      </c>
      <c r="K597">
        <f>IF('Lab test'!AT598&gt;0,'Lab test'!AT598,NA())</f>
        <v>0.30907789481575498</v>
      </c>
      <c r="L597">
        <f t="shared" si="56"/>
        <v>1</v>
      </c>
      <c r="M597">
        <f t="shared" si="57"/>
        <v>1964</v>
      </c>
      <c r="O597">
        <v>595</v>
      </c>
      <c r="P597">
        <v>1987</v>
      </c>
      <c r="Q597">
        <f t="shared" si="58"/>
        <v>0.91820987654320985</v>
      </c>
      <c r="R597" t="e">
        <f t="shared" si="59"/>
        <v>#N/A</v>
      </c>
      <c r="T597" t="e">
        <f t="shared" si="60"/>
        <v>#N/A</v>
      </c>
      <c r="U597">
        <f t="shared" si="61"/>
        <v>1987</v>
      </c>
      <c r="W597" t="e">
        <v>#N/A</v>
      </c>
      <c r="X597">
        <v>1985</v>
      </c>
    </row>
    <row r="598" spans="8:24">
      <c r="H598">
        <v>596</v>
      </c>
      <c r="I598">
        <f>'Lab test'!AZ599</f>
        <v>1964</v>
      </c>
      <c r="J598">
        <f>IF('Lab test'!AU599&gt;0,'Lab test'!AU599,NA())</f>
        <v>0.53859593333860656</v>
      </c>
      <c r="K598">
        <f>IF('Lab test'!AT599&gt;0,'Lab test'!AT599,NA())</f>
        <v>0.30372978401170414</v>
      </c>
      <c r="L598">
        <f t="shared" si="56"/>
        <v>1</v>
      </c>
      <c r="M598">
        <f t="shared" si="57"/>
        <v>1964</v>
      </c>
      <c r="O598">
        <v>596</v>
      </c>
      <c r="P598">
        <v>1987</v>
      </c>
      <c r="Q598">
        <f t="shared" si="58"/>
        <v>0.91975308641975306</v>
      </c>
      <c r="R598">
        <f t="shared" si="59"/>
        <v>0.91975308641975306</v>
      </c>
      <c r="T598">
        <f t="shared" si="60"/>
        <v>0.91975308641975306</v>
      </c>
      <c r="U598">
        <f t="shared" si="61"/>
        <v>1987</v>
      </c>
      <c r="W598" t="e">
        <v>#N/A</v>
      </c>
      <c r="X598">
        <v>1985</v>
      </c>
    </row>
    <row r="599" spans="8:24">
      <c r="H599">
        <v>597</v>
      </c>
      <c r="I599">
        <f>'Lab test'!AZ600</f>
        <v>1964</v>
      </c>
      <c r="J599">
        <f>IF('Lab test'!AU600&gt;0,'Lab test'!AU600,NA())</f>
        <v>0.57302113020946721</v>
      </c>
      <c r="K599">
        <f>IF('Lab test'!AT600&gt;0,'Lab test'!AT600,NA())</f>
        <v>0.28074882478938595</v>
      </c>
      <c r="L599">
        <f t="shared" si="56"/>
        <v>1</v>
      </c>
      <c r="M599">
        <f t="shared" si="57"/>
        <v>1964</v>
      </c>
      <c r="O599">
        <v>597</v>
      </c>
      <c r="P599">
        <v>2004</v>
      </c>
      <c r="Q599">
        <f t="shared" si="58"/>
        <v>0.92129629629629628</v>
      </c>
      <c r="R599" t="e">
        <f t="shared" si="59"/>
        <v>#N/A</v>
      </c>
      <c r="T599" t="e">
        <f t="shared" si="60"/>
        <v>#N/A</v>
      </c>
      <c r="U599">
        <f t="shared" si="61"/>
        <v>2004</v>
      </c>
      <c r="W599" t="e">
        <v>#N/A</v>
      </c>
      <c r="X599">
        <v>1985</v>
      </c>
    </row>
    <row r="600" spans="8:24">
      <c r="H600">
        <v>598</v>
      </c>
      <c r="I600">
        <f>'Lab test'!AZ601</f>
        <v>1964</v>
      </c>
      <c r="J600">
        <f>IF('Lab test'!AU601&gt;0,'Lab test'!AU601,NA())</f>
        <v>0.67599178306953278</v>
      </c>
      <c r="K600">
        <f>IF('Lab test'!AT601&gt;0,'Lab test'!AT601,NA())</f>
        <v>0.28387285280970181</v>
      </c>
      <c r="L600">
        <f t="shared" si="56"/>
        <v>1</v>
      </c>
      <c r="M600">
        <f t="shared" si="57"/>
        <v>1964</v>
      </c>
      <c r="O600">
        <v>598</v>
      </c>
      <c r="P600">
        <v>2004</v>
      </c>
      <c r="Q600">
        <f t="shared" si="58"/>
        <v>0.9228395061728395</v>
      </c>
      <c r="R600" t="e">
        <f t="shared" si="59"/>
        <v>#N/A</v>
      </c>
      <c r="T600" t="e">
        <f t="shared" si="60"/>
        <v>#N/A</v>
      </c>
      <c r="U600">
        <f t="shared" si="61"/>
        <v>2004</v>
      </c>
      <c r="W600" t="e">
        <v>#N/A</v>
      </c>
      <c r="X600">
        <v>1985</v>
      </c>
    </row>
    <row r="601" spans="8:24">
      <c r="H601">
        <v>599</v>
      </c>
      <c r="I601">
        <f>'Lab test'!AZ602</f>
        <v>1964</v>
      </c>
      <c r="J601">
        <f>IF('Lab test'!AU602&gt;0,'Lab test'!AU602,NA())</f>
        <v>0.71555018775255785</v>
      </c>
      <c r="K601">
        <f>IF('Lab test'!AT602&gt;0,'Lab test'!AT602,NA())</f>
        <v>0.28975667680445677</v>
      </c>
      <c r="L601">
        <f t="shared" si="56"/>
        <v>1</v>
      </c>
      <c r="M601">
        <f t="shared" si="57"/>
        <v>1964</v>
      </c>
      <c r="O601">
        <v>599</v>
      </c>
      <c r="P601">
        <v>2004</v>
      </c>
      <c r="Q601">
        <f t="shared" si="58"/>
        <v>0.92438271604938271</v>
      </c>
      <c r="R601" t="e">
        <f t="shared" si="59"/>
        <v>#N/A</v>
      </c>
      <c r="T601" t="e">
        <f t="shared" si="60"/>
        <v>#N/A</v>
      </c>
      <c r="U601">
        <f t="shared" si="61"/>
        <v>2004</v>
      </c>
      <c r="W601" t="e">
        <v>#N/A</v>
      </c>
      <c r="X601">
        <v>1985</v>
      </c>
    </row>
    <row r="602" spans="8:24">
      <c r="H602">
        <v>600</v>
      </c>
      <c r="I602">
        <f>'Lab test'!AZ603</f>
        <v>1964</v>
      </c>
      <c r="J602">
        <f>IF('Lab test'!AU603&gt;0,'Lab test'!AU603,NA())</f>
        <v>0.69463068194469424</v>
      </c>
      <c r="K602">
        <f>IF('Lab test'!AT603&gt;0,'Lab test'!AT603,NA())</f>
        <v>0.26763995929768397</v>
      </c>
      <c r="L602">
        <f t="shared" si="56"/>
        <v>1</v>
      </c>
      <c r="M602">
        <f t="shared" si="57"/>
        <v>1964</v>
      </c>
      <c r="O602">
        <v>600</v>
      </c>
      <c r="P602">
        <v>2004</v>
      </c>
      <c r="Q602">
        <f t="shared" si="58"/>
        <v>0.92592592592592593</v>
      </c>
      <c r="R602" t="e">
        <f t="shared" si="59"/>
        <v>#N/A</v>
      </c>
      <c r="T602" t="e">
        <f t="shared" si="60"/>
        <v>#N/A</v>
      </c>
      <c r="U602">
        <f t="shared" si="61"/>
        <v>2004</v>
      </c>
      <c r="W602" t="e">
        <v>#N/A</v>
      </c>
      <c r="X602">
        <v>1987</v>
      </c>
    </row>
    <row r="603" spans="8:24">
      <c r="H603">
        <v>601</v>
      </c>
      <c r="I603">
        <f>'Lab test'!AZ604</f>
        <v>1964</v>
      </c>
      <c r="J603">
        <f>IF('Lab test'!AU604&gt;0,'Lab test'!AU604,NA())</f>
        <v>0.62049036917671818</v>
      </c>
      <c r="K603">
        <f>IF('Lab test'!AT604&gt;0,'Lab test'!AT604,NA())</f>
        <v>0.24196501805912921</v>
      </c>
      <c r="L603">
        <f t="shared" si="56"/>
        <v>1</v>
      </c>
      <c r="M603">
        <f t="shared" si="57"/>
        <v>1964</v>
      </c>
      <c r="O603">
        <v>601</v>
      </c>
      <c r="P603">
        <v>2004</v>
      </c>
      <c r="Q603">
        <f t="shared" si="58"/>
        <v>0.92746913580246915</v>
      </c>
      <c r="R603" t="e">
        <f t="shared" si="59"/>
        <v>#N/A</v>
      </c>
      <c r="T603" t="e">
        <f t="shared" si="60"/>
        <v>#N/A</v>
      </c>
      <c r="U603">
        <f t="shared" si="61"/>
        <v>2004</v>
      </c>
      <c r="W603" t="e">
        <v>#N/A</v>
      </c>
      <c r="X603">
        <v>1987</v>
      </c>
    </row>
    <row r="604" spans="8:24">
      <c r="H604">
        <v>602</v>
      </c>
      <c r="I604">
        <f>'Lab test'!AZ605</f>
        <v>1959</v>
      </c>
      <c r="J604" t="e">
        <f>IF('Lab test'!AU605&gt;0,'Lab test'!AU605,NA())</f>
        <v>#N/A</v>
      </c>
      <c r="K604">
        <f>IF('Lab test'!AT605&gt;0,'Lab test'!AT605,NA())</f>
        <v>0.82483838488084604</v>
      </c>
      <c r="L604">
        <f t="shared" si="56"/>
        <v>1</v>
      </c>
      <c r="M604">
        <f t="shared" si="57"/>
        <v>1959</v>
      </c>
      <c r="O604">
        <v>602</v>
      </c>
      <c r="P604">
        <v>2004</v>
      </c>
      <c r="Q604">
        <f t="shared" si="58"/>
        <v>0.92901234567901236</v>
      </c>
      <c r="R604" t="e">
        <f t="shared" si="59"/>
        <v>#N/A</v>
      </c>
      <c r="T604" t="e">
        <f t="shared" si="60"/>
        <v>#N/A</v>
      </c>
      <c r="U604">
        <f t="shared" si="61"/>
        <v>2004</v>
      </c>
      <c r="W604" t="e">
        <v>#N/A</v>
      </c>
      <c r="X604">
        <v>1987</v>
      </c>
    </row>
    <row r="605" spans="8:24">
      <c r="H605">
        <v>603</v>
      </c>
      <c r="I605">
        <f>'Lab test'!AZ606</f>
        <v>1959</v>
      </c>
      <c r="J605" t="e">
        <f>IF('Lab test'!AU606&gt;0,'Lab test'!AU606,NA())</f>
        <v>#N/A</v>
      </c>
      <c r="K605">
        <f>IF('Lab test'!AT606&gt;0,'Lab test'!AT606,NA())</f>
        <v>0.86642738539875586</v>
      </c>
      <c r="L605">
        <f t="shared" si="56"/>
        <v>1</v>
      </c>
      <c r="M605">
        <f t="shared" si="57"/>
        <v>1959</v>
      </c>
      <c r="O605">
        <v>603</v>
      </c>
      <c r="P605">
        <v>2004</v>
      </c>
      <c r="Q605">
        <f t="shared" si="58"/>
        <v>0.93055555555555558</v>
      </c>
      <c r="R605" t="e">
        <f t="shared" si="59"/>
        <v>#N/A</v>
      </c>
      <c r="T605" t="e">
        <f t="shared" si="60"/>
        <v>#N/A</v>
      </c>
      <c r="U605">
        <f t="shared" si="61"/>
        <v>2004</v>
      </c>
      <c r="W605" t="e">
        <v>#N/A</v>
      </c>
      <c r="X605">
        <v>2004</v>
      </c>
    </row>
    <row r="606" spans="8:24">
      <c r="H606">
        <v>604</v>
      </c>
      <c r="I606">
        <f>'Lab test'!AZ607</f>
        <v>1959</v>
      </c>
      <c r="J606" t="e">
        <f>IF('Lab test'!AU607&gt;0,'Lab test'!AU607,NA())</f>
        <v>#N/A</v>
      </c>
      <c r="K606">
        <f>IF('Lab test'!AT607&gt;0,'Lab test'!AT607,NA())</f>
        <v>0.83683328755722586</v>
      </c>
      <c r="L606">
        <f t="shared" si="56"/>
        <v>1</v>
      </c>
      <c r="M606">
        <f t="shared" si="57"/>
        <v>1959</v>
      </c>
      <c r="O606">
        <v>604</v>
      </c>
      <c r="P606">
        <v>2004</v>
      </c>
      <c r="Q606">
        <f t="shared" si="58"/>
        <v>0.9320987654320988</v>
      </c>
      <c r="R606" t="e">
        <f t="shared" si="59"/>
        <v>#N/A</v>
      </c>
      <c r="T606" t="e">
        <f t="shared" si="60"/>
        <v>#N/A</v>
      </c>
      <c r="U606">
        <f t="shared" si="61"/>
        <v>2004</v>
      </c>
      <c r="W606" t="e">
        <v>#N/A</v>
      </c>
      <c r="X606">
        <v>2004</v>
      </c>
    </row>
    <row r="607" spans="8:24">
      <c r="H607">
        <v>605</v>
      </c>
      <c r="I607">
        <f>'Lab test'!AZ608</f>
        <v>1968</v>
      </c>
      <c r="J607" t="e">
        <f>IF('Lab test'!AU608&gt;0,'Lab test'!AU608,NA())</f>
        <v>#N/A</v>
      </c>
      <c r="K607" t="e">
        <f>IF('Lab test'!AT608&gt;0,'Lab test'!AT608,NA())</f>
        <v>#N/A</v>
      </c>
      <c r="L607" t="e">
        <f t="shared" si="56"/>
        <v>#N/A</v>
      </c>
      <c r="M607" t="e">
        <f t="shared" si="57"/>
        <v>#N/A</v>
      </c>
      <c r="O607">
        <v>605</v>
      </c>
      <c r="P607">
        <v>2004</v>
      </c>
      <c r="Q607">
        <f t="shared" si="58"/>
        <v>0.93364197530864201</v>
      </c>
      <c r="R607" t="e">
        <f t="shared" si="59"/>
        <v>#N/A</v>
      </c>
      <c r="T607" t="e">
        <f t="shared" si="60"/>
        <v>#N/A</v>
      </c>
      <c r="U607">
        <f t="shared" si="61"/>
        <v>2004</v>
      </c>
      <c r="W607" t="e">
        <v>#N/A</v>
      </c>
      <c r="X607">
        <v>2004</v>
      </c>
    </row>
    <row r="608" spans="8:24">
      <c r="H608">
        <v>606</v>
      </c>
      <c r="I608">
        <f>'Lab test'!AZ609</f>
        <v>1968</v>
      </c>
      <c r="J608" t="e">
        <f>IF('Lab test'!AU609&gt;0,'Lab test'!AU609,NA())</f>
        <v>#N/A</v>
      </c>
      <c r="K608" t="e">
        <f>IF('Lab test'!AT609&gt;0,'Lab test'!AT609,NA())</f>
        <v>#N/A</v>
      </c>
      <c r="L608" t="e">
        <f t="shared" si="56"/>
        <v>#N/A</v>
      </c>
      <c r="M608" t="e">
        <f t="shared" si="57"/>
        <v>#N/A</v>
      </c>
      <c r="O608">
        <v>606</v>
      </c>
      <c r="P608">
        <v>2004</v>
      </c>
      <c r="Q608">
        <f t="shared" si="58"/>
        <v>0.93518518518518523</v>
      </c>
      <c r="R608" t="e">
        <f t="shared" si="59"/>
        <v>#N/A</v>
      </c>
      <c r="T608" t="e">
        <f t="shared" si="60"/>
        <v>#N/A</v>
      </c>
      <c r="U608">
        <f t="shared" si="61"/>
        <v>2004</v>
      </c>
      <c r="W608" t="e">
        <v>#N/A</v>
      </c>
      <c r="X608">
        <v>2004</v>
      </c>
    </row>
    <row r="609" spans="8:24">
      <c r="H609">
        <v>607</v>
      </c>
      <c r="I609">
        <f>'Lab test'!AZ610</f>
        <v>1968</v>
      </c>
      <c r="J609" t="e">
        <f>IF('Lab test'!AU610&gt;0,'Lab test'!AU610,NA())</f>
        <v>#N/A</v>
      </c>
      <c r="K609" t="e">
        <f>IF('Lab test'!AT610&gt;0,'Lab test'!AT610,NA())</f>
        <v>#N/A</v>
      </c>
      <c r="L609" t="e">
        <f t="shared" si="56"/>
        <v>#N/A</v>
      </c>
      <c r="M609" t="e">
        <f t="shared" si="57"/>
        <v>#N/A</v>
      </c>
      <c r="O609">
        <v>607</v>
      </c>
      <c r="P609">
        <v>2004</v>
      </c>
      <c r="Q609">
        <f t="shared" si="58"/>
        <v>0.93672839506172845</v>
      </c>
      <c r="R609" t="e">
        <f t="shared" si="59"/>
        <v>#N/A</v>
      </c>
      <c r="T609" t="e">
        <f t="shared" si="60"/>
        <v>#N/A</v>
      </c>
      <c r="U609">
        <f t="shared" si="61"/>
        <v>2004</v>
      </c>
      <c r="W609" t="e">
        <v>#N/A</v>
      </c>
      <c r="X609">
        <v>2004</v>
      </c>
    </row>
    <row r="610" spans="8:24">
      <c r="H610">
        <v>608</v>
      </c>
      <c r="I610">
        <f>'Lab test'!AZ611</f>
        <v>1968</v>
      </c>
      <c r="J610" t="e">
        <f>IF('Lab test'!AU611&gt;0,'Lab test'!AU611,NA())</f>
        <v>#N/A</v>
      </c>
      <c r="K610" t="e">
        <f>IF('Lab test'!AT611&gt;0,'Lab test'!AT611,NA())</f>
        <v>#N/A</v>
      </c>
      <c r="L610" t="e">
        <f t="shared" si="56"/>
        <v>#N/A</v>
      </c>
      <c r="M610" t="e">
        <f t="shared" si="57"/>
        <v>#N/A</v>
      </c>
      <c r="O610">
        <v>608</v>
      </c>
      <c r="P610">
        <v>2004</v>
      </c>
      <c r="Q610">
        <f t="shared" si="58"/>
        <v>0.93827160493827155</v>
      </c>
      <c r="R610">
        <f t="shared" si="59"/>
        <v>0.93827160493827155</v>
      </c>
      <c r="T610">
        <f t="shared" si="60"/>
        <v>0.93827160493827155</v>
      </c>
      <c r="U610">
        <f t="shared" si="61"/>
        <v>2004</v>
      </c>
      <c r="W610" t="e">
        <v>#N/A</v>
      </c>
      <c r="X610">
        <v>2004</v>
      </c>
    </row>
    <row r="611" spans="8:24">
      <c r="H611">
        <v>609</v>
      </c>
      <c r="I611">
        <f>'Lab test'!AZ612</f>
        <v>1968</v>
      </c>
      <c r="J611" t="e">
        <f>IF('Lab test'!AU612&gt;0,'Lab test'!AU612,NA())</f>
        <v>#N/A</v>
      </c>
      <c r="K611">
        <f>IF('Lab test'!AT612&gt;0,'Lab test'!AT612,NA())</f>
        <v>0.66666666666666663</v>
      </c>
      <c r="L611">
        <f t="shared" si="56"/>
        <v>1</v>
      </c>
      <c r="M611">
        <f t="shared" si="57"/>
        <v>1968</v>
      </c>
      <c r="O611">
        <v>609</v>
      </c>
      <c r="P611">
        <v>2015</v>
      </c>
      <c r="Q611">
        <f t="shared" si="58"/>
        <v>0.93981481481481477</v>
      </c>
      <c r="R611">
        <f t="shared" si="59"/>
        <v>0.93981481481481477</v>
      </c>
      <c r="T611">
        <f t="shared" si="60"/>
        <v>0.93981481481481477</v>
      </c>
      <c r="U611">
        <f t="shared" si="61"/>
        <v>2015</v>
      </c>
      <c r="W611" t="e">
        <v>#N/A</v>
      </c>
      <c r="X611">
        <v>2004</v>
      </c>
    </row>
    <row r="612" spans="8:24">
      <c r="H612">
        <v>610</v>
      </c>
      <c r="I612">
        <f>'Lab test'!AZ613</f>
        <v>1968</v>
      </c>
      <c r="J612" t="e">
        <f>IF('Lab test'!AU613&gt;0,'Lab test'!AU613,NA())</f>
        <v>#N/A</v>
      </c>
      <c r="K612" t="e">
        <f>IF('Lab test'!AT613&gt;0,'Lab test'!AT613,NA())</f>
        <v>#N/A</v>
      </c>
      <c r="L612" t="e">
        <f t="shared" si="56"/>
        <v>#N/A</v>
      </c>
      <c r="M612" t="e">
        <f t="shared" si="57"/>
        <v>#N/A</v>
      </c>
      <c r="O612">
        <v>610</v>
      </c>
      <c r="P612">
        <v>2016</v>
      </c>
      <c r="Q612">
        <f t="shared" si="58"/>
        <v>0.94135802469135799</v>
      </c>
      <c r="R612" t="e">
        <f t="shared" si="59"/>
        <v>#N/A</v>
      </c>
      <c r="T612" t="e">
        <f t="shared" si="60"/>
        <v>#N/A</v>
      </c>
      <c r="U612">
        <f t="shared" si="61"/>
        <v>2016</v>
      </c>
      <c r="W612" t="e">
        <v>#N/A</v>
      </c>
      <c r="X612">
        <v>2004</v>
      </c>
    </row>
    <row r="613" spans="8:24">
      <c r="H613">
        <v>611</v>
      </c>
      <c r="I613">
        <f>'Lab test'!AZ614</f>
        <v>1968</v>
      </c>
      <c r="J613" t="e">
        <f>IF('Lab test'!AU614&gt;0,'Lab test'!AU614,NA())</f>
        <v>#N/A</v>
      </c>
      <c r="K613">
        <f>IF('Lab test'!AT614&gt;0,'Lab test'!AT614,NA())</f>
        <v>0.60810810810810823</v>
      </c>
      <c r="L613">
        <f t="shared" si="56"/>
        <v>1</v>
      </c>
      <c r="M613">
        <f t="shared" si="57"/>
        <v>1968</v>
      </c>
      <c r="O613">
        <v>611</v>
      </c>
      <c r="P613">
        <v>2016</v>
      </c>
      <c r="Q613">
        <f t="shared" si="58"/>
        <v>0.9429012345679012</v>
      </c>
      <c r="R613" t="e">
        <f t="shared" si="59"/>
        <v>#N/A</v>
      </c>
      <c r="T613" t="e">
        <f t="shared" si="60"/>
        <v>#N/A</v>
      </c>
      <c r="U613">
        <f t="shared" si="61"/>
        <v>2016</v>
      </c>
      <c r="W613" t="e">
        <v>#N/A</v>
      </c>
      <c r="X613">
        <v>2004</v>
      </c>
    </row>
    <row r="614" spans="8:24">
      <c r="H614">
        <v>612</v>
      </c>
      <c r="I614">
        <f>'Lab test'!AZ615</f>
        <v>1968</v>
      </c>
      <c r="J614" t="e">
        <f>IF('Lab test'!AU615&gt;0,'Lab test'!AU615,NA())</f>
        <v>#N/A</v>
      </c>
      <c r="K614">
        <f>IF('Lab test'!AT615&gt;0,'Lab test'!AT615,NA())</f>
        <v>0.62857142857142845</v>
      </c>
      <c r="L614">
        <f t="shared" si="56"/>
        <v>1</v>
      </c>
      <c r="M614">
        <f t="shared" si="57"/>
        <v>1968</v>
      </c>
      <c r="O614">
        <v>612</v>
      </c>
      <c r="P614">
        <v>2016</v>
      </c>
      <c r="Q614">
        <f t="shared" si="58"/>
        <v>0.94444444444444442</v>
      </c>
      <c r="R614" t="e">
        <f t="shared" si="59"/>
        <v>#N/A</v>
      </c>
      <c r="T614" t="e">
        <f t="shared" si="60"/>
        <v>#N/A</v>
      </c>
      <c r="U614">
        <f t="shared" si="61"/>
        <v>2016</v>
      </c>
      <c r="W614" t="e">
        <v>#N/A</v>
      </c>
      <c r="X614">
        <v>2004</v>
      </c>
    </row>
    <row r="615" spans="8:24">
      <c r="H615">
        <v>613</v>
      </c>
      <c r="I615">
        <f>'Lab test'!AZ616</f>
        <v>1968</v>
      </c>
      <c r="J615" t="e">
        <f>IF('Lab test'!AU616&gt;0,'Lab test'!AU616,NA())</f>
        <v>#N/A</v>
      </c>
      <c r="K615" t="e">
        <f>IF('Lab test'!AT616&gt;0,'Lab test'!AT616,NA())</f>
        <v>#N/A</v>
      </c>
      <c r="L615" t="e">
        <f t="shared" si="56"/>
        <v>#N/A</v>
      </c>
      <c r="M615" t="e">
        <f t="shared" si="57"/>
        <v>#N/A</v>
      </c>
      <c r="O615">
        <v>613</v>
      </c>
      <c r="P615">
        <v>2016</v>
      </c>
      <c r="Q615">
        <f t="shared" si="58"/>
        <v>0.94598765432098764</v>
      </c>
      <c r="R615" t="e">
        <f t="shared" si="59"/>
        <v>#N/A</v>
      </c>
      <c r="T615" t="e">
        <f t="shared" si="60"/>
        <v>#N/A</v>
      </c>
      <c r="U615">
        <f t="shared" si="61"/>
        <v>2016</v>
      </c>
      <c r="W615" t="e">
        <v>#N/A</v>
      </c>
      <c r="X615">
        <v>2004</v>
      </c>
    </row>
    <row r="616" spans="8:24">
      <c r="H616">
        <v>614</v>
      </c>
      <c r="I616">
        <f>'Lab test'!AZ617</f>
        <v>1951</v>
      </c>
      <c r="J616" t="e">
        <f>IF('Lab test'!AU617&gt;0,'Lab test'!AU617,NA())</f>
        <v>#N/A</v>
      </c>
      <c r="K616">
        <f>IF('Lab test'!AT617&gt;0,'Lab test'!AT617,NA())</f>
        <v>0.31987969738637678</v>
      </c>
      <c r="L616">
        <f t="shared" si="56"/>
        <v>1</v>
      </c>
      <c r="M616">
        <f t="shared" si="57"/>
        <v>1951</v>
      </c>
      <c r="O616">
        <v>614</v>
      </c>
      <c r="P616">
        <v>2016</v>
      </c>
      <c r="Q616">
        <f t="shared" si="58"/>
        <v>0.94753086419753085</v>
      </c>
      <c r="R616" t="e">
        <f t="shared" si="59"/>
        <v>#N/A</v>
      </c>
      <c r="T616" t="e">
        <f t="shared" si="60"/>
        <v>#N/A</v>
      </c>
      <c r="U616">
        <f t="shared" si="61"/>
        <v>2016</v>
      </c>
      <c r="W616" t="e">
        <v>#N/A</v>
      </c>
      <c r="X616">
        <v>2016</v>
      </c>
    </row>
    <row r="617" spans="8:24">
      <c r="H617">
        <v>615</v>
      </c>
      <c r="I617">
        <f>'Lab test'!AZ618</f>
        <v>1957</v>
      </c>
      <c r="J617" t="e">
        <f>IF('Lab test'!AU618&gt;0,'Lab test'!AU618,NA())</f>
        <v>#N/A</v>
      </c>
      <c r="K617">
        <f>IF('Lab test'!AT618&gt;0,'Lab test'!AT618,NA())</f>
        <v>0.2354486408964809</v>
      </c>
      <c r="L617">
        <f t="shared" si="56"/>
        <v>1</v>
      </c>
      <c r="M617">
        <f t="shared" si="57"/>
        <v>1957</v>
      </c>
      <c r="O617">
        <v>615</v>
      </c>
      <c r="P617">
        <v>2016</v>
      </c>
      <c r="Q617">
        <f t="shared" si="58"/>
        <v>0.94907407407407407</v>
      </c>
      <c r="R617" t="e">
        <f t="shared" si="59"/>
        <v>#N/A</v>
      </c>
      <c r="T617" t="e">
        <f t="shared" si="60"/>
        <v>#N/A</v>
      </c>
      <c r="U617">
        <f t="shared" si="61"/>
        <v>2016</v>
      </c>
      <c r="W617" t="e">
        <v>#N/A</v>
      </c>
      <c r="X617">
        <v>2016</v>
      </c>
    </row>
    <row r="618" spans="8:24">
      <c r="H618">
        <v>616</v>
      </c>
      <c r="I618">
        <f>'Lab test'!AZ619</f>
        <v>1957</v>
      </c>
      <c r="J618" t="e">
        <f>IF('Lab test'!AU619&gt;0,'Lab test'!AU619,NA())</f>
        <v>#N/A</v>
      </c>
      <c r="K618">
        <f>IF('Lab test'!AT619&gt;0,'Lab test'!AT619,NA())</f>
        <v>0.22525963538400162</v>
      </c>
      <c r="L618">
        <f t="shared" si="56"/>
        <v>1</v>
      </c>
      <c r="M618">
        <f t="shared" si="57"/>
        <v>1957</v>
      </c>
      <c r="O618">
        <v>616</v>
      </c>
      <c r="P618">
        <v>2016</v>
      </c>
      <c r="Q618">
        <f t="shared" si="58"/>
        <v>0.95061728395061729</v>
      </c>
      <c r="R618" t="e">
        <f t="shared" si="59"/>
        <v>#N/A</v>
      </c>
      <c r="T618" t="e">
        <f t="shared" si="60"/>
        <v>#N/A</v>
      </c>
      <c r="U618">
        <f t="shared" si="61"/>
        <v>2016</v>
      </c>
      <c r="W618" t="e">
        <v>#N/A</v>
      </c>
      <c r="X618">
        <v>2016</v>
      </c>
    </row>
    <row r="619" spans="8:24">
      <c r="H619">
        <v>617</v>
      </c>
      <c r="I619">
        <f>'Lab test'!AZ620</f>
        <v>1957</v>
      </c>
      <c r="J619" t="e">
        <f>IF('Lab test'!AU620&gt;0,'Lab test'!AU620,NA())</f>
        <v>#N/A</v>
      </c>
      <c r="K619">
        <f>IF('Lab test'!AT620&gt;0,'Lab test'!AT620,NA())</f>
        <v>0.35758763435205265</v>
      </c>
      <c r="L619">
        <f t="shared" si="56"/>
        <v>1</v>
      </c>
      <c r="M619">
        <f t="shared" si="57"/>
        <v>1957</v>
      </c>
      <c r="O619">
        <v>617</v>
      </c>
      <c r="P619">
        <v>2016</v>
      </c>
      <c r="Q619">
        <f t="shared" si="58"/>
        <v>0.9521604938271605</v>
      </c>
      <c r="R619" t="e">
        <f t="shared" si="59"/>
        <v>#N/A</v>
      </c>
      <c r="T619" t="e">
        <f t="shared" si="60"/>
        <v>#N/A</v>
      </c>
      <c r="U619">
        <f t="shared" si="61"/>
        <v>2016</v>
      </c>
      <c r="W619" t="e">
        <v>#N/A</v>
      </c>
      <c r="X619">
        <v>2016</v>
      </c>
    </row>
    <row r="620" spans="8:24">
      <c r="H620">
        <v>618</v>
      </c>
      <c r="I620">
        <f>'Lab test'!AZ621</f>
        <v>1957</v>
      </c>
      <c r="J620" t="e">
        <f>IF('Lab test'!AU621&gt;0,'Lab test'!AU621,NA())</f>
        <v>#N/A</v>
      </c>
      <c r="K620">
        <f>IF('Lab test'!AT621&gt;0,'Lab test'!AT621,NA())</f>
        <v>0.404363297365402</v>
      </c>
      <c r="L620">
        <f t="shared" si="56"/>
        <v>1</v>
      </c>
      <c r="M620">
        <f t="shared" si="57"/>
        <v>1957</v>
      </c>
      <c r="O620">
        <v>618</v>
      </c>
      <c r="P620">
        <v>2016</v>
      </c>
      <c r="Q620">
        <f t="shared" si="58"/>
        <v>0.95370370370370372</v>
      </c>
      <c r="R620" t="e">
        <f t="shared" si="59"/>
        <v>#N/A</v>
      </c>
      <c r="T620" t="e">
        <f t="shared" si="60"/>
        <v>#N/A</v>
      </c>
      <c r="U620">
        <f t="shared" si="61"/>
        <v>2016</v>
      </c>
      <c r="W620" t="e">
        <v>#N/A</v>
      </c>
      <c r="X620">
        <v>2016</v>
      </c>
    </row>
    <row r="621" spans="8:24">
      <c r="H621">
        <v>619</v>
      </c>
      <c r="I621">
        <f>'Lab test'!AZ622</f>
        <v>1957</v>
      </c>
      <c r="J621" t="e">
        <f>IF('Lab test'!AU622&gt;0,'Lab test'!AU622,NA())</f>
        <v>#N/A</v>
      </c>
      <c r="K621">
        <f>IF('Lab test'!AT622&gt;0,'Lab test'!AT622,NA())</f>
        <v>0.35697216510187701</v>
      </c>
      <c r="L621">
        <f t="shared" si="56"/>
        <v>1</v>
      </c>
      <c r="M621">
        <f t="shared" si="57"/>
        <v>1957</v>
      </c>
      <c r="O621">
        <v>619</v>
      </c>
      <c r="P621">
        <v>2016</v>
      </c>
      <c r="Q621">
        <f t="shared" si="58"/>
        <v>0.95524691358024694</v>
      </c>
      <c r="R621" t="e">
        <f t="shared" si="59"/>
        <v>#N/A</v>
      </c>
      <c r="T621" t="e">
        <f t="shared" si="60"/>
        <v>#N/A</v>
      </c>
      <c r="U621">
        <f t="shared" si="61"/>
        <v>2016</v>
      </c>
      <c r="W621" t="e">
        <v>#N/A</v>
      </c>
      <c r="X621">
        <v>2016</v>
      </c>
    </row>
    <row r="622" spans="8:24">
      <c r="H622">
        <v>620</v>
      </c>
      <c r="I622">
        <f>'Lab test'!AZ623</f>
        <v>1957</v>
      </c>
      <c r="J622" t="e">
        <f>IF('Lab test'!AU623&gt;0,'Lab test'!AU623,NA())</f>
        <v>#N/A</v>
      </c>
      <c r="K622">
        <f>IF('Lab test'!AT623&gt;0,'Lab test'!AT623,NA())</f>
        <v>0.41728815161909072</v>
      </c>
      <c r="L622">
        <f t="shared" si="56"/>
        <v>1</v>
      </c>
      <c r="M622">
        <f t="shared" si="57"/>
        <v>1957</v>
      </c>
      <c r="O622">
        <v>620</v>
      </c>
      <c r="P622">
        <v>2016</v>
      </c>
      <c r="Q622">
        <f t="shared" si="58"/>
        <v>0.95679012345679015</v>
      </c>
      <c r="R622" t="e">
        <f t="shared" si="59"/>
        <v>#N/A</v>
      </c>
      <c r="T622" t="e">
        <f t="shared" si="60"/>
        <v>#N/A</v>
      </c>
      <c r="U622">
        <f t="shared" si="61"/>
        <v>2016</v>
      </c>
      <c r="W622" t="e">
        <v>#N/A</v>
      </c>
      <c r="X622">
        <v>2016</v>
      </c>
    </row>
    <row r="623" spans="8:24">
      <c r="H623">
        <v>621</v>
      </c>
      <c r="I623">
        <f>'Lab test'!AZ624</f>
        <v>1957</v>
      </c>
      <c r="J623" t="e">
        <f>IF('Lab test'!AU624&gt;0,'Lab test'!AU624,NA())</f>
        <v>#N/A</v>
      </c>
      <c r="K623">
        <f>IF('Lab test'!AT624&gt;0,'Lab test'!AT624,NA())</f>
        <v>0.29098809145882698</v>
      </c>
      <c r="L623">
        <f t="shared" si="56"/>
        <v>1</v>
      </c>
      <c r="M623">
        <f t="shared" si="57"/>
        <v>1957</v>
      </c>
      <c r="O623">
        <v>621</v>
      </c>
      <c r="P623">
        <v>2016</v>
      </c>
      <c r="Q623">
        <f t="shared" si="58"/>
        <v>0.95833333333333337</v>
      </c>
      <c r="R623" t="e">
        <f t="shared" si="59"/>
        <v>#N/A</v>
      </c>
      <c r="T623" t="e">
        <f t="shared" si="60"/>
        <v>#N/A</v>
      </c>
      <c r="U623">
        <f t="shared" si="61"/>
        <v>2016</v>
      </c>
      <c r="W623" t="e">
        <v>#N/A</v>
      </c>
      <c r="X623">
        <v>2016</v>
      </c>
    </row>
    <row r="624" spans="8:24">
      <c r="H624">
        <v>622</v>
      </c>
      <c r="I624">
        <f>'Lab test'!AZ625</f>
        <v>1957</v>
      </c>
      <c r="J624" t="e">
        <f>IF('Lab test'!AU625&gt;0,'Lab test'!AU625,NA())</f>
        <v>#N/A</v>
      </c>
      <c r="K624">
        <f>IF('Lab test'!AT625&gt;0,'Lab test'!AT625,NA())</f>
        <v>0.27576099754119998</v>
      </c>
      <c r="L624">
        <f t="shared" si="56"/>
        <v>1</v>
      </c>
      <c r="M624">
        <f t="shared" si="57"/>
        <v>1957</v>
      </c>
      <c r="O624">
        <v>622</v>
      </c>
      <c r="P624">
        <v>2016</v>
      </c>
      <c r="Q624">
        <f t="shared" si="58"/>
        <v>0.95987654320987659</v>
      </c>
      <c r="R624">
        <f t="shared" si="59"/>
        <v>0.95987654320987659</v>
      </c>
      <c r="T624">
        <f t="shared" si="60"/>
        <v>0.95987654320987659</v>
      </c>
      <c r="U624">
        <f t="shared" si="61"/>
        <v>2016</v>
      </c>
      <c r="W624" t="e">
        <v>#N/A</v>
      </c>
      <c r="X624">
        <v>2016</v>
      </c>
    </row>
    <row r="625" spans="8:24">
      <c r="H625">
        <v>623</v>
      </c>
      <c r="I625">
        <f>'Lab test'!AZ626</f>
        <v>1957</v>
      </c>
      <c r="J625" t="e">
        <f>IF('Lab test'!AU626&gt;0,'Lab test'!AU626,NA())</f>
        <v>#N/A</v>
      </c>
      <c r="K625">
        <f>IF('Lab test'!AT626&gt;0,'Lab test'!AT626,NA())</f>
        <v>0.19678090601240975</v>
      </c>
      <c r="L625">
        <f t="shared" si="56"/>
        <v>1</v>
      </c>
      <c r="M625">
        <f t="shared" si="57"/>
        <v>1957</v>
      </c>
      <c r="O625">
        <v>623</v>
      </c>
      <c r="P625">
        <v>2017</v>
      </c>
      <c r="Q625">
        <f t="shared" si="58"/>
        <v>0.9614197530864198</v>
      </c>
      <c r="R625" t="e">
        <f t="shared" si="59"/>
        <v>#N/A</v>
      </c>
      <c r="T625" t="e">
        <f t="shared" si="60"/>
        <v>#N/A</v>
      </c>
      <c r="U625">
        <f t="shared" si="61"/>
        <v>2017</v>
      </c>
      <c r="W625" t="e">
        <v>#N/A</v>
      </c>
      <c r="X625">
        <v>2016</v>
      </c>
    </row>
    <row r="626" spans="8:24">
      <c r="H626">
        <v>624</v>
      </c>
      <c r="I626">
        <f>'Lab test'!AZ627</f>
        <v>1957</v>
      </c>
      <c r="J626" t="e">
        <f>IF('Lab test'!AU627&gt;0,'Lab test'!AU627,NA())</f>
        <v>#N/A</v>
      </c>
      <c r="K626">
        <f>IF('Lab test'!AT627&gt;0,'Lab test'!AT627,NA())</f>
        <v>0.19209564634544757</v>
      </c>
      <c r="L626">
        <f t="shared" si="56"/>
        <v>1</v>
      </c>
      <c r="M626">
        <f t="shared" si="57"/>
        <v>1957</v>
      </c>
      <c r="O626">
        <v>624</v>
      </c>
      <c r="P626">
        <v>2017</v>
      </c>
      <c r="Q626">
        <f t="shared" si="58"/>
        <v>0.96296296296296291</v>
      </c>
      <c r="R626" t="e">
        <f t="shared" si="59"/>
        <v>#N/A</v>
      </c>
      <c r="T626" t="e">
        <f t="shared" si="60"/>
        <v>#N/A</v>
      </c>
      <c r="U626">
        <f t="shared" si="61"/>
        <v>2017</v>
      </c>
      <c r="W626" t="e">
        <v>#N/A</v>
      </c>
      <c r="X626">
        <v>2016</v>
      </c>
    </row>
    <row r="627" spans="8:24">
      <c r="H627">
        <v>625</v>
      </c>
      <c r="I627">
        <f>'Lab test'!AZ628</f>
        <v>1957</v>
      </c>
      <c r="J627" t="e">
        <f>IF('Lab test'!AU628&gt;0,'Lab test'!AU628,NA())</f>
        <v>#N/A</v>
      </c>
      <c r="K627">
        <f>IF('Lab test'!AT628&gt;0,'Lab test'!AT628,NA())</f>
        <v>0.18356178052348082</v>
      </c>
      <c r="L627">
        <f t="shared" si="56"/>
        <v>1</v>
      </c>
      <c r="M627">
        <f t="shared" si="57"/>
        <v>1957</v>
      </c>
      <c r="O627">
        <v>625</v>
      </c>
      <c r="P627">
        <v>2017</v>
      </c>
      <c r="Q627">
        <f t="shared" si="58"/>
        <v>0.96450617283950613</v>
      </c>
      <c r="R627" t="e">
        <f t="shared" si="59"/>
        <v>#N/A</v>
      </c>
      <c r="T627" t="e">
        <f t="shared" si="60"/>
        <v>#N/A</v>
      </c>
      <c r="U627">
        <f t="shared" si="61"/>
        <v>2017</v>
      </c>
      <c r="W627" t="e">
        <v>#N/A</v>
      </c>
      <c r="X627">
        <v>2016</v>
      </c>
    </row>
    <row r="628" spans="8:24">
      <c r="H628">
        <v>626</v>
      </c>
      <c r="I628">
        <f>'Lab test'!AZ629</f>
        <v>1957</v>
      </c>
      <c r="J628" t="e">
        <f>IF('Lab test'!AU629&gt;0,'Lab test'!AU629,NA())</f>
        <v>#N/A</v>
      </c>
      <c r="K628">
        <f>IF('Lab test'!AT629&gt;0,'Lab test'!AT629,NA())</f>
        <v>0.18724305597609392</v>
      </c>
      <c r="L628">
        <f t="shared" si="56"/>
        <v>1</v>
      </c>
      <c r="M628">
        <f t="shared" si="57"/>
        <v>1957</v>
      </c>
      <c r="O628">
        <v>626</v>
      </c>
      <c r="P628">
        <v>2017</v>
      </c>
      <c r="Q628">
        <f t="shared" si="58"/>
        <v>0.96604938271604934</v>
      </c>
      <c r="R628" t="e">
        <f t="shared" si="59"/>
        <v>#N/A</v>
      </c>
      <c r="T628" t="e">
        <f t="shared" si="60"/>
        <v>#N/A</v>
      </c>
      <c r="U628">
        <f t="shared" si="61"/>
        <v>2017</v>
      </c>
      <c r="W628" t="e">
        <v>#N/A</v>
      </c>
      <c r="X628">
        <v>2017</v>
      </c>
    </row>
    <row r="629" spans="8:24">
      <c r="H629">
        <v>627</v>
      </c>
      <c r="I629">
        <f>'Lab test'!AZ630</f>
        <v>1957</v>
      </c>
      <c r="J629" t="e">
        <f>IF('Lab test'!AU630&gt;0,'Lab test'!AU630,NA())</f>
        <v>#N/A</v>
      </c>
      <c r="K629">
        <f>IF('Lab test'!AT630&gt;0,'Lab test'!AT630,NA())</f>
        <v>0.20916337798938103</v>
      </c>
      <c r="L629">
        <f t="shared" si="56"/>
        <v>1</v>
      </c>
      <c r="M629">
        <f t="shared" si="57"/>
        <v>1957</v>
      </c>
      <c r="O629">
        <v>627</v>
      </c>
      <c r="P629">
        <v>2017</v>
      </c>
      <c r="Q629">
        <f t="shared" si="58"/>
        <v>0.96759259259259256</v>
      </c>
      <c r="R629" t="e">
        <f t="shared" si="59"/>
        <v>#N/A</v>
      </c>
      <c r="T629" t="e">
        <f t="shared" si="60"/>
        <v>#N/A</v>
      </c>
      <c r="U629">
        <f t="shared" si="61"/>
        <v>2017</v>
      </c>
      <c r="W629" t="e">
        <v>#N/A</v>
      </c>
      <c r="X629">
        <v>2017</v>
      </c>
    </row>
    <row r="630" spans="8:24">
      <c r="H630">
        <v>628</v>
      </c>
      <c r="I630">
        <f>'Lab test'!AZ631</f>
        <v>1957</v>
      </c>
      <c r="J630" t="e">
        <f>IF('Lab test'!AU631&gt;0,'Lab test'!AU631,NA())</f>
        <v>#N/A</v>
      </c>
      <c r="K630">
        <f>IF('Lab test'!AT631&gt;0,'Lab test'!AT631,NA())</f>
        <v>0.20447811832241894</v>
      </c>
      <c r="L630">
        <f t="shared" si="56"/>
        <v>1</v>
      </c>
      <c r="M630">
        <f t="shared" si="57"/>
        <v>1957</v>
      </c>
      <c r="O630">
        <v>628</v>
      </c>
      <c r="P630">
        <v>2017</v>
      </c>
      <c r="Q630">
        <f t="shared" si="58"/>
        <v>0.96913580246913578</v>
      </c>
      <c r="R630" t="e">
        <f t="shared" si="59"/>
        <v>#N/A</v>
      </c>
      <c r="T630" t="e">
        <f t="shared" si="60"/>
        <v>#N/A</v>
      </c>
      <c r="U630">
        <f t="shared" si="61"/>
        <v>2017</v>
      </c>
      <c r="W630" t="e">
        <v>#N/A</v>
      </c>
      <c r="X630">
        <v>2017</v>
      </c>
    </row>
    <row r="631" spans="8:24">
      <c r="H631">
        <v>629</v>
      </c>
      <c r="I631">
        <f>'Lab test'!AZ632</f>
        <v>1950</v>
      </c>
      <c r="J631">
        <f>IF('Lab test'!AU632&gt;0,'Lab test'!AU632,NA())</f>
        <v>0.65910423448974254</v>
      </c>
      <c r="K631">
        <f>IF('Lab test'!AT632&gt;0,'Lab test'!AT632,NA())</f>
        <v>0.40272862112889729</v>
      </c>
      <c r="L631">
        <f t="shared" si="56"/>
        <v>1</v>
      </c>
      <c r="M631">
        <f t="shared" si="57"/>
        <v>1950</v>
      </c>
      <c r="O631">
        <v>629</v>
      </c>
      <c r="P631">
        <v>2017</v>
      </c>
      <c r="Q631">
        <f t="shared" si="58"/>
        <v>0.97067901234567899</v>
      </c>
      <c r="R631" t="e">
        <f t="shared" si="59"/>
        <v>#N/A</v>
      </c>
      <c r="T631" t="e">
        <f t="shared" si="60"/>
        <v>#N/A</v>
      </c>
      <c r="U631">
        <f t="shared" si="61"/>
        <v>2017</v>
      </c>
      <c r="W631" t="e">
        <v>#N/A</v>
      </c>
      <c r="X631">
        <v>2017</v>
      </c>
    </row>
    <row r="632" spans="8:24">
      <c r="H632">
        <v>630</v>
      </c>
      <c r="I632">
        <f>'Lab test'!AZ633</f>
        <v>1950</v>
      </c>
      <c r="J632">
        <f>IF('Lab test'!AU633&gt;0,'Lab test'!AU633,NA())</f>
        <v>0.73164020018185083</v>
      </c>
      <c r="K632">
        <f>IF('Lab test'!AT633&gt;0,'Lab test'!AT633,NA())</f>
        <v>0.44716376228697385</v>
      </c>
      <c r="L632">
        <f t="shared" si="56"/>
        <v>1</v>
      </c>
      <c r="M632">
        <f t="shared" si="57"/>
        <v>1950</v>
      </c>
      <c r="O632">
        <v>630</v>
      </c>
      <c r="P632">
        <v>2017</v>
      </c>
      <c r="Q632">
        <f t="shared" si="58"/>
        <v>0.97222222222222221</v>
      </c>
      <c r="R632" t="e">
        <f t="shared" si="59"/>
        <v>#N/A</v>
      </c>
      <c r="T632" t="e">
        <f t="shared" si="60"/>
        <v>#N/A</v>
      </c>
      <c r="U632">
        <f t="shared" si="61"/>
        <v>2017</v>
      </c>
      <c r="W632" t="e">
        <v>#N/A</v>
      </c>
      <c r="X632">
        <v>2017</v>
      </c>
    </row>
    <row r="633" spans="8:24">
      <c r="H633">
        <v>631</v>
      </c>
      <c r="I633">
        <f>'Lab test'!AZ634</f>
        <v>1950</v>
      </c>
      <c r="J633">
        <f>IF('Lab test'!AU634&gt;0,'Lab test'!AU634,NA())</f>
        <v>0.74197367799895397</v>
      </c>
      <c r="K633">
        <f>IF('Lab test'!AT634&gt;0,'Lab test'!AT634,NA())</f>
        <v>0.45820198776676696</v>
      </c>
      <c r="L633">
        <f t="shared" si="56"/>
        <v>1</v>
      </c>
      <c r="M633">
        <f t="shared" si="57"/>
        <v>1950</v>
      </c>
      <c r="O633">
        <v>631</v>
      </c>
      <c r="P633">
        <v>2017</v>
      </c>
      <c r="Q633">
        <f t="shared" si="58"/>
        <v>0.97376543209876543</v>
      </c>
      <c r="R633" t="e">
        <f t="shared" si="59"/>
        <v>#N/A</v>
      </c>
      <c r="T633" t="e">
        <f t="shared" si="60"/>
        <v>#N/A</v>
      </c>
      <c r="U633">
        <f t="shared" si="61"/>
        <v>2017</v>
      </c>
      <c r="W633" t="e">
        <v>#N/A</v>
      </c>
      <c r="X633">
        <v>2017</v>
      </c>
    </row>
    <row r="634" spans="8:24">
      <c r="H634">
        <v>632</v>
      </c>
      <c r="I634">
        <f>'Lab test'!AZ635</f>
        <v>1950</v>
      </c>
      <c r="J634">
        <f>IF('Lab test'!AU635&gt;0,'Lab test'!AU635,NA())</f>
        <v>0.59943327954300518</v>
      </c>
      <c r="K634">
        <f>IF('Lab test'!AT635&gt;0,'Lab test'!AT635,NA())</f>
        <v>0.56581817779648536</v>
      </c>
      <c r="L634">
        <f t="shared" si="56"/>
        <v>1</v>
      </c>
      <c r="M634">
        <f t="shared" si="57"/>
        <v>1950</v>
      </c>
      <c r="O634">
        <v>632</v>
      </c>
      <c r="P634">
        <v>2017</v>
      </c>
      <c r="Q634">
        <f t="shared" si="58"/>
        <v>0.97530864197530864</v>
      </c>
      <c r="R634" t="e">
        <f t="shared" si="59"/>
        <v>#N/A</v>
      </c>
      <c r="T634" t="e">
        <f t="shared" si="60"/>
        <v>#N/A</v>
      </c>
      <c r="U634">
        <f t="shared" si="61"/>
        <v>2017</v>
      </c>
      <c r="W634" t="e">
        <v>#N/A</v>
      </c>
      <c r="X634">
        <v>2017</v>
      </c>
    </row>
    <row r="635" spans="8:24">
      <c r="H635">
        <v>633</v>
      </c>
      <c r="I635">
        <f>'Lab test'!AZ636</f>
        <v>1950</v>
      </c>
      <c r="J635">
        <f>IF('Lab test'!AU636&gt;0,'Lab test'!AU636,NA())</f>
        <v>0.47452014010224142</v>
      </c>
      <c r="K635">
        <f>IF('Lab test'!AT636&gt;0,'Lab test'!AT636,NA())</f>
        <v>0.57456114089363219</v>
      </c>
      <c r="L635">
        <f t="shared" si="56"/>
        <v>1</v>
      </c>
      <c r="M635">
        <f t="shared" si="57"/>
        <v>1950</v>
      </c>
      <c r="O635">
        <v>633</v>
      </c>
      <c r="P635">
        <v>2017</v>
      </c>
      <c r="Q635">
        <f t="shared" si="58"/>
        <v>0.97685185185185186</v>
      </c>
      <c r="R635" t="e">
        <f t="shared" si="59"/>
        <v>#N/A</v>
      </c>
      <c r="T635" t="e">
        <f t="shared" si="60"/>
        <v>#N/A</v>
      </c>
      <c r="U635">
        <f t="shared" si="61"/>
        <v>2017</v>
      </c>
      <c r="W635" t="e">
        <v>#N/A</v>
      </c>
      <c r="X635">
        <v>2017</v>
      </c>
    </row>
    <row r="636" spans="8:24">
      <c r="H636">
        <v>634</v>
      </c>
      <c r="I636">
        <f>'Lab test'!AZ637</f>
        <v>1950</v>
      </c>
      <c r="J636">
        <f>IF('Lab test'!AU637&gt;0,'Lab test'!AU637,NA())</f>
        <v>0.41147872227061655</v>
      </c>
      <c r="K636">
        <f>IF('Lab test'!AT637&gt;0,'Lab test'!AT637,NA())</f>
        <v>0.61089266838519762</v>
      </c>
      <c r="L636">
        <f t="shared" si="56"/>
        <v>1</v>
      </c>
      <c r="M636">
        <f t="shared" si="57"/>
        <v>1950</v>
      </c>
      <c r="O636">
        <v>634</v>
      </c>
      <c r="P636">
        <v>2017</v>
      </c>
      <c r="Q636">
        <f t="shared" si="58"/>
        <v>0.97839506172839508</v>
      </c>
      <c r="R636">
        <f t="shared" si="59"/>
        <v>0.97839506172839508</v>
      </c>
      <c r="T636">
        <f t="shared" si="60"/>
        <v>0.97839506172839508</v>
      </c>
      <c r="U636">
        <f t="shared" si="61"/>
        <v>2017</v>
      </c>
      <c r="W636" t="e">
        <v>#N/A</v>
      </c>
      <c r="X636">
        <v>2017</v>
      </c>
    </row>
    <row r="637" spans="8:24">
      <c r="H637">
        <v>635</v>
      </c>
      <c r="I637">
        <f>'Lab test'!AZ638</f>
        <v>1950</v>
      </c>
      <c r="J637">
        <f>IF('Lab test'!AU638&gt;0,'Lab test'!AU638,NA())</f>
        <v>0.43648770803450215</v>
      </c>
      <c r="K637">
        <f>IF('Lab test'!AT638&gt;0,'Lab test'!AT638,NA())</f>
        <v>0.69201826417221346</v>
      </c>
      <c r="L637">
        <f t="shared" si="56"/>
        <v>1</v>
      </c>
      <c r="M637">
        <f t="shared" si="57"/>
        <v>1950</v>
      </c>
      <c r="O637">
        <v>635</v>
      </c>
      <c r="P637">
        <v>2019</v>
      </c>
      <c r="Q637">
        <f t="shared" si="58"/>
        <v>0.97993827160493829</v>
      </c>
      <c r="R637" t="e">
        <f t="shared" si="59"/>
        <v>#N/A</v>
      </c>
      <c r="T637" t="e">
        <f t="shared" si="60"/>
        <v>#N/A</v>
      </c>
      <c r="U637">
        <f t="shared" si="61"/>
        <v>2019</v>
      </c>
      <c r="W637" t="e">
        <v>#N/A</v>
      </c>
      <c r="X637">
        <v>2017</v>
      </c>
    </row>
    <row r="638" spans="8:24">
      <c r="H638">
        <v>636</v>
      </c>
      <c r="I638">
        <f>'Lab test'!AZ639</f>
        <v>1950</v>
      </c>
      <c r="J638">
        <f>IF('Lab test'!AU639&gt;0,'Lab test'!AU639,NA())</f>
        <v>0.42205831742746502</v>
      </c>
      <c r="K638">
        <f>IF('Lab test'!AT639&gt;0,'Lab test'!AT639,NA())</f>
        <v>0.62659942736446694</v>
      </c>
      <c r="L638">
        <f t="shared" si="56"/>
        <v>1</v>
      </c>
      <c r="M638">
        <f t="shared" si="57"/>
        <v>1950</v>
      </c>
      <c r="O638">
        <v>636</v>
      </c>
      <c r="P638">
        <v>2019</v>
      </c>
      <c r="Q638">
        <f t="shared" si="58"/>
        <v>0.98148148148148151</v>
      </c>
      <c r="R638" t="e">
        <f t="shared" si="59"/>
        <v>#N/A</v>
      </c>
      <c r="T638" t="e">
        <f t="shared" si="60"/>
        <v>#N/A</v>
      </c>
      <c r="U638">
        <f t="shared" si="61"/>
        <v>2019</v>
      </c>
      <c r="W638" t="e">
        <v>#N/A</v>
      </c>
      <c r="X638">
        <v>2017</v>
      </c>
    </row>
    <row r="639" spans="8:24">
      <c r="H639">
        <v>637</v>
      </c>
      <c r="I639">
        <f>'Lab test'!AZ640</f>
        <v>1950</v>
      </c>
      <c r="J639">
        <f>IF('Lab test'!AU640&gt;0,'Lab test'!AU640,NA())</f>
        <v>0.13837693892294989</v>
      </c>
      <c r="K639">
        <f>IF('Lab test'!AT640&gt;0,'Lab test'!AT640,NA())</f>
        <v>0.3995127374123762</v>
      </c>
      <c r="L639">
        <f t="shared" si="56"/>
        <v>1</v>
      </c>
      <c r="M639">
        <f t="shared" si="57"/>
        <v>1950</v>
      </c>
      <c r="O639">
        <v>637</v>
      </c>
      <c r="P639">
        <v>2019</v>
      </c>
      <c r="Q639">
        <f t="shared" si="58"/>
        <v>0.98302469135802473</v>
      </c>
      <c r="R639" t="e">
        <f t="shared" si="59"/>
        <v>#N/A</v>
      </c>
      <c r="T639" t="e">
        <f t="shared" si="60"/>
        <v>#N/A</v>
      </c>
      <c r="U639">
        <f t="shared" si="61"/>
        <v>2019</v>
      </c>
      <c r="W639" t="e">
        <v>#N/A</v>
      </c>
      <c r="X639">
        <v>2019</v>
      </c>
    </row>
    <row r="640" spans="8:24">
      <c r="H640">
        <v>638</v>
      </c>
      <c r="I640">
        <f>'Lab test'!AZ641</f>
        <v>1950</v>
      </c>
      <c r="J640">
        <f>IF('Lab test'!AU641&gt;0,'Lab test'!AU641,NA())</f>
        <v>7.4429044293290128E-2</v>
      </c>
      <c r="K640">
        <f>IF('Lab test'!AT641&gt;0,'Lab test'!AT641,NA())</f>
        <v>0.26710358938624168</v>
      </c>
      <c r="L640">
        <f t="shared" si="56"/>
        <v>1</v>
      </c>
      <c r="M640">
        <f t="shared" si="57"/>
        <v>1950</v>
      </c>
      <c r="O640">
        <v>638</v>
      </c>
      <c r="P640">
        <v>2019</v>
      </c>
      <c r="Q640">
        <f t="shared" si="58"/>
        <v>0.98456790123456794</v>
      </c>
      <c r="R640" t="e">
        <f t="shared" si="59"/>
        <v>#N/A</v>
      </c>
      <c r="T640" t="e">
        <f t="shared" si="60"/>
        <v>#N/A</v>
      </c>
      <c r="U640">
        <f t="shared" si="61"/>
        <v>2019</v>
      </c>
      <c r="W640" t="e">
        <v>#N/A</v>
      </c>
      <c r="X640">
        <v>2019</v>
      </c>
    </row>
    <row r="641" spans="8:24">
      <c r="H641">
        <v>639</v>
      </c>
      <c r="I641">
        <f>'Lab test'!AZ642</f>
        <v>1950</v>
      </c>
      <c r="J641">
        <f>IF('Lab test'!AU642&gt;0,'Lab test'!AU642,NA())</f>
        <v>4.648752281897358E-2</v>
      </c>
      <c r="K641">
        <f>IF('Lab test'!AT642&gt;0,'Lab test'!AT642,NA())</f>
        <v>0.17760214195967022</v>
      </c>
      <c r="L641">
        <f t="shared" si="56"/>
        <v>1</v>
      </c>
      <c r="M641">
        <f t="shared" si="57"/>
        <v>1950</v>
      </c>
      <c r="O641">
        <v>639</v>
      </c>
      <c r="P641">
        <v>2019</v>
      </c>
      <c r="Q641">
        <f t="shared" si="58"/>
        <v>0.98611111111111116</v>
      </c>
      <c r="R641" t="e">
        <f t="shared" si="59"/>
        <v>#N/A</v>
      </c>
      <c r="T641" t="e">
        <f t="shared" si="60"/>
        <v>#N/A</v>
      </c>
      <c r="U641">
        <f t="shared" si="61"/>
        <v>2019</v>
      </c>
      <c r="W641" t="e">
        <v>#N/A</v>
      </c>
      <c r="X641">
        <v>2019</v>
      </c>
    </row>
    <row r="642" spans="8:24">
      <c r="H642">
        <v>640</v>
      </c>
      <c r="I642">
        <f>'Lab test'!AZ643</f>
        <v>1950</v>
      </c>
      <c r="J642">
        <f>IF('Lab test'!AU643&gt;0,'Lab test'!AU643,NA())</f>
        <v>1.1842241731176193</v>
      </c>
      <c r="K642">
        <f>IF('Lab test'!AT643&gt;0,'Lab test'!AT643,NA())</f>
        <v>0.13917617870188029</v>
      </c>
      <c r="L642">
        <f t="shared" si="56"/>
        <v>1</v>
      </c>
      <c r="M642">
        <f t="shared" si="57"/>
        <v>1950</v>
      </c>
      <c r="O642">
        <v>640</v>
      </c>
      <c r="P642">
        <v>2019</v>
      </c>
      <c r="Q642">
        <f t="shared" si="58"/>
        <v>0.98765432098765427</v>
      </c>
      <c r="R642" t="e">
        <f t="shared" si="59"/>
        <v>#N/A</v>
      </c>
      <c r="T642" t="e">
        <f t="shared" si="60"/>
        <v>#N/A</v>
      </c>
      <c r="U642">
        <f t="shared" si="61"/>
        <v>2019</v>
      </c>
      <c r="W642" t="e">
        <v>#N/A</v>
      </c>
      <c r="X642">
        <v>2019</v>
      </c>
    </row>
    <row r="643" spans="8:24">
      <c r="H643">
        <v>641</v>
      </c>
      <c r="I643">
        <f>'Lab test'!AZ644</f>
        <v>1950</v>
      </c>
      <c r="J643">
        <f>IF('Lab test'!AU644&gt;0,'Lab test'!AU644,NA())</f>
        <v>1.163077312883376</v>
      </c>
      <c r="K643">
        <f>IF('Lab test'!AT644&gt;0,'Lab test'!AT644,NA())</f>
        <v>0.13669088979648955</v>
      </c>
      <c r="L643">
        <f t="shared" si="56"/>
        <v>1</v>
      </c>
      <c r="M643">
        <f t="shared" si="57"/>
        <v>1950</v>
      </c>
      <c r="O643">
        <v>641</v>
      </c>
      <c r="P643">
        <v>2019</v>
      </c>
      <c r="Q643">
        <f t="shared" si="58"/>
        <v>0.98919753086419748</v>
      </c>
      <c r="R643" t="e">
        <f t="shared" si="59"/>
        <v>#N/A</v>
      </c>
      <c r="T643" t="e">
        <f t="shared" si="60"/>
        <v>#N/A</v>
      </c>
      <c r="U643">
        <f t="shared" si="61"/>
        <v>2019</v>
      </c>
      <c r="W643" t="e">
        <v>#N/A</v>
      </c>
      <c r="X643">
        <v>2019</v>
      </c>
    </row>
    <row r="644" spans="8:24">
      <c r="H644">
        <v>642</v>
      </c>
      <c r="I644">
        <f>'Lab test'!AZ645</f>
        <v>1950</v>
      </c>
      <c r="J644">
        <f>IF('Lab test'!AU645&gt;0,'Lab test'!AU645,NA())</f>
        <v>1.1654269640205142</v>
      </c>
      <c r="K644">
        <f>IF('Lab test'!AT645&gt;0,'Lab test'!AT645,NA())</f>
        <v>0.13696703300819965</v>
      </c>
      <c r="L644">
        <f t="shared" ref="L644:L672" si="62">IF(OR(ISNUMBER(J644),ISNUMBER(K644)),1,NA())</f>
        <v>1</v>
      </c>
      <c r="M644">
        <f t="shared" ref="M644:M672" si="63">IF(ISNUMBER(L644),I644,NA())</f>
        <v>1950</v>
      </c>
      <c r="O644">
        <v>642</v>
      </c>
      <c r="P644">
        <v>2019</v>
      </c>
      <c r="Q644">
        <f t="shared" ref="Q644:Q650" si="64">O644/COUNT($O$3:$O$650)</f>
        <v>0.9907407407407407</v>
      </c>
      <c r="R644">
        <f t="shared" ref="R644:R671" si="65">IF(P644=P645,NA(),Q644)</f>
        <v>0.9907407407407407</v>
      </c>
      <c r="T644">
        <f t="shared" ref="T644:T672" si="66">R644</f>
        <v>0.9907407407407407</v>
      </c>
      <c r="U644">
        <f t="shared" ref="U644:U672" si="67">P644</f>
        <v>2019</v>
      </c>
      <c r="W644" t="e">
        <v>#N/A</v>
      </c>
      <c r="X644">
        <v>2019</v>
      </c>
    </row>
    <row r="645" spans="8:24">
      <c r="H645">
        <v>643</v>
      </c>
      <c r="I645">
        <f>'Lab test'!AZ646</f>
        <v>1950</v>
      </c>
      <c r="J645">
        <f>IF('Lab test'!AU646&gt;0,'Lab test'!AU646,NA())</f>
        <v>1.1202160333442182</v>
      </c>
      <c r="K645">
        <f>IF('Lab test'!AT646&gt;0,'Lab test'!AT646,NA())</f>
        <v>0.17154795035287182</v>
      </c>
      <c r="L645">
        <f t="shared" si="62"/>
        <v>1</v>
      </c>
      <c r="M645">
        <f t="shared" si="63"/>
        <v>1950</v>
      </c>
      <c r="O645">
        <v>643</v>
      </c>
      <c r="P645">
        <v>2020</v>
      </c>
      <c r="Q645">
        <f t="shared" si="64"/>
        <v>0.99228395061728392</v>
      </c>
      <c r="R645" t="e">
        <f t="shared" si="65"/>
        <v>#N/A</v>
      </c>
      <c r="T645" t="e">
        <f t="shared" si="66"/>
        <v>#N/A</v>
      </c>
      <c r="U645">
        <f t="shared" si="67"/>
        <v>2020</v>
      </c>
      <c r="W645" t="e">
        <v>#N/A</v>
      </c>
      <c r="X645">
        <v>2019</v>
      </c>
    </row>
    <row r="646" spans="8:24">
      <c r="H646">
        <v>644</v>
      </c>
      <c r="I646">
        <f>'Lab test'!AZ647</f>
        <v>1950</v>
      </c>
      <c r="J646">
        <f>IF('Lab test'!AU647&gt;0,'Lab test'!AU647,NA())</f>
        <v>1.1227301564840846</v>
      </c>
      <c r="K646">
        <f>IF('Lab test'!AT647&gt;0,'Lab test'!AT647,NA())</f>
        <v>0.20636784683510007</v>
      </c>
      <c r="L646">
        <f t="shared" si="62"/>
        <v>1</v>
      </c>
      <c r="M646">
        <f t="shared" si="63"/>
        <v>1950</v>
      </c>
      <c r="O646">
        <v>644</v>
      </c>
      <c r="P646">
        <v>2020</v>
      </c>
      <c r="Q646">
        <f t="shared" si="64"/>
        <v>0.99382716049382713</v>
      </c>
      <c r="R646" t="e">
        <f t="shared" si="65"/>
        <v>#N/A</v>
      </c>
      <c r="T646" t="e">
        <f t="shared" si="66"/>
        <v>#N/A</v>
      </c>
      <c r="U646">
        <f t="shared" si="67"/>
        <v>2020</v>
      </c>
      <c r="W646" t="e">
        <v>#N/A</v>
      </c>
      <c r="X646">
        <v>2020</v>
      </c>
    </row>
    <row r="647" spans="8:24">
      <c r="H647">
        <v>645</v>
      </c>
      <c r="I647">
        <f>'Lab test'!AZ648</f>
        <v>1950</v>
      </c>
      <c r="J647">
        <f>IF('Lab test'!AU648&gt;0,'Lab test'!AU648,NA())</f>
        <v>0.96771139078826063</v>
      </c>
      <c r="K647">
        <f>IF('Lab test'!AT648&gt;0,'Lab test'!AT648,NA())</f>
        <v>0.2878682036419668</v>
      </c>
      <c r="L647">
        <f t="shared" si="62"/>
        <v>1</v>
      </c>
      <c r="M647">
        <f t="shared" si="63"/>
        <v>1950</v>
      </c>
      <c r="O647">
        <v>645</v>
      </c>
      <c r="P647">
        <v>2020</v>
      </c>
      <c r="Q647">
        <f t="shared" si="64"/>
        <v>0.99537037037037035</v>
      </c>
      <c r="R647" t="e">
        <f t="shared" si="65"/>
        <v>#N/A</v>
      </c>
      <c r="T647" t="e">
        <f t="shared" si="66"/>
        <v>#N/A</v>
      </c>
      <c r="U647">
        <f t="shared" si="67"/>
        <v>2020</v>
      </c>
      <c r="W647" t="e">
        <v>#N/A</v>
      </c>
      <c r="X647">
        <v>2020</v>
      </c>
    </row>
    <row r="648" spans="8:24">
      <c r="H648">
        <v>646</v>
      </c>
      <c r="I648">
        <f>'Lab test'!AZ649</f>
        <v>1950</v>
      </c>
      <c r="J648">
        <f>IF('Lab test'!AU649&gt;0,'Lab test'!AU649,NA())</f>
        <v>1.1176821705798701</v>
      </c>
      <c r="K648">
        <f>IF('Lab test'!AT649&gt;0,'Lab test'!AT649,NA())</f>
        <v>0.19862858753496088</v>
      </c>
      <c r="L648">
        <f t="shared" si="62"/>
        <v>1</v>
      </c>
      <c r="M648">
        <f t="shared" si="63"/>
        <v>1950</v>
      </c>
      <c r="O648">
        <v>646</v>
      </c>
      <c r="P648">
        <v>2020</v>
      </c>
      <c r="Q648">
        <f t="shared" si="64"/>
        <v>0.99691358024691357</v>
      </c>
      <c r="R648" t="e">
        <f t="shared" si="65"/>
        <v>#N/A</v>
      </c>
      <c r="T648" t="e">
        <f t="shared" si="66"/>
        <v>#N/A</v>
      </c>
      <c r="U648">
        <f t="shared" si="67"/>
        <v>2020</v>
      </c>
      <c r="W648" t="e">
        <v>#N/A</v>
      </c>
      <c r="X648">
        <v>2020</v>
      </c>
    </row>
    <row r="649" spans="8:24">
      <c r="H649">
        <v>647</v>
      </c>
      <c r="I649">
        <f>'Lab test'!AZ650</f>
        <v>1950</v>
      </c>
      <c r="J649">
        <f>IF('Lab test'!AU650&gt;0,'Lab test'!AU650,NA())</f>
        <v>0.96413522634375726</v>
      </c>
      <c r="K649">
        <f>IF('Lab test'!AT650&gt;0,'Lab test'!AT650,NA())</f>
        <v>0.23282546307648086</v>
      </c>
      <c r="L649">
        <f t="shared" si="62"/>
        <v>1</v>
      </c>
      <c r="M649">
        <f t="shared" si="63"/>
        <v>1950</v>
      </c>
      <c r="O649">
        <v>647</v>
      </c>
      <c r="P649">
        <v>2020</v>
      </c>
      <c r="Q649">
        <f t="shared" si="64"/>
        <v>0.99845679012345678</v>
      </c>
      <c r="R649" t="e">
        <f t="shared" si="65"/>
        <v>#N/A</v>
      </c>
      <c r="T649" t="e">
        <f t="shared" si="66"/>
        <v>#N/A</v>
      </c>
      <c r="U649">
        <f t="shared" si="67"/>
        <v>2020</v>
      </c>
      <c r="W649" t="e">
        <v>#N/A</v>
      </c>
      <c r="X649">
        <v>2020</v>
      </c>
    </row>
    <row r="650" spans="8:24">
      <c r="H650">
        <v>648</v>
      </c>
      <c r="I650">
        <f>'Lab test'!AZ651</f>
        <v>1950</v>
      </c>
      <c r="J650">
        <f>IF('Lab test'!AU651&gt;0,'Lab test'!AU651,NA())</f>
        <v>1.305863045228943</v>
      </c>
      <c r="K650">
        <f>IF('Lab test'!AT651&gt;0,'Lab test'!AT651,NA())</f>
        <v>7.6461362326397136E-2</v>
      </c>
      <c r="L650">
        <f t="shared" si="62"/>
        <v>1</v>
      </c>
      <c r="M650">
        <f t="shared" si="63"/>
        <v>1950</v>
      </c>
      <c r="O650">
        <v>648</v>
      </c>
      <c r="P650">
        <v>2020</v>
      </c>
      <c r="Q650">
        <f t="shared" si="64"/>
        <v>1</v>
      </c>
      <c r="R650" t="e">
        <f t="shared" si="65"/>
        <v>#N/A</v>
      </c>
      <c r="T650">
        <v>1</v>
      </c>
      <c r="U650">
        <f t="shared" si="67"/>
        <v>2020</v>
      </c>
      <c r="W650" t="e">
        <v>#N/A</v>
      </c>
      <c r="X650">
        <v>2020</v>
      </c>
    </row>
    <row r="651" spans="8:24">
      <c r="H651">
        <v>649</v>
      </c>
      <c r="I651">
        <f>'Lab test'!AZ652</f>
        <v>1950</v>
      </c>
      <c r="J651">
        <f>IF('Lab test'!AU652&gt;0,'Lab test'!AU652,NA())</f>
        <v>1.082152328475152</v>
      </c>
      <c r="K651">
        <f>IF('Lab test'!AT652&gt;0,'Lab test'!AT652,NA())</f>
        <v>0.1950090809438263</v>
      </c>
      <c r="L651">
        <f t="shared" si="62"/>
        <v>1</v>
      </c>
      <c r="M651">
        <f t="shared" si="63"/>
        <v>1950</v>
      </c>
      <c r="O651">
        <v>649</v>
      </c>
      <c r="P651" t="e">
        <v>#N/A</v>
      </c>
      <c r="R651" t="e">
        <f t="shared" si="65"/>
        <v>#N/A</v>
      </c>
      <c r="T651" t="e">
        <f t="shared" si="66"/>
        <v>#N/A</v>
      </c>
      <c r="U651" t="e">
        <f t="shared" si="67"/>
        <v>#N/A</v>
      </c>
      <c r="W651" t="e">
        <v>#N/A</v>
      </c>
      <c r="X651" t="e">
        <v>#N/A</v>
      </c>
    </row>
    <row r="652" spans="8:24">
      <c r="H652">
        <v>650</v>
      </c>
      <c r="I652">
        <f>'Lab test'!AZ653</f>
        <v>1950</v>
      </c>
      <c r="J652">
        <f>IF('Lab test'!AU653&gt;0,'Lab test'!AU653,NA())</f>
        <v>1.039820577489436</v>
      </c>
      <c r="K652">
        <f>IF('Lab test'!AT653&gt;0,'Lab test'!AT653,NA())</f>
        <v>0.32983503080577481</v>
      </c>
      <c r="L652">
        <f t="shared" si="62"/>
        <v>1</v>
      </c>
      <c r="M652">
        <f t="shared" si="63"/>
        <v>1950</v>
      </c>
      <c r="O652">
        <v>650</v>
      </c>
      <c r="P652" t="e">
        <v>#N/A</v>
      </c>
      <c r="R652" t="e">
        <f t="shared" si="65"/>
        <v>#N/A</v>
      </c>
      <c r="T652" t="e">
        <f t="shared" si="66"/>
        <v>#N/A</v>
      </c>
      <c r="U652" t="e">
        <f t="shared" si="67"/>
        <v>#N/A</v>
      </c>
      <c r="W652" t="e">
        <v>#N/A</v>
      </c>
      <c r="X652" t="e">
        <v>#N/A</v>
      </c>
    </row>
    <row r="653" spans="8:24">
      <c r="H653">
        <v>651</v>
      </c>
      <c r="I653">
        <f>'Lab test'!AZ654</f>
        <v>1950</v>
      </c>
      <c r="J653">
        <f>IF('Lab test'!AU654&gt;0,'Lab test'!AU654,NA())</f>
        <v>0.93907398472989767</v>
      </c>
      <c r="K653">
        <f>IF('Lab test'!AT654&gt;0,'Lab test'!AT654,NA())</f>
        <v>0.48334034365025358</v>
      </c>
      <c r="L653">
        <f t="shared" si="62"/>
        <v>1</v>
      </c>
      <c r="M653">
        <f t="shared" si="63"/>
        <v>1950</v>
      </c>
      <c r="O653">
        <v>651</v>
      </c>
      <c r="P653" t="e">
        <v>#N/A</v>
      </c>
      <c r="R653" t="e">
        <f t="shared" si="65"/>
        <v>#N/A</v>
      </c>
      <c r="T653" t="e">
        <f t="shared" si="66"/>
        <v>#N/A</v>
      </c>
      <c r="U653" t="e">
        <f t="shared" si="67"/>
        <v>#N/A</v>
      </c>
      <c r="W653" t="e">
        <v>#N/A</v>
      </c>
      <c r="X653" t="e">
        <v>#N/A</v>
      </c>
    </row>
    <row r="654" spans="8:24">
      <c r="H654">
        <v>652</v>
      </c>
      <c r="I654">
        <f>'Lab test'!AZ655</f>
        <v>1950</v>
      </c>
      <c r="J654">
        <f>IF('Lab test'!AU655&gt;0,'Lab test'!AU655,NA())</f>
        <v>0.83406953996785571</v>
      </c>
      <c r="K654">
        <f>IF('Lab test'!AT655&gt;0,'Lab test'!AT655,NA())</f>
        <v>0.62285902135906457</v>
      </c>
      <c r="L654">
        <f t="shared" si="62"/>
        <v>1</v>
      </c>
      <c r="M654">
        <f t="shared" si="63"/>
        <v>1950</v>
      </c>
      <c r="O654">
        <v>652</v>
      </c>
      <c r="P654" t="e">
        <v>#N/A</v>
      </c>
      <c r="R654" t="e">
        <f t="shared" si="65"/>
        <v>#N/A</v>
      </c>
      <c r="T654" t="e">
        <f t="shared" si="66"/>
        <v>#N/A</v>
      </c>
      <c r="U654" t="e">
        <f t="shared" si="67"/>
        <v>#N/A</v>
      </c>
      <c r="W654" t="e">
        <v>#N/A</v>
      </c>
      <c r="X654" t="e">
        <v>#N/A</v>
      </c>
    </row>
    <row r="655" spans="8:24">
      <c r="H655">
        <v>653</v>
      </c>
      <c r="I655">
        <f>'Lab test'!AZ656</f>
        <v>1950</v>
      </c>
      <c r="J655">
        <f>IF('Lab test'!AU656&gt;0,'Lab test'!AU656,NA())</f>
        <v>0.76843352990906788</v>
      </c>
      <c r="K655">
        <f>IF('Lab test'!AT656&gt;0,'Lab test'!AT656,NA())</f>
        <v>0.74435642369191912</v>
      </c>
      <c r="L655">
        <f t="shared" si="62"/>
        <v>1</v>
      </c>
      <c r="M655">
        <f t="shared" si="63"/>
        <v>1950</v>
      </c>
      <c r="O655">
        <v>653</v>
      </c>
      <c r="P655" t="e">
        <v>#N/A</v>
      </c>
      <c r="R655" t="e">
        <f t="shared" si="65"/>
        <v>#N/A</v>
      </c>
      <c r="T655" t="e">
        <f t="shared" si="66"/>
        <v>#N/A</v>
      </c>
      <c r="U655" t="e">
        <f t="shared" si="67"/>
        <v>#N/A</v>
      </c>
      <c r="W655" t="e">
        <v>#N/A</v>
      </c>
      <c r="X655" t="e">
        <v>#N/A</v>
      </c>
    </row>
    <row r="656" spans="8:24">
      <c r="H656">
        <v>654</v>
      </c>
      <c r="I656">
        <f>'Lab test'!AZ657</f>
        <v>1952</v>
      </c>
      <c r="J656">
        <f>IF('Lab test'!AU657&gt;0,'Lab test'!AU657,NA())</f>
        <v>1.2109756097560975</v>
      </c>
      <c r="K656">
        <f>IF('Lab test'!AT657&gt;0,'Lab test'!AT657,NA())</f>
        <v>7.0470303494935424E-2</v>
      </c>
      <c r="L656">
        <f t="shared" si="62"/>
        <v>1</v>
      </c>
      <c r="M656">
        <f t="shared" si="63"/>
        <v>1952</v>
      </c>
      <c r="O656">
        <v>654</v>
      </c>
      <c r="P656" t="e">
        <v>#N/A</v>
      </c>
      <c r="R656" t="e">
        <f t="shared" si="65"/>
        <v>#N/A</v>
      </c>
      <c r="T656" t="e">
        <f t="shared" si="66"/>
        <v>#N/A</v>
      </c>
      <c r="U656" t="e">
        <f t="shared" si="67"/>
        <v>#N/A</v>
      </c>
      <c r="W656" t="e">
        <v>#N/A</v>
      </c>
      <c r="X656" t="e">
        <v>#N/A</v>
      </c>
    </row>
    <row r="657" spans="8:24">
      <c r="H657">
        <v>655</v>
      </c>
      <c r="I657">
        <f>'Lab test'!AZ658</f>
        <v>1952</v>
      </c>
      <c r="J657">
        <f>IF('Lab test'!AU658&gt;0,'Lab test'!AU658,NA())</f>
        <v>1.0219512195121949</v>
      </c>
      <c r="K657">
        <f>IF('Lab test'!AT658&gt;0,'Lab test'!AT658,NA())</f>
        <v>0.1830302822887945</v>
      </c>
      <c r="L657">
        <f t="shared" si="62"/>
        <v>1</v>
      </c>
      <c r="M657">
        <f t="shared" si="63"/>
        <v>1952</v>
      </c>
      <c r="O657">
        <v>655</v>
      </c>
      <c r="P657" t="e">
        <v>#N/A</v>
      </c>
      <c r="R657" t="e">
        <f t="shared" si="65"/>
        <v>#N/A</v>
      </c>
      <c r="T657" t="e">
        <f t="shared" si="66"/>
        <v>#N/A</v>
      </c>
      <c r="U657" t="e">
        <f t="shared" si="67"/>
        <v>#N/A</v>
      </c>
      <c r="W657" t="e">
        <v>#N/A</v>
      </c>
      <c r="X657" t="e">
        <v>#N/A</v>
      </c>
    </row>
    <row r="658" spans="8:24">
      <c r="H658">
        <v>656</v>
      </c>
      <c r="I658">
        <f>'Lab test'!AZ659</f>
        <v>1952</v>
      </c>
      <c r="J658">
        <f>IF('Lab test'!AU659&gt;0,'Lab test'!AU659,NA())</f>
        <v>0.97926829268292681</v>
      </c>
      <c r="K658">
        <f>IF('Lab test'!AT659&gt;0,'Lab test'!AT659,NA())</f>
        <v>0.30872116907306951</v>
      </c>
      <c r="L658">
        <f t="shared" si="62"/>
        <v>1</v>
      </c>
      <c r="M658">
        <f t="shared" si="63"/>
        <v>1952</v>
      </c>
      <c r="O658">
        <v>656</v>
      </c>
      <c r="P658" t="e">
        <v>#N/A</v>
      </c>
      <c r="R658" t="e">
        <f t="shared" si="65"/>
        <v>#N/A</v>
      </c>
      <c r="T658" t="e">
        <f t="shared" si="66"/>
        <v>#N/A</v>
      </c>
      <c r="U658" t="e">
        <f t="shared" si="67"/>
        <v>#N/A</v>
      </c>
      <c r="W658" t="e">
        <v>#N/A</v>
      </c>
      <c r="X658" t="e">
        <v>#N/A</v>
      </c>
    </row>
    <row r="659" spans="8:24">
      <c r="H659">
        <v>657</v>
      </c>
      <c r="I659">
        <f>'Lab test'!AZ660</f>
        <v>1952</v>
      </c>
      <c r="J659">
        <f>IF('Lab test'!AU660&gt;0,'Lab test'!AU660,NA())</f>
        <v>0.89390243902439015</v>
      </c>
      <c r="K659">
        <f>IF('Lab test'!AT660&gt;0,'Lab test'!AT660,NA())</f>
        <v>0.45726683679565744</v>
      </c>
      <c r="L659">
        <f t="shared" si="62"/>
        <v>1</v>
      </c>
      <c r="M659">
        <f t="shared" si="63"/>
        <v>1952</v>
      </c>
      <c r="O659">
        <v>657</v>
      </c>
      <c r="P659" t="e">
        <v>#N/A</v>
      </c>
      <c r="R659" t="e">
        <f t="shared" si="65"/>
        <v>#N/A</v>
      </c>
      <c r="T659" t="e">
        <f t="shared" si="66"/>
        <v>#N/A</v>
      </c>
      <c r="U659" t="e">
        <f t="shared" si="67"/>
        <v>#N/A</v>
      </c>
      <c r="W659" t="e">
        <v>#N/A</v>
      </c>
      <c r="X659" t="e">
        <v>#N/A</v>
      </c>
    </row>
    <row r="660" spans="8:24">
      <c r="H660">
        <v>658</v>
      </c>
      <c r="I660">
        <f>'Lab test'!AZ661</f>
        <v>1952</v>
      </c>
      <c r="J660">
        <f>IF('Lab test'!AU661&gt;0,'Lab test'!AU661,NA())</f>
        <v>0.83048780487804874</v>
      </c>
      <c r="K660">
        <f>IF('Lab test'!AT661&gt;0,'Lab test'!AT661,NA())</f>
        <v>0.61637796329053485</v>
      </c>
      <c r="L660">
        <f t="shared" si="62"/>
        <v>1</v>
      </c>
      <c r="M660">
        <f t="shared" si="63"/>
        <v>1952</v>
      </c>
      <c r="O660">
        <v>658</v>
      </c>
      <c r="P660" t="e">
        <v>#N/A</v>
      </c>
      <c r="R660" t="e">
        <f t="shared" si="65"/>
        <v>#N/A</v>
      </c>
      <c r="T660" t="e">
        <f t="shared" si="66"/>
        <v>#N/A</v>
      </c>
      <c r="U660" t="e">
        <f t="shared" si="67"/>
        <v>#N/A</v>
      </c>
      <c r="W660" t="e">
        <v>#N/A</v>
      </c>
      <c r="X660" t="e">
        <v>#N/A</v>
      </c>
    </row>
    <row r="661" spans="8:24">
      <c r="H661">
        <v>659</v>
      </c>
      <c r="I661">
        <f>'Lab test'!AZ662</f>
        <v>1952</v>
      </c>
      <c r="J661">
        <f>IF('Lab test'!AU662&gt;0,'Lab test'!AU662,NA())</f>
        <v>0.73780487804878037</v>
      </c>
      <c r="K661">
        <f>IF('Lab test'!AT662&gt;0,'Lab test'!AT662,NA())</f>
        <v>0.71030112454937766</v>
      </c>
      <c r="L661">
        <f t="shared" si="62"/>
        <v>1</v>
      </c>
      <c r="M661">
        <f t="shared" si="63"/>
        <v>1952</v>
      </c>
      <c r="O661">
        <v>659</v>
      </c>
      <c r="P661" t="e">
        <v>#N/A</v>
      </c>
      <c r="R661" t="e">
        <f t="shared" si="65"/>
        <v>#N/A</v>
      </c>
      <c r="T661" t="e">
        <f t="shared" si="66"/>
        <v>#N/A</v>
      </c>
      <c r="U661" t="e">
        <f t="shared" si="67"/>
        <v>#N/A</v>
      </c>
      <c r="W661" t="e">
        <v>#N/A</v>
      </c>
      <c r="X661" t="e">
        <v>#N/A</v>
      </c>
    </row>
    <row r="662" spans="8:24">
      <c r="H662">
        <v>660</v>
      </c>
      <c r="I662">
        <f>'Lab test'!AZ663</f>
        <v>1962</v>
      </c>
      <c r="J662" t="e">
        <f>IF('Lab test'!AU663&gt;0,'Lab test'!AU663,NA())</f>
        <v>#N/A</v>
      </c>
      <c r="K662">
        <f>IF('Lab test'!AT663&gt;0,'Lab test'!AT663,NA())</f>
        <v>0.33957021167405349</v>
      </c>
      <c r="L662">
        <f t="shared" si="62"/>
        <v>1</v>
      </c>
      <c r="M662">
        <f t="shared" si="63"/>
        <v>1962</v>
      </c>
      <c r="O662">
        <v>660</v>
      </c>
      <c r="P662" t="e">
        <v>#N/A</v>
      </c>
      <c r="R662" t="e">
        <f t="shared" si="65"/>
        <v>#N/A</v>
      </c>
      <c r="T662" t="e">
        <f t="shared" si="66"/>
        <v>#N/A</v>
      </c>
      <c r="U662" t="e">
        <f t="shared" si="67"/>
        <v>#N/A</v>
      </c>
      <c r="W662" t="e">
        <v>#N/A</v>
      </c>
      <c r="X662" t="e">
        <v>#N/A</v>
      </c>
    </row>
    <row r="663" spans="8:24">
      <c r="H663">
        <v>661</v>
      </c>
      <c r="I663">
        <f>'Lab test'!AZ664</f>
        <v>1962</v>
      </c>
      <c r="J663" t="e">
        <f>IF('Lab test'!AU664&gt;0,'Lab test'!AU664,NA())</f>
        <v>#N/A</v>
      </c>
      <c r="K663">
        <f>IF('Lab test'!AT664&gt;0,'Lab test'!AT664,NA())</f>
        <v>0.33330297622369343</v>
      </c>
      <c r="L663">
        <f t="shared" si="62"/>
        <v>1</v>
      </c>
      <c r="M663">
        <f t="shared" si="63"/>
        <v>1962</v>
      </c>
      <c r="O663">
        <v>661</v>
      </c>
      <c r="P663" t="e">
        <v>#N/A</v>
      </c>
      <c r="R663" t="e">
        <f t="shared" si="65"/>
        <v>#N/A</v>
      </c>
      <c r="T663" t="e">
        <f t="shared" si="66"/>
        <v>#N/A</v>
      </c>
      <c r="U663" t="e">
        <f t="shared" si="67"/>
        <v>#N/A</v>
      </c>
      <c r="W663" t="e">
        <v>#N/A</v>
      </c>
      <c r="X663" t="e">
        <v>#N/A</v>
      </c>
    </row>
    <row r="664" spans="8:24">
      <c r="H664">
        <v>662</v>
      </c>
      <c r="I664">
        <f>'Lab test'!AZ665</f>
        <v>1962</v>
      </c>
      <c r="J664" t="e">
        <f>IF('Lab test'!AU665&gt;0,'Lab test'!AU665,NA())</f>
        <v>#N/A</v>
      </c>
      <c r="K664">
        <f>IF('Lab test'!AT665&gt;0,'Lab test'!AT665,NA())</f>
        <v>0.27177011907470389</v>
      </c>
      <c r="L664">
        <f t="shared" si="62"/>
        <v>1</v>
      </c>
      <c r="M664">
        <f t="shared" si="63"/>
        <v>1962</v>
      </c>
      <c r="O664">
        <v>662</v>
      </c>
      <c r="P664" t="e">
        <v>#N/A</v>
      </c>
      <c r="R664" t="e">
        <f t="shared" si="65"/>
        <v>#N/A</v>
      </c>
      <c r="T664" t="e">
        <f t="shared" si="66"/>
        <v>#N/A</v>
      </c>
      <c r="U664" t="e">
        <f t="shared" si="67"/>
        <v>#N/A</v>
      </c>
      <c r="W664" t="e">
        <v>#N/A</v>
      </c>
      <c r="X664" t="e">
        <v>#N/A</v>
      </c>
    </row>
    <row r="665" spans="8:24">
      <c r="H665">
        <v>663</v>
      </c>
      <c r="I665">
        <f>'Lab test'!AZ666</f>
        <v>1962</v>
      </c>
      <c r="J665" t="e">
        <f>IF('Lab test'!AU666&gt;0,'Lab test'!AU666,NA())</f>
        <v>#N/A</v>
      </c>
      <c r="K665">
        <f>IF('Lab test'!AT666&gt;0,'Lab test'!AT666,NA())</f>
        <v>0.31678026458183517</v>
      </c>
      <c r="L665">
        <f t="shared" si="62"/>
        <v>1</v>
      </c>
      <c r="M665">
        <f t="shared" si="63"/>
        <v>1962</v>
      </c>
      <c r="O665">
        <v>663</v>
      </c>
      <c r="P665" t="e">
        <v>#N/A</v>
      </c>
      <c r="R665" t="e">
        <f t="shared" si="65"/>
        <v>#N/A</v>
      </c>
      <c r="T665" t="e">
        <f t="shared" si="66"/>
        <v>#N/A</v>
      </c>
      <c r="U665" t="e">
        <f t="shared" si="67"/>
        <v>#N/A</v>
      </c>
      <c r="W665" t="e">
        <v>#N/A</v>
      </c>
      <c r="X665" t="e">
        <v>#N/A</v>
      </c>
    </row>
    <row r="666" spans="8:24">
      <c r="H666">
        <v>664</v>
      </c>
      <c r="I666">
        <f>'Lab test'!AZ667</f>
        <v>1962</v>
      </c>
      <c r="J666" t="e">
        <f>IF('Lab test'!AU667&gt;0,'Lab test'!AU667,NA())</f>
        <v>#N/A</v>
      </c>
      <c r="K666">
        <f>IF('Lab test'!AT667&gt;0,'Lab test'!AT667,NA())</f>
        <v>0.2889765291293287</v>
      </c>
      <c r="L666">
        <f t="shared" si="62"/>
        <v>1</v>
      </c>
      <c r="M666">
        <f t="shared" si="63"/>
        <v>1962</v>
      </c>
      <c r="O666">
        <v>664</v>
      </c>
      <c r="P666" t="e">
        <v>#N/A</v>
      </c>
      <c r="R666" t="e">
        <f t="shared" si="65"/>
        <v>#N/A</v>
      </c>
      <c r="T666" t="e">
        <f t="shared" si="66"/>
        <v>#N/A</v>
      </c>
      <c r="U666" t="e">
        <f t="shared" si="67"/>
        <v>#N/A</v>
      </c>
      <c r="W666" t="e">
        <v>#N/A</v>
      </c>
      <c r="X666" t="e">
        <v>#N/A</v>
      </c>
    </row>
    <row r="667" spans="8:24">
      <c r="H667">
        <v>665</v>
      </c>
      <c r="I667">
        <f>'Lab test'!AZ668</f>
        <v>1962</v>
      </c>
      <c r="J667" t="e">
        <f>IF('Lab test'!AU668&gt;0,'Lab test'!AU668,NA())</f>
        <v>#N/A</v>
      </c>
      <c r="K667">
        <f>IF('Lab test'!AT668&gt;0,'Lab test'!AT668,NA())</f>
        <v>0.41021904765993039</v>
      </c>
      <c r="L667">
        <f t="shared" si="62"/>
        <v>1</v>
      </c>
      <c r="M667">
        <f t="shared" si="63"/>
        <v>1962</v>
      </c>
      <c r="O667">
        <v>665</v>
      </c>
      <c r="P667" t="e">
        <v>#N/A</v>
      </c>
      <c r="R667" t="e">
        <f t="shared" si="65"/>
        <v>#N/A</v>
      </c>
      <c r="T667" t="e">
        <f t="shared" si="66"/>
        <v>#N/A</v>
      </c>
      <c r="U667" t="e">
        <f t="shared" si="67"/>
        <v>#N/A</v>
      </c>
      <c r="W667" t="e">
        <v>#N/A</v>
      </c>
      <c r="X667" t="e">
        <v>#N/A</v>
      </c>
    </row>
    <row r="668" spans="8:24">
      <c r="H668">
        <v>666</v>
      </c>
      <c r="I668">
        <f>'Lab test'!AZ669</f>
        <v>1962</v>
      </c>
      <c r="J668" t="e">
        <f>IF('Lab test'!AU669&gt;0,'Lab test'!AU669,NA())</f>
        <v>#N/A</v>
      </c>
      <c r="K668">
        <f>IF('Lab test'!AT669&gt;0,'Lab test'!AT669,NA())</f>
        <v>0.45921743390819986</v>
      </c>
      <c r="L668">
        <f t="shared" si="62"/>
        <v>1</v>
      </c>
      <c r="M668">
        <f t="shared" si="63"/>
        <v>1962</v>
      </c>
      <c r="O668">
        <v>666</v>
      </c>
      <c r="P668" t="e">
        <v>#N/A</v>
      </c>
      <c r="R668" t="e">
        <f t="shared" si="65"/>
        <v>#N/A</v>
      </c>
      <c r="T668" t="e">
        <f t="shared" si="66"/>
        <v>#N/A</v>
      </c>
      <c r="U668" t="e">
        <f t="shared" si="67"/>
        <v>#N/A</v>
      </c>
      <c r="W668" t="e">
        <v>#N/A</v>
      </c>
      <c r="X668" t="e">
        <v>#N/A</v>
      </c>
    </row>
    <row r="669" spans="8:24">
      <c r="H669">
        <v>667</v>
      </c>
      <c r="I669">
        <f>'Lab test'!AZ670</f>
        <v>1962</v>
      </c>
      <c r="J669" t="e">
        <f>IF('Lab test'!AU670&gt;0,'Lab test'!AU670,NA())</f>
        <v>#N/A</v>
      </c>
      <c r="K669">
        <f>IF('Lab test'!AT670&gt;0,'Lab test'!AT670,NA())</f>
        <v>0.42921067023677906</v>
      </c>
      <c r="L669">
        <f t="shared" si="62"/>
        <v>1</v>
      </c>
      <c r="M669">
        <f t="shared" si="63"/>
        <v>1962</v>
      </c>
      <c r="O669">
        <v>667</v>
      </c>
      <c r="P669" t="e">
        <v>#N/A</v>
      </c>
      <c r="R669" t="e">
        <f t="shared" si="65"/>
        <v>#N/A</v>
      </c>
      <c r="T669" t="e">
        <f t="shared" si="66"/>
        <v>#N/A</v>
      </c>
      <c r="U669" t="e">
        <f t="shared" si="67"/>
        <v>#N/A</v>
      </c>
      <c r="W669" t="e">
        <v>#N/A</v>
      </c>
      <c r="X669" t="e">
        <v>#N/A</v>
      </c>
    </row>
    <row r="670" spans="8:24">
      <c r="H670">
        <v>668</v>
      </c>
      <c r="I670">
        <f>'Lab test'!AZ671</f>
        <v>1962</v>
      </c>
      <c r="J670" t="e">
        <f>IF('Lab test'!AU671&gt;0,'Lab test'!AU671,NA())</f>
        <v>#N/A</v>
      </c>
      <c r="K670">
        <f>IF('Lab test'!AT671&gt;0,'Lab test'!AT671,NA())</f>
        <v>0.30386596122957804</v>
      </c>
      <c r="L670">
        <f t="shared" si="62"/>
        <v>1</v>
      </c>
      <c r="M670">
        <f t="shared" si="63"/>
        <v>1962</v>
      </c>
      <c r="O670">
        <v>668</v>
      </c>
      <c r="P670" t="e">
        <v>#N/A</v>
      </c>
      <c r="R670" t="e">
        <f t="shared" si="65"/>
        <v>#N/A</v>
      </c>
      <c r="T670" t="e">
        <f t="shared" si="66"/>
        <v>#N/A</v>
      </c>
      <c r="U670" t="e">
        <f t="shared" si="67"/>
        <v>#N/A</v>
      </c>
      <c r="W670" t="e">
        <v>#N/A</v>
      </c>
      <c r="X670" t="e">
        <v>#N/A</v>
      </c>
    </row>
    <row r="671" spans="8:24">
      <c r="H671">
        <v>669</v>
      </c>
      <c r="I671">
        <f>'Lab test'!AZ672</f>
        <v>1962</v>
      </c>
      <c r="J671" t="e">
        <f>IF('Lab test'!AU672&gt;0,'Lab test'!AU672,NA())</f>
        <v>#N/A</v>
      </c>
      <c r="K671">
        <f>IF('Lab test'!AT672&gt;0,'Lab test'!AT672,NA())</f>
        <v>0.35324417992938445</v>
      </c>
      <c r="L671">
        <f t="shared" si="62"/>
        <v>1</v>
      </c>
      <c r="M671">
        <f t="shared" si="63"/>
        <v>1962</v>
      </c>
      <c r="O671">
        <v>669</v>
      </c>
      <c r="P671" t="e">
        <v>#N/A</v>
      </c>
      <c r="R671" t="e">
        <f t="shared" si="65"/>
        <v>#N/A</v>
      </c>
      <c r="T671" t="e">
        <f t="shared" si="66"/>
        <v>#N/A</v>
      </c>
      <c r="U671" t="e">
        <f t="shared" si="67"/>
        <v>#N/A</v>
      </c>
      <c r="W671" t="e">
        <v>#N/A</v>
      </c>
      <c r="X671" t="e">
        <v>#N/A</v>
      </c>
    </row>
    <row r="672" spans="8:24">
      <c r="H672">
        <v>670</v>
      </c>
      <c r="I672">
        <f>'Lab test'!AZ673</f>
        <v>1962</v>
      </c>
      <c r="J672" t="e">
        <f>IF('Lab test'!AU673&gt;0,'Lab test'!AU673,NA())</f>
        <v>#N/A</v>
      </c>
      <c r="K672">
        <f>IF('Lab test'!AT673&gt;0,'Lab test'!AT673,NA())</f>
        <v>0.43984597887981425</v>
      </c>
      <c r="L672">
        <f t="shared" si="62"/>
        <v>1</v>
      </c>
      <c r="M672">
        <f t="shared" si="63"/>
        <v>1962</v>
      </c>
      <c r="O672">
        <v>670</v>
      </c>
      <c r="P672" t="e">
        <v>#N/A</v>
      </c>
      <c r="R672" t="e">
        <f>IF(P672=#REF!,NA(),Q672)</f>
        <v>#N/A</v>
      </c>
      <c r="T672" t="e">
        <f t="shared" si="66"/>
        <v>#N/A</v>
      </c>
      <c r="U672" t="e">
        <f t="shared" si="67"/>
        <v>#N/A</v>
      </c>
      <c r="W672" t="e">
        <v>#N/A</v>
      </c>
      <c r="X672" t="e">
        <v>#N/A</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3CB93-9F97-456C-84DA-8144421CC534}">
  <sheetPr>
    <tabColor theme="0" tint="-0.249977111117893"/>
  </sheetPr>
  <dimension ref="B3:AK684"/>
  <sheetViews>
    <sheetView zoomScaleNormal="100" workbookViewId="0"/>
  </sheetViews>
  <sheetFormatPr defaultRowHeight="15.75"/>
  <cols>
    <col min="2" max="2" width="12" bestFit="1" customWidth="1"/>
    <col min="9" max="9" width="9" customWidth="1"/>
    <col min="15" max="15" width="7.75" bestFit="1" customWidth="1"/>
  </cols>
  <sheetData>
    <row r="3" spans="2:37">
      <c r="B3" t="s">
        <v>1115</v>
      </c>
      <c r="C3" s="533" t="s">
        <v>1111</v>
      </c>
      <c r="D3" s="853">
        <f>COUNT(G15:G684)</f>
        <v>484</v>
      </c>
      <c r="E3" t="s">
        <v>1118</v>
      </c>
    </row>
    <row r="4" spans="2:37">
      <c r="B4" t="s">
        <v>1114</v>
      </c>
      <c r="C4" s="533" t="s">
        <v>1111</v>
      </c>
      <c r="D4" s="853">
        <f>COUNT(H15:H684)</f>
        <v>484</v>
      </c>
      <c r="E4" t="s">
        <v>1118</v>
      </c>
    </row>
    <row r="5" spans="2:37">
      <c r="B5" t="s">
        <v>1113</v>
      </c>
      <c r="C5" s="533" t="s">
        <v>1111</v>
      </c>
      <c r="D5" s="853">
        <f>COUNT(I15:I684)</f>
        <v>484</v>
      </c>
      <c r="E5" t="s">
        <v>1118</v>
      </c>
    </row>
    <row r="6" spans="2:37">
      <c r="B6" t="s">
        <v>1112</v>
      </c>
      <c r="C6" s="533" t="s">
        <v>1111</v>
      </c>
      <c r="D6" s="853">
        <f>COUNT(J15:J684)</f>
        <v>648</v>
      </c>
      <c r="E6" t="s">
        <v>1118</v>
      </c>
    </row>
    <row r="7" spans="2:37">
      <c r="C7" s="533" t="s">
        <v>1111</v>
      </c>
      <c r="D7" s="853">
        <f>COUNT(K15:K684)</f>
        <v>648</v>
      </c>
      <c r="E7" t="s">
        <v>1126</v>
      </c>
    </row>
    <row r="8" spans="2:37">
      <c r="C8" s="533" t="s">
        <v>1111</v>
      </c>
      <c r="D8" s="853">
        <f>COUNT(B15:B684)</f>
        <v>670</v>
      </c>
      <c r="E8" t="s">
        <v>1127</v>
      </c>
    </row>
    <row r="9" spans="2:37">
      <c r="C9" s="533"/>
    </row>
    <row r="10" spans="2:37">
      <c r="C10" s="533"/>
    </row>
    <row r="11" spans="2:37">
      <c r="C11" s="533"/>
    </row>
    <row r="13" spans="2:37">
      <c r="C13" s="1067" t="s">
        <v>1065</v>
      </c>
      <c r="D13" s="1067"/>
      <c r="E13" s="1067"/>
      <c r="F13" s="1067"/>
      <c r="G13" s="1067"/>
      <c r="H13" s="1067"/>
      <c r="I13" s="1067"/>
      <c r="J13" s="1067"/>
      <c r="K13" s="1067"/>
      <c r="L13" s="1067"/>
      <c r="O13" s="1067" t="s">
        <v>876</v>
      </c>
      <c r="P13" s="1067"/>
      <c r="Q13" s="1067"/>
      <c r="R13" s="1067"/>
      <c r="S13" s="1067"/>
      <c r="T13" s="1067"/>
      <c r="U13" s="1067"/>
      <c r="W13" s="1067" t="s">
        <v>877</v>
      </c>
      <c r="X13" s="1067"/>
      <c r="Y13" s="1067"/>
      <c r="Z13" s="1067"/>
      <c r="AA13" s="1067"/>
      <c r="AB13" s="1067"/>
      <c r="AC13" s="1067"/>
      <c r="AE13" s="1067" t="s">
        <v>879</v>
      </c>
      <c r="AF13" s="1067"/>
      <c r="AG13" s="1067"/>
      <c r="AI13" s="1067" t="s">
        <v>880</v>
      </c>
      <c r="AJ13" s="1067"/>
      <c r="AK13" s="1067"/>
    </row>
    <row r="14" spans="2:37">
      <c r="C14" t="s">
        <v>871</v>
      </c>
      <c r="D14" t="s">
        <v>872</v>
      </c>
      <c r="E14" t="s">
        <v>873</v>
      </c>
      <c r="F14" t="s">
        <v>874</v>
      </c>
      <c r="G14" t="s">
        <v>1116</v>
      </c>
      <c r="H14" t="s">
        <v>1117</v>
      </c>
      <c r="I14" t="s">
        <v>1119</v>
      </c>
      <c r="J14" t="s">
        <v>1120</v>
      </c>
      <c r="K14" t="s">
        <v>1124</v>
      </c>
      <c r="L14" t="s">
        <v>875</v>
      </c>
      <c r="O14" t="s">
        <v>751</v>
      </c>
      <c r="P14" t="s">
        <v>750</v>
      </c>
      <c r="Q14" t="s">
        <v>523</v>
      </c>
      <c r="R14" t="s">
        <v>524</v>
      </c>
      <c r="S14" t="s">
        <v>749</v>
      </c>
      <c r="T14" t="s">
        <v>870</v>
      </c>
      <c r="U14" t="s">
        <v>868</v>
      </c>
      <c r="W14" t="s">
        <v>751</v>
      </c>
      <c r="X14" t="s">
        <v>750</v>
      </c>
      <c r="Y14" t="s">
        <v>523</v>
      </c>
      <c r="Z14" t="s">
        <v>524</v>
      </c>
      <c r="AA14" t="s">
        <v>749</v>
      </c>
      <c r="AB14" t="s">
        <v>870</v>
      </c>
      <c r="AC14" t="s">
        <v>868</v>
      </c>
      <c r="AE14" t="s">
        <v>878</v>
      </c>
      <c r="AF14" t="s">
        <v>876</v>
      </c>
      <c r="AG14" t="s">
        <v>877</v>
      </c>
      <c r="AI14" t="s">
        <v>871</v>
      </c>
      <c r="AJ14" t="s">
        <v>876</v>
      </c>
      <c r="AK14" t="s">
        <v>877</v>
      </c>
    </row>
    <row r="15" spans="2:37">
      <c r="B15">
        <v>1</v>
      </c>
      <c r="C15">
        <f>'Lab test'!Q4</f>
        <v>26.18</v>
      </c>
      <c r="D15">
        <f>IF('Lab test'!AQ4&gt;0,'Lab test'!AQ4,NA())</f>
        <v>0.47570278474289773</v>
      </c>
      <c r="E15">
        <f>IF('Lab test'!AU4&gt;0,'Lab test'!AU4,NA())</f>
        <v>1.0371782312925171</v>
      </c>
      <c r="F15">
        <f>IF('Lab test'!AT4&gt;0,'Lab test'!AT4,NA())</f>
        <v>0.23470631808912235</v>
      </c>
      <c r="G15">
        <f>IF(AND(ISNUMBER(D15),ISNUMBER(E15)),1,NA())</f>
        <v>1</v>
      </c>
      <c r="H15">
        <f>IF(AND(ISNUMBER(D15),ISNUMBER(F15)),1,NA())</f>
        <v>1</v>
      </c>
      <c r="I15">
        <f>IF(AND(ISNUMBER(C15),ISNUMBER(E15)),1,NA())</f>
        <v>1</v>
      </c>
      <c r="J15">
        <f>IF(AND(ISNUMBER(C15),ISNUMBER(F15)),1,NA())</f>
        <v>1</v>
      </c>
      <c r="K15">
        <f>IF(OR(ISNUMBER(E15),ISNUMBER(F15)),1,NA())</f>
        <v>1</v>
      </c>
      <c r="L15" t="str">
        <f>'Lab test'!AC4</f>
        <v>Machined</v>
      </c>
      <c r="O15" t="e">
        <f>IF(EXACT($O$14,L15),E15,NA())</f>
        <v>#N/A</v>
      </c>
      <c r="P15" t="e">
        <f>IF(EXACT($P$14,L15),E15,NA())</f>
        <v>#N/A</v>
      </c>
      <c r="Q15" t="e">
        <f>IF(EXACT($Q$14,L15),E15,NA())</f>
        <v>#N/A</v>
      </c>
      <c r="R15">
        <f>IF(EXACT($R$14,L15),E15,NA())</f>
        <v>1.0371782312925171</v>
      </c>
      <c r="S15" t="e">
        <f>IF(EXACT($S$14,L15),E15,NA())</f>
        <v>#N/A</v>
      </c>
      <c r="T15" t="e">
        <f>IF(EXACT($T$14,L15),E15,NA())</f>
        <v>#N/A</v>
      </c>
      <c r="U15" t="e">
        <f>IF(EXACT($U$14,L15),E15,NA())</f>
        <v>#N/A</v>
      </c>
      <c r="W15" t="e">
        <f>IF(EXACT($W$14,L15),F15,NA())</f>
        <v>#N/A</v>
      </c>
      <c r="X15" t="e">
        <f>IF(EXACT($X$14,L15),F15,NA())</f>
        <v>#N/A</v>
      </c>
      <c r="Y15" t="e">
        <f>IF(EXACT($Y$14,L15),F15,NA())</f>
        <v>#N/A</v>
      </c>
      <c r="Z15">
        <f>IF(EXACT($Z$14,L15),F15,NA())</f>
        <v>0.23470631808912235</v>
      </c>
      <c r="AA15" t="e">
        <f>IF(EXACT($AA$14,L15),F15,NA())</f>
        <v>#N/A</v>
      </c>
      <c r="AB15" t="e">
        <f>IF(EXACT($AB$14,L15),F15,NA())</f>
        <v>#N/A</v>
      </c>
      <c r="AC15" t="e">
        <f>IF(EXACT($AC$14,L15),F15,NA())</f>
        <v>#N/A</v>
      </c>
      <c r="AE15">
        <v>0</v>
      </c>
      <c r="AF15">
        <v>1</v>
      </c>
      <c r="AG15">
        <f>AE15*AE15</f>
        <v>0</v>
      </c>
      <c r="AI15">
        <v>0</v>
      </c>
      <c r="AJ15">
        <v>1</v>
      </c>
      <c r="AK15">
        <v>1</v>
      </c>
    </row>
    <row r="16" spans="2:37">
      <c r="B16">
        <v>2</v>
      </c>
      <c r="C16">
        <f>'Lab test'!Q5</f>
        <v>26.44</v>
      </c>
      <c r="D16">
        <f>IF('Lab test'!AQ5&gt;0,'Lab test'!AQ5,NA())</f>
        <v>0.47805914917453252</v>
      </c>
      <c r="E16">
        <f>IF('Lab test'!AU5&gt;0,'Lab test'!AU5,NA())</f>
        <v>1.0106292902066485</v>
      </c>
      <c r="F16">
        <f>IF('Lab test'!AT5&gt;0,'Lab test'!AT5,NA())</f>
        <v>0.23096977394057869</v>
      </c>
      <c r="G16">
        <f t="shared" ref="G16:G79" si="0">IF(AND(ISNUMBER(D16),ISNUMBER(E16)),1,NA())</f>
        <v>1</v>
      </c>
      <c r="H16">
        <f t="shared" ref="H16:H79" si="1">IF(AND(ISNUMBER(D16),ISNUMBER(F16)),1,NA())</f>
        <v>1</v>
      </c>
      <c r="I16">
        <f t="shared" ref="I16:I79" si="2">IF(AND(ISNUMBER(C16),ISNUMBER(E16)),1,NA())</f>
        <v>1</v>
      </c>
      <c r="J16">
        <f t="shared" ref="J16:J79" si="3">IF(AND(ISNUMBER(C16),ISNUMBER(F16)),1,NA())</f>
        <v>1</v>
      </c>
      <c r="K16">
        <f t="shared" ref="K16:K79" si="4">IF(OR(ISNUMBER(E16),ISNUMBER(F16)),1,NA())</f>
        <v>1</v>
      </c>
      <c r="L16" t="str">
        <f>'Lab test'!AC5</f>
        <v>Machined</v>
      </c>
      <c r="O16" t="e">
        <f t="shared" ref="O16:O79" si="5">IF(EXACT($O$14,L16),E16,NA())</f>
        <v>#N/A</v>
      </c>
      <c r="P16" t="e">
        <f t="shared" ref="P16:P79" si="6">IF(EXACT($P$14,L16),E16,NA())</f>
        <v>#N/A</v>
      </c>
      <c r="Q16" t="e">
        <f t="shared" ref="Q16:Q79" si="7">IF(EXACT($Q$14,L16),E16,NA())</f>
        <v>#N/A</v>
      </c>
      <c r="R16">
        <f t="shared" ref="R16:R79" si="8">IF(EXACT($R$14,L16),E16,NA())</f>
        <v>1.0106292902066485</v>
      </c>
      <c r="S16" t="e">
        <f t="shared" ref="S16:S79" si="9">IF(EXACT($S$14,L16),E16,NA())</f>
        <v>#N/A</v>
      </c>
      <c r="T16" t="e">
        <f t="shared" ref="T16:T79" si="10">IF(EXACT($T$14,L16),E16,NA())</f>
        <v>#N/A</v>
      </c>
      <c r="U16" t="e">
        <f t="shared" ref="U16:U79" si="11">IF(EXACT($U$14,L16),E16,NA())</f>
        <v>#N/A</v>
      </c>
      <c r="W16" t="e">
        <f t="shared" ref="W16:W79" si="12">IF(EXACT($W$14,L16),F16,NA())</f>
        <v>#N/A</v>
      </c>
      <c r="X16" t="e">
        <f t="shared" ref="X16:X79" si="13">IF(EXACT($X$14,L16),F16,NA())</f>
        <v>#N/A</v>
      </c>
      <c r="Y16" t="e">
        <f t="shared" ref="Y16:Y79" si="14">IF(EXACT($Y$14,L16),F16,NA())</f>
        <v>#N/A</v>
      </c>
      <c r="Z16">
        <f t="shared" ref="Z16:Z79" si="15">IF(EXACT($Z$14,L16),F16,NA())</f>
        <v>0.23096977394057869</v>
      </c>
      <c r="AA16" t="e">
        <f t="shared" ref="AA16:AA79" si="16">IF(EXACT($AA$14,L16),F16,NA())</f>
        <v>#N/A</v>
      </c>
      <c r="AB16" t="e">
        <f t="shared" ref="AB16:AB79" si="17">IF(EXACT($AB$14,L16),F16,NA())</f>
        <v>#N/A</v>
      </c>
      <c r="AC16" t="e">
        <f t="shared" ref="AC16:AC79" si="18">IF(EXACT($AC$14,L16),F16,NA())</f>
        <v>#N/A</v>
      </c>
      <c r="AE16">
        <v>0.1</v>
      </c>
      <c r="AF16">
        <v>1</v>
      </c>
      <c r="AG16">
        <f t="shared" ref="AG16:AG24" si="19">AE16*AE16</f>
        <v>1.0000000000000002E-2</v>
      </c>
      <c r="AI16">
        <v>1500</v>
      </c>
      <c r="AJ16">
        <v>1</v>
      </c>
      <c r="AK16">
        <v>1</v>
      </c>
    </row>
    <row r="17" spans="2:33">
      <c r="B17">
        <v>3</v>
      </c>
      <c r="C17">
        <f>'Lab test'!Q6</f>
        <v>26.18</v>
      </c>
      <c r="D17">
        <f>IF('Lab test'!AQ6&gt;0,'Lab test'!AQ6,NA())</f>
        <v>0.47570278474289773</v>
      </c>
      <c r="E17">
        <f>IF('Lab test'!AU6&gt;0,'Lab test'!AU6,NA())</f>
        <v>1.0292135541008856</v>
      </c>
      <c r="F17">
        <f>IF('Lab test'!AT6&gt;0,'Lab test'!AT6,NA())</f>
        <v>0.23290396628302373</v>
      </c>
      <c r="G17">
        <f t="shared" si="0"/>
        <v>1</v>
      </c>
      <c r="H17">
        <f t="shared" si="1"/>
        <v>1</v>
      </c>
      <c r="I17">
        <f t="shared" si="2"/>
        <v>1</v>
      </c>
      <c r="J17">
        <f t="shared" si="3"/>
        <v>1</v>
      </c>
      <c r="K17">
        <f t="shared" si="4"/>
        <v>1</v>
      </c>
      <c r="L17" t="str">
        <f>'Lab test'!AC6</f>
        <v>Machined</v>
      </c>
      <c r="O17" t="e">
        <f t="shared" si="5"/>
        <v>#N/A</v>
      </c>
      <c r="P17" t="e">
        <f t="shared" si="6"/>
        <v>#N/A</v>
      </c>
      <c r="Q17" t="e">
        <f t="shared" si="7"/>
        <v>#N/A</v>
      </c>
      <c r="R17">
        <f t="shared" si="8"/>
        <v>1.0292135541008856</v>
      </c>
      <c r="S17" t="e">
        <f t="shared" si="9"/>
        <v>#N/A</v>
      </c>
      <c r="T17" t="e">
        <f t="shared" si="10"/>
        <v>#N/A</v>
      </c>
      <c r="U17" t="e">
        <f t="shared" si="11"/>
        <v>#N/A</v>
      </c>
      <c r="W17" t="e">
        <f t="shared" si="12"/>
        <v>#N/A</v>
      </c>
      <c r="X17" t="e">
        <f t="shared" si="13"/>
        <v>#N/A</v>
      </c>
      <c r="Y17" t="e">
        <f t="shared" si="14"/>
        <v>#N/A</v>
      </c>
      <c r="Z17">
        <f t="shared" si="15"/>
        <v>0.23290396628302373</v>
      </c>
      <c r="AA17" t="e">
        <f t="shared" si="16"/>
        <v>#N/A</v>
      </c>
      <c r="AB17" t="e">
        <f t="shared" si="17"/>
        <v>#N/A</v>
      </c>
      <c r="AC17" t="e">
        <f t="shared" si="18"/>
        <v>#N/A</v>
      </c>
      <c r="AE17">
        <v>0.2</v>
      </c>
      <c r="AF17">
        <v>1</v>
      </c>
      <c r="AG17">
        <f t="shared" si="19"/>
        <v>4.0000000000000008E-2</v>
      </c>
    </row>
    <row r="18" spans="2:33">
      <c r="B18">
        <v>4</v>
      </c>
      <c r="C18">
        <f>'Lab test'!Q7</f>
        <v>26.44</v>
      </c>
      <c r="D18">
        <f>IF('Lab test'!AQ7&gt;0,'Lab test'!AQ7,NA())</f>
        <v>0.47805914917453252</v>
      </c>
      <c r="E18">
        <f>IF('Lab test'!AU7&gt;0,'Lab test'!AU7,NA())</f>
        <v>1.0548774996791168</v>
      </c>
      <c r="F18">
        <f>IF('Lab test'!AT7&gt;0,'Lab test'!AT7,NA())</f>
        <v>0.241082284074776</v>
      </c>
      <c r="G18">
        <f t="shared" si="0"/>
        <v>1</v>
      </c>
      <c r="H18">
        <f t="shared" si="1"/>
        <v>1</v>
      </c>
      <c r="I18">
        <f t="shared" si="2"/>
        <v>1</v>
      </c>
      <c r="J18">
        <f t="shared" si="3"/>
        <v>1</v>
      </c>
      <c r="K18">
        <f t="shared" si="4"/>
        <v>1</v>
      </c>
      <c r="L18" t="str">
        <f>'Lab test'!AC7</f>
        <v>Machined</v>
      </c>
      <c r="O18" t="e">
        <f t="shared" si="5"/>
        <v>#N/A</v>
      </c>
      <c r="P18" t="e">
        <f t="shared" si="6"/>
        <v>#N/A</v>
      </c>
      <c r="Q18" t="e">
        <f t="shared" si="7"/>
        <v>#N/A</v>
      </c>
      <c r="R18">
        <f t="shared" si="8"/>
        <v>1.0548774996791168</v>
      </c>
      <c r="S18" t="e">
        <f t="shared" si="9"/>
        <v>#N/A</v>
      </c>
      <c r="T18" t="e">
        <f t="shared" si="10"/>
        <v>#N/A</v>
      </c>
      <c r="U18" t="e">
        <f t="shared" si="11"/>
        <v>#N/A</v>
      </c>
      <c r="W18" t="e">
        <f t="shared" si="12"/>
        <v>#N/A</v>
      </c>
      <c r="X18" t="e">
        <f t="shared" si="13"/>
        <v>#N/A</v>
      </c>
      <c r="Y18" t="e">
        <f t="shared" si="14"/>
        <v>#N/A</v>
      </c>
      <c r="Z18">
        <f t="shared" si="15"/>
        <v>0.241082284074776</v>
      </c>
      <c r="AA18" t="e">
        <f t="shared" si="16"/>
        <v>#N/A</v>
      </c>
      <c r="AB18" t="e">
        <f t="shared" si="17"/>
        <v>#N/A</v>
      </c>
      <c r="AC18" t="e">
        <f t="shared" si="18"/>
        <v>#N/A</v>
      </c>
      <c r="AE18">
        <v>0.3</v>
      </c>
      <c r="AF18">
        <v>1</v>
      </c>
      <c r="AG18">
        <f t="shared" si="19"/>
        <v>0.09</v>
      </c>
    </row>
    <row r="19" spans="2:33">
      <c r="B19">
        <v>5</v>
      </c>
      <c r="C19">
        <f>'Lab test'!Q8</f>
        <v>26.44</v>
      </c>
      <c r="D19">
        <f>IF('Lab test'!AQ8&gt;0,'Lab test'!AQ8,NA())</f>
        <v>0.47805914917453252</v>
      </c>
      <c r="E19">
        <f>IF('Lab test'!AU8&gt;0,'Lab test'!AU8,NA())</f>
        <v>1.0283285842638943</v>
      </c>
      <c r="F19">
        <f>IF('Lab test'!AT8&gt;0,'Lab test'!AT8,NA())</f>
        <v>0.23501478034097101</v>
      </c>
      <c r="G19">
        <f t="shared" si="0"/>
        <v>1</v>
      </c>
      <c r="H19">
        <f t="shared" si="1"/>
        <v>1</v>
      </c>
      <c r="I19">
        <f t="shared" si="2"/>
        <v>1</v>
      </c>
      <c r="J19">
        <f t="shared" si="3"/>
        <v>1</v>
      </c>
      <c r="K19">
        <f t="shared" si="4"/>
        <v>1</v>
      </c>
      <c r="L19" t="str">
        <f>'Lab test'!AC8</f>
        <v>Machined</v>
      </c>
      <c r="O19" t="e">
        <f t="shared" si="5"/>
        <v>#N/A</v>
      </c>
      <c r="P19" t="e">
        <f t="shared" si="6"/>
        <v>#N/A</v>
      </c>
      <c r="Q19" t="e">
        <f t="shared" si="7"/>
        <v>#N/A</v>
      </c>
      <c r="R19">
        <f t="shared" si="8"/>
        <v>1.0283285842638943</v>
      </c>
      <c r="S19" t="e">
        <f t="shared" si="9"/>
        <v>#N/A</v>
      </c>
      <c r="T19" t="e">
        <f t="shared" si="10"/>
        <v>#N/A</v>
      </c>
      <c r="U19" t="e">
        <f t="shared" si="11"/>
        <v>#N/A</v>
      </c>
      <c r="W19" t="e">
        <f t="shared" si="12"/>
        <v>#N/A</v>
      </c>
      <c r="X19" t="e">
        <f t="shared" si="13"/>
        <v>#N/A</v>
      </c>
      <c r="Y19" t="e">
        <f t="shared" si="14"/>
        <v>#N/A</v>
      </c>
      <c r="Z19">
        <f t="shared" si="15"/>
        <v>0.23501478034097101</v>
      </c>
      <c r="AA19" t="e">
        <f t="shared" si="16"/>
        <v>#N/A</v>
      </c>
      <c r="AB19" t="e">
        <f t="shared" si="17"/>
        <v>#N/A</v>
      </c>
      <c r="AC19" t="e">
        <f t="shared" si="18"/>
        <v>#N/A</v>
      </c>
      <c r="AE19">
        <v>0.4</v>
      </c>
      <c r="AF19">
        <v>1</v>
      </c>
      <c r="AG19">
        <f t="shared" si="19"/>
        <v>0.16000000000000003</v>
      </c>
    </row>
    <row r="20" spans="2:33">
      <c r="B20">
        <v>6</v>
      </c>
      <c r="C20">
        <f>'Lab test'!Q9</f>
        <v>26.56</v>
      </c>
      <c r="D20">
        <f>IF('Lab test'!AQ9&gt;0,'Lab test'!AQ9,NA())</f>
        <v>0.47914277537453276</v>
      </c>
      <c r="E20">
        <f>IF('Lab test'!AU9&gt;0,'Lab test'!AU9,NA())</f>
        <v>1.0300984982672314</v>
      </c>
      <c r="F20">
        <f>IF('Lab test'!AT9&gt;0,'Lab test'!AT9,NA())</f>
        <v>0.23648774618483362</v>
      </c>
      <c r="G20">
        <f t="shared" si="0"/>
        <v>1</v>
      </c>
      <c r="H20">
        <f t="shared" si="1"/>
        <v>1</v>
      </c>
      <c r="I20">
        <f t="shared" si="2"/>
        <v>1</v>
      </c>
      <c r="J20">
        <f t="shared" si="3"/>
        <v>1</v>
      </c>
      <c r="K20">
        <f t="shared" si="4"/>
        <v>1</v>
      </c>
      <c r="L20" t="str">
        <f>'Lab test'!AC9</f>
        <v>Machined</v>
      </c>
      <c r="O20" t="e">
        <f t="shared" si="5"/>
        <v>#N/A</v>
      </c>
      <c r="P20" t="e">
        <f t="shared" si="6"/>
        <v>#N/A</v>
      </c>
      <c r="Q20" t="e">
        <f t="shared" si="7"/>
        <v>#N/A</v>
      </c>
      <c r="R20">
        <f t="shared" si="8"/>
        <v>1.0300984982672314</v>
      </c>
      <c r="S20" t="e">
        <f t="shared" si="9"/>
        <v>#N/A</v>
      </c>
      <c r="T20" t="e">
        <f t="shared" si="10"/>
        <v>#N/A</v>
      </c>
      <c r="U20" t="e">
        <f t="shared" si="11"/>
        <v>#N/A</v>
      </c>
      <c r="W20" t="e">
        <f t="shared" si="12"/>
        <v>#N/A</v>
      </c>
      <c r="X20" t="e">
        <f t="shared" si="13"/>
        <v>#N/A</v>
      </c>
      <c r="Y20" t="e">
        <f t="shared" si="14"/>
        <v>#N/A</v>
      </c>
      <c r="Z20">
        <f t="shared" si="15"/>
        <v>0.23648774618483362</v>
      </c>
      <c r="AA20" t="e">
        <f t="shared" si="16"/>
        <v>#N/A</v>
      </c>
      <c r="AB20" t="e">
        <f t="shared" si="17"/>
        <v>#N/A</v>
      </c>
      <c r="AC20" t="e">
        <f t="shared" si="18"/>
        <v>#N/A</v>
      </c>
      <c r="AE20">
        <v>0.5</v>
      </c>
      <c r="AF20">
        <v>1</v>
      </c>
      <c r="AG20">
        <f t="shared" si="19"/>
        <v>0.25</v>
      </c>
    </row>
    <row r="21" spans="2:33">
      <c r="B21">
        <v>7</v>
      </c>
      <c r="C21">
        <f>'Lab test'!Q10</f>
        <v>26.61</v>
      </c>
      <c r="D21">
        <f>IF('Lab test'!AQ10&gt;0,'Lab test'!AQ10,NA())</f>
        <v>0.47959353802703941</v>
      </c>
      <c r="E21">
        <f>IF('Lab test'!AU10&gt;0,'Lab test'!AU10,NA())</f>
        <v>1.0300984982672314</v>
      </c>
      <c r="F21">
        <f>IF('Lab test'!AT10&gt;0,'Lab test'!AT10,NA())</f>
        <v>0.23693291615148723</v>
      </c>
      <c r="G21">
        <f t="shared" si="0"/>
        <v>1</v>
      </c>
      <c r="H21">
        <f t="shared" si="1"/>
        <v>1</v>
      </c>
      <c r="I21">
        <f t="shared" si="2"/>
        <v>1</v>
      </c>
      <c r="J21">
        <f t="shared" si="3"/>
        <v>1</v>
      </c>
      <c r="K21">
        <f t="shared" si="4"/>
        <v>1</v>
      </c>
      <c r="L21" t="str">
        <f>'Lab test'!AC10</f>
        <v>Machined</v>
      </c>
      <c r="O21" t="e">
        <f t="shared" si="5"/>
        <v>#N/A</v>
      </c>
      <c r="P21" t="e">
        <f t="shared" si="6"/>
        <v>#N/A</v>
      </c>
      <c r="Q21" t="e">
        <f t="shared" si="7"/>
        <v>#N/A</v>
      </c>
      <c r="R21">
        <f t="shared" si="8"/>
        <v>1.0300984982672314</v>
      </c>
      <c r="S21" t="e">
        <f t="shared" si="9"/>
        <v>#N/A</v>
      </c>
      <c r="T21" t="e">
        <f t="shared" si="10"/>
        <v>#N/A</v>
      </c>
      <c r="U21" t="e">
        <f t="shared" si="11"/>
        <v>#N/A</v>
      </c>
      <c r="W21" t="e">
        <f t="shared" si="12"/>
        <v>#N/A</v>
      </c>
      <c r="X21" t="e">
        <f t="shared" si="13"/>
        <v>#N/A</v>
      </c>
      <c r="Y21" t="e">
        <f t="shared" si="14"/>
        <v>#N/A</v>
      </c>
      <c r="Z21">
        <f t="shared" si="15"/>
        <v>0.23693291615148723</v>
      </c>
      <c r="AA21" t="e">
        <f t="shared" si="16"/>
        <v>#N/A</v>
      </c>
      <c r="AB21" t="e">
        <f t="shared" si="17"/>
        <v>#N/A</v>
      </c>
      <c r="AC21" t="e">
        <f t="shared" si="18"/>
        <v>#N/A</v>
      </c>
      <c r="AE21">
        <v>0.6</v>
      </c>
      <c r="AF21">
        <v>1</v>
      </c>
      <c r="AG21">
        <f t="shared" si="19"/>
        <v>0.36</v>
      </c>
    </row>
    <row r="22" spans="2:33">
      <c r="B22">
        <v>8</v>
      </c>
      <c r="C22">
        <f>'Lab test'!Q11</f>
        <v>25.94</v>
      </c>
      <c r="D22">
        <f>IF('Lab test'!AQ11&gt;0,'Lab test'!AQ11,NA())</f>
        <v>0.47351730583085017</v>
      </c>
      <c r="E22">
        <f>IF('Lab test'!AU11&gt;0,'Lab test'!AU11,NA())</f>
        <v>1.0543465280451803</v>
      </c>
      <c r="F22">
        <f>IF('Lab test'!AT11&gt;0,'Lab test'!AT11,NA())</f>
        <v>0.23640414346969585</v>
      </c>
      <c r="G22">
        <f t="shared" si="0"/>
        <v>1</v>
      </c>
      <c r="H22">
        <f t="shared" si="1"/>
        <v>1</v>
      </c>
      <c r="I22">
        <f t="shared" si="2"/>
        <v>1</v>
      </c>
      <c r="J22">
        <f t="shared" si="3"/>
        <v>1</v>
      </c>
      <c r="K22">
        <f t="shared" si="4"/>
        <v>1</v>
      </c>
      <c r="L22" t="str">
        <f>'Lab test'!AC11</f>
        <v>Machined</v>
      </c>
      <c r="O22" t="e">
        <f t="shared" si="5"/>
        <v>#N/A</v>
      </c>
      <c r="P22" t="e">
        <f t="shared" si="6"/>
        <v>#N/A</v>
      </c>
      <c r="Q22" t="e">
        <f t="shared" si="7"/>
        <v>#N/A</v>
      </c>
      <c r="R22">
        <f t="shared" si="8"/>
        <v>1.0543465280451803</v>
      </c>
      <c r="S22" t="e">
        <f t="shared" si="9"/>
        <v>#N/A</v>
      </c>
      <c r="T22" t="e">
        <f t="shared" si="10"/>
        <v>#N/A</v>
      </c>
      <c r="U22" t="e">
        <f t="shared" si="11"/>
        <v>#N/A</v>
      </c>
      <c r="W22" t="e">
        <f t="shared" si="12"/>
        <v>#N/A</v>
      </c>
      <c r="X22" t="e">
        <f t="shared" si="13"/>
        <v>#N/A</v>
      </c>
      <c r="Y22" t="e">
        <f t="shared" si="14"/>
        <v>#N/A</v>
      </c>
      <c r="Z22">
        <f t="shared" si="15"/>
        <v>0.23640414346969585</v>
      </c>
      <c r="AA22" t="e">
        <f t="shared" si="16"/>
        <v>#N/A</v>
      </c>
      <c r="AB22" t="e">
        <f t="shared" si="17"/>
        <v>#N/A</v>
      </c>
      <c r="AC22" t="e">
        <f t="shared" si="18"/>
        <v>#N/A</v>
      </c>
      <c r="AE22">
        <v>0.7</v>
      </c>
      <c r="AF22">
        <v>1</v>
      </c>
      <c r="AG22">
        <f t="shared" si="19"/>
        <v>0.48999999999999994</v>
      </c>
    </row>
    <row r="23" spans="2:33">
      <c r="B23">
        <v>9</v>
      </c>
      <c r="C23">
        <f>'Lab test'!Q12</f>
        <v>25.88</v>
      </c>
      <c r="D23">
        <f>IF('Lab test'!AQ12&gt;0,'Lab test'!AQ12,NA())</f>
        <v>0.47296936733220801</v>
      </c>
      <c r="E23">
        <f>IF('Lab test'!AU12&gt;0,'Lab test'!AU12,NA())</f>
        <v>1.040010114234373</v>
      </c>
      <c r="F23">
        <f>IF('Lab test'!AT12&gt;0,'Lab test'!AT12,NA())</f>
        <v>0.23265028588647044</v>
      </c>
      <c r="G23">
        <f t="shared" si="0"/>
        <v>1</v>
      </c>
      <c r="H23">
        <f t="shared" si="1"/>
        <v>1</v>
      </c>
      <c r="I23">
        <f t="shared" si="2"/>
        <v>1</v>
      </c>
      <c r="J23">
        <f t="shared" si="3"/>
        <v>1</v>
      </c>
      <c r="K23">
        <f t="shared" si="4"/>
        <v>1</v>
      </c>
      <c r="L23" t="str">
        <f>'Lab test'!AC12</f>
        <v>Machined</v>
      </c>
      <c r="O23" t="e">
        <f t="shared" si="5"/>
        <v>#N/A</v>
      </c>
      <c r="P23" t="e">
        <f t="shared" si="6"/>
        <v>#N/A</v>
      </c>
      <c r="Q23" t="e">
        <f t="shared" si="7"/>
        <v>#N/A</v>
      </c>
      <c r="R23">
        <f t="shared" si="8"/>
        <v>1.040010114234373</v>
      </c>
      <c r="S23" t="e">
        <f t="shared" si="9"/>
        <v>#N/A</v>
      </c>
      <c r="T23" t="e">
        <f t="shared" si="10"/>
        <v>#N/A</v>
      </c>
      <c r="U23" t="e">
        <f t="shared" si="11"/>
        <v>#N/A</v>
      </c>
      <c r="W23" t="e">
        <f t="shared" si="12"/>
        <v>#N/A</v>
      </c>
      <c r="X23" t="e">
        <f t="shared" si="13"/>
        <v>#N/A</v>
      </c>
      <c r="Y23" t="e">
        <f t="shared" si="14"/>
        <v>#N/A</v>
      </c>
      <c r="Z23">
        <f t="shared" si="15"/>
        <v>0.23265028588647044</v>
      </c>
      <c r="AA23" t="e">
        <f t="shared" si="16"/>
        <v>#N/A</v>
      </c>
      <c r="AB23" t="e">
        <f t="shared" si="17"/>
        <v>#N/A</v>
      </c>
      <c r="AC23" t="e">
        <f t="shared" si="18"/>
        <v>#N/A</v>
      </c>
      <c r="AE23">
        <v>0.8</v>
      </c>
      <c r="AF23">
        <v>1</v>
      </c>
      <c r="AG23">
        <f t="shared" si="19"/>
        <v>0.64000000000000012</v>
      </c>
    </row>
    <row r="24" spans="2:33">
      <c r="B24">
        <v>10</v>
      </c>
      <c r="C24">
        <f>'Lab test'!Q13</f>
        <v>26.04</v>
      </c>
      <c r="D24" t="e">
        <f>IF('Lab test'!AQ13&gt;0,'Lab test'!AQ13,NA())</f>
        <v>#N/A</v>
      </c>
      <c r="E24" t="e">
        <f>IF('Lab test'!AU13&gt;0,'Lab test'!AU13,NA())</f>
        <v>#N/A</v>
      </c>
      <c r="F24" t="e">
        <f>IF('Lab test'!AT13&gt;0,'Lab test'!AT13,NA())</f>
        <v>#N/A</v>
      </c>
      <c r="G24" t="e">
        <f t="shared" si="0"/>
        <v>#N/A</v>
      </c>
      <c r="H24" t="e">
        <f t="shared" si="1"/>
        <v>#N/A</v>
      </c>
      <c r="I24" t="e">
        <f t="shared" si="2"/>
        <v>#N/A</v>
      </c>
      <c r="J24" t="e">
        <f t="shared" si="3"/>
        <v>#N/A</v>
      </c>
      <c r="K24" t="e">
        <f t="shared" si="4"/>
        <v>#N/A</v>
      </c>
      <c r="L24" t="str">
        <f>'Lab test'!AC13</f>
        <v>Machined</v>
      </c>
      <c r="O24" t="e">
        <f t="shared" si="5"/>
        <v>#N/A</v>
      </c>
      <c r="P24" t="e">
        <f t="shared" si="6"/>
        <v>#N/A</v>
      </c>
      <c r="Q24" t="e">
        <f t="shared" si="7"/>
        <v>#N/A</v>
      </c>
      <c r="R24" t="e">
        <f t="shared" si="8"/>
        <v>#N/A</v>
      </c>
      <c r="S24" t="e">
        <f t="shared" si="9"/>
        <v>#N/A</v>
      </c>
      <c r="T24" t="e">
        <f t="shared" si="10"/>
        <v>#N/A</v>
      </c>
      <c r="U24" t="e">
        <f t="shared" si="11"/>
        <v>#N/A</v>
      </c>
      <c r="W24" t="e">
        <f t="shared" si="12"/>
        <v>#N/A</v>
      </c>
      <c r="X24" t="e">
        <f t="shared" si="13"/>
        <v>#N/A</v>
      </c>
      <c r="Y24" t="e">
        <f t="shared" si="14"/>
        <v>#N/A</v>
      </c>
      <c r="Z24" t="e">
        <f t="shared" si="15"/>
        <v>#N/A</v>
      </c>
      <c r="AA24" t="e">
        <f t="shared" si="16"/>
        <v>#N/A</v>
      </c>
      <c r="AB24" t="e">
        <f t="shared" si="17"/>
        <v>#N/A</v>
      </c>
      <c r="AC24" t="e">
        <f t="shared" si="18"/>
        <v>#N/A</v>
      </c>
      <c r="AE24">
        <v>0.9</v>
      </c>
      <c r="AF24">
        <v>1</v>
      </c>
      <c r="AG24">
        <f t="shared" si="19"/>
        <v>0.81</v>
      </c>
    </row>
    <row r="25" spans="2:33">
      <c r="B25">
        <v>11</v>
      </c>
      <c r="C25">
        <f>'Lab test'!Q14</f>
        <v>114.56</v>
      </c>
      <c r="D25">
        <f>IF('Lab test'!AQ14&gt;0,'Lab test'!AQ14,NA())</f>
        <v>0.99510148015665967</v>
      </c>
      <c r="E25">
        <f>IF('Lab test'!AU14&gt;0,'Lab test'!AU14,NA())</f>
        <v>0.5846074444872289</v>
      </c>
      <c r="F25">
        <f>IF('Lab test'!AT14&gt;0,'Lab test'!AT14,NA())</f>
        <v>0.57889405009843753</v>
      </c>
      <c r="G25">
        <f t="shared" si="0"/>
        <v>1</v>
      </c>
      <c r="H25">
        <f t="shared" si="1"/>
        <v>1</v>
      </c>
      <c r="I25">
        <f t="shared" si="2"/>
        <v>1</v>
      </c>
      <c r="J25">
        <f t="shared" si="3"/>
        <v>1</v>
      </c>
      <c r="K25">
        <f t="shared" si="4"/>
        <v>1</v>
      </c>
      <c r="L25" t="str">
        <f>'Lab test'!AC14</f>
        <v>Machined</v>
      </c>
      <c r="O25" t="e">
        <f t="shared" si="5"/>
        <v>#N/A</v>
      </c>
      <c r="P25" t="e">
        <f t="shared" si="6"/>
        <v>#N/A</v>
      </c>
      <c r="Q25" t="e">
        <f t="shared" si="7"/>
        <v>#N/A</v>
      </c>
      <c r="R25">
        <f t="shared" si="8"/>
        <v>0.5846074444872289</v>
      </c>
      <c r="S25" t="e">
        <f t="shared" si="9"/>
        <v>#N/A</v>
      </c>
      <c r="T25" t="e">
        <f t="shared" si="10"/>
        <v>#N/A</v>
      </c>
      <c r="U25" t="e">
        <f t="shared" si="11"/>
        <v>#N/A</v>
      </c>
      <c r="W25" t="e">
        <f t="shared" si="12"/>
        <v>#N/A</v>
      </c>
      <c r="X25" t="e">
        <f t="shared" si="13"/>
        <v>#N/A</v>
      </c>
      <c r="Y25" t="e">
        <f t="shared" si="14"/>
        <v>#N/A</v>
      </c>
      <c r="Z25">
        <f t="shared" si="15"/>
        <v>0.57889405009843753</v>
      </c>
      <c r="AA25" t="e">
        <f t="shared" si="16"/>
        <v>#N/A</v>
      </c>
      <c r="AB25" t="e">
        <f t="shared" si="17"/>
        <v>#N/A</v>
      </c>
      <c r="AC25" t="e">
        <f t="shared" si="18"/>
        <v>#N/A</v>
      </c>
      <c r="AE25">
        <v>1</v>
      </c>
      <c r="AF25">
        <v>1</v>
      </c>
      <c r="AG25">
        <v>1</v>
      </c>
    </row>
    <row r="26" spans="2:33">
      <c r="B26">
        <v>12</v>
      </c>
      <c r="C26">
        <f>'Lab test'!Q15</f>
        <v>116.61</v>
      </c>
      <c r="D26">
        <f>IF('Lab test'!AQ15&gt;0,'Lab test'!AQ15,NA())</f>
        <v>1.0039654620235532</v>
      </c>
      <c r="E26">
        <f>IF('Lab test'!AU15&gt;0,'Lab test'!AU15,NA())</f>
        <v>0.56230635348479008</v>
      </c>
      <c r="F26">
        <f>IF('Lab test'!AT15&gt;0,'Lab test'!AT15,NA())</f>
        <v>0.56677480467050978</v>
      </c>
      <c r="G26">
        <f t="shared" si="0"/>
        <v>1</v>
      </c>
      <c r="H26">
        <f t="shared" si="1"/>
        <v>1</v>
      </c>
      <c r="I26">
        <f t="shared" si="2"/>
        <v>1</v>
      </c>
      <c r="J26">
        <f t="shared" si="3"/>
        <v>1</v>
      </c>
      <c r="K26">
        <f t="shared" si="4"/>
        <v>1</v>
      </c>
      <c r="L26" t="str">
        <f>'Lab test'!AC15</f>
        <v>Machined</v>
      </c>
      <c r="O26" t="e">
        <f t="shared" si="5"/>
        <v>#N/A</v>
      </c>
      <c r="P26" t="e">
        <f t="shared" si="6"/>
        <v>#N/A</v>
      </c>
      <c r="Q26" t="e">
        <f t="shared" si="7"/>
        <v>#N/A</v>
      </c>
      <c r="R26">
        <f t="shared" si="8"/>
        <v>0.56230635348479008</v>
      </c>
      <c r="S26" t="e">
        <f t="shared" si="9"/>
        <v>#N/A</v>
      </c>
      <c r="T26" t="e">
        <f t="shared" si="10"/>
        <v>#N/A</v>
      </c>
      <c r="U26" t="e">
        <f t="shared" si="11"/>
        <v>#N/A</v>
      </c>
      <c r="W26" t="e">
        <f t="shared" si="12"/>
        <v>#N/A</v>
      </c>
      <c r="X26" t="e">
        <f t="shared" si="13"/>
        <v>#N/A</v>
      </c>
      <c r="Y26" t="e">
        <f t="shared" si="14"/>
        <v>#N/A</v>
      </c>
      <c r="Z26">
        <f t="shared" si="15"/>
        <v>0.56677480467050978</v>
      </c>
      <c r="AA26" t="e">
        <f t="shared" si="16"/>
        <v>#N/A</v>
      </c>
      <c r="AB26" t="e">
        <f t="shared" si="17"/>
        <v>#N/A</v>
      </c>
      <c r="AC26" t="e">
        <f t="shared" si="18"/>
        <v>#N/A</v>
      </c>
      <c r="AE26">
        <v>1.1000000000000001</v>
      </c>
      <c r="AF26">
        <f>1/AE26^2</f>
        <v>0.82644628099173545</v>
      </c>
      <c r="AG26">
        <v>1</v>
      </c>
    </row>
    <row r="27" spans="2:33">
      <c r="B27">
        <v>13</v>
      </c>
      <c r="C27">
        <f>'Lab test'!Q16</f>
        <v>113.6</v>
      </c>
      <c r="D27">
        <f>IF('Lab test'!AQ16&gt;0,'Lab test'!AQ16,NA())</f>
        <v>0.99092334270835547</v>
      </c>
      <c r="E27">
        <f>IF('Lab test'!AU16&gt;0,'Lab test'!AU16,NA())</f>
        <v>0.63009462199974331</v>
      </c>
      <c r="F27">
        <f>IF('Lab test'!AT16&gt;0,'Lab test'!AT16,NA())</f>
        <v>0.61870822690062544</v>
      </c>
      <c r="G27">
        <f t="shared" si="0"/>
        <v>1</v>
      </c>
      <c r="H27">
        <f t="shared" si="1"/>
        <v>1</v>
      </c>
      <c r="I27">
        <f t="shared" si="2"/>
        <v>1</v>
      </c>
      <c r="J27">
        <f t="shared" si="3"/>
        <v>1</v>
      </c>
      <c r="K27">
        <f t="shared" si="4"/>
        <v>1</v>
      </c>
      <c r="L27" t="str">
        <f>'Lab test'!AC16</f>
        <v>Machined</v>
      </c>
      <c r="O27" t="e">
        <f t="shared" si="5"/>
        <v>#N/A</v>
      </c>
      <c r="P27" t="e">
        <f t="shared" si="6"/>
        <v>#N/A</v>
      </c>
      <c r="Q27" t="e">
        <f t="shared" si="7"/>
        <v>#N/A</v>
      </c>
      <c r="R27">
        <f t="shared" si="8"/>
        <v>0.63009462199974331</v>
      </c>
      <c r="S27" t="e">
        <f t="shared" si="9"/>
        <v>#N/A</v>
      </c>
      <c r="T27" t="e">
        <f t="shared" si="10"/>
        <v>#N/A</v>
      </c>
      <c r="U27" t="e">
        <f t="shared" si="11"/>
        <v>#N/A</v>
      </c>
      <c r="W27" t="e">
        <f t="shared" si="12"/>
        <v>#N/A</v>
      </c>
      <c r="X27" t="e">
        <f t="shared" si="13"/>
        <v>#N/A</v>
      </c>
      <c r="Y27" t="e">
        <f t="shared" si="14"/>
        <v>#N/A</v>
      </c>
      <c r="Z27">
        <f t="shared" si="15"/>
        <v>0.61870822690062544</v>
      </c>
      <c r="AA27" t="e">
        <f t="shared" si="16"/>
        <v>#N/A</v>
      </c>
      <c r="AB27" t="e">
        <f t="shared" si="17"/>
        <v>#N/A</v>
      </c>
      <c r="AC27" t="e">
        <f t="shared" si="18"/>
        <v>#N/A</v>
      </c>
      <c r="AE27">
        <v>1.2</v>
      </c>
      <c r="AF27">
        <f t="shared" ref="AF27:AF45" si="20">1/AE27^2</f>
        <v>0.69444444444444442</v>
      </c>
      <c r="AG27">
        <v>1</v>
      </c>
    </row>
    <row r="28" spans="2:33">
      <c r="B28">
        <v>14</v>
      </c>
      <c r="C28">
        <f>'Lab test'!Q17</f>
        <v>121.25</v>
      </c>
      <c r="D28">
        <f>IF('Lab test'!AQ17&gt;0,'Lab test'!AQ17,NA())</f>
        <v>1.023744937019164</v>
      </c>
      <c r="E28">
        <f>IF('Lab test'!AU17&gt;0,'Lab test'!AU17,NA())</f>
        <v>0.5877933256321396</v>
      </c>
      <c r="F28">
        <f>IF('Lab test'!AT17&gt;0,'Lab test'!AT17,NA())</f>
        <v>0.6160389674554354</v>
      </c>
      <c r="G28">
        <f t="shared" si="0"/>
        <v>1</v>
      </c>
      <c r="H28">
        <f t="shared" si="1"/>
        <v>1</v>
      </c>
      <c r="I28">
        <f t="shared" si="2"/>
        <v>1</v>
      </c>
      <c r="J28">
        <f t="shared" si="3"/>
        <v>1</v>
      </c>
      <c r="K28">
        <f t="shared" si="4"/>
        <v>1</v>
      </c>
      <c r="L28" t="str">
        <f>'Lab test'!AC17</f>
        <v>Machined</v>
      </c>
      <c r="O28" t="e">
        <f t="shared" si="5"/>
        <v>#N/A</v>
      </c>
      <c r="P28" t="e">
        <f t="shared" si="6"/>
        <v>#N/A</v>
      </c>
      <c r="Q28" t="e">
        <f t="shared" si="7"/>
        <v>#N/A</v>
      </c>
      <c r="R28">
        <f t="shared" si="8"/>
        <v>0.5877933256321396</v>
      </c>
      <c r="S28" t="e">
        <f t="shared" si="9"/>
        <v>#N/A</v>
      </c>
      <c r="T28" t="e">
        <f t="shared" si="10"/>
        <v>#N/A</v>
      </c>
      <c r="U28" t="e">
        <f t="shared" si="11"/>
        <v>#N/A</v>
      </c>
      <c r="W28" t="e">
        <f t="shared" si="12"/>
        <v>#N/A</v>
      </c>
      <c r="X28" t="e">
        <f t="shared" si="13"/>
        <v>#N/A</v>
      </c>
      <c r="Y28" t="e">
        <f t="shared" si="14"/>
        <v>#N/A</v>
      </c>
      <c r="Z28">
        <f t="shared" si="15"/>
        <v>0.6160389674554354</v>
      </c>
      <c r="AA28" t="e">
        <f t="shared" si="16"/>
        <v>#N/A</v>
      </c>
      <c r="AB28" t="e">
        <f t="shared" si="17"/>
        <v>#N/A</v>
      </c>
      <c r="AC28" t="e">
        <f t="shared" si="18"/>
        <v>#N/A</v>
      </c>
      <c r="AE28">
        <v>1.3</v>
      </c>
      <c r="AF28">
        <f t="shared" si="20"/>
        <v>0.59171597633136086</v>
      </c>
      <c r="AG28">
        <v>1</v>
      </c>
    </row>
    <row r="29" spans="2:33">
      <c r="B29">
        <v>15</v>
      </c>
      <c r="C29">
        <f>'Lab test'!Q18</f>
        <v>9.6999999999999993</v>
      </c>
      <c r="D29">
        <f>IF('Lab test'!AQ18&gt;0,'Lab test'!AQ18,NA())</f>
        <v>0.28955881151529872</v>
      </c>
      <c r="E29">
        <f>IF('Lab test'!AU18&gt;0,'Lab test'!AU18,NA())</f>
        <v>1.2324013605442177</v>
      </c>
      <c r="F29">
        <f>IF('Lab test'!AT18&gt;0,'Lab test'!AT18,NA())</f>
        <v>0.10332983595783488</v>
      </c>
      <c r="G29">
        <f t="shared" si="0"/>
        <v>1</v>
      </c>
      <c r="H29">
        <f t="shared" si="1"/>
        <v>1</v>
      </c>
      <c r="I29">
        <f t="shared" si="2"/>
        <v>1</v>
      </c>
      <c r="J29">
        <f t="shared" si="3"/>
        <v>1</v>
      </c>
      <c r="K29">
        <f t="shared" si="4"/>
        <v>1</v>
      </c>
      <c r="L29" t="str">
        <f>'Lab test'!AC18</f>
        <v>Machined</v>
      </c>
      <c r="O29" t="e">
        <f t="shared" si="5"/>
        <v>#N/A</v>
      </c>
      <c r="P29" t="e">
        <f t="shared" si="6"/>
        <v>#N/A</v>
      </c>
      <c r="Q29" t="e">
        <f t="shared" si="7"/>
        <v>#N/A</v>
      </c>
      <c r="R29">
        <f t="shared" si="8"/>
        <v>1.2324013605442177</v>
      </c>
      <c r="S29" t="e">
        <f t="shared" si="9"/>
        <v>#N/A</v>
      </c>
      <c r="T29" t="e">
        <f t="shared" si="10"/>
        <v>#N/A</v>
      </c>
      <c r="U29" t="e">
        <f t="shared" si="11"/>
        <v>#N/A</v>
      </c>
      <c r="W29" t="e">
        <f t="shared" si="12"/>
        <v>#N/A</v>
      </c>
      <c r="X29" t="e">
        <f t="shared" si="13"/>
        <v>#N/A</v>
      </c>
      <c r="Y29" t="e">
        <f t="shared" si="14"/>
        <v>#N/A</v>
      </c>
      <c r="Z29">
        <f t="shared" si="15"/>
        <v>0.10332983595783488</v>
      </c>
      <c r="AA29" t="e">
        <f t="shared" si="16"/>
        <v>#N/A</v>
      </c>
      <c r="AB29" t="e">
        <f t="shared" si="17"/>
        <v>#N/A</v>
      </c>
      <c r="AC29" t="e">
        <f t="shared" si="18"/>
        <v>#N/A</v>
      </c>
      <c r="AE29">
        <v>1.4</v>
      </c>
      <c r="AF29">
        <f t="shared" si="20"/>
        <v>0.51020408163265318</v>
      </c>
      <c r="AG29">
        <v>1</v>
      </c>
    </row>
    <row r="30" spans="2:33">
      <c r="B30">
        <v>16</v>
      </c>
      <c r="C30">
        <f>'Lab test'!Q19</f>
        <v>14.02</v>
      </c>
      <c r="D30">
        <f>IF('Lab test'!AQ19&gt;0,'Lab test'!AQ19,NA())</f>
        <v>0.34811673772961743</v>
      </c>
      <c r="E30">
        <f>IF('Lab test'!AU19&gt;0,'Lab test'!AU19,NA())</f>
        <v>1.1347012963676038</v>
      </c>
      <c r="F30">
        <f>IF('Lab test'!AT19&gt;0,'Lab test'!AT19,NA())</f>
        <v>0.13750907512604812</v>
      </c>
      <c r="G30">
        <f t="shared" si="0"/>
        <v>1</v>
      </c>
      <c r="H30">
        <f t="shared" si="1"/>
        <v>1</v>
      </c>
      <c r="I30">
        <f t="shared" si="2"/>
        <v>1</v>
      </c>
      <c r="J30">
        <f t="shared" si="3"/>
        <v>1</v>
      </c>
      <c r="K30">
        <f t="shared" si="4"/>
        <v>1</v>
      </c>
      <c r="L30" t="str">
        <f>'Lab test'!AC19</f>
        <v>Machined</v>
      </c>
      <c r="O30" t="e">
        <f t="shared" si="5"/>
        <v>#N/A</v>
      </c>
      <c r="P30" t="e">
        <f t="shared" si="6"/>
        <v>#N/A</v>
      </c>
      <c r="Q30" t="e">
        <f t="shared" si="7"/>
        <v>#N/A</v>
      </c>
      <c r="R30">
        <f t="shared" si="8"/>
        <v>1.1347012963676038</v>
      </c>
      <c r="S30" t="e">
        <f t="shared" si="9"/>
        <v>#N/A</v>
      </c>
      <c r="T30" t="e">
        <f t="shared" si="10"/>
        <v>#N/A</v>
      </c>
      <c r="U30" t="e">
        <f t="shared" si="11"/>
        <v>#N/A</v>
      </c>
      <c r="W30" t="e">
        <f t="shared" si="12"/>
        <v>#N/A</v>
      </c>
      <c r="X30" t="e">
        <f t="shared" si="13"/>
        <v>#N/A</v>
      </c>
      <c r="Y30" t="e">
        <f t="shared" si="14"/>
        <v>#N/A</v>
      </c>
      <c r="Z30">
        <f t="shared" si="15"/>
        <v>0.13750907512604812</v>
      </c>
      <c r="AA30" t="e">
        <f t="shared" si="16"/>
        <v>#N/A</v>
      </c>
      <c r="AB30" t="e">
        <f t="shared" si="17"/>
        <v>#N/A</v>
      </c>
      <c r="AC30" t="e">
        <f t="shared" si="18"/>
        <v>#N/A</v>
      </c>
      <c r="AE30">
        <v>1.5</v>
      </c>
      <c r="AF30">
        <f t="shared" si="20"/>
        <v>0.44444444444444442</v>
      </c>
      <c r="AG30">
        <v>1</v>
      </c>
    </row>
    <row r="31" spans="2:33">
      <c r="B31">
        <v>17</v>
      </c>
      <c r="C31">
        <f>'Lab test'!Q20</f>
        <v>19.71</v>
      </c>
      <c r="D31">
        <f>IF('Lab test'!AQ20&gt;0,'Lab test'!AQ20,NA())</f>
        <v>0.41275676901614267</v>
      </c>
      <c r="E31">
        <f>IF('Lab test'!AU20&gt;0,'Lab test'!AU20,NA())</f>
        <v>1.0899220895905533</v>
      </c>
      <c r="F31">
        <f>IF('Lab test'!AT20&gt;0,'Lab test'!AT20,NA())</f>
        <v>0.1856880104494715</v>
      </c>
      <c r="G31">
        <f t="shared" si="0"/>
        <v>1</v>
      </c>
      <c r="H31">
        <f t="shared" si="1"/>
        <v>1</v>
      </c>
      <c r="I31">
        <f t="shared" si="2"/>
        <v>1</v>
      </c>
      <c r="J31">
        <f t="shared" si="3"/>
        <v>1</v>
      </c>
      <c r="K31">
        <f t="shared" si="4"/>
        <v>1</v>
      </c>
      <c r="L31" t="str">
        <f>'Lab test'!AC20</f>
        <v>Machined</v>
      </c>
      <c r="O31" t="e">
        <f t="shared" si="5"/>
        <v>#N/A</v>
      </c>
      <c r="P31" t="e">
        <f t="shared" si="6"/>
        <v>#N/A</v>
      </c>
      <c r="Q31" t="e">
        <f t="shared" si="7"/>
        <v>#N/A</v>
      </c>
      <c r="R31">
        <f t="shared" si="8"/>
        <v>1.0899220895905533</v>
      </c>
      <c r="S31" t="e">
        <f t="shared" si="9"/>
        <v>#N/A</v>
      </c>
      <c r="T31" t="e">
        <f t="shared" si="10"/>
        <v>#N/A</v>
      </c>
      <c r="U31" t="e">
        <f t="shared" si="11"/>
        <v>#N/A</v>
      </c>
      <c r="W31" t="e">
        <f t="shared" si="12"/>
        <v>#N/A</v>
      </c>
      <c r="X31" t="e">
        <f t="shared" si="13"/>
        <v>#N/A</v>
      </c>
      <c r="Y31" t="e">
        <f t="shared" si="14"/>
        <v>#N/A</v>
      </c>
      <c r="Z31">
        <f t="shared" si="15"/>
        <v>0.1856880104494715</v>
      </c>
      <c r="AA31" t="e">
        <f t="shared" si="16"/>
        <v>#N/A</v>
      </c>
      <c r="AB31" t="e">
        <f t="shared" si="17"/>
        <v>#N/A</v>
      </c>
      <c r="AC31" t="e">
        <f t="shared" si="18"/>
        <v>#N/A</v>
      </c>
      <c r="AE31">
        <v>1.6</v>
      </c>
      <c r="AF31">
        <f t="shared" si="20"/>
        <v>0.39062499999999994</v>
      </c>
      <c r="AG31">
        <v>1</v>
      </c>
    </row>
    <row r="32" spans="2:33">
      <c r="B32">
        <v>18</v>
      </c>
      <c r="C32">
        <f>'Lab test'!Q21</f>
        <v>44.69</v>
      </c>
      <c r="D32">
        <f>IF('Lab test'!AQ21&gt;0,'Lab test'!AQ21,NA())</f>
        <v>0.6215214163767635</v>
      </c>
      <c r="E32">
        <f>IF('Lab test'!AU21&gt;0,'Lab test'!AU21,NA())</f>
        <v>0.98213343601591574</v>
      </c>
      <c r="F32">
        <f>IF('Lab test'!AT21&gt;0,'Lab test'!AT21,NA())</f>
        <v>0.37938721618464943</v>
      </c>
      <c r="G32">
        <f t="shared" si="0"/>
        <v>1</v>
      </c>
      <c r="H32">
        <f t="shared" si="1"/>
        <v>1</v>
      </c>
      <c r="I32">
        <f t="shared" si="2"/>
        <v>1</v>
      </c>
      <c r="J32">
        <f t="shared" si="3"/>
        <v>1</v>
      </c>
      <c r="K32">
        <f t="shared" si="4"/>
        <v>1</v>
      </c>
      <c r="L32" t="str">
        <f>'Lab test'!AC21</f>
        <v>Machined</v>
      </c>
      <c r="O32" t="e">
        <f t="shared" si="5"/>
        <v>#N/A</v>
      </c>
      <c r="P32" t="e">
        <f t="shared" si="6"/>
        <v>#N/A</v>
      </c>
      <c r="Q32" t="e">
        <f t="shared" si="7"/>
        <v>#N/A</v>
      </c>
      <c r="R32">
        <f t="shared" si="8"/>
        <v>0.98213343601591574</v>
      </c>
      <c r="S32" t="e">
        <f t="shared" si="9"/>
        <v>#N/A</v>
      </c>
      <c r="T32" t="e">
        <f t="shared" si="10"/>
        <v>#N/A</v>
      </c>
      <c r="U32" t="e">
        <f t="shared" si="11"/>
        <v>#N/A</v>
      </c>
      <c r="W32" t="e">
        <f t="shared" si="12"/>
        <v>#N/A</v>
      </c>
      <c r="X32" t="e">
        <f t="shared" si="13"/>
        <v>#N/A</v>
      </c>
      <c r="Y32" t="e">
        <f t="shared" si="14"/>
        <v>#N/A</v>
      </c>
      <c r="Z32">
        <f t="shared" si="15"/>
        <v>0.37938721618464943</v>
      </c>
      <c r="AA32" t="e">
        <f t="shared" si="16"/>
        <v>#N/A</v>
      </c>
      <c r="AB32" t="e">
        <f t="shared" si="17"/>
        <v>#N/A</v>
      </c>
      <c r="AC32" t="e">
        <f t="shared" si="18"/>
        <v>#N/A</v>
      </c>
      <c r="AE32">
        <v>1.7</v>
      </c>
      <c r="AF32">
        <f t="shared" si="20"/>
        <v>0.34602076124567477</v>
      </c>
      <c r="AG32">
        <v>1</v>
      </c>
    </row>
    <row r="33" spans="2:33">
      <c r="B33">
        <v>19</v>
      </c>
      <c r="C33">
        <f>'Lab test'!Q22</f>
        <v>56.52</v>
      </c>
      <c r="D33">
        <f>IF('Lab test'!AQ22&gt;0,'Lab test'!AQ22,NA())</f>
        <v>0.69895940390994538</v>
      </c>
      <c r="E33">
        <f>IF('Lab test'!AU22&gt;0,'Lab test'!AU22,NA())</f>
        <v>0.90938937235271466</v>
      </c>
      <c r="F33">
        <f>IF('Lab test'!AT22&gt;0,'Lab test'!AT22,NA())</f>
        <v>0.44427694734093015</v>
      </c>
      <c r="G33">
        <f t="shared" si="0"/>
        <v>1</v>
      </c>
      <c r="H33">
        <f t="shared" si="1"/>
        <v>1</v>
      </c>
      <c r="I33">
        <f t="shared" si="2"/>
        <v>1</v>
      </c>
      <c r="J33">
        <f t="shared" si="3"/>
        <v>1</v>
      </c>
      <c r="K33">
        <f t="shared" si="4"/>
        <v>1</v>
      </c>
      <c r="L33" t="str">
        <f>'Lab test'!AC22</f>
        <v>Machined</v>
      </c>
      <c r="O33" t="e">
        <f t="shared" si="5"/>
        <v>#N/A</v>
      </c>
      <c r="P33" t="e">
        <f t="shared" si="6"/>
        <v>#N/A</v>
      </c>
      <c r="Q33" t="e">
        <f t="shared" si="7"/>
        <v>#N/A</v>
      </c>
      <c r="R33">
        <f t="shared" si="8"/>
        <v>0.90938937235271466</v>
      </c>
      <c r="S33" t="e">
        <f t="shared" si="9"/>
        <v>#N/A</v>
      </c>
      <c r="T33" t="e">
        <f t="shared" si="10"/>
        <v>#N/A</v>
      </c>
      <c r="U33" t="e">
        <f t="shared" si="11"/>
        <v>#N/A</v>
      </c>
      <c r="W33" t="e">
        <f t="shared" si="12"/>
        <v>#N/A</v>
      </c>
      <c r="X33" t="e">
        <f t="shared" si="13"/>
        <v>#N/A</v>
      </c>
      <c r="Y33" t="e">
        <f t="shared" si="14"/>
        <v>#N/A</v>
      </c>
      <c r="Z33">
        <f t="shared" si="15"/>
        <v>0.44427694734093015</v>
      </c>
      <c r="AA33" t="e">
        <f t="shared" si="16"/>
        <v>#N/A</v>
      </c>
      <c r="AB33" t="e">
        <f t="shared" si="17"/>
        <v>#N/A</v>
      </c>
      <c r="AC33" t="e">
        <f t="shared" si="18"/>
        <v>#N/A</v>
      </c>
      <c r="AE33">
        <v>1.8</v>
      </c>
      <c r="AF33">
        <f t="shared" si="20"/>
        <v>0.30864197530864196</v>
      </c>
      <c r="AG33">
        <v>1</v>
      </c>
    </row>
    <row r="34" spans="2:33">
      <c r="B34">
        <v>20</v>
      </c>
      <c r="C34">
        <f>'Lab test'!Q23</f>
        <v>89.33</v>
      </c>
      <c r="D34">
        <f>IF('Lab test'!AQ23&gt;0,'Lab test'!AQ23,NA())</f>
        <v>0.87871812185243192</v>
      </c>
      <c r="E34">
        <f>IF('Lab test'!AU23&gt;0,'Lab test'!AU23,NA())</f>
        <v>0.777883660634065</v>
      </c>
      <c r="F34">
        <f>IF('Lab test'!AT23&gt;0,'Lab test'!AT23,NA())</f>
        <v>0.60063939738644889</v>
      </c>
      <c r="G34">
        <f t="shared" si="0"/>
        <v>1</v>
      </c>
      <c r="H34">
        <f t="shared" si="1"/>
        <v>1</v>
      </c>
      <c r="I34">
        <f t="shared" si="2"/>
        <v>1</v>
      </c>
      <c r="J34">
        <f t="shared" si="3"/>
        <v>1</v>
      </c>
      <c r="K34">
        <f t="shared" si="4"/>
        <v>1</v>
      </c>
      <c r="L34" t="str">
        <f>'Lab test'!AC23</f>
        <v>Machined</v>
      </c>
      <c r="O34" t="e">
        <f t="shared" si="5"/>
        <v>#N/A</v>
      </c>
      <c r="P34" t="e">
        <f t="shared" si="6"/>
        <v>#N/A</v>
      </c>
      <c r="Q34" t="e">
        <f t="shared" si="7"/>
        <v>#N/A</v>
      </c>
      <c r="R34">
        <f t="shared" si="8"/>
        <v>0.777883660634065</v>
      </c>
      <c r="S34" t="e">
        <f t="shared" si="9"/>
        <v>#N/A</v>
      </c>
      <c r="T34" t="e">
        <f t="shared" si="10"/>
        <v>#N/A</v>
      </c>
      <c r="U34" t="e">
        <f t="shared" si="11"/>
        <v>#N/A</v>
      </c>
      <c r="W34" t="e">
        <f t="shared" si="12"/>
        <v>#N/A</v>
      </c>
      <c r="X34" t="e">
        <f t="shared" si="13"/>
        <v>#N/A</v>
      </c>
      <c r="Y34" t="e">
        <f t="shared" si="14"/>
        <v>#N/A</v>
      </c>
      <c r="Z34">
        <f t="shared" si="15"/>
        <v>0.60063939738644889</v>
      </c>
      <c r="AA34" t="e">
        <f t="shared" si="16"/>
        <v>#N/A</v>
      </c>
      <c r="AB34" t="e">
        <f t="shared" si="17"/>
        <v>#N/A</v>
      </c>
      <c r="AC34" t="e">
        <f t="shared" si="18"/>
        <v>#N/A</v>
      </c>
      <c r="AE34">
        <v>1.9</v>
      </c>
      <c r="AF34">
        <f t="shared" si="20"/>
        <v>0.2770083102493075</v>
      </c>
      <c r="AG34">
        <v>1</v>
      </c>
    </row>
    <row r="35" spans="2:33">
      <c r="B35">
        <v>21</v>
      </c>
      <c r="C35">
        <f>'Lab test'!Q24</f>
        <v>9.76</v>
      </c>
      <c r="D35">
        <f>IF('Lab test'!AQ24&gt;0,'Lab test'!AQ24,NA())</f>
        <v>0.2904529502640128</v>
      </c>
      <c r="E35">
        <f>IF('Lab test'!AU24&gt;0,'Lab test'!AU24,NA())</f>
        <v>1.2389500962649211</v>
      </c>
      <c r="F35">
        <f>IF('Lab test'!AT24&gt;0,'Lab test'!AT24,NA())</f>
        <v>0.10452144329222224</v>
      </c>
      <c r="G35">
        <f t="shared" si="0"/>
        <v>1</v>
      </c>
      <c r="H35">
        <f t="shared" si="1"/>
        <v>1</v>
      </c>
      <c r="I35">
        <f t="shared" si="2"/>
        <v>1</v>
      </c>
      <c r="J35">
        <f t="shared" si="3"/>
        <v>1</v>
      </c>
      <c r="K35">
        <f t="shared" si="4"/>
        <v>1</v>
      </c>
      <c r="L35" t="str">
        <f>'Lab test'!AC24</f>
        <v>Machined</v>
      </c>
      <c r="O35" t="e">
        <f t="shared" si="5"/>
        <v>#N/A</v>
      </c>
      <c r="P35" t="e">
        <f t="shared" si="6"/>
        <v>#N/A</v>
      </c>
      <c r="Q35" t="e">
        <f t="shared" si="7"/>
        <v>#N/A</v>
      </c>
      <c r="R35">
        <f t="shared" si="8"/>
        <v>1.2389500962649211</v>
      </c>
      <c r="S35" t="e">
        <f t="shared" si="9"/>
        <v>#N/A</v>
      </c>
      <c r="T35" t="e">
        <f t="shared" si="10"/>
        <v>#N/A</v>
      </c>
      <c r="U35" t="e">
        <f t="shared" si="11"/>
        <v>#N/A</v>
      </c>
      <c r="W35" t="e">
        <f t="shared" si="12"/>
        <v>#N/A</v>
      </c>
      <c r="X35" t="e">
        <f t="shared" si="13"/>
        <v>#N/A</v>
      </c>
      <c r="Y35" t="e">
        <f t="shared" si="14"/>
        <v>#N/A</v>
      </c>
      <c r="Z35">
        <f t="shared" si="15"/>
        <v>0.10452144329222224</v>
      </c>
      <c r="AA35" t="e">
        <f t="shared" si="16"/>
        <v>#N/A</v>
      </c>
      <c r="AB35" t="e">
        <f t="shared" si="17"/>
        <v>#N/A</v>
      </c>
      <c r="AC35" t="e">
        <f t="shared" si="18"/>
        <v>#N/A</v>
      </c>
      <c r="AE35">
        <v>2</v>
      </c>
      <c r="AF35">
        <f t="shared" si="20"/>
        <v>0.25</v>
      </c>
      <c r="AG35">
        <v>1</v>
      </c>
    </row>
    <row r="36" spans="2:33">
      <c r="B36">
        <v>22</v>
      </c>
      <c r="C36">
        <f>'Lab test'!Q25</f>
        <v>9.76</v>
      </c>
      <c r="D36">
        <f>IF('Lab test'!AQ25&gt;0,'Lab test'!AQ25,NA())</f>
        <v>0.29045295192943954</v>
      </c>
      <c r="E36">
        <f>IF('Lab test'!AU25&gt;0,'Lab test'!AU25,NA())</f>
        <v>1.2269145937620329</v>
      </c>
      <c r="F36">
        <f>IF('Lab test'!AT25&gt;0,'Lab test'!AT25,NA())</f>
        <v>0.10350609438872335</v>
      </c>
      <c r="G36">
        <f t="shared" si="0"/>
        <v>1</v>
      </c>
      <c r="H36">
        <f t="shared" si="1"/>
        <v>1</v>
      </c>
      <c r="I36">
        <f t="shared" si="2"/>
        <v>1</v>
      </c>
      <c r="J36">
        <f t="shared" si="3"/>
        <v>1</v>
      </c>
      <c r="K36">
        <f t="shared" si="4"/>
        <v>1</v>
      </c>
      <c r="L36" t="str">
        <f>'Lab test'!AC25</f>
        <v>Machined</v>
      </c>
      <c r="O36" t="e">
        <f t="shared" si="5"/>
        <v>#N/A</v>
      </c>
      <c r="P36" t="e">
        <f t="shared" si="6"/>
        <v>#N/A</v>
      </c>
      <c r="Q36" t="e">
        <f t="shared" si="7"/>
        <v>#N/A</v>
      </c>
      <c r="R36">
        <f t="shared" si="8"/>
        <v>1.2269145937620329</v>
      </c>
      <c r="S36" t="e">
        <f t="shared" si="9"/>
        <v>#N/A</v>
      </c>
      <c r="T36" t="e">
        <f t="shared" si="10"/>
        <v>#N/A</v>
      </c>
      <c r="U36" t="e">
        <f t="shared" si="11"/>
        <v>#N/A</v>
      </c>
      <c r="W36" t="e">
        <f t="shared" si="12"/>
        <v>#N/A</v>
      </c>
      <c r="X36" t="e">
        <f t="shared" si="13"/>
        <v>#N/A</v>
      </c>
      <c r="Y36" t="e">
        <f t="shared" si="14"/>
        <v>#N/A</v>
      </c>
      <c r="Z36">
        <f t="shared" si="15"/>
        <v>0.10350609438872335</v>
      </c>
      <c r="AA36" t="e">
        <f t="shared" si="16"/>
        <v>#N/A</v>
      </c>
      <c r="AB36" t="e">
        <f t="shared" si="17"/>
        <v>#N/A</v>
      </c>
      <c r="AC36" t="e">
        <f t="shared" si="18"/>
        <v>#N/A</v>
      </c>
      <c r="AE36">
        <v>2.1</v>
      </c>
      <c r="AF36">
        <f t="shared" si="20"/>
        <v>0.22675736961451246</v>
      </c>
      <c r="AG36">
        <v>1</v>
      </c>
    </row>
    <row r="37" spans="2:33">
      <c r="B37">
        <v>23</v>
      </c>
      <c r="C37">
        <f>'Lab test'!Q26</f>
        <v>9.76</v>
      </c>
      <c r="D37">
        <f>IF('Lab test'!AQ26&gt;0,'Lab test'!AQ26,NA())</f>
        <v>0.2904529502640128</v>
      </c>
      <c r="E37">
        <f>IF('Lab test'!AU26&gt;0,'Lab test'!AU26,NA())</f>
        <v>1.236118213323065</v>
      </c>
      <c r="F37">
        <f>IF('Lab test'!AT26&gt;0,'Lab test'!AT26,NA())</f>
        <v>0.10428253738857871</v>
      </c>
      <c r="G37">
        <f t="shared" si="0"/>
        <v>1</v>
      </c>
      <c r="H37">
        <f t="shared" si="1"/>
        <v>1</v>
      </c>
      <c r="I37">
        <f t="shared" si="2"/>
        <v>1</v>
      </c>
      <c r="J37">
        <f t="shared" si="3"/>
        <v>1</v>
      </c>
      <c r="K37">
        <f t="shared" si="4"/>
        <v>1</v>
      </c>
      <c r="L37" t="str">
        <f>'Lab test'!AC26</f>
        <v>Machined</v>
      </c>
      <c r="O37" t="e">
        <f t="shared" si="5"/>
        <v>#N/A</v>
      </c>
      <c r="P37" t="e">
        <f t="shared" si="6"/>
        <v>#N/A</v>
      </c>
      <c r="Q37" t="e">
        <f t="shared" si="7"/>
        <v>#N/A</v>
      </c>
      <c r="R37">
        <f t="shared" si="8"/>
        <v>1.236118213323065</v>
      </c>
      <c r="S37" t="e">
        <f t="shared" si="9"/>
        <v>#N/A</v>
      </c>
      <c r="T37" t="e">
        <f t="shared" si="10"/>
        <v>#N/A</v>
      </c>
      <c r="U37" t="e">
        <f t="shared" si="11"/>
        <v>#N/A</v>
      </c>
      <c r="W37" t="e">
        <f t="shared" si="12"/>
        <v>#N/A</v>
      </c>
      <c r="X37" t="e">
        <f t="shared" si="13"/>
        <v>#N/A</v>
      </c>
      <c r="Y37" t="e">
        <f t="shared" si="14"/>
        <v>#N/A</v>
      </c>
      <c r="Z37">
        <f t="shared" si="15"/>
        <v>0.10428253738857871</v>
      </c>
      <c r="AA37" t="e">
        <f t="shared" si="16"/>
        <v>#N/A</v>
      </c>
      <c r="AB37" t="e">
        <f t="shared" si="17"/>
        <v>#N/A</v>
      </c>
      <c r="AC37" t="e">
        <f t="shared" si="18"/>
        <v>#N/A</v>
      </c>
      <c r="AE37">
        <v>2.2000000000000002</v>
      </c>
      <c r="AF37">
        <f t="shared" si="20"/>
        <v>0.20661157024793386</v>
      </c>
      <c r="AG37">
        <v>1</v>
      </c>
    </row>
    <row r="38" spans="2:33">
      <c r="B38">
        <v>24</v>
      </c>
      <c r="C38">
        <f>'Lab test'!Q27</f>
        <v>9.76</v>
      </c>
      <c r="D38" t="e">
        <f>IF('Lab test'!AQ27&gt;0,'Lab test'!AQ27,NA())</f>
        <v>#N/A</v>
      </c>
      <c r="E38" t="e">
        <f>IF('Lab test'!AU27&gt;0,'Lab test'!AU27,NA())</f>
        <v>#N/A</v>
      </c>
      <c r="F38" t="e">
        <f>IF('Lab test'!AT27&gt;0,'Lab test'!AT27,NA())</f>
        <v>#N/A</v>
      </c>
      <c r="G38" t="e">
        <f t="shared" si="0"/>
        <v>#N/A</v>
      </c>
      <c r="H38" t="e">
        <f t="shared" si="1"/>
        <v>#N/A</v>
      </c>
      <c r="I38" t="e">
        <f t="shared" si="2"/>
        <v>#N/A</v>
      </c>
      <c r="J38" t="e">
        <f t="shared" si="3"/>
        <v>#N/A</v>
      </c>
      <c r="K38" t="e">
        <f t="shared" si="4"/>
        <v>#N/A</v>
      </c>
      <c r="L38" t="str">
        <f>'Lab test'!AC27</f>
        <v>Machined</v>
      </c>
      <c r="O38" t="e">
        <f t="shared" si="5"/>
        <v>#N/A</v>
      </c>
      <c r="P38" t="e">
        <f t="shared" si="6"/>
        <v>#N/A</v>
      </c>
      <c r="Q38" t="e">
        <f t="shared" si="7"/>
        <v>#N/A</v>
      </c>
      <c r="R38" t="e">
        <f t="shared" si="8"/>
        <v>#N/A</v>
      </c>
      <c r="S38" t="e">
        <f t="shared" si="9"/>
        <v>#N/A</v>
      </c>
      <c r="T38" t="e">
        <f t="shared" si="10"/>
        <v>#N/A</v>
      </c>
      <c r="U38" t="e">
        <f t="shared" si="11"/>
        <v>#N/A</v>
      </c>
      <c r="W38" t="e">
        <f t="shared" si="12"/>
        <v>#N/A</v>
      </c>
      <c r="X38" t="e">
        <f t="shared" si="13"/>
        <v>#N/A</v>
      </c>
      <c r="Y38" t="e">
        <f t="shared" si="14"/>
        <v>#N/A</v>
      </c>
      <c r="Z38" t="e">
        <f t="shared" si="15"/>
        <v>#N/A</v>
      </c>
      <c r="AA38" t="e">
        <f t="shared" si="16"/>
        <v>#N/A</v>
      </c>
      <c r="AB38" t="e">
        <f t="shared" si="17"/>
        <v>#N/A</v>
      </c>
      <c r="AC38" t="e">
        <f t="shared" si="18"/>
        <v>#N/A</v>
      </c>
      <c r="AE38">
        <v>2.2999999999999998</v>
      </c>
      <c r="AF38">
        <f t="shared" si="20"/>
        <v>0.18903591682419663</v>
      </c>
      <c r="AG38">
        <v>1</v>
      </c>
    </row>
    <row r="39" spans="2:33">
      <c r="B39">
        <v>25</v>
      </c>
      <c r="C39">
        <f>'Lab test'!Q28</f>
        <v>13.93</v>
      </c>
      <c r="D39">
        <f>IF('Lab test'!AQ28&gt;0,'Lab test'!AQ28,NA())</f>
        <v>0.34699757954794924</v>
      </c>
      <c r="E39">
        <f>IF('Lab test'!AU28&gt;0,'Lab test'!AU28,NA())</f>
        <v>1.1290375304838918</v>
      </c>
      <c r="F39">
        <f>IF('Lab test'!AT28&gt;0,'Lab test'!AT28,NA())</f>
        <v>0.13594438346449247</v>
      </c>
      <c r="G39">
        <f t="shared" si="0"/>
        <v>1</v>
      </c>
      <c r="H39">
        <f t="shared" si="1"/>
        <v>1</v>
      </c>
      <c r="I39">
        <f t="shared" si="2"/>
        <v>1</v>
      </c>
      <c r="J39">
        <f t="shared" si="3"/>
        <v>1</v>
      </c>
      <c r="K39">
        <f t="shared" si="4"/>
        <v>1</v>
      </c>
      <c r="L39" t="str">
        <f>'Lab test'!AC28</f>
        <v>Machined</v>
      </c>
      <c r="O39" t="e">
        <f t="shared" si="5"/>
        <v>#N/A</v>
      </c>
      <c r="P39" t="e">
        <f t="shared" si="6"/>
        <v>#N/A</v>
      </c>
      <c r="Q39" t="e">
        <f t="shared" si="7"/>
        <v>#N/A</v>
      </c>
      <c r="R39">
        <f t="shared" si="8"/>
        <v>1.1290375304838918</v>
      </c>
      <c r="S39" t="e">
        <f t="shared" si="9"/>
        <v>#N/A</v>
      </c>
      <c r="T39" t="e">
        <f t="shared" si="10"/>
        <v>#N/A</v>
      </c>
      <c r="U39" t="e">
        <f t="shared" si="11"/>
        <v>#N/A</v>
      </c>
      <c r="W39" t="e">
        <f t="shared" si="12"/>
        <v>#N/A</v>
      </c>
      <c r="X39" t="e">
        <f t="shared" si="13"/>
        <v>#N/A</v>
      </c>
      <c r="Y39" t="e">
        <f t="shared" si="14"/>
        <v>#N/A</v>
      </c>
      <c r="Z39">
        <f t="shared" si="15"/>
        <v>0.13594438346449247</v>
      </c>
      <c r="AA39" t="e">
        <f t="shared" si="16"/>
        <v>#N/A</v>
      </c>
      <c r="AB39" t="e">
        <f t="shared" si="17"/>
        <v>#N/A</v>
      </c>
      <c r="AC39" t="e">
        <f t="shared" si="18"/>
        <v>#N/A</v>
      </c>
      <c r="AE39">
        <v>2.4</v>
      </c>
      <c r="AF39">
        <f t="shared" si="20"/>
        <v>0.1736111111111111</v>
      </c>
      <c r="AG39">
        <v>1</v>
      </c>
    </row>
    <row r="40" spans="2:33">
      <c r="B40">
        <v>26</v>
      </c>
      <c r="C40">
        <f>'Lab test'!Q29</f>
        <v>19.66</v>
      </c>
      <c r="D40">
        <f>IF('Lab test'!AQ29&gt;0,'Lab test'!AQ29,NA())</f>
        <v>0.41223288877962527</v>
      </c>
      <c r="E40">
        <f>IF('Lab test'!AU29&gt;0,'Lab test'!AU29,NA())</f>
        <v>1.0881521755872159</v>
      </c>
      <c r="F40">
        <f>IF('Lab test'!AT29&gt;0,'Lab test'!AT29,NA())</f>
        <v>0.18491617869933433</v>
      </c>
      <c r="G40">
        <f t="shared" si="0"/>
        <v>1</v>
      </c>
      <c r="H40">
        <f t="shared" si="1"/>
        <v>1</v>
      </c>
      <c r="I40">
        <f t="shared" si="2"/>
        <v>1</v>
      </c>
      <c r="J40">
        <f t="shared" si="3"/>
        <v>1</v>
      </c>
      <c r="K40">
        <f t="shared" si="4"/>
        <v>1</v>
      </c>
      <c r="L40" t="str">
        <f>'Lab test'!AC29</f>
        <v>Machined</v>
      </c>
      <c r="O40" t="e">
        <f t="shared" si="5"/>
        <v>#N/A</v>
      </c>
      <c r="P40" t="e">
        <f t="shared" si="6"/>
        <v>#N/A</v>
      </c>
      <c r="Q40" t="e">
        <f t="shared" si="7"/>
        <v>#N/A</v>
      </c>
      <c r="R40">
        <f t="shared" si="8"/>
        <v>1.0881521755872159</v>
      </c>
      <c r="S40" t="e">
        <f t="shared" si="9"/>
        <v>#N/A</v>
      </c>
      <c r="T40" t="e">
        <f t="shared" si="10"/>
        <v>#N/A</v>
      </c>
      <c r="U40" t="e">
        <f t="shared" si="11"/>
        <v>#N/A</v>
      </c>
      <c r="W40" t="e">
        <f t="shared" si="12"/>
        <v>#N/A</v>
      </c>
      <c r="X40" t="e">
        <f t="shared" si="13"/>
        <v>#N/A</v>
      </c>
      <c r="Y40" t="e">
        <f t="shared" si="14"/>
        <v>#N/A</v>
      </c>
      <c r="Z40">
        <f t="shared" si="15"/>
        <v>0.18491617869933433</v>
      </c>
      <c r="AA40" t="e">
        <f t="shared" si="16"/>
        <v>#N/A</v>
      </c>
      <c r="AB40" t="e">
        <f t="shared" si="17"/>
        <v>#N/A</v>
      </c>
      <c r="AC40" t="e">
        <f t="shared" si="18"/>
        <v>#N/A</v>
      </c>
      <c r="AE40">
        <v>2.5</v>
      </c>
      <c r="AF40">
        <f t="shared" si="20"/>
        <v>0.16</v>
      </c>
      <c r="AG40">
        <v>1</v>
      </c>
    </row>
    <row r="41" spans="2:33">
      <c r="B41">
        <v>27</v>
      </c>
      <c r="C41">
        <f>'Lab test'!Q30</f>
        <v>44.19</v>
      </c>
      <c r="D41">
        <f>IF('Lab test'!AQ30&gt;0,'Lab test'!AQ30,NA())</f>
        <v>0.61803471886786676</v>
      </c>
      <c r="E41">
        <f>IF('Lab test'!AU30&gt;0,'Lab test'!AU30,NA())</f>
        <v>0.9447879347965602</v>
      </c>
      <c r="F41">
        <f>IF('Lab test'!AT30&gt;0,'Lab test'!AT30,NA())</f>
        <v>0.3608777315798819</v>
      </c>
      <c r="G41">
        <f t="shared" si="0"/>
        <v>1</v>
      </c>
      <c r="H41">
        <f t="shared" si="1"/>
        <v>1</v>
      </c>
      <c r="I41">
        <f t="shared" si="2"/>
        <v>1</v>
      </c>
      <c r="J41">
        <f t="shared" si="3"/>
        <v>1</v>
      </c>
      <c r="K41">
        <f t="shared" si="4"/>
        <v>1</v>
      </c>
      <c r="L41" t="str">
        <f>'Lab test'!AC30</f>
        <v>Machined</v>
      </c>
      <c r="O41" t="e">
        <f t="shared" si="5"/>
        <v>#N/A</v>
      </c>
      <c r="P41" t="e">
        <f t="shared" si="6"/>
        <v>#N/A</v>
      </c>
      <c r="Q41" t="e">
        <f t="shared" si="7"/>
        <v>#N/A</v>
      </c>
      <c r="R41">
        <f t="shared" si="8"/>
        <v>0.9447879347965602</v>
      </c>
      <c r="S41" t="e">
        <f t="shared" si="9"/>
        <v>#N/A</v>
      </c>
      <c r="T41" t="e">
        <f t="shared" si="10"/>
        <v>#N/A</v>
      </c>
      <c r="U41" t="e">
        <f t="shared" si="11"/>
        <v>#N/A</v>
      </c>
      <c r="W41" t="e">
        <f t="shared" si="12"/>
        <v>#N/A</v>
      </c>
      <c r="X41" t="e">
        <f t="shared" si="13"/>
        <v>#N/A</v>
      </c>
      <c r="Y41" t="e">
        <f t="shared" si="14"/>
        <v>#N/A</v>
      </c>
      <c r="Z41">
        <f t="shared" si="15"/>
        <v>0.3608777315798819</v>
      </c>
      <c r="AA41" t="e">
        <f t="shared" si="16"/>
        <v>#N/A</v>
      </c>
      <c r="AB41" t="e">
        <f t="shared" si="17"/>
        <v>#N/A</v>
      </c>
      <c r="AC41" t="e">
        <f t="shared" si="18"/>
        <v>#N/A</v>
      </c>
      <c r="AE41">
        <v>2.6</v>
      </c>
      <c r="AF41">
        <f t="shared" si="20"/>
        <v>0.14792899408284022</v>
      </c>
      <c r="AG41">
        <v>1</v>
      </c>
    </row>
    <row r="42" spans="2:33">
      <c r="B42">
        <v>28</v>
      </c>
      <c r="C42">
        <f>'Lab test'!Q31</f>
        <v>54.93</v>
      </c>
      <c r="D42">
        <f>IF('Lab test'!AQ31&gt;0,'Lab test'!AQ31,NA())</f>
        <v>0.68905790665899724</v>
      </c>
      <c r="E42">
        <f>IF('Lab test'!AU31&gt;0,'Lab test'!AU31,NA())</f>
        <v>0.89629190091130784</v>
      </c>
      <c r="F42">
        <f>IF('Lab test'!AT31&gt;0,'Lab test'!AT31,NA())</f>
        <v>0.42556011044727304</v>
      </c>
      <c r="G42">
        <f t="shared" si="0"/>
        <v>1</v>
      </c>
      <c r="H42">
        <f t="shared" si="1"/>
        <v>1</v>
      </c>
      <c r="I42">
        <f t="shared" si="2"/>
        <v>1</v>
      </c>
      <c r="J42">
        <f t="shared" si="3"/>
        <v>1</v>
      </c>
      <c r="K42">
        <f t="shared" si="4"/>
        <v>1</v>
      </c>
      <c r="L42" t="str">
        <f>'Lab test'!AC31</f>
        <v>Machined</v>
      </c>
      <c r="O42" t="e">
        <f t="shared" si="5"/>
        <v>#N/A</v>
      </c>
      <c r="P42" t="e">
        <f t="shared" si="6"/>
        <v>#N/A</v>
      </c>
      <c r="Q42" t="e">
        <f t="shared" si="7"/>
        <v>#N/A</v>
      </c>
      <c r="R42">
        <f t="shared" si="8"/>
        <v>0.89629190091130784</v>
      </c>
      <c r="S42" t="e">
        <f t="shared" si="9"/>
        <v>#N/A</v>
      </c>
      <c r="T42" t="e">
        <f t="shared" si="10"/>
        <v>#N/A</v>
      </c>
      <c r="U42" t="e">
        <f t="shared" si="11"/>
        <v>#N/A</v>
      </c>
      <c r="W42" t="e">
        <f t="shared" si="12"/>
        <v>#N/A</v>
      </c>
      <c r="X42" t="e">
        <f t="shared" si="13"/>
        <v>#N/A</v>
      </c>
      <c r="Y42" t="e">
        <f t="shared" si="14"/>
        <v>#N/A</v>
      </c>
      <c r="Z42">
        <f t="shared" si="15"/>
        <v>0.42556011044727304</v>
      </c>
      <c r="AA42" t="e">
        <f t="shared" si="16"/>
        <v>#N/A</v>
      </c>
      <c r="AB42" t="e">
        <f t="shared" si="17"/>
        <v>#N/A</v>
      </c>
      <c r="AC42" t="e">
        <f t="shared" si="18"/>
        <v>#N/A</v>
      </c>
      <c r="AE42">
        <v>2.7</v>
      </c>
      <c r="AF42">
        <f t="shared" si="20"/>
        <v>0.1371742112482853</v>
      </c>
      <c r="AG42">
        <v>1</v>
      </c>
    </row>
    <row r="43" spans="2:33">
      <c r="B43">
        <v>29</v>
      </c>
      <c r="C43">
        <f>'Lab test'!Q32</f>
        <v>85.95</v>
      </c>
      <c r="D43">
        <f>IF('Lab test'!AQ32&gt;0,'Lab test'!AQ32,NA())</f>
        <v>0.86193359579353368</v>
      </c>
      <c r="E43">
        <f>IF('Lab test'!AU32&gt;0,'Lab test'!AU32,NA())</f>
        <v>0.77328186368887175</v>
      </c>
      <c r="F43">
        <f>IF('Lab test'!AT32&gt;0,'Lab test'!AT32,NA())</f>
        <v>0.57449392656608378</v>
      </c>
      <c r="G43">
        <f t="shared" si="0"/>
        <v>1</v>
      </c>
      <c r="H43">
        <f t="shared" si="1"/>
        <v>1</v>
      </c>
      <c r="I43">
        <f t="shared" si="2"/>
        <v>1</v>
      </c>
      <c r="J43">
        <f t="shared" si="3"/>
        <v>1</v>
      </c>
      <c r="K43">
        <f t="shared" si="4"/>
        <v>1</v>
      </c>
      <c r="L43" t="str">
        <f>'Lab test'!AC32</f>
        <v>Machined</v>
      </c>
      <c r="O43" t="e">
        <f t="shared" si="5"/>
        <v>#N/A</v>
      </c>
      <c r="P43" t="e">
        <f t="shared" si="6"/>
        <v>#N/A</v>
      </c>
      <c r="Q43" t="e">
        <f t="shared" si="7"/>
        <v>#N/A</v>
      </c>
      <c r="R43">
        <f t="shared" si="8"/>
        <v>0.77328186368887175</v>
      </c>
      <c r="S43" t="e">
        <f t="shared" si="9"/>
        <v>#N/A</v>
      </c>
      <c r="T43" t="e">
        <f t="shared" si="10"/>
        <v>#N/A</v>
      </c>
      <c r="U43" t="e">
        <f t="shared" si="11"/>
        <v>#N/A</v>
      </c>
      <c r="W43" t="e">
        <f t="shared" si="12"/>
        <v>#N/A</v>
      </c>
      <c r="X43" t="e">
        <f t="shared" si="13"/>
        <v>#N/A</v>
      </c>
      <c r="Y43" t="e">
        <f t="shared" si="14"/>
        <v>#N/A</v>
      </c>
      <c r="Z43">
        <f t="shared" si="15"/>
        <v>0.57449392656608378</v>
      </c>
      <c r="AA43" t="e">
        <f t="shared" si="16"/>
        <v>#N/A</v>
      </c>
      <c r="AB43" t="e">
        <f t="shared" si="17"/>
        <v>#N/A</v>
      </c>
      <c r="AC43" t="e">
        <f t="shared" si="18"/>
        <v>#N/A</v>
      </c>
      <c r="AE43">
        <v>2.8</v>
      </c>
      <c r="AF43">
        <f t="shared" si="20"/>
        <v>0.1275510204081633</v>
      </c>
      <c r="AG43">
        <v>1</v>
      </c>
    </row>
    <row r="44" spans="2:33">
      <c r="B44">
        <v>30</v>
      </c>
      <c r="C44">
        <f>'Lab test'!Q33</f>
        <v>9.6999999999999993</v>
      </c>
      <c r="D44">
        <f>IF('Lab test'!AQ33&gt;0,'Lab test'!AQ33,NA())</f>
        <v>0.28955877823379816</v>
      </c>
      <c r="E44">
        <f>IF('Lab test'!AU33&gt;0,'Lab test'!AU33,NA())</f>
        <v>1.2253216531895776</v>
      </c>
      <c r="F44">
        <f>IF('Lab test'!AT33&gt;0,'Lab test'!AT33,NA())</f>
        <v>0.1027362191960427</v>
      </c>
      <c r="G44">
        <f t="shared" si="0"/>
        <v>1</v>
      </c>
      <c r="H44">
        <f t="shared" si="1"/>
        <v>1</v>
      </c>
      <c r="I44">
        <f t="shared" si="2"/>
        <v>1</v>
      </c>
      <c r="J44">
        <f t="shared" si="3"/>
        <v>1</v>
      </c>
      <c r="K44">
        <f t="shared" si="4"/>
        <v>1</v>
      </c>
      <c r="L44" t="str">
        <f>'Lab test'!AC33</f>
        <v>Machined</v>
      </c>
      <c r="O44" t="e">
        <f t="shared" si="5"/>
        <v>#N/A</v>
      </c>
      <c r="P44" t="e">
        <f t="shared" si="6"/>
        <v>#N/A</v>
      </c>
      <c r="Q44" t="e">
        <f t="shared" si="7"/>
        <v>#N/A</v>
      </c>
      <c r="R44">
        <f t="shared" si="8"/>
        <v>1.2253216531895776</v>
      </c>
      <c r="S44" t="e">
        <f t="shared" si="9"/>
        <v>#N/A</v>
      </c>
      <c r="T44" t="e">
        <f t="shared" si="10"/>
        <v>#N/A</v>
      </c>
      <c r="U44" t="e">
        <f t="shared" si="11"/>
        <v>#N/A</v>
      </c>
      <c r="W44" t="e">
        <f t="shared" si="12"/>
        <v>#N/A</v>
      </c>
      <c r="X44" t="e">
        <f t="shared" si="13"/>
        <v>#N/A</v>
      </c>
      <c r="Y44" t="e">
        <f t="shared" si="14"/>
        <v>#N/A</v>
      </c>
      <c r="Z44">
        <f t="shared" si="15"/>
        <v>0.1027362191960427</v>
      </c>
      <c r="AA44" t="e">
        <f t="shared" si="16"/>
        <v>#N/A</v>
      </c>
      <c r="AB44" t="e">
        <f t="shared" si="17"/>
        <v>#N/A</v>
      </c>
      <c r="AC44" t="e">
        <f t="shared" si="18"/>
        <v>#N/A</v>
      </c>
      <c r="AE44">
        <v>2.9</v>
      </c>
      <c r="AF44">
        <f t="shared" si="20"/>
        <v>0.11890606420927467</v>
      </c>
      <c r="AG44">
        <v>1</v>
      </c>
    </row>
    <row r="45" spans="2:33">
      <c r="B45">
        <v>31</v>
      </c>
      <c r="C45">
        <f>'Lab test'!Q34</f>
        <v>18.7</v>
      </c>
      <c r="D45">
        <f>IF('Lab test'!AQ34&gt;0,'Lab test'!AQ34,NA())</f>
        <v>0.19022461668224497</v>
      </c>
      <c r="E45">
        <f>IF('Lab test'!AU34&gt;0,'Lab test'!AU34,NA())</f>
        <v>1.2807080054902387</v>
      </c>
      <c r="F45">
        <f>IF('Lab test'!AT34&gt;0,'Lab test'!AT34,NA())</f>
        <v>4.634293759890018E-2</v>
      </c>
      <c r="G45">
        <f t="shared" si="0"/>
        <v>1</v>
      </c>
      <c r="H45">
        <f t="shared" si="1"/>
        <v>1</v>
      </c>
      <c r="I45">
        <f t="shared" si="2"/>
        <v>1</v>
      </c>
      <c r="J45">
        <f t="shared" si="3"/>
        <v>1</v>
      </c>
      <c r="K45">
        <f t="shared" si="4"/>
        <v>1</v>
      </c>
      <c r="L45" t="str">
        <f>'Lab test'!AC34</f>
        <v>Tubes</v>
      </c>
      <c r="O45" t="e">
        <f t="shared" si="5"/>
        <v>#N/A</v>
      </c>
      <c r="P45" t="e">
        <f t="shared" si="6"/>
        <v>#N/A</v>
      </c>
      <c r="Q45" t="e">
        <f t="shared" si="7"/>
        <v>#N/A</v>
      </c>
      <c r="R45" t="e">
        <f t="shared" si="8"/>
        <v>#N/A</v>
      </c>
      <c r="S45">
        <f t="shared" si="9"/>
        <v>1.2807080054902387</v>
      </c>
      <c r="T45" t="e">
        <f t="shared" si="10"/>
        <v>#N/A</v>
      </c>
      <c r="U45" t="e">
        <f t="shared" si="11"/>
        <v>#N/A</v>
      </c>
      <c r="W45" t="e">
        <f t="shared" si="12"/>
        <v>#N/A</v>
      </c>
      <c r="X45" t="e">
        <f t="shared" si="13"/>
        <v>#N/A</v>
      </c>
      <c r="Y45" t="e">
        <f t="shared" si="14"/>
        <v>#N/A</v>
      </c>
      <c r="Z45" t="e">
        <f t="shared" si="15"/>
        <v>#N/A</v>
      </c>
      <c r="AA45">
        <f t="shared" si="16"/>
        <v>4.634293759890018E-2</v>
      </c>
      <c r="AB45" t="e">
        <f t="shared" si="17"/>
        <v>#N/A</v>
      </c>
      <c r="AC45" t="e">
        <f t="shared" si="18"/>
        <v>#N/A</v>
      </c>
      <c r="AE45">
        <v>3</v>
      </c>
      <c r="AF45">
        <f t="shared" si="20"/>
        <v>0.1111111111111111</v>
      </c>
      <c r="AG45">
        <v>1</v>
      </c>
    </row>
    <row r="46" spans="2:33">
      <c r="B46">
        <v>32</v>
      </c>
      <c r="C46">
        <f>'Lab test'!Q35</f>
        <v>18.3</v>
      </c>
      <c r="D46">
        <f>IF('Lab test'!AQ35&gt;0,'Lab test'!AQ35,NA())</f>
        <v>0.18816807392247489</v>
      </c>
      <c r="E46">
        <f>IF('Lab test'!AU35&gt;0,'Lab test'!AU35,NA())</f>
        <v>1.310877485246057</v>
      </c>
      <c r="F46">
        <f>IF('Lab test'!AT35&gt;0,'Lab test'!AT35,NA())</f>
        <v>4.641453281394127E-2</v>
      </c>
      <c r="G46">
        <f t="shared" si="0"/>
        <v>1</v>
      </c>
      <c r="H46">
        <f t="shared" si="1"/>
        <v>1</v>
      </c>
      <c r="I46">
        <f t="shared" si="2"/>
        <v>1</v>
      </c>
      <c r="J46">
        <f t="shared" si="3"/>
        <v>1</v>
      </c>
      <c r="K46">
        <f t="shared" si="4"/>
        <v>1</v>
      </c>
      <c r="L46" t="str">
        <f>'Lab test'!AC35</f>
        <v>Tubes</v>
      </c>
      <c r="O46" t="e">
        <f t="shared" si="5"/>
        <v>#N/A</v>
      </c>
      <c r="P46" t="e">
        <f t="shared" si="6"/>
        <v>#N/A</v>
      </c>
      <c r="Q46" t="e">
        <f t="shared" si="7"/>
        <v>#N/A</v>
      </c>
      <c r="R46" t="e">
        <f t="shared" si="8"/>
        <v>#N/A</v>
      </c>
      <c r="S46">
        <f t="shared" si="9"/>
        <v>1.310877485246057</v>
      </c>
      <c r="T46" t="e">
        <f t="shared" si="10"/>
        <v>#N/A</v>
      </c>
      <c r="U46" t="e">
        <f t="shared" si="11"/>
        <v>#N/A</v>
      </c>
      <c r="W46" t="e">
        <f t="shared" si="12"/>
        <v>#N/A</v>
      </c>
      <c r="X46" t="e">
        <f t="shared" si="13"/>
        <v>#N/A</v>
      </c>
      <c r="Y46" t="e">
        <f t="shared" si="14"/>
        <v>#N/A</v>
      </c>
      <c r="Z46" t="e">
        <f t="shared" si="15"/>
        <v>#N/A</v>
      </c>
      <c r="AA46">
        <f t="shared" si="16"/>
        <v>4.641453281394127E-2</v>
      </c>
      <c r="AB46" t="e">
        <f t="shared" si="17"/>
        <v>#N/A</v>
      </c>
      <c r="AC46" t="e">
        <f t="shared" si="18"/>
        <v>#N/A</v>
      </c>
    </row>
    <row r="47" spans="2:33">
      <c r="B47">
        <v>33</v>
      </c>
      <c r="C47">
        <f>'Lab test'!Q36</f>
        <v>18.3</v>
      </c>
      <c r="D47">
        <f>IF('Lab test'!AQ36&gt;0,'Lab test'!AQ36,NA())</f>
        <v>0.18816807392247489</v>
      </c>
      <c r="E47">
        <f>IF('Lab test'!AU36&gt;0,'Lab test'!AU36,NA())</f>
        <v>1.3383591935321377</v>
      </c>
      <c r="F47">
        <f>IF('Lab test'!AT36&gt;0,'Lab test'!AT36,NA())</f>
        <v>4.738758381632998E-2</v>
      </c>
      <c r="G47">
        <f t="shared" si="0"/>
        <v>1</v>
      </c>
      <c r="H47">
        <f t="shared" si="1"/>
        <v>1</v>
      </c>
      <c r="I47">
        <f t="shared" si="2"/>
        <v>1</v>
      </c>
      <c r="J47">
        <f t="shared" si="3"/>
        <v>1</v>
      </c>
      <c r="K47">
        <f t="shared" si="4"/>
        <v>1</v>
      </c>
      <c r="L47" t="str">
        <f>'Lab test'!AC36</f>
        <v>Tubes</v>
      </c>
      <c r="O47" t="e">
        <f t="shared" si="5"/>
        <v>#N/A</v>
      </c>
      <c r="P47" t="e">
        <f t="shared" si="6"/>
        <v>#N/A</v>
      </c>
      <c r="Q47" t="e">
        <f t="shared" si="7"/>
        <v>#N/A</v>
      </c>
      <c r="R47" t="e">
        <f t="shared" si="8"/>
        <v>#N/A</v>
      </c>
      <c r="S47">
        <f t="shared" si="9"/>
        <v>1.3383591935321377</v>
      </c>
      <c r="T47" t="e">
        <f t="shared" si="10"/>
        <v>#N/A</v>
      </c>
      <c r="U47" t="e">
        <f t="shared" si="11"/>
        <v>#N/A</v>
      </c>
      <c r="W47" t="e">
        <f t="shared" si="12"/>
        <v>#N/A</v>
      </c>
      <c r="X47" t="e">
        <f t="shared" si="13"/>
        <v>#N/A</v>
      </c>
      <c r="Y47" t="e">
        <f t="shared" si="14"/>
        <v>#N/A</v>
      </c>
      <c r="Z47" t="e">
        <f t="shared" si="15"/>
        <v>#N/A</v>
      </c>
      <c r="AA47">
        <f t="shared" si="16"/>
        <v>4.738758381632998E-2</v>
      </c>
      <c r="AB47" t="e">
        <f t="shared" si="17"/>
        <v>#N/A</v>
      </c>
      <c r="AC47" t="e">
        <f t="shared" si="18"/>
        <v>#N/A</v>
      </c>
    </row>
    <row r="48" spans="2:33">
      <c r="B48">
        <v>34</v>
      </c>
      <c r="C48">
        <f>'Lab test'!Q37</f>
        <v>18.5</v>
      </c>
      <c r="D48">
        <f>IF('Lab test'!AQ37&gt;0,'Lab test'!AQ37,NA())</f>
        <v>0.18891052001747102</v>
      </c>
      <c r="E48">
        <f>IF('Lab test'!AU37&gt;0,'Lab test'!AU37,NA())</f>
        <v>1.1507039699495796</v>
      </c>
      <c r="F48">
        <f>IF('Lab test'!AT37&gt;0,'Lab test'!AT37,NA())</f>
        <v>4.1065384964786705E-2</v>
      </c>
      <c r="G48">
        <f t="shared" si="0"/>
        <v>1</v>
      </c>
      <c r="H48">
        <f t="shared" si="1"/>
        <v>1</v>
      </c>
      <c r="I48">
        <f t="shared" si="2"/>
        <v>1</v>
      </c>
      <c r="J48">
        <f t="shared" si="3"/>
        <v>1</v>
      </c>
      <c r="K48">
        <f t="shared" si="4"/>
        <v>1</v>
      </c>
      <c r="L48" t="str">
        <f>'Lab test'!AC37</f>
        <v>Tubes</v>
      </c>
      <c r="O48" t="e">
        <f t="shared" si="5"/>
        <v>#N/A</v>
      </c>
      <c r="P48" t="e">
        <f t="shared" si="6"/>
        <v>#N/A</v>
      </c>
      <c r="Q48" t="e">
        <f t="shared" si="7"/>
        <v>#N/A</v>
      </c>
      <c r="R48" t="e">
        <f t="shared" si="8"/>
        <v>#N/A</v>
      </c>
      <c r="S48">
        <f t="shared" si="9"/>
        <v>1.1507039699495796</v>
      </c>
      <c r="T48" t="e">
        <f t="shared" si="10"/>
        <v>#N/A</v>
      </c>
      <c r="U48" t="e">
        <f t="shared" si="11"/>
        <v>#N/A</v>
      </c>
      <c r="W48" t="e">
        <f t="shared" si="12"/>
        <v>#N/A</v>
      </c>
      <c r="X48" t="e">
        <f t="shared" si="13"/>
        <v>#N/A</v>
      </c>
      <c r="Y48" t="e">
        <f t="shared" si="14"/>
        <v>#N/A</v>
      </c>
      <c r="Z48" t="e">
        <f t="shared" si="15"/>
        <v>#N/A</v>
      </c>
      <c r="AA48">
        <f t="shared" si="16"/>
        <v>4.1065384964786705E-2</v>
      </c>
      <c r="AB48" t="e">
        <f t="shared" si="17"/>
        <v>#N/A</v>
      </c>
      <c r="AC48" t="e">
        <f t="shared" si="18"/>
        <v>#N/A</v>
      </c>
    </row>
    <row r="49" spans="2:29">
      <c r="B49">
        <v>35</v>
      </c>
      <c r="C49">
        <f>'Lab test'!Q38</f>
        <v>400</v>
      </c>
      <c r="D49">
        <f>IF('Lab test'!AQ38&gt;0,'Lab test'!AQ38,NA())</f>
        <v>1.1116784305997409</v>
      </c>
      <c r="E49">
        <f>IF('Lab test'!AU38&gt;0,'Lab test'!AU38,NA())</f>
        <v>0.42822134440814413</v>
      </c>
      <c r="F49">
        <f>IF('Lab test'!AT38&gt;0,'Lab test'!AT38,NA())</f>
        <v>0.52920832717373667</v>
      </c>
      <c r="G49">
        <f t="shared" si="0"/>
        <v>1</v>
      </c>
      <c r="H49">
        <f t="shared" si="1"/>
        <v>1</v>
      </c>
      <c r="I49">
        <f t="shared" si="2"/>
        <v>1</v>
      </c>
      <c r="J49">
        <f t="shared" si="3"/>
        <v>1</v>
      </c>
      <c r="K49">
        <f t="shared" si="4"/>
        <v>1</v>
      </c>
      <c r="L49" t="str">
        <f>'Lab test'!AC38</f>
        <v>LTWa</v>
      </c>
      <c r="O49">
        <f t="shared" si="5"/>
        <v>0.42822134440814413</v>
      </c>
      <c r="P49" t="e">
        <f t="shared" si="6"/>
        <v>#N/A</v>
      </c>
      <c r="Q49" t="e">
        <f t="shared" si="7"/>
        <v>#N/A</v>
      </c>
      <c r="R49" t="e">
        <f t="shared" si="8"/>
        <v>#N/A</v>
      </c>
      <c r="S49" t="e">
        <f t="shared" si="9"/>
        <v>#N/A</v>
      </c>
      <c r="T49" t="e">
        <f t="shared" si="10"/>
        <v>#N/A</v>
      </c>
      <c r="U49" t="e">
        <f t="shared" si="11"/>
        <v>#N/A</v>
      </c>
      <c r="W49">
        <f t="shared" si="12"/>
        <v>0.52920832717373667</v>
      </c>
      <c r="X49" t="e">
        <f t="shared" si="13"/>
        <v>#N/A</v>
      </c>
      <c r="Y49" t="e">
        <f t="shared" si="14"/>
        <v>#N/A</v>
      </c>
      <c r="Z49" t="e">
        <f t="shared" si="15"/>
        <v>#N/A</v>
      </c>
      <c r="AA49" t="e">
        <f t="shared" si="16"/>
        <v>#N/A</v>
      </c>
      <c r="AB49" t="e">
        <f t="shared" si="17"/>
        <v>#N/A</v>
      </c>
      <c r="AC49" t="e">
        <f t="shared" si="18"/>
        <v>#N/A</v>
      </c>
    </row>
    <row r="50" spans="2:29">
      <c r="B50">
        <v>36</v>
      </c>
      <c r="C50">
        <f>'Lab test'!Q39</f>
        <v>400</v>
      </c>
      <c r="D50">
        <f>IF('Lab test'!AQ39&gt;0,'Lab test'!AQ39,NA())</f>
        <v>1.1116784305997409</v>
      </c>
      <c r="E50">
        <f>IF('Lab test'!AU39&gt;0,'Lab test'!AU39,NA())</f>
        <v>0.28915774314220588</v>
      </c>
      <c r="F50">
        <f>IF('Lab test'!AT39&gt;0,'Lab test'!AT39,NA())</f>
        <v>0.35734950519367314</v>
      </c>
      <c r="G50">
        <f t="shared" si="0"/>
        <v>1</v>
      </c>
      <c r="H50">
        <f t="shared" si="1"/>
        <v>1</v>
      </c>
      <c r="I50">
        <f t="shared" si="2"/>
        <v>1</v>
      </c>
      <c r="J50">
        <f t="shared" si="3"/>
        <v>1</v>
      </c>
      <c r="K50">
        <f t="shared" si="4"/>
        <v>1</v>
      </c>
      <c r="L50" t="str">
        <f>'Lab test'!AC39</f>
        <v>LTWa</v>
      </c>
      <c r="O50">
        <f t="shared" si="5"/>
        <v>0.28915774314220588</v>
      </c>
      <c r="P50" t="e">
        <f t="shared" si="6"/>
        <v>#N/A</v>
      </c>
      <c r="Q50" t="e">
        <f t="shared" si="7"/>
        <v>#N/A</v>
      </c>
      <c r="R50" t="e">
        <f t="shared" si="8"/>
        <v>#N/A</v>
      </c>
      <c r="S50" t="e">
        <f t="shared" si="9"/>
        <v>#N/A</v>
      </c>
      <c r="T50" t="e">
        <f t="shared" si="10"/>
        <v>#N/A</v>
      </c>
      <c r="U50" t="e">
        <f t="shared" si="11"/>
        <v>#N/A</v>
      </c>
      <c r="W50">
        <f t="shared" si="12"/>
        <v>0.35734950519367314</v>
      </c>
      <c r="X50" t="e">
        <f t="shared" si="13"/>
        <v>#N/A</v>
      </c>
      <c r="Y50" t="e">
        <f t="shared" si="14"/>
        <v>#N/A</v>
      </c>
      <c r="Z50" t="e">
        <f t="shared" si="15"/>
        <v>#N/A</v>
      </c>
      <c r="AA50" t="e">
        <f t="shared" si="16"/>
        <v>#N/A</v>
      </c>
      <c r="AB50" t="e">
        <f t="shared" si="17"/>
        <v>#N/A</v>
      </c>
      <c r="AC50" t="e">
        <f t="shared" si="18"/>
        <v>#N/A</v>
      </c>
    </row>
    <row r="51" spans="2:29">
      <c r="B51">
        <v>37</v>
      </c>
      <c r="C51">
        <f>'Lab test'!Q40</f>
        <v>150</v>
      </c>
      <c r="D51">
        <f>IF('Lab test'!AQ40&gt;0,'Lab test'!AQ40,NA())</f>
        <v>0.6807612282568416</v>
      </c>
      <c r="E51">
        <f>IF('Lab test'!AU40&gt;0,'Lab test'!AU40,NA())</f>
        <v>0.65657979823389157</v>
      </c>
      <c r="F51">
        <f>IF('Lab test'!AT40&gt;0,'Lab test'!AT40,NA())</f>
        <v>0.30428261682022567</v>
      </c>
      <c r="G51">
        <f t="shared" si="0"/>
        <v>1</v>
      </c>
      <c r="H51">
        <f t="shared" si="1"/>
        <v>1</v>
      </c>
      <c r="I51">
        <f t="shared" si="2"/>
        <v>1</v>
      </c>
      <c r="J51">
        <f t="shared" si="3"/>
        <v>1</v>
      </c>
      <c r="K51">
        <f t="shared" si="4"/>
        <v>1</v>
      </c>
      <c r="L51" t="str">
        <f>'Lab test'!AC40</f>
        <v>LTWa</v>
      </c>
      <c r="O51">
        <f t="shared" si="5"/>
        <v>0.65657979823389157</v>
      </c>
      <c r="P51" t="e">
        <f t="shared" si="6"/>
        <v>#N/A</v>
      </c>
      <c r="Q51" t="e">
        <f t="shared" si="7"/>
        <v>#N/A</v>
      </c>
      <c r="R51" t="e">
        <f t="shared" si="8"/>
        <v>#N/A</v>
      </c>
      <c r="S51" t="e">
        <f t="shared" si="9"/>
        <v>#N/A</v>
      </c>
      <c r="T51" t="e">
        <f t="shared" si="10"/>
        <v>#N/A</v>
      </c>
      <c r="U51" t="e">
        <f t="shared" si="11"/>
        <v>#N/A</v>
      </c>
      <c r="W51">
        <f t="shared" si="12"/>
        <v>0.30428261682022567</v>
      </c>
      <c r="X51" t="e">
        <f t="shared" si="13"/>
        <v>#N/A</v>
      </c>
      <c r="Y51" t="e">
        <f t="shared" si="14"/>
        <v>#N/A</v>
      </c>
      <c r="Z51" t="e">
        <f t="shared" si="15"/>
        <v>#N/A</v>
      </c>
      <c r="AA51" t="e">
        <f t="shared" si="16"/>
        <v>#N/A</v>
      </c>
      <c r="AB51" t="e">
        <f t="shared" si="17"/>
        <v>#N/A</v>
      </c>
      <c r="AC51" t="e">
        <f t="shared" si="18"/>
        <v>#N/A</v>
      </c>
    </row>
    <row r="52" spans="2:29">
      <c r="B52">
        <v>38</v>
      </c>
      <c r="C52">
        <f>'Lab test'!Q41</f>
        <v>150</v>
      </c>
      <c r="D52">
        <f>IF('Lab test'!AQ41&gt;0,'Lab test'!AQ41,NA())</f>
        <v>0.6807612282568416</v>
      </c>
      <c r="E52">
        <f>IF('Lab test'!AU41&gt;0,'Lab test'!AU41,NA())</f>
        <v>0.74324833160076531</v>
      </c>
      <c r="F52">
        <f>IF('Lab test'!AT41&gt;0,'Lab test'!AT41,NA())</f>
        <v>0.34444792224049547</v>
      </c>
      <c r="G52">
        <f t="shared" si="0"/>
        <v>1</v>
      </c>
      <c r="H52">
        <f t="shared" si="1"/>
        <v>1</v>
      </c>
      <c r="I52">
        <f t="shared" si="2"/>
        <v>1</v>
      </c>
      <c r="J52">
        <f t="shared" si="3"/>
        <v>1</v>
      </c>
      <c r="K52">
        <f t="shared" si="4"/>
        <v>1</v>
      </c>
      <c r="L52" t="str">
        <f>'Lab test'!AC41</f>
        <v>LTWa</v>
      </c>
      <c r="O52">
        <f t="shared" si="5"/>
        <v>0.74324833160076531</v>
      </c>
      <c r="P52" t="e">
        <f t="shared" si="6"/>
        <v>#N/A</v>
      </c>
      <c r="Q52" t="e">
        <f t="shared" si="7"/>
        <v>#N/A</v>
      </c>
      <c r="R52" t="e">
        <f t="shared" si="8"/>
        <v>#N/A</v>
      </c>
      <c r="S52" t="e">
        <f t="shared" si="9"/>
        <v>#N/A</v>
      </c>
      <c r="T52" t="e">
        <f t="shared" si="10"/>
        <v>#N/A</v>
      </c>
      <c r="U52" t="e">
        <f t="shared" si="11"/>
        <v>#N/A</v>
      </c>
      <c r="W52">
        <f t="shared" si="12"/>
        <v>0.34444792224049547</v>
      </c>
      <c r="X52" t="e">
        <f t="shared" si="13"/>
        <v>#N/A</v>
      </c>
      <c r="Y52" t="e">
        <f t="shared" si="14"/>
        <v>#N/A</v>
      </c>
      <c r="Z52" t="e">
        <f t="shared" si="15"/>
        <v>#N/A</v>
      </c>
      <c r="AA52" t="e">
        <f t="shared" si="16"/>
        <v>#N/A</v>
      </c>
      <c r="AB52" t="e">
        <f t="shared" si="17"/>
        <v>#N/A</v>
      </c>
      <c r="AC52" t="e">
        <f t="shared" si="18"/>
        <v>#N/A</v>
      </c>
    </row>
    <row r="53" spans="2:29">
      <c r="B53">
        <v>39</v>
      </c>
      <c r="C53">
        <f>'Lab test'!Q42</f>
        <v>50</v>
      </c>
      <c r="D53">
        <f>IF('Lab test'!AQ42&gt;0,'Lab test'!AQ42,NA())</f>
        <v>0.39303767838794779</v>
      </c>
      <c r="E53">
        <f>IF('Lab test'!AU42&gt;0,'Lab test'!AU42,NA())</f>
        <v>0.89163536600162485</v>
      </c>
      <c r="F53">
        <f>IF('Lab test'!AT42&gt;0,'Lab test'!AT42,NA())</f>
        <v>0.1377385978806222</v>
      </c>
      <c r="G53">
        <f t="shared" si="0"/>
        <v>1</v>
      </c>
      <c r="H53">
        <f t="shared" si="1"/>
        <v>1</v>
      </c>
      <c r="I53">
        <f t="shared" si="2"/>
        <v>1</v>
      </c>
      <c r="J53">
        <f t="shared" si="3"/>
        <v>1</v>
      </c>
      <c r="K53">
        <f t="shared" si="4"/>
        <v>1</v>
      </c>
      <c r="L53" t="str">
        <f>'Lab test'!AC42</f>
        <v>LTWa</v>
      </c>
      <c r="O53">
        <f t="shared" si="5"/>
        <v>0.89163536600162485</v>
      </c>
      <c r="P53" t="e">
        <f t="shared" si="6"/>
        <v>#N/A</v>
      </c>
      <c r="Q53" t="e">
        <f t="shared" si="7"/>
        <v>#N/A</v>
      </c>
      <c r="R53" t="e">
        <f t="shared" si="8"/>
        <v>#N/A</v>
      </c>
      <c r="S53" t="e">
        <f t="shared" si="9"/>
        <v>#N/A</v>
      </c>
      <c r="T53" t="e">
        <f t="shared" si="10"/>
        <v>#N/A</v>
      </c>
      <c r="U53" t="e">
        <f t="shared" si="11"/>
        <v>#N/A</v>
      </c>
      <c r="W53">
        <f t="shared" si="12"/>
        <v>0.1377385978806222</v>
      </c>
      <c r="X53" t="e">
        <f t="shared" si="13"/>
        <v>#N/A</v>
      </c>
      <c r="Y53" t="e">
        <f t="shared" si="14"/>
        <v>#N/A</v>
      </c>
      <c r="Z53" t="e">
        <f t="shared" si="15"/>
        <v>#N/A</v>
      </c>
      <c r="AA53" t="e">
        <f t="shared" si="16"/>
        <v>#N/A</v>
      </c>
      <c r="AB53" t="e">
        <f t="shared" si="17"/>
        <v>#N/A</v>
      </c>
      <c r="AC53" t="e">
        <f t="shared" si="18"/>
        <v>#N/A</v>
      </c>
    </row>
    <row r="54" spans="2:29">
      <c r="B54">
        <v>40</v>
      </c>
      <c r="C54">
        <f>'Lab test'!Q43</f>
        <v>50</v>
      </c>
      <c r="D54">
        <f>IF('Lab test'!AQ43&gt;0,'Lab test'!AQ43,NA())</f>
        <v>0.39303767838794779</v>
      </c>
      <c r="E54">
        <f>IF('Lab test'!AU43&gt;0,'Lab test'!AU43,NA())</f>
        <v>0.9018780108540736</v>
      </c>
      <c r="F54">
        <f>IF('Lab test'!AT43&gt;0,'Lab test'!AT43,NA())</f>
        <v>0.13932086748808736</v>
      </c>
      <c r="G54">
        <f t="shared" si="0"/>
        <v>1</v>
      </c>
      <c r="H54">
        <f t="shared" si="1"/>
        <v>1</v>
      </c>
      <c r="I54">
        <f t="shared" si="2"/>
        <v>1</v>
      </c>
      <c r="J54">
        <f t="shared" si="3"/>
        <v>1</v>
      </c>
      <c r="K54">
        <f t="shared" si="4"/>
        <v>1</v>
      </c>
      <c r="L54" t="str">
        <f>'Lab test'!AC43</f>
        <v>LTWa</v>
      </c>
      <c r="O54">
        <f t="shared" si="5"/>
        <v>0.9018780108540736</v>
      </c>
      <c r="P54" t="e">
        <f t="shared" si="6"/>
        <v>#N/A</v>
      </c>
      <c r="Q54" t="e">
        <f t="shared" si="7"/>
        <v>#N/A</v>
      </c>
      <c r="R54" t="e">
        <f t="shared" si="8"/>
        <v>#N/A</v>
      </c>
      <c r="S54" t="e">
        <f t="shared" si="9"/>
        <v>#N/A</v>
      </c>
      <c r="T54" t="e">
        <f t="shared" si="10"/>
        <v>#N/A</v>
      </c>
      <c r="U54" t="e">
        <f t="shared" si="11"/>
        <v>#N/A</v>
      </c>
      <c r="W54">
        <f t="shared" si="12"/>
        <v>0.13932086748808736</v>
      </c>
      <c r="X54" t="e">
        <f t="shared" si="13"/>
        <v>#N/A</v>
      </c>
      <c r="Y54" t="e">
        <f t="shared" si="14"/>
        <v>#N/A</v>
      </c>
      <c r="Z54" t="e">
        <f t="shared" si="15"/>
        <v>#N/A</v>
      </c>
      <c r="AA54" t="e">
        <f t="shared" si="16"/>
        <v>#N/A</v>
      </c>
      <c r="AB54" t="e">
        <f t="shared" si="17"/>
        <v>#N/A</v>
      </c>
      <c r="AC54" t="e">
        <f t="shared" si="18"/>
        <v>#N/A</v>
      </c>
    </row>
    <row r="55" spans="2:29">
      <c r="B55">
        <v>41</v>
      </c>
      <c r="C55">
        <f>'Lab test'!Q44</f>
        <v>333.33333333333337</v>
      </c>
      <c r="D55">
        <f>IF('Lab test'!AQ44&gt;0,'Lab test'!AQ44,NA())</f>
        <v>1.3986844385452473</v>
      </c>
      <c r="E55">
        <f>IF('Lab test'!AU44&gt;0,'Lab test'!AU44,NA())</f>
        <v>0.1533524191250033</v>
      </c>
      <c r="F55">
        <f>IF('Lab test'!AT44&gt;0,'Lab test'!AT44,NA())</f>
        <v>0.30000612220387285</v>
      </c>
      <c r="G55">
        <f t="shared" si="0"/>
        <v>1</v>
      </c>
      <c r="H55">
        <f t="shared" si="1"/>
        <v>1</v>
      </c>
      <c r="I55">
        <f t="shared" si="2"/>
        <v>1</v>
      </c>
      <c r="J55">
        <f t="shared" si="3"/>
        <v>1</v>
      </c>
      <c r="K55">
        <f t="shared" si="4"/>
        <v>1</v>
      </c>
      <c r="L55" t="str">
        <f>'Lab test'!AC44</f>
        <v>LTWa</v>
      </c>
      <c r="O55">
        <f t="shared" si="5"/>
        <v>0.1533524191250033</v>
      </c>
      <c r="P55" t="e">
        <f t="shared" si="6"/>
        <v>#N/A</v>
      </c>
      <c r="Q55" t="e">
        <f t="shared" si="7"/>
        <v>#N/A</v>
      </c>
      <c r="R55" t="e">
        <f t="shared" si="8"/>
        <v>#N/A</v>
      </c>
      <c r="S55" t="e">
        <f t="shared" si="9"/>
        <v>#N/A</v>
      </c>
      <c r="T55" t="e">
        <f t="shared" si="10"/>
        <v>#N/A</v>
      </c>
      <c r="U55" t="e">
        <f t="shared" si="11"/>
        <v>#N/A</v>
      </c>
      <c r="W55">
        <f t="shared" si="12"/>
        <v>0.30000612220387285</v>
      </c>
      <c r="X55" t="e">
        <f t="shared" si="13"/>
        <v>#N/A</v>
      </c>
      <c r="Y55" t="e">
        <f t="shared" si="14"/>
        <v>#N/A</v>
      </c>
      <c r="Z55" t="e">
        <f t="shared" si="15"/>
        <v>#N/A</v>
      </c>
      <c r="AA55" t="e">
        <f t="shared" si="16"/>
        <v>#N/A</v>
      </c>
      <c r="AB55" t="e">
        <f t="shared" si="17"/>
        <v>#N/A</v>
      </c>
      <c r="AC55" t="e">
        <f t="shared" si="18"/>
        <v>#N/A</v>
      </c>
    </row>
    <row r="56" spans="2:29">
      <c r="B56">
        <v>42</v>
      </c>
      <c r="C56">
        <f>'Lab test'!Q45</f>
        <v>333.33333333333337</v>
      </c>
      <c r="D56">
        <f>IF('Lab test'!AQ45&gt;0,'Lab test'!AQ45,NA())</f>
        <v>1.3986844385452473</v>
      </c>
      <c r="E56">
        <f>IF('Lab test'!AU45&gt;0,'Lab test'!AU45,NA())</f>
        <v>0.19082705307784759</v>
      </c>
      <c r="F56">
        <f>IF('Lab test'!AT45&gt;0,'Lab test'!AT45,NA())</f>
        <v>0.37331842909378327</v>
      </c>
      <c r="G56">
        <f t="shared" si="0"/>
        <v>1</v>
      </c>
      <c r="H56">
        <f t="shared" si="1"/>
        <v>1</v>
      </c>
      <c r="I56">
        <f t="shared" si="2"/>
        <v>1</v>
      </c>
      <c r="J56">
        <f t="shared" si="3"/>
        <v>1</v>
      </c>
      <c r="K56">
        <f t="shared" si="4"/>
        <v>1</v>
      </c>
      <c r="L56" t="str">
        <f>'Lab test'!AC45</f>
        <v>LTWa</v>
      </c>
      <c r="O56">
        <f t="shared" si="5"/>
        <v>0.19082705307784759</v>
      </c>
      <c r="P56" t="e">
        <f t="shared" si="6"/>
        <v>#N/A</v>
      </c>
      <c r="Q56" t="e">
        <f t="shared" si="7"/>
        <v>#N/A</v>
      </c>
      <c r="R56" t="e">
        <f t="shared" si="8"/>
        <v>#N/A</v>
      </c>
      <c r="S56" t="e">
        <f t="shared" si="9"/>
        <v>#N/A</v>
      </c>
      <c r="T56" t="e">
        <f t="shared" si="10"/>
        <v>#N/A</v>
      </c>
      <c r="U56" t="e">
        <f t="shared" si="11"/>
        <v>#N/A</v>
      </c>
      <c r="W56">
        <f t="shared" si="12"/>
        <v>0.37331842909378327</v>
      </c>
      <c r="X56" t="e">
        <f t="shared" si="13"/>
        <v>#N/A</v>
      </c>
      <c r="Y56" t="e">
        <f t="shared" si="14"/>
        <v>#N/A</v>
      </c>
      <c r="Z56" t="e">
        <f t="shared" si="15"/>
        <v>#N/A</v>
      </c>
      <c r="AA56" t="e">
        <f t="shared" si="16"/>
        <v>#N/A</v>
      </c>
      <c r="AB56" t="e">
        <f t="shared" si="17"/>
        <v>#N/A</v>
      </c>
      <c r="AC56" t="e">
        <f t="shared" si="18"/>
        <v>#N/A</v>
      </c>
    </row>
    <row r="57" spans="2:29">
      <c r="B57">
        <v>43</v>
      </c>
      <c r="C57">
        <f>'Lab test'!Q46</f>
        <v>150</v>
      </c>
      <c r="D57">
        <f>IF('Lab test'!AQ46&gt;0,'Lab test'!AQ46,NA())</f>
        <v>0.9382660450974899</v>
      </c>
      <c r="E57">
        <f>IF('Lab test'!AU46&gt;0,'Lab test'!AU46,NA())</f>
        <v>0.51366152640248863</v>
      </c>
      <c r="F57">
        <f>IF('Lab test'!AT46&gt;0,'Lab test'!AT46,NA())</f>
        <v>0.45219841717054027</v>
      </c>
      <c r="G57">
        <f t="shared" si="0"/>
        <v>1</v>
      </c>
      <c r="H57">
        <f t="shared" si="1"/>
        <v>1</v>
      </c>
      <c r="I57">
        <f t="shared" si="2"/>
        <v>1</v>
      </c>
      <c r="J57">
        <f t="shared" si="3"/>
        <v>1</v>
      </c>
      <c r="K57">
        <f t="shared" si="4"/>
        <v>1</v>
      </c>
      <c r="L57" t="str">
        <f>'Lab test'!AC46</f>
        <v>LTWa</v>
      </c>
      <c r="O57">
        <f t="shared" si="5"/>
        <v>0.51366152640248863</v>
      </c>
      <c r="P57" t="e">
        <f t="shared" si="6"/>
        <v>#N/A</v>
      </c>
      <c r="Q57" t="e">
        <f t="shared" si="7"/>
        <v>#N/A</v>
      </c>
      <c r="R57" t="e">
        <f t="shared" si="8"/>
        <v>#N/A</v>
      </c>
      <c r="S57" t="e">
        <f t="shared" si="9"/>
        <v>#N/A</v>
      </c>
      <c r="T57" t="e">
        <f t="shared" si="10"/>
        <v>#N/A</v>
      </c>
      <c r="U57" t="e">
        <f t="shared" si="11"/>
        <v>#N/A</v>
      </c>
      <c r="W57">
        <f t="shared" si="12"/>
        <v>0.45219841717054027</v>
      </c>
      <c r="X57" t="e">
        <f t="shared" si="13"/>
        <v>#N/A</v>
      </c>
      <c r="Y57" t="e">
        <f t="shared" si="14"/>
        <v>#N/A</v>
      </c>
      <c r="Z57" t="e">
        <f t="shared" si="15"/>
        <v>#N/A</v>
      </c>
      <c r="AA57" t="e">
        <f t="shared" si="16"/>
        <v>#N/A</v>
      </c>
      <c r="AB57" t="e">
        <f t="shared" si="17"/>
        <v>#N/A</v>
      </c>
      <c r="AC57" t="e">
        <f t="shared" si="18"/>
        <v>#N/A</v>
      </c>
    </row>
    <row r="58" spans="2:29">
      <c r="B58">
        <v>44</v>
      </c>
      <c r="C58">
        <f>'Lab test'!Q47</f>
        <v>150</v>
      </c>
      <c r="D58">
        <f>IF('Lab test'!AQ47&gt;0,'Lab test'!AQ47,NA())</f>
        <v>0.9382660450974899</v>
      </c>
      <c r="E58">
        <f>IF('Lab test'!AU47&gt;0,'Lab test'!AU47,NA())</f>
        <v>0.53549006894460627</v>
      </c>
      <c r="F58">
        <f>IF('Lab test'!AT47&gt;0,'Lab test'!AT47,NA())</f>
        <v>0.47141502553873432</v>
      </c>
      <c r="G58">
        <f t="shared" si="0"/>
        <v>1</v>
      </c>
      <c r="H58">
        <f t="shared" si="1"/>
        <v>1</v>
      </c>
      <c r="I58">
        <f t="shared" si="2"/>
        <v>1</v>
      </c>
      <c r="J58">
        <f t="shared" si="3"/>
        <v>1</v>
      </c>
      <c r="K58">
        <f t="shared" si="4"/>
        <v>1</v>
      </c>
      <c r="L58" t="str">
        <f>'Lab test'!AC47</f>
        <v>LTWa</v>
      </c>
      <c r="O58">
        <f t="shared" si="5"/>
        <v>0.53549006894460627</v>
      </c>
      <c r="P58" t="e">
        <f t="shared" si="6"/>
        <v>#N/A</v>
      </c>
      <c r="Q58" t="e">
        <f t="shared" si="7"/>
        <v>#N/A</v>
      </c>
      <c r="R58" t="e">
        <f t="shared" si="8"/>
        <v>#N/A</v>
      </c>
      <c r="S58" t="e">
        <f t="shared" si="9"/>
        <v>#N/A</v>
      </c>
      <c r="T58" t="e">
        <f t="shared" si="10"/>
        <v>#N/A</v>
      </c>
      <c r="U58" t="e">
        <f t="shared" si="11"/>
        <v>#N/A</v>
      </c>
      <c r="W58">
        <f t="shared" si="12"/>
        <v>0.47141502553873432</v>
      </c>
      <c r="X58" t="e">
        <f t="shared" si="13"/>
        <v>#N/A</v>
      </c>
      <c r="Y58" t="e">
        <f t="shared" si="14"/>
        <v>#N/A</v>
      </c>
      <c r="Z58" t="e">
        <f t="shared" si="15"/>
        <v>#N/A</v>
      </c>
      <c r="AA58" t="e">
        <f t="shared" si="16"/>
        <v>#N/A</v>
      </c>
      <c r="AB58" t="e">
        <f t="shared" si="17"/>
        <v>#N/A</v>
      </c>
      <c r="AC58" t="e">
        <f t="shared" si="18"/>
        <v>#N/A</v>
      </c>
    </row>
    <row r="59" spans="2:29">
      <c r="B59">
        <v>45</v>
      </c>
      <c r="C59">
        <f>'Lab test'!Q48</f>
        <v>50</v>
      </c>
      <c r="D59">
        <f>IF('Lab test'!AQ48&gt;0,'Lab test'!AQ48,NA())</f>
        <v>0.54170815370852132</v>
      </c>
      <c r="E59">
        <f>IF('Lab test'!AU48&gt;0,'Lab test'!AU48,NA())</f>
        <v>0.83137273947858403</v>
      </c>
      <c r="F59">
        <f>IF('Lab test'!AT48&gt;0,'Lab test'!AT48,NA())</f>
        <v>0.24396443802461787</v>
      </c>
      <c r="G59">
        <f t="shared" si="0"/>
        <v>1</v>
      </c>
      <c r="H59">
        <f t="shared" si="1"/>
        <v>1</v>
      </c>
      <c r="I59">
        <f t="shared" si="2"/>
        <v>1</v>
      </c>
      <c r="J59">
        <f t="shared" si="3"/>
        <v>1</v>
      </c>
      <c r="K59">
        <f t="shared" si="4"/>
        <v>1</v>
      </c>
      <c r="L59" t="str">
        <f>'Lab test'!AC48</f>
        <v>LTWa</v>
      </c>
      <c r="O59">
        <f t="shared" si="5"/>
        <v>0.83137273947858403</v>
      </c>
      <c r="P59" t="e">
        <f t="shared" si="6"/>
        <v>#N/A</v>
      </c>
      <c r="Q59" t="e">
        <f t="shared" si="7"/>
        <v>#N/A</v>
      </c>
      <c r="R59" t="e">
        <f t="shared" si="8"/>
        <v>#N/A</v>
      </c>
      <c r="S59" t="e">
        <f t="shared" si="9"/>
        <v>#N/A</v>
      </c>
      <c r="T59" t="e">
        <f t="shared" si="10"/>
        <v>#N/A</v>
      </c>
      <c r="U59" t="e">
        <f t="shared" si="11"/>
        <v>#N/A</v>
      </c>
      <c r="W59">
        <f t="shared" si="12"/>
        <v>0.24396443802461787</v>
      </c>
      <c r="X59" t="e">
        <f t="shared" si="13"/>
        <v>#N/A</v>
      </c>
      <c r="Y59" t="e">
        <f t="shared" si="14"/>
        <v>#N/A</v>
      </c>
      <c r="Z59" t="e">
        <f t="shared" si="15"/>
        <v>#N/A</v>
      </c>
      <c r="AA59" t="e">
        <f t="shared" si="16"/>
        <v>#N/A</v>
      </c>
      <c r="AB59" t="e">
        <f t="shared" si="17"/>
        <v>#N/A</v>
      </c>
      <c r="AC59" t="e">
        <f t="shared" si="18"/>
        <v>#N/A</v>
      </c>
    </row>
    <row r="60" spans="2:29">
      <c r="B60">
        <v>46</v>
      </c>
      <c r="C60">
        <f>'Lab test'!Q49</f>
        <v>50</v>
      </c>
      <c r="D60">
        <f>IF('Lab test'!AQ49&gt;0,'Lab test'!AQ49,NA())</f>
        <v>0.54170815370852132</v>
      </c>
      <c r="E60">
        <f>IF('Lab test'!AU49&gt;0,'Lab test'!AU49,NA())</f>
        <v>0.84251726963721796</v>
      </c>
      <c r="F60">
        <f>IF('Lab test'!AT49&gt;0,'Lab test'!AT49,NA())</f>
        <v>0.24723477503242589</v>
      </c>
      <c r="G60">
        <f t="shared" si="0"/>
        <v>1</v>
      </c>
      <c r="H60">
        <f t="shared" si="1"/>
        <v>1</v>
      </c>
      <c r="I60">
        <f t="shared" si="2"/>
        <v>1</v>
      </c>
      <c r="J60">
        <f t="shared" si="3"/>
        <v>1</v>
      </c>
      <c r="K60">
        <f t="shared" si="4"/>
        <v>1</v>
      </c>
      <c r="L60" t="str">
        <f>'Lab test'!AC49</f>
        <v>LTWa</v>
      </c>
      <c r="O60">
        <f t="shared" si="5"/>
        <v>0.84251726963721796</v>
      </c>
      <c r="P60" t="e">
        <f t="shared" si="6"/>
        <v>#N/A</v>
      </c>
      <c r="Q60" t="e">
        <f t="shared" si="7"/>
        <v>#N/A</v>
      </c>
      <c r="R60" t="e">
        <f t="shared" si="8"/>
        <v>#N/A</v>
      </c>
      <c r="S60" t="e">
        <f t="shared" si="9"/>
        <v>#N/A</v>
      </c>
      <c r="T60" t="e">
        <f t="shared" si="10"/>
        <v>#N/A</v>
      </c>
      <c r="U60" t="e">
        <f t="shared" si="11"/>
        <v>#N/A</v>
      </c>
      <c r="W60">
        <f t="shared" si="12"/>
        <v>0.24723477503242589</v>
      </c>
      <c r="X60" t="e">
        <f t="shared" si="13"/>
        <v>#N/A</v>
      </c>
      <c r="Y60" t="e">
        <f t="shared" si="14"/>
        <v>#N/A</v>
      </c>
      <c r="Z60" t="e">
        <f t="shared" si="15"/>
        <v>#N/A</v>
      </c>
      <c r="AA60" t="e">
        <f t="shared" si="16"/>
        <v>#N/A</v>
      </c>
      <c r="AB60" t="e">
        <f t="shared" si="17"/>
        <v>#N/A</v>
      </c>
      <c r="AC60" t="e">
        <f t="shared" si="18"/>
        <v>#N/A</v>
      </c>
    </row>
    <row r="61" spans="2:29">
      <c r="B61">
        <v>47</v>
      </c>
      <c r="C61">
        <f>'Lab test'!Q50</f>
        <v>500</v>
      </c>
      <c r="D61">
        <f>IF('Lab test'!AQ50&gt;0,'Lab test'!AQ50,NA())</f>
        <v>0.95932605377995417</v>
      </c>
      <c r="E61">
        <f>IF('Lab test'!AU50&gt;0,'Lab test'!AU50,NA())</f>
        <v>0.41572751646701595</v>
      </c>
      <c r="F61">
        <f>IF('Lab test'!AT50&gt;0,'Lab test'!AT50,NA())</f>
        <v>0.38259672626337743</v>
      </c>
      <c r="G61">
        <f t="shared" si="0"/>
        <v>1</v>
      </c>
      <c r="H61">
        <f t="shared" si="1"/>
        <v>1</v>
      </c>
      <c r="I61">
        <f t="shared" si="2"/>
        <v>1</v>
      </c>
      <c r="J61">
        <f t="shared" si="3"/>
        <v>1</v>
      </c>
      <c r="K61">
        <f t="shared" si="4"/>
        <v>1</v>
      </c>
      <c r="L61" t="str">
        <f>'Lab test'!AC50</f>
        <v>LTWa</v>
      </c>
      <c r="O61">
        <f t="shared" si="5"/>
        <v>0.41572751646701595</v>
      </c>
      <c r="P61" t="e">
        <f t="shared" si="6"/>
        <v>#N/A</v>
      </c>
      <c r="Q61" t="e">
        <f t="shared" si="7"/>
        <v>#N/A</v>
      </c>
      <c r="R61" t="e">
        <f t="shared" si="8"/>
        <v>#N/A</v>
      </c>
      <c r="S61" t="e">
        <f t="shared" si="9"/>
        <v>#N/A</v>
      </c>
      <c r="T61" t="e">
        <f t="shared" si="10"/>
        <v>#N/A</v>
      </c>
      <c r="U61" t="e">
        <f t="shared" si="11"/>
        <v>#N/A</v>
      </c>
      <c r="W61">
        <f t="shared" si="12"/>
        <v>0.38259672626337743</v>
      </c>
      <c r="X61" t="e">
        <f t="shared" si="13"/>
        <v>#N/A</v>
      </c>
      <c r="Y61" t="e">
        <f t="shared" si="14"/>
        <v>#N/A</v>
      </c>
      <c r="Z61" t="e">
        <f t="shared" si="15"/>
        <v>#N/A</v>
      </c>
      <c r="AA61" t="e">
        <f t="shared" si="16"/>
        <v>#N/A</v>
      </c>
      <c r="AB61" t="e">
        <f t="shared" si="17"/>
        <v>#N/A</v>
      </c>
      <c r="AC61" t="e">
        <f t="shared" si="18"/>
        <v>#N/A</v>
      </c>
    </row>
    <row r="62" spans="2:29">
      <c r="B62">
        <v>48</v>
      </c>
      <c r="C62">
        <f>'Lab test'!Q51</f>
        <v>437.5</v>
      </c>
      <c r="D62">
        <f>IF('Lab test'!AQ51&gt;0,'Lab test'!AQ51,NA())</f>
        <v>1.0455230378367246</v>
      </c>
      <c r="E62">
        <f>IF('Lab test'!AU51&gt;0,'Lab test'!AU51,NA())</f>
        <v>0.29887391387072509</v>
      </c>
      <c r="F62">
        <f>IF('Lab test'!AT51&gt;0,'Lab test'!AT51,NA())</f>
        <v>0.32670458130080182</v>
      </c>
      <c r="G62">
        <f t="shared" si="0"/>
        <v>1</v>
      </c>
      <c r="H62">
        <f t="shared" si="1"/>
        <v>1</v>
      </c>
      <c r="I62">
        <f t="shared" si="2"/>
        <v>1</v>
      </c>
      <c r="J62">
        <f t="shared" si="3"/>
        <v>1</v>
      </c>
      <c r="K62">
        <f t="shared" si="4"/>
        <v>1</v>
      </c>
      <c r="L62" t="str">
        <f>'Lab test'!AC51</f>
        <v>LTWb</v>
      </c>
      <c r="O62" t="e">
        <f t="shared" si="5"/>
        <v>#N/A</v>
      </c>
      <c r="P62">
        <f t="shared" si="6"/>
        <v>0.29887391387072509</v>
      </c>
      <c r="Q62" t="e">
        <f t="shared" si="7"/>
        <v>#N/A</v>
      </c>
      <c r="R62" t="e">
        <f t="shared" si="8"/>
        <v>#N/A</v>
      </c>
      <c r="S62" t="e">
        <f t="shared" si="9"/>
        <v>#N/A</v>
      </c>
      <c r="T62" t="e">
        <f t="shared" si="10"/>
        <v>#N/A</v>
      </c>
      <c r="U62" t="e">
        <f t="shared" si="11"/>
        <v>#N/A</v>
      </c>
      <c r="W62" t="e">
        <f t="shared" si="12"/>
        <v>#N/A</v>
      </c>
      <c r="X62">
        <f t="shared" si="13"/>
        <v>0.32670458130080182</v>
      </c>
      <c r="Y62" t="e">
        <f t="shared" si="14"/>
        <v>#N/A</v>
      </c>
      <c r="Z62" t="e">
        <f t="shared" si="15"/>
        <v>#N/A</v>
      </c>
      <c r="AA62" t="e">
        <f t="shared" si="16"/>
        <v>#N/A</v>
      </c>
      <c r="AB62" t="e">
        <f t="shared" si="17"/>
        <v>#N/A</v>
      </c>
      <c r="AC62" t="e">
        <f t="shared" si="18"/>
        <v>#N/A</v>
      </c>
    </row>
    <row r="63" spans="2:29">
      <c r="B63">
        <v>49</v>
      </c>
      <c r="C63">
        <f>'Lab test'!Q52</f>
        <v>437.5</v>
      </c>
      <c r="D63">
        <f>IF('Lab test'!AQ52&gt;0,'Lab test'!AQ52,NA())</f>
        <v>1.0455230378367246</v>
      </c>
      <c r="E63">
        <f>IF('Lab test'!AU52&gt;0,'Lab test'!AU52,NA())</f>
        <v>0.24918383371184996</v>
      </c>
      <c r="F63">
        <f>IF('Lab test'!AT52&gt;0,'Lab test'!AT52,NA())</f>
        <v>0.2723874392563127</v>
      </c>
      <c r="G63">
        <f t="shared" si="0"/>
        <v>1</v>
      </c>
      <c r="H63">
        <f t="shared" si="1"/>
        <v>1</v>
      </c>
      <c r="I63">
        <f t="shared" si="2"/>
        <v>1</v>
      </c>
      <c r="J63">
        <f t="shared" si="3"/>
        <v>1</v>
      </c>
      <c r="K63">
        <f t="shared" si="4"/>
        <v>1</v>
      </c>
      <c r="L63" t="str">
        <f>'Lab test'!AC52</f>
        <v>LTWb</v>
      </c>
      <c r="O63" t="e">
        <f t="shared" si="5"/>
        <v>#N/A</v>
      </c>
      <c r="P63">
        <f t="shared" si="6"/>
        <v>0.24918383371184996</v>
      </c>
      <c r="Q63" t="e">
        <f t="shared" si="7"/>
        <v>#N/A</v>
      </c>
      <c r="R63" t="e">
        <f t="shared" si="8"/>
        <v>#N/A</v>
      </c>
      <c r="S63" t="e">
        <f t="shared" si="9"/>
        <v>#N/A</v>
      </c>
      <c r="T63" t="e">
        <f t="shared" si="10"/>
        <v>#N/A</v>
      </c>
      <c r="U63" t="e">
        <f t="shared" si="11"/>
        <v>#N/A</v>
      </c>
      <c r="W63" t="e">
        <f t="shared" si="12"/>
        <v>#N/A</v>
      </c>
      <c r="X63">
        <f t="shared" si="13"/>
        <v>0.2723874392563127</v>
      </c>
      <c r="Y63" t="e">
        <f t="shared" si="14"/>
        <v>#N/A</v>
      </c>
      <c r="Z63" t="e">
        <f t="shared" si="15"/>
        <v>#N/A</v>
      </c>
      <c r="AA63" t="e">
        <f t="shared" si="16"/>
        <v>#N/A</v>
      </c>
      <c r="AB63" t="e">
        <f t="shared" si="17"/>
        <v>#N/A</v>
      </c>
      <c r="AC63" t="e">
        <f t="shared" si="18"/>
        <v>#N/A</v>
      </c>
    </row>
    <row r="64" spans="2:29">
      <c r="B64">
        <v>50</v>
      </c>
      <c r="C64">
        <f>'Lab test'!Q53</f>
        <v>437.5</v>
      </c>
      <c r="D64">
        <f>IF('Lab test'!AQ53&gt;0,'Lab test'!AQ53,NA())</f>
        <v>1.0455230378367246</v>
      </c>
      <c r="E64">
        <f>IF('Lab test'!AU53&gt;0,'Lab test'!AU53,NA())</f>
        <v>0.25780167049217145</v>
      </c>
      <c r="F64">
        <f>IF('Lab test'!AT53&gt;0,'Lab test'!AT53,NA())</f>
        <v>0.2818077554042499</v>
      </c>
      <c r="G64">
        <f t="shared" si="0"/>
        <v>1</v>
      </c>
      <c r="H64">
        <f t="shared" si="1"/>
        <v>1</v>
      </c>
      <c r="I64">
        <f t="shared" si="2"/>
        <v>1</v>
      </c>
      <c r="J64">
        <f t="shared" si="3"/>
        <v>1</v>
      </c>
      <c r="K64">
        <f t="shared" si="4"/>
        <v>1</v>
      </c>
      <c r="L64" t="str">
        <f>'Lab test'!AC53</f>
        <v>LTWb</v>
      </c>
      <c r="O64" t="e">
        <f t="shared" si="5"/>
        <v>#N/A</v>
      </c>
      <c r="P64">
        <f t="shared" si="6"/>
        <v>0.25780167049217145</v>
      </c>
      <c r="Q64" t="e">
        <f t="shared" si="7"/>
        <v>#N/A</v>
      </c>
      <c r="R64" t="e">
        <f t="shared" si="8"/>
        <v>#N/A</v>
      </c>
      <c r="S64" t="e">
        <f t="shared" si="9"/>
        <v>#N/A</v>
      </c>
      <c r="T64" t="e">
        <f t="shared" si="10"/>
        <v>#N/A</v>
      </c>
      <c r="U64" t="e">
        <f t="shared" si="11"/>
        <v>#N/A</v>
      </c>
      <c r="W64" t="e">
        <f t="shared" si="12"/>
        <v>#N/A</v>
      </c>
      <c r="X64">
        <f t="shared" si="13"/>
        <v>0.2818077554042499</v>
      </c>
      <c r="Y64" t="e">
        <f t="shared" si="14"/>
        <v>#N/A</v>
      </c>
      <c r="Z64" t="e">
        <f t="shared" si="15"/>
        <v>#N/A</v>
      </c>
      <c r="AA64" t="e">
        <f t="shared" si="16"/>
        <v>#N/A</v>
      </c>
      <c r="AB64" t="e">
        <f t="shared" si="17"/>
        <v>#N/A</v>
      </c>
      <c r="AC64" t="e">
        <f t="shared" si="18"/>
        <v>#N/A</v>
      </c>
    </row>
    <row r="65" spans="2:29">
      <c r="B65">
        <v>51</v>
      </c>
      <c r="C65">
        <f>'Lab test'!Q54</f>
        <v>437.5</v>
      </c>
      <c r="D65">
        <f>IF('Lab test'!AQ54&gt;0,'Lab test'!AQ54,NA())</f>
        <v>1.0455230378367246</v>
      </c>
      <c r="E65">
        <f>IF('Lab test'!AU54&gt;0,'Lab test'!AU54,NA())</f>
        <v>0.25670152111596023</v>
      </c>
      <c r="F65">
        <f>IF('Lab test'!AT54&gt;0,'Lab test'!AT54,NA())</f>
        <v>0.28060516185344947</v>
      </c>
      <c r="G65">
        <f t="shared" si="0"/>
        <v>1</v>
      </c>
      <c r="H65">
        <f t="shared" si="1"/>
        <v>1</v>
      </c>
      <c r="I65">
        <f t="shared" si="2"/>
        <v>1</v>
      </c>
      <c r="J65">
        <f t="shared" si="3"/>
        <v>1</v>
      </c>
      <c r="K65">
        <f t="shared" si="4"/>
        <v>1</v>
      </c>
      <c r="L65" t="str">
        <f>'Lab test'!AC54</f>
        <v>LTWb</v>
      </c>
      <c r="O65" t="e">
        <f t="shared" si="5"/>
        <v>#N/A</v>
      </c>
      <c r="P65">
        <f t="shared" si="6"/>
        <v>0.25670152111596023</v>
      </c>
      <c r="Q65" t="e">
        <f t="shared" si="7"/>
        <v>#N/A</v>
      </c>
      <c r="R65" t="e">
        <f t="shared" si="8"/>
        <v>#N/A</v>
      </c>
      <c r="S65" t="e">
        <f t="shared" si="9"/>
        <v>#N/A</v>
      </c>
      <c r="T65" t="e">
        <f t="shared" si="10"/>
        <v>#N/A</v>
      </c>
      <c r="U65" t="e">
        <f t="shared" si="11"/>
        <v>#N/A</v>
      </c>
      <c r="W65" t="e">
        <f t="shared" si="12"/>
        <v>#N/A</v>
      </c>
      <c r="X65">
        <f t="shared" si="13"/>
        <v>0.28060516185344947</v>
      </c>
      <c r="Y65" t="e">
        <f t="shared" si="14"/>
        <v>#N/A</v>
      </c>
      <c r="Z65" t="e">
        <f t="shared" si="15"/>
        <v>#N/A</v>
      </c>
      <c r="AA65" t="e">
        <f t="shared" si="16"/>
        <v>#N/A</v>
      </c>
      <c r="AB65" t="e">
        <f t="shared" si="17"/>
        <v>#N/A</v>
      </c>
      <c r="AC65" t="e">
        <f t="shared" si="18"/>
        <v>#N/A</v>
      </c>
    </row>
    <row r="66" spans="2:29">
      <c r="B66">
        <v>52</v>
      </c>
      <c r="C66">
        <f>'Lab test'!Q55</f>
        <v>350</v>
      </c>
      <c r="D66">
        <f>IF('Lab test'!AQ55&gt;0,'Lab test'!AQ55,NA())</f>
        <v>0.93514423385800027</v>
      </c>
      <c r="E66">
        <f>IF('Lab test'!AU55&gt;0,'Lab test'!AU55,NA())</f>
        <v>0.35527490522448896</v>
      </c>
      <c r="F66">
        <f>IF('Lab test'!AT55&gt;0,'Lab test'!AT55,NA())</f>
        <v>0.31068603520413929</v>
      </c>
      <c r="G66">
        <f t="shared" si="0"/>
        <v>1</v>
      </c>
      <c r="H66">
        <f t="shared" si="1"/>
        <v>1</v>
      </c>
      <c r="I66">
        <f t="shared" si="2"/>
        <v>1</v>
      </c>
      <c r="J66">
        <f t="shared" si="3"/>
        <v>1</v>
      </c>
      <c r="K66">
        <f t="shared" si="4"/>
        <v>1</v>
      </c>
      <c r="L66" t="str">
        <f>'Lab test'!AC55</f>
        <v>LTWb</v>
      </c>
      <c r="O66" t="e">
        <f t="shared" si="5"/>
        <v>#N/A</v>
      </c>
      <c r="P66">
        <f t="shared" si="6"/>
        <v>0.35527490522448896</v>
      </c>
      <c r="Q66" t="e">
        <f t="shared" si="7"/>
        <v>#N/A</v>
      </c>
      <c r="R66" t="e">
        <f t="shared" si="8"/>
        <v>#N/A</v>
      </c>
      <c r="S66" t="e">
        <f t="shared" si="9"/>
        <v>#N/A</v>
      </c>
      <c r="T66" t="e">
        <f t="shared" si="10"/>
        <v>#N/A</v>
      </c>
      <c r="U66" t="e">
        <f t="shared" si="11"/>
        <v>#N/A</v>
      </c>
      <c r="W66" t="e">
        <f t="shared" si="12"/>
        <v>#N/A</v>
      </c>
      <c r="X66">
        <f t="shared" si="13"/>
        <v>0.31068603520413929</v>
      </c>
      <c r="Y66" t="e">
        <f t="shared" si="14"/>
        <v>#N/A</v>
      </c>
      <c r="Z66" t="e">
        <f t="shared" si="15"/>
        <v>#N/A</v>
      </c>
      <c r="AA66" t="e">
        <f t="shared" si="16"/>
        <v>#N/A</v>
      </c>
      <c r="AB66" t="e">
        <f t="shared" si="17"/>
        <v>#N/A</v>
      </c>
      <c r="AC66" t="e">
        <f t="shared" si="18"/>
        <v>#N/A</v>
      </c>
    </row>
    <row r="67" spans="2:29">
      <c r="B67">
        <v>53</v>
      </c>
      <c r="C67">
        <f>'Lab test'!Q56</f>
        <v>350</v>
      </c>
      <c r="D67">
        <f>IF('Lab test'!AQ56&gt;0,'Lab test'!AQ56,NA())</f>
        <v>0.93514423385800027</v>
      </c>
      <c r="E67">
        <f>IF('Lab test'!AU56&gt;0,'Lab test'!AU56,NA())</f>
        <v>0.34104630662549001</v>
      </c>
      <c r="F67">
        <f>IF('Lab test'!AT56&gt;0,'Lab test'!AT56,NA())</f>
        <v>0.29824320059852344</v>
      </c>
      <c r="G67">
        <f t="shared" si="0"/>
        <v>1</v>
      </c>
      <c r="H67">
        <f t="shared" si="1"/>
        <v>1</v>
      </c>
      <c r="I67">
        <f t="shared" si="2"/>
        <v>1</v>
      </c>
      <c r="J67">
        <f t="shared" si="3"/>
        <v>1</v>
      </c>
      <c r="K67">
        <f t="shared" si="4"/>
        <v>1</v>
      </c>
      <c r="L67" t="str">
        <f>'Lab test'!AC56</f>
        <v>LTWb</v>
      </c>
      <c r="O67" t="e">
        <f t="shared" si="5"/>
        <v>#N/A</v>
      </c>
      <c r="P67">
        <f t="shared" si="6"/>
        <v>0.34104630662549001</v>
      </c>
      <c r="Q67" t="e">
        <f t="shared" si="7"/>
        <v>#N/A</v>
      </c>
      <c r="R67" t="e">
        <f t="shared" si="8"/>
        <v>#N/A</v>
      </c>
      <c r="S67" t="e">
        <f t="shared" si="9"/>
        <v>#N/A</v>
      </c>
      <c r="T67" t="e">
        <f t="shared" si="10"/>
        <v>#N/A</v>
      </c>
      <c r="U67" t="e">
        <f t="shared" si="11"/>
        <v>#N/A</v>
      </c>
      <c r="W67" t="e">
        <f t="shared" si="12"/>
        <v>#N/A</v>
      </c>
      <c r="X67">
        <f t="shared" si="13"/>
        <v>0.29824320059852344</v>
      </c>
      <c r="Y67" t="e">
        <f t="shared" si="14"/>
        <v>#N/A</v>
      </c>
      <c r="Z67" t="e">
        <f t="shared" si="15"/>
        <v>#N/A</v>
      </c>
      <c r="AA67" t="e">
        <f t="shared" si="16"/>
        <v>#N/A</v>
      </c>
      <c r="AB67" t="e">
        <f t="shared" si="17"/>
        <v>#N/A</v>
      </c>
      <c r="AC67" t="e">
        <f t="shared" si="18"/>
        <v>#N/A</v>
      </c>
    </row>
    <row r="68" spans="2:29">
      <c r="B68">
        <v>54</v>
      </c>
      <c r="C68">
        <f>'Lab test'!Q57</f>
        <v>350</v>
      </c>
      <c r="D68">
        <f>IF('Lab test'!AQ57&gt;0,'Lab test'!AQ57,NA())</f>
        <v>0.93514423385800027</v>
      </c>
      <c r="E68">
        <f>IF('Lab test'!AU57&gt;0,'Lab test'!AU57,NA())</f>
        <v>0.32197705077116157</v>
      </c>
      <c r="F68">
        <f>IF('Lab test'!AT57&gt;0,'Lab test'!AT57,NA())</f>
        <v>0.2815672366940899</v>
      </c>
      <c r="G68">
        <f t="shared" si="0"/>
        <v>1</v>
      </c>
      <c r="H68">
        <f t="shared" si="1"/>
        <v>1</v>
      </c>
      <c r="I68">
        <f t="shared" si="2"/>
        <v>1</v>
      </c>
      <c r="J68">
        <f t="shared" si="3"/>
        <v>1</v>
      </c>
      <c r="K68">
        <f t="shared" si="4"/>
        <v>1</v>
      </c>
      <c r="L68" t="str">
        <f>'Lab test'!AC57</f>
        <v>LTWb</v>
      </c>
      <c r="O68" t="e">
        <f t="shared" si="5"/>
        <v>#N/A</v>
      </c>
      <c r="P68">
        <f t="shared" si="6"/>
        <v>0.32197705077116157</v>
      </c>
      <c r="Q68" t="e">
        <f t="shared" si="7"/>
        <v>#N/A</v>
      </c>
      <c r="R68" t="e">
        <f t="shared" si="8"/>
        <v>#N/A</v>
      </c>
      <c r="S68" t="e">
        <f t="shared" si="9"/>
        <v>#N/A</v>
      </c>
      <c r="T68" t="e">
        <f t="shared" si="10"/>
        <v>#N/A</v>
      </c>
      <c r="U68" t="e">
        <f t="shared" si="11"/>
        <v>#N/A</v>
      </c>
      <c r="W68" t="e">
        <f t="shared" si="12"/>
        <v>#N/A</v>
      </c>
      <c r="X68">
        <f t="shared" si="13"/>
        <v>0.2815672366940899</v>
      </c>
      <c r="Y68" t="e">
        <f t="shared" si="14"/>
        <v>#N/A</v>
      </c>
      <c r="Z68" t="e">
        <f t="shared" si="15"/>
        <v>#N/A</v>
      </c>
      <c r="AA68" t="e">
        <f t="shared" si="16"/>
        <v>#N/A</v>
      </c>
      <c r="AB68" t="e">
        <f t="shared" si="17"/>
        <v>#N/A</v>
      </c>
      <c r="AC68" t="e">
        <f t="shared" si="18"/>
        <v>#N/A</v>
      </c>
    </row>
    <row r="69" spans="2:29">
      <c r="B69">
        <v>55</v>
      </c>
      <c r="C69">
        <f>'Lab test'!Q58</f>
        <v>350</v>
      </c>
      <c r="D69">
        <f>IF('Lab test'!AQ58&gt;0,'Lab test'!AQ58,NA())</f>
        <v>0.93514423385800027</v>
      </c>
      <c r="E69">
        <f>IF('Lab test'!AU58&gt;0,'Lab test'!AU58,NA())</f>
        <v>0.36246254781573584</v>
      </c>
      <c r="F69">
        <f>IF('Lab test'!AT58&gt;0,'Lab test'!AT58,NA())</f>
        <v>0.31697159082965648</v>
      </c>
      <c r="G69">
        <f t="shared" si="0"/>
        <v>1</v>
      </c>
      <c r="H69">
        <f t="shared" si="1"/>
        <v>1</v>
      </c>
      <c r="I69">
        <f t="shared" si="2"/>
        <v>1</v>
      </c>
      <c r="J69">
        <f t="shared" si="3"/>
        <v>1</v>
      </c>
      <c r="K69">
        <f t="shared" si="4"/>
        <v>1</v>
      </c>
      <c r="L69" t="str">
        <f>'Lab test'!AC58</f>
        <v>LTWb</v>
      </c>
      <c r="O69" t="e">
        <f t="shared" si="5"/>
        <v>#N/A</v>
      </c>
      <c r="P69">
        <f t="shared" si="6"/>
        <v>0.36246254781573584</v>
      </c>
      <c r="Q69" t="e">
        <f t="shared" si="7"/>
        <v>#N/A</v>
      </c>
      <c r="R69" t="e">
        <f t="shared" si="8"/>
        <v>#N/A</v>
      </c>
      <c r="S69" t="e">
        <f t="shared" si="9"/>
        <v>#N/A</v>
      </c>
      <c r="T69" t="e">
        <f t="shared" si="10"/>
        <v>#N/A</v>
      </c>
      <c r="U69" t="e">
        <f t="shared" si="11"/>
        <v>#N/A</v>
      </c>
      <c r="W69" t="e">
        <f t="shared" si="12"/>
        <v>#N/A</v>
      </c>
      <c r="X69">
        <f t="shared" si="13"/>
        <v>0.31697159082965648</v>
      </c>
      <c r="Y69" t="e">
        <f t="shared" si="14"/>
        <v>#N/A</v>
      </c>
      <c r="Z69" t="e">
        <f t="shared" si="15"/>
        <v>#N/A</v>
      </c>
      <c r="AA69" t="e">
        <f t="shared" si="16"/>
        <v>#N/A</v>
      </c>
      <c r="AB69" t="e">
        <f t="shared" si="17"/>
        <v>#N/A</v>
      </c>
      <c r="AC69" t="e">
        <f t="shared" si="18"/>
        <v>#N/A</v>
      </c>
    </row>
    <row r="70" spans="2:29">
      <c r="B70">
        <v>56</v>
      </c>
      <c r="C70">
        <f>'Lab test'!Q59</f>
        <v>280</v>
      </c>
      <c r="D70">
        <f>IF('Lab test'!AQ59&gt;0,'Lab test'!AQ59,NA())</f>
        <v>0.83641843026937968</v>
      </c>
      <c r="E70">
        <f>IF('Lab test'!AU59&gt;0,'Lab test'!AU59,NA())</f>
        <v>0.375635003013572</v>
      </c>
      <c r="F70">
        <f>IF('Lab test'!AT59&gt;0,'Lab test'!AT59,NA())</f>
        <v>0.2627926668706061</v>
      </c>
      <c r="G70">
        <f t="shared" si="0"/>
        <v>1</v>
      </c>
      <c r="H70">
        <f t="shared" si="1"/>
        <v>1</v>
      </c>
      <c r="I70">
        <f t="shared" si="2"/>
        <v>1</v>
      </c>
      <c r="J70">
        <f t="shared" si="3"/>
        <v>1</v>
      </c>
      <c r="K70">
        <f t="shared" si="4"/>
        <v>1</v>
      </c>
      <c r="L70" t="str">
        <f>'Lab test'!AC59</f>
        <v>LTWb</v>
      </c>
      <c r="O70" t="e">
        <f t="shared" si="5"/>
        <v>#N/A</v>
      </c>
      <c r="P70">
        <f t="shared" si="6"/>
        <v>0.375635003013572</v>
      </c>
      <c r="Q70" t="e">
        <f t="shared" si="7"/>
        <v>#N/A</v>
      </c>
      <c r="R70" t="e">
        <f t="shared" si="8"/>
        <v>#N/A</v>
      </c>
      <c r="S70" t="e">
        <f t="shared" si="9"/>
        <v>#N/A</v>
      </c>
      <c r="T70" t="e">
        <f t="shared" si="10"/>
        <v>#N/A</v>
      </c>
      <c r="U70" t="e">
        <f t="shared" si="11"/>
        <v>#N/A</v>
      </c>
      <c r="W70" t="e">
        <f t="shared" si="12"/>
        <v>#N/A</v>
      </c>
      <c r="X70">
        <f t="shared" si="13"/>
        <v>0.2627926668706061</v>
      </c>
      <c r="Y70" t="e">
        <f t="shared" si="14"/>
        <v>#N/A</v>
      </c>
      <c r="Z70" t="e">
        <f t="shared" si="15"/>
        <v>#N/A</v>
      </c>
      <c r="AA70" t="e">
        <f t="shared" si="16"/>
        <v>#N/A</v>
      </c>
      <c r="AB70" t="e">
        <f t="shared" si="17"/>
        <v>#N/A</v>
      </c>
      <c r="AC70" t="e">
        <f t="shared" si="18"/>
        <v>#N/A</v>
      </c>
    </row>
    <row r="71" spans="2:29">
      <c r="B71">
        <v>57</v>
      </c>
      <c r="C71">
        <f>'Lab test'!Q60</f>
        <v>280</v>
      </c>
      <c r="D71">
        <f>IF('Lab test'!AQ60&gt;0,'Lab test'!AQ60,NA())</f>
        <v>0.83641843026937968</v>
      </c>
      <c r="E71">
        <f>IF('Lab test'!AU60&gt;0,'Lab test'!AU60,NA())</f>
        <v>0.37669114641473478</v>
      </c>
      <c r="F71">
        <f>IF('Lab test'!AT60&gt;0,'Lab test'!AT60,NA())</f>
        <v>0.26353154034821785</v>
      </c>
      <c r="G71">
        <f t="shared" si="0"/>
        <v>1</v>
      </c>
      <c r="H71">
        <f t="shared" si="1"/>
        <v>1</v>
      </c>
      <c r="I71">
        <f t="shared" si="2"/>
        <v>1</v>
      </c>
      <c r="J71">
        <f t="shared" si="3"/>
        <v>1</v>
      </c>
      <c r="K71">
        <f t="shared" si="4"/>
        <v>1</v>
      </c>
      <c r="L71" t="str">
        <f>'Lab test'!AC60</f>
        <v>LTWb</v>
      </c>
      <c r="O71" t="e">
        <f t="shared" si="5"/>
        <v>#N/A</v>
      </c>
      <c r="P71">
        <f t="shared" si="6"/>
        <v>0.37669114641473478</v>
      </c>
      <c r="Q71" t="e">
        <f t="shared" si="7"/>
        <v>#N/A</v>
      </c>
      <c r="R71" t="e">
        <f t="shared" si="8"/>
        <v>#N/A</v>
      </c>
      <c r="S71" t="e">
        <f t="shared" si="9"/>
        <v>#N/A</v>
      </c>
      <c r="T71" t="e">
        <f t="shared" si="10"/>
        <v>#N/A</v>
      </c>
      <c r="U71" t="e">
        <f t="shared" si="11"/>
        <v>#N/A</v>
      </c>
      <c r="W71" t="e">
        <f t="shared" si="12"/>
        <v>#N/A</v>
      </c>
      <c r="X71">
        <f t="shared" si="13"/>
        <v>0.26353154034821785</v>
      </c>
      <c r="Y71" t="e">
        <f t="shared" si="14"/>
        <v>#N/A</v>
      </c>
      <c r="Z71" t="e">
        <f t="shared" si="15"/>
        <v>#N/A</v>
      </c>
      <c r="AA71" t="e">
        <f t="shared" si="16"/>
        <v>#N/A</v>
      </c>
      <c r="AB71" t="e">
        <f t="shared" si="17"/>
        <v>#N/A</v>
      </c>
      <c r="AC71" t="e">
        <f t="shared" si="18"/>
        <v>#N/A</v>
      </c>
    </row>
    <row r="72" spans="2:29">
      <c r="B72">
        <v>58</v>
      </c>
      <c r="C72">
        <f>'Lab test'!Q61</f>
        <v>280</v>
      </c>
      <c r="D72">
        <f>IF('Lab test'!AQ61&gt;0,'Lab test'!AQ61,NA())</f>
        <v>0.83641843026937968</v>
      </c>
      <c r="E72">
        <f>IF('Lab test'!AU61&gt;0,'Lab test'!AU61,NA())</f>
        <v>0.36354802853359763</v>
      </c>
      <c r="F72">
        <f>IF('Lab test'!AT61&gt;0,'Lab test'!AT61,NA())</f>
        <v>0.25433667040460406</v>
      </c>
      <c r="G72">
        <f t="shared" si="0"/>
        <v>1</v>
      </c>
      <c r="H72">
        <f t="shared" si="1"/>
        <v>1</v>
      </c>
      <c r="I72">
        <f t="shared" si="2"/>
        <v>1</v>
      </c>
      <c r="J72">
        <f t="shared" si="3"/>
        <v>1</v>
      </c>
      <c r="K72">
        <f t="shared" si="4"/>
        <v>1</v>
      </c>
      <c r="L72" t="str">
        <f>'Lab test'!AC61</f>
        <v>LTWb</v>
      </c>
      <c r="O72" t="e">
        <f t="shared" si="5"/>
        <v>#N/A</v>
      </c>
      <c r="P72">
        <f t="shared" si="6"/>
        <v>0.36354802853359763</v>
      </c>
      <c r="Q72" t="e">
        <f t="shared" si="7"/>
        <v>#N/A</v>
      </c>
      <c r="R72" t="e">
        <f t="shared" si="8"/>
        <v>#N/A</v>
      </c>
      <c r="S72" t="e">
        <f t="shared" si="9"/>
        <v>#N/A</v>
      </c>
      <c r="T72" t="e">
        <f t="shared" si="10"/>
        <v>#N/A</v>
      </c>
      <c r="U72" t="e">
        <f t="shared" si="11"/>
        <v>#N/A</v>
      </c>
      <c r="W72" t="e">
        <f t="shared" si="12"/>
        <v>#N/A</v>
      </c>
      <c r="X72">
        <f t="shared" si="13"/>
        <v>0.25433667040460406</v>
      </c>
      <c r="Y72" t="e">
        <f t="shared" si="14"/>
        <v>#N/A</v>
      </c>
      <c r="Z72" t="e">
        <f t="shared" si="15"/>
        <v>#N/A</v>
      </c>
      <c r="AA72" t="e">
        <f t="shared" si="16"/>
        <v>#N/A</v>
      </c>
      <c r="AB72" t="e">
        <f t="shared" si="17"/>
        <v>#N/A</v>
      </c>
      <c r="AC72" t="e">
        <f t="shared" si="18"/>
        <v>#N/A</v>
      </c>
    </row>
    <row r="73" spans="2:29">
      <c r="B73">
        <v>59</v>
      </c>
      <c r="C73">
        <f>'Lab test'!Q62</f>
        <v>280</v>
      </c>
      <c r="D73">
        <f>IF('Lab test'!AQ62&gt;0,'Lab test'!AQ62,NA())</f>
        <v>0.83641843026937968</v>
      </c>
      <c r="E73">
        <f>IF('Lab test'!AU62&gt;0,'Lab test'!AU62,NA())</f>
        <v>0.33644034790375221</v>
      </c>
      <c r="F73">
        <f>IF('Lab test'!AT62&gt;0,'Lab test'!AT62,NA())</f>
        <v>0.23537225114590049</v>
      </c>
      <c r="G73">
        <f t="shared" si="0"/>
        <v>1</v>
      </c>
      <c r="H73">
        <f t="shared" si="1"/>
        <v>1</v>
      </c>
      <c r="I73">
        <f t="shared" si="2"/>
        <v>1</v>
      </c>
      <c r="J73">
        <f t="shared" si="3"/>
        <v>1</v>
      </c>
      <c r="K73">
        <f t="shared" si="4"/>
        <v>1</v>
      </c>
      <c r="L73" t="str">
        <f>'Lab test'!AC62</f>
        <v>LTWb</v>
      </c>
      <c r="O73" t="e">
        <f t="shared" si="5"/>
        <v>#N/A</v>
      </c>
      <c r="P73">
        <f t="shared" si="6"/>
        <v>0.33644034790375221</v>
      </c>
      <c r="Q73" t="e">
        <f t="shared" si="7"/>
        <v>#N/A</v>
      </c>
      <c r="R73" t="e">
        <f t="shared" si="8"/>
        <v>#N/A</v>
      </c>
      <c r="S73" t="e">
        <f t="shared" si="9"/>
        <v>#N/A</v>
      </c>
      <c r="T73" t="e">
        <f t="shared" si="10"/>
        <v>#N/A</v>
      </c>
      <c r="U73" t="e">
        <f t="shared" si="11"/>
        <v>#N/A</v>
      </c>
      <c r="W73" t="e">
        <f t="shared" si="12"/>
        <v>#N/A</v>
      </c>
      <c r="X73">
        <f t="shared" si="13"/>
        <v>0.23537225114590049</v>
      </c>
      <c r="Y73" t="e">
        <f t="shared" si="14"/>
        <v>#N/A</v>
      </c>
      <c r="Z73" t="e">
        <f t="shared" si="15"/>
        <v>#N/A</v>
      </c>
      <c r="AA73" t="e">
        <f t="shared" si="16"/>
        <v>#N/A</v>
      </c>
      <c r="AB73" t="e">
        <f t="shared" si="17"/>
        <v>#N/A</v>
      </c>
      <c r="AC73" t="e">
        <f t="shared" si="18"/>
        <v>#N/A</v>
      </c>
    </row>
    <row r="74" spans="2:29">
      <c r="B74">
        <v>60</v>
      </c>
      <c r="C74">
        <f>'Lab test'!Q63</f>
        <v>865.80086580086572</v>
      </c>
      <c r="D74" t="e">
        <f>IF('Lab test'!AQ63&gt;0,'Lab test'!AQ63,NA())</f>
        <v>#N/A</v>
      </c>
      <c r="E74" t="e">
        <f>IF('Lab test'!AU63&gt;0,'Lab test'!AU63,NA())</f>
        <v>#N/A</v>
      </c>
      <c r="F74">
        <f>IF('Lab test'!AT63&gt;0,'Lab test'!AT63,NA())</f>
        <v>0.76004473552548202</v>
      </c>
      <c r="G74" t="e">
        <f t="shared" si="0"/>
        <v>#N/A</v>
      </c>
      <c r="H74" t="e">
        <f t="shared" si="1"/>
        <v>#N/A</v>
      </c>
      <c r="I74" t="e">
        <f t="shared" si="2"/>
        <v>#N/A</v>
      </c>
      <c r="J74">
        <f t="shared" si="3"/>
        <v>1</v>
      </c>
      <c r="K74">
        <f t="shared" si="4"/>
        <v>1</v>
      </c>
      <c r="L74" t="str">
        <f>'Lab test'!AC63</f>
        <v>Electroforming</v>
      </c>
      <c r="O74" t="e">
        <f t="shared" si="5"/>
        <v>#N/A</v>
      </c>
      <c r="P74" t="e">
        <f t="shared" si="6"/>
        <v>#N/A</v>
      </c>
      <c r="Q74" t="e">
        <f t="shared" si="7"/>
        <v>#N/A</v>
      </c>
      <c r="R74" t="e">
        <f t="shared" si="8"/>
        <v>#N/A</v>
      </c>
      <c r="S74" t="e">
        <f t="shared" si="9"/>
        <v>#N/A</v>
      </c>
      <c r="T74" t="e">
        <f t="shared" si="10"/>
        <v>#N/A</v>
      </c>
      <c r="U74" t="e">
        <f t="shared" si="11"/>
        <v>#N/A</v>
      </c>
      <c r="W74" t="e">
        <f t="shared" si="12"/>
        <v>#N/A</v>
      </c>
      <c r="X74" t="e">
        <f t="shared" si="13"/>
        <v>#N/A</v>
      </c>
      <c r="Y74">
        <f t="shared" si="14"/>
        <v>0.76004473552548202</v>
      </c>
      <c r="Z74" t="e">
        <f t="shared" si="15"/>
        <v>#N/A</v>
      </c>
      <c r="AA74" t="e">
        <f t="shared" si="16"/>
        <v>#N/A</v>
      </c>
      <c r="AB74" t="e">
        <f t="shared" si="17"/>
        <v>#N/A</v>
      </c>
      <c r="AC74" t="e">
        <f t="shared" si="18"/>
        <v>#N/A</v>
      </c>
    </row>
    <row r="75" spans="2:29">
      <c r="B75">
        <v>61</v>
      </c>
      <c r="C75">
        <f>'Lab test'!Q64</f>
        <v>898.87640449438209</v>
      </c>
      <c r="D75" t="e">
        <f>IF('Lab test'!AQ64&gt;0,'Lab test'!AQ64,NA())</f>
        <v>#N/A</v>
      </c>
      <c r="E75" t="e">
        <f>IF('Lab test'!AU64&gt;0,'Lab test'!AU64,NA())</f>
        <v>#N/A</v>
      </c>
      <c r="F75">
        <f>IF('Lab test'!AT64&gt;0,'Lab test'!AT64,NA())</f>
        <v>0.72369476991339388</v>
      </c>
      <c r="G75" t="e">
        <f t="shared" si="0"/>
        <v>#N/A</v>
      </c>
      <c r="H75" t="e">
        <f t="shared" si="1"/>
        <v>#N/A</v>
      </c>
      <c r="I75" t="e">
        <f t="shared" si="2"/>
        <v>#N/A</v>
      </c>
      <c r="J75">
        <f t="shared" si="3"/>
        <v>1</v>
      </c>
      <c r="K75">
        <f t="shared" si="4"/>
        <v>1</v>
      </c>
      <c r="L75" t="str">
        <f>'Lab test'!AC64</f>
        <v>Electroforming</v>
      </c>
      <c r="O75" t="e">
        <f t="shared" si="5"/>
        <v>#N/A</v>
      </c>
      <c r="P75" t="e">
        <f t="shared" si="6"/>
        <v>#N/A</v>
      </c>
      <c r="Q75" t="e">
        <f t="shared" si="7"/>
        <v>#N/A</v>
      </c>
      <c r="R75" t="e">
        <f t="shared" si="8"/>
        <v>#N/A</v>
      </c>
      <c r="S75" t="e">
        <f t="shared" si="9"/>
        <v>#N/A</v>
      </c>
      <c r="T75" t="e">
        <f t="shared" si="10"/>
        <v>#N/A</v>
      </c>
      <c r="U75" t="e">
        <f t="shared" si="11"/>
        <v>#N/A</v>
      </c>
      <c r="W75" t="e">
        <f t="shared" si="12"/>
        <v>#N/A</v>
      </c>
      <c r="X75" t="e">
        <f t="shared" si="13"/>
        <v>#N/A</v>
      </c>
      <c r="Y75">
        <f t="shared" si="14"/>
        <v>0.72369476991339388</v>
      </c>
      <c r="Z75" t="e">
        <f t="shared" si="15"/>
        <v>#N/A</v>
      </c>
      <c r="AA75" t="e">
        <f t="shared" si="16"/>
        <v>#N/A</v>
      </c>
      <c r="AB75" t="e">
        <f t="shared" si="17"/>
        <v>#N/A</v>
      </c>
      <c r="AC75" t="e">
        <f t="shared" si="18"/>
        <v>#N/A</v>
      </c>
    </row>
    <row r="76" spans="2:29">
      <c r="B76">
        <v>62</v>
      </c>
      <c r="C76">
        <f>'Lab test'!Q65</f>
        <v>888.88888888888869</v>
      </c>
      <c r="D76" t="e">
        <f>IF('Lab test'!AQ65&gt;0,'Lab test'!AQ65,NA())</f>
        <v>#N/A</v>
      </c>
      <c r="E76" t="e">
        <f>IF('Lab test'!AU65&gt;0,'Lab test'!AU65,NA())</f>
        <v>#N/A</v>
      </c>
      <c r="F76">
        <f>IF('Lab test'!AT65&gt;0,'Lab test'!AT65,NA())</f>
        <v>0.71873795642083627</v>
      </c>
      <c r="G76" t="e">
        <f t="shared" si="0"/>
        <v>#N/A</v>
      </c>
      <c r="H76" t="e">
        <f t="shared" si="1"/>
        <v>#N/A</v>
      </c>
      <c r="I76" t="e">
        <f t="shared" si="2"/>
        <v>#N/A</v>
      </c>
      <c r="J76">
        <f t="shared" si="3"/>
        <v>1</v>
      </c>
      <c r="K76">
        <f t="shared" si="4"/>
        <v>1</v>
      </c>
      <c r="L76" t="str">
        <f>'Lab test'!AC65</f>
        <v>Electroforming</v>
      </c>
      <c r="O76" t="e">
        <f t="shared" si="5"/>
        <v>#N/A</v>
      </c>
      <c r="P76" t="e">
        <f t="shared" si="6"/>
        <v>#N/A</v>
      </c>
      <c r="Q76" t="e">
        <f t="shared" si="7"/>
        <v>#N/A</v>
      </c>
      <c r="R76" t="e">
        <f t="shared" si="8"/>
        <v>#N/A</v>
      </c>
      <c r="S76" t="e">
        <f t="shared" si="9"/>
        <v>#N/A</v>
      </c>
      <c r="T76" t="e">
        <f t="shared" si="10"/>
        <v>#N/A</v>
      </c>
      <c r="U76" t="e">
        <f t="shared" si="11"/>
        <v>#N/A</v>
      </c>
      <c r="W76" t="e">
        <f t="shared" si="12"/>
        <v>#N/A</v>
      </c>
      <c r="X76" t="e">
        <f t="shared" si="13"/>
        <v>#N/A</v>
      </c>
      <c r="Y76">
        <f t="shared" si="14"/>
        <v>0.71873795642083627</v>
      </c>
      <c r="Z76" t="e">
        <f t="shared" si="15"/>
        <v>#N/A</v>
      </c>
      <c r="AA76" t="e">
        <f t="shared" si="16"/>
        <v>#N/A</v>
      </c>
      <c r="AB76" t="e">
        <f t="shared" si="17"/>
        <v>#N/A</v>
      </c>
      <c r="AC76" t="e">
        <f t="shared" si="18"/>
        <v>#N/A</v>
      </c>
    </row>
    <row r="77" spans="2:29">
      <c r="B77">
        <v>63</v>
      </c>
      <c r="C77">
        <f>'Lab test'!Q66</f>
        <v>800</v>
      </c>
      <c r="D77">
        <f>IF('Lab test'!AQ66&gt;0,'Lab test'!AQ66,NA())</f>
        <v>1.3043572584079364</v>
      </c>
      <c r="E77">
        <f>IF('Lab test'!AU66&gt;0,'Lab test'!AU66,NA())</f>
        <v>0.30105781050075592</v>
      </c>
      <c r="F77">
        <f>IF('Lab test'!AT66&gt;0,'Lab test'!AT66,NA())</f>
        <v>0.51220406089760762</v>
      </c>
      <c r="G77">
        <f t="shared" si="0"/>
        <v>1</v>
      </c>
      <c r="H77">
        <f t="shared" si="1"/>
        <v>1</v>
      </c>
      <c r="I77">
        <f t="shared" si="2"/>
        <v>1</v>
      </c>
      <c r="J77">
        <f t="shared" si="3"/>
        <v>1</v>
      </c>
      <c r="K77">
        <f t="shared" si="4"/>
        <v>1</v>
      </c>
      <c r="L77" t="str">
        <f>'Lab test'!AC66</f>
        <v>LTWb</v>
      </c>
      <c r="O77" t="e">
        <f t="shared" si="5"/>
        <v>#N/A</v>
      </c>
      <c r="P77">
        <f t="shared" si="6"/>
        <v>0.30105781050075592</v>
      </c>
      <c r="Q77" t="e">
        <f t="shared" si="7"/>
        <v>#N/A</v>
      </c>
      <c r="R77" t="e">
        <f t="shared" si="8"/>
        <v>#N/A</v>
      </c>
      <c r="S77" t="e">
        <f t="shared" si="9"/>
        <v>#N/A</v>
      </c>
      <c r="T77" t="e">
        <f t="shared" si="10"/>
        <v>#N/A</v>
      </c>
      <c r="U77" t="e">
        <f t="shared" si="11"/>
        <v>#N/A</v>
      </c>
      <c r="W77" t="e">
        <f t="shared" si="12"/>
        <v>#N/A</v>
      </c>
      <c r="X77">
        <f t="shared" si="13"/>
        <v>0.51220406089760762</v>
      </c>
      <c r="Y77" t="e">
        <f t="shared" si="14"/>
        <v>#N/A</v>
      </c>
      <c r="Z77" t="e">
        <f t="shared" si="15"/>
        <v>#N/A</v>
      </c>
      <c r="AA77" t="e">
        <f t="shared" si="16"/>
        <v>#N/A</v>
      </c>
      <c r="AB77" t="e">
        <f t="shared" si="17"/>
        <v>#N/A</v>
      </c>
      <c r="AC77" t="e">
        <f t="shared" si="18"/>
        <v>#N/A</v>
      </c>
    </row>
    <row r="78" spans="2:29">
      <c r="B78">
        <v>64</v>
      </c>
      <c r="C78">
        <f>'Lab test'!Q67</f>
        <v>800</v>
      </c>
      <c r="D78">
        <f>IF('Lab test'!AQ67&gt;0,'Lab test'!AQ67,NA())</f>
        <v>1.3043572584079364</v>
      </c>
      <c r="E78">
        <f>IF('Lab test'!AU67&gt;0,'Lab test'!AU67,NA())</f>
        <v>0.25929817872161881</v>
      </c>
      <c r="F78">
        <f>IF('Lab test'!AT67&gt;0,'Lab test'!AT67,NA())</f>
        <v>0.44115640083761687</v>
      </c>
      <c r="G78">
        <f t="shared" si="0"/>
        <v>1</v>
      </c>
      <c r="H78">
        <f t="shared" si="1"/>
        <v>1</v>
      </c>
      <c r="I78">
        <f t="shared" si="2"/>
        <v>1</v>
      </c>
      <c r="J78">
        <f t="shared" si="3"/>
        <v>1</v>
      </c>
      <c r="K78">
        <f t="shared" si="4"/>
        <v>1</v>
      </c>
      <c r="L78" t="str">
        <f>'Lab test'!AC67</f>
        <v>LTWb</v>
      </c>
      <c r="O78" t="e">
        <f t="shared" si="5"/>
        <v>#N/A</v>
      </c>
      <c r="P78">
        <f t="shared" si="6"/>
        <v>0.25929817872161881</v>
      </c>
      <c r="Q78" t="e">
        <f t="shared" si="7"/>
        <v>#N/A</v>
      </c>
      <c r="R78" t="e">
        <f t="shared" si="8"/>
        <v>#N/A</v>
      </c>
      <c r="S78" t="e">
        <f t="shared" si="9"/>
        <v>#N/A</v>
      </c>
      <c r="T78" t="e">
        <f t="shared" si="10"/>
        <v>#N/A</v>
      </c>
      <c r="U78" t="e">
        <f t="shared" si="11"/>
        <v>#N/A</v>
      </c>
      <c r="W78" t="e">
        <f t="shared" si="12"/>
        <v>#N/A</v>
      </c>
      <c r="X78">
        <f t="shared" si="13"/>
        <v>0.44115640083761687</v>
      </c>
      <c r="Y78" t="e">
        <f t="shared" si="14"/>
        <v>#N/A</v>
      </c>
      <c r="Z78" t="e">
        <f t="shared" si="15"/>
        <v>#N/A</v>
      </c>
      <c r="AA78" t="e">
        <f t="shared" si="16"/>
        <v>#N/A</v>
      </c>
      <c r="AB78" t="e">
        <f t="shared" si="17"/>
        <v>#N/A</v>
      </c>
      <c r="AC78" t="e">
        <f t="shared" si="18"/>
        <v>#N/A</v>
      </c>
    </row>
    <row r="79" spans="2:29">
      <c r="B79">
        <v>65</v>
      </c>
      <c r="C79">
        <f>'Lab test'!Q68</f>
        <v>800</v>
      </c>
      <c r="D79">
        <f>IF('Lab test'!AQ68&gt;0,'Lab test'!AQ68,NA())</f>
        <v>1.3043572584079364</v>
      </c>
      <c r="E79">
        <f>IF('Lab test'!AU68&gt;0,'Lab test'!AU68,NA())</f>
        <v>0.32533666618630075</v>
      </c>
      <c r="F79">
        <f>IF('Lab test'!AT68&gt;0,'Lab test'!AT68,NA())</f>
        <v>0.55351084000225337</v>
      </c>
      <c r="G79">
        <f t="shared" si="0"/>
        <v>1</v>
      </c>
      <c r="H79">
        <f t="shared" si="1"/>
        <v>1</v>
      </c>
      <c r="I79">
        <f t="shared" si="2"/>
        <v>1</v>
      </c>
      <c r="J79">
        <f t="shared" si="3"/>
        <v>1</v>
      </c>
      <c r="K79">
        <f t="shared" si="4"/>
        <v>1</v>
      </c>
      <c r="L79" t="str">
        <f>'Lab test'!AC68</f>
        <v>LTWb</v>
      </c>
      <c r="O79" t="e">
        <f t="shared" si="5"/>
        <v>#N/A</v>
      </c>
      <c r="P79">
        <f t="shared" si="6"/>
        <v>0.32533666618630075</v>
      </c>
      <c r="Q79" t="e">
        <f t="shared" si="7"/>
        <v>#N/A</v>
      </c>
      <c r="R79" t="e">
        <f t="shared" si="8"/>
        <v>#N/A</v>
      </c>
      <c r="S79" t="e">
        <f t="shared" si="9"/>
        <v>#N/A</v>
      </c>
      <c r="T79" t="e">
        <f t="shared" si="10"/>
        <v>#N/A</v>
      </c>
      <c r="U79" t="e">
        <f t="shared" si="11"/>
        <v>#N/A</v>
      </c>
      <c r="W79" t="e">
        <f t="shared" si="12"/>
        <v>#N/A</v>
      </c>
      <c r="X79">
        <f t="shared" si="13"/>
        <v>0.55351084000225337</v>
      </c>
      <c r="Y79" t="e">
        <f t="shared" si="14"/>
        <v>#N/A</v>
      </c>
      <c r="Z79" t="e">
        <f t="shared" si="15"/>
        <v>#N/A</v>
      </c>
      <c r="AA79" t="e">
        <f t="shared" si="16"/>
        <v>#N/A</v>
      </c>
      <c r="AB79" t="e">
        <f t="shared" si="17"/>
        <v>#N/A</v>
      </c>
      <c r="AC79" t="e">
        <f t="shared" si="18"/>
        <v>#N/A</v>
      </c>
    </row>
    <row r="80" spans="2:29">
      <c r="B80">
        <v>66</v>
      </c>
      <c r="C80">
        <f>'Lab test'!Q69</f>
        <v>800</v>
      </c>
      <c r="D80">
        <f>IF('Lab test'!AQ69&gt;0,'Lab test'!AQ69,NA())</f>
        <v>1.3043572584079364</v>
      </c>
      <c r="E80">
        <f>IF('Lab test'!AU69&gt;0,'Lab test'!AU69,NA())</f>
        <v>0.25832702449419703</v>
      </c>
      <c r="F80">
        <f>IF('Lab test'!AT69&gt;0,'Lab test'!AT69,NA())</f>
        <v>0.43950412967343105</v>
      </c>
      <c r="G80">
        <f t="shared" ref="G80:G143" si="21">IF(AND(ISNUMBER(D80),ISNUMBER(E80)),1,NA())</f>
        <v>1</v>
      </c>
      <c r="H80">
        <f t="shared" ref="H80:H143" si="22">IF(AND(ISNUMBER(D80),ISNUMBER(F80)),1,NA())</f>
        <v>1</v>
      </c>
      <c r="I80">
        <f t="shared" ref="I80:I143" si="23">IF(AND(ISNUMBER(C80),ISNUMBER(E80)),1,NA())</f>
        <v>1</v>
      </c>
      <c r="J80">
        <f t="shared" ref="J80:J143" si="24">IF(AND(ISNUMBER(C80),ISNUMBER(F80)),1,NA())</f>
        <v>1</v>
      </c>
      <c r="K80">
        <f t="shared" ref="K80:K143" si="25">IF(OR(ISNUMBER(E80),ISNUMBER(F80)),1,NA())</f>
        <v>1</v>
      </c>
      <c r="L80" t="str">
        <f>'Lab test'!AC69</f>
        <v>LTWb</v>
      </c>
      <c r="O80" t="e">
        <f t="shared" ref="O80:O143" si="26">IF(EXACT($O$14,L80),E80,NA())</f>
        <v>#N/A</v>
      </c>
      <c r="P80">
        <f t="shared" ref="P80:P143" si="27">IF(EXACT($P$14,L80),E80,NA())</f>
        <v>0.25832702449419703</v>
      </c>
      <c r="Q80" t="e">
        <f t="shared" ref="Q80:Q143" si="28">IF(EXACT($Q$14,L80),E80,NA())</f>
        <v>#N/A</v>
      </c>
      <c r="R80" t="e">
        <f t="shared" ref="R80:R143" si="29">IF(EXACT($R$14,L80),E80,NA())</f>
        <v>#N/A</v>
      </c>
      <c r="S80" t="e">
        <f t="shared" ref="S80:S143" si="30">IF(EXACT($S$14,L80),E80,NA())</f>
        <v>#N/A</v>
      </c>
      <c r="T80" t="e">
        <f t="shared" ref="T80:T143" si="31">IF(EXACT($T$14,L80),E80,NA())</f>
        <v>#N/A</v>
      </c>
      <c r="U80" t="e">
        <f t="shared" ref="U80:U143" si="32">IF(EXACT($U$14,L80),E80,NA())</f>
        <v>#N/A</v>
      </c>
      <c r="W80" t="e">
        <f t="shared" ref="W80:W143" si="33">IF(EXACT($W$14,L80),F80,NA())</f>
        <v>#N/A</v>
      </c>
      <c r="X80">
        <f t="shared" ref="X80:X143" si="34">IF(EXACT($X$14,L80),F80,NA())</f>
        <v>0.43950412967343105</v>
      </c>
      <c r="Y80" t="e">
        <f t="shared" ref="Y80:Y143" si="35">IF(EXACT($Y$14,L80),F80,NA())</f>
        <v>#N/A</v>
      </c>
      <c r="Z80" t="e">
        <f t="shared" ref="Z80:Z143" si="36">IF(EXACT($Z$14,L80),F80,NA())</f>
        <v>#N/A</v>
      </c>
      <c r="AA80" t="e">
        <f t="shared" ref="AA80:AA143" si="37">IF(EXACT($AA$14,L80),F80,NA())</f>
        <v>#N/A</v>
      </c>
      <c r="AB80" t="e">
        <f t="shared" ref="AB80:AB143" si="38">IF(EXACT($AB$14,L80),F80,NA())</f>
        <v>#N/A</v>
      </c>
      <c r="AC80" t="e">
        <f t="shared" ref="AC80:AC143" si="39">IF(EXACT($AC$14,L80),F80,NA())</f>
        <v>#N/A</v>
      </c>
    </row>
    <row r="81" spans="2:29">
      <c r="B81">
        <v>67</v>
      </c>
      <c r="C81">
        <f>'Lab test'!Q70</f>
        <v>400</v>
      </c>
      <c r="D81">
        <f>IF('Lab test'!AQ70&gt;0,'Lab test'!AQ70,NA())</f>
        <v>1.2959690218293991</v>
      </c>
      <c r="E81">
        <f>IF('Lab test'!AU70&gt;0,'Lab test'!AU70,NA())</f>
        <v>0.35612351643482798</v>
      </c>
      <c r="F81">
        <f>IF('Lab test'!AT70&gt;0,'Lab test'!AT70,NA())</f>
        <v>0.59812216143527075</v>
      </c>
      <c r="G81">
        <f t="shared" si="21"/>
        <v>1</v>
      </c>
      <c r="H81">
        <f t="shared" si="22"/>
        <v>1</v>
      </c>
      <c r="I81">
        <f t="shared" si="23"/>
        <v>1</v>
      </c>
      <c r="J81">
        <f t="shared" si="24"/>
        <v>1</v>
      </c>
      <c r="K81">
        <f t="shared" si="25"/>
        <v>1</v>
      </c>
      <c r="L81" t="str">
        <f>'Lab test'!AC70</f>
        <v>LTWb</v>
      </c>
      <c r="O81" t="e">
        <f t="shared" si="26"/>
        <v>#N/A</v>
      </c>
      <c r="P81">
        <f t="shared" si="27"/>
        <v>0.35612351643482798</v>
      </c>
      <c r="Q81" t="e">
        <f t="shared" si="28"/>
        <v>#N/A</v>
      </c>
      <c r="R81" t="e">
        <f t="shared" si="29"/>
        <v>#N/A</v>
      </c>
      <c r="S81" t="e">
        <f t="shared" si="30"/>
        <v>#N/A</v>
      </c>
      <c r="T81" t="e">
        <f t="shared" si="31"/>
        <v>#N/A</v>
      </c>
      <c r="U81" t="e">
        <f t="shared" si="32"/>
        <v>#N/A</v>
      </c>
      <c r="W81" t="e">
        <f t="shared" si="33"/>
        <v>#N/A</v>
      </c>
      <c r="X81">
        <f t="shared" si="34"/>
        <v>0.59812216143527075</v>
      </c>
      <c r="Y81" t="e">
        <f t="shared" si="35"/>
        <v>#N/A</v>
      </c>
      <c r="Z81" t="e">
        <f t="shared" si="36"/>
        <v>#N/A</v>
      </c>
      <c r="AA81" t="e">
        <f t="shared" si="37"/>
        <v>#N/A</v>
      </c>
      <c r="AB81" t="e">
        <f t="shared" si="38"/>
        <v>#N/A</v>
      </c>
      <c r="AC81" t="e">
        <f t="shared" si="39"/>
        <v>#N/A</v>
      </c>
    </row>
    <row r="82" spans="2:29">
      <c r="B82">
        <v>68</v>
      </c>
      <c r="C82">
        <f>'Lab test'!Q71</f>
        <v>400</v>
      </c>
      <c r="D82">
        <f>IF('Lab test'!AQ71&gt;0,'Lab test'!AQ71,NA())</f>
        <v>1.2959690218293991</v>
      </c>
      <c r="E82">
        <f>IF('Lab test'!AU71&gt;0,'Lab test'!AU71,NA())</f>
        <v>0.29316245275574232</v>
      </c>
      <c r="F82">
        <f>IF('Lab test'!AT71&gt;0,'Lab test'!AT71,NA())</f>
        <v>0.49237680692737751</v>
      </c>
      <c r="G82">
        <f t="shared" si="21"/>
        <v>1</v>
      </c>
      <c r="H82">
        <f t="shared" si="22"/>
        <v>1</v>
      </c>
      <c r="I82">
        <f t="shared" si="23"/>
        <v>1</v>
      </c>
      <c r="J82">
        <f t="shared" si="24"/>
        <v>1</v>
      </c>
      <c r="K82">
        <f t="shared" si="25"/>
        <v>1</v>
      </c>
      <c r="L82" t="str">
        <f>'Lab test'!AC71</f>
        <v>LTWb</v>
      </c>
      <c r="O82" t="e">
        <f t="shared" si="26"/>
        <v>#N/A</v>
      </c>
      <c r="P82">
        <f t="shared" si="27"/>
        <v>0.29316245275574232</v>
      </c>
      <c r="Q82" t="e">
        <f t="shared" si="28"/>
        <v>#N/A</v>
      </c>
      <c r="R82" t="e">
        <f t="shared" si="29"/>
        <v>#N/A</v>
      </c>
      <c r="S82" t="e">
        <f t="shared" si="30"/>
        <v>#N/A</v>
      </c>
      <c r="T82" t="e">
        <f t="shared" si="31"/>
        <v>#N/A</v>
      </c>
      <c r="U82" t="e">
        <f t="shared" si="32"/>
        <v>#N/A</v>
      </c>
      <c r="W82" t="e">
        <f t="shared" si="33"/>
        <v>#N/A</v>
      </c>
      <c r="X82">
        <f t="shared" si="34"/>
        <v>0.49237680692737751</v>
      </c>
      <c r="Y82" t="e">
        <f t="shared" si="35"/>
        <v>#N/A</v>
      </c>
      <c r="Z82" t="e">
        <f t="shared" si="36"/>
        <v>#N/A</v>
      </c>
      <c r="AA82" t="e">
        <f t="shared" si="37"/>
        <v>#N/A</v>
      </c>
      <c r="AB82" t="e">
        <f t="shared" si="38"/>
        <v>#N/A</v>
      </c>
      <c r="AC82" t="e">
        <f t="shared" si="39"/>
        <v>#N/A</v>
      </c>
    </row>
    <row r="83" spans="2:29">
      <c r="B83">
        <v>69</v>
      </c>
      <c r="C83">
        <f>'Lab test'!Q72</f>
        <v>400</v>
      </c>
      <c r="D83">
        <f>IF('Lab test'!AQ72&gt;0,'Lab test'!AQ72,NA())</f>
        <v>1.2959690218293991</v>
      </c>
      <c r="E83">
        <f>IF('Lab test'!AU72&gt;0,'Lab test'!AU72,NA())</f>
        <v>0.26364945415617097</v>
      </c>
      <c r="F83">
        <f>IF('Lab test'!AT72&gt;0,'Lab test'!AT72,NA())</f>
        <v>0.44280867200180263</v>
      </c>
      <c r="G83">
        <f t="shared" si="21"/>
        <v>1</v>
      </c>
      <c r="H83">
        <f t="shared" si="22"/>
        <v>1</v>
      </c>
      <c r="I83">
        <f t="shared" si="23"/>
        <v>1</v>
      </c>
      <c r="J83">
        <f t="shared" si="24"/>
        <v>1</v>
      </c>
      <c r="K83">
        <f t="shared" si="25"/>
        <v>1</v>
      </c>
      <c r="L83" t="str">
        <f>'Lab test'!AC72</f>
        <v>LTWb</v>
      </c>
      <c r="O83" t="e">
        <f t="shared" si="26"/>
        <v>#N/A</v>
      </c>
      <c r="P83">
        <f t="shared" si="27"/>
        <v>0.26364945415617097</v>
      </c>
      <c r="Q83" t="e">
        <f t="shared" si="28"/>
        <v>#N/A</v>
      </c>
      <c r="R83" t="e">
        <f t="shared" si="29"/>
        <v>#N/A</v>
      </c>
      <c r="S83" t="e">
        <f t="shared" si="30"/>
        <v>#N/A</v>
      </c>
      <c r="T83" t="e">
        <f t="shared" si="31"/>
        <v>#N/A</v>
      </c>
      <c r="U83" t="e">
        <f t="shared" si="32"/>
        <v>#N/A</v>
      </c>
      <c r="W83" t="e">
        <f t="shared" si="33"/>
        <v>#N/A</v>
      </c>
      <c r="X83">
        <f t="shared" si="34"/>
        <v>0.44280867200180263</v>
      </c>
      <c r="Y83" t="e">
        <f t="shared" si="35"/>
        <v>#N/A</v>
      </c>
      <c r="Z83" t="e">
        <f t="shared" si="36"/>
        <v>#N/A</v>
      </c>
      <c r="AA83" t="e">
        <f t="shared" si="37"/>
        <v>#N/A</v>
      </c>
      <c r="AB83" t="e">
        <f t="shared" si="38"/>
        <v>#N/A</v>
      </c>
      <c r="AC83" t="e">
        <f t="shared" si="39"/>
        <v>#N/A</v>
      </c>
    </row>
    <row r="84" spans="2:29">
      <c r="B84">
        <v>70</v>
      </c>
      <c r="C84">
        <f>'Lab test'!Q73</f>
        <v>400</v>
      </c>
      <c r="D84">
        <f>IF('Lab test'!AQ73&gt;0,'Lab test'!AQ73,NA())</f>
        <v>1.2959690218293991</v>
      </c>
      <c r="E84">
        <f>IF('Lab test'!AU73&gt;0,'Lab test'!AU73,NA())</f>
        <v>0.34038325051505652</v>
      </c>
      <c r="F84">
        <f>IF('Lab test'!AT73&gt;0,'Lab test'!AT73,NA())</f>
        <v>0.57168582280829738</v>
      </c>
      <c r="G84">
        <f t="shared" si="21"/>
        <v>1</v>
      </c>
      <c r="H84">
        <f t="shared" si="22"/>
        <v>1</v>
      </c>
      <c r="I84">
        <f t="shared" si="23"/>
        <v>1</v>
      </c>
      <c r="J84">
        <f t="shared" si="24"/>
        <v>1</v>
      </c>
      <c r="K84">
        <f t="shared" si="25"/>
        <v>1</v>
      </c>
      <c r="L84" t="str">
        <f>'Lab test'!AC73</f>
        <v>LTWb</v>
      </c>
      <c r="O84" t="e">
        <f t="shared" si="26"/>
        <v>#N/A</v>
      </c>
      <c r="P84">
        <f t="shared" si="27"/>
        <v>0.34038325051505652</v>
      </c>
      <c r="Q84" t="e">
        <f t="shared" si="28"/>
        <v>#N/A</v>
      </c>
      <c r="R84" t="e">
        <f t="shared" si="29"/>
        <v>#N/A</v>
      </c>
      <c r="S84" t="e">
        <f t="shared" si="30"/>
        <v>#N/A</v>
      </c>
      <c r="T84" t="e">
        <f t="shared" si="31"/>
        <v>#N/A</v>
      </c>
      <c r="U84" t="e">
        <f t="shared" si="32"/>
        <v>#N/A</v>
      </c>
      <c r="W84" t="e">
        <f t="shared" si="33"/>
        <v>#N/A</v>
      </c>
      <c r="X84">
        <f t="shared" si="34"/>
        <v>0.57168582280829738</v>
      </c>
      <c r="Y84" t="e">
        <f t="shared" si="35"/>
        <v>#N/A</v>
      </c>
      <c r="Z84" t="e">
        <f t="shared" si="36"/>
        <v>#N/A</v>
      </c>
      <c r="AA84" t="e">
        <f t="shared" si="37"/>
        <v>#N/A</v>
      </c>
      <c r="AB84" t="e">
        <f t="shared" si="38"/>
        <v>#N/A</v>
      </c>
      <c r="AC84" t="e">
        <f t="shared" si="39"/>
        <v>#N/A</v>
      </c>
    </row>
    <row r="85" spans="2:29">
      <c r="B85">
        <v>71</v>
      </c>
      <c r="C85">
        <f>'Lab test'!Q74</f>
        <v>375</v>
      </c>
      <c r="D85">
        <f>IF('Lab test'!AQ74&gt;0,'Lab test'!AQ74,NA())</f>
        <v>0.86360671149709767</v>
      </c>
      <c r="E85">
        <f>IF('Lab test'!AU74&gt;0,'Lab test'!AU74,NA())</f>
        <v>0.71778489718164218</v>
      </c>
      <c r="F85">
        <f>IF('Lab test'!AT74&gt;0,'Lab test'!AT74,NA())</f>
        <v>0.53533585719620902</v>
      </c>
      <c r="G85">
        <f t="shared" si="21"/>
        <v>1</v>
      </c>
      <c r="H85">
        <f t="shared" si="22"/>
        <v>1</v>
      </c>
      <c r="I85">
        <f t="shared" si="23"/>
        <v>1</v>
      </c>
      <c r="J85">
        <f t="shared" si="24"/>
        <v>1</v>
      </c>
      <c r="K85">
        <f t="shared" si="25"/>
        <v>1</v>
      </c>
      <c r="L85" t="str">
        <f>'Lab test'!AC74</f>
        <v>LTWb</v>
      </c>
      <c r="O85" t="e">
        <f t="shared" si="26"/>
        <v>#N/A</v>
      </c>
      <c r="P85">
        <f t="shared" si="27"/>
        <v>0.71778489718164218</v>
      </c>
      <c r="Q85" t="e">
        <f t="shared" si="28"/>
        <v>#N/A</v>
      </c>
      <c r="R85" t="e">
        <f t="shared" si="29"/>
        <v>#N/A</v>
      </c>
      <c r="S85" t="e">
        <f t="shared" si="30"/>
        <v>#N/A</v>
      </c>
      <c r="T85" t="e">
        <f t="shared" si="31"/>
        <v>#N/A</v>
      </c>
      <c r="U85" t="e">
        <f t="shared" si="32"/>
        <v>#N/A</v>
      </c>
      <c r="W85" t="e">
        <f t="shared" si="33"/>
        <v>#N/A</v>
      </c>
      <c r="X85">
        <f t="shared" si="34"/>
        <v>0.53533585719620902</v>
      </c>
      <c r="Y85" t="e">
        <f t="shared" si="35"/>
        <v>#N/A</v>
      </c>
      <c r="Z85" t="e">
        <f t="shared" si="36"/>
        <v>#N/A</v>
      </c>
      <c r="AA85" t="e">
        <f t="shared" si="37"/>
        <v>#N/A</v>
      </c>
      <c r="AB85" t="e">
        <f t="shared" si="38"/>
        <v>#N/A</v>
      </c>
      <c r="AC85" t="e">
        <f t="shared" si="39"/>
        <v>#N/A</v>
      </c>
    </row>
    <row r="86" spans="2:29">
      <c r="B86">
        <v>72</v>
      </c>
      <c r="C86">
        <f>'Lab test'!Q75</f>
        <v>300</v>
      </c>
      <c r="D86">
        <f>IF('Lab test'!AQ75&gt;0,'Lab test'!AQ75,NA())</f>
        <v>0.74964264803580472</v>
      </c>
      <c r="E86">
        <f>IF('Lab test'!AU75&gt;0,'Lab test'!AU75,NA())</f>
        <v>0.80266698178777074</v>
      </c>
      <c r="F86">
        <f>IF('Lab test'!AT75&gt;0,'Lab test'!AT75,NA())</f>
        <v>0.45107002782273187</v>
      </c>
      <c r="G86">
        <f t="shared" si="21"/>
        <v>1</v>
      </c>
      <c r="H86">
        <f t="shared" si="22"/>
        <v>1</v>
      </c>
      <c r="I86">
        <f t="shared" si="23"/>
        <v>1</v>
      </c>
      <c r="J86">
        <f t="shared" si="24"/>
        <v>1</v>
      </c>
      <c r="K86">
        <f t="shared" si="25"/>
        <v>1</v>
      </c>
      <c r="L86" t="str">
        <f>'Lab test'!AC75</f>
        <v>LTWb</v>
      </c>
      <c r="O86" t="e">
        <f t="shared" si="26"/>
        <v>#N/A</v>
      </c>
      <c r="P86">
        <f t="shared" si="27"/>
        <v>0.80266698178777074</v>
      </c>
      <c r="Q86" t="e">
        <f t="shared" si="28"/>
        <v>#N/A</v>
      </c>
      <c r="R86" t="e">
        <f t="shared" si="29"/>
        <v>#N/A</v>
      </c>
      <c r="S86" t="e">
        <f t="shared" si="30"/>
        <v>#N/A</v>
      </c>
      <c r="T86" t="e">
        <f t="shared" si="31"/>
        <v>#N/A</v>
      </c>
      <c r="U86" t="e">
        <f t="shared" si="32"/>
        <v>#N/A</v>
      </c>
      <c r="W86" t="e">
        <f t="shared" si="33"/>
        <v>#N/A</v>
      </c>
      <c r="X86">
        <f t="shared" si="34"/>
        <v>0.45107002782273187</v>
      </c>
      <c r="Y86" t="e">
        <f t="shared" si="35"/>
        <v>#N/A</v>
      </c>
      <c r="Z86" t="e">
        <f t="shared" si="36"/>
        <v>#N/A</v>
      </c>
      <c r="AA86" t="e">
        <f t="shared" si="37"/>
        <v>#N/A</v>
      </c>
      <c r="AB86" t="e">
        <f t="shared" si="38"/>
        <v>#N/A</v>
      </c>
      <c r="AC86" t="e">
        <f t="shared" si="39"/>
        <v>#N/A</v>
      </c>
    </row>
    <row r="87" spans="2:29">
      <c r="B87">
        <v>73</v>
      </c>
      <c r="C87">
        <f>'Lab test'!Q76</f>
        <v>300</v>
      </c>
      <c r="D87">
        <f>IF('Lab test'!AQ76&gt;0,'Lab test'!AQ76,NA())</f>
        <v>0.79875243134875684</v>
      </c>
      <c r="E87">
        <f>IF('Lab test'!AU76&gt;0,'Lab test'!AU76,NA())</f>
        <v>0.72771823441473038</v>
      </c>
      <c r="F87">
        <f>IF('Lab test'!AT76&gt;0,'Lab test'!AT76,NA())</f>
        <v>0.46428819713621844</v>
      </c>
      <c r="G87">
        <f t="shared" si="21"/>
        <v>1</v>
      </c>
      <c r="H87">
        <f t="shared" si="22"/>
        <v>1</v>
      </c>
      <c r="I87">
        <f t="shared" si="23"/>
        <v>1</v>
      </c>
      <c r="J87">
        <f t="shared" si="24"/>
        <v>1</v>
      </c>
      <c r="K87">
        <f t="shared" si="25"/>
        <v>1</v>
      </c>
      <c r="L87" t="str">
        <f>'Lab test'!AC76</f>
        <v>LTWb</v>
      </c>
      <c r="O87" t="e">
        <f t="shared" si="26"/>
        <v>#N/A</v>
      </c>
      <c r="P87">
        <f t="shared" si="27"/>
        <v>0.72771823441473038</v>
      </c>
      <c r="Q87" t="e">
        <f t="shared" si="28"/>
        <v>#N/A</v>
      </c>
      <c r="R87" t="e">
        <f t="shared" si="29"/>
        <v>#N/A</v>
      </c>
      <c r="S87" t="e">
        <f t="shared" si="30"/>
        <v>#N/A</v>
      </c>
      <c r="T87" t="e">
        <f t="shared" si="31"/>
        <v>#N/A</v>
      </c>
      <c r="U87" t="e">
        <f t="shared" si="32"/>
        <v>#N/A</v>
      </c>
      <c r="W87" t="e">
        <f t="shared" si="33"/>
        <v>#N/A</v>
      </c>
      <c r="X87">
        <f t="shared" si="34"/>
        <v>0.46428819713621844</v>
      </c>
      <c r="Y87" t="e">
        <f t="shared" si="35"/>
        <v>#N/A</v>
      </c>
      <c r="Z87" t="e">
        <f t="shared" si="36"/>
        <v>#N/A</v>
      </c>
      <c r="AA87" t="e">
        <f t="shared" si="37"/>
        <v>#N/A</v>
      </c>
      <c r="AB87" t="e">
        <f t="shared" si="38"/>
        <v>#N/A</v>
      </c>
      <c r="AC87" t="e">
        <f t="shared" si="39"/>
        <v>#N/A</v>
      </c>
    </row>
    <row r="88" spans="2:29">
      <c r="B88">
        <v>74</v>
      </c>
      <c r="C88">
        <f>'Lab test'!Q77</f>
        <v>300</v>
      </c>
      <c r="D88">
        <f>IF('Lab test'!AQ77&gt;0,'Lab test'!AQ77,NA())</f>
        <v>0.79875243134875684</v>
      </c>
      <c r="E88">
        <f>IF('Lab test'!AU77&gt;0,'Lab test'!AU77,NA())</f>
        <v>0.78469261575680871</v>
      </c>
      <c r="F88">
        <f>IF('Lab test'!AT77&gt;0,'Lab test'!AT77,NA())</f>
        <v>0.50063816274830664</v>
      </c>
      <c r="G88">
        <f t="shared" si="21"/>
        <v>1</v>
      </c>
      <c r="H88">
        <f t="shared" si="22"/>
        <v>1</v>
      </c>
      <c r="I88">
        <f t="shared" si="23"/>
        <v>1</v>
      </c>
      <c r="J88">
        <f t="shared" si="24"/>
        <v>1</v>
      </c>
      <c r="K88">
        <f t="shared" si="25"/>
        <v>1</v>
      </c>
      <c r="L88" t="str">
        <f>'Lab test'!AC77</f>
        <v>LTWb</v>
      </c>
      <c r="O88" t="e">
        <f t="shared" si="26"/>
        <v>#N/A</v>
      </c>
      <c r="P88">
        <f t="shared" si="27"/>
        <v>0.78469261575680871</v>
      </c>
      <c r="Q88" t="e">
        <f t="shared" si="28"/>
        <v>#N/A</v>
      </c>
      <c r="R88" t="e">
        <f t="shared" si="29"/>
        <v>#N/A</v>
      </c>
      <c r="S88" t="e">
        <f t="shared" si="30"/>
        <v>#N/A</v>
      </c>
      <c r="T88" t="e">
        <f t="shared" si="31"/>
        <v>#N/A</v>
      </c>
      <c r="U88" t="e">
        <f t="shared" si="32"/>
        <v>#N/A</v>
      </c>
      <c r="W88" t="e">
        <f t="shared" si="33"/>
        <v>#N/A</v>
      </c>
      <c r="X88">
        <f t="shared" si="34"/>
        <v>0.50063816274830664</v>
      </c>
      <c r="Y88" t="e">
        <f t="shared" si="35"/>
        <v>#N/A</v>
      </c>
      <c r="Z88" t="e">
        <f t="shared" si="36"/>
        <v>#N/A</v>
      </c>
      <c r="AA88" t="e">
        <f t="shared" si="37"/>
        <v>#N/A</v>
      </c>
      <c r="AB88" t="e">
        <f t="shared" si="38"/>
        <v>#N/A</v>
      </c>
      <c r="AC88" t="e">
        <f t="shared" si="39"/>
        <v>#N/A</v>
      </c>
    </row>
    <row r="89" spans="2:29">
      <c r="B89">
        <v>75</v>
      </c>
      <c r="C89">
        <f>'Lab test'!Q78</f>
        <v>249</v>
      </c>
      <c r="D89">
        <f>IF('Lab test'!AQ78&gt;0,'Lab test'!AQ78,NA())</f>
        <v>0.70155827817383309</v>
      </c>
      <c r="E89">
        <f>IF('Lab test'!AU78&gt;0,'Lab test'!AU78,NA())</f>
        <v>0.83589776406469851</v>
      </c>
      <c r="F89">
        <f>IF('Lab test'!AT78&gt;0,'Lab test'!AT78,NA())</f>
        <v>0.41141551988227176</v>
      </c>
      <c r="G89">
        <f t="shared" si="21"/>
        <v>1</v>
      </c>
      <c r="H89">
        <f t="shared" si="22"/>
        <v>1</v>
      </c>
      <c r="I89">
        <f t="shared" si="23"/>
        <v>1</v>
      </c>
      <c r="J89">
        <f t="shared" si="24"/>
        <v>1</v>
      </c>
      <c r="K89">
        <f t="shared" si="25"/>
        <v>1</v>
      </c>
      <c r="L89" t="str">
        <f>'Lab test'!AC78</f>
        <v>LTWb</v>
      </c>
      <c r="O89" t="e">
        <f t="shared" si="26"/>
        <v>#N/A</v>
      </c>
      <c r="P89">
        <f t="shared" si="27"/>
        <v>0.83589776406469851</v>
      </c>
      <c r="Q89" t="e">
        <f t="shared" si="28"/>
        <v>#N/A</v>
      </c>
      <c r="R89" t="e">
        <f t="shared" si="29"/>
        <v>#N/A</v>
      </c>
      <c r="S89" t="e">
        <f t="shared" si="30"/>
        <v>#N/A</v>
      </c>
      <c r="T89" t="e">
        <f t="shared" si="31"/>
        <v>#N/A</v>
      </c>
      <c r="U89" t="e">
        <f t="shared" si="32"/>
        <v>#N/A</v>
      </c>
      <c r="W89" t="e">
        <f t="shared" si="33"/>
        <v>#N/A</v>
      </c>
      <c r="X89">
        <f t="shared" si="34"/>
        <v>0.41141551988227176</v>
      </c>
      <c r="Y89" t="e">
        <f t="shared" si="35"/>
        <v>#N/A</v>
      </c>
      <c r="Z89" t="e">
        <f t="shared" si="36"/>
        <v>#N/A</v>
      </c>
      <c r="AA89" t="e">
        <f t="shared" si="37"/>
        <v>#N/A</v>
      </c>
      <c r="AB89" t="e">
        <f t="shared" si="38"/>
        <v>#N/A</v>
      </c>
      <c r="AC89" t="e">
        <f t="shared" si="39"/>
        <v>#N/A</v>
      </c>
    </row>
    <row r="90" spans="2:29">
      <c r="B90">
        <v>76</v>
      </c>
      <c r="C90">
        <f>'Lab test'!Q79</f>
        <v>249</v>
      </c>
      <c r="D90">
        <f>IF('Lab test'!AQ79&gt;0,'Lab test'!AQ79,NA())</f>
        <v>0.70155827817383309</v>
      </c>
      <c r="E90">
        <f>IF('Lab test'!AU79&gt;0,'Lab test'!AU79,NA())</f>
        <v>0.8627539171270181</v>
      </c>
      <c r="F90">
        <f>IF('Lab test'!AT79&gt;0,'Lab test'!AT79,NA())</f>
        <v>0.42463368919575839</v>
      </c>
      <c r="G90">
        <f t="shared" si="21"/>
        <v>1</v>
      </c>
      <c r="H90">
        <f t="shared" si="22"/>
        <v>1</v>
      </c>
      <c r="I90">
        <f t="shared" si="23"/>
        <v>1</v>
      </c>
      <c r="J90">
        <f t="shared" si="24"/>
        <v>1</v>
      </c>
      <c r="K90">
        <f t="shared" si="25"/>
        <v>1</v>
      </c>
      <c r="L90" t="str">
        <f>'Lab test'!AC79</f>
        <v>LTWb</v>
      </c>
      <c r="O90" t="e">
        <f t="shared" si="26"/>
        <v>#N/A</v>
      </c>
      <c r="P90">
        <f t="shared" si="27"/>
        <v>0.8627539171270181</v>
      </c>
      <c r="Q90" t="e">
        <f t="shared" si="28"/>
        <v>#N/A</v>
      </c>
      <c r="R90" t="e">
        <f t="shared" si="29"/>
        <v>#N/A</v>
      </c>
      <c r="S90" t="e">
        <f t="shared" si="30"/>
        <v>#N/A</v>
      </c>
      <c r="T90" t="e">
        <f t="shared" si="31"/>
        <v>#N/A</v>
      </c>
      <c r="U90" t="e">
        <f t="shared" si="32"/>
        <v>#N/A</v>
      </c>
      <c r="W90" t="e">
        <f t="shared" si="33"/>
        <v>#N/A</v>
      </c>
      <c r="X90">
        <f t="shared" si="34"/>
        <v>0.42463368919575839</v>
      </c>
      <c r="Y90" t="e">
        <f t="shared" si="35"/>
        <v>#N/A</v>
      </c>
      <c r="Z90" t="e">
        <f t="shared" si="36"/>
        <v>#N/A</v>
      </c>
      <c r="AA90" t="e">
        <f t="shared" si="37"/>
        <v>#N/A</v>
      </c>
      <c r="AB90" t="e">
        <f t="shared" si="38"/>
        <v>#N/A</v>
      </c>
      <c r="AC90" t="e">
        <f t="shared" si="39"/>
        <v>#N/A</v>
      </c>
    </row>
    <row r="91" spans="2:29">
      <c r="B91">
        <v>77</v>
      </c>
      <c r="C91">
        <f>'Lab test'!Q80</f>
        <v>984.37500000000011</v>
      </c>
      <c r="D91">
        <f>IF('Lab test'!AQ80&gt;0,'Lab test'!AQ80,NA())</f>
        <v>1.7210211525783869</v>
      </c>
      <c r="E91">
        <f>IF('Lab test'!AU80&gt;0,'Lab test'!AU80,NA())</f>
        <v>8.1418793104341983E-2</v>
      </c>
      <c r="F91">
        <f>IF('Lab test'!AT80&gt;0,'Lab test'!AT80,NA())</f>
        <v>0.2411554474956889</v>
      </c>
      <c r="G91">
        <f t="shared" si="21"/>
        <v>1</v>
      </c>
      <c r="H91">
        <f t="shared" si="22"/>
        <v>1</v>
      </c>
      <c r="I91">
        <f t="shared" si="23"/>
        <v>1</v>
      </c>
      <c r="J91">
        <f t="shared" si="24"/>
        <v>1</v>
      </c>
      <c r="K91">
        <f t="shared" si="25"/>
        <v>1</v>
      </c>
      <c r="L91" t="str">
        <f>'Lab test'!AC80</f>
        <v>LTWb</v>
      </c>
      <c r="O91" t="e">
        <f t="shared" si="26"/>
        <v>#N/A</v>
      </c>
      <c r="P91">
        <f t="shared" si="27"/>
        <v>8.1418793104341983E-2</v>
      </c>
      <c r="Q91" t="e">
        <f t="shared" si="28"/>
        <v>#N/A</v>
      </c>
      <c r="R91" t="e">
        <f t="shared" si="29"/>
        <v>#N/A</v>
      </c>
      <c r="S91" t="e">
        <f t="shared" si="30"/>
        <v>#N/A</v>
      </c>
      <c r="T91" t="e">
        <f t="shared" si="31"/>
        <v>#N/A</v>
      </c>
      <c r="U91" t="e">
        <f t="shared" si="32"/>
        <v>#N/A</v>
      </c>
      <c r="W91" t="e">
        <f t="shared" si="33"/>
        <v>#N/A</v>
      </c>
      <c r="X91">
        <f t="shared" si="34"/>
        <v>0.2411554474956889</v>
      </c>
      <c r="Y91" t="e">
        <f t="shared" si="35"/>
        <v>#N/A</v>
      </c>
      <c r="Z91" t="e">
        <f t="shared" si="36"/>
        <v>#N/A</v>
      </c>
      <c r="AA91" t="e">
        <f t="shared" si="37"/>
        <v>#N/A</v>
      </c>
      <c r="AB91" t="e">
        <f t="shared" si="38"/>
        <v>#N/A</v>
      </c>
      <c r="AC91" t="e">
        <f t="shared" si="39"/>
        <v>#N/A</v>
      </c>
    </row>
    <row r="92" spans="2:29">
      <c r="B92">
        <v>78</v>
      </c>
      <c r="C92">
        <f>'Lab test'!Q81</f>
        <v>1019.7841726618706</v>
      </c>
      <c r="D92">
        <f>IF('Lab test'!AQ81&gt;0,'Lab test'!AQ81,NA())</f>
        <v>1.7517013072344625</v>
      </c>
      <c r="E92">
        <f>IF('Lab test'!AU81&gt;0,'Lab test'!AU81,NA())</f>
        <v>8.6828336277165408E-2</v>
      </c>
      <c r="F92">
        <f>IF('Lab test'!AT81&gt;0,'Lab test'!AT81,NA())</f>
        <v>0.26642905703710262</v>
      </c>
      <c r="G92">
        <f t="shared" si="21"/>
        <v>1</v>
      </c>
      <c r="H92">
        <f t="shared" si="22"/>
        <v>1</v>
      </c>
      <c r="I92">
        <f t="shared" si="23"/>
        <v>1</v>
      </c>
      <c r="J92">
        <f t="shared" si="24"/>
        <v>1</v>
      </c>
      <c r="K92">
        <f t="shared" si="25"/>
        <v>1</v>
      </c>
      <c r="L92" t="str">
        <f>'Lab test'!AC81</f>
        <v>LTWb</v>
      </c>
      <c r="O92" t="e">
        <f t="shared" si="26"/>
        <v>#N/A</v>
      </c>
      <c r="P92">
        <f t="shared" si="27"/>
        <v>8.6828336277165408E-2</v>
      </c>
      <c r="Q92" t="e">
        <f t="shared" si="28"/>
        <v>#N/A</v>
      </c>
      <c r="R92" t="e">
        <f t="shared" si="29"/>
        <v>#N/A</v>
      </c>
      <c r="S92" t="e">
        <f t="shared" si="30"/>
        <v>#N/A</v>
      </c>
      <c r="T92" t="e">
        <f t="shared" si="31"/>
        <v>#N/A</v>
      </c>
      <c r="U92" t="e">
        <f t="shared" si="32"/>
        <v>#N/A</v>
      </c>
      <c r="W92" t="e">
        <f t="shared" si="33"/>
        <v>#N/A</v>
      </c>
      <c r="X92">
        <f t="shared" si="34"/>
        <v>0.26642905703710262</v>
      </c>
      <c r="Y92" t="e">
        <f t="shared" si="35"/>
        <v>#N/A</v>
      </c>
      <c r="Z92" t="e">
        <f t="shared" si="36"/>
        <v>#N/A</v>
      </c>
      <c r="AA92" t="e">
        <f t="shared" si="37"/>
        <v>#N/A</v>
      </c>
      <c r="AB92" t="e">
        <f t="shared" si="38"/>
        <v>#N/A</v>
      </c>
      <c r="AC92" t="e">
        <f t="shared" si="39"/>
        <v>#N/A</v>
      </c>
    </row>
    <row r="93" spans="2:29">
      <c r="B93">
        <v>79</v>
      </c>
      <c r="C93">
        <f>'Lab test'!Q82</f>
        <v>642.1232876712329</v>
      </c>
      <c r="D93">
        <f>IF('Lab test'!AQ82&gt;0,'Lab test'!AQ82,NA())</f>
        <v>1.3900010576948674</v>
      </c>
      <c r="E93">
        <f>IF('Lab test'!AU82&gt;0,'Lab test'!AU82,NA())</f>
        <v>0.12447982158240503</v>
      </c>
      <c r="F93">
        <f>IF('Lab test'!AT82&gt;0,'Lab test'!AT82,NA())</f>
        <v>0.24050782929894216</v>
      </c>
      <c r="G93">
        <f t="shared" si="21"/>
        <v>1</v>
      </c>
      <c r="H93">
        <f t="shared" si="22"/>
        <v>1</v>
      </c>
      <c r="I93">
        <f t="shared" si="23"/>
        <v>1</v>
      </c>
      <c r="J93">
        <f t="shared" si="24"/>
        <v>1</v>
      </c>
      <c r="K93">
        <f t="shared" si="25"/>
        <v>1</v>
      </c>
      <c r="L93" t="str">
        <f>'Lab test'!AC82</f>
        <v>LTWb</v>
      </c>
      <c r="O93" t="e">
        <f t="shared" si="26"/>
        <v>#N/A</v>
      </c>
      <c r="P93">
        <f t="shared" si="27"/>
        <v>0.12447982158240503</v>
      </c>
      <c r="Q93" t="e">
        <f t="shared" si="28"/>
        <v>#N/A</v>
      </c>
      <c r="R93" t="e">
        <f t="shared" si="29"/>
        <v>#N/A</v>
      </c>
      <c r="S93" t="e">
        <f t="shared" si="30"/>
        <v>#N/A</v>
      </c>
      <c r="T93" t="e">
        <f t="shared" si="31"/>
        <v>#N/A</v>
      </c>
      <c r="U93" t="e">
        <f t="shared" si="32"/>
        <v>#N/A</v>
      </c>
      <c r="W93" t="e">
        <f t="shared" si="33"/>
        <v>#N/A</v>
      </c>
      <c r="X93">
        <f t="shared" si="34"/>
        <v>0.24050782929894216</v>
      </c>
      <c r="Y93" t="e">
        <f t="shared" si="35"/>
        <v>#N/A</v>
      </c>
      <c r="Z93" t="e">
        <f t="shared" si="36"/>
        <v>#N/A</v>
      </c>
      <c r="AA93" t="e">
        <f t="shared" si="37"/>
        <v>#N/A</v>
      </c>
      <c r="AB93" t="e">
        <f t="shared" si="38"/>
        <v>#N/A</v>
      </c>
      <c r="AC93" t="e">
        <f t="shared" si="39"/>
        <v>#N/A</v>
      </c>
    </row>
    <row r="94" spans="2:29">
      <c r="B94">
        <v>80</v>
      </c>
      <c r="C94">
        <f>'Lab test'!Q83</f>
        <v>674.46043165467631</v>
      </c>
      <c r="D94">
        <f>IF('Lab test'!AQ83&gt;0,'Lab test'!AQ83,NA())</f>
        <v>1.4245711945951272</v>
      </c>
      <c r="E94">
        <f>IF('Lab test'!AU83&gt;0,'Lab test'!AU83,NA())</f>
        <v>0.16397159184501497</v>
      </c>
      <c r="F94">
        <f>IF('Lab test'!AT83&gt;0,'Lab test'!AT83,NA())</f>
        <v>0.33276445491164647</v>
      </c>
      <c r="G94">
        <f t="shared" si="21"/>
        <v>1</v>
      </c>
      <c r="H94">
        <f t="shared" si="22"/>
        <v>1</v>
      </c>
      <c r="I94">
        <f t="shared" si="23"/>
        <v>1</v>
      </c>
      <c r="J94">
        <f t="shared" si="24"/>
        <v>1</v>
      </c>
      <c r="K94">
        <f t="shared" si="25"/>
        <v>1</v>
      </c>
      <c r="L94" t="str">
        <f>'Lab test'!AC83</f>
        <v>LTWb</v>
      </c>
      <c r="O94" t="e">
        <f t="shared" si="26"/>
        <v>#N/A</v>
      </c>
      <c r="P94">
        <f t="shared" si="27"/>
        <v>0.16397159184501497</v>
      </c>
      <c r="Q94" t="e">
        <f t="shared" si="28"/>
        <v>#N/A</v>
      </c>
      <c r="R94" t="e">
        <f t="shared" si="29"/>
        <v>#N/A</v>
      </c>
      <c r="S94" t="e">
        <f t="shared" si="30"/>
        <v>#N/A</v>
      </c>
      <c r="T94" t="e">
        <f t="shared" si="31"/>
        <v>#N/A</v>
      </c>
      <c r="U94" t="e">
        <f t="shared" si="32"/>
        <v>#N/A</v>
      </c>
      <c r="W94" t="e">
        <f t="shared" si="33"/>
        <v>#N/A</v>
      </c>
      <c r="X94">
        <f t="shared" si="34"/>
        <v>0.33276445491164647</v>
      </c>
      <c r="Y94" t="e">
        <f t="shared" si="35"/>
        <v>#N/A</v>
      </c>
      <c r="Z94" t="e">
        <f t="shared" si="36"/>
        <v>#N/A</v>
      </c>
      <c r="AA94" t="e">
        <f t="shared" si="37"/>
        <v>#N/A</v>
      </c>
      <c r="AB94" t="e">
        <f t="shared" si="38"/>
        <v>#N/A</v>
      </c>
      <c r="AC94" t="e">
        <f t="shared" si="39"/>
        <v>#N/A</v>
      </c>
    </row>
    <row r="95" spans="2:29">
      <c r="B95">
        <v>81</v>
      </c>
      <c r="C95">
        <f>'Lab test'!Q84</f>
        <v>331.86619718309862</v>
      </c>
      <c r="D95">
        <f>IF('Lab test'!AQ84&gt;0,'Lab test'!AQ84,NA())</f>
        <v>0.99928053952212859</v>
      </c>
      <c r="E95">
        <f>IF('Lab test'!AU84&gt;0,'Lab test'!AU84,NA())</f>
        <v>0.29426774669959133</v>
      </c>
      <c r="F95">
        <f>IF('Lab test'!AT84&gt;0,'Lab test'!AT84,NA())</f>
        <v>0.29384447099213151</v>
      </c>
      <c r="G95">
        <f t="shared" si="21"/>
        <v>1</v>
      </c>
      <c r="H95">
        <f t="shared" si="22"/>
        <v>1</v>
      </c>
      <c r="I95">
        <f t="shared" si="23"/>
        <v>1</v>
      </c>
      <c r="J95">
        <f t="shared" si="24"/>
        <v>1</v>
      </c>
      <c r="K95">
        <f t="shared" si="25"/>
        <v>1</v>
      </c>
      <c r="L95" t="str">
        <f>'Lab test'!AC84</f>
        <v>LTWb</v>
      </c>
      <c r="O95" t="e">
        <f t="shared" si="26"/>
        <v>#N/A</v>
      </c>
      <c r="P95">
        <f t="shared" si="27"/>
        <v>0.29426774669959133</v>
      </c>
      <c r="Q95" t="e">
        <f t="shared" si="28"/>
        <v>#N/A</v>
      </c>
      <c r="R95" t="e">
        <f t="shared" si="29"/>
        <v>#N/A</v>
      </c>
      <c r="S95" t="e">
        <f t="shared" si="30"/>
        <v>#N/A</v>
      </c>
      <c r="T95" t="e">
        <f t="shared" si="31"/>
        <v>#N/A</v>
      </c>
      <c r="U95" t="e">
        <f t="shared" si="32"/>
        <v>#N/A</v>
      </c>
      <c r="W95" t="e">
        <f t="shared" si="33"/>
        <v>#N/A</v>
      </c>
      <c r="X95">
        <f t="shared" si="34"/>
        <v>0.29384447099213151</v>
      </c>
      <c r="Y95" t="e">
        <f t="shared" si="35"/>
        <v>#N/A</v>
      </c>
      <c r="Z95" t="e">
        <f t="shared" si="36"/>
        <v>#N/A</v>
      </c>
      <c r="AA95" t="e">
        <f t="shared" si="37"/>
        <v>#N/A</v>
      </c>
      <c r="AB95" t="e">
        <f t="shared" si="38"/>
        <v>#N/A</v>
      </c>
      <c r="AC95" t="e">
        <f t="shared" si="39"/>
        <v>#N/A</v>
      </c>
    </row>
    <row r="96" spans="2:29">
      <c r="B96">
        <v>82</v>
      </c>
      <c r="C96">
        <f>'Lab test'!Q85</f>
        <v>346.50735294117646</v>
      </c>
      <c r="D96">
        <f>IF('Lab test'!AQ85&gt;0,'Lab test'!AQ85,NA())</f>
        <v>1.021085591297769</v>
      </c>
      <c r="E96">
        <f>IF('Lab test'!AU85&gt;0,'Lab test'!AU85,NA())</f>
        <v>0.41620410022873988</v>
      </c>
      <c r="F96">
        <f>IF('Lab test'!AT85&gt;0,'Lab test'!AT85,NA())</f>
        <v>0.43394096457861686</v>
      </c>
      <c r="G96">
        <f t="shared" si="21"/>
        <v>1</v>
      </c>
      <c r="H96">
        <f t="shared" si="22"/>
        <v>1</v>
      </c>
      <c r="I96">
        <f t="shared" si="23"/>
        <v>1</v>
      </c>
      <c r="J96">
        <f t="shared" si="24"/>
        <v>1</v>
      </c>
      <c r="K96">
        <f t="shared" si="25"/>
        <v>1</v>
      </c>
      <c r="L96" t="str">
        <f>'Lab test'!AC85</f>
        <v>LTWb</v>
      </c>
      <c r="O96" t="e">
        <f t="shared" si="26"/>
        <v>#N/A</v>
      </c>
      <c r="P96">
        <f t="shared" si="27"/>
        <v>0.41620410022873988</v>
      </c>
      <c r="Q96" t="e">
        <f t="shared" si="28"/>
        <v>#N/A</v>
      </c>
      <c r="R96" t="e">
        <f t="shared" si="29"/>
        <v>#N/A</v>
      </c>
      <c r="S96" t="e">
        <f t="shared" si="30"/>
        <v>#N/A</v>
      </c>
      <c r="T96" t="e">
        <f t="shared" si="31"/>
        <v>#N/A</v>
      </c>
      <c r="U96" t="e">
        <f t="shared" si="32"/>
        <v>#N/A</v>
      </c>
      <c r="W96" t="e">
        <f t="shared" si="33"/>
        <v>#N/A</v>
      </c>
      <c r="X96">
        <f t="shared" si="34"/>
        <v>0.43394096457861686</v>
      </c>
      <c r="Y96" t="e">
        <f t="shared" si="35"/>
        <v>#N/A</v>
      </c>
      <c r="Z96" t="e">
        <f t="shared" si="36"/>
        <v>#N/A</v>
      </c>
      <c r="AA96" t="e">
        <f t="shared" si="37"/>
        <v>#N/A</v>
      </c>
      <c r="AB96" t="e">
        <f t="shared" si="38"/>
        <v>#N/A</v>
      </c>
      <c r="AC96" t="e">
        <f t="shared" si="39"/>
        <v>#N/A</v>
      </c>
    </row>
    <row r="97" spans="2:29">
      <c r="B97">
        <v>83</v>
      </c>
      <c r="C97">
        <f>'Lab test'!Q86</f>
        <v>1306.4516129032259</v>
      </c>
      <c r="D97">
        <f>IF('Lab test'!AQ86&gt;0,'Lab test'!AQ86,NA())</f>
        <v>1.9826798145395317</v>
      </c>
      <c r="E97">
        <f>IF('Lab test'!AU86&gt;0,'Lab test'!AU86,NA())</f>
        <v>3.4505954836150668E-2</v>
      </c>
      <c r="F97">
        <f>IF('Lab test'!AT86&gt;0,'Lab test'!AT86,NA())</f>
        <v>0.13564357259641754</v>
      </c>
      <c r="G97">
        <f t="shared" si="21"/>
        <v>1</v>
      </c>
      <c r="H97">
        <f t="shared" si="22"/>
        <v>1</v>
      </c>
      <c r="I97">
        <f t="shared" si="23"/>
        <v>1</v>
      </c>
      <c r="J97">
        <f t="shared" si="24"/>
        <v>1</v>
      </c>
      <c r="K97">
        <f t="shared" si="25"/>
        <v>1</v>
      </c>
      <c r="L97" t="str">
        <f>'Lab test'!AC86</f>
        <v>LTWb</v>
      </c>
      <c r="O97" t="e">
        <f t="shared" si="26"/>
        <v>#N/A</v>
      </c>
      <c r="P97">
        <f t="shared" si="27"/>
        <v>3.4505954836150668E-2</v>
      </c>
      <c r="Q97" t="e">
        <f t="shared" si="28"/>
        <v>#N/A</v>
      </c>
      <c r="R97" t="e">
        <f t="shared" si="29"/>
        <v>#N/A</v>
      </c>
      <c r="S97" t="e">
        <f t="shared" si="30"/>
        <v>#N/A</v>
      </c>
      <c r="T97" t="e">
        <f t="shared" si="31"/>
        <v>#N/A</v>
      </c>
      <c r="U97" t="e">
        <f t="shared" si="32"/>
        <v>#N/A</v>
      </c>
      <c r="W97" t="e">
        <f t="shared" si="33"/>
        <v>#N/A</v>
      </c>
      <c r="X97">
        <f t="shared" si="34"/>
        <v>0.13564357259641754</v>
      </c>
      <c r="Y97" t="e">
        <f t="shared" si="35"/>
        <v>#N/A</v>
      </c>
      <c r="Z97" t="e">
        <f t="shared" si="36"/>
        <v>#N/A</v>
      </c>
      <c r="AA97" t="e">
        <f t="shared" si="37"/>
        <v>#N/A</v>
      </c>
      <c r="AB97" t="e">
        <f t="shared" si="38"/>
        <v>#N/A</v>
      </c>
      <c r="AC97" t="e">
        <f t="shared" si="39"/>
        <v>#N/A</v>
      </c>
    </row>
    <row r="98" spans="2:29">
      <c r="B98">
        <v>84</v>
      </c>
      <c r="C98">
        <f>'Lab test'!Q87</f>
        <v>1343.6018957345973</v>
      </c>
      <c r="D98">
        <f>IF('Lab test'!AQ87&gt;0,'Lab test'!AQ87,NA())</f>
        <v>2.0106719734485279</v>
      </c>
      <c r="E98">
        <f>IF('Lab test'!AU87&gt;0,'Lab test'!AU87,NA())</f>
        <v>3.8288785255329569E-2</v>
      </c>
      <c r="F98">
        <f>IF('Lab test'!AT87&gt;0,'Lab test'!AT87,NA())</f>
        <v>0.15479396936850673</v>
      </c>
      <c r="G98">
        <f t="shared" si="21"/>
        <v>1</v>
      </c>
      <c r="H98">
        <f t="shared" si="22"/>
        <v>1</v>
      </c>
      <c r="I98">
        <f t="shared" si="23"/>
        <v>1</v>
      </c>
      <c r="J98">
        <f t="shared" si="24"/>
        <v>1</v>
      </c>
      <c r="K98">
        <f t="shared" si="25"/>
        <v>1</v>
      </c>
      <c r="L98" t="str">
        <f>'Lab test'!AC87</f>
        <v>LTWb</v>
      </c>
      <c r="O98" t="e">
        <f t="shared" si="26"/>
        <v>#N/A</v>
      </c>
      <c r="P98">
        <f t="shared" si="27"/>
        <v>3.8288785255329569E-2</v>
      </c>
      <c r="Q98" t="e">
        <f t="shared" si="28"/>
        <v>#N/A</v>
      </c>
      <c r="R98" t="e">
        <f t="shared" si="29"/>
        <v>#N/A</v>
      </c>
      <c r="S98" t="e">
        <f t="shared" si="30"/>
        <v>#N/A</v>
      </c>
      <c r="T98" t="e">
        <f t="shared" si="31"/>
        <v>#N/A</v>
      </c>
      <c r="U98" t="e">
        <f t="shared" si="32"/>
        <v>#N/A</v>
      </c>
      <c r="W98" t="e">
        <f t="shared" si="33"/>
        <v>#N/A</v>
      </c>
      <c r="X98">
        <f t="shared" si="34"/>
        <v>0.15479396936850673</v>
      </c>
      <c r="Y98" t="e">
        <f t="shared" si="35"/>
        <v>#N/A</v>
      </c>
      <c r="Z98" t="e">
        <f t="shared" si="36"/>
        <v>#N/A</v>
      </c>
      <c r="AA98" t="e">
        <f t="shared" si="37"/>
        <v>#N/A</v>
      </c>
      <c r="AB98" t="e">
        <f t="shared" si="38"/>
        <v>#N/A</v>
      </c>
      <c r="AC98" t="e">
        <f t="shared" si="39"/>
        <v>#N/A</v>
      </c>
    </row>
    <row r="99" spans="2:29">
      <c r="B99">
        <v>85</v>
      </c>
      <c r="C99">
        <f>'Lab test'!Q88</f>
        <v>860.09174311926608</v>
      </c>
      <c r="D99">
        <f>IF('Lab test'!AQ88&gt;0,'Lab test'!AQ88,NA())</f>
        <v>1.6087120305460052</v>
      </c>
      <c r="E99">
        <f>IF('Lab test'!AU88&gt;0,'Lab test'!AU88,NA())</f>
        <v>9.0883936512525992E-2</v>
      </c>
      <c r="F99">
        <f>IF('Lab test'!AT88&gt;0,'Lab test'!AT88,NA())</f>
        <v>0.2352034831345686</v>
      </c>
      <c r="G99">
        <f t="shared" si="21"/>
        <v>1</v>
      </c>
      <c r="H99">
        <f t="shared" si="22"/>
        <v>1</v>
      </c>
      <c r="I99">
        <f t="shared" si="23"/>
        <v>1</v>
      </c>
      <c r="J99">
        <f t="shared" si="24"/>
        <v>1</v>
      </c>
      <c r="K99">
        <f t="shared" si="25"/>
        <v>1</v>
      </c>
      <c r="L99" t="str">
        <f>'Lab test'!AC88</f>
        <v>LTWb</v>
      </c>
      <c r="O99" t="e">
        <f t="shared" si="26"/>
        <v>#N/A</v>
      </c>
      <c r="P99">
        <f t="shared" si="27"/>
        <v>9.0883936512525992E-2</v>
      </c>
      <c r="Q99" t="e">
        <f t="shared" si="28"/>
        <v>#N/A</v>
      </c>
      <c r="R99" t="e">
        <f t="shared" si="29"/>
        <v>#N/A</v>
      </c>
      <c r="S99" t="e">
        <f t="shared" si="30"/>
        <v>#N/A</v>
      </c>
      <c r="T99" t="e">
        <f t="shared" si="31"/>
        <v>#N/A</v>
      </c>
      <c r="U99" t="e">
        <f t="shared" si="32"/>
        <v>#N/A</v>
      </c>
      <c r="W99" t="e">
        <f t="shared" si="33"/>
        <v>#N/A</v>
      </c>
      <c r="X99">
        <f t="shared" si="34"/>
        <v>0.2352034831345686</v>
      </c>
      <c r="Y99" t="e">
        <f t="shared" si="35"/>
        <v>#N/A</v>
      </c>
      <c r="Z99" t="e">
        <f t="shared" si="36"/>
        <v>#N/A</v>
      </c>
      <c r="AA99" t="e">
        <f t="shared" si="37"/>
        <v>#N/A</v>
      </c>
      <c r="AB99" t="e">
        <f t="shared" si="38"/>
        <v>#N/A</v>
      </c>
      <c r="AC99" t="e">
        <f t="shared" si="39"/>
        <v>#N/A</v>
      </c>
    </row>
    <row r="100" spans="2:29">
      <c r="B100">
        <v>86</v>
      </c>
      <c r="C100">
        <f>'Lab test'!Q89</f>
        <v>880.28169014084506</v>
      </c>
      <c r="D100">
        <f>IF('Lab test'!AQ89&gt;0,'Lab test'!AQ89,NA())</f>
        <v>1.6274841014414423</v>
      </c>
      <c r="E100">
        <f>IF('Lab test'!AU89&gt;0,'Lab test'!AU89,NA())</f>
        <v>0.11120120750457747</v>
      </c>
      <c r="F100">
        <f>IF('Lab test'!AT89&gt;0,'Lab test'!AT89,NA())</f>
        <v>0.29453913877225468</v>
      </c>
      <c r="G100">
        <f t="shared" si="21"/>
        <v>1</v>
      </c>
      <c r="H100">
        <f t="shared" si="22"/>
        <v>1</v>
      </c>
      <c r="I100">
        <f t="shared" si="23"/>
        <v>1</v>
      </c>
      <c r="J100">
        <f t="shared" si="24"/>
        <v>1</v>
      </c>
      <c r="K100">
        <f t="shared" si="25"/>
        <v>1</v>
      </c>
      <c r="L100" t="str">
        <f>'Lab test'!AC89</f>
        <v>LTWb</v>
      </c>
      <c r="O100" t="e">
        <f t="shared" si="26"/>
        <v>#N/A</v>
      </c>
      <c r="P100">
        <f t="shared" si="27"/>
        <v>0.11120120750457747</v>
      </c>
      <c r="Q100" t="e">
        <f t="shared" si="28"/>
        <v>#N/A</v>
      </c>
      <c r="R100" t="e">
        <f t="shared" si="29"/>
        <v>#N/A</v>
      </c>
      <c r="S100" t="e">
        <f t="shared" si="30"/>
        <v>#N/A</v>
      </c>
      <c r="T100" t="e">
        <f t="shared" si="31"/>
        <v>#N/A</v>
      </c>
      <c r="U100" t="e">
        <f t="shared" si="32"/>
        <v>#N/A</v>
      </c>
      <c r="W100" t="e">
        <f t="shared" si="33"/>
        <v>#N/A</v>
      </c>
      <c r="X100">
        <f t="shared" si="34"/>
        <v>0.29453913877225468</v>
      </c>
      <c r="Y100" t="e">
        <f t="shared" si="35"/>
        <v>#N/A</v>
      </c>
      <c r="Z100" t="e">
        <f t="shared" si="36"/>
        <v>#N/A</v>
      </c>
      <c r="AA100" t="e">
        <f t="shared" si="37"/>
        <v>#N/A</v>
      </c>
      <c r="AB100" t="e">
        <f t="shared" si="38"/>
        <v>#N/A</v>
      </c>
      <c r="AC100" t="e">
        <f t="shared" si="39"/>
        <v>#N/A</v>
      </c>
    </row>
    <row r="101" spans="2:29">
      <c r="B101">
        <v>87</v>
      </c>
      <c r="C101">
        <f>'Lab test'!Q90</f>
        <v>459.75609756097566</v>
      </c>
      <c r="D101">
        <f>IF('Lab test'!AQ90&gt;0,'Lab test'!AQ90,NA())</f>
        <v>1.1761688394095855</v>
      </c>
      <c r="E101">
        <f>IF('Lab test'!AU90&gt;0,'Lab test'!AU90,NA())</f>
        <v>0.19371481349938846</v>
      </c>
      <c r="F101">
        <f>IF('Lab test'!AT90&gt;0,'Lab test'!AT90,NA())</f>
        <v>0.26797986958233588</v>
      </c>
      <c r="G101">
        <f t="shared" si="21"/>
        <v>1</v>
      </c>
      <c r="H101">
        <f t="shared" si="22"/>
        <v>1</v>
      </c>
      <c r="I101">
        <f t="shared" si="23"/>
        <v>1</v>
      </c>
      <c r="J101">
        <f t="shared" si="24"/>
        <v>1</v>
      </c>
      <c r="K101">
        <f t="shared" si="25"/>
        <v>1</v>
      </c>
      <c r="L101" t="str">
        <f>'Lab test'!AC90</f>
        <v>LTWb</v>
      </c>
      <c r="O101" t="e">
        <f t="shared" si="26"/>
        <v>#N/A</v>
      </c>
      <c r="P101">
        <f t="shared" si="27"/>
        <v>0.19371481349938846</v>
      </c>
      <c r="Q101" t="e">
        <f t="shared" si="28"/>
        <v>#N/A</v>
      </c>
      <c r="R101" t="e">
        <f t="shared" si="29"/>
        <v>#N/A</v>
      </c>
      <c r="S101" t="e">
        <f t="shared" si="30"/>
        <v>#N/A</v>
      </c>
      <c r="T101" t="e">
        <f t="shared" si="31"/>
        <v>#N/A</v>
      </c>
      <c r="U101" t="e">
        <f t="shared" si="32"/>
        <v>#N/A</v>
      </c>
      <c r="W101" t="e">
        <f t="shared" si="33"/>
        <v>#N/A</v>
      </c>
      <c r="X101">
        <f t="shared" si="34"/>
        <v>0.26797986958233588</v>
      </c>
      <c r="Y101" t="e">
        <f t="shared" si="35"/>
        <v>#N/A</v>
      </c>
      <c r="Z101" t="e">
        <f t="shared" si="36"/>
        <v>#N/A</v>
      </c>
      <c r="AA101" t="e">
        <f t="shared" si="37"/>
        <v>#N/A</v>
      </c>
      <c r="AB101" t="e">
        <f t="shared" si="38"/>
        <v>#N/A</v>
      </c>
      <c r="AC101" t="e">
        <f t="shared" si="39"/>
        <v>#N/A</v>
      </c>
    </row>
    <row r="102" spans="2:29">
      <c r="B102">
        <v>88</v>
      </c>
      <c r="C102">
        <f>'Lab test'!Q91</f>
        <v>464.28571428571433</v>
      </c>
      <c r="D102">
        <f>IF('Lab test'!AQ91&gt;0,'Lab test'!AQ91,NA())</f>
        <v>1.1819485736722875</v>
      </c>
      <c r="E102">
        <f>IF('Lab test'!AU91&gt;0,'Lab test'!AU91,NA())</f>
        <v>0.23212022446925107</v>
      </c>
      <c r="F102">
        <f>IF('Lab test'!AT91&gt;0,'Lab test'!AT91,NA())</f>
        <v>0.32427251782276756</v>
      </c>
      <c r="G102">
        <f t="shared" si="21"/>
        <v>1</v>
      </c>
      <c r="H102">
        <f t="shared" si="22"/>
        <v>1</v>
      </c>
      <c r="I102">
        <f t="shared" si="23"/>
        <v>1</v>
      </c>
      <c r="J102">
        <f t="shared" si="24"/>
        <v>1</v>
      </c>
      <c r="K102">
        <f t="shared" si="25"/>
        <v>1</v>
      </c>
      <c r="L102" t="str">
        <f>'Lab test'!AC91</f>
        <v>LTWb</v>
      </c>
      <c r="O102" t="e">
        <f t="shared" si="26"/>
        <v>#N/A</v>
      </c>
      <c r="P102">
        <f t="shared" si="27"/>
        <v>0.23212022446925107</v>
      </c>
      <c r="Q102" t="e">
        <f t="shared" si="28"/>
        <v>#N/A</v>
      </c>
      <c r="R102" t="e">
        <f t="shared" si="29"/>
        <v>#N/A</v>
      </c>
      <c r="S102" t="e">
        <f t="shared" si="30"/>
        <v>#N/A</v>
      </c>
      <c r="T102" t="e">
        <f t="shared" si="31"/>
        <v>#N/A</v>
      </c>
      <c r="U102" t="e">
        <f t="shared" si="32"/>
        <v>#N/A</v>
      </c>
      <c r="W102" t="e">
        <f t="shared" si="33"/>
        <v>#N/A</v>
      </c>
      <c r="X102">
        <f t="shared" si="34"/>
        <v>0.32427251782276756</v>
      </c>
      <c r="Y102" t="e">
        <f t="shared" si="35"/>
        <v>#N/A</v>
      </c>
      <c r="Z102" t="e">
        <f t="shared" si="36"/>
        <v>#N/A</v>
      </c>
      <c r="AA102" t="e">
        <f t="shared" si="37"/>
        <v>#N/A</v>
      </c>
      <c r="AB102" t="e">
        <f t="shared" si="38"/>
        <v>#N/A</v>
      </c>
      <c r="AC102" t="e">
        <f t="shared" si="39"/>
        <v>#N/A</v>
      </c>
    </row>
    <row r="103" spans="2:29">
      <c r="B103">
        <v>89</v>
      </c>
      <c r="C103">
        <f>'Lab test'!Q92</f>
        <v>1073.8636363636365</v>
      </c>
      <c r="D103">
        <f>IF('Lab test'!AQ92&gt;0,'Lab test'!AQ92,NA())</f>
        <v>1.797547968546114</v>
      </c>
      <c r="E103">
        <f>IF('Lab test'!AU92&gt;0,'Lab test'!AU92,NA())</f>
        <v>6.7548364638132477E-2</v>
      </c>
      <c r="F103">
        <f>IF('Lab test'!AT92&gt;0,'Lab test'!AT92,NA())</f>
        <v>0.21826083698616702</v>
      </c>
      <c r="G103">
        <f t="shared" si="21"/>
        <v>1</v>
      </c>
      <c r="H103">
        <f t="shared" si="22"/>
        <v>1</v>
      </c>
      <c r="I103">
        <f t="shared" si="23"/>
        <v>1</v>
      </c>
      <c r="J103">
        <f t="shared" si="24"/>
        <v>1</v>
      </c>
      <c r="K103">
        <f t="shared" si="25"/>
        <v>1</v>
      </c>
      <c r="L103" t="str">
        <f>'Lab test'!AC92</f>
        <v>LTWb</v>
      </c>
      <c r="O103" t="e">
        <f t="shared" si="26"/>
        <v>#N/A</v>
      </c>
      <c r="P103">
        <f t="shared" si="27"/>
        <v>6.7548364638132477E-2</v>
      </c>
      <c r="Q103" t="e">
        <f t="shared" si="28"/>
        <v>#N/A</v>
      </c>
      <c r="R103" t="e">
        <f t="shared" si="29"/>
        <v>#N/A</v>
      </c>
      <c r="S103" t="e">
        <f t="shared" si="30"/>
        <v>#N/A</v>
      </c>
      <c r="T103" t="e">
        <f t="shared" si="31"/>
        <v>#N/A</v>
      </c>
      <c r="U103" t="e">
        <f t="shared" si="32"/>
        <v>#N/A</v>
      </c>
      <c r="W103" t="e">
        <f t="shared" si="33"/>
        <v>#N/A</v>
      </c>
      <c r="X103">
        <f t="shared" si="34"/>
        <v>0.21826083698616702</v>
      </c>
      <c r="Y103" t="e">
        <f t="shared" si="35"/>
        <v>#N/A</v>
      </c>
      <c r="Z103" t="e">
        <f t="shared" si="36"/>
        <v>#N/A</v>
      </c>
      <c r="AA103" t="e">
        <f t="shared" si="37"/>
        <v>#N/A</v>
      </c>
      <c r="AB103" t="e">
        <f t="shared" si="38"/>
        <v>#N/A</v>
      </c>
      <c r="AC103" t="e">
        <f t="shared" si="39"/>
        <v>#N/A</v>
      </c>
    </row>
    <row r="104" spans="2:29">
      <c r="B104">
        <v>90</v>
      </c>
      <c r="C104">
        <f>'Lab test'!Q93</f>
        <v>684.30656934306569</v>
      </c>
      <c r="D104">
        <f>IF('Lab test'!AQ93&gt;0,'Lab test'!AQ93,NA())</f>
        <v>1.434931848879802</v>
      </c>
      <c r="E104">
        <f>IF('Lab test'!AU93&gt;0,'Lab test'!AU93,NA())</f>
        <v>0.15059868805898122</v>
      </c>
      <c r="F104">
        <f>IF('Lab test'!AT93&gt;0,'Lab test'!AT93,NA())</f>
        <v>0.31008712796085569</v>
      </c>
      <c r="G104">
        <f t="shared" si="21"/>
        <v>1</v>
      </c>
      <c r="H104">
        <f t="shared" si="22"/>
        <v>1</v>
      </c>
      <c r="I104">
        <f t="shared" si="23"/>
        <v>1</v>
      </c>
      <c r="J104">
        <f t="shared" si="24"/>
        <v>1</v>
      </c>
      <c r="K104">
        <f t="shared" si="25"/>
        <v>1</v>
      </c>
      <c r="L104" t="str">
        <f>'Lab test'!AC93</f>
        <v>LTWb</v>
      </c>
      <c r="O104" t="e">
        <f t="shared" si="26"/>
        <v>#N/A</v>
      </c>
      <c r="P104">
        <f t="shared" si="27"/>
        <v>0.15059868805898122</v>
      </c>
      <c r="Q104" t="e">
        <f t="shared" si="28"/>
        <v>#N/A</v>
      </c>
      <c r="R104" t="e">
        <f t="shared" si="29"/>
        <v>#N/A</v>
      </c>
      <c r="S104" t="e">
        <f t="shared" si="30"/>
        <v>#N/A</v>
      </c>
      <c r="T104" t="e">
        <f t="shared" si="31"/>
        <v>#N/A</v>
      </c>
      <c r="U104" t="e">
        <f t="shared" si="32"/>
        <v>#N/A</v>
      </c>
      <c r="W104" t="e">
        <f t="shared" si="33"/>
        <v>#N/A</v>
      </c>
      <c r="X104">
        <f t="shared" si="34"/>
        <v>0.31008712796085569</v>
      </c>
      <c r="Y104" t="e">
        <f t="shared" si="35"/>
        <v>#N/A</v>
      </c>
      <c r="Z104" t="e">
        <f t="shared" si="36"/>
        <v>#N/A</v>
      </c>
      <c r="AA104" t="e">
        <f t="shared" si="37"/>
        <v>#N/A</v>
      </c>
      <c r="AB104" t="e">
        <f t="shared" si="38"/>
        <v>#N/A</v>
      </c>
      <c r="AC104" t="e">
        <f t="shared" si="39"/>
        <v>#N/A</v>
      </c>
    </row>
    <row r="105" spans="2:29">
      <c r="B105">
        <v>91</v>
      </c>
      <c r="C105">
        <f>'Lab test'!Q94</f>
        <v>343.978102189781</v>
      </c>
      <c r="D105">
        <f>IF('Lab test'!AQ94&gt;0,'Lab test'!AQ94,NA())</f>
        <v>1.0173521762696611</v>
      </c>
      <c r="E105">
        <f>IF('Lab test'!AU94&gt;0,'Lab test'!AU94,NA())</f>
        <v>0.25200969786464456</v>
      </c>
      <c r="F105">
        <f>IF('Lab test'!AT94&gt;0,'Lab test'!AT94,NA())</f>
        <v>0.26083141088404099</v>
      </c>
      <c r="G105">
        <f t="shared" si="21"/>
        <v>1</v>
      </c>
      <c r="H105">
        <f t="shared" si="22"/>
        <v>1</v>
      </c>
      <c r="I105">
        <f t="shared" si="23"/>
        <v>1</v>
      </c>
      <c r="J105">
        <f t="shared" si="24"/>
        <v>1</v>
      </c>
      <c r="K105">
        <f t="shared" si="25"/>
        <v>1</v>
      </c>
      <c r="L105" t="str">
        <f>'Lab test'!AC94</f>
        <v>LTWb</v>
      </c>
      <c r="O105" t="e">
        <f t="shared" si="26"/>
        <v>#N/A</v>
      </c>
      <c r="P105">
        <f t="shared" si="27"/>
        <v>0.25200969786464456</v>
      </c>
      <c r="Q105" t="e">
        <f t="shared" si="28"/>
        <v>#N/A</v>
      </c>
      <c r="R105" t="e">
        <f t="shared" si="29"/>
        <v>#N/A</v>
      </c>
      <c r="S105" t="e">
        <f t="shared" si="30"/>
        <v>#N/A</v>
      </c>
      <c r="T105" t="e">
        <f t="shared" si="31"/>
        <v>#N/A</v>
      </c>
      <c r="U105" t="e">
        <f t="shared" si="32"/>
        <v>#N/A</v>
      </c>
      <c r="W105" t="e">
        <f t="shared" si="33"/>
        <v>#N/A</v>
      </c>
      <c r="X105">
        <f t="shared" si="34"/>
        <v>0.26083141088404099</v>
      </c>
      <c r="Y105" t="e">
        <f t="shared" si="35"/>
        <v>#N/A</v>
      </c>
      <c r="Z105" t="e">
        <f t="shared" si="36"/>
        <v>#N/A</v>
      </c>
      <c r="AA105" t="e">
        <f t="shared" si="37"/>
        <v>#N/A</v>
      </c>
      <c r="AB105" t="e">
        <f t="shared" si="38"/>
        <v>#N/A</v>
      </c>
      <c r="AC105" t="e">
        <f t="shared" si="39"/>
        <v>#N/A</v>
      </c>
    </row>
    <row r="106" spans="2:29">
      <c r="B106">
        <v>92</v>
      </c>
      <c r="C106">
        <f>'Lab test'!Q95</f>
        <v>1424.6231155778894</v>
      </c>
      <c r="D106">
        <f>IF('Lab test'!AQ95&gt;0,'Lab test'!AQ95,NA())</f>
        <v>2.0704078890671718</v>
      </c>
      <c r="E106">
        <f>IF('Lab test'!AU95&gt;0,'Lab test'!AU95,NA())</f>
        <v>4.0102563353280905E-2</v>
      </c>
      <c r="F106">
        <f>IF('Lab test'!AT95&gt;0,'Lab test'!AT95,NA())</f>
        <v>0.17190320000870835</v>
      </c>
      <c r="G106">
        <f t="shared" si="21"/>
        <v>1</v>
      </c>
      <c r="H106">
        <f t="shared" si="22"/>
        <v>1</v>
      </c>
      <c r="I106">
        <f t="shared" si="23"/>
        <v>1</v>
      </c>
      <c r="J106">
        <f t="shared" si="24"/>
        <v>1</v>
      </c>
      <c r="K106">
        <f t="shared" si="25"/>
        <v>1</v>
      </c>
      <c r="L106" t="str">
        <f>'Lab test'!AC95</f>
        <v>LTWb</v>
      </c>
      <c r="O106" t="e">
        <f t="shared" si="26"/>
        <v>#N/A</v>
      </c>
      <c r="P106">
        <f t="shared" si="27"/>
        <v>4.0102563353280905E-2</v>
      </c>
      <c r="Q106" t="e">
        <f t="shared" si="28"/>
        <v>#N/A</v>
      </c>
      <c r="R106" t="e">
        <f t="shared" si="29"/>
        <v>#N/A</v>
      </c>
      <c r="S106" t="e">
        <f t="shared" si="30"/>
        <v>#N/A</v>
      </c>
      <c r="T106" t="e">
        <f t="shared" si="31"/>
        <v>#N/A</v>
      </c>
      <c r="U106" t="e">
        <f t="shared" si="32"/>
        <v>#N/A</v>
      </c>
      <c r="W106" t="e">
        <f t="shared" si="33"/>
        <v>#N/A</v>
      </c>
      <c r="X106">
        <f t="shared" si="34"/>
        <v>0.17190320000870835</v>
      </c>
      <c r="Y106" t="e">
        <f t="shared" si="35"/>
        <v>#N/A</v>
      </c>
      <c r="Z106" t="e">
        <f t="shared" si="36"/>
        <v>#N/A</v>
      </c>
      <c r="AA106" t="e">
        <f t="shared" si="37"/>
        <v>#N/A</v>
      </c>
      <c r="AB106" t="e">
        <f t="shared" si="38"/>
        <v>#N/A</v>
      </c>
      <c r="AC106" t="e">
        <f t="shared" si="39"/>
        <v>#N/A</v>
      </c>
    </row>
    <row r="107" spans="2:29">
      <c r="B107">
        <v>93</v>
      </c>
      <c r="C107">
        <f>'Lab test'!Q96</f>
        <v>932.8358208955226</v>
      </c>
      <c r="D107">
        <f>IF('Lab test'!AQ96&gt;0,'Lab test'!AQ96,NA())</f>
        <v>1.6753614870861464</v>
      </c>
      <c r="E107">
        <f>IF('Lab test'!AU96&gt;0,'Lab test'!AU96,NA())</f>
        <v>7.263099613412656E-2</v>
      </c>
      <c r="F107">
        <f>IF('Lab test'!AT96&gt;0,'Lab test'!AT96,NA())</f>
        <v>0.20386330282968676</v>
      </c>
      <c r="G107">
        <f t="shared" si="21"/>
        <v>1</v>
      </c>
      <c r="H107">
        <f t="shared" si="22"/>
        <v>1</v>
      </c>
      <c r="I107">
        <f t="shared" si="23"/>
        <v>1</v>
      </c>
      <c r="J107">
        <f t="shared" si="24"/>
        <v>1</v>
      </c>
      <c r="K107">
        <f t="shared" si="25"/>
        <v>1</v>
      </c>
      <c r="L107" t="str">
        <f>'Lab test'!AC96</f>
        <v>LTWb</v>
      </c>
      <c r="O107" t="e">
        <f t="shared" si="26"/>
        <v>#N/A</v>
      </c>
      <c r="P107">
        <f t="shared" si="27"/>
        <v>7.263099613412656E-2</v>
      </c>
      <c r="Q107" t="e">
        <f t="shared" si="28"/>
        <v>#N/A</v>
      </c>
      <c r="R107" t="e">
        <f t="shared" si="29"/>
        <v>#N/A</v>
      </c>
      <c r="S107" t="e">
        <f t="shared" si="30"/>
        <v>#N/A</v>
      </c>
      <c r="T107" t="e">
        <f t="shared" si="31"/>
        <v>#N/A</v>
      </c>
      <c r="U107" t="e">
        <f t="shared" si="32"/>
        <v>#N/A</v>
      </c>
      <c r="W107" t="e">
        <f t="shared" si="33"/>
        <v>#N/A</v>
      </c>
      <c r="X107">
        <f t="shared" si="34"/>
        <v>0.20386330282968676</v>
      </c>
      <c r="Y107" t="e">
        <f t="shared" si="35"/>
        <v>#N/A</v>
      </c>
      <c r="Z107" t="e">
        <f t="shared" si="36"/>
        <v>#N/A</v>
      </c>
      <c r="AA107" t="e">
        <f t="shared" si="37"/>
        <v>#N/A</v>
      </c>
      <c r="AB107" t="e">
        <f t="shared" si="38"/>
        <v>#N/A</v>
      </c>
      <c r="AC107" t="e">
        <f t="shared" si="39"/>
        <v>#N/A</v>
      </c>
    </row>
    <row r="108" spans="2:29">
      <c r="B108">
        <v>94</v>
      </c>
      <c r="C108">
        <f>'Lab test'!Q97</f>
        <v>336.60714285714289</v>
      </c>
      <c r="D108">
        <f>IF('Lab test'!AQ97&gt;0,'Lab test'!AQ97,NA())</f>
        <v>1.0063929462860501</v>
      </c>
      <c r="E108">
        <f>IF('Lab test'!AU97&gt;0,'Lab test'!AU97,NA())</f>
        <v>0.25295994902458802</v>
      </c>
      <c r="F108">
        <f>IF('Lab test'!AT97&gt;0,'Lab test'!AT97,NA())</f>
        <v>0.2562046061708273</v>
      </c>
      <c r="G108">
        <f t="shared" si="21"/>
        <v>1</v>
      </c>
      <c r="H108">
        <f t="shared" si="22"/>
        <v>1</v>
      </c>
      <c r="I108">
        <f t="shared" si="23"/>
        <v>1</v>
      </c>
      <c r="J108">
        <f t="shared" si="24"/>
        <v>1</v>
      </c>
      <c r="K108">
        <f t="shared" si="25"/>
        <v>1</v>
      </c>
      <c r="L108" t="str">
        <f>'Lab test'!AC97</f>
        <v>LTWb</v>
      </c>
      <c r="O108" t="e">
        <f t="shared" si="26"/>
        <v>#N/A</v>
      </c>
      <c r="P108">
        <f t="shared" si="27"/>
        <v>0.25295994902458802</v>
      </c>
      <c r="Q108" t="e">
        <f t="shared" si="28"/>
        <v>#N/A</v>
      </c>
      <c r="R108" t="e">
        <f t="shared" si="29"/>
        <v>#N/A</v>
      </c>
      <c r="S108" t="e">
        <f t="shared" si="30"/>
        <v>#N/A</v>
      </c>
      <c r="T108" t="e">
        <f t="shared" si="31"/>
        <v>#N/A</v>
      </c>
      <c r="U108" t="e">
        <f t="shared" si="32"/>
        <v>#N/A</v>
      </c>
      <c r="W108" t="e">
        <f t="shared" si="33"/>
        <v>#N/A</v>
      </c>
      <c r="X108">
        <f t="shared" si="34"/>
        <v>0.2562046061708273</v>
      </c>
      <c r="Y108" t="e">
        <f t="shared" si="35"/>
        <v>#N/A</v>
      </c>
      <c r="Z108" t="e">
        <f t="shared" si="36"/>
        <v>#N/A</v>
      </c>
      <c r="AA108" t="e">
        <f t="shared" si="37"/>
        <v>#N/A</v>
      </c>
      <c r="AB108" t="e">
        <f t="shared" si="38"/>
        <v>#N/A</v>
      </c>
      <c r="AC108" t="e">
        <f t="shared" si="39"/>
        <v>#N/A</v>
      </c>
    </row>
    <row r="109" spans="2:29">
      <c r="B109">
        <v>95</v>
      </c>
      <c r="C109">
        <f>'Lab test'!Q98</f>
        <v>473.6180904522613</v>
      </c>
      <c r="D109">
        <f>IF('Lab test'!AQ98&gt;0,'Lab test'!AQ98,NA())</f>
        <v>1.1937683534406605</v>
      </c>
      <c r="E109">
        <f>IF('Lab test'!AU98&gt;0,'Lab test'!AU98,NA())</f>
        <v>0.13551900719384577</v>
      </c>
      <c r="F109">
        <f>IF('Lab test'!AT98&gt;0,'Lab test'!AT98,NA())</f>
        <v>0.19312581729373399</v>
      </c>
      <c r="G109">
        <f t="shared" si="21"/>
        <v>1</v>
      </c>
      <c r="H109">
        <f t="shared" si="22"/>
        <v>1</v>
      </c>
      <c r="I109">
        <f t="shared" si="23"/>
        <v>1</v>
      </c>
      <c r="J109">
        <f t="shared" si="24"/>
        <v>1</v>
      </c>
      <c r="K109">
        <f t="shared" si="25"/>
        <v>1</v>
      </c>
      <c r="L109" t="str">
        <f>'Lab test'!AC98</f>
        <v>LTWb</v>
      </c>
      <c r="O109" t="e">
        <f t="shared" si="26"/>
        <v>#N/A</v>
      </c>
      <c r="P109">
        <f t="shared" si="27"/>
        <v>0.13551900719384577</v>
      </c>
      <c r="Q109" t="e">
        <f t="shared" si="28"/>
        <v>#N/A</v>
      </c>
      <c r="R109" t="e">
        <f t="shared" si="29"/>
        <v>#N/A</v>
      </c>
      <c r="S109" t="e">
        <f t="shared" si="30"/>
        <v>#N/A</v>
      </c>
      <c r="T109" t="e">
        <f t="shared" si="31"/>
        <v>#N/A</v>
      </c>
      <c r="U109" t="e">
        <f t="shared" si="32"/>
        <v>#N/A</v>
      </c>
      <c r="W109" t="e">
        <f t="shared" si="33"/>
        <v>#N/A</v>
      </c>
      <c r="X109">
        <f t="shared" si="34"/>
        <v>0.19312581729373399</v>
      </c>
      <c r="Y109" t="e">
        <f t="shared" si="35"/>
        <v>#N/A</v>
      </c>
      <c r="Z109" t="e">
        <f t="shared" si="36"/>
        <v>#N/A</v>
      </c>
      <c r="AA109" t="e">
        <f t="shared" si="37"/>
        <v>#N/A</v>
      </c>
      <c r="AB109" t="e">
        <f t="shared" si="38"/>
        <v>#N/A</v>
      </c>
      <c r="AC109" t="e">
        <f t="shared" si="39"/>
        <v>#N/A</v>
      </c>
    </row>
    <row r="110" spans="2:29">
      <c r="B110">
        <v>96</v>
      </c>
      <c r="C110">
        <f>'Lab test'!Q99</f>
        <v>486.27787307032594</v>
      </c>
      <c r="D110">
        <f>IF('Lab test'!AQ99&gt;0,'Lab test'!AQ99,NA())</f>
        <v>1.1956060729533817</v>
      </c>
      <c r="E110">
        <f>IF('Lab test'!AU99&gt;0,'Lab test'!AU99,NA())</f>
        <v>0.22254779560069551</v>
      </c>
      <c r="F110">
        <f>IF('Lab test'!AT99&gt;0,'Lab test'!AT99,NA())</f>
        <v>0.31812626123732268</v>
      </c>
      <c r="G110">
        <f t="shared" si="21"/>
        <v>1</v>
      </c>
      <c r="H110">
        <f t="shared" si="22"/>
        <v>1</v>
      </c>
      <c r="I110">
        <f t="shared" si="23"/>
        <v>1</v>
      </c>
      <c r="J110">
        <f t="shared" si="24"/>
        <v>1</v>
      </c>
      <c r="K110">
        <f t="shared" si="25"/>
        <v>1</v>
      </c>
      <c r="L110" t="str">
        <f>'Lab test'!AC99</f>
        <v>LTWb</v>
      </c>
      <c r="O110" t="e">
        <f t="shared" si="26"/>
        <v>#N/A</v>
      </c>
      <c r="P110">
        <f t="shared" si="27"/>
        <v>0.22254779560069551</v>
      </c>
      <c r="Q110" t="e">
        <f t="shared" si="28"/>
        <v>#N/A</v>
      </c>
      <c r="R110" t="e">
        <f t="shared" si="29"/>
        <v>#N/A</v>
      </c>
      <c r="S110" t="e">
        <f t="shared" si="30"/>
        <v>#N/A</v>
      </c>
      <c r="T110" t="e">
        <f t="shared" si="31"/>
        <v>#N/A</v>
      </c>
      <c r="U110" t="e">
        <f t="shared" si="32"/>
        <v>#N/A</v>
      </c>
      <c r="W110" t="e">
        <f t="shared" si="33"/>
        <v>#N/A</v>
      </c>
      <c r="X110">
        <f t="shared" si="34"/>
        <v>0.31812626123732268</v>
      </c>
      <c r="Y110" t="e">
        <f t="shared" si="35"/>
        <v>#N/A</v>
      </c>
      <c r="Z110" t="e">
        <f t="shared" si="36"/>
        <v>#N/A</v>
      </c>
      <c r="AA110" t="e">
        <f t="shared" si="37"/>
        <v>#N/A</v>
      </c>
      <c r="AB110" t="e">
        <f t="shared" si="38"/>
        <v>#N/A</v>
      </c>
      <c r="AC110" t="e">
        <f t="shared" si="39"/>
        <v>#N/A</v>
      </c>
    </row>
    <row r="111" spans="2:29">
      <c r="B111">
        <v>97</v>
      </c>
      <c r="C111">
        <f>'Lab test'!Q100</f>
        <v>314.59731543624162</v>
      </c>
      <c r="D111">
        <f>IF('Lab test'!AQ100&gt;0,'Lab test'!AQ100,NA())</f>
        <v>0.96166401276432378</v>
      </c>
      <c r="E111">
        <f>IF('Lab test'!AU100&gt;0,'Lab test'!AU100,NA())</f>
        <v>0.24711013921243075</v>
      </c>
      <c r="F111">
        <f>IF('Lab test'!AT100&gt;0,'Lab test'!AT100,NA())</f>
        <v>0.22852688182856856</v>
      </c>
      <c r="G111">
        <f t="shared" si="21"/>
        <v>1</v>
      </c>
      <c r="H111">
        <f t="shared" si="22"/>
        <v>1</v>
      </c>
      <c r="I111">
        <f t="shared" si="23"/>
        <v>1</v>
      </c>
      <c r="J111">
        <f t="shared" si="24"/>
        <v>1</v>
      </c>
      <c r="K111">
        <f t="shared" si="25"/>
        <v>1</v>
      </c>
      <c r="L111" t="str">
        <f>'Lab test'!AC100</f>
        <v>LTWb</v>
      </c>
      <c r="O111" t="e">
        <f t="shared" si="26"/>
        <v>#N/A</v>
      </c>
      <c r="P111">
        <f t="shared" si="27"/>
        <v>0.24711013921243075</v>
      </c>
      <c r="Q111" t="e">
        <f t="shared" si="28"/>
        <v>#N/A</v>
      </c>
      <c r="R111" t="e">
        <f t="shared" si="29"/>
        <v>#N/A</v>
      </c>
      <c r="S111" t="e">
        <f t="shared" si="30"/>
        <v>#N/A</v>
      </c>
      <c r="T111" t="e">
        <f t="shared" si="31"/>
        <v>#N/A</v>
      </c>
      <c r="U111" t="e">
        <f t="shared" si="32"/>
        <v>#N/A</v>
      </c>
      <c r="W111" t="e">
        <f t="shared" si="33"/>
        <v>#N/A</v>
      </c>
      <c r="X111">
        <f t="shared" si="34"/>
        <v>0.22852688182856856</v>
      </c>
      <c r="Y111" t="e">
        <f t="shared" si="35"/>
        <v>#N/A</v>
      </c>
      <c r="Z111" t="e">
        <f t="shared" si="36"/>
        <v>#N/A</v>
      </c>
      <c r="AA111" t="e">
        <f t="shared" si="37"/>
        <v>#N/A</v>
      </c>
      <c r="AB111" t="e">
        <f t="shared" si="38"/>
        <v>#N/A</v>
      </c>
      <c r="AC111" t="e">
        <f t="shared" si="39"/>
        <v>#N/A</v>
      </c>
    </row>
    <row r="112" spans="2:29">
      <c r="B112">
        <v>98</v>
      </c>
      <c r="C112">
        <f>'Lab test'!Q101</f>
        <v>317.79661016949149</v>
      </c>
      <c r="D112">
        <f>IF('Lab test'!AQ101&gt;0,'Lab test'!AQ101,NA())</f>
        <v>0.96654146085350201</v>
      </c>
      <c r="E112">
        <f>IF('Lab test'!AU101&gt;0,'Lab test'!AU101,NA())</f>
        <v>0.2362238705192902</v>
      </c>
      <c r="F112">
        <f>IF('Lab test'!AT101&gt;0,'Lab test'!AT101,NA())</f>
        <v>0.22068090572493562</v>
      </c>
      <c r="G112">
        <f t="shared" si="21"/>
        <v>1</v>
      </c>
      <c r="H112">
        <f t="shared" si="22"/>
        <v>1</v>
      </c>
      <c r="I112">
        <f t="shared" si="23"/>
        <v>1</v>
      </c>
      <c r="J112">
        <f t="shared" si="24"/>
        <v>1</v>
      </c>
      <c r="K112">
        <f t="shared" si="25"/>
        <v>1</v>
      </c>
      <c r="L112" t="str">
        <f>'Lab test'!AC101</f>
        <v>LTWb</v>
      </c>
      <c r="O112" t="e">
        <f t="shared" si="26"/>
        <v>#N/A</v>
      </c>
      <c r="P112">
        <f t="shared" si="27"/>
        <v>0.2362238705192902</v>
      </c>
      <c r="Q112" t="e">
        <f t="shared" si="28"/>
        <v>#N/A</v>
      </c>
      <c r="R112" t="e">
        <f t="shared" si="29"/>
        <v>#N/A</v>
      </c>
      <c r="S112" t="e">
        <f t="shared" si="30"/>
        <v>#N/A</v>
      </c>
      <c r="T112" t="e">
        <f t="shared" si="31"/>
        <v>#N/A</v>
      </c>
      <c r="U112" t="e">
        <f t="shared" si="32"/>
        <v>#N/A</v>
      </c>
      <c r="W112" t="e">
        <f t="shared" si="33"/>
        <v>#N/A</v>
      </c>
      <c r="X112">
        <f t="shared" si="34"/>
        <v>0.22068090572493562</v>
      </c>
      <c r="Y112" t="e">
        <f t="shared" si="35"/>
        <v>#N/A</v>
      </c>
      <c r="Z112" t="e">
        <f t="shared" si="36"/>
        <v>#N/A</v>
      </c>
      <c r="AA112" t="e">
        <f t="shared" si="37"/>
        <v>#N/A</v>
      </c>
      <c r="AB112" t="e">
        <f t="shared" si="38"/>
        <v>#N/A</v>
      </c>
      <c r="AC112" t="e">
        <f t="shared" si="39"/>
        <v>#N/A</v>
      </c>
    </row>
    <row r="113" spans="2:29">
      <c r="B113">
        <v>99</v>
      </c>
      <c r="C113">
        <f>'Lab test'!Q102</f>
        <v>161.66380789022298</v>
      </c>
      <c r="D113">
        <f>IF('Lab test'!AQ102&gt;0,'Lab test'!AQ102,NA())</f>
        <v>0.6893698099828417</v>
      </c>
      <c r="E113">
        <f>IF('Lab test'!AU102&gt;0,'Lab test'!AU102,NA())</f>
        <v>0.68140383445120845</v>
      </c>
      <c r="F113">
        <f>IF('Lab test'!AT102&gt;0,'Lab test'!AT102,NA())</f>
        <v>0.3238240450206778</v>
      </c>
      <c r="G113">
        <f t="shared" si="21"/>
        <v>1</v>
      </c>
      <c r="H113">
        <f t="shared" si="22"/>
        <v>1</v>
      </c>
      <c r="I113">
        <f t="shared" si="23"/>
        <v>1</v>
      </c>
      <c r="J113">
        <f t="shared" si="24"/>
        <v>1</v>
      </c>
      <c r="K113">
        <f t="shared" si="25"/>
        <v>1</v>
      </c>
      <c r="L113" t="str">
        <f>'Lab test'!AC102</f>
        <v>LTWb</v>
      </c>
      <c r="O113" t="e">
        <f t="shared" si="26"/>
        <v>#N/A</v>
      </c>
      <c r="P113">
        <f t="shared" si="27"/>
        <v>0.68140383445120845</v>
      </c>
      <c r="Q113" t="e">
        <f t="shared" si="28"/>
        <v>#N/A</v>
      </c>
      <c r="R113" t="e">
        <f t="shared" si="29"/>
        <v>#N/A</v>
      </c>
      <c r="S113" t="e">
        <f t="shared" si="30"/>
        <v>#N/A</v>
      </c>
      <c r="T113" t="e">
        <f t="shared" si="31"/>
        <v>#N/A</v>
      </c>
      <c r="U113" t="e">
        <f t="shared" si="32"/>
        <v>#N/A</v>
      </c>
      <c r="W113" t="e">
        <f t="shared" si="33"/>
        <v>#N/A</v>
      </c>
      <c r="X113">
        <f t="shared" si="34"/>
        <v>0.3238240450206778</v>
      </c>
      <c r="Y113" t="e">
        <f t="shared" si="35"/>
        <v>#N/A</v>
      </c>
      <c r="Z113" t="e">
        <f t="shared" si="36"/>
        <v>#N/A</v>
      </c>
      <c r="AA113" t="e">
        <f t="shared" si="37"/>
        <v>#N/A</v>
      </c>
      <c r="AB113" t="e">
        <f t="shared" si="38"/>
        <v>#N/A</v>
      </c>
      <c r="AC113" t="e">
        <f t="shared" si="39"/>
        <v>#N/A</v>
      </c>
    </row>
    <row r="114" spans="2:29">
      <c r="B114">
        <v>100</v>
      </c>
      <c r="C114">
        <f>'Lab test'!Q103</f>
        <v>951.34228187919473</v>
      </c>
      <c r="D114">
        <f>IF('Lab test'!AQ103&gt;0,'Lab test'!AQ103,NA())</f>
        <v>1.7039554411480944</v>
      </c>
      <c r="E114">
        <f>IF('Lab test'!AU103&gt;0,'Lab test'!AU103,NA())</f>
        <v>7.7329952997042248E-2</v>
      </c>
      <c r="F114">
        <f>IF('Lab test'!AT103&gt;0,'Lab test'!AT103,NA())</f>
        <v>0.2245247458937866</v>
      </c>
      <c r="G114">
        <f t="shared" si="21"/>
        <v>1</v>
      </c>
      <c r="H114">
        <f t="shared" si="22"/>
        <v>1</v>
      </c>
      <c r="I114">
        <f t="shared" si="23"/>
        <v>1</v>
      </c>
      <c r="J114">
        <f t="shared" si="24"/>
        <v>1</v>
      </c>
      <c r="K114">
        <f t="shared" si="25"/>
        <v>1</v>
      </c>
      <c r="L114" t="str">
        <f>'Lab test'!AC103</f>
        <v>LTWb</v>
      </c>
      <c r="O114" t="e">
        <f t="shared" si="26"/>
        <v>#N/A</v>
      </c>
      <c r="P114">
        <f t="shared" si="27"/>
        <v>7.7329952997042248E-2</v>
      </c>
      <c r="Q114" t="e">
        <f t="shared" si="28"/>
        <v>#N/A</v>
      </c>
      <c r="R114" t="e">
        <f t="shared" si="29"/>
        <v>#N/A</v>
      </c>
      <c r="S114" t="e">
        <f t="shared" si="30"/>
        <v>#N/A</v>
      </c>
      <c r="T114" t="e">
        <f t="shared" si="31"/>
        <v>#N/A</v>
      </c>
      <c r="U114" t="e">
        <f t="shared" si="32"/>
        <v>#N/A</v>
      </c>
      <c r="W114" t="e">
        <f t="shared" si="33"/>
        <v>#N/A</v>
      </c>
      <c r="X114">
        <f t="shared" si="34"/>
        <v>0.2245247458937866</v>
      </c>
      <c r="Y114" t="e">
        <f t="shared" si="35"/>
        <v>#N/A</v>
      </c>
      <c r="Z114" t="e">
        <f t="shared" si="36"/>
        <v>#N/A</v>
      </c>
      <c r="AA114" t="e">
        <f t="shared" si="37"/>
        <v>#N/A</v>
      </c>
      <c r="AB114" t="e">
        <f t="shared" si="38"/>
        <v>#N/A</v>
      </c>
      <c r="AC114" t="e">
        <f t="shared" si="39"/>
        <v>#N/A</v>
      </c>
    </row>
    <row r="115" spans="2:29">
      <c r="B115">
        <v>101</v>
      </c>
      <c r="C115">
        <f>'Lab test'!Q104</f>
        <v>319.49152542372877</v>
      </c>
      <c r="D115">
        <f>IF('Lab test'!AQ104&gt;0,'Lab test'!AQ104,NA())</f>
        <v>0.98745998471764174</v>
      </c>
      <c r="E115">
        <f>IF('Lab test'!AU104&gt;0,'Lab test'!AU104,NA())</f>
        <v>0.27841065362787754</v>
      </c>
      <c r="F115">
        <f>IF('Lab test'!AT104&gt;0,'Lab test'!AT104,NA())</f>
        <v>0.27147188655279747</v>
      </c>
      <c r="G115">
        <f t="shared" si="21"/>
        <v>1</v>
      </c>
      <c r="H115">
        <f t="shared" si="22"/>
        <v>1</v>
      </c>
      <c r="I115">
        <f t="shared" si="23"/>
        <v>1</v>
      </c>
      <c r="J115">
        <f t="shared" si="24"/>
        <v>1</v>
      </c>
      <c r="K115">
        <f t="shared" si="25"/>
        <v>1</v>
      </c>
      <c r="L115" t="str">
        <f>'Lab test'!AC104</f>
        <v>LTWb</v>
      </c>
      <c r="O115" t="e">
        <f t="shared" si="26"/>
        <v>#N/A</v>
      </c>
      <c r="P115">
        <f t="shared" si="27"/>
        <v>0.27841065362787754</v>
      </c>
      <c r="Q115" t="e">
        <f t="shared" si="28"/>
        <v>#N/A</v>
      </c>
      <c r="R115" t="e">
        <f t="shared" si="29"/>
        <v>#N/A</v>
      </c>
      <c r="S115" t="e">
        <f t="shared" si="30"/>
        <v>#N/A</v>
      </c>
      <c r="T115" t="e">
        <f t="shared" si="31"/>
        <v>#N/A</v>
      </c>
      <c r="U115" t="e">
        <f t="shared" si="32"/>
        <v>#N/A</v>
      </c>
      <c r="W115" t="e">
        <f t="shared" si="33"/>
        <v>#N/A</v>
      </c>
      <c r="X115">
        <f t="shared" si="34"/>
        <v>0.27147188655279747</v>
      </c>
      <c r="Y115" t="e">
        <f t="shared" si="35"/>
        <v>#N/A</v>
      </c>
      <c r="Z115" t="e">
        <f t="shared" si="36"/>
        <v>#N/A</v>
      </c>
      <c r="AA115" t="e">
        <f t="shared" si="37"/>
        <v>#N/A</v>
      </c>
      <c r="AB115" t="e">
        <f t="shared" si="38"/>
        <v>#N/A</v>
      </c>
      <c r="AC115" t="e">
        <f t="shared" si="39"/>
        <v>#N/A</v>
      </c>
    </row>
    <row r="116" spans="2:29">
      <c r="B116">
        <v>102</v>
      </c>
      <c r="C116">
        <f>'Lab test'!Q105</f>
        <v>318.41216216216213</v>
      </c>
      <c r="D116">
        <f>IF('Lab test'!AQ105&gt;0,'Lab test'!AQ105,NA())</f>
        <v>0.98579056681248256</v>
      </c>
      <c r="E116">
        <f>IF('Lab test'!AU105&gt;0,'Lab test'!AU105,NA())</f>
        <v>0.3109239161777691</v>
      </c>
      <c r="F116">
        <f>IF('Lab test'!AT105&gt;0,'Lab test'!AT105,NA())</f>
        <v>0.30215058897453856</v>
      </c>
      <c r="G116">
        <f t="shared" si="21"/>
        <v>1</v>
      </c>
      <c r="H116">
        <f t="shared" si="22"/>
        <v>1</v>
      </c>
      <c r="I116">
        <f t="shared" si="23"/>
        <v>1</v>
      </c>
      <c r="J116">
        <f t="shared" si="24"/>
        <v>1</v>
      </c>
      <c r="K116">
        <f t="shared" si="25"/>
        <v>1</v>
      </c>
      <c r="L116" t="str">
        <f>'Lab test'!AC105</f>
        <v>LTWb</v>
      </c>
      <c r="O116" t="e">
        <f t="shared" si="26"/>
        <v>#N/A</v>
      </c>
      <c r="P116">
        <f t="shared" si="27"/>
        <v>0.3109239161777691</v>
      </c>
      <c r="Q116" t="e">
        <f t="shared" si="28"/>
        <v>#N/A</v>
      </c>
      <c r="R116" t="e">
        <f t="shared" si="29"/>
        <v>#N/A</v>
      </c>
      <c r="S116" t="e">
        <f t="shared" si="30"/>
        <v>#N/A</v>
      </c>
      <c r="T116" t="e">
        <f t="shared" si="31"/>
        <v>#N/A</v>
      </c>
      <c r="U116" t="e">
        <f t="shared" si="32"/>
        <v>#N/A</v>
      </c>
      <c r="W116" t="e">
        <f t="shared" si="33"/>
        <v>#N/A</v>
      </c>
      <c r="X116">
        <f t="shared" si="34"/>
        <v>0.30215058897453856</v>
      </c>
      <c r="Y116" t="e">
        <f t="shared" si="35"/>
        <v>#N/A</v>
      </c>
      <c r="Z116" t="e">
        <f t="shared" si="36"/>
        <v>#N/A</v>
      </c>
      <c r="AA116" t="e">
        <f t="shared" si="37"/>
        <v>#N/A</v>
      </c>
      <c r="AB116" t="e">
        <f t="shared" si="38"/>
        <v>#N/A</v>
      </c>
      <c r="AC116" t="e">
        <f t="shared" si="39"/>
        <v>#N/A</v>
      </c>
    </row>
    <row r="117" spans="2:29">
      <c r="B117">
        <v>103</v>
      </c>
      <c r="C117">
        <f>'Lab test'!Q106</f>
        <v>1343.6018957345973</v>
      </c>
      <c r="D117">
        <f>IF('Lab test'!AQ106&gt;0,'Lab test'!AQ106,NA())</f>
        <v>2.02500051528239</v>
      </c>
      <c r="E117">
        <f>IF('Lab test'!AU106&gt;0,'Lab test'!AU106,NA())</f>
        <v>4.0381948452635229E-2</v>
      </c>
      <c r="F117">
        <f>IF('Lab test'!AT106&gt;0,'Lab test'!AT106,NA())</f>
        <v>0.16559131164643109</v>
      </c>
      <c r="G117">
        <f t="shared" si="21"/>
        <v>1</v>
      </c>
      <c r="H117">
        <f t="shared" si="22"/>
        <v>1</v>
      </c>
      <c r="I117">
        <f t="shared" si="23"/>
        <v>1</v>
      </c>
      <c r="J117">
        <f t="shared" si="24"/>
        <v>1</v>
      </c>
      <c r="K117">
        <f t="shared" si="25"/>
        <v>1</v>
      </c>
      <c r="L117" t="str">
        <f>'Lab test'!AC106</f>
        <v>LTWb</v>
      </c>
      <c r="O117" t="e">
        <f t="shared" si="26"/>
        <v>#N/A</v>
      </c>
      <c r="P117">
        <f t="shared" si="27"/>
        <v>4.0381948452635229E-2</v>
      </c>
      <c r="Q117" t="e">
        <f t="shared" si="28"/>
        <v>#N/A</v>
      </c>
      <c r="R117" t="e">
        <f t="shared" si="29"/>
        <v>#N/A</v>
      </c>
      <c r="S117" t="e">
        <f t="shared" si="30"/>
        <v>#N/A</v>
      </c>
      <c r="T117" t="e">
        <f t="shared" si="31"/>
        <v>#N/A</v>
      </c>
      <c r="U117" t="e">
        <f t="shared" si="32"/>
        <v>#N/A</v>
      </c>
      <c r="W117" t="e">
        <f t="shared" si="33"/>
        <v>#N/A</v>
      </c>
      <c r="X117">
        <f t="shared" si="34"/>
        <v>0.16559131164643109</v>
      </c>
      <c r="Y117" t="e">
        <f t="shared" si="35"/>
        <v>#N/A</v>
      </c>
      <c r="Z117" t="e">
        <f t="shared" si="36"/>
        <v>#N/A</v>
      </c>
      <c r="AA117" t="e">
        <f t="shared" si="37"/>
        <v>#N/A</v>
      </c>
      <c r="AB117" t="e">
        <f t="shared" si="38"/>
        <v>#N/A</v>
      </c>
      <c r="AC117" t="e">
        <f t="shared" si="39"/>
        <v>#N/A</v>
      </c>
    </row>
    <row r="118" spans="2:29">
      <c r="B118">
        <v>104</v>
      </c>
      <c r="C118">
        <f>'Lab test'!Q107</f>
        <v>1410.4477611940301</v>
      </c>
      <c r="D118">
        <f>IF('Lab test'!AQ107&gt;0,'Lab test'!AQ107,NA())</f>
        <v>2.0747622477646366</v>
      </c>
      <c r="E118">
        <f>IF('Lab test'!AU107&gt;0,'Lab test'!AU107,NA())</f>
        <v>4.0464136950164348E-2</v>
      </c>
      <c r="F118">
        <f>IF('Lab test'!AT107&gt;0,'Lab test'!AT107,NA())</f>
        <v>0.17418347712143262</v>
      </c>
      <c r="G118">
        <f t="shared" si="21"/>
        <v>1</v>
      </c>
      <c r="H118">
        <f t="shared" si="22"/>
        <v>1</v>
      </c>
      <c r="I118">
        <f t="shared" si="23"/>
        <v>1</v>
      </c>
      <c r="J118">
        <f t="shared" si="24"/>
        <v>1</v>
      </c>
      <c r="K118">
        <f t="shared" si="25"/>
        <v>1</v>
      </c>
      <c r="L118" t="str">
        <f>'Lab test'!AC107</f>
        <v>LTWb</v>
      </c>
      <c r="O118" t="e">
        <f t="shared" si="26"/>
        <v>#N/A</v>
      </c>
      <c r="P118">
        <f t="shared" si="27"/>
        <v>4.0464136950164348E-2</v>
      </c>
      <c r="Q118" t="e">
        <f t="shared" si="28"/>
        <v>#N/A</v>
      </c>
      <c r="R118" t="e">
        <f t="shared" si="29"/>
        <v>#N/A</v>
      </c>
      <c r="S118" t="e">
        <f t="shared" si="30"/>
        <v>#N/A</v>
      </c>
      <c r="T118" t="e">
        <f t="shared" si="31"/>
        <v>#N/A</v>
      </c>
      <c r="U118" t="e">
        <f t="shared" si="32"/>
        <v>#N/A</v>
      </c>
      <c r="W118" t="e">
        <f t="shared" si="33"/>
        <v>#N/A</v>
      </c>
      <c r="X118">
        <f t="shared" si="34"/>
        <v>0.17418347712143262</v>
      </c>
      <c r="Y118" t="e">
        <f t="shared" si="35"/>
        <v>#N/A</v>
      </c>
      <c r="Z118" t="e">
        <f t="shared" si="36"/>
        <v>#N/A</v>
      </c>
      <c r="AA118" t="e">
        <f t="shared" si="37"/>
        <v>#N/A</v>
      </c>
      <c r="AB118" t="e">
        <f t="shared" si="38"/>
        <v>#N/A</v>
      </c>
      <c r="AC118" t="e">
        <f t="shared" si="39"/>
        <v>#N/A</v>
      </c>
    </row>
    <row r="119" spans="2:29">
      <c r="B119">
        <v>105</v>
      </c>
      <c r="C119">
        <f>'Lab test'!Q108</f>
        <v>880.28169014084506</v>
      </c>
      <c r="D119">
        <f>IF('Lab test'!AQ108&gt;0,'Lab test'!AQ108,NA())</f>
        <v>1.6390819524780058</v>
      </c>
      <c r="E119">
        <f>IF('Lab test'!AU108&gt;0,'Lab test'!AU108,NA())</f>
        <v>6.5982759430172205E-2</v>
      </c>
      <c r="F119">
        <f>IF('Lab test'!AT108&gt;0,'Lab test'!AT108,NA())</f>
        <v>0.17726859836157469</v>
      </c>
      <c r="G119">
        <f t="shared" si="21"/>
        <v>1</v>
      </c>
      <c r="H119">
        <f t="shared" si="22"/>
        <v>1</v>
      </c>
      <c r="I119">
        <f t="shared" si="23"/>
        <v>1</v>
      </c>
      <c r="J119">
        <f t="shared" si="24"/>
        <v>1</v>
      </c>
      <c r="K119">
        <f t="shared" si="25"/>
        <v>1</v>
      </c>
      <c r="L119" t="str">
        <f>'Lab test'!AC108</f>
        <v>LTWb</v>
      </c>
      <c r="O119" t="e">
        <f t="shared" si="26"/>
        <v>#N/A</v>
      </c>
      <c r="P119">
        <f t="shared" si="27"/>
        <v>6.5982759430172205E-2</v>
      </c>
      <c r="Q119" t="e">
        <f t="shared" si="28"/>
        <v>#N/A</v>
      </c>
      <c r="R119" t="e">
        <f t="shared" si="29"/>
        <v>#N/A</v>
      </c>
      <c r="S119" t="e">
        <f t="shared" si="30"/>
        <v>#N/A</v>
      </c>
      <c r="T119" t="e">
        <f t="shared" si="31"/>
        <v>#N/A</v>
      </c>
      <c r="U119" t="e">
        <f t="shared" si="32"/>
        <v>#N/A</v>
      </c>
      <c r="W119" t="e">
        <f t="shared" si="33"/>
        <v>#N/A</v>
      </c>
      <c r="X119">
        <f t="shared" si="34"/>
        <v>0.17726859836157469</v>
      </c>
      <c r="Y119" t="e">
        <f t="shared" si="35"/>
        <v>#N/A</v>
      </c>
      <c r="Z119" t="e">
        <f t="shared" si="36"/>
        <v>#N/A</v>
      </c>
      <c r="AA119" t="e">
        <f t="shared" si="37"/>
        <v>#N/A</v>
      </c>
      <c r="AB119" t="e">
        <f t="shared" si="38"/>
        <v>#N/A</v>
      </c>
      <c r="AC119" t="e">
        <f t="shared" si="39"/>
        <v>#N/A</v>
      </c>
    </row>
    <row r="120" spans="2:29">
      <c r="B120">
        <v>106</v>
      </c>
      <c r="C120">
        <f>'Lab test'!Q109</f>
        <v>905.79710144927549</v>
      </c>
      <c r="D120">
        <f>IF('Lab test'!AQ109&gt;0,'Lab test'!AQ109,NA())</f>
        <v>1.6626670775048462</v>
      </c>
      <c r="E120">
        <f>IF('Lab test'!AU109&gt;0,'Lab test'!AU109,NA())</f>
        <v>5.7993904801096403E-2</v>
      </c>
      <c r="F120">
        <f>IF('Lab test'!AT109&gt;0,'Lab test'!AT109,NA())</f>
        <v>0.16032193507127626</v>
      </c>
      <c r="G120">
        <f t="shared" si="21"/>
        <v>1</v>
      </c>
      <c r="H120">
        <f t="shared" si="22"/>
        <v>1</v>
      </c>
      <c r="I120">
        <f t="shared" si="23"/>
        <v>1</v>
      </c>
      <c r="J120">
        <f t="shared" si="24"/>
        <v>1</v>
      </c>
      <c r="K120">
        <f t="shared" si="25"/>
        <v>1</v>
      </c>
      <c r="L120" t="str">
        <f>'Lab test'!AC109</f>
        <v>LTWb</v>
      </c>
      <c r="O120" t="e">
        <f t="shared" si="26"/>
        <v>#N/A</v>
      </c>
      <c r="P120">
        <f t="shared" si="27"/>
        <v>5.7993904801096403E-2</v>
      </c>
      <c r="Q120" t="e">
        <f t="shared" si="28"/>
        <v>#N/A</v>
      </c>
      <c r="R120" t="e">
        <f t="shared" si="29"/>
        <v>#N/A</v>
      </c>
      <c r="S120" t="e">
        <f t="shared" si="30"/>
        <v>#N/A</v>
      </c>
      <c r="T120" t="e">
        <f t="shared" si="31"/>
        <v>#N/A</v>
      </c>
      <c r="U120" t="e">
        <f t="shared" si="32"/>
        <v>#N/A</v>
      </c>
      <c r="W120" t="e">
        <f t="shared" si="33"/>
        <v>#N/A</v>
      </c>
      <c r="X120">
        <f t="shared" si="34"/>
        <v>0.16032193507127626</v>
      </c>
      <c r="Y120" t="e">
        <f t="shared" si="35"/>
        <v>#N/A</v>
      </c>
      <c r="Z120" t="e">
        <f t="shared" si="36"/>
        <v>#N/A</v>
      </c>
      <c r="AA120" t="e">
        <f t="shared" si="37"/>
        <v>#N/A</v>
      </c>
      <c r="AB120" t="e">
        <f t="shared" si="38"/>
        <v>#N/A</v>
      </c>
      <c r="AC120" t="e">
        <f t="shared" si="39"/>
        <v>#N/A</v>
      </c>
    </row>
    <row r="121" spans="2:29">
      <c r="B121">
        <v>107</v>
      </c>
      <c r="C121">
        <f>'Lab test'!Q110</f>
        <v>478.95622895622904</v>
      </c>
      <c r="D121">
        <f>IF('Lab test'!AQ110&gt;0,'Lab test'!AQ110,NA())</f>
        <v>1.1865711122003584</v>
      </c>
      <c r="E121">
        <f>IF('Lab test'!AU110&gt;0,'Lab test'!AU110,NA())</f>
        <v>0.20206531913178805</v>
      </c>
      <c r="F121">
        <f>IF('Lab test'!AT110&gt;0,'Lab test'!AT110,NA())</f>
        <v>0.28449806900749747</v>
      </c>
      <c r="G121">
        <f t="shared" si="21"/>
        <v>1</v>
      </c>
      <c r="H121">
        <f t="shared" si="22"/>
        <v>1</v>
      </c>
      <c r="I121">
        <f t="shared" si="23"/>
        <v>1</v>
      </c>
      <c r="J121">
        <f t="shared" si="24"/>
        <v>1</v>
      </c>
      <c r="K121">
        <f t="shared" si="25"/>
        <v>1</v>
      </c>
      <c r="L121" t="str">
        <f>'Lab test'!AC110</f>
        <v>LTWb</v>
      </c>
      <c r="O121" t="e">
        <f t="shared" si="26"/>
        <v>#N/A</v>
      </c>
      <c r="P121">
        <f t="shared" si="27"/>
        <v>0.20206531913178805</v>
      </c>
      <c r="Q121" t="e">
        <f t="shared" si="28"/>
        <v>#N/A</v>
      </c>
      <c r="R121" t="e">
        <f t="shared" si="29"/>
        <v>#N/A</v>
      </c>
      <c r="S121" t="e">
        <f t="shared" si="30"/>
        <v>#N/A</v>
      </c>
      <c r="T121" t="e">
        <f t="shared" si="31"/>
        <v>#N/A</v>
      </c>
      <c r="U121" t="e">
        <f t="shared" si="32"/>
        <v>#N/A</v>
      </c>
      <c r="W121" t="e">
        <f t="shared" si="33"/>
        <v>#N/A</v>
      </c>
      <c r="X121">
        <f t="shared" si="34"/>
        <v>0.28449806900749747</v>
      </c>
      <c r="Y121" t="e">
        <f t="shared" si="35"/>
        <v>#N/A</v>
      </c>
      <c r="Z121" t="e">
        <f t="shared" si="36"/>
        <v>#N/A</v>
      </c>
      <c r="AA121" t="e">
        <f t="shared" si="37"/>
        <v>#N/A</v>
      </c>
      <c r="AB121" t="e">
        <f t="shared" si="38"/>
        <v>#N/A</v>
      </c>
      <c r="AC121" t="e">
        <f t="shared" si="39"/>
        <v>#N/A</v>
      </c>
    </row>
    <row r="122" spans="2:29">
      <c r="B122">
        <v>108</v>
      </c>
      <c r="C122">
        <f>'Lab test'!Q111</f>
        <v>486.32478632478643</v>
      </c>
      <c r="D122">
        <f>IF('Lab test'!AQ111&gt;0,'Lab test'!AQ111,NA())</f>
        <v>1.1956637441145663</v>
      </c>
      <c r="E122">
        <f>IF('Lab test'!AU111&gt;0,'Lab test'!AU111,NA())</f>
        <v>0.28203180703949543</v>
      </c>
      <c r="F122">
        <f>IF('Lab test'!AT111&gt;0,'Lab test'!AT111,NA())</f>
        <v>0.40319599621383334</v>
      </c>
      <c r="G122">
        <f t="shared" si="21"/>
        <v>1</v>
      </c>
      <c r="H122">
        <f t="shared" si="22"/>
        <v>1</v>
      </c>
      <c r="I122">
        <f t="shared" si="23"/>
        <v>1</v>
      </c>
      <c r="J122">
        <f t="shared" si="24"/>
        <v>1</v>
      </c>
      <c r="K122">
        <f t="shared" si="25"/>
        <v>1</v>
      </c>
      <c r="L122" t="str">
        <f>'Lab test'!AC111</f>
        <v>LTWb</v>
      </c>
      <c r="O122" t="e">
        <f t="shared" si="26"/>
        <v>#N/A</v>
      </c>
      <c r="P122">
        <f t="shared" si="27"/>
        <v>0.28203180703949543</v>
      </c>
      <c r="Q122" t="e">
        <f t="shared" si="28"/>
        <v>#N/A</v>
      </c>
      <c r="R122" t="e">
        <f t="shared" si="29"/>
        <v>#N/A</v>
      </c>
      <c r="S122" t="e">
        <f t="shared" si="30"/>
        <v>#N/A</v>
      </c>
      <c r="T122" t="e">
        <f t="shared" si="31"/>
        <v>#N/A</v>
      </c>
      <c r="U122" t="e">
        <f t="shared" si="32"/>
        <v>#N/A</v>
      </c>
      <c r="W122" t="e">
        <f t="shared" si="33"/>
        <v>#N/A</v>
      </c>
      <c r="X122">
        <f t="shared" si="34"/>
        <v>0.40319599621383334</v>
      </c>
      <c r="Y122" t="e">
        <f t="shared" si="35"/>
        <v>#N/A</v>
      </c>
      <c r="Z122" t="e">
        <f t="shared" si="36"/>
        <v>#N/A</v>
      </c>
      <c r="AA122" t="e">
        <f t="shared" si="37"/>
        <v>#N/A</v>
      </c>
      <c r="AB122" t="e">
        <f t="shared" si="38"/>
        <v>#N/A</v>
      </c>
      <c r="AC122" t="e">
        <f t="shared" si="39"/>
        <v>#N/A</v>
      </c>
    </row>
    <row r="123" spans="2:29">
      <c r="B123">
        <v>109</v>
      </c>
      <c r="C123">
        <f>'Lab test'!Q112</f>
        <v>486.32478632478643</v>
      </c>
      <c r="D123">
        <f>IF('Lab test'!AQ112&gt;0,'Lab test'!AQ112,NA())</f>
        <v>1.1956637441145663</v>
      </c>
      <c r="E123">
        <f>IF('Lab test'!AU112&gt;0,'Lab test'!AU112,NA())</f>
        <v>0.26883733653472369</v>
      </c>
      <c r="F123">
        <f>IF('Lab test'!AT112&gt;0,'Lab test'!AT112,NA())</f>
        <v>0.38433302563073002</v>
      </c>
      <c r="G123">
        <f t="shared" si="21"/>
        <v>1</v>
      </c>
      <c r="H123">
        <f t="shared" si="22"/>
        <v>1</v>
      </c>
      <c r="I123">
        <f t="shared" si="23"/>
        <v>1</v>
      </c>
      <c r="J123">
        <f t="shared" si="24"/>
        <v>1</v>
      </c>
      <c r="K123">
        <f t="shared" si="25"/>
        <v>1</v>
      </c>
      <c r="L123" t="str">
        <f>'Lab test'!AC112</f>
        <v>LTWb</v>
      </c>
      <c r="O123" t="e">
        <f t="shared" si="26"/>
        <v>#N/A</v>
      </c>
      <c r="P123">
        <f t="shared" si="27"/>
        <v>0.26883733653472369</v>
      </c>
      <c r="Q123" t="e">
        <f t="shared" si="28"/>
        <v>#N/A</v>
      </c>
      <c r="R123" t="e">
        <f t="shared" si="29"/>
        <v>#N/A</v>
      </c>
      <c r="S123" t="e">
        <f t="shared" si="30"/>
        <v>#N/A</v>
      </c>
      <c r="T123" t="e">
        <f t="shared" si="31"/>
        <v>#N/A</v>
      </c>
      <c r="U123" t="e">
        <f t="shared" si="32"/>
        <v>#N/A</v>
      </c>
      <c r="W123" t="e">
        <f t="shared" si="33"/>
        <v>#N/A</v>
      </c>
      <c r="X123">
        <f t="shared" si="34"/>
        <v>0.38433302563073002</v>
      </c>
      <c r="Y123" t="e">
        <f t="shared" si="35"/>
        <v>#N/A</v>
      </c>
      <c r="Z123" t="e">
        <f t="shared" si="36"/>
        <v>#N/A</v>
      </c>
      <c r="AA123" t="e">
        <f t="shared" si="37"/>
        <v>#N/A</v>
      </c>
      <c r="AB123" t="e">
        <f t="shared" si="38"/>
        <v>#N/A</v>
      </c>
      <c r="AC123" t="e">
        <f t="shared" si="39"/>
        <v>#N/A</v>
      </c>
    </row>
    <row r="124" spans="2:29">
      <c r="B124">
        <v>110</v>
      </c>
      <c r="C124">
        <f>'Lab test'!Q113</f>
        <v>313.54515050167225</v>
      </c>
      <c r="D124">
        <f>IF('Lab test'!AQ113&gt;0,'Lab test'!AQ113,NA())</f>
        <v>0.96005453211704062</v>
      </c>
      <c r="E124">
        <f>IF('Lab test'!AU113&gt;0,'Lab test'!AU113,NA())</f>
        <v>0.26782738586847804</v>
      </c>
      <c r="F124">
        <f>IF('Lab test'!AT113&gt;0,'Lab test'!AT113,NA())</f>
        <v>0.24685776158599904</v>
      </c>
      <c r="G124">
        <f t="shared" si="21"/>
        <v>1</v>
      </c>
      <c r="H124">
        <f t="shared" si="22"/>
        <v>1</v>
      </c>
      <c r="I124">
        <f t="shared" si="23"/>
        <v>1</v>
      </c>
      <c r="J124">
        <f t="shared" si="24"/>
        <v>1</v>
      </c>
      <c r="K124">
        <f t="shared" si="25"/>
        <v>1</v>
      </c>
      <c r="L124" t="str">
        <f>'Lab test'!AC113</f>
        <v>LTWb</v>
      </c>
      <c r="O124" t="e">
        <f t="shared" si="26"/>
        <v>#N/A</v>
      </c>
      <c r="P124">
        <f t="shared" si="27"/>
        <v>0.26782738586847804</v>
      </c>
      <c r="Q124" t="e">
        <f t="shared" si="28"/>
        <v>#N/A</v>
      </c>
      <c r="R124" t="e">
        <f t="shared" si="29"/>
        <v>#N/A</v>
      </c>
      <c r="S124" t="e">
        <f t="shared" si="30"/>
        <v>#N/A</v>
      </c>
      <c r="T124" t="e">
        <f t="shared" si="31"/>
        <v>#N/A</v>
      </c>
      <c r="U124" t="e">
        <f t="shared" si="32"/>
        <v>#N/A</v>
      </c>
      <c r="W124" t="e">
        <f t="shared" si="33"/>
        <v>#N/A</v>
      </c>
      <c r="X124">
        <f t="shared" si="34"/>
        <v>0.24685776158599904</v>
      </c>
      <c r="Y124" t="e">
        <f t="shared" si="35"/>
        <v>#N/A</v>
      </c>
      <c r="Z124" t="e">
        <f t="shared" si="36"/>
        <v>#N/A</v>
      </c>
      <c r="AA124" t="e">
        <f t="shared" si="37"/>
        <v>#N/A</v>
      </c>
      <c r="AB124" t="e">
        <f t="shared" si="38"/>
        <v>#N/A</v>
      </c>
      <c r="AC124" t="e">
        <f t="shared" si="39"/>
        <v>#N/A</v>
      </c>
    </row>
    <row r="125" spans="2:29">
      <c r="B125">
        <v>111</v>
      </c>
      <c r="C125">
        <f>'Lab test'!Q114</f>
        <v>160.56218057921635</v>
      </c>
      <c r="D125">
        <f>IF('Lab test'!AQ114&gt;0,'Lab test'!AQ114,NA())</f>
        <v>0.68701700513324093</v>
      </c>
      <c r="E125">
        <f>IF('Lab test'!AU114&gt;0,'Lab test'!AU114,NA())</f>
        <v>0.79683095538849746</v>
      </c>
      <c r="F125">
        <f>IF('Lab test'!AT114&gt;0,'Lab test'!AT114,NA())</f>
        <v>0.37609812741173981</v>
      </c>
      <c r="G125">
        <f t="shared" si="21"/>
        <v>1</v>
      </c>
      <c r="H125">
        <f t="shared" si="22"/>
        <v>1</v>
      </c>
      <c r="I125">
        <f t="shared" si="23"/>
        <v>1</v>
      </c>
      <c r="J125">
        <f t="shared" si="24"/>
        <v>1</v>
      </c>
      <c r="K125">
        <f t="shared" si="25"/>
        <v>1</v>
      </c>
      <c r="L125" t="str">
        <f>'Lab test'!AC114</f>
        <v>LTWb</v>
      </c>
      <c r="O125" t="e">
        <f t="shared" si="26"/>
        <v>#N/A</v>
      </c>
      <c r="P125">
        <f t="shared" si="27"/>
        <v>0.79683095538849746</v>
      </c>
      <c r="Q125" t="e">
        <f t="shared" si="28"/>
        <v>#N/A</v>
      </c>
      <c r="R125" t="e">
        <f t="shared" si="29"/>
        <v>#N/A</v>
      </c>
      <c r="S125" t="e">
        <f t="shared" si="30"/>
        <v>#N/A</v>
      </c>
      <c r="T125" t="e">
        <f t="shared" si="31"/>
        <v>#N/A</v>
      </c>
      <c r="U125" t="e">
        <f t="shared" si="32"/>
        <v>#N/A</v>
      </c>
      <c r="W125" t="e">
        <f t="shared" si="33"/>
        <v>#N/A</v>
      </c>
      <c r="X125">
        <f t="shared" si="34"/>
        <v>0.37609812741173981</v>
      </c>
      <c r="Y125" t="e">
        <f t="shared" si="35"/>
        <v>#N/A</v>
      </c>
      <c r="Z125" t="e">
        <f t="shared" si="36"/>
        <v>#N/A</v>
      </c>
      <c r="AA125" t="e">
        <f t="shared" si="37"/>
        <v>#N/A</v>
      </c>
      <c r="AB125" t="e">
        <f t="shared" si="38"/>
        <v>#N/A</v>
      </c>
      <c r="AC125" t="e">
        <f t="shared" si="39"/>
        <v>#N/A</v>
      </c>
    </row>
    <row r="126" spans="2:29">
      <c r="B126">
        <v>112</v>
      </c>
      <c r="C126">
        <f>'Lab test'!Q115</f>
        <v>1468.9119170984457</v>
      </c>
      <c r="D126">
        <f>IF('Lab test'!AQ115&gt;0,'Lab test'!AQ115,NA())</f>
        <v>2.1173259057998375</v>
      </c>
      <c r="E126">
        <f>IF('Lab test'!AU115&gt;0,'Lab test'!AU115,NA())</f>
        <v>5.01683415185235E-2</v>
      </c>
      <c r="F126">
        <f>IF('Lab test'!AT115&gt;0,'Lab test'!AT115,NA())</f>
        <v>0.22490813621020811</v>
      </c>
      <c r="G126">
        <f t="shared" si="21"/>
        <v>1</v>
      </c>
      <c r="H126">
        <f t="shared" si="22"/>
        <v>1</v>
      </c>
      <c r="I126">
        <f t="shared" si="23"/>
        <v>1</v>
      </c>
      <c r="J126">
        <f t="shared" si="24"/>
        <v>1</v>
      </c>
      <c r="K126">
        <f t="shared" si="25"/>
        <v>1</v>
      </c>
      <c r="L126" t="str">
        <f>'Lab test'!AC115</f>
        <v>LTWb</v>
      </c>
      <c r="O126" t="e">
        <f t="shared" si="26"/>
        <v>#N/A</v>
      </c>
      <c r="P126">
        <f t="shared" si="27"/>
        <v>5.01683415185235E-2</v>
      </c>
      <c r="Q126" t="e">
        <f t="shared" si="28"/>
        <v>#N/A</v>
      </c>
      <c r="R126" t="e">
        <f t="shared" si="29"/>
        <v>#N/A</v>
      </c>
      <c r="S126" t="e">
        <f t="shared" si="30"/>
        <v>#N/A</v>
      </c>
      <c r="T126" t="e">
        <f t="shared" si="31"/>
        <v>#N/A</v>
      </c>
      <c r="U126" t="e">
        <f t="shared" si="32"/>
        <v>#N/A</v>
      </c>
      <c r="W126" t="e">
        <f t="shared" si="33"/>
        <v>#N/A</v>
      </c>
      <c r="X126">
        <f t="shared" si="34"/>
        <v>0.22490813621020811</v>
      </c>
      <c r="Y126" t="e">
        <f t="shared" si="35"/>
        <v>#N/A</v>
      </c>
      <c r="Z126" t="e">
        <f t="shared" si="36"/>
        <v>#N/A</v>
      </c>
      <c r="AA126" t="e">
        <f t="shared" si="37"/>
        <v>#N/A</v>
      </c>
      <c r="AB126" t="e">
        <f t="shared" si="38"/>
        <v>#N/A</v>
      </c>
      <c r="AC126" t="e">
        <f t="shared" si="39"/>
        <v>#N/A</v>
      </c>
    </row>
    <row r="127" spans="2:29">
      <c r="B127">
        <v>113</v>
      </c>
      <c r="C127">
        <f>'Lab test'!Q116</f>
        <v>905.79710144927549</v>
      </c>
      <c r="D127">
        <f>IF('Lab test'!AQ116&gt;0,'Lab test'!AQ116,NA())</f>
        <v>1.6626670775048462</v>
      </c>
      <c r="E127">
        <f>IF('Lab test'!AU116&gt;0,'Lab test'!AU116,NA())</f>
        <v>7.2138759630632113E-2</v>
      </c>
      <c r="F127">
        <f>IF('Lab test'!AT116&gt;0,'Lab test'!AT116,NA())</f>
        <v>0.19942484606427047</v>
      </c>
      <c r="G127">
        <f t="shared" si="21"/>
        <v>1</v>
      </c>
      <c r="H127">
        <f t="shared" si="22"/>
        <v>1</v>
      </c>
      <c r="I127">
        <f t="shared" si="23"/>
        <v>1</v>
      </c>
      <c r="J127">
        <f t="shared" si="24"/>
        <v>1</v>
      </c>
      <c r="K127">
        <f t="shared" si="25"/>
        <v>1</v>
      </c>
      <c r="L127" t="str">
        <f>'Lab test'!AC116</f>
        <v>LTWb</v>
      </c>
      <c r="O127" t="e">
        <f t="shared" si="26"/>
        <v>#N/A</v>
      </c>
      <c r="P127">
        <f t="shared" si="27"/>
        <v>7.2138759630632113E-2</v>
      </c>
      <c r="Q127" t="e">
        <f t="shared" si="28"/>
        <v>#N/A</v>
      </c>
      <c r="R127" t="e">
        <f t="shared" si="29"/>
        <v>#N/A</v>
      </c>
      <c r="S127" t="e">
        <f t="shared" si="30"/>
        <v>#N/A</v>
      </c>
      <c r="T127" t="e">
        <f t="shared" si="31"/>
        <v>#N/A</v>
      </c>
      <c r="U127" t="e">
        <f t="shared" si="32"/>
        <v>#N/A</v>
      </c>
      <c r="W127" t="e">
        <f t="shared" si="33"/>
        <v>#N/A</v>
      </c>
      <c r="X127">
        <f t="shared" si="34"/>
        <v>0.19942484606427047</v>
      </c>
      <c r="Y127" t="e">
        <f t="shared" si="35"/>
        <v>#N/A</v>
      </c>
      <c r="Z127" t="e">
        <f t="shared" si="36"/>
        <v>#N/A</v>
      </c>
      <c r="AA127" t="e">
        <f t="shared" si="37"/>
        <v>#N/A</v>
      </c>
      <c r="AB127" t="e">
        <f t="shared" si="38"/>
        <v>#N/A</v>
      </c>
      <c r="AC127" t="e">
        <f t="shared" si="39"/>
        <v>#N/A</v>
      </c>
    </row>
    <row r="128" spans="2:29">
      <c r="B128">
        <v>114</v>
      </c>
      <c r="C128">
        <f>'Lab test'!Q117</f>
        <v>478.88513513513516</v>
      </c>
      <c r="D128">
        <f>IF('Lab test'!AQ117&gt;0,'Lab test'!AQ117,NA())</f>
        <v>1.1864830446485537</v>
      </c>
      <c r="E128">
        <f>IF('Lab test'!AU117&gt;0,'Lab test'!AU117,NA())</f>
        <v>0.20019202117574061</v>
      </c>
      <c r="F128">
        <f>IF('Lab test'!AT117&gt;0,'Lab test'!AT117,NA())</f>
        <v>0.281818719324606</v>
      </c>
      <c r="G128">
        <f t="shared" si="21"/>
        <v>1</v>
      </c>
      <c r="H128">
        <f t="shared" si="22"/>
        <v>1</v>
      </c>
      <c r="I128">
        <f t="shared" si="23"/>
        <v>1</v>
      </c>
      <c r="J128">
        <f t="shared" si="24"/>
        <v>1</v>
      </c>
      <c r="K128">
        <f t="shared" si="25"/>
        <v>1</v>
      </c>
      <c r="L128" t="str">
        <f>'Lab test'!AC117</f>
        <v>LTWb</v>
      </c>
      <c r="O128" t="e">
        <f t="shared" si="26"/>
        <v>#N/A</v>
      </c>
      <c r="P128">
        <f t="shared" si="27"/>
        <v>0.20019202117574061</v>
      </c>
      <c r="Q128" t="e">
        <f t="shared" si="28"/>
        <v>#N/A</v>
      </c>
      <c r="R128" t="e">
        <f t="shared" si="29"/>
        <v>#N/A</v>
      </c>
      <c r="S128" t="e">
        <f t="shared" si="30"/>
        <v>#N/A</v>
      </c>
      <c r="T128" t="e">
        <f t="shared" si="31"/>
        <v>#N/A</v>
      </c>
      <c r="U128" t="e">
        <f t="shared" si="32"/>
        <v>#N/A</v>
      </c>
      <c r="W128" t="e">
        <f t="shared" si="33"/>
        <v>#N/A</v>
      </c>
      <c r="X128">
        <f t="shared" si="34"/>
        <v>0.281818719324606</v>
      </c>
      <c r="Y128" t="e">
        <f t="shared" si="35"/>
        <v>#N/A</v>
      </c>
      <c r="Z128" t="e">
        <f t="shared" si="36"/>
        <v>#N/A</v>
      </c>
      <c r="AA128" t="e">
        <f t="shared" si="37"/>
        <v>#N/A</v>
      </c>
      <c r="AB128" t="e">
        <f t="shared" si="38"/>
        <v>#N/A</v>
      </c>
      <c r="AC128" t="e">
        <f t="shared" si="39"/>
        <v>#N/A</v>
      </c>
    </row>
    <row r="129" spans="2:29">
      <c r="B129">
        <v>115</v>
      </c>
      <c r="C129">
        <f>'Lab test'!Q118</f>
        <v>317.25888324873097</v>
      </c>
      <c r="D129">
        <f>IF('Lab test'!AQ118&gt;0,'Lab test'!AQ118,NA())</f>
        <v>0.96572339768462767</v>
      </c>
      <c r="E129">
        <f>IF('Lab test'!AU118&gt;0,'Lab test'!AU118,NA())</f>
        <v>0.3032025024069207</v>
      </c>
      <c r="F129">
        <f>IF('Lab test'!AT118&gt;0,'Lab test'!AT118,NA())</f>
        <v>0.28277322742828476</v>
      </c>
      <c r="G129">
        <f t="shared" si="21"/>
        <v>1</v>
      </c>
      <c r="H129">
        <f t="shared" si="22"/>
        <v>1</v>
      </c>
      <c r="I129">
        <f t="shared" si="23"/>
        <v>1</v>
      </c>
      <c r="J129">
        <f t="shared" si="24"/>
        <v>1</v>
      </c>
      <c r="K129">
        <f t="shared" si="25"/>
        <v>1</v>
      </c>
      <c r="L129" t="str">
        <f>'Lab test'!AC118</f>
        <v>LTWb</v>
      </c>
      <c r="O129" t="e">
        <f t="shared" si="26"/>
        <v>#N/A</v>
      </c>
      <c r="P129">
        <f t="shared" si="27"/>
        <v>0.3032025024069207</v>
      </c>
      <c r="Q129" t="e">
        <f t="shared" si="28"/>
        <v>#N/A</v>
      </c>
      <c r="R129" t="e">
        <f t="shared" si="29"/>
        <v>#N/A</v>
      </c>
      <c r="S129" t="e">
        <f t="shared" si="30"/>
        <v>#N/A</v>
      </c>
      <c r="T129" t="e">
        <f t="shared" si="31"/>
        <v>#N/A</v>
      </c>
      <c r="U129" t="e">
        <f t="shared" si="32"/>
        <v>#N/A</v>
      </c>
      <c r="W129" t="e">
        <f t="shared" si="33"/>
        <v>#N/A</v>
      </c>
      <c r="X129">
        <f t="shared" si="34"/>
        <v>0.28277322742828476</v>
      </c>
      <c r="Y129" t="e">
        <f t="shared" si="35"/>
        <v>#N/A</v>
      </c>
      <c r="Z129" t="e">
        <f t="shared" si="36"/>
        <v>#N/A</v>
      </c>
      <c r="AA129" t="e">
        <f t="shared" si="37"/>
        <v>#N/A</v>
      </c>
      <c r="AB129" t="e">
        <f t="shared" si="38"/>
        <v>#N/A</v>
      </c>
      <c r="AC129" t="e">
        <f t="shared" si="39"/>
        <v>#N/A</v>
      </c>
    </row>
    <row r="130" spans="2:29">
      <c r="B130">
        <v>116</v>
      </c>
      <c r="C130">
        <f>'Lab test'!Q119</f>
        <v>157.87269681742043</v>
      </c>
      <c r="D130">
        <f>IF('Lab test'!AQ119&gt;0,'Lab test'!AQ119,NA())</f>
        <v>0.68123879482235938</v>
      </c>
      <c r="E130">
        <f>IF('Lab test'!AU119&gt;0,'Lab test'!AU119,NA())</f>
        <v>0.82739001284851976</v>
      </c>
      <c r="F130">
        <f>IF('Lab test'!AT119&gt;0,'Lab test'!AT119,NA())</f>
        <v>0.3839803660553287</v>
      </c>
      <c r="G130">
        <f t="shared" si="21"/>
        <v>1</v>
      </c>
      <c r="H130">
        <f t="shared" si="22"/>
        <v>1</v>
      </c>
      <c r="I130">
        <f t="shared" si="23"/>
        <v>1</v>
      </c>
      <c r="J130">
        <f t="shared" si="24"/>
        <v>1</v>
      </c>
      <c r="K130">
        <f t="shared" si="25"/>
        <v>1</v>
      </c>
      <c r="L130" t="str">
        <f>'Lab test'!AC119</f>
        <v>LTWb</v>
      </c>
      <c r="O130" t="e">
        <f t="shared" si="26"/>
        <v>#N/A</v>
      </c>
      <c r="P130">
        <f t="shared" si="27"/>
        <v>0.82739001284851976</v>
      </c>
      <c r="Q130" t="e">
        <f t="shared" si="28"/>
        <v>#N/A</v>
      </c>
      <c r="R130" t="e">
        <f t="shared" si="29"/>
        <v>#N/A</v>
      </c>
      <c r="S130" t="e">
        <f t="shared" si="30"/>
        <v>#N/A</v>
      </c>
      <c r="T130" t="e">
        <f t="shared" si="31"/>
        <v>#N/A</v>
      </c>
      <c r="U130" t="e">
        <f t="shared" si="32"/>
        <v>#N/A</v>
      </c>
      <c r="W130" t="e">
        <f t="shared" si="33"/>
        <v>#N/A</v>
      </c>
      <c r="X130">
        <f t="shared" si="34"/>
        <v>0.3839803660553287</v>
      </c>
      <c r="Y130" t="e">
        <f t="shared" si="35"/>
        <v>#N/A</v>
      </c>
      <c r="Z130" t="e">
        <f t="shared" si="36"/>
        <v>#N/A</v>
      </c>
      <c r="AA130" t="e">
        <f t="shared" si="37"/>
        <v>#N/A</v>
      </c>
      <c r="AB130" t="e">
        <f t="shared" si="38"/>
        <v>#N/A</v>
      </c>
      <c r="AC130" t="e">
        <f t="shared" si="39"/>
        <v>#N/A</v>
      </c>
    </row>
    <row r="131" spans="2:29">
      <c r="B131">
        <v>117</v>
      </c>
      <c r="C131">
        <f>'Lab test'!Q120</f>
        <v>635.59322033898309</v>
      </c>
      <c r="D131">
        <f>IF('Lab test'!AQ120&gt;0,'Lab test'!AQ120,NA())</f>
        <v>1.3927701890768724</v>
      </c>
      <c r="E131">
        <f>IF('Lab test'!AU120&gt;0,'Lab test'!AU120,NA())</f>
        <v>0.12406715888618183</v>
      </c>
      <c r="F131">
        <f>IF('Lab test'!AT120&gt;0,'Lab test'!AT120,NA())</f>
        <v>0.24066656654645777</v>
      </c>
      <c r="G131">
        <f t="shared" si="21"/>
        <v>1</v>
      </c>
      <c r="H131">
        <f t="shared" si="22"/>
        <v>1</v>
      </c>
      <c r="I131">
        <f t="shared" si="23"/>
        <v>1</v>
      </c>
      <c r="J131">
        <f t="shared" si="24"/>
        <v>1</v>
      </c>
      <c r="K131">
        <f t="shared" si="25"/>
        <v>1</v>
      </c>
      <c r="L131" t="str">
        <f>'Lab test'!AC120</f>
        <v>Miscellaneous</v>
      </c>
      <c r="O131" t="e">
        <f t="shared" si="26"/>
        <v>#N/A</v>
      </c>
      <c r="P131" t="e">
        <f t="shared" si="27"/>
        <v>#N/A</v>
      </c>
      <c r="Q131" t="e">
        <f t="shared" si="28"/>
        <v>#N/A</v>
      </c>
      <c r="R131" t="e">
        <f t="shared" si="29"/>
        <v>#N/A</v>
      </c>
      <c r="S131" t="e">
        <f t="shared" si="30"/>
        <v>#N/A</v>
      </c>
      <c r="T131" t="e">
        <f t="shared" si="31"/>
        <v>#N/A</v>
      </c>
      <c r="U131">
        <f t="shared" si="32"/>
        <v>0.12406715888618183</v>
      </c>
      <c r="W131" t="e">
        <f t="shared" si="33"/>
        <v>#N/A</v>
      </c>
      <c r="X131" t="e">
        <f t="shared" si="34"/>
        <v>#N/A</v>
      </c>
      <c r="Y131" t="e">
        <f t="shared" si="35"/>
        <v>#N/A</v>
      </c>
      <c r="Z131" t="e">
        <f t="shared" si="36"/>
        <v>#N/A</v>
      </c>
      <c r="AA131" t="e">
        <f t="shared" si="37"/>
        <v>#N/A</v>
      </c>
      <c r="AB131" t="e">
        <f t="shared" si="38"/>
        <v>#N/A</v>
      </c>
      <c r="AC131">
        <f t="shared" si="39"/>
        <v>0.24066656654645777</v>
      </c>
    </row>
    <row r="132" spans="2:29">
      <c r="B132">
        <v>118</v>
      </c>
      <c r="C132">
        <f>'Lab test'!Q121</f>
        <v>635.59322033898309</v>
      </c>
      <c r="D132">
        <f>IF('Lab test'!AQ121&gt;0,'Lab test'!AQ121,NA())</f>
        <v>1.3927701890768724</v>
      </c>
      <c r="E132">
        <f>IF('Lab test'!AU121&gt;0,'Lab test'!AU121,NA())</f>
        <v>0.12108954707291349</v>
      </c>
      <c r="F132">
        <f>IF('Lab test'!AT121&gt;0,'Lab test'!AT121,NA())</f>
        <v>0.23489056894934279</v>
      </c>
      <c r="G132">
        <f t="shared" si="21"/>
        <v>1</v>
      </c>
      <c r="H132">
        <f t="shared" si="22"/>
        <v>1</v>
      </c>
      <c r="I132">
        <f t="shared" si="23"/>
        <v>1</v>
      </c>
      <c r="J132">
        <f t="shared" si="24"/>
        <v>1</v>
      </c>
      <c r="K132">
        <f t="shared" si="25"/>
        <v>1</v>
      </c>
      <c r="L132" t="str">
        <f>'Lab test'!AC121</f>
        <v>Miscellaneous</v>
      </c>
      <c r="O132" t="e">
        <f t="shared" si="26"/>
        <v>#N/A</v>
      </c>
      <c r="P132" t="e">
        <f t="shared" si="27"/>
        <v>#N/A</v>
      </c>
      <c r="Q132" t="e">
        <f t="shared" si="28"/>
        <v>#N/A</v>
      </c>
      <c r="R132" t="e">
        <f t="shared" si="29"/>
        <v>#N/A</v>
      </c>
      <c r="S132" t="e">
        <f t="shared" si="30"/>
        <v>#N/A</v>
      </c>
      <c r="T132" t="e">
        <f t="shared" si="31"/>
        <v>#N/A</v>
      </c>
      <c r="U132">
        <f t="shared" si="32"/>
        <v>0.12108954707291349</v>
      </c>
      <c r="W132" t="e">
        <f t="shared" si="33"/>
        <v>#N/A</v>
      </c>
      <c r="X132" t="e">
        <f t="shared" si="34"/>
        <v>#N/A</v>
      </c>
      <c r="Y132" t="e">
        <f t="shared" si="35"/>
        <v>#N/A</v>
      </c>
      <c r="Z132" t="e">
        <f t="shared" si="36"/>
        <v>#N/A</v>
      </c>
      <c r="AA132" t="e">
        <f t="shared" si="37"/>
        <v>#N/A</v>
      </c>
      <c r="AB132" t="e">
        <f t="shared" si="38"/>
        <v>#N/A</v>
      </c>
      <c r="AC132">
        <f t="shared" si="39"/>
        <v>0.23489056894934279</v>
      </c>
    </row>
    <row r="133" spans="2:29">
      <c r="B133">
        <v>119</v>
      </c>
      <c r="C133">
        <f>'Lab test'!Q122</f>
        <v>635.59322033898309</v>
      </c>
      <c r="D133">
        <f>IF('Lab test'!AQ122&gt;0,'Lab test'!AQ122,NA())</f>
        <v>1.3927701890768724</v>
      </c>
      <c r="E133">
        <f>IF('Lab test'!AU122&gt;0,'Lab test'!AU122,NA())</f>
        <v>0.15582835156104441</v>
      </c>
      <c r="F133">
        <f>IF('Lab test'!AT122&gt;0,'Lab test'!AT122,NA())</f>
        <v>0.30227720758235099</v>
      </c>
      <c r="G133">
        <f t="shared" si="21"/>
        <v>1</v>
      </c>
      <c r="H133">
        <f t="shared" si="22"/>
        <v>1</v>
      </c>
      <c r="I133">
        <f t="shared" si="23"/>
        <v>1</v>
      </c>
      <c r="J133">
        <f t="shared" si="24"/>
        <v>1</v>
      </c>
      <c r="K133">
        <f t="shared" si="25"/>
        <v>1</v>
      </c>
      <c r="L133" t="str">
        <f>'Lab test'!AC122</f>
        <v>Miscellaneous</v>
      </c>
      <c r="O133" t="e">
        <f t="shared" si="26"/>
        <v>#N/A</v>
      </c>
      <c r="P133" t="e">
        <f t="shared" si="27"/>
        <v>#N/A</v>
      </c>
      <c r="Q133" t="e">
        <f t="shared" si="28"/>
        <v>#N/A</v>
      </c>
      <c r="R133" t="e">
        <f t="shared" si="29"/>
        <v>#N/A</v>
      </c>
      <c r="S133" t="e">
        <f t="shared" si="30"/>
        <v>#N/A</v>
      </c>
      <c r="T133" t="e">
        <f t="shared" si="31"/>
        <v>#N/A</v>
      </c>
      <c r="U133">
        <f t="shared" si="32"/>
        <v>0.15582835156104441</v>
      </c>
      <c r="W133" t="e">
        <f t="shared" si="33"/>
        <v>#N/A</v>
      </c>
      <c r="X133" t="e">
        <f t="shared" si="34"/>
        <v>#N/A</v>
      </c>
      <c r="Y133" t="e">
        <f t="shared" si="35"/>
        <v>#N/A</v>
      </c>
      <c r="Z133" t="e">
        <f t="shared" si="36"/>
        <v>#N/A</v>
      </c>
      <c r="AA133" t="e">
        <f t="shared" si="37"/>
        <v>#N/A</v>
      </c>
      <c r="AB133" t="e">
        <f t="shared" si="38"/>
        <v>#N/A</v>
      </c>
      <c r="AC133">
        <f t="shared" si="39"/>
        <v>0.30227720758235099</v>
      </c>
    </row>
    <row r="134" spans="2:29">
      <c r="B134">
        <v>120</v>
      </c>
      <c r="C134">
        <f>'Lab test'!Q123</f>
        <v>635.59322033898309</v>
      </c>
      <c r="D134">
        <f>IF('Lab test'!AQ123&gt;0,'Lab test'!AQ123,NA())</f>
        <v>1.3927701890768724</v>
      </c>
      <c r="E134">
        <f>IF('Lab test'!AU123&gt;0,'Lab test'!AU123,NA())</f>
        <v>0.14094029249470261</v>
      </c>
      <c r="F134">
        <f>IF('Lab test'!AT123&gt;0,'Lab test'!AT123,NA())</f>
        <v>0.27339721959677615</v>
      </c>
      <c r="G134">
        <f t="shared" si="21"/>
        <v>1</v>
      </c>
      <c r="H134">
        <f t="shared" si="22"/>
        <v>1</v>
      </c>
      <c r="I134">
        <f t="shared" si="23"/>
        <v>1</v>
      </c>
      <c r="J134">
        <f t="shared" si="24"/>
        <v>1</v>
      </c>
      <c r="K134">
        <f t="shared" si="25"/>
        <v>1</v>
      </c>
      <c r="L134" t="str">
        <f>'Lab test'!AC123</f>
        <v>Miscellaneous</v>
      </c>
      <c r="O134" t="e">
        <f t="shared" si="26"/>
        <v>#N/A</v>
      </c>
      <c r="P134" t="e">
        <f t="shared" si="27"/>
        <v>#N/A</v>
      </c>
      <c r="Q134" t="e">
        <f t="shared" si="28"/>
        <v>#N/A</v>
      </c>
      <c r="R134" t="e">
        <f t="shared" si="29"/>
        <v>#N/A</v>
      </c>
      <c r="S134" t="e">
        <f t="shared" si="30"/>
        <v>#N/A</v>
      </c>
      <c r="T134" t="e">
        <f t="shared" si="31"/>
        <v>#N/A</v>
      </c>
      <c r="U134">
        <f t="shared" si="32"/>
        <v>0.14094029249470261</v>
      </c>
      <c r="W134" t="e">
        <f t="shared" si="33"/>
        <v>#N/A</v>
      </c>
      <c r="X134" t="e">
        <f t="shared" si="34"/>
        <v>#N/A</v>
      </c>
      <c r="Y134" t="e">
        <f t="shared" si="35"/>
        <v>#N/A</v>
      </c>
      <c r="Z134" t="e">
        <f t="shared" si="36"/>
        <v>#N/A</v>
      </c>
      <c r="AA134" t="e">
        <f t="shared" si="37"/>
        <v>#N/A</v>
      </c>
      <c r="AB134" t="e">
        <f t="shared" si="38"/>
        <v>#N/A</v>
      </c>
      <c r="AC134">
        <f t="shared" si="39"/>
        <v>0.27339721959677615</v>
      </c>
    </row>
    <row r="135" spans="2:29">
      <c r="B135">
        <v>121</v>
      </c>
      <c r="C135">
        <f>'Lab test'!Q124</f>
        <v>635.59322033898309</v>
      </c>
      <c r="D135">
        <f>IF('Lab test'!AQ124&gt;0,'Lab test'!AQ124,NA())</f>
        <v>1.3927701890768724</v>
      </c>
      <c r="E135">
        <f>IF('Lab test'!AU124&gt;0,'Lab test'!AU124,NA())</f>
        <v>0.17865670879610185</v>
      </c>
      <c r="F135">
        <f>IF('Lab test'!AT124&gt;0,'Lab test'!AT124,NA())</f>
        <v>0.34655985582689924</v>
      </c>
      <c r="G135">
        <f t="shared" si="21"/>
        <v>1</v>
      </c>
      <c r="H135">
        <f t="shared" si="22"/>
        <v>1</v>
      </c>
      <c r="I135">
        <f t="shared" si="23"/>
        <v>1</v>
      </c>
      <c r="J135">
        <f t="shared" si="24"/>
        <v>1</v>
      </c>
      <c r="K135">
        <f t="shared" si="25"/>
        <v>1</v>
      </c>
      <c r="L135" t="str">
        <f>'Lab test'!AC124</f>
        <v>Miscellaneous</v>
      </c>
      <c r="O135" t="e">
        <f t="shared" si="26"/>
        <v>#N/A</v>
      </c>
      <c r="P135" t="e">
        <f t="shared" si="27"/>
        <v>#N/A</v>
      </c>
      <c r="Q135" t="e">
        <f t="shared" si="28"/>
        <v>#N/A</v>
      </c>
      <c r="R135" t="e">
        <f t="shared" si="29"/>
        <v>#N/A</v>
      </c>
      <c r="S135" t="e">
        <f t="shared" si="30"/>
        <v>#N/A</v>
      </c>
      <c r="T135" t="e">
        <f t="shared" si="31"/>
        <v>#N/A</v>
      </c>
      <c r="U135">
        <f t="shared" si="32"/>
        <v>0.17865670879610185</v>
      </c>
      <c r="W135" t="e">
        <f t="shared" si="33"/>
        <v>#N/A</v>
      </c>
      <c r="X135" t="e">
        <f t="shared" si="34"/>
        <v>#N/A</v>
      </c>
      <c r="Y135" t="e">
        <f t="shared" si="35"/>
        <v>#N/A</v>
      </c>
      <c r="Z135" t="e">
        <f t="shared" si="36"/>
        <v>#N/A</v>
      </c>
      <c r="AA135" t="e">
        <f t="shared" si="37"/>
        <v>#N/A</v>
      </c>
      <c r="AB135" t="e">
        <f t="shared" si="38"/>
        <v>#N/A</v>
      </c>
      <c r="AC135">
        <f t="shared" si="39"/>
        <v>0.34655985582689924</v>
      </c>
    </row>
    <row r="136" spans="2:29">
      <c r="B136">
        <v>122</v>
      </c>
      <c r="C136">
        <f>'Lab test'!Q125</f>
        <v>635.59322033898309</v>
      </c>
      <c r="D136">
        <f>IF('Lab test'!AQ125&gt;0,'Lab test'!AQ125,NA())</f>
        <v>1.3927701890768724</v>
      </c>
      <c r="E136">
        <f>IF('Lab test'!AU125&gt;0,'Lab test'!AU125,NA())</f>
        <v>0.15086566520559713</v>
      </c>
      <c r="F136">
        <f>IF('Lab test'!AT125&gt;0,'Lab test'!AT125,NA())</f>
        <v>0.29265054492049269</v>
      </c>
      <c r="G136">
        <f t="shared" si="21"/>
        <v>1</v>
      </c>
      <c r="H136">
        <f t="shared" si="22"/>
        <v>1</v>
      </c>
      <c r="I136">
        <f t="shared" si="23"/>
        <v>1</v>
      </c>
      <c r="J136">
        <f t="shared" si="24"/>
        <v>1</v>
      </c>
      <c r="K136">
        <f t="shared" si="25"/>
        <v>1</v>
      </c>
      <c r="L136" t="str">
        <f>'Lab test'!AC125</f>
        <v>Miscellaneous</v>
      </c>
      <c r="O136" t="e">
        <f t="shared" si="26"/>
        <v>#N/A</v>
      </c>
      <c r="P136" t="e">
        <f t="shared" si="27"/>
        <v>#N/A</v>
      </c>
      <c r="Q136" t="e">
        <f t="shared" si="28"/>
        <v>#N/A</v>
      </c>
      <c r="R136" t="e">
        <f t="shared" si="29"/>
        <v>#N/A</v>
      </c>
      <c r="S136" t="e">
        <f t="shared" si="30"/>
        <v>#N/A</v>
      </c>
      <c r="T136" t="e">
        <f t="shared" si="31"/>
        <v>#N/A</v>
      </c>
      <c r="U136">
        <f t="shared" si="32"/>
        <v>0.15086566520559713</v>
      </c>
      <c r="W136" t="e">
        <f t="shared" si="33"/>
        <v>#N/A</v>
      </c>
      <c r="X136" t="e">
        <f t="shared" si="34"/>
        <v>#N/A</v>
      </c>
      <c r="Y136" t="e">
        <f t="shared" si="35"/>
        <v>#N/A</v>
      </c>
      <c r="Z136" t="e">
        <f t="shared" si="36"/>
        <v>#N/A</v>
      </c>
      <c r="AA136" t="e">
        <f t="shared" si="37"/>
        <v>#N/A</v>
      </c>
      <c r="AB136" t="e">
        <f t="shared" si="38"/>
        <v>#N/A</v>
      </c>
      <c r="AC136">
        <f t="shared" si="39"/>
        <v>0.29265054492049269</v>
      </c>
    </row>
    <row r="137" spans="2:29">
      <c r="B137">
        <v>123</v>
      </c>
      <c r="C137">
        <f>'Lab test'!Q126</f>
        <v>635.59322033898309</v>
      </c>
      <c r="D137">
        <f>IF('Lab test'!AQ126&gt;0,'Lab test'!AQ126,NA())</f>
        <v>1.3927701890768724</v>
      </c>
      <c r="E137">
        <f>IF('Lab test'!AU126&gt;0,'Lab test'!AU126,NA())</f>
        <v>0.11811193525964513</v>
      </c>
      <c r="F137">
        <f>IF('Lab test'!AT126&gt;0,'Lab test'!AT126,NA())</f>
        <v>0.22911457135222785</v>
      </c>
      <c r="G137">
        <f t="shared" si="21"/>
        <v>1</v>
      </c>
      <c r="H137">
        <f t="shared" si="22"/>
        <v>1</v>
      </c>
      <c r="I137">
        <f t="shared" si="23"/>
        <v>1</v>
      </c>
      <c r="J137">
        <f t="shared" si="24"/>
        <v>1</v>
      </c>
      <c r="K137">
        <f t="shared" si="25"/>
        <v>1</v>
      </c>
      <c r="L137" t="str">
        <f>'Lab test'!AC126</f>
        <v>Miscellaneous</v>
      </c>
      <c r="O137" t="e">
        <f t="shared" si="26"/>
        <v>#N/A</v>
      </c>
      <c r="P137" t="e">
        <f t="shared" si="27"/>
        <v>#N/A</v>
      </c>
      <c r="Q137" t="e">
        <f t="shared" si="28"/>
        <v>#N/A</v>
      </c>
      <c r="R137" t="e">
        <f t="shared" si="29"/>
        <v>#N/A</v>
      </c>
      <c r="S137" t="e">
        <f t="shared" si="30"/>
        <v>#N/A</v>
      </c>
      <c r="T137" t="e">
        <f t="shared" si="31"/>
        <v>#N/A</v>
      </c>
      <c r="U137">
        <f t="shared" si="32"/>
        <v>0.11811193525964513</v>
      </c>
      <c r="W137" t="e">
        <f t="shared" si="33"/>
        <v>#N/A</v>
      </c>
      <c r="X137" t="e">
        <f t="shared" si="34"/>
        <v>#N/A</v>
      </c>
      <c r="Y137" t="e">
        <f t="shared" si="35"/>
        <v>#N/A</v>
      </c>
      <c r="Z137" t="e">
        <f t="shared" si="36"/>
        <v>#N/A</v>
      </c>
      <c r="AA137" t="e">
        <f t="shared" si="37"/>
        <v>#N/A</v>
      </c>
      <c r="AB137" t="e">
        <f t="shared" si="38"/>
        <v>#N/A</v>
      </c>
      <c r="AC137">
        <f t="shared" si="39"/>
        <v>0.22911457135222785</v>
      </c>
    </row>
    <row r="138" spans="2:29">
      <c r="B138">
        <v>124</v>
      </c>
      <c r="C138">
        <f>'Lab test'!Q127</f>
        <v>635.59322033898309</v>
      </c>
      <c r="D138">
        <f>IF('Lab test'!AQ127&gt;0,'Lab test'!AQ127,NA())</f>
        <v>1.3927701890768724</v>
      </c>
      <c r="E138">
        <f>IF('Lab test'!AU127&gt;0,'Lab test'!AU127,NA())</f>
        <v>0.12208208434400294</v>
      </c>
      <c r="F138">
        <f>IF('Lab test'!AT127&gt;0,'Lab test'!AT127,NA())</f>
        <v>0.23681590148171447</v>
      </c>
      <c r="G138">
        <f t="shared" si="21"/>
        <v>1</v>
      </c>
      <c r="H138">
        <f t="shared" si="22"/>
        <v>1</v>
      </c>
      <c r="I138">
        <f t="shared" si="23"/>
        <v>1</v>
      </c>
      <c r="J138">
        <f t="shared" si="24"/>
        <v>1</v>
      </c>
      <c r="K138">
        <f t="shared" si="25"/>
        <v>1</v>
      </c>
      <c r="L138" t="str">
        <f>'Lab test'!AC127</f>
        <v>Miscellaneous</v>
      </c>
      <c r="O138" t="e">
        <f t="shared" si="26"/>
        <v>#N/A</v>
      </c>
      <c r="P138" t="e">
        <f t="shared" si="27"/>
        <v>#N/A</v>
      </c>
      <c r="Q138" t="e">
        <f t="shared" si="28"/>
        <v>#N/A</v>
      </c>
      <c r="R138" t="e">
        <f t="shared" si="29"/>
        <v>#N/A</v>
      </c>
      <c r="S138" t="e">
        <f t="shared" si="30"/>
        <v>#N/A</v>
      </c>
      <c r="T138" t="e">
        <f t="shared" si="31"/>
        <v>#N/A</v>
      </c>
      <c r="U138">
        <f t="shared" si="32"/>
        <v>0.12208208434400294</v>
      </c>
      <c r="W138" t="e">
        <f t="shared" si="33"/>
        <v>#N/A</v>
      </c>
      <c r="X138" t="e">
        <f t="shared" si="34"/>
        <v>#N/A</v>
      </c>
      <c r="Y138" t="e">
        <f t="shared" si="35"/>
        <v>#N/A</v>
      </c>
      <c r="Z138" t="e">
        <f t="shared" si="36"/>
        <v>#N/A</v>
      </c>
      <c r="AA138" t="e">
        <f t="shared" si="37"/>
        <v>#N/A</v>
      </c>
      <c r="AB138" t="e">
        <f t="shared" si="38"/>
        <v>#N/A</v>
      </c>
      <c r="AC138">
        <f t="shared" si="39"/>
        <v>0.23681590148171447</v>
      </c>
    </row>
    <row r="139" spans="2:29">
      <c r="B139">
        <v>125</v>
      </c>
      <c r="C139">
        <f>'Lab test'!Q128</f>
        <v>750.00000000000011</v>
      </c>
      <c r="D139" t="e">
        <f>IF('Lab test'!AQ128&gt;0,'Lab test'!AQ128,NA())</f>
        <v>#N/A</v>
      </c>
      <c r="E139" t="e">
        <f>IF('Lab test'!AU128&gt;0,'Lab test'!AU128,NA())</f>
        <v>#N/A</v>
      </c>
      <c r="F139">
        <f>IF('Lab test'!AT128&gt;0,'Lab test'!AT128,NA())</f>
        <v>0.38955393689032747</v>
      </c>
      <c r="G139" t="e">
        <f t="shared" si="21"/>
        <v>#N/A</v>
      </c>
      <c r="H139" t="e">
        <f t="shared" si="22"/>
        <v>#N/A</v>
      </c>
      <c r="I139" t="e">
        <f t="shared" si="23"/>
        <v>#N/A</v>
      </c>
      <c r="J139">
        <f t="shared" si="24"/>
        <v>1</v>
      </c>
      <c r="K139">
        <f t="shared" si="25"/>
        <v>1</v>
      </c>
      <c r="L139" t="str">
        <f>'Lab test'!AC128</f>
        <v>LTWb</v>
      </c>
      <c r="O139" t="e">
        <f t="shared" si="26"/>
        <v>#N/A</v>
      </c>
      <c r="P139" t="e">
        <f t="shared" si="27"/>
        <v>#N/A</v>
      </c>
      <c r="Q139" t="e">
        <f t="shared" si="28"/>
        <v>#N/A</v>
      </c>
      <c r="R139" t="e">
        <f t="shared" si="29"/>
        <v>#N/A</v>
      </c>
      <c r="S139" t="e">
        <f t="shared" si="30"/>
        <v>#N/A</v>
      </c>
      <c r="T139" t="e">
        <f t="shared" si="31"/>
        <v>#N/A</v>
      </c>
      <c r="U139" t="e">
        <f t="shared" si="32"/>
        <v>#N/A</v>
      </c>
      <c r="W139" t="e">
        <f t="shared" si="33"/>
        <v>#N/A</v>
      </c>
      <c r="X139">
        <f t="shared" si="34"/>
        <v>0.38955393689032747</v>
      </c>
      <c r="Y139" t="e">
        <f t="shared" si="35"/>
        <v>#N/A</v>
      </c>
      <c r="Z139" t="e">
        <f t="shared" si="36"/>
        <v>#N/A</v>
      </c>
      <c r="AA139" t="e">
        <f t="shared" si="37"/>
        <v>#N/A</v>
      </c>
      <c r="AB139" t="e">
        <f t="shared" si="38"/>
        <v>#N/A</v>
      </c>
      <c r="AC139" t="e">
        <f t="shared" si="39"/>
        <v>#N/A</v>
      </c>
    </row>
    <row r="140" spans="2:29">
      <c r="B140">
        <v>126</v>
      </c>
      <c r="C140">
        <f>'Lab test'!Q129</f>
        <v>750.00000000000011</v>
      </c>
      <c r="D140" t="e">
        <f>IF('Lab test'!AQ129&gt;0,'Lab test'!AQ129,NA())</f>
        <v>#N/A</v>
      </c>
      <c r="E140" t="e">
        <f>IF('Lab test'!AU129&gt;0,'Lab test'!AU129,NA())</f>
        <v>#N/A</v>
      </c>
      <c r="F140">
        <f>IF('Lab test'!AT129&gt;0,'Lab test'!AT129,NA())</f>
        <v>0.41931936541541204</v>
      </c>
      <c r="G140" t="e">
        <f t="shared" si="21"/>
        <v>#N/A</v>
      </c>
      <c r="H140" t="e">
        <f t="shared" si="22"/>
        <v>#N/A</v>
      </c>
      <c r="I140" t="e">
        <f t="shared" si="23"/>
        <v>#N/A</v>
      </c>
      <c r="J140">
        <f t="shared" si="24"/>
        <v>1</v>
      </c>
      <c r="K140">
        <f t="shared" si="25"/>
        <v>1</v>
      </c>
      <c r="L140" t="str">
        <f>'Lab test'!AC129</f>
        <v>LTWb</v>
      </c>
      <c r="O140" t="e">
        <f t="shared" si="26"/>
        <v>#N/A</v>
      </c>
      <c r="P140" t="e">
        <f t="shared" si="27"/>
        <v>#N/A</v>
      </c>
      <c r="Q140" t="e">
        <f t="shared" si="28"/>
        <v>#N/A</v>
      </c>
      <c r="R140" t="e">
        <f t="shared" si="29"/>
        <v>#N/A</v>
      </c>
      <c r="S140" t="e">
        <f t="shared" si="30"/>
        <v>#N/A</v>
      </c>
      <c r="T140" t="e">
        <f t="shared" si="31"/>
        <v>#N/A</v>
      </c>
      <c r="U140" t="e">
        <f t="shared" si="32"/>
        <v>#N/A</v>
      </c>
      <c r="W140" t="e">
        <f t="shared" si="33"/>
        <v>#N/A</v>
      </c>
      <c r="X140">
        <f t="shared" si="34"/>
        <v>0.41931936541541204</v>
      </c>
      <c r="Y140" t="e">
        <f t="shared" si="35"/>
        <v>#N/A</v>
      </c>
      <c r="Z140" t="e">
        <f t="shared" si="36"/>
        <v>#N/A</v>
      </c>
      <c r="AA140" t="e">
        <f t="shared" si="37"/>
        <v>#N/A</v>
      </c>
      <c r="AB140" t="e">
        <f t="shared" si="38"/>
        <v>#N/A</v>
      </c>
      <c r="AC140" t="e">
        <f t="shared" si="39"/>
        <v>#N/A</v>
      </c>
    </row>
    <row r="141" spans="2:29">
      <c r="B141">
        <v>127</v>
      </c>
      <c r="C141">
        <f>'Lab test'!Q130</f>
        <v>750.00000000000011</v>
      </c>
      <c r="D141" t="e">
        <f>IF('Lab test'!AQ130&gt;0,'Lab test'!AQ130,NA())</f>
        <v>#N/A</v>
      </c>
      <c r="E141" t="e">
        <f>IF('Lab test'!AU130&gt;0,'Lab test'!AU130,NA())</f>
        <v>#N/A</v>
      </c>
      <c r="F141">
        <f>IF('Lab test'!AT130&gt;0,'Lab test'!AT130,NA())</f>
        <v>0.3022897964821582</v>
      </c>
      <c r="G141" t="e">
        <f t="shared" si="21"/>
        <v>#N/A</v>
      </c>
      <c r="H141" t="e">
        <f t="shared" si="22"/>
        <v>#N/A</v>
      </c>
      <c r="I141" t="e">
        <f t="shared" si="23"/>
        <v>#N/A</v>
      </c>
      <c r="J141">
        <f t="shared" si="24"/>
        <v>1</v>
      </c>
      <c r="K141">
        <f t="shared" si="25"/>
        <v>1</v>
      </c>
      <c r="L141" t="str">
        <f>'Lab test'!AC130</f>
        <v>LTWb</v>
      </c>
      <c r="O141" t="e">
        <f t="shared" si="26"/>
        <v>#N/A</v>
      </c>
      <c r="P141" t="e">
        <f t="shared" si="27"/>
        <v>#N/A</v>
      </c>
      <c r="Q141" t="e">
        <f t="shared" si="28"/>
        <v>#N/A</v>
      </c>
      <c r="R141" t="e">
        <f t="shared" si="29"/>
        <v>#N/A</v>
      </c>
      <c r="S141" t="e">
        <f t="shared" si="30"/>
        <v>#N/A</v>
      </c>
      <c r="T141" t="e">
        <f t="shared" si="31"/>
        <v>#N/A</v>
      </c>
      <c r="U141" t="e">
        <f t="shared" si="32"/>
        <v>#N/A</v>
      </c>
      <c r="W141" t="e">
        <f t="shared" si="33"/>
        <v>#N/A</v>
      </c>
      <c r="X141">
        <f t="shared" si="34"/>
        <v>0.3022897964821582</v>
      </c>
      <c r="Y141" t="e">
        <f t="shared" si="35"/>
        <v>#N/A</v>
      </c>
      <c r="Z141" t="e">
        <f t="shared" si="36"/>
        <v>#N/A</v>
      </c>
      <c r="AA141" t="e">
        <f t="shared" si="37"/>
        <v>#N/A</v>
      </c>
      <c r="AB141" t="e">
        <f t="shared" si="38"/>
        <v>#N/A</v>
      </c>
      <c r="AC141" t="e">
        <f t="shared" si="39"/>
        <v>#N/A</v>
      </c>
    </row>
    <row r="142" spans="2:29">
      <c r="B142">
        <v>128</v>
      </c>
      <c r="C142">
        <f>'Lab test'!Q131</f>
        <v>750.00000000000011</v>
      </c>
      <c r="D142" t="e">
        <f>IF('Lab test'!AQ131&gt;0,'Lab test'!AQ131,NA())</f>
        <v>#N/A</v>
      </c>
      <c r="E142" t="e">
        <f>IF('Lab test'!AU131&gt;0,'Lab test'!AU131,NA())</f>
        <v>#N/A</v>
      </c>
      <c r="F142">
        <f>IF('Lab test'!AT131&gt;0,'Lab test'!AT131,NA())</f>
        <v>0.3022897964821582</v>
      </c>
      <c r="G142" t="e">
        <f t="shared" si="21"/>
        <v>#N/A</v>
      </c>
      <c r="H142" t="e">
        <f t="shared" si="22"/>
        <v>#N/A</v>
      </c>
      <c r="I142" t="e">
        <f t="shared" si="23"/>
        <v>#N/A</v>
      </c>
      <c r="J142">
        <f t="shared" si="24"/>
        <v>1</v>
      </c>
      <c r="K142">
        <f t="shared" si="25"/>
        <v>1</v>
      </c>
      <c r="L142" t="str">
        <f>'Lab test'!AC131</f>
        <v>LTWb</v>
      </c>
      <c r="O142" t="e">
        <f t="shared" si="26"/>
        <v>#N/A</v>
      </c>
      <c r="P142" t="e">
        <f t="shared" si="27"/>
        <v>#N/A</v>
      </c>
      <c r="Q142" t="e">
        <f t="shared" si="28"/>
        <v>#N/A</v>
      </c>
      <c r="R142" t="e">
        <f t="shared" si="29"/>
        <v>#N/A</v>
      </c>
      <c r="S142" t="e">
        <f t="shared" si="30"/>
        <v>#N/A</v>
      </c>
      <c r="T142" t="e">
        <f t="shared" si="31"/>
        <v>#N/A</v>
      </c>
      <c r="U142" t="e">
        <f t="shared" si="32"/>
        <v>#N/A</v>
      </c>
      <c r="W142" t="e">
        <f t="shared" si="33"/>
        <v>#N/A</v>
      </c>
      <c r="X142">
        <f t="shared" si="34"/>
        <v>0.3022897964821582</v>
      </c>
      <c r="Y142" t="e">
        <f t="shared" si="35"/>
        <v>#N/A</v>
      </c>
      <c r="Z142" t="e">
        <f t="shared" si="36"/>
        <v>#N/A</v>
      </c>
      <c r="AA142" t="e">
        <f t="shared" si="37"/>
        <v>#N/A</v>
      </c>
      <c r="AB142" t="e">
        <f t="shared" si="38"/>
        <v>#N/A</v>
      </c>
      <c r="AC142" t="e">
        <f t="shared" si="39"/>
        <v>#N/A</v>
      </c>
    </row>
    <row r="143" spans="2:29">
      <c r="B143">
        <v>129</v>
      </c>
      <c r="C143">
        <f>'Lab test'!Q132</f>
        <v>750.00000000000011</v>
      </c>
      <c r="D143" t="e">
        <f>IF('Lab test'!AQ132&gt;0,'Lab test'!AQ132,NA())</f>
        <v>#N/A</v>
      </c>
      <c r="E143" t="e">
        <f>IF('Lab test'!AU132&gt;0,'Lab test'!AU132,NA())</f>
        <v>#N/A</v>
      </c>
      <c r="F143">
        <f>IF('Lab test'!AT132&gt;0,'Lab test'!AT132,NA())</f>
        <v>0.34456571405760156</v>
      </c>
      <c r="G143" t="e">
        <f t="shared" si="21"/>
        <v>#N/A</v>
      </c>
      <c r="H143" t="e">
        <f t="shared" si="22"/>
        <v>#N/A</v>
      </c>
      <c r="I143" t="e">
        <f t="shared" si="23"/>
        <v>#N/A</v>
      </c>
      <c r="J143">
        <f t="shared" si="24"/>
        <v>1</v>
      </c>
      <c r="K143">
        <f t="shared" si="25"/>
        <v>1</v>
      </c>
      <c r="L143" t="str">
        <f>'Lab test'!AC132</f>
        <v>LTWb</v>
      </c>
      <c r="O143" t="e">
        <f t="shared" si="26"/>
        <v>#N/A</v>
      </c>
      <c r="P143" t="e">
        <f t="shared" si="27"/>
        <v>#N/A</v>
      </c>
      <c r="Q143" t="e">
        <f t="shared" si="28"/>
        <v>#N/A</v>
      </c>
      <c r="R143" t="e">
        <f t="shared" si="29"/>
        <v>#N/A</v>
      </c>
      <c r="S143" t="e">
        <f t="shared" si="30"/>
        <v>#N/A</v>
      </c>
      <c r="T143" t="e">
        <f t="shared" si="31"/>
        <v>#N/A</v>
      </c>
      <c r="U143" t="e">
        <f t="shared" si="32"/>
        <v>#N/A</v>
      </c>
      <c r="W143" t="e">
        <f t="shared" si="33"/>
        <v>#N/A</v>
      </c>
      <c r="X143">
        <f t="shared" si="34"/>
        <v>0.34456571405760156</v>
      </c>
      <c r="Y143" t="e">
        <f t="shared" si="35"/>
        <v>#N/A</v>
      </c>
      <c r="Z143" t="e">
        <f t="shared" si="36"/>
        <v>#N/A</v>
      </c>
      <c r="AA143" t="e">
        <f t="shared" si="37"/>
        <v>#N/A</v>
      </c>
      <c r="AB143" t="e">
        <f t="shared" si="38"/>
        <v>#N/A</v>
      </c>
      <c r="AC143" t="e">
        <f t="shared" si="39"/>
        <v>#N/A</v>
      </c>
    </row>
    <row r="144" spans="2:29">
      <c r="B144">
        <v>130</v>
      </c>
      <c r="C144">
        <f>'Lab test'!Q133</f>
        <v>750.00000000000011</v>
      </c>
      <c r="D144" t="e">
        <f>IF('Lab test'!AQ133&gt;0,'Lab test'!AQ133,NA())</f>
        <v>#N/A</v>
      </c>
      <c r="E144" t="e">
        <f>IF('Lab test'!AU133&gt;0,'Lab test'!AU133,NA())</f>
        <v>#N/A</v>
      </c>
      <c r="F144">
        <f>IF('Lab test'!AT133&gt;0,'Lab test'!AT133,NA())</f>
        <v>0.32806042722189011</v>
      </c>
      <c r="G144" t="e">
        <f t="shared" ref="G144:G207" si="40">IF(AND(ISNUMBER(D144),ISNUMBER(E144)),1,NA())</f>
        <v>#N/A</v>
      </c>
      <c r="H144" t="e">
        <f t="shared" ref="H144:H207" si="41">IF(AND(ISNUMBER(D144),ISNUMBER(F144)),1,NA())</f>
        <v>#N/A</v>
      </c>
      <c r="I144" t="e">
        <f t="shared" ref="I144:I207" si="42">IF(AND(ISNUMBER(C144),ISNUMBER(E144)),1,NA())</f>
        <v>#N/A</v>
      </c>
      <c r="J144">
        <f t="shared" ref="J144:J207" si="43">IF(AND(ISNUMBER(C144),ISNUMBER(F144)),1,NA())</f>
        <v>1</v>
      </c>
      <c r="K144">
        <f t="shared" ref="K144:K207" si="44">IF(OR(ISNUMBER(E144),ISNUMBER(F144)),1,NA())</f>
        <v>1</v>
      </c>
      <c r="L144" t="str">
        <f>'Lab test'!AC133</f>
        <v>LTWb</v>
      </c>
      <c r="O144" t="e">
        <f t="shared" ref="O144:O207" si="45">IF(EXACT($O$14,L144),E144,NA())</f>
        <v>#N/A</v>
      </c>
      <c r="P144" t="e">
        <f t="shared" ref="P144:P207" si="46">IF(EXACT($P$14,L144),E144,NA())</f>
        <v>#N/A</v>
      </c>
      <c r="Q144" t="e">
        <f t="shared" ref="Q144:Q207" si="47">IF(EXACT($Q$14,L144),E144,NA())</f>
        <v>#N/A</v>
      </c>
      <c r="R144" t="e">
        <f t="shared" ref="R144:R207" si="48">IF(EXACT($R$14,L144),E144,NA())</f>
        <v>#N/A</v>
      </c>
      <c r="S144" t="e">
        <f t="shared" ref="S144:S207" si="49">IF(EXACT($S$14,L144),E144,NA())</f>
        <v>#N/A</v>
      </c>
      <c r="T144" t="e">
        <f t="shared" ref="T144:T207" si="50">IF(EXACT($T$14,L144),E144,NA())</f>
        <v>#N/A</v>
      </c>
      <c r="U144" t="e">
        <f t="shared" ref="U144:U207" si="51">IF(EXACT($U$14,L144),E144,NA())</f>
        <v>#N/A</v>
      </c>
      <c r="W144" t="e">
        <f t="shared" ref="W144:W207" si="52">IF(EXACT($W$14,L144),F144,NA())</f>
        <v>#N/A</v>
      </c>
      <c r="X144">
        <f t="shared" ref="X144:X207" si="53">IF(EXACT($X$14,L144),F144,NA())</f>
        <v>0.32806042722189011</v>
      </c>
      <c r="Y144" t="e">
        <f t="shared" ref="Y144:Y207" si="54">IF(EXACT($Y$14,L144),F144,NA())</f>
        <v>#N/A</v>
      </c>
      <c r="Z144" t="e">
        <f t="shared" ref="Z144:Z207" si="55">IF(EXACT($Z$14,L144),F144,NA())</f>
        <v>#N/A</v>
      </c>
      <c r="AA144" t="e">
        <f t="shared" ref="AA144:AA207" si="56">IF(EXACT($AA$14,L144),F144,NA())</f>
        <v>#N/A</v>
      </c>
      <c r="AB144" t="e">
        <f t="shared" ref="AB144:AB207" si="57">IF(EXACT($AB$14,L144),F144,NA())</f>
        <v>#N/A</v>
      </c>
      <c r="AC144" t="e">
        <f t="shared" ref="AC144:AC207" si="58">IF(EXACT($AC$14,L144),F144,NA())</f>
        <v>#N/A</v>
      </c>
    </row>
    <row r="145" spans="2:29">
      <c r="B145">
        <v>131</v>
      </c>
      <c r="C145">
        <f>'Lab test'!Q134</f>
        <v>750.00000000000011</v>
      </c>
      <c r="D145" t="e">
        <f>IF('Lab test'!AQ134&gt;0,'Lab test'!AQ134,NA())</f>
        <v>#N/A</v>
      </c>
      <c r="E145" t="e">
        <f>IF('Lab test'!AU134&gt;0,'Lab test'!AU134,NA())</f>
        <v>#N/A</v>
      </c>
      <c r="F145">
        <f>IF('Lab test'!AT134&gt;0,'Lab test'!AT134,NA())</f>
        <v>0.31234577184605744</v>
      </c>
      <c r="G145" t="e">
        <f t="shared" si="40"/>
        <v>#N/A</v>
      </c>
      <c r="H145" t="e">
        <f t="shared" si="41"/>
        <v>#N/A</v>
      </c>
      <c r="I145" t="e">
        <f t="shared" si="42"/>
        <v>#N/A</v>
      </c>
      <c r="J145">
        <f t="shared" si="43"/>
        <v>1</v>
      </c>
      <c r="K145">
        <f t="shared" si="44"/>
        <v>1</v>
      </c>
      <c r="L145" t="str">
        <f>'Lab test'!AC134</f>
        <v>LTWb</v>
      </c>
      <c r="O145" t="e">
        <f t="shared" si="45"/>
        <v>#N/A</v>
      </c>
      <c r="P145" t="e">
        <f t="shared" si="46"/>
        <v>#N/A</v>
      </c>
      <c r="Q145" t="e">
        <f t="shared" si="47"/>
        <v>#N/A</v>
      </c>
      <c r="R145" t="e">
        <f t="shared" si="48"/>
        <v>#N/A</v>
      </c>
      <c r="S145" t="e">
        <f t="shared" si="49"/>
        <v>#N/A</v>
      </c>
      <c r="T145" t="e">
        <f t="shared" si="50"/>
        <v>#N/A</v>
      </c>
      <c r="U145" t="e">
        <f t="shared" si="51"/>
        <v>#N/A</v>
      </c>
      <c r="W145" t="e">
        <f t="shared" si="52"/>
        <v>#N/A</v>
      </c>
      <c r="X145">
        <f t="shared" si="53"/>
        <v>0.31234577184605744</v>
      </c>
      <c r="Y145" t="e">
        <f t="shared" si="54"/>
        <v>#N/A</v>
      </c>
      <c r="Z145" t="e">
        <f t="shared" si="55"/>
        <v>#N/A</v>
      </c>
      <c r="AA145" t="e">
        <f t="shared" si="56"/>
        <v>#N/A</v>
      </c>
      <c r="AB145" t="e">
        <f t="shared" si="57"/>
        <v>#N/A</v>
      </c>
      <c r="AC145" t="e">
        <f t="shared" si="58"/>
        <v>#N/A</v>
      </c>
    </row>
    <row r="146" spans="2:29">
      <c r="B146">
        <v>132</v>
      </c>
      <c r="C146">
        <f>'Lab test'!Q135</f>
        <v>750.00000000000011</v>
      </c>
      <c r="D146" t="e">
        <f>IF('Lab test'!AQ135&gt;0,'Lab test'!AQ135,NA())</f>
        <v>#N/A</v>
      </c>
      <c r="E146" t="e">
        <f>IF('Lab test'!AU135&gt;0,'Lab test'!AU135,NA())</f>
        <v>#N/A</v>
      </c>
      <c r="F146">
        <f>IF('Lab test'!AT135&gt;0,'Lab test'!AT135,NA())</f>
        <v>0.53159753422996803</v>
      </c>
      <c r="G146" t="e">
        <f t="shared" si="40"/>
        <v>#N/A</v>
      </c>
      <c r="H146" t="e">
        <f t="shared" si="41"/>
        <v>#N/A</v>
      </c>
      <c r="I146" t="e">
        <f t="shared" si="42"/>
        <v>#N/A</v>
      </c>
      <c r="J146">
        <f t="shared" si="43"/>
        <v>1</v>
      </c>
      <c r="K146">
        <f t="shared" si="44"/>
        <v>1</v>
      </c>
      <c r="L146" t="str">
        <f>'Lab test'!AC135</f>
        <v>LTWb</v>
      </c>
      <c r="O146" t="e">
        <f t="shared" si="45"/>
        <v>#N/A</v>
      </c>
      <c r="P146" t="e">
        <f t="shared" si="46"/>
        <v>#N/A</v>
      </c>
      <c r="Q146" t="e">
        <f t="shared" si="47"/>
        <v>#N/A</v>
      </c>
      <c r="R146" t="e">
        <f t="shared" si="48"/>
        <v>#N/A</v>
      </c>
      <c r="S146" t="e">
        <f t="shared" si="49"/>
        <v>#N/A</v>
      </c>
      <c r="T146" t="e">
        <f t="shared" si="50"/>
        <v>#N/A</v>
      </c>
      <c r="U146" t="e">
        <f t="shared" si="51"/>
        <v>#N/A</v>
      </c>
      <c r="W146" t="e">
        <f t="shared" si="52"/>
        <v>#N/A</v>
      </c>
      <c r="X146">
        <f t="shared" si="53"/>
        <v>0.53159753422996803</v>
      </c>
      <c r="Y146" t="e">
        <f t="shared" si="54"/>
        <v>#N/A</v>
      </c>
      <c r="Z146" t="e">
        <f t="shared" si="55"/>
        <v>#N/A</v>
      </c>
      <c r="AA146" t="e">
        <f t="shared" si="56"/>
        <v>#N/A</v>
      </c>
      <c r="AB146" t="e">
        <f t="shared" si="57"/>
        <v>#N/A</v>
      </c>
      <c r="AC146" t="e">
        <f t="shared" si="58"/>
        <v>#N/A</v>
      </c>
    </row>
    <row r="147" spans="2:29">
      <c r="B147">
        <v>133</v>
      </c>
      <c r="C147">
        <f>'Lab test'!Q136</f>
        <v>750.00000000000011</v>
      </c>
      <c r="D147" t="e">
        <f>IF('Lab test'!AQ136&gt;0,'Lab test'!AQ136,NA())</f>
        <v>#N/A</v>
      </c>
      <c r="E147" t="e">
        <f>IF('Lab test'!AU136&gt;0,'Lab test'!AU136,NA())</f>
        <v>#N/A</v>
      </c>
      <c r="F147">
        <f>IF('Lab test'!AT136&gt;0,'Lab test'!AT136,NA())</f>
        <v>0.56292975945594959</v>
      </c>
      <c r="G147" t="e">
        <f t="shared" si="40"/>
        <v>#N/A</v>
      </c>
      <c r="H147" t="e">
        <f t="shared" si="41"/>
        <v>#N/A</v>
      </c>
      <c r="I147" t="e">
        <f t="shared" si="42"/>
        <v>#N/A</v>
      </c>
      <c r="J147">
        <f t="shared" si="43"/>
        <v>1</v>
      </c>
      <c r="K147">
        <f t="shared" si="44"/>
        <v>1</v>
      </c>
      <c r="L147" t="str">
        <f>'Lab test'!AC136</f>
        <v>LTWb</v>
      </c>
      <c r="O147" t="e">
        <f t="shared" si="45"/>
        <v>#N/A</v>
      </c>
      <c r="P147" t="e">
        <f t="shared" si="46"/>
        <v>#N/A</v>
      </c>
      <c r="Q147" t="e">
        <f t="shared" si="47"/>
        <v>#N/A</v>
      </c>
      <c r="R147" t="e">
        <f t="shared" si="48"/>
        <v>#N/A</v>
      </c>
      <c r="S147" t="e">
        <f t="shared" si="49"/>
        <v>#N/A</v>
      </c>
      <c r="T147" t="e">
        <f t="shared" si="50"/>
        <v>#N/A</v>
      </c>
      <c r="U147" t="e">
        <f t="shared" si="51"/>
        <v>#N/A</v>
      </c>
      <c r="W147" t="e">
        <f t="shared" si="52"/>
        <v>#N/A</v>
      </c>
      <c r="X147">
        <f t="shared" si="53"/>
        <v>0.56292975945594959</v>
      </c>
      <c r="Y147" t="e">
        <f t="shared" si="54"/>
        <v>#N/A</v>
      </c>
      <c r="Z147" t="e">
        <f t="shared" si="55"/>
        <v>#N/A</v>
      </c>
      <c r="AA147" t="e">
        <f t="shared" si="56"/>
        <v>#N/A</v>
      </c>
      <c r="AB147" t="e">
        <f t="shared" si="57"/>
        <v>#N/A</v>
      </c>
      <c r="AC147" t="e">
        <f t="shared" si="58"/>
        <v>#N/A</v>
      </c>
    </row>
    <row r="148" spans="2:29">
      <c r="B148">
        <v>134</v>
      </c>
      <c r="C148">
        <f>'Lab test'!Q137</f>
        <v>750.00000000000011</v>
      </c>
      <c r="D148" t="e">
        <f>IF('Lab test'!AQ137&gt;0,'Lab test'!AQ137,NA())</f>
        <v>#N/A</v>
      </c>
      <c r="E148" t="e">
        <f>IF('Lab test'!AU137&gt;0,'Lab test'!AU137,NA())</f>
        <v>#N/A</v>
      </c>
      <c r="F148">
        <f>IF('Lab test'!AT137&gt;0,'Lab test'!AT137,NA())</f>
        <v>0.62609995658685913</v>
      </c>
      <c r="G148" t="e">
        <f t="shared" si="40"/>
        <v>#N/A</v>
      </c>
      <c r="H148" t="e">
        <f t="shared" si="41"/>
        <v>#N/A</v>
      </c>
      <c r="I148" t="e">
        <f t="shared" si="42"/>
        <v>#N/A</v>
      </c>
      <c r="J148">
        <f t="shared" si="43"/>
        <v>1</v>
      </c>
      <c r="K148">
        <f t="shared" si="44"/>
        <v>1</v>
      </c>
      <c r="L148" t="str">
        <f>'Lab test'!AC137</f>
        <v>LTWb</v>
      </c>
      <c r="O148" t="e">
        <f t="shared" si="45"/>
        <v>#N/A</v>
      </c>
      <c r="P148" t="e">
        <f t="shared" si="46"/>
        <v>#N/A</v>
      </c>
      <c r="Q148" t="e">
        <f t="shared" si="47"/>
        <v>#N/A</v>
      </c>
      <c r="R148" t="e">
        <f t="shared" si="48"/>
        <v>#N/A</v>
      </c>
      <c r="S148" t="e">
        <f t="shared" si="49"/>
        <v>#N/A</v>
      </c>
      <c r="T148" t="e">
        <f t="shared" si="50"/>
        <v>#N/A</v>
      </c>
      <c r="U148" t="e">
        <f t="shared" si="51"/>
        <v>#N/A</v>
      </c>
      <c r="W148" t="e">
        <f t="shared" si="52"/>
        <v>#N/A</v>
      </c>
      <c r="X148">
        <f t="shared" si="53"/>
        <v>0.62609995658685913</v>
      </c>
      <c r="Y148" t="e">
        <f t="shared" si="54"/>
        <v>#N/A</v>
      </c>
      <c r="Z148" t="e">
        <f t="shared" si="55"/>
        <v>#N/A</v>
      </c>
      <c r="AA148" t="e">
        <f t="shared" si="56"/>
        <v>#N/A</v>
      </c>
      <c r="AB148" t="e">
        <f t="shared" si="57"/>
        <v>#N/A</v>
      </c>
      <c r="AC148" t="e">
        <f t="shared" si="58"/>
        <v>#N/A</v>
      </c>
    </row>
    <row r="149" spans="2:29">
      <c r="B149">
        <v>135</v>
      </c>
      <c r="C149">
        <f>'Lab test'!Q138</f>
        <v>750.00000000000011</v>
      </c>
      <c r="D149" t="e">
        <f>IF('Lab test'!AQ138&gt;0,'Lab test'!AQ138,NA())</f>
        <v>#N/A</v>
      </c>
      <c r="E149" t="e">
        <f>IF('Lab test'!AU138&gt;0,'Lab test'!AU138,NA())</f>
        <v>#N/A</v>
      </c>
      <c r="F149">
        <f>IF('Lab test'!AT138&gt;0,'Lab test'!AT138,NA())</f>
        <v>0.95027323887179593</v>
      </c>
      <c r="G149" t="e">
        <f t="shared" si="40"/>
        <v>#N/A</v>
      </c>
      <c r="H149" t="e">
        <f t="shared" si="41"/>
        <v>#N/A</v>
      </c>
      <c r="I149" t="e">
        <f t="shared" si="42"/>
        <v>#N/A</v>
      </c>
      <c r="J149">
        <f t="shared" si="43"/>
        <v>1</v>
      </c>
      <c r="K149">
        <f t="shared" si="44"/>
        <v>1</v>
      </c>
      <c r="L149" t="str">
        <f>'Lab test'!AC138</f>
        <v>LTWb</v>
      </c>
      <c r="O149" t="e">
        <f t="shared" si="45"/>
        <v>#N/A</v>
      </c>
      <c r="P149" t="e">
        <f t="shared" si="46"/>
        <v>#N/A</v>
      </c>
      <c r="Q149" t="e">
        <f t="shared" si="47"/>
        <v>#N/A</v>
      </c>
      <c r="R149" t="e">
        <f t="shared" si="48"/>
        <v>#N/A</v>
      </c>
      <c r="S149" t="e">
        <f t="shared" si="49"/>
        <v>#N/A</v>
      </c>
      <c r="T149" t="e">
        <f t="shared" si="50"/>
        <v>#N/A</v>
      </c>
      <c r="U149" t="e">
        <f t="shared" si="51"/>
        <v>#N/A</v>
      </c>
      <c r="W149" t="e">
        <f t="shared" si="52"/>
        <v>#N/A</v>
      </c>
      <c r="X149">
        <f t="shared" si="53"/>
        <v>0.95027323887179593</v>
      </c>
      <c r="Y149" t="e">
        <f t="shared" si="54"/>
        <v>#N/A</v>
      </c>
      <c r="Z149" t="e">
        <f t="shared" si="55"/>
        <v>#N/A</v>
      </c>
      <c r="AA149" t="e">
        <f t="shared" si="56"/>
        <v>#N/A</v>
      </c>
      <c r="AB149" t="e">
        <f t="shared" si="57"/>
        <v>#N/A</v>
      </c>
      <c r="AC149" t="e">
        <f t="shared" si="58"/>
        <v>#N/A</v>
      </c>
    </row>
    <row r="150" spans="2:29">
      <c r="B150">
        <v>136</v>
      </c>
      <c r="C150">
        <f>'Lab test'!Q139</f>
        <v>750.00000000000011</v>
      </c>
      <c r="D150" t="e">
        <f>IF('Lab test'!AQ139&gt;0,'Lab test'!AQ139,NA())</f>
        <v>#N/A</v>
      </c>
      <c r="E150" t="e">
        <f>IF('Lab test'!AU139&gt;0,'Lab test'!AU139,NA())</f>
        <v>#N/A</v>
      </c>
      <c r="F150">
        <f>IF('Lab test'!AT139&gt;0,'Lab test'!AT139,NA())</f>
        <v>1.0743456653442474</v>
      </c>
      <c r="G150" t="e">
        <f t="shared" si="40"/>
        <v>#N/A</v>
      </c>
      <c r="H150" t="e">
        <f t="shared" si="41"/>
        <v>#N/A</v>
      </c>
      <c r="I150" t="e">
        <f t="shared" si="42"/>
        <v>#N/A</v>
      </c>
      <c r="J150">
        <f t="shared" si="43"/>
        <v>1</v>
      </c>
      <c r="K150">
        <f t="shared" si="44"/>
        <v>1</v>
      </c>
      <c r="L150" t="str">
        <f>'Lab test'!AC139</f>
        <v>LTWb</v>
      </c>
      <c r="O150" t="e">
        <f t="shared" si="45"/>
        <v>#N/A</v>
      </c>
      <c r="P150" t="e">
        <f t="shared" si="46"/>
        <v>#N/A</v>
      </c>
      <c r="Q150" t="e">
        <f t="shared" si="47"/>
        <v>#N/A</v>
      </c>
      <c r="R150" t="e">
        <f t="shared" si="48"/>
        <v>#N/A</v>
      </c>
      <c r="S150" t="e">
        <f t="shared" si="49"/>
        <v>#N/A</v>
      </c>
      <c r="T150" t="e">
        <f t="shared" si="50"/>
        <v>#N/A</v>
      </c>
      <c r="U150" t="e">
        <f t="shared" si="51"/>
        <v>#N/A</v>
      </c>
      <c r="W150" t="e">
        <f t="shared" si="52"/>
        <v>#N/A</v>
      </c>
      <c r="X150">
        <f t="shared" si="53"/>
        <v>1.0743456653442474</v>
      </c>
      <c r="Y150" t="e">
        <f t="shared" si="54"/>
        <v>#N/A</v>
      </c>
      <c r="Z150" t="e">
        <f t="shared" si="55"/>
        <v>#N/A</v>
      </c>
      <c r="AA150" t="e">
        <f t="shared" si="56"/>
        <v>#N/A</v>
      </c>
      <c r="AB150" t="e">
        <f t="shared" si="57"/>
        <v>#N/A</v>
      </c>
      <c r="AC150" t="e">
        <f t="shared" si="58"/>
        <v>#N/A</v>
      </c>
    </row>
    <row r="151" spans="2:29">
      <c r="B151">
        <v>137</v>
      </c>
      <c r="C151">
        <f>'Lab test'!Q140</f>
        <v>750.00000000000011</v>
      </c>
      <c r="D151" t="e">
        <f>IF('Lab test'!AQ140&gt;0,'Lab test'!AQ140,NA())</f>
        <v>#N/A</v>
      </c>
      <c r="E151" t="e">
        <f>IF('Lab test'!AU140&gt;0,'Lab test'!AU140,NA())</f>
        <v>#N/A</v>
      </c>
      <c r="F151">
        <f>IF('Lab test'!AT140&gt;0,'Lab test'!AT140,NA())</f>
        <v>1.6041419259635914</v>
      </c>
      <c r="G151" t="e">
        <f t="shared" si="40"/>
        <v>#N/A</v>
      </c>
      <c r="H151" t="e">
        <f t="shared" si="41"/>
        <v>#N/A</v>
      </c>
      <c r="I151" t="e">
        <f t="shared" si="42"/>
        <v>#N/A</v>
      </c>
      <c r="J151">
        <f t="shared" si="43"/>
        <v>1</v>
      </c>
      <c r="K151">
        <f t="shared" si="44"/>
        <v>1</v>
      </c>
      <c r="L151" t="str">
        <f>'Lab test'!AC140</f>
        <v>LTWb</v>
      </c>
      <c r="O151" t="e">
        <f t="shared" si="45"/>
        <v>#N/A</v>
      </c>
      <c r="P151" t="e">
        <f t="shared" si="46"/>
        <v>#N/A</v>
      </c>
      <c r="Q151" t="e">
        <f t="shared" si="47"/>
        <v>#N/A</v>
      </c>
      <c r="R151" t="e">
        <f t="shared" si="48"/>
        <v>#N/A</v>
      </c>
      <c r="S151" t="e">
        <f t="shared" si="49"/>
        <v>#N/A</v>
      </c>
      <c r="T151" t="e">
        <f t="shared" si="50"/>
        <v>#N/A</v>
      </c>
      <c r="U151" t="e">
        <f t="shared" si="51"/>
        <v>#N/A</v>
      </c>
      <c r="W151" t="e">
        <f t="shared" si="52"/>
        <v>#N/A</v>
      </c>
      <c r="X151">
        <f t="shared" si="53"/>
        <v>1.6041419259635914</v>
      </c>
      <c r="Y151" t="e">
        <f t="shared" si="54"/>
        <v>#N/A</v>
      </c>
      <c r="Z151" t="e">
        <f t="shared" si="55"/>
        <v>#N/A</v>
      </c>
      <c r="AA151" t="e">
        <f t="shared" si="56"/>
        <v>#N/A</v>
      </c>
      <c r="AB151" t="e">
        <f t="shared" si="57"/>
        <v>#N/A</v>
      </c>
      <c r="AC151" t="e">
        <f t="shared" si="58"/>
        <v>#N/A</v>
      </c>
    </row>
    <row r="152" spans="2:29">
      <c r="B152">
        <v>138</v>
      </c>
      <c r="C152">
        <f>'Lab test'!Q141</f>
        <v>1062.5000000000002</v>
      </c>
      <c r="D152" t="e">
        <f>IF('Lab test'!AQ141&gt;0,'Lab test'!AQ141,NA())</f>
        <v>#N/A</v>
      </c>
      <c r="E152" t="e">
        <f>IF('Lab test'!AU141&gt;0,'Lab test'!AU141,NA())</f>
        <v>#N/A</v>
      </c>
      <c r="F152">
        <f>IF('Lab test'!AT141&gt;0,'Lab test'!AT141,NA())</f>
        <v>0.39762280324794341</v>
      </c>
      <c r="G152" t="e">
        <f t="shared" si="40"/>
        <v>#N/A</v>
      </c>
      <c r="H152" t="e">
        <f t="shared" si="41"/>
        <v>#N/A</v>
      </c>
      <c r="I152" t="e">
        <f t="shared" si="42"/>
        <v>#N/A</v>
      </c>
      <c r="J152">
        <f t="shared" si="43"/>
        <v>1</v>
      </c>
      <c r="K152">
        <f t="shared" si="44"/>
        <v>1</v>
      </c>
      <c r="L152" t="str">
        <f>'Lab test'!AC141</f>
        <v>LTWb</v>
      </c>
      <c r="O152" t="e">
        <f t="shared" si="45"/>
        <v>#N/A</v>
      </c>
      <c r="P152" t="e">
        <f t="shared" si="46"/>
        <v>#N/A</v>
      </c>
      <c r="Q152" t="e">
        <f t="shared" si="47"/>
        <v>#N/A</v>
      </c>
      <c r="R152" t="e">
        <f t="shared" si="48"/>
        <v>#N/A</v>
      </c>
      <c r="S152" t="e">
        <f t="shared" si="49"/>
        <v>#N/A</v>
      </c>
      <c r="T152" t="e">
        <f t="shared" si="50"/>
        <v>#N/A</v>
      </c>
      <c r="U152" t="e">
        <f t="shared" si="51"/>
        <v>#N/A</v>
      </c>
      <c r="W152" t="e">
        <f t="shared" si="52"/>
        <v>#N/A</v>
      </c>
      <c r="X152">
        <f t="shared" si="53"/>
        <v>0.39762280324794341</v>
      </c>
      <c r="Y152" t="e">
        <f t="shared" si="54"/>
        <v>#N/A</v>
      </c>
      <c r="Z152" t="e">
        <f t="shared" si="55"/>
        <v>#N/A</v>
      </c>
      <c r="AA152" t="e">
        <f t="shared" si="56"/>
        <v>#N/A</v>
      </c>
      <c r="AB152" t="e">
        <f t="shared" si="57"/>
        <v>#N/A</v>
      </c>
      <c r="AC152" t="e">
        <f t="shared" si="58"/>
        <v>#N/A</v>
      </c>
    </row>
    <row r="153" spans="2:29">
      <c r="B153">
        <v>139</v>
      </c>
      <c r="C153">
        <f>'Lab test'!Q142</f>
        <v>1062.5000000000002</v>
      </c>
      <c r="D153" t="e">
        <f>IF('Lab test'!AQ142&gt;0,'Lab test'!AQ142,NA())</f>
        <v>#N/A</v>
      </c>
      <c r="E153" t="e">
        <f>IF('Lab test'!AU142&gt;0,'Lab test'!AU142,NA())</f>
        <v>#N/A</v>
      </c>
      <c r="F153">
        <f>IF('Lab test'!AT142&gt;0,'Lab test'!AT142,NA())</f>
        <v>0.35110762238948906</v>
      </c>
      <c r="G153" t="e">
        <f t="shared" si="40"/>
        <v>#N/A</v>
      </c>
      <c r="H153" t="e">
        <f t="shared" si="41"/>
        <v>#N/A</v>
      </c>
      <c r="I153" t="e">
        <f t="shared" si="42"/>
        <v>#N/A</v>
      </c>
      <c r="J153">
        <f t="shared" si="43"/>
        <v>1</v>
      </c>
      <c r="K153">
        <f t="shared" si="44"/>
        <v>1</v>
      </c>
      <c r="L153" t="str">
        <f>'Lab test'!AC142</f>
        <v>LTWb</v>
      </c>
      <c r="O153" t="e">
        <f t="shared" si="45"/>
        <v>#N/A</v>
      </c>
      <c r="P153" t="e">
        <f t="shared" si="46"/>
        <v>#N/A</v>
      </c>
      <c r="Q153" t="e">
        <f t="shared" si="47"/>
        <v>#N/A</v>
      </c>
      <c r="R153" t="e">
        <f t="shared" si="48"/>
        <v>#N/A</v>
      </c>
      <c r="S153" t="e">
        <f t="shared" si="49"/>
        <v>#N/A</v>
      </c>
      <c r="T153" t="e">
        <f t="shared" si="50"/>
        <v>#N/A</v>
      </c>
      <c r="U153" t="e">
        <f t="shared" si="51"/>
        <v>#N/A</v>
      </c>
      <c r="W153" t="e">
        <f t="shared" si="52"/>
        <v>#N/A</v>
      </c>
      <c r="X153">
        <f t="shared" si="53"/>
        <v>0.35110762238948906</v>
      </c>
      <c r="Y153" t="e">
        <f t="shared" si="54"/>
        <v>#N/A</v>
      </c>
      <c r="Z153" t="e">
        <f t="shared" si="55"/>
        <v>#N/A</v>
      </c>
      <c r="AA153" t="e">
        <f t="shared" si="56"/>
        <v>#N/A</v>
      </c>
      <c r="AB153" t="e">
        <f t="shared" si="57"/>
        <v>#N/A</v>
      </c>
      <c r="AC153" t="e">
        <f t="shared" si="58"/>
        <v>#N/A</v>
      </c>
    </row>
    <row r="154" spans="2:29">
      <c r="B154">
        <v>140</v>
      </c>
      <c r="C154">
        <f>'Lab test'!Q143</f>
        <v>1062.5000000000002</v>
      </c>
      <c r="D154" t="e">
        <f>IF('Lab test'!AQ143&gt;0,'Lab test'!AQ143,NA())</f>
        <v>#N/A</v>
      </c>
      <c r="E154" t="e">
        <f>IF('Lab test'!AU143&gt;0,'Lab test'!AU143,NA())</f>
        <v>#N/A</v>
      </c>
      <c r="F154">
        <f>IF('Lab test'!AT143&gt;0,'Lab test'!AT143,NA())</f>
        <v>0.3118761317731959</v>
      </c>
      <c r="G154" t="e">
        <f t="shared" si="40"/>
        <v>#N/A</v>
      </c>
      <c r="H154" t="e">
        <f t="shared" si="41"/>
        <v>#N/A</v>
      </c>
      <c r="I154" t="e">
        <f t="shared" si="42"/>
        <v>#N/A</v>
      </c>
      <c r="J154">
        <f t="shared" si="43"/>
        <v>1</v>
      </c>
      <c r="K154">
        <f t="shared" si="44"/>
        <v>1</v>
      </c>
      <c r="L154" t="str">
        <f>'Lab test'!AC143</f>
        <v>LTWb</v>
      </c>
      <c r="O154" t="e">
        <f t="shared" si="45"/>
        <v>#N/A</v>
      </c>
      <c r="P154" t="e">
        <f t="shared" si="46"/>
        <v>#N/A</v>
      </c>
      <c r="Q154" t="e">
        <f t="shared" si="47"/>
        <v>#N/A</v>
      </c>
      <c r="R154" t="e">
        <f t="shared" si="48"/>
        <v>#N/A</v>
      </c>
      <c r="S154" t="e">
        <f t="shared" si="49"/>
        <v>#N/A</v>
      </c>
      <c r="T154" t="e">
        <f t="shared" si="50"/>
        <v>#N/A</v>
      </c>
      <c r="U154" t="e">
        <f t="shared" si="51"/>
        <v>#N/A</v>
      </c>
      <c r="W154" t="e">
        <f t="shared" si="52"/>
        <v>#N/A</v>
      </c>
      <c r="X154">
        <f t="shared" si="53"/>
        <v>0.3118761317731959</v>
      </c>
      <c r="Y154" t="e">
        <f t="shared" si="54"/>
        <v>#N/A</v>
      </c>
      <c r="Z154" t="e">
        <f t="shared" si="55"/>
        <v>#N/A</v>
      </c>
      <c r="AA154" t="e">
        <f t="shared" si="56"/>
        <v>#N/A</v>
      </c>
      <c r="AB154" t="e">
        <f t="shared" si="57"/>
        <v>#N/A</v>
      </c>
      <c r="AC154" t="e">
        <f t="shared" si="58"/>
        <v>#N/A</v>
      </c>
    </row>
    <row r="155" spans="2:29">
      <c r="B155">
        <v>141</v>
      </c>
      <c r="C155">
        <f>'Lab test'!Q144</f>
        <v>1062.5000000000002</v>
      </c>
      <c r="D155" t="e">
        <f>IF('Lab test'!AQ144&gt;0,'Lab test'!AQ144,NA())</f>
        <v>#N/A</v>
      </c>
      <c r="E155" t="e">
        <f>IF('Lab test'!AU144&gt;0,'Lab test'!AU144,NA())</f>
        <v>#N/A</v>
      </c>
      <c r="F155">
        <f>IF('Lab test'!AT144&gt;0,'Lab test'!AT144,NA())</f>
        <v>0.2992070328369692</v>
      </c>
      <c r="G155" t="e">
        <f t="shared" si="40"/>
        <v>#N/A</v>
      </c>
      <c r="H155" t="e">
        <f t="shared" si="41"/>
        <v>#N/A</v>
      </c>
      <c r="I155" t="e">
        <f t="shared" si="42"/>
        <v>#N/A</v>
      </c>
      <c r="J155">
        <f t="shared" si="43"/>
        <v>1</v>
      </c>
      <c r="K155">
        <f t="shared" si="44"/>
        <v>1</v>
      </c>
      <c r="L155" t="str">
        <f>'Lab test'!AC144</f>
        <v>LTWb</v>
      </c>
      <c r="O155" t="e">
        <f t="shared" si="45"/>
        <v>#N/A</v>
      </c>
      <c r="P155" t="e">
        <f t="shared" si="46"/>
        <v>#N/A</v>
      </c>
      <c r="Q155" t="e">
        <f t="shared" si="47"/>
        <v>#N/A</v>
      </c>
      <c r="R155" t="e">
        <f t="shared" si="48"/>
        <v>#N/A</v>
      </c>
      <c r="S155" t="e">
        <f t="shared" si="49"/>
        <v>#N/A</v>
      </c>
      <c r="T155" t="e">
        <f t="shared" si="50"/>
        <v>#N/A</v>
      </c>
      <c r="U155" t="e">
        <f t="shared" si="51"/>
        <v>#N/A</v>
      </c>
      <c r="W155" t="e">
        <f t="shared" si="52"/>
        <v>#N/A</v>
      </c>
      <c r="X155">
        <f t="shared" si="53"/>
        <v>0.2992070328369692</v>
      </c>
      <c r="Y155" t="e">
        <f t="shared" si="54"/>
        <v>#N/A</v>
      </c>
      <c r="Z155" t="e">
        <f t="shared" si="55"/>
        <v>#N/A</v>
      </c>
      <c r="AA155" t="e">
        <f t="shared" si="56"/>
        <v>#N/A</v>
      </c>
      <c r="AB155" t="e">
        <f t="shared" si="57"/>
        <v>#N/A</v>
      </c>
      <c r="AC155" t="e">
        <f t="shared" si="58"/>
        <v>#N/A</v>
      </c>
    </row>
    <row r="156" spans="2:29">
      <c r="B156">
        <v>142</v>
      </c>
      <c r="C156">
        <f>'Lab test'!Q145</f>
        <v>1062.5000000000002</v>
      </c>
      <c r="D156" t="e">
        <f>IF('Lab test'!AQ145&gt;0,'Lab test'!AQ145,NA())</f>
        <v>#N/A</v>
      </c>
      <c r="E156" t="e">
        <f>IF('Lab test'!AU145&gt;0,'Lab test'!AU145,NA())</f>
        <v>#N/A</v>
      </c>
      <c r="F156">
        <f>IF('Lab test'!AT145&gt;0,'Lab test'!AT145,NA())</f>
        <v>0.41939904410146706</v>
      </c>
      <c r="G156" t="e">
        <f t="shared" si="40"/>
        <v>#N/A</v>
      </c>
      <c r="H156" t="e">
        <f t="shared" si="41"/>
        <v>#N/A</v>
      </c>
      <c r="I156" t="e">
        <f t="shared" si="42"/>
        <v>#N/A</v>
      </c>
      <c r="J156">
        <f t="shared" si="43"/>
        <v>1</v>
      </c>
      <c r="K156">
        <f t="shared" si="44"/>
        <v>1</v>
      </c>
      <c r="L156" t="str">
        <f>'Lab test'!AC145</f>
        <v>LTWb</v>
      </c>
      <c r="O156" t="e">
        <f t="shared" si="45"/>
        <v>#N/A</v>
      </c>
      <c r="P156" t="e">
        <f t="shared" si="46"/>
        <v>#N/A</v>
      </c>
      <c r="Q156" t="e">
        <f t="shared" si="47"/>
        <v>#N/A</v>
      </c>
      <c r="R156" t="e">
        <f t="shared" si="48"/>
        <v>#N/A</v>
      </c>
      <c r="S156" t="e">
        <f t="shared" si="49"/>
        <v>#N/A</v>
      </c>
      <c r="T156" t="e">
        <f t="shared" si="50"/>
        <v>#N/A</v>
      </c>
      <c r="U156" t="e">
        <f t="shared" si="51"/>
        <v>#N/A</v>
      </c>
      <c r="W156" t="e">
        <f t="shared" si="52"/>
        <v>#N/A</v>
      </c>
      <c r="X156">
        <f t="shared" si="53"/>
        <v>0.41939904410146706</v>
      </c>
      <c r="Y156" t="e">
        <f t="shared" si="54"/>
        <v>#N/A</v>
      </c>
      <c r="Z156" t="e">
        <f t="shared" si="55"/>
        <v>#N/A</v>
      </c>
      <c r="AA156" t="e">
        <f t="shared" si="56"/>
        <v>#N/A</v>
      </c>
      <c r="AB156" t="e">
        <f t="shared" si="57"/>
        <v>#N/A</v>
      </c>
      <c r="AC156" t="e">
        <f t="shared" si="58"/>
        <v>#N/A</v>
      </c>
    </row>
    <row r="157" spans="2:29">
      <c r="B157">
        <v>143</v>
      </c>
      <c r="C157">
        <f>'Lab test'!Q146</f>
        <v>1062.5000000000002</v>
      </c>
      <c r="D157" t="e">
        <f>IF('Lab test'!AQ146&gt;0,'Lab test'!AQ146,NA())</f>
        <v>#N/A</v>
      </c>
      <c r="E157" t="e">
        <f>IF('Lab test'!AU146&gt;0,'Lab test'!AU146,NA())</f>
        <v>#N/A</v>
      </c>
      <c r="F157">
        <f>IF('Lab test'!AT146&gt;0,'Lab test'!AT146,NA())</f>
        <v>0.44499639812222946</v>
      </c>
      <c r="G157" t="e">
        <f t="shared" si="40"/>
        <v>#N/A</v>
      </c>
      <c r="H157" t="e">
        <f t="shared" si="41"/>
        <v>#N/A</v>
      </c>
      <c r="I157" t="e">
        <f t="shared" si="42"/>
        <v>#N/A</v>
      </c>
      <c r="J157">
        <f t="shared" si="43"/>
        <v>1</v>
      </c>
      <c r="K157">
        <f t="shared" si="44"/>
        <v>1</v>
      </c>
      <c r="L157" t="str">
        <f>'Lab test'!AC146</f>
        <v>LTWb</v>
      </c>
      <c r="O157" t="e">
        <f t="shared" si="45"/>
        <v>#N/A</v>
      </c>
      <c r="P157" t="e">
        <f t="shared" si="46"/>
        <v>#N/A</v>
      </c>
      <c r="Q157" t="e">
        <f t="shared" si="47"/>
        <v>#N/A</v>
      </c>
      <c r="R157" t="e">
        <f t="shared" si="48"/>
        <v>#N/A</v>
      </c>
      <c r="S157" t="e">
        <f t="shared" si="49"/>
        <v>#N/A</v>
      </c>
      <c r="T157" t="e">
        <f t="shared" si="50"/>
        <v>#N/A</v>
      </c>
      <c r="U157" t="e">
        <f t="shared" si="51"/>
        <v>#N/A</v>
      </c>
      <c r="W157" t="e">
        <f t="shared" si="52"/>
        <v>#N/A</v>
      </c>
      <c r="X157">
        <f t="shared" si="53"/>
        <v>0.44499639812222946</v>
      </c>
      <c r="Y157" t="e">
        <f t="shared" si="54"/>
        <v>#N/A</v>
      </c>
      <c r="Z157" t="e">
        <f t="shared" si="55"/>
        <v>#N/A</v>
      </c>
      <c r="AA157" t="e">
        <f t="shared" si="56"/>
        <v>#N/A</v>
      </c>
      <c r="AB157" t="e">
        <f t="shared" si="57"/>
        <v>#N/A</v>
      </c>
      <c r="AC157" t="e">
        <f t="shared" si="58"/>
        <v>#N/A</v>
      </c>
    </row>
    <row r="158" spans="2:29">
      <c r="B158">
        <v>144</v>
      </c>
      <c r="C158">
        <f>'Lab test'!Q147</f>
        <v>1062.5000000000002</v>
      </c>
      <c r="D158" t="e">
        <f>IF('Lab test'!AQ147&gt;0,'Lab test'!AQ147,NA())</f>
        <v>#N/A</v>
      </c>
      <c r="E158" t="e">
        <f>IF('Lab test'!AU147&gt;0,'Lab test'!AU147,NA())</f>
        <v>#N/A</v>
      </c>
      <c r="F158">
        <f>IF('Lab test'!AT147&gt;0,'Lab test'!AT147,NA())</f>
        <v>0.46109873569917537</v>
      </c>
      <c r="G158" t="e">
        <f t="shared" si="40"/>
        <v>#N/A</v>
      </c>
      <c r="H158" t="e">
        <f t="shared" si="41"/>
        <v>#N/A</v>
      </c>
      <c r="I158" t="e">
        <f t="shared" si="42"/>
        <v>#N/A</v>
      </c>
      <c r="J158">
        <f t="shared" si="43"/>
        <v>1</v>
      </c>
      <c r="K158">
        <f t="shared" si="44"/>
        <v>1</v>
      </c>
      <c r="L158" t="str">
        <f>'Lab test'!AC147</f>
        <v>LTWb</v>
      </c>
      <c r="O158" t="e">
        <f t="shared" si="45"/>
        <v>#N/A</v>
      </c>
      <c r="P158" t="e">
        <f t="shared" si="46"/>
        <v>#N/A</v>
      </c>
      <c r="Q158" t="e">
        <f t="shared" si="47"/>
        <v>#N/A</v>
      </c>
      <c r="R158" t="e">
        <f t="shared" si="48"/>
        <v>#N/A</v>
      </c>
      <c r="S158" t="e">
        <f t="shared" si="49"/>
        <v>#N/A</v>
      </c>
      <c r="T158" t="e">
        <f t="shared" si="50"/>
        <v>#N/A</v>
      </c>
      <c r="U158" t="e">
        <f t="shared" si="51"/>
        <v>#N/A</v>
      </c>
      <c r="W158" t="e">
        <f t="shared" si="52"/>
        <v>#N/A</v>
      </c>
      <c r="X158">
        <f t="shared" si="53"/>
        <v>0.46109873569917537</v>
      </c>
      <c r="Y158" t="e">
        <f t="shared" si="54"/>
        <v>#N/A</v>
      </c>
      <c r="Z158" t="e">
        <f t="shared" si="55"/>
        <v>#N/A</v>
      </c>
      <c r="AA158" t="e">
        <f t="shared" si="56"/>
        <v>#N/A</v>
      </c>
      <c r="AB158" t="e">
        <f t="shared" si="57"/>
        <v>#N/A</v>
      </c>
      <c r="AC158" t="e">
        <f t="shared" si="58"/>
        <v>#N/A</v>
      </c>
    </row>
    <row r="159" spans="2:29">
      <c r="B159">
        <v>145</v>
      </c>
      <c r="C159">
        <f>'Lab test'!Q148</f>
        <v>1062.5000000000002</v>
      </c>
      <c r="D159" t="e">
        <f>IF('Lab test'!AQ148&gt;0,'Lab test'!AQ148,NA())</f>
        <v>#N/A</v>
      </c>
      <c r="E159" t="e">
        <f>IF('Lab test'!AU148&gt;0,'Lab test'!AU148,NA())</f>
        <v>#N/A</v>
      </c>
      <c r="F159">
        <f>IF('Lab test'!AT148&gt;0,'Lab test'!AT148,NA())</f>
        <v>0.60196979325447642</v>
      </c>
      <c r="G159" t="e">
        <f t="shared" si="40"/>
        <v>#N/A</v>
      </c>
      <c r="H159" t="e">
        <f t="shared" si="41"/>
        <v>#N/A</v>
      </c>
      <c r="I159" t="e">
        <f t="shared" si="42"/>
        <v>#N/A</v>
      </c>
      <c r="J159">
        <f t="shared" si="43"/>
        <v>1</v>
      </c>
      <c r="K159">
        <f t="shared" si="44"/>
        <v>1</v>
      </c>
      <c r="L159" t="str">
        <f>'Lab test'!AC148</f>
        <v>LTWb</v>
      </c>
      <c r="O159" t="e">
        <f t="shared" si="45"/>
        <v>#N/A</v>
      </c>
      <c r="P159" t="e">
        <f t="shared" si="46"/>
        <v>#N/A</v>
      </c>
      <c r="Q159" t="e">
        <f t="shared" si="47"/>
        <v>#N/A</v>
      </c>
      <c r="R159" t="e">
        <f t="shared" si="48"/>
        <v>#N/A</v>
      </c>
      <c r="S159" t="e">
        <f t="shared" si="49"/>
        <v>#N/A</v>
      </c>
      <c r="T159" t="e">
        <f t="shared" si="50"/>
        <v>#N/A</v>
      </c>
      <c r="U159" t="e">
        <f t="shared" si="51"/>
        <v>#N/A</v>
      </c>
      <c r="W159" t="e">
        <f t="shared" si="52"/>
        <v>#N/A</v>
      </c>
      <c r="X159">
        <f t="shared" si="53"/>
        <v>0.60196979325447642</v>
      </c>
      <c r="Y159" t="e">
        <f t="shared" si="54"/>
        <v>#N/A</v>
      </c>
      <c r="Z159" t="e">
        <f t="shared" si="55"/>
        <v>#N/A</v>
      </c>
      <c r="AA159" t="e">
        <f t="shared" si="56"/>
        <v>#N/A</v>
      </c>
      <c r="AB159" t="e">
        <f t="shared" si="57"/>
        <v>#N/A</v>
      </c>
      <c r="AC159" t="e">
        <f t="shared" si="58"/>
        <v>#N/A</v>
      </c>
    </row>
    <row r="160" spans="2:29">
      <c r="B160">
        <v>146</v>
      </c>
      <c r="C160">
        <f>'Lab test'!Q149</f>
        <v>1062.5000000000002</v>
      </c>
      <c r="D160" t="e">
        <f>IF('Lab test'!AQ149&gt;0,'Lab test'!AQ149,NA())</f>
        <v>#N/A</v>
      </c>
      <c r="E160" t="e">
        <f>IF('Lab test'!AU149&gt;0,'Lab test'!AU149,NA())</f>
        <v>#N/A</v>
      </c>
      <c r="F160">
        <f>IF('Lab test'!AT149&gt;0,'Lab test'!AT149,NA())</f>
        <v>0.82402182416060177</v>
      </c>
      <c r="G160" t="e">
        <f t="shared" si="40"/>
        <v>#N/A</v>
      </c>
      <c r="H160" t="e">
        <f t="shared" si="41"/>
        <v>#N/A</v>
      </c>
      <c r="I160" t="e">
        <f t="shared" si="42"/>
        <v>#N/A</v>
      </c>
      <c r="J160">
        <f t="shared" si="43"/>
        <v>1</v>
      </c>
      <c r="K160">
        <f t="shared" si="44"/>
        <v>1</v>
      </c>
      <c r="L160" t="str">
        <f>'Lab test'!AC149</f>
        <v>LTWb</v>
      </c>
      <c r="O160" t="e">
        <f t="shared" si="45"/>
        <v>#N/A</v>
      </c>
      <c r="P160" t="e">
        <f t="shared" si="46"/>
        <v>#N/A</v>
      </c>
      <c r="Q160" t="e">
        <f t="shared" si="47"/>
        <v>#N/A</v>
      </c>
      <c r="R160" t="e">
        <f t="shared" si="48"/>
        <v>#N/A</v>
      </c>
      <c r="S160" t="e">
        <f t="shared" si="49"/>
        <v>#N/A</v>
      </c>
      <c r="T160" t="e">
        <f t="shared" si="50"/>
        <v>#N/A</v>
      </c>
      <c r="U160" t="e">
        <f t="shared" si="51"/>
        <v>#N/A</v>
      </c>
      <c r="W160" t="e">
        <f t="shared" si="52"/>
        <v>#N/A</v>
      </c>
      <c r="X160">
        <f t="shared" si="53"/>
        <v>0.82402182416060177</v>
      </c>
      <c r="Y160" t="e">
        <f t="shared" si="54"/>
        <v>#N/A</v>
      </c>
      <c r="Z160" t="e">
        <f t="shared" si="55"/>
        <v>#N/A</v>
      </c>
      <c r="AA160" t="e">
        <f t="shared" si="56"/>
        <v>#N/A</v>
      </c>
      <c r="AB160" t="e">
        <f t="shared" si="57"/>
        <v>#N/A</v>
      </c>
      <c r="AC160" t="e">
        <f t="shared" si="58"/>
        <v>#N/A</v>
      </c>
    </row>
    <row r="161" spans="2:29">
      <c r="B161">
        <v>147</v>
      </c>
      <c r="C161">
        <f>'Lab test'!Q150</f>
        <v>1062.5000000000002</v>
      </c>
      <c r="D161" t="e">
        <f>IF('Lab test'!AQ150&gt;0,'Lab test'!AQ150,NA())</f>
        <v>#N/A</v>
      </c>
      <c r="E161" t="e">
        <f>IF('Lab test'!AU150&gt;0,'Lab test'!AU150,NA())</f>
        <v>#N/A</v>
      </c>
      <c r="F161">
        <f>IF('Lab test'!AT150&gt;0,'Lab test'!AT150,NA())</f>
        <v>1.2475045270927856</v>
      </c>
      <c r="G161" t="e">
        <f t="shared" si="40"/>
        <v>#N/A</v>
      </c>
      <c r="H161" t="e">
        <f t="shared" si="41"/>
        <v>#N/A</v>
      </c>
      <c r="I161" t="e">
        <f t="shared" si="42"/>
        <v>#N/A</v>
      </c>
      <c r="J161">
        <f t="shared" si="43"/>
        <v>1</v>
      </c>
      <c r="K161">
        <f t="shared" si="44"/>
        <v>1</v>
      </c>
      <c r="L161" t="str">
        <f>'Lab test'!AC150</f>
        <v>LTWb</v>
      </c>
      <c r="O161" t="e">
        <f t="shared" si="45"/>
        <v>#N/A</v>
      </c>
      <c r="P161" t="e">
        <f t="shared" si="46"/>
        <v>#N/A</v>
      </c>
      <c r="Q161" t="e">
        <f t="shared" si="47"/>
        <v>#N/A</v>
      </c>
      <c r="R161" t="e">
        <f t="shared" si="48"/>
        <v>#N/A</v>
      </c>
      <c r="S161" t="e">
        <f t="shared" si="49"/>
        <v>#N/A</v>
      </c>
      <c r="T161" t="e">
        <f t="shared" si="50"/>
        <v>#N/A</v>
      </c>
      <c r="U161" t="e">
        <f t="shared" si="51"/>
        <v>#N/A</v>
      </c>
      <c r="W161" t="e">
        <f t="shared" si="52"/>
        <v>#N/A</v>
      </c>
      <c r="X161">
        <f t="shared" si="53"/>
        <v>1.2475045270927856</v>
      </c>
      <c r="Y161" t="e">
        <f t="shared" si="54"/>
        <v>#N/A</v>
      </c>
      <c r="Z161" t="e">
        <f t="shared" si="55"/>
        <v>#N/A</v>
      </c>
      <c r="AA161" t="e">
        <f t="shared" si="56"/>
        <v>#N/A</v>
      </c>
      <c r="AB161" t="e">
        <f t="shared" si="57"/>
        <v>#N/A</v>
      </c>
      <c r="AC161" t="e">
        <f t="shared" si="58"/>
        <v>#N/A</v>
      </c>
    </row>
    <row r="162" spans="2:29">
      <c r="B162">
        <v>148</v>
      </c>
      <c r="C162">
        <f>'Lab test'!Q151</f>
        <v>1275</v>
      </c>
      <c r="D162" t="e">
        <f>IF('Lab test'!AQ151&gt;0,'Lab test'!AQ151,NA())</f>
        <v>#N/A</v>
      </c>
      <c r="E162" t="e">
        <f>IF('Lab test'!AU151&gt;0,'Lab test'!AU151,NA())</f>
        <v>#N/A</v>
      </c>
      <c r="F162">
        <f>IF('Lab test'!AT151&gt;0,'Lab test'!AT151,NA())</f>
        <v>0.29222202097363392</v>
      </c>
      <c r="G162" t="e">
        <f t="shared" si="40"/>
        <v>#N/A</v>
      </c>
      <c r="H162" t="e">
        <f t="shared" si="41"/>
        <v>#N/A</v>
      </c>
      <c r="I162" t="e">
        <f t="shared" si="42"/>
        <v>#N/A</v>
      </c>
      <c r="J162">
        <f t="shared" si="43"/>
        <v>1</v>
      </c>
      <c r="K162">
        <f t="shared" si="44"/>
        <v>1</v>
      </c>
      <c r="L162" t="str">
        <f>'Lab test'!AC151</f>
        <v>LTWb</v>
      </c>
      <c r="O162" t="e">
        <f t="shared" si="45"/>
        <v>#N/A</v>
      </c>
      <c r="P162" t="e">
        <f t="shared" si="46"/>
        <v>#N/A</v>
      </c>
      <c r="Q162" t="e">
        <f t="shared" si="47"/>
        <v>#N/A</v>
      </c>
      <c r="R162" t="e">
        <f t="shared" si="48"/>
        <v>#N/A</v>
      </c>
      <c r="S162" t="e">
        <f t="shared" si="49"/>
        <v>#N/A</v>
      </c>
      <c r="T162" t="e">
        <f t="shared" si="50"/>
        <v>#N/A</v>
      </c>
      <c r="U162" t="e">
        <f t="shared" si="51"/>
        <v>#N/A</v>
      </c>
      <c r="W162" t="e">
        <f t="shared" si="52"/>
        <v>#N/A</v>
      </c>
      <c r="X162">
        <f t="shared" si="53"/>
        <v>0.29222202097363392</v>
      </c>
      <c r="Y162" t="e">
        <f t="shared" si="54"/>
        <v>#N/A</v>
      </c>
      <c r="Z162" t="e">
        <f t="shared" si="55"/>
        <v>#N/A</v>
      </c>
      <c r="AA162" t="e">
        <f t="shared" si="56"/>
        <v>#N/A</v>
      </c>
      <c r="AB162" t="e">
        <f t="shared" si="57"/>
        <v>#N/A</v>
      </c>
      <c r="AC162" t="e">
        <f t="shared" si="58"/>
        <v>#N/A</v>
      </c>
    </row>
    <row r="163" spans="2:29">
      <c r="B163">
        <v>149</v>
      </c>
      <c r="C163">
        <f>'Lab test'!Q152</f>
        <v>1275</v>
      </c>
      <c r="D163" t="e">
        <f>IF('Lab test'!AQ152&gt;0,'Lab test'!AQ152,NA())</f>
        <v>#N/A</v>
      </c>
      <c r="E163" t="e">
        <f>IF('Lab test'!AU152&gt;0,'Lab test'!AU152,NA())</f>
        <v>#N/A</v>
      </c>
      <c r="F163">
        <f>IF('Lab test'!AT152&gt;0,'Lab test'!AT152,NA())</f>
        <v>0.234304685559169</v>
      </c>
      <c r="G163" t="e">
        <f t="shared" si="40"/>
        <v>#N/A</v>
      </c>
      <c r="H163" t="e">
        <f t="shared" si="41"/>
        <v>#N/A</v>
      </c>
      <c r="I163" t="e">
        <f t="shared" si="42"/>
        <v>#N/A</v>
      </c>
      <c r="J163">
        <f t="shared" si="43"/>
        <v>1</v>
      </c>
      <c r="K163">
        <f t="shared" si="44"/>
        <v>1</v>
      </c>
      <c r="L163" t="str">
        <f>'Lab test'!AC152</f>
        <v>LTWb</v>
      </c>
      <c r="O163" t="e">
        <f t="shared" si="45"/>
        <v>#N/A</v>
      </c>
      <c r="P163" t="e">
        <f t="shared" si="46"/>
        <v>#N/A</v>
      </c>
      <c r="Q163" t="e">
        <f t="shared" si="47"/>
        <v>#N/A</v>
      </c>
      <c r="R163" t="e">
        <f t="shared" si="48"/>
        <v>#N/A</v>
      </c>
      <c r="S163" t="e">
        <f t="shared" si="49"/>
        <v>#N/A</v>
      </c>
      <c r="T163" t="e">
        <f t="shared" si="50"/>
        <v>#N/A</v>
      </c>
      <c r="U163" t="e">
        <f t="shared" si="51"/>
        <v>#N/A</v>
      </c>
      <c r="W163" t="e">
        <f t="shared" si="52"/>
        <v>#N/A</v>
      </c>
      <c r="X163">
        <f t="shared" si="53"/>
        <v>0.234304685559169</v>
      </c>
      <c r="Y163" t="e">
        <f t="shared" si="54"/>
        <v>#N/A</v>
      </c>
      <c r="Z163" t="e">
        <f t="shared" si="55"/>
        <v>#N/A</v>
      </c>
      <c r="AA163" t="e">
        <f t="shared" si="56"/>
        <v>#N/A</v>
      </c>
      <c r="AB163" t="e">
        <f t="shared" si="57"/>
        <v>#N/A</v>
      </c>
      <c r="AC163" t="e">
        <f t="shared" si="58"/>
        <v>#N/A</v>
      </c>
    </row>
    <row r="164" spans="2:29">
      <c r="B164">
        <v>150</v>
      </c>
      <c r="C164">
        <f>'Lab test'!Q153</f>
        <v>1275</v>
      </c>
      <c r="D164" t="e">
        <f>IF('Lab test'!AQ153&gt;0,'Lab test'!AQ153,NA())</f>
        <v>#N/A</v>
      </c>
      <c r="E164" t="e">
        <f>IF('Lab test'!AU153&gt;0,'Lab test'!AU153,NA())</f>
        <v>#N/A</v>
      </c>
      <c r="F164">
        <f>IF('Lab test'!AT153&gt;0,'Lab test'!AT153,NA())</f>
        <v>0.22126347205761535</v>
      </c>
      <c r="G164" t="e">
        <f t="shared" si="40"/>
        <v>#N/A</v>
      </c>
      <c r="H164" t="e">
        <f t="shared" si="41"/>
        <v>#N/A</v>
      </c>
      <c r="I164" t="e">
        <f t="shared" si="42"/>
        <v>#N/A</v>
      </c>
      <c r="J164">
        <f t="shared" si="43"/>
        <v>1</v>
      </c>
      <c r="K164">
        <f t="shared" si="44"/>
        <v>1</v>
      </c>
      <c r="L164" t="str">
        <f>'Lab test'!AC153</f>
        <v>LTWb</v>
      </c>
      <c r="O164" t="e">
        <f t="shared" si="45"/>
        <v>#N/A</v>
      </c>
      <c r="P164" t="e">
        <f t="shared" si="46"/>
        <v>#N/A</v>
      </c>
      <c r="Q164" t="e">
        <f t="shared" si="47"/>
        <v>#N/A</v>
      </c>
      <c r="R164" t="e">
        <f t="shared" si="48"/>
        <v>#N/A</v>
      </c>
      <c r="S164" t="e">
        <f t="shared" si="49"/>
        <v>#N/A</v>
      </c>
      <c r="T164" t="e">
        <f t="shared" si="50"/>
        <v>#N/A</v>
      </c>
      <c r="U164" t="e">
        <f t="shared" si="51"/>
        <v>#N/A</v>
      </c>
      <c r="W164" t="e">
        <f t="shared" si="52"/>
        <v>#N/A</v>
      </c>
      <c r="X164">
        <f t="shared" si="53"/>
        <v>0.22126347205761535</v>
      </c>
      <c r="Y164" t="e">
        <f t="shared" si="54"/>
        <v>#N/A</v>
      </c>
      <c r="Z164" t="e">
        <f t="shared" si="55"/>
        <v>#N/A</v>
      </c>
      <c r="AA164" t="e">
        <f t="shared" si="56"/>
        <v>#N/A</v>
      </c>
      <c r="AB164" t="e">
        <f t="shared" si="57"/>
        <v>#N/A</v>
      </c>
      <c r="AC164" t="e">
        <f t="shared" si="58"/>
        <v>#N/A</v>
      </c>
    </row>
    <row r="165" spans="2:29">
      <c r="B165">
        <v>151</v>
      </c>
      <c r="C165">
        <f>'Lab test'!Q154</f>
        <v>1275</v>
      </c>
      <c r="D165" t="e">
        <f>IF('Lab test'!AQ154&gt;0,'Lab test'!AQ154,NA())</f>
        <v>#N/A</v>
      </c>
      <c r="E165" t="e">
        <f>IF('Lab test'!AU154&gt;0,'Lab test'!AU154,NA())</f>
        <v>#N/A</v>
      </c>
      <c r="F165">
        <f>IF('Lab test'!AT154&gt;0,'Lab test'!AT154,NA())</f>
        <v>0.21239512485531817</v>
      </c>
      <c r="G165" t="e">
        <f t="shared" si="40"/>
        <v>#N/A</v>
      </c>
      <c r="H165" t="e">
        <f t="shared" si="41"/>
        <v>#N/A</v>
      </c>
      <c r="I165" t="e">
        <f t="shared" si="42"/>
        <v>#N/A</v>
      </c>
      <c r="J165">
        <f t="shared" si="43"/>
        <v>1</v>
      </c>
      <c r="K165">
        <f t="shared" si="44"/>
        <v>1</v>
      </c>
      <c r="L165" t="str">
        <f>'Lab test'!AC154</f>
        <v>LTWb</v>
      </c>
      <c r="O165" t="e">
        <f t="shared" si="45"/>
        <v>#N/A</v>
      </c>
      <c r="P165" t="e">
        <f t="shared" si="46"/>
        <v>#N/A</v>
      </c>
      <c r="Q165" t="e">
        <f t="shared" si="47"/>
        <v>#N/A</v>
      </c>
      <c r="R165" t="e">
        <f t="shared" si="48"/>
        <v>#N/A</v>
      </c>
      <c r="S165" t="e">
        <f t="shared" si="49"/>
        <v>#N/A</v>
      </c>
      <c r="T165" t="e">
        <f t="shared" si="50"/>
        <v>#N/A</v>
      </c>
      <c r="U165" t="e">
        <f t="shared" si="51"/>
        <v>#N/A</v>
      </c>
      <c r="W165" t="e">
        <f t="shared" si="52"/>
        <v>#N/A</v>
      </c>
      <c r="X165">
        <f t="shared" si="53"/>
        <v>0.21239512485531817</v>
      </c>
      <c r="Y165" t="e">
        <f t="shared" si="54"/>
        <v>#N/A</v>
      </c>
      <c r="Z165" t="e">
        <f t="shared" si="55"/>
        <v>#N/A</v>
      </c>
      <c r="AA165" t="e">
        <f t="shared" si="56"/>
        <v>#N/A</v>
      </c>
      <c r="AB165" t="e">
        <f t="shared" si="57"/>
        <v>#N/A</v>
      </c>
      <c r="AC165" t="e">
        <f t="shared" si="58"/>
        <v>#N/A</v>
      </c>
    </row>
    <row r="166" spans="2:29">
      <c r="B166">
        <v>152</v>
      </c>
      <c r="C166">
        <f>'Lab test'!Q155</f>
        <v>1275</v>
      </c>
      <c r="D166" t="e">
        <f>IF('Lab test'!AQ155&gt;0,'Lab test'!AQ155,NA())</f>
        <v>#N/A</v>
      </c>
      <c r="E166" t="e">
        <f>IF('Lab test'!AU155&gt;0,'Lab test'!AU155,NA())</f>
        <v>#N/A</v>
      </c>
      <c r="F166">
        <f>IF('Lab test'!AT155&gt;0,'Lab test'!AT155,NA())</f>
        <v>0.2089481221860954</v>
      </c>
      <c r="G166" t="e">
        <f t="shared" si="40"/>
        <v>#N/A</v>
      </c>
      <c r="H166" t="e">
        <f t="shared" si="41"/>
        <v>#N/A</v>
      </c>
      <c r="I166" t="e">
        <f t="shared" si="42"/>
        <v>#N/A</v>
      </c>
      <c r="J166">
        <f t="shared" si="43"/>
        <v>1</v>
      </c>
      <c r="K166">
        <f t="shared" si="44"/>
        <v>1</v>
      </c>
      <c r="L166" t="str">
        <f>'Lab test'!AC155</f>
        <v>LTWb</v>
      </c>
      <c r="O166" t="e">
        <f t="shared" si="45"/>
        <v>#N/A</v>
      </c>
      <c r="P166" t="e">
        <f t="shared" si="46"/>
        <v>#N/A</v>
      </c>
      <c r="Q166" t="e">
        <f t="shared" si="47"/>
        <v>#N/A</v>
      </c>
      <c r="R166" t="e">
        <f t="shared" si="48"/>
        <v>#N/A</v>
      </c>
      <c r="S166" t="e">
        <f t="shared" si="49"/>
        <v>#N/A</v>
      </c>
      <c r="T166" t="e">
        <f t="shared" si="50"/>
        <v>#N/A</v>
      </c>
      <c r="U166" t="e">
        <f t="shared" si="51"/>
        <v>#N/A</v>
      </c>
      <c r="W166" t="e">
        <f t="shared" si="52"/>
        <v>#N/A</v>
      </c>
      <c r="X166">
        <f t="shared" si="53"/>
        <v>0.2089481221860954</v>
      </c>
      <c r="Y166" t="e">
        <f t="shared" si="54"/>
        <v>#N/A</v>
      </c>
      <c r="Z166" t="e">
        <f t="shared" si="55"/>
        <v>#N/A</v>
      </c>
      <c r="AA166" t="e">
        <f t="shared" si="56"/>
        <v>#N/A</v>
      </c>
      <c r="AB166" t="e">
        <f t="shared" si="57"/>
        <v>#N/A</v>
      </c>
      <c r="AC166" t="e">
        <f t="shared" si="58"/>
        <v>#N/A</v>
      </c>
    </row>
    <row r="167" spans="2:29">
      <c r="B167">
        <v>153</v>
      </c>
      <c r="C167">
        <f>'Lab test'!Q156</f>
        <v>1275</v>
      </c>
      <c r="D167" t="e">
        <f>IF('Lab test'!AQ156&gt;0,'Lab test'!AQ156,NA())</f>
        <v>#N/A</v>
      </c>
      <c r="E167" t="e">
        <f>IF('Lab test'!AU156&gt;0,'Lab test'!AU156,NA())</f>
        <v>#N/A</v>
      </c>
      <c r="F167">
        <f>IF('Lab test'!AT156&gt;0,'Lab test'!AT156,NA())</f>
        <v>0.20555706160786749</v>
      </c>
      <c r="G167" t="e">
        <f t="shared" si="40"/>
        <v>#N/A</v>
      </c>
      <c r="H167" t="e">
        <f t="shared" si="41"/>
        <v>#N/A</v>
      </c>
      <c r="I167" t="e">
        <f t="shared" si="42"/>
        <v>#N/A</v>
      </c>
      <c r="J167">
        <f t="shared" si="43"/>
        <v>1</v>
      </c>
      <c r="K167">
        <f t="shared" si="44"/>
        <v>1</v>
      </c>
      <c r="L167" t="str">
        <f>'Lab test'!AC156</f>
        <v>LTWb</v>
      </c>
      <c r="O167" t="e">
        <f t="shared" si="45"/>
        <v>#N/A</v>
      </c>
      <c r="P167" t="e">
        <f t="shared" si="46"/>
        <v>#N/A</v>
      </c>
      <c r="Q167" t="e">
        <f t="shared" si="47"/>
        <v>#N/A</v>
      </c>
      <c r="R167" t="e">
        <f t="shared" si="48"/>
        <v>#N/A</v>
      </c>
      <c r="S167" t="e">
        <f t="shared" si="49"/>
        <v>#N/A</v>
      </c>
      <c r="T167" t="e">
        <f t="shared" si="50"/>
        <v>#N/A</v>
      </c>
      <c r="U167" t="e">
        <f t="shared" si="51"/>
        <v>#N/A</v>
      </c>
      <c r="W167" t="e">
        <f t="shared" si="52"/>
        <v>#N/A</v>
      </c>
      <c r="X167">
        <f t="shared" si="53"/>
        <v>0.20555706160786749</v>
      </c>
      <c r="Y167" t="e">
        <f t="shared" si="54"/>
        <v>#N/A</v>
      </c>
      <c r="Z167" t="e">
        <f t="shared" si="55"/>
        <v>#N/A</v>
      </c>
      <c r="AA167" t="e">
        <f t="shared" si="56"/>
        <v>#N/A</v>
      </c>
      <c r="AB167" t="e">
        <f t="shared" si="57"/>
        <v>#N/A</v>
      </c>
      <c r="AC167" t="e">
        <f t="shared" si="58"/>
        <v>#N/A</v>
      </c>
    </row>
    <row r="168" spans="2:29">
      <c r="B168">
        <v>154</v>
      </c>
      <c r="C168">
        <f>'Lab test'!Q157</f>
        <v>1275</v>
      </c>
      <c r="D168" t="e">
        <f>IF('Lab test'!AQ157&gt;0,'Lab test'!AQ157,NA())</f>
        <v>#N/A</v>
      </c>
      <c r="E168" t="e">
        <f>IF('Lab test'!AU157&gt;0,'Lab test'!AU157,NA())</f>
        <v>#N/A</v>
      </c>
      <c r="F168">
        <f>IF('Lab test'!AT157&gt;0,'Lab test'!AT157,NA())</f>
        <v>0.24012649456431293</v>
      </c>
      <c r="G168" t="e">
        <f t="shared" si="40"/>
        <v>#N/A</v>
      </c>
      <c r="H168" t="e">
        <f t="shared" si="41"/>
        <v>#N/A</v>
      </c>
      <c r="I168" t="e">
        <f t="shared" si="42"/>
        <v>#N/A</v>
      </c>
      <c r="J168">
        <f t="shared" si="43"/>
        <v>1</v>
      </c>
      <c r="K168">
        <f t="shared" si="44"/>
        <v>1</v>
      </c>
      <c r="L168" t="str">
        <f>'Lab test'!AC157</f>
        <v>LTWb</v>
      </c>
      <c r="O168" t="e">
        <f t="shared" si="45"/>
        <v>#N/A</v>
      </c>
      <c r="P168" t="e">
        <f t="shared" si="46"/>
        <v>#N/A</v>
      </c>
      <c r="Q168" t="e">
        <f t="shared" si="47"/>
        <v>#N/A</v>
      </c>
      <c r="R168" t="e">
        <f t="shared" si="48"/>
        <v>#N/A</v>
      </c>
      <c r="S168" t="e">
        <f t="shared" si="49"/>
        <v>#N/A</v>
      </c>
      <c r="T168" t="e">
        <f t="shared" si="50"/>
        <v>#N/A</v>
      </c>
      <c r="U168" t="e">
        <f t="shared" si="51"/>
        <v>#N/A</v>
      </c>
      <c r="W168" t="e">
        <f t="shared" si="52"/>
        <v>#N/A</v>
      </c>
      <c r="X168">
        <f t="shared" si="53"/>
        <v>0.24012649456431293</v>
      </c>
      <c r="Y168" t="e">
        <f t="shared" si="54"/>
        <v>#N/A</v>
      </c>
      <c r="Z168" t="e">
        <f t="shared" si="55"/>
        <v>#N/A</v>
      </c>
      <c r="AA168" t="e">
        <f t="shared" si="56"/>
        <v>#N/A</v>
      </c>
      <c r="AB168" t="e">
        <f t="shared" si="57"/>
        <v>#N/A</v>
      </c>
      <c r="AC168" t="e">
        <f t="shared" si="58"/>
        <v>#N/A</v>
      </c>
    </row>
    <row r="169" spans="2:29">
      <c r="B169">
        <v>155</v>
      </c>
      <c r="C169">
        <f>'Lab test'!Q158</f>
        <v>1275</v>
      </c>
      <c r="D169" t="e">
        <f>IF('Lab test'!AQ158&gt;0,'Lab test'!AQ158,NA())</f>
        <v>#N/A</v>
      </c>
      <c r="E169" t="e">
        <f>IF('Lab test'!AU158&gt;0,'Lab test'!AU158,NA())</f>
        <v>#N/A</v>
      </c>
      <c r="F169">
        <f>IF('Lab test'!AT158&gt;0,'Lab test'!AT158,NA())</f>
        <v>0.26273835390627037</v>
      </c>
      <c r="G169" t="e">
        <f t="shared" si="40"/>
        <v>#N/A</v>
      </c>
      <c r="H169" t="e">
        <f t="shared" si="41"/>
        <v>#N/A</v>
      </c>
      <c r="I169" t="e">
        <f t="shared" si="42"/>
        <v>#N/A</v>
      </c>
      <c r="J169">
        <f t="shared" si="43"/>
        <v>1</v>
      </c>
      <c r="K169">
        <f t="shared" si="44"/>
        <v>1</v>
      </c>
      <c r="L169" t="str">
        <f>'Lab test'!AC158</f>
        <v>LTWb</v>
      </c>
      <c r="O169" t="e">
        <f t="shared" si="45"/>
        <v>#N/A</v>
      </c>
      <c r="P169" t="e">
        <f t="shared" si="46"/>
        <v>#N/A</v>
      </c>
      <c r="Q169" t="e">
        <f t="shared" si="47"/>
        <v>#N/A</v>
      </c>
      <c r="R169" t="e">
        <f t="shared" si="48"/>
        <v>#N/A</v>
      </c>
      <c r="S169" t="e">
        <f t="shared" si="49"/>
        <v>#N/A</v>
      </c>
      <c r="T169" t="e">
        <f t="shared" si="50"/>
        <v>#N/A</v>
      </c>
      <c r="U169" t="e">
        <f t="shared" si="51"/>
        <v>#N/A</v>
      </c>
      <c r="W169" t="e">
        <f t="shared" si="52"/>
        <v>#N/A</v>
      </c>
      <c r="X169">
        <f t="shared" si="53"/>
        <v>0.26273835390627037</v>
      </c>
      <c r="Y169" t="e">
        <f t="shared" si="54"/>
        <v>#N/A</v>
      </c>
      <c r="Z169" t="e">
        <f t="shared" si="55"/>
        <v>#N/A</v>
      </c>
      <c r="AA169" t="e">
        <f t="shared" si="56"/>
        <v>#N/A</v>
      </c>
      <c r="AB169" t="e">
        <f t="shared" si="57"/>
        <v>#N/A</v>
      </c>
      <c r="AC169" t="e">
        <f t="shared" si="58"/>
        <v>#N/A</v>
      </c>
    </row>
    <row r="170" spans="2:29">
      <c r="B170">
        <v>156</v>
      </c>
      <c r="C170">
        <f>'Lab test'!Q159</f>
        <v>1275</v>
      </c>
      <c r="D170" t="e">
        <f>IF('Lab test'!AQ159&gt;0,'Lab test'!AQ159,NA())</f>
        <v>#N/A</v>
      </c>
      <c r="E170" t="e">
        <f>IF('Lab test'!AU159&gt;0,'Lab test'!AU159,NA())</f>
        <v>#N/A</v>
      </c>
      <c r="F170">
        <f>IF('Lab test'!AT159&gt;0,'Lab test'!AT159,NA())</f>
        <v>0.28747949175132603</v>
      </c>
      <c r="G170" t="e">
        <f t="shared" si="40"/>
        <v>#N/A</v>
      </c>
      <c r="H170" t="e">
        <f t="shared" si="41"/>
        <v>#N/A</v>
      </c>
      <c r="I170" t="e">
        <f t="shared" si="42"/>
        <v>#N/A</v>
      </c>
      <c r="J170">
        <f t="shared" si="43"/>
        <v>1</v>
      </c>
      <c r="K170">
        <f t="shared" si="44"/>
        <v>1</v>
      </c>
      <c r="L170" t="str">
        <f>'Lab test'!AC159</f>
        <v>LTWb</v>
      </c>
      <c r="O170" t="e">
        <f t="shared" si="45"/>
        <v>#N/A</v>
      </c>
      <c r="P170" t="e">
        <f t="shared" si="46"/>
        <v>#N/A</v>
      </c>
      <c r="Q170" t="e">
        <f t="shared" si="47"/>
        <v>#N/A</v>
      </c>
      <c r="R170" t="e">
        <f t="shared" si="48"/>
        <v>#N/A</v>
      </c>
      <c r="S170" t="e">
        <f t="shared" si="49"/>
        <v>#N/A</v>
      </c>
      <c r="T170" t="e">
        <f t="shared" si="50"/>
        <v>#N/A</v>
      </c>
      <c r="U170" t="e">
        <f t="shared" si="51"/>
        <v>#N/A</v>
      </c>
      <c r="W170" t="e">
        <f t="shared" si="52"/>
        <v>#N/A</v>
      </c>
      <c r="X170">
        <f t="shared" si="53"/>
        <v>0.28747949175132603</v>
      </c>
      <c r="Y170" t="e">
        <f t="shared" si="54"/>
        <v>#N/A</v>
      </c>
      <c r="Z170" t="e">
        <f t="shared" si="55"/>
        <v>#N/A</v>
      </c>
      <c r="AA170" t="e">
        <f t="shared" si="56"/>
        <v>#N/A</v>
      </c>
      <c r="AB170" t="e">
        <f t="shared" si="57"/>
        <v>#N/A</v>
      </c>
      <c r="AC170" t="e">
        <f t="shared" si="58"/>
        <v>#N/A</v>
      </c>
    </row>
    <row r="171" spans="2:29">
      <c r="B171">
        <v>157</v>
      </c>
      <c r="C171">
        <f>'Lab test'!Q160</f>
        <v>1275</v>
      </c>
      <c r="D171" t="e">
        <f>IF('Lab test'!AQ160&gt;0,'Lab test'!AQ160,NA())</f>
        <v>#N/A</v>
      </c>
      <c r="E171" t="e">
        <f>IF('Lab test'!AU160&gt;0,'Lab test'!AU160,NA())</f>
        <v>#N/A</v>
      </c>
      <c r="F171">
        <f>IF('Lab test'!AT160&gt;0,'Lab test'!AT160,NA())</f>
        <v>0.34699777623386224</v>
      </c>
      <c r="G171" t="e">
        <f t="shared" si="40"/>
        <v>#N/A</v>
      </c>
      <c r="H171" t="e">
        <f t="shared" si="41"/>
        <v>#N/A</v>
      </c>
      <c r="I171" t="e">
        <f t="shared" si="42"/>
        <v>#N/A</v>
      </c>
      <c r="J171">
        <f t="shared" si="43"/>
        <v>1</v>
      </c>
      <c r="K171">
        <f t="shared" si="44"/>
        <v>1</v>
      </c>
      <c r="L171" t="str">
        <f>'Lab test'!AC160</f>
        <v>LTWb</v>
      </c>
      <c r="O171" t="e">
        <f t="shared" si="45"/>
        <v>#N/A</v>
      </c>
      <c r="P171" t="e">
        <f t="shared" si="46"/>
        <v>#N/A</v>
      </c>
      <c r="Q171" t="e">
        <f t="shared" si="47"/>
        <v>#N/A</v>
      </c>
      <c r="R171" t="e">
        <f t="shared" si="48"/>
        <v>#N/A</v>
      </c>
      <c r="S171" t="e">
        <f t="shared" si="49"/>
        <v>#N/A</v>
      </c>
      <c r="T171" t="e">
        <f t="shared" si="50"/>
        <v>#N/A</v>
      </c>
      <c r="U171" t="e">
        <f t="shared" si="51"/>
        <v>#N/A</v>
      </c>
      <c r="W171" t="e">
        <f t="shared" si="52"/>
        <v>#N/A</v>
      </c>
      <c r="X171">
        <f t="shared" si="53"/>
        <v>0.34699777623386224</v>
      </c>
      <c r="Y171" t="e">
        <f t="shared" si="54"/>
        <v>#N/A</v>
      </c>
      <c r="Z171" t="e">
        <f t="shared" si="55"/>
        <v>#N/A</v>
      </c>
      <c r="AA171" t="e">
        <f t="shared" si="56"/>
        <v>#N/A</v>
      </c>
      <c r="AB171" t="e">
        <f t="shared" si="57"/>
        <v>#N/A</v>
      </c>
      <c r="AC171" t="e">
        <f t="shared" si="58"/>
        <v>#N/A</v>
      </c>
    </row>
    <row r="172" spans="2:29">
      <c r="B172">
        <v>158</v>
      </c>
      <c r="C172">
        <f>'Lab test'!Q161</f>
        <v>1275</v>
      </c>
      <c r="D172" t="e">
        <f>IF('Lab test'!AQ161&gt;0,'Lab test'!AQ161,NA())</f>
        <v>#N/A</v>
      </c>
      <c r="E172" t="e">
        <f>IF('Lab test'!AU161&gt;0,'Lab test'!AU161,NA())</f>
        <v>#N/A</v>
      </c>
      <c r="F172">
        <f>IF('Lab test'!AT161&gt;0,'Lab test'!AT161,NA())</f>
        <v>0.45084144898790657</v>
      </c>
      <c r="G172" t="e">
        <f t="shared" si="40"/>
        <v>#N/A</v>
      </c>
      <c r="H172" t="e">
        <f t="shared" si="41"/>
        <v>#N/A</v>
      </c>
      <c r="I172" t="e">
        <f t="shared" si="42"/>
        <v>#N/A</v>
      </c>
      <c r="J172">
        <f t="shared" si="43"/>
        <v>1</v>
      </c>
      <c r="K172">
        <f t="shared" si="44"/>
        <v>1</v>
      </c>
      <c r="L172" t="str">
        <f>'Lab test'!AC161</f>
        <v>LTWb</v>
      </c>
      <c r="O172" t="e">
        <f t="shared" si="45"/>
        <v>#N/A</v>
      </c>
      <c r="P172" t="e">
        <f t="shared" si="46"/>
        <v>#N/A</v>
      </c>
      <c r="Q172" t="e">
        <f t="shared" si="47"/>
        <v>#N/A</v>
      </c>
      <c r="R172" t="e">
        <f t="shared" si="48"/>
        <v>#N/A</v>
      </c>
      <c r="S172" t="e">
        <f t="shared" si="49"/>
        <v>#N/A</v>
      </c>
      <c r="T172" t="e">
        <f t="shared" si="50"/>
        <v>#N/A</v>
      </c>
      <c r="U172" t="e">
        <f t="shared" si="51"/>
        <v>#N/A</v>
      </c>
      <c r="W172" t="e">
        <f t="shared" si="52"/>
        <v>#N/A</v>
      </c>
      <c r="X172">
        <f t="shared" si="53"/>
        <v>0.45084144898790657</v>
      </c>
      <c r="Y172" t="e">
        <f t="shared" si="54"/>
        <v>#N/A</v>
      </c>
      <c r="Z172" t="e">
        <f t="shared" si="55"/>
        <v>#N/A</v>
      </c>
      <c r="AA172" t="e">
        <f t="shared" si="56"/>
        <v>#N/A</v>
      </c>
      <c r="AB172" t="e">
        <f t="shared" si="57"/>
        <v>#N/A</v>
      </c>
      <c r="AC172" t="e">
        <f t="shared" si="58"/>
        <v>#N/A</v>
      </c>
    </row>
    <row r="173" spans="2:29">
      <c r="B173">
        <v>159</v>
      </c>
      <c r="C173">
        <f>'Lab test'!Q162</f>
        <v>1275</v>
      </c>
      <c r="D173" t="e">
        <f>IF('Lab test'!AQ162&gt;0,'Lab test'!AQ162,NA())</f>
        <v>#N/A</v>
      </c>
      <c r="E173" t="e">
        <f>IF('Lab test'!AU162&gt;0,'Lab test'!AU162,NA())</f>
        <v>#N/A</v>
      </c>
      <c r="F173">
        <f>IF('Lab test'!AT162&gt;0,'Lab test'!AT162,NA())</f>
        <v>0.58098904895370651</v>
      </c>
      <c r="G173" t="e">
        <f t="shared" si="40"/>
        <v>#N/A</v>
      </c>
      <c r="H173" t="e">
        <f t="shared" si="41"/>
        <v>#N/A</v>
      </c>
      <c r="I173" t="e">
        <f t="shared" si="42"/>
        <v>#N/A</v>
      </c>
      <c r="J173">
        <f t="shared" si="43"/>
        <v>1</v>
      </c>
      <c r="K173">
        <f t="shared" si="44"/>
        <v>1</v>
      </c>
      <c r="L173" t="str">
        <f>'Lab test'!AC162</f>
        <v>LTWb</v>
      </c>
      <c r="O173" t="e">
        <f t="shared" si="45"/>
        <v>#N/A</v>
      </c>
      <c r="P173" t="e">
        <f t="shared" si="46"/>
        <v>#N/A</v>
      </c>
      <c r="Q173" t="e">
        <f t="shared" si="47"/>
        <v>#N/A</v>
      </c>
      <c r="R173" t="e">
        <f t="shared" si="48"/>
        <v>#N/A</v>
      </c>
      <c r="S173" t="e">
        <f t="shared" si="49"/>
        <v>#N/A</v>
      </c>
      <c r="T173" t="e">
        <f t="shared" si="50"/>
        <v>#N/A</v>
      </c>
      <c r="U173" t="e">
        <f t="shared" si="51"/>
        <v>#N/A</v>
      </c>
      <c r="W173" t="e">
        <f t="shared" si="52"/>
        <v>#N/A</v>
      </c>
      <c r="X173">
        <f t="shared" si="53"/>
        <v>0.58098904895370651</v>
      </c>
      <c r="Y173" t="e">
        <f t="shared" si="54"/>
        <v>#N/A</v>
      </c>
      <c r="Z173" t="e">
        <f t="shared" si="55"/>
        <v>#N/A</v>
      </c>
      <c r="AA173" t="e">
        <f t="shared" si="56"/>
        <v>#N/A</v>
      </c>
      <c r="AB173" t="e">
        <f t="shared" si="57"/>
        <v>#N/A</v>
      </c>
      <c r="AC173" t="e">
        <f t="shared" si="58"/>
        <v>#N/A</v>
      </c>
    </row>
    <row r="174" spans="2:29">
      <c r="B174">
        <v>160</v>
      </c>
      <c r="C174">
        <f>'Lab test'!Q163</f>
        <v>1275</v>
      </c>
      <c r="D174" t="e">
        <f>IF('Lab test'!AQ163&gt;0,'Lab test'!AQ163,NA())</f>
        <v>#N/A</v>
      </c>
      <c r="E174" t="e">
        <f>IF('Lab test'!AU163&gt;0,'Lab test'!AU163,NA())</f>
        <v>#N/A</v>
      </c>
      <c r="F174">
        <f>IF('Lab test'!AT163&gt;0,'Lab test'!AT163,NA())</f>
        <v>0.6731666479539854</v>
      </c>
      <c r="G174" t="e">
        <f t="shared" si="40"/>
        <v>#N/A</v>
      </c>
      <c r="H174" t="e">
        <f t="shared" si="41"/>
        <v>#N/A</v>
      </c>
      <c r="I174" t="e">
        <f t="shared" si="42"/>
        <v>#N/A</v>
      </c>
      <c r="J174">
        <f t="shared" si="43"/>
        <v>1</v>
      </c>
      <c r="K174">
        <f t="shared" si="44"/>
        <v>1</v>
      </c>
      <c r="L174" t="str">
        <f>'Lab test'!AC163</f>
        <v>LTWb</v>
      </c>
      <c r="O174" t="e">
        <f t="shared" si="45"/>
        <v>#N/A</v>
      </c>
      <c r="P174" t="e">
        <f t="shared" si="46"/>
        <v>#N/A</v>
      </c>
      <c r="Q174" t="e">
        <f t="shared" si="47"/>
        <v>#N/A</v>
      </c>
      <c r="R174" t="e">
        <f t="shared" si="48"/>
        <v>#N/A</v>
      </c>
      <c r="S174" t="e">
        <f t="shared" si="49"/>
        <v>#N/A</v>
      </c>
      <c r="T174" t="e">
        <f t="shared" si="50"/>
        <v>#N/A</v>
      </c>
      <c r="U174" t="e">
        <f t="shared" si="51"/>
        <v>#N/A</v>
      </c>
      <c r="W174" t="e">
        <f t="shared" si="52"/>
        <v>#N/A</v>
      </c>
      <c r="X174">
        <f t="shared" si="53"/>
        <v>0.6731666479539854</v>
      </c>
      <c r="Y174" t="e">
        <f t="shared" si="54"/>
        <v>#N/A</v>
      </c>
      <c r="Z174" t="e">
        <f t="shared" si="55"/>
        <v>#N/A</v>
      </c>
      <c r="AA174" t="e">
        <f t="shared" si="56"/>
        <v>#N/A</v>
      </c>
      <c r="AB174" t="e">
        <f t="shared" si="57"/>
        <v>#N/A</v>
      </c>
      <c r="AC174" t="e">
        <f t="shared" si="58"/>
        <v>#N/A</v>
      </c>
    </row>
    <row r="175" spans="2:29">
      <c r="B175">
        <v>161</v>
      </c>
      <c r="C175">
        <f>'Lab test'!Q164</f>
        <v>1275</v>
      </c>
      <c r="D175" t="e">
        <f>IF('Lab test'!AQ164&gt;0,'Lab test'!AQ164,NA())</f>
        <v>#N/A</v>
      </c>
      <c r="E175" t="e">
        <f>IF('Lab test'!AU164&gt;0,'Lab test'!AU164,NA())</f>
        <v>#N/A</v>
      </c>
      <c r="F175">
        <f>IF('Lab test'!AT164&gt;0,'Lab test'!AT164,NA())</f>
        <v>0.95698059107511413</v>
      </c>
      <c r="G175" t="e">
        <f t="shared" si="40"/>
        <v>#N/A</v>
      </c>
      <c r="H175" t="e">
        <f t="shared" si="41"/>
        <v>#N/A</v>
      </c>
      <c r="I175" t="e">
        <f t="shared" si="42"/>
        <v>#N/A</v>
      </c>
      <c r="J175">
        <f t="shared" si="43"/>
        <v>1</v>
      </c>
      <c r="K175">
        <f t="shared" si="44"/>
        <v>1</v>
      </c>
      <c r="L175" t="str">
        <f>'Lab test'!AC164</f>
        <v>LTWb</v>
      </c>
      <c r="O175" t="e">
        <f t="shared" si="45"/>
        <v>#N/A</v>
      </c>
      <c r="P175" t="e">
        <f t="shared" si="46"/>
        <v>#N/A</v>
      </c>
      <c r="Q175" t="e">
        <f t="shared" si="47"/>
        <v>#N/A</v>
      </c>
      <c r="R175" t="e">
        <f t="shared" si="48"/>
        <v>#N/A</v>
      </c>
      <c r="S175" t="e">
        <f t="shared" si="49"/>
        <v>#N/A</v>
      </c>
      <c r="T175" t="e">
        <f t="shared" si="50"/>
        <v>#N/A</v>
      </c>
      <c r="U175" t="e">
        <f t="shared" si="51"/>
        <v>#N/A</v>
      </c>
      <c r="W175" t="e">
        <f t="shared" si="52"/>
        <v>#N/A</v>
      </c>
      <c r="X175">
        <f t="shared" si="53"/>
        <v>0.95698059107511413</v>
      </c>
      <c r="Y175" t="e">
        <f t="shared" si="54"/>
        <v>#N/A</v>
      </c>
      <c r="Z175" t="e">
        <f t="shared" si="55"/>
        <v>#N/A</v>
      </c>
      <c r="AA175" t="e">
        <f t="shared" si="56"/>
        <v>#N/A</v>
      </c>
      <c r="AB175" t="e">
        <f t="shared" si="57"/>
        <v>#N/A</v>
      </c>
      <c r="AC175" t="e">
        <f t="shared" si="58"/>
        <v>#N/A</v>
      </c>
    </row>
    <row r="176" spans="2:29">
      <c r="B176">
        <v>162</v>
      </c>
      <c r="C176">
        <f>'Lab test'!Q165</f>
        <v>1275</v>
      </c>
      <c r="D176" t="e">
        <f>IF('Lab test'!AQ165&gt;0,'Lab test'!AQ165,NA())</f>
        <v>#N/A</v>
      </c>
      <c r="E176" t="e">
        <f>IF('Lab test'!AU165&gt;0,'Lab test'!AU165,NA())</f>
        <v>#N/A</v>
      </c>
      <c r="F176">
        <f>IF('Lab test'!AT165&gt;0,'Lab test'!AT165,NA())</f>
        <v>0.86749444058465663</v>
      </c>
      <c r="G176" t="e">
        <f t="shared" si="40"/>
        <v>#N/A</v>
      </c>
      <c r="H176" t="e">
        <f t="shared" si="41"/>
        <v>#N/A</v>
      </c>
      <c r="I176" t="e">
        <f t="shared" si="42"/>
        <v>#N/A</v>
      </c>
      <c r="J176">
        <f t="shared" si="43"/>
        <v>1</v>
      </c>
      <c r="K176">
        <f t="shared" si="44"/>
        <v>1</v>
      </c>
      <c r="L176" t="str">
        <f>'Lab test'!AC165</f>
        <v>LTWb</v>
      </c>
      <c r="O176" t="e">
        <f t="shared" si="45"/>
        <v>#N/A</v>
      </c>
      <c r="P176" t="e">
        <f t="shared" si="46"/>
        <v>#N/A</v>
      </c>
      <c r="Q176" t="e">
        <f t="shared" si="47"/>
        <v>#N/A</v>
      </c>
      <c r="R176" t="e">
        <f t="shared" si="48"/>
        <v>#N/A</v>
      </c>
      <c r="S176" t="e">
        <f t="shared" si="49"/>
        <v>#N/A</v>
      </c>
      <c r="T176" t="e">
        <f t="shared" si="50"/>
        <v>#N/A</v>
      </c>
      <c r="U176" t="e">
        <f t="shared" si="51"/>
        <v>#N/A</v>
      </c>
      <c r="W176" t="e">
        <f t="shared" si="52"/>
        <v>#N/A</v>
      </c>
      <c r="X176">
        <f t="shared" si="53"/>
        <v>0.86749444058465663</v>
      </c>
      <c r="Y176" t="e">
        <f t="shared" si="54"/>
        <v>#N/A</v>
      </c>
      <c r="Z176" t="e">
        <f t="shared" si="55"/>
        <v>#N/A</v>
      </c>
      <c r="AA176" t="e">
        <f t="shared" si="56"/>
        <v>#N/A</v>
      </c>
      <c r="AB176" t="e">
        <f t="shared" si="57"/>
        <v>#N/A</v>
      </c>
      <c r="AC176" t="e">
        <f t="shared" si="58"/>
        <v>#N/A</v>
      </c>
    </row>
    <row r="177" spans="2:29">
      <c r="B177">
        <v>163</v>
      </c>
      <c r="C177">
        <f>'Lab test'!Q166</f>
        <v>1593.75</v>
      </c>
      <c r="D177" t="e">
        <f>IF('Lab test'!AQ166&gt;0,'Lab test'!AQ166,NA())</f>
        <v>#N/A</v>
      </c>
      <c r="E177" t="e">
        <f>IF('Lab test'!AU166&gt;0,'Lab test'!AU166,NA())</f>
        <v>#N/A</v>
      </c>
      <c r="F177">
        <f>IF('Lab test'!AT166&gt;0,'Lab test'!AT166,NA())</f>
        <v>0.30177159481585053</v>
      </c>
      <c r="G177" t="e">
        <f t="shared" si="40"/>
        <v>#N/A</v>
      </c>
      <c r="H177" t="e">
        <f t="shared" si="41"/>
        <v>#N/A</v>
      </c>
      <c r="I177" t="e">
        <f t="shared" si="42"/>
        <v>#N/A</v>
      </c>
      <c r="J177">
        <f t="shared" si="43"/>
        <v>1</v>
      </c>
      <c r="K177">
        <f t="shared" si="44"/>
        <v>1</v>
      </c>
      <c r="L177" t="str">
        <f>'Lab test'!AC166</f>
        <v>LTWb</v>
      </c>
      <c r="O177" t="e">
        <f t="shared" si="45"/>
        <v>#N/A</v>
      </c>
      <c r="P177" t="e">
        <f t="shared" si="46"/>
        <v>#N/A</v>
      </c>
      <c r="Q177" t="e">
        <f t="shared" si="47"/>
        <v>#N/A</v>
      </c>
      <c r="R177" t="e">
        <f t="shared" si="48"/>
        <v>#N/A</v>
      </c>
      <c r="S177" t="e">
        <f t="shared" si="49"/>
        <v>#N/A</v>
      </c>
      <c r="T177" t="e">
        <f t="shared" si="50"/>
        <v>#N/A</v>
      </c>
      <c r="U177" t="e">
        <f t="shared" si="51"/>
        <v>#N/A</v>
      </c>
      <c r="W177" t="e">
        <f t="shared" si="52"/>
        <v>#N/A</v>
      </c>
      <c r="X177">
        <f t="shared" si="53"/>
        <v>0.30177159481585053</v>
      </c>
      <c r="Y177" t="e">
        <f t="shared" si="54"/>
        <v>#N/A</v>
      </c>
      <c r="Z177" t="e">
        <f t="shared" si="55"/>
        <v>#N/A</v>
      </c>
      <c r="AA177" t="e">
        <f t="shared" si="56"/>
        <v>#N/A</v>
      </c>
      <c r="AB177" t="e">
        <f t="shared" si="57"/>
        <v>#N/A</v>
      </c>
      <c r="AC177" t="e">
        <f t="shared" si="58"/>
        <v>#N/A</v>
      </c>
    </row>
    <row r="178" spans="2:29">
      <c r="B178">
        <v>164</v>
      </c>
      <c r="C178">
        <f>'Lab test'!Q167</f>
        <v>1593.75</v>
      </c>
      <c r="D178" t="e">
        <f>IF('Lab test'!AQ167&gt;0,'Lab test'!AQ167,NA())</f>
        <v>#N/A</v>
      </c>
      <c r="E178" t="e">
        <f>IF('Lab test'!AU167&gt;0,'Lab test'!AU167,NA())</f>
        <v>#N/A</v>
      </c>
      <c r="F178">
        <f>IF('Lab test'!AT167&gt;0,'Lab test'!AT167,NA())</f>
        <v>0.20777116908169746</v>
      </c>
      <c r="G178" t="e">
        <f t="shared" si="40"/>
        <v>#N/A</v>
      </c>
      <c r="H178" t="e">
        <f t="shared" si="41"/>
        <v>#N/A</v>
      </c>
      <c r="I178" t="e">
        <f t="shared" si="42"/>
        <v>#N/A</v>
      </c>
      <c r="J178">
        <f t="shared" si="43"/>
        <v>1</v>
      </c>
      <c r="K178">
        <f t="shared" si="44"/>
        <v>1</v>
      </c>
      <c r="L178" t="str">
        <f>'Lab test'!AC167</f>
        <v>LTWb</v>
      </c>
      <c r="O178" t="e">
        <f t="shared" si="45"/>
        <v>#N/A</v>
      </c>
      <c r="P178" t="e">
        <f t="shared" si="46"/>
        <v>#N/A</v>
      </c>
      <c r="Q178" t="e">
        <f t="shared" si="47"/>
        <v>#N/A</v>
      </c>
      <c r="R178" t="e">
        <f t="shared" si="48"/>
        <v>#N/A</v>
      </c>
      <c r="S178" t="e">
        <f t="shared" si="49"/>
        <v>#N/A</v>
      </c>
      <c r="T178" t="e">
        <f t="shared" si="50"/>
        <v>#N/A</v>
      </c>
      <c r="U178" t="e">
        <f t="shared" si="51"/>
        <v>#N/A</v>
      </c>
      <c r="W178" t="e">
        <f t="shared" si="52"/>
        <v>#N/A</v>
      </c>
      <c r="X178">
        <f t="shared" si="53"/>
        <v>0.20777116908169746</v>
      </c>
      <c r="Y178" t="e">
        <f t="shared" si="54"/>
        <v>#N/A</v>
      </c>
      <c r="Z178" t="e">
        <f t="shared" si="55"/>
        <v>#N/A</v>
      </c>
      <c r="AA178" t="e">
        <f t="shared" si="56"/>
        <v>#N/A</v>
      </c>
      <c r="AB178" t="e">
        <f t="shared" si="57"/>
        <v>#N/A</v>
      </c>
      <c r="AC178" t="e">
        <f t="shared" si="58"/>
        <v>#N/A</v>
      </c>
    </row>
    <row r="179" spans="2:29">
      <c r="B179">
        <v>165</v>
      </c>
      <c r="C179">
        <f>'Lab test'!Q168</f>
        <v>1593.75</v>
      </c>
      <c r="D179" t="e">
        <f>IF('Lab test'!AQ168&gt;0,'Lab test'!AQ168,NA())</f>
        <v>#N/A</v>
      </c>
      <c r="E179" t="e">
        <f>IF('Lab test'!AU168&gt;0,'Lab test'!AU168,NA())</f>
        <v>#N/A</v>
      </c>
      <c r="F179">
        <f>IF('Lab test'!AT168&gt;0,'Lab test'!AT168,NA())</f>
        <v>0.19010419228441863</v>
      </c>
      <c r="G179" t="e">
        <f t="shared" si="40"/>
        <v>#N/A</v>
      </c>
      <c r="H179" t="e">
        <f t="shared" si="41"/>
        <v>#N/A</v>
      </c>
      <c r="I179" t="e">
        <f t="shared" si="42"/>
        <v>#N/A</v>
      </c>
      <c r="J179">
        <f t="shared" si="43"/>
        <v>1</v>
      </c>
      <c r="K179">
        <f t="shared" si="44"/>
        <v>1</v>
      </c>
      <c r="L179" t="str">
        <f>'Lab test'!AC168</f>
        <v>LTWb</v>
      </c>
      <c r="O179" t="e">
        <f t="shared" si="45"/>
        <v>#N/A</v>
      </c>
      <c r="P179" t="e">
        <f t="shared" si="46"/>
        <v>#N/A</v>
      </c>
      <c r="Q179" t="e">
        <f t="shared" si="47"/>
        <v>#N/A</v>
      </c>
      <c r="R179" t="e">
        <f t="shared" si="48"/>
        <v>#N/A</v>
      </c>
      <c r="S179" t="e">
        <f t="shared" si="49"/>
        <v>#N/A</v>
      </c>
      <c r="T179" t="e">
        <f t="shared" si="50"/>
        <v>#N/A</v>
      </c>
      <c r="U179" t="e">
        <f t="shared" si="51"/>
        <v>#N/A</v>
      </c>
      <c r="W179" t="e">
        <f t="shared" si="52"/>
        <v>#N/A</v>
      </c>
      <c r="X179">
        <f t="shared" si="53"/>
        <v>0.19010419228441863</v>
      </c>
      <c r="Y179" t="e">
        <f t="shared" si="54"/>
        <v>#N/A</v>
      </c>
      <c r="Z179" t="e">
        <f t="shared" si="55"/>
        <v>#N/A</v>
      </c>
      <c r="AA179" t="e">
        <f t="shared" si="56"/>
        <v>#N/A</v>
      </c>
      <c r="AB179" t="e">
        <f t="shared" si="57"/>
        <v>#N/A</v>
      </c>
      <c r="AC179" t="e">
        <f t="shared" si="58"/>
        <v>#N/A</v>
      </c>
    </row>
    <row r="180" spans="2:29">
      <c r="B180">
        <v>166</v>
      </c>
      <c r="C180">
        <f>'Lab test'!Q169</f>
        <v>1593.75</v>
      </c>
      <c r="D180" t="e">
        <f>IF('Lab test'!AQ169&gt;0,'Lab test'!AQ169,NA())</f>
        <v>#N/A</v>
      </c>
      <c r="E180" t="e">
        <f>IF('Lab test'!AU169&gt;0,'Lab test'!AU169,NA())</f>
        <v>#N/A</v>
      </c>
      <c r="F180">
        <f>IF('Lab test'!AT169&gt;0,'Lab test'!AT169,NA())</f>
        <v>0.18675531753105906</v>
      </c>
      <c r="G180" t="e">
        <f t="shared" si="40"/>
        <v>#N/A</v>
      </c>
      <c r="H180" t="e">
        <f t="shared" si="41"/>
        <v>#N/A</v>
      </c>
      <c r="I180" t="e">
        <f t="shared" si="42"/>
        <v>#N/A</v>
      </c>
      <c r="J180">
        <f t="shared" si="43"/>
        <v>1</v>
      </c>
      <c r="K180">
        <f t="shared" si="44"/>
        <v>1</v>
      </c>
      <c r="L180" t="str">
        <f>'Lab test'!AC169</f>
        <v>LTWb</v>
      </c>
      <c r="O180" t="e">
        <f t="shared" si="45"/>
        <v>#N/A</v>
      </c>
      <c r="P180" t="e">
        <f t="shared" si="46"/>
        <v>#N/A</v>
      </c>
      <c r="Q180" t="e">
        <f t="shared" si="47"/>
        <v>#N/A</v>
      </c>
      <c r="R180" t="e">
        <f t="shared" si="48"/>
        <v>#N/A</v>
      </c>
      <c r="S180" t="e">
        <f t="shared" si="49"/>
        <v>#N/A</v>
      </c>
      <c r="T180" t="e">
        <f t="shared" si="50"/>
        <v>#N/A</v>
      </c>
      <c r="U180" t="e">
        <f t="shared" si="51"/>
        <v>#N/A</v>
      </c>
      <c r="W180" t="e">
        <f t="shared" si="52"/>
        <v>#N/A</v>
      </c>
      <c r="X180">
        <f t="shared" si="53"/>
        <v>0.18675531753105906</v>
      </c>
      <c r="Y180" t="e">
        <f t="shared" si="54"/>
        <v>#N/A</v>
      </c>
      <c r="Z180" t="e">
        <f t="shared" si="55"/>
        <v>#N/A</v>
      </c>
      <c r="AA180" t="e">
        <f t="shared" si="56"/>
        <v>#N/A</v>
      </c>
      <c r="AB180" t="e">
        <f t="shared" si="57"/>
        <v>#N/A</v>
      </c>
      <c r="AC180" t="e">
        <f t="shared" si="58"/>
        <v>#N/A</v>
      </c>
    </row>
    <row r="181" spans="2:29">
      <c r="B181">
        <v>167</v>
      </c>
      <c r="C181">
        <f>'Lab test'!Q170</f>
        <v>1593.75</v>
      </c>
      <c r="D181" t="e">
        <f>IF('Lab test'!AQ170&gt;0,'Lab test'!AQ170,NA())</f>
        <v>#N/A</v>
      </c>
      <c r="E181" t="e">
        <f>IF('Lab test'!AU170&gt;0,'Lab test'!AU170,NA())</f>
        <v>#N/A</v>
      </c>
      <c r="F181">
        <f>IF('Lab test'!AT170&gt;0,'Lab test'!AT170,NA())</f>
        <v>0.22307975292688204</v>
      </c>
      <c r="G181" t="e">
        <f t="shared" si="40"/>
        <v>#N/A</v>
      </c>
      <c r="H181" t="e">
        <f t="shared" si="41"/>
        <v>#N/A</v>
      </c>
      <c r="I181" t="e">
        <f t="shared" si="42"/>
        <v>#N/A</v>
      </c>
      <c r="J181">
        <f t="shared" si="43"/>
        <v>1</v>
      </c>
      <c r="K181">
        <f t="shared" si="44"/>
        <v>1</v>
      </c>
      <c r="L181" t="str">
        <f>'Lab test'!AC170</f>
        <v>LTWb</v>
      </c>
      <c r="O181" t="e">
        <f t="shared" si="45"/>
        <v>#N/A</v>
      </c>
      <c r="P181" t="e">
        <f t="shared" si="46"/>
        <v>#N/A</v>
      </c>
      <c r="Q181" t="e">
        <f t="shared" si="47"/>
        <v>#N/A</v>
      </c>
      <c r="R181" t="e">
        <f t="shared" si="48"/>
        <v>#N/A</v>
      </c>
      <c r="S181" t="e">
        <f t="shared" si="49"/>
        <v>#N/A</v>
      </c>
      <c r="T181" t="e">
        <f t="shared" si="50"/>
        <v>#N/A</v>
      </c>
      <c r="U181" t="e">
        <f t="shared" si="51"/>
        <v>#N/A</v>
      </c>
      <c r="W181" t="e">
        <f t="shared" si="52"/>
        <v>#N/A</v>
      </c>
      <c r="X181">
        <f t="shared" si="53"/>
        <v>0.22307975292688204</v>
      </c>
      <c r="Y181" t="e">
        <f t="shared" si="54"/>
        <v>#N/A</v>
      </c>
      <c r="Z181" t="e">
        <f t="shared" si="55"/>
        <v>#N/A</v>
      </c>
      <c r="AA181" t="e">
        <f t="shared" si="56"/>
        <v>#N/A</v>
      </c>
      <c r="AB181" t="e">
        <f t="shared" si="57"/>
        <v>#N/A</v>
      </c>
      <c r="AC181" t="e">
        <f t="shared" si="58"/>
        <v>#N/A</v>
      </c>
    </row>
    <row r="182" spans="2:29">
      <c r="B182">
        <v>168</v>
      </c>
      <c r="C182">
        <f>'Lab test'!Q171</f>
        <v>1593.75</v>
      </c>
      <c r="D182" t="e">
        <f>IF('Lab test'!AQ171&gt;0,'Lab test'!AQ171,NA())</f>
        <v>#N/A</v>
      </c>
      <c r="E182" t="e">
        <f>IF('Lab test'!AU171&gt;0,'Lab test'!AU171,NA())</f>
        <v>#N/A</v>
      </c>
      <c r="F182">
        <f>IF('Lab test'!AT171&gt;0,'Lab test'!AT171,NA())</f>
        <v>0.28273292921091303</v>
      </c>
      <c r="G182" t="e">
        <f t="shared" si="40"/>
        <v>#N/A</v>
      </c>
      <c r="H182" t="e">
        <f t="shared" si="41"/>
        <v>#N/A</v>
      </c>
      <c r="I182" t="e">
        <f t="shared" si="42"/>
        <v>#N/A</v>
      </c>
      <c r="J182">
        <f t="shared" si="43"/>
        <v>1</v>
      </c>
      <c r="K182">
        <f t="shared" si="44"/>
        <v>1</v>
      </c>
      <c r="L182" t="str">
        <f>'Lab test'!AC171</f>
        <v>LTWb</v>
      </c>
      <c r="O182" t="e">
        <f t="shared" si="45"/>
        <v>#N/A</v>
      </c>
      <c r="P182" t="e">
        <f t="shared" si="46"/>
        <v>#N/A</v>
      </c>
      <c r="Q182" t="e">
        <f t="shared" si="47"/>
        <v>#N/A</v>
      </c>
      <c r="R182" t="e">
        <f t="shared" si="48"/>
        <v>#N/A</v>
      </c>
      <c r="S182" t="e">
        <f t="shared" si="49"/>
        <v>#N/A</v>
      </c>
      <c r="T182" t="e">
        <f t="shared" si="50"/>
        <v>#N/A</v>
      </c>
      <c r="U182" t="e">
        <f t="shared" si="51"/>
        <v>#N/A</v>
      </c>
      <c r="W182" t="e">
        <f t="shared" si="52"/>
        <v>#N/A</v>
      </c>
      <c r="X182">
        <f t="shared" si="53"/>
        <v>0.28273292921091303</v>
      </c>
      <c r="Y182" t="e">
        <f t="shared" si="54"/>
        <v>#N/A</v>
      </c>
      <c r="Z182" t="e">
        <f t="shared" si="55"/>
        <v>#N/A</v>
      </c>
      <c r="AA182" t="e">
        <f t="shared" si="56"/>
        <v>#N/A</v>
      </c>
      <c r="AB182" t="e">
        <f t="shared" si="57"/>
        <v>#N/A</v>
      </c>
      <c r="AC182" t="e">
        <f t="shared" si="58"/>
        <v>#N/A</v>
      </c>
    </row>
    <row r="183" spans="2:29">
      <c r="B183">
        <v>169</v>
      </c>
      <c r="C183">
        <f>'Lab test'!Q172</f>
        <v>1593.75</v>
      </c>
      <c r="D183" t="e">
        <f>IF('Lab test'!AQ172&gt;0,'Lab test'!AQ172,NA())</f>
        <v>#N/A</v>
      </c>
      <c r="E183" t="e">
        <f>IF('Lab test'!AU172&gt;0,'Lab test'!AU172,NA())</f>
        <v>#N/A</v>
      </c>
      <c r="F183">
        <f>IF('Lab test'!AT172&gt;0,'Lab test'!AT172,NA())</f>
        <v>0.30177159481585053</v>
      </c>
      <c r="G183" t="e">
        <f t="shared" si="40"/>
        <v>#N/A</v>
      </c>
      <c r="H183" t="e">
        <f t="shared" si="41"/>
        <v>#N/A</v>
      </c>
      <c r="I183" t="e">
        <f t="shared" si="42"/>
        <v>#N/A</v>
      </c>
      <c r="J183">
        <f t="shared" si="43"/>
        <v>1</v>
      </c>
      <c r="K183">
        <f t="shared" si="44"/>
        <v>1</v>
      </c>
      <c r="L183" t="str">
        <f>'Lab test'!AC172</f>
        <v>LTWb</v>
      </c>
      <c r="O183" t="e">
        <f t="shared" si="45"/>
        <v>#N/A</v>
      </c>
      <c r="P183" t="e">
        <f t="shared" si="46"/>
        <v>#N/A</v>
      </c>
      <c r="Q183" t="e">
        <f t="shared" si="47"/>
        <v>#N/A</v>
      </c>
      <c r="R183" t="e">
        <f t="shared" si="48"/>
        <v>#N/A</v>
      </c>
      <c r="S183" t="e">
        <f t="shared" si="49"/>
        <v>#N/A</v>
      </c>
      <c r="T183" t="e">
        <f t="shared" si="50"/>
        <v>#N/A</v>
      </c>
      <c r="U183" t="e">
        <f t="shared" si="51"/>
        <v>#N/A</v>
      </c>
      <c r="W183" t="e">
        <f t="shared" si="52"/>
        <v>#N/A</v>
      </c>
      <c r="X183">
        <f t="shared" si="53"/>
        <v>0.30177159481585053</v>
      </c>
      <c r="Y183" t="e">
        <f t="shared" si="54"/>
        <v>#N/A</v>
      </c>
      <c r="Z183" t="e">
        <f t="shared" si="55"/>
        <v>#N/A</v>
      </c>
      <c r="AA183" t="e">
        <f t="shared" si="56"/>
        <v>#N/A</v>
      </c>
      <c r="AB183" t="e">
        <f t="shared" si="57"/>
        <v>#N/A</v>
      </c>
      <c r="AC183" t="e">
        <f t="shared" si="58"/>
        <v>#N/A</v>
      </c>
    </row>
    <row r="184" spans="2:29">
      <c r="B184">
        <v>170</v>
      </c>
      <c r="C184">
        <f>'Lab test'!Q173</f>
        <v>1593.75</v>
      </c>
      <c r="D184" t="e">
        <f>IF('Lab test'!AQ173&gt;0,'Lab test'!AQ173,NA())</f>
        <v>#N/A</v>
      </c>
      <c r="E184" t="e">
        <f>IF('Lab test'!AU173&gt;0,'Lab test'!AU173,NA())</f>
        <v>#N/A</v>
      </c>
      <c r="F184">
        <f>IF('Lab test'!AT173&gt;0,'Lab test'!AT173,NA())</f>
        <v>0.33772528047119454</v>
      </c>
      <c r="G184" t="e">
        <f t="shared" si="40"/>
        <v>#N/A</v>
      </c>
      <c r="H184" t="e">
        <f t="shared" si="41"/>
        <v>#N/A</v>
      </c>
      <c r="I184" t="e">
        <f t="shared" si="42"/>
        <v>#N/A</v>
      </c>
      <c r="J184">
        <f t="shared" si="43"/>
        <v>1</v>
      </c>
      <c r="K184">
        <f t="shared" si="44"/>
        <v>1</v>
      </c>
      <c r="L184" t="str">
        <f>'Lab test'!AC173</f>
        <v>LTWb</v>
      </c>
      <c r="O184" t="e">
        <f t="shared" si="45"/>
        <v>#N/A</v>
      </c>
      <c r="P184" t="e">
        <f t="shared" si="46"/>
        <v>#N/A</v>
      </c>
      <c r="Q184" t="e">
        <f t="shared" si="47"/>
        <v>#N/A</v>
      </c>
      <c r="R184" t="e">
        <f t="shared" si="48"/>
        <v>#N/A</v>
      </c>
      <c r="S184" t="e">
        <f t="shared" si="49"/>
        <v>#N/A</v>
      </c>
      <c r="T184" t="e">
        <f t="shared" si="50"/>
        <v>#N/A</v>
      </c>
      <c r="U184" t="e">
        <f t="shared" si="51"/>
        <v>#N/A</v>
      </c>
      <c r="W184" t="e">
        <f t="shared" si="52"/>
        <v>#N/A</v>
      </c>
      <c r="X184">
        <f t="shared" si="53"/>
        <v>0.33772528047119454</v>
      </c>
      <c r="Y184" t="e">
        <f t="shared" si="54"/>
        <v>#N/A</v>
      </c>
      <c r="Z184" t="e">
        <f t="shared" si="55"/>
        <v>#N/A</v>
      </c>
      <c r="AA184" t="e">
        <f t="shared" si="56"/>
        <v>#N/A</v>
      </c>
      <c r="AB184" t="e">
        <f t="shared" si="57"/>
        <v>#N/A</v>
      </c>
      <c r="AC184" t="e">
        <f t="shared" si="58"/>
        <v>#N/A</v>
      </c>
    </row>
    <row r="185" spans="2:29">
      <c r="B185">
        <v>171</v>
      </c>
      <c r="C185">
        <f>'Lab test'!Q174</f>
        <v>1593.75</v>
      </c>
      <c r="D185" t="e">
        <f>IF('Lab test'!AQ174&gt;0,'Lab test'!AQ174,NA())</f>
        <v>#N/A</v>
      </c>
      <c r="E185" t="e">
        <f>IF('Lab test'!AU174&gt;0,'Lab test'!AU174,NA())</f>
        <v>#N/A</v>
      </c>
      <c r="F185">
        <f>IF('Lab test'!AT174&gt;0,'Lab test'!AT174,NA())</f>
        <v>0.39866208841663964</v>
      </c>
      <c r="G185" t="e">
        <f t="shared" si="40"/>
        <v>#N/A</v>
      </c>
      <c r="H185" t="e">
        <f t="shared" si="41"/>
        <v>#N/A</v>
      </c>
      <c r="I185" t="e">
        <f t="shared" si="42"/>
        <v>#N/A</v>
      </c>
      <c r="J185">
        <f t="shared" si="43"/>
        <v>1</v>
      </c>
      <c r="K185">
        <f t="shared" si="44"/>
        <v>1</v>
      </c>
      <c r="L185" t="str">
        <f>'Lab test'!AC174</f>
        <v>LTWb</v>
      </c>
      <c r="O185" t="e">
        <f t="shared" si="45"/>
        <v>#N/A</v>
      </c>
      <c r="P185" t="e">
        <f t="shared" si="46"/>
        <v>#N/A</v>
      </c>
      <c r="Q185" t="e">
        <f t="shared" si="47"/>
        <v>#N/A</v>
      </c>
      <c r="R185" t="e">
        <f t="shared" si="48"/>
        <v>#N/A</v>
      </c>
      <c r="S185" t="e">
        <f t="shared" si="49"/>
        <v>#N/A</v>
      </c>
      <c r="T185" t="e">
        <f t="shared" si="50"/>
        <v>#N/A</v>
      </c>
      <c r="U185" t="e">
        <f t="shared" si="51"/>
        <v>#N/A</v>
      </c>
      <c r="W185" t="e">
        <f t="shared" si="52"/>
        <v>#N/A</v>
      </c>
      <c r="X185">
        <f t="shared" si="53"/>
        <v>0.39866208841663964</v>
      </c>
      <c r="Y185" t="e">
        <f t="shared" si="54"/>
        <v>#N/A</v>
      </c>
      <c r="Z185" t="e">
        <f t="shared" si="55"/>
        <v>#N/A</v>
      </c>
      <c r="AA185" t="e">
        <f t="shared" si="56"/>
        <v>#N/A</v>
      </c>
      <c r="AB185" t="e">
        <f t="shared" si="57"/>
        <v>#N/A</v>
      </c>
      <c r="AC185" t="e">
        <f t="shared" si="58"/>
        <v>#N/A</v>
      </c>
    </row>
    <row r="186" spans="2:29">
      <c r="B186">
        <v>172</v>
      </c>
      <c r="C186">
        <f>'Lab test'!Q175</f>
        <v>1593.75</v>
      </c>
      <c r="D186" t="e">
        <f>IF('Lab test'!AQ175&gt;0,'Lab test'!AQ175,NA())</f>
        <v>#N/A</v>
      </c>
      <c r="E186" t="e">
        <f>IF('Lab test'!AU175&gt;0,'Lab test'!AU175,NA())</f>
        <v>#N/A</v>
      </c>
      <c r="F186">
        <f>IF('Lab test'!AT175&gt;0,'Lab test'!AT175,NA())</f>
        <v>0.57902592908259642</v>
      </c>
      <c r="G186" t="e">
        <f t="shared" si="40"/>
        <v>#N/A</v>
      </c>
      <c r="H186" t="e">
        <f t="shared" si="41"/>
        <v>#N/A</v>
      </c>
      <c r="I186" t="e">
        <f t="shared" si="42"/>
        <v>#N/A</v>
      </c>
      <c r="J186">
        <f t="shared" si="43"/>
        <v>1</v>
      </c>
      <c r="K186">
        <f t="shared" si="44"/>
        <v>1</v>
      </c>
      <c r="L186" t="str">
        <f>'Lab test'!AC175</f>
        <v>LTWb</v>
      </c>
      <c r="O186" t="e">
        <f t="shared" si="45"/>
        <v>#N/A</v>
      </c>
      <c r="P186" t="e">
        <f t="shared" si="46"/>
        <v>#N/A</v>
      </c>
      <c r="Q186" t="e">
        <f t="shared" si="47"/>
        <v>#N/A</v>
      </c>
      <c r="R186" t="e">
        <f t="shared" si="48"/>
        <v>#N/A</v>
      </c>
      <c r="S186" t="e">
        <f t="shared" si="49"/>
        <v>#N/A</v>
      </c>
      <c r="T186" t="e">
        <f t="shared" si="50"/>
        <v>#N/A</v>
      </c>
      <c r="U186" t="e">
        <f t="shared" si="51"/>
        <v>#N/A</v>
      </c>
      <c r="W186" t="e">
        <f t="shared" si="52"/>
        <v>#N/A</v>
      </c>
      <c r="X186">
        <f t="shared" si="53"/>
        <v>0.57902592908259642</v>
      </c>
      <c r="Y186" t="e">
        <f t="shared" si="54"/>
        <v>#N/A</v>
      </c>
      <c r="Z186" t="e">
        <f t="shared" si="55"/>
        <v>#N/A</v>
      </c>
      <c r="AA186" t="e">
        <f t="shared" si="56"/>
        <v>#N/A</v>
      </c>
      <c r="AB186" t="e">
        <f t="shared" si="57"/>
        <v>#N/A</v>
      </c>
      <c r="AC186" t="e">
        <f t="shared" si="58"/>
        <v>#N/A</v>
      </c>
    </row>
    <row r="187" spans="2:29">
      <c r="B187">
        <v>173</v>
      </c>
      <c r="C187">
        <f>'Lab test'!Q176</f>
        <v>1593.75</v>
      </c>
      <c r="D187" t="e">
        <f>IF('Lab test'!AQ176&gt;0,'Lab test'!AQ176,NA())</f>
        <v>#N/A</v>
      </c>
      <c r="E187" t="e">
        <f>IF('Lab test'!AU176&gt;0,'Lab test'!AU176,NA())</f>
        <v>#N/A</v>
      </c>
      <c r="F187">
        <f>IF('Lab test'!AT176&gt;0,'Lab test'!AT176,NA())</f>
        <v>0.84099049368239565</v>
      </c>
      <c r="G187" t="e">
        <f t="shared" si="40"/>
        <v>#N/A</v>
      </c>
      <c r="H187" t="e">
        <f t="shared" si="41"/>
        <v>#N/A</v>
      </c>
      <c r="I187" t="e">
        <f t="shared" si="42"/>
        <v>#N/A</v>
      </c>
      <c r="J187">
        <f t="shared" si="43"/>
        <v>1</v>
      </c>
      <c r="K187">
        <f t="shared" si="44"/>
        <v>1</v>
      </c>
      <c r="L187" t="str">
        <f>'Lab test'!AC176</f>
        <v>LTWb</v>
      </c>
      <c r="O187" t="e">
        <f t="shared" si="45"/>
        <v>#N/A</v>
      </c>
      <c r="P187" t="e">
        <f t="shared" si="46"/>
        <v>#N/A</v>
      </c>
      <c r="Q187" t="e">
        <f t="shared" si="47"/>
        <v>#N/A</v>
      </c>
      <c r="R187" t="e">
        <f t="shared" si="48"/>
        <v>#N/A</v>
      </c>
      <c r="S187" t="e">
        <f t="shared" si="49"/>
        <v>#N/A</v>
      </c>
      <c r="T187" t="e">
        <f t="shared" si="50"/>
        <v>#N/A</v>
      </c>
      <c r="U187" t="e">
        <f t="shared" si="51"/>
        <v>#N/A</v>
      </c>
      <c r="W187" t="e">
        <f t="shared" si="52"/>
        <v>#N/A</v>
      </c>
      <c r="X187">
        <f t="shared" si="53"/>
        <v>0.84099049368239565</v>
      </c>
      <c r="Y187" t="e">
        <f t="shared" si="54"/>
        <v>#N/A</v>
      </c>
      <c r="Z187" t="e">
        <f t="shared" si="55"/>
        <v>#N/A</v>
      </c>
      <c r="AA187" t="e">
        <f t="shared" si="56"/>
        <v>#N/A</v>
      </c>
      <c r="AB187" t="e">
        <f t="shared" si="57"/>
        <v>#N/A</v>
      </c>
      <c r="AC187" t="e">
        <f t="shared" si="58"/>
        <v>#N/A</v>
      </c>
    </row>
    <row r="188" spans="2:29">
      <c r="B188">
        <v>174</v>
      </c>
      <c r="C188">
        <f>'Lab test'!Q177</f>
        <v>1593.75</v>
      </c>
      <c r="D188" t="e">
        <f>IF('Lab test'!AQ177&gt;0,'Lab test'!AQ177,NA())</f>
        <v>#N/A</v>
      </c>
      <c r="E188" t="e">
        <f>IF('Lab test'!AU177&gt;0,'Lab test'!AU177,NA())</f>
        <v>#N/A</v>
      </c>
      <c r="F188">
        <f>IF('Lab test'!AT177&gt;0,'Lab test'!AT177,NA())</f>
        <v>1.0045655139823491</v>
      </c>
      <c r="G188" t="e">
        <f t="shared" si="40"/>
        <v>#N/A</v>
      </c>
      <c r="H188" t="e">
        <f t="shared" si="41"/>
        <v>#N/A</v>
      </c>
      <c r="I188" t="e">
        <f t="shared" si="42"/>
        <v>#N/A</v>
      </c>
      <c r="J188">
        <f t="shared" si="43"/>
        <v>1</v>
      </c>
      <c r="K188">
        <f t="shared" si="44"/>
        <v>1</v>
      </c>
      <c r="L188" t="str">
        <f>'Lab test'!AC177</f>
        <v>LTWb</v>
      </c>
      <c r="O188" t="e">
        <f t="shared" si="45"/>
        <v>#N/A</v>
      </c>
      <c r="P188" t="e">
        <f t="shared" si="46"/>
        <v>#N/A</v>
      </c>
      <c r="Q188" t="e">
        <f t="shared" si="47"/>
        <v>#N/A</v>
      </c>
      <c r="R188" t="e">
        <f t="shared" si="48"/>
        <v>#N/A</v>
      </c>
      <c r="S188" t="e">
        <f t="shared" si="49"/>
        <v>#N/A</v>
      </c>
      <c r="T188" t="e">
        <f t="shared" si="50"/>
        <v>#N/A</v>
      </c>
      <c r="U188" t="e">
        <f t="shared" si="51"/>
        <v>#N/A</v>
      </c>
      <c r="W188" t="e">
        <f t="shared" si="52"/>
        <v>#N/A</v>
      </c>
      <c r="X188">
        <f t="shared" si="53"/>
        <v>1.0045655139823491</v>
      </c>
      <c r="Y188" t="e">
        <f t="shared" si="54"/>
        <v>#N/A</v>
      </c>
      <c r="Z188" t="e">
        <f t="shared" si="55"/>
        <v>#N/A</v>
      </c>
      <c r="AA188" t="e">
        <f t="shared" si="56"/>
        <v>#N/A</v>
      </c>
      <c r="AB188" t="e">
        <f t="shared" si="57"/>
        <v>#N/A</v>
      </c>
      <c r="AC188" t="e">
        <f t="shared" si="58"/>
        <v>#N/A</v>
      </c>
    </row>
    <row r="189" spans="2:29">
      <c r="B189">
        <v>175</v>
      </c>
      <c r="C189">
        <f>'Lab test'!Q178</f>
        <v>2125.0000000000005</v>
      </c>
      <c r="D189" t="e">
        <f>IF('Lab test'!AQ178&gt;0,'Lab test'!AQ178,NA())</f>
        <v>#N/A</v>
      </c>
      <c r="E189" t="e">
        <f>IF('Lab test'!AU178&gt;0,'Lab test'!AU178,NA())</f>
        <v>#N/A</v>
      </c>
      <c r="F189">
        <f>IF('Lab test'!AT178&gt;0,'Lab test'!AT178,NA())</f>
        <v>0.22572326583598407</v>
      </c>
      <c r="G189" t="e">
        <f t="shared" si="40"/>
        <v>#N/A</v>
      </c>
      <c r="H189" t="e">
        <f t="shared" si="41"/>
        <v>#N/A</v>
      </c>
      <c r="I189" t="e">
        <f t="shared" si="42"/>
        <v>#N/A</v>
      </c>
      <c r="J189">
        <f t="shared" si="43"/>
        <v>1</v>
      </c>
      <c r="K189">
        <f t="shared" si="44"/>
        <v>1</v>
      </c>
      <c r="L189" t="str">
        <f>'Lab test'!AC178</f>
        <v>LTWb</v>
      </c>
      <c r="O189" t="e">
        <f t="shared" si="45"/>
        <v>#N/A</v>
      </c>
      <c r="P189" t="e">
        <f t="shared" si="46"/>
        <v>#N/A</v>
      </c>
      <c r="Q189" t="e">
        <f t="shared" si="47"/>
        <v>#N/A</v>
      </c>
      <c r="R189" t="e">
        <f t="shared" si="48"/>
        <v>#N/A</v>
      </c>
      <c r="S189" t="e">
        <f t="shared" si="49"/>
        <v>#N/A</v>
      </c>
      <c r="T189" t="e">
        <f t="shared" si="50"/>
        <v>#N/A</v>
      </c>
      <c r="U189" t="e">
        <f t="shared" si="51"/>
        <v>#N/A</v>
      </c>
      <c r="W189" t="e">
        <f t="shared" si="52"/>
        <v>#N/A</v>
      </c>
      <c r="X189">
        <f t="shared" si="53"/>
        <v>0.22572326583598407</v>
      </c>
      <c r="Y189" t="e">
        <f t="shared" si="54"/>
        <v>#N/A</v>
      </c>
      <c r="Z189" t="e">
        <f t="shared" si="55"/>
        <v>#N/A</v>
      </c>
      <c r="AA189" t="e">
        <f t="shared" si="56"/>
        <v>#N/A</v>
      </c>
      <c r="AB189" t="e">
        <f t="shared" si="57"/>
        <v>#N/A</v>
      </c>
      <c r="AC189" t="e">
        <f t="shared" si="58"/>
        <v>#N/A</v>
      </c>
    </row>
    <row r="190" spans="2:29">
      <c r="B190">
        <v>176</v>
      </c>
      <c r="C190">
        <f>'Lab test'!Q179</f>
        <v>2125.0000000000005</v>
      </c>
      <c r="D190" t="e">
        <f>IF('Lab test'!AQ179&gt;0,'Lab test'!AQ179,NA())</f>
        <v>#N/A</v>
      </c>
      <c r="E190" t="e">
        <f>IF('Lab test'!AU179&gt;0,'Lab test'!AU179,NA())</f>
        <v>#N/A</v>
      </c>
      <c r="F190">
        <f>IF('Lab test'!AT179&gt;0,'Lab test'!AT179,NA())</f>
        <v>0.19322737104026258</v>
      </c>
      <c r="G190" t="e">
        <f t="shared" si="40"/>
        <v>#N/A</v>
      </c>
      <c r="H190" t="e">
        <f t="shared" si="41"/>
        <v>#N/A</v>
      </c>
      <c r="I190" t="e">
        <f t="shared" si="42"/>
        <v>#N/A</v>
      </c>
      <c r="J190">
        <f t="shared" si="43"/>
        <v>1</v>
      </c>
      <c r="K190">
        <f t="shared" si="44"/>
        <v>1</v>
      </c>
      <c r="L190" t="str">
        <f>'Lab test'!AC179</f>
        <v>LTWb</v>
      </c>
      <c r="O190" t="e">
        <f t="shared" si="45"/>
        <v>#N/A</v>
      </c>
      <c r="P190" t="e">
        <f t="shared" si="46"/>
        <v>#N/A</v>
      </c>
      <c r="Q190" t="e">
        <f t="shared" si="47"/>
        <v>#N/A</v>
      </c>
      <c r="R190" t="e">
        <f t="shared" si="48"/>
        <v>#N/A</v>
      </c>
      <c r="S190" t="e">
        <f t="shared" si="49"/>
        <v>#N/A</v>
      </c>
      <c r="T190" t="e">
        <f t="shared" si="50"/>
        <v>#N/A</v>
      </c>
      <c r="U190" t="e">
        <f t="shared" si="51"/>
        <v>#N/A</v>
      </c>
      <c r="W190" t="e">
        <f t="shared" si="52"/>
        <v>#N/A</v>
      </c>
      <c r="X190">
        <f t="shared" si="53"/>
        <v>0.19322737104026258</v>
      </c>
      <c r="Y190" t="e">
        <f t="shared" si="54"/>
        <v>#N/A</v>
      </c>
      <c r="Z190" t="e">
        <f t="shared" si="55"/>
        <v>#N/A</v>
      </c>
      <c r="AA190" t="e">
        <f t="shared" si="56"/>
        <v>#N/A</v>
      </c>
      <c r="AB190" t="e">
        <f t="shared" si="57"/>
        <v>#N/A</v>
      </c>
      <c r="AC190" t="e">
        <f t="shared" si="58"/>
        <v>#N/A</v>
      </c>
    </row>
    <row r="191" spans="2:29">
      <c r="B191">
        <v>177</v>
      </c>
      <c r="C191">
        <f>'Lab test'!Q180</f>
        <v>2125.0000000000005</v>
      </c>
      <c r="D191" t="e">
        <f>IF('Lab test'!AQ180&gt;0,'Lab test'!AQ180,NA())</f>
        <v>#N/A</v>
      </c>
      <c r="E191" t="e">
        <f>IF('Lab test'!AU180&gt;0,'Lab test'!AU180,NA())</f>
        <v>#N/A</v>
      </c>
      <c r="F191">
        <f>IF('Lab test'!AT180&gt;0,'Lab test'!AT180,NA())</f>
        <v>0.18548272435530894</v>
      </c>
      <c r="G191" t="e">
        <f t="shared" si="40"/>
        <v>#N/A</v>
      </c>
      <c r="H191" t="e">
        <f t="shared" si="41"/>
        <v>#N/A</v>
      </c>
      <c r="I191" t="e">
        <f t="shared" si="42"/>
        <v>#N/A</v>
      </c>
      <c r="J191">
        <f t="shared" si="43"/>
        <v>1</v>
      </c>
      <c r="K191">
        <f t="shared" si="44"/>
        <v>1</v>
      </c>
      <c r="L191" t="str">
        <f>'Lab test'!AC180</f>
        <v>LTWb</v>
      </c>
      <c r="O191" t="e">
        <f t="shared" si="45"/>
        <v>#N/A</v>
      </c>
      <c r="P191" t="e">
        <f t="shared" si="46"/>
        <v>#N/A</v>
      </c>
      <c r="Q191" t="e">
        <f t="shared" si="47"/>
        <v>#N/A</v>
      </c>
      <c r="R191" t="e">
        <f t="shared" si="48"/>
        <v>#N/A</v>
      </c>
      <c r="S191" t="e">
        <f t="shared" si="49"/>
        <v>#N/A</v>
      </c>
      <c r="T191" t="e">
        <f t="shared" si="50"/>
        <v>#N/A</v>
      </c>
      <c r="U191" t="e">
        <f t="shared" si="51"/>
        <v>#N/A</v>
      </c>
      <c r="W191" t="e">
        <f t="shared" si="52"/>
        <v>#N/A</v>
      </c>
      <c r="X191">
        <f t="shared" si="53"/>
        <v>0.18548272435530894</v>
      </c>
      <c r="Y191" t="e">
        <f t="shared" si="54"/>
        <v>#N/A</v>
      </c>
      <c r="Z191" t="e">
        <f t="shared" si="55"/>
        <v>#N/A</v>
      </c>
      <c r="AA191" t="e">
        <f t="shared" si="56"/>
        <v>#N/A</v>
      </c>
      <c r="AB191" t="e">
        <f t="shared" si="57"/>
        <v>#N/A</v>
      </c>
      <c r="AC191" t="e">
        <f t="shared" si="58"/>
        <v>#N/A</v>
      </c>
    </row>
    <row r="192" spans="2:29">
      <c r="B192">
        <v>178</v>
      </c>
      <c r="C192">
        <f>'Lab test'!Q181</f>
        <v>2125.0000000000005</v>
      </c>
      <c r="D192" t="e">
        <f>IF('Lab test'!AQ181&gt;0,'Lab test'!AQ181,NA())</f>
        <v>#N/A</v>
      </c>
      <c r="E192" t="e">
        <f>IF('Lab test'!AU181&gt;0,'Lab test'!AU181,NA())</f>
        <v>#N/A</v>
      </c>
      <c r="F192">
        <f>IF('Lab test'!AT181&gt;0,'Lab test'!AT181,NA())</f>
        <v>0.18700641382567429</v>
      </c>
      <c r="G192" t="e">
        <f t="shared" si="40"/>
        <v>#N/A</v>
      </c>
      <c r="H192" t="e">
        <f t="shared" si="41"/>
        <v>#N/A</v>
      </c>
      <c r="I192" t="e">
        <f t="shared" si="42"/>
        <v>#N/A</v>
      </c>
      <c r="J192">
        <f t="shared" si="43"/>
        <v>1</v>
      </c>
      <c r="K192">
        <f t="shared" si="44"/>
        <v>1</v>
      </c>
      <c r="L192" t="str">
        <f>'Lab test'!AC181</f>
        <v>LTWb</v>
      </c>
      <c r="O192" t="e">
        <f t="shared" si="45"/>
        <v>#N/A</v>
      </c>
      <c r="P192" t="e">
        <f t="shared" si="46"/>
        <v>#N/A</v>
      </c>
      <c r="Q192" t="e">
        <f t="shared" si="47"/>
        <v>#N/A</v>
      </c>
      <c r="R192" t="e">
        <f t="shared" si="48"/>
        <v>#N/A</v>
      </c>
      <c r="S192" t="e">
        <f t="shared" si="49"/>
        <v>#N/A</v>
      </c>
      <c r="T192" t="e">
        <f t="shared" si="50"/>
        <v>#N/A</v>
      </c>
      <c r="U192" t="e">
        <f t="shared" si="51"/>
        <v>#N/A</v>
      </c>
      <c r="W192" t="e">
        <f t="shared" si="52"/>
        <v>#N/A</v>
      </c>
      <c r="X192">
        <f t="shared" si="53"/>
        <v>0.18700641382567429</v>
      </c>
      <c r="Y192" t="e">
        <f t="shared" si="54"/>
        <v>#N/A</v>
      </c>
      <c r="Z192" t="e">
        <f t="shared" si="55"/>
        <v>#N/A</v>
      </c>
      <c r="AA192" t="e">
        <f t="shared" si="56"/>
        <v>#N/A</v>
      </c>
      <c r="AB192" t="e">
        <f t="shared" si="57"/>
        <v>#N/A</v>
      </c>
      <c r="AC192" t="e">
        <f t="shared" si="58"/>
        <v>#N/A</v>
      </c>
    </row>
    <row r="193" spans="2:29">
      <c r="B193">
        <v>179</v>
      </c>
      <c r="C193">
        <f>'Lab test'!Q182</f>
        <v>2125.0000000000005</v>
      </c>
      <c r="D193" t="e">
        <f>IF('Lab test'!AQ182&gt;0,'Lab test'!AQ182,NA())</f>
        <v>#N/A</v>
      </c>
      <c r="E193" t="e">
        <f>IF('Lab test'!AU182&gt;0,'Lab test'!AU182,NA())</f>
        <v>#N/A</v>
      </c>
      <c r="F193">
        <f>IF('Lab test'!AT182&gt;0,'Lab test'!AT182,NA())</f>
        <v>0.18247248837939781</v>
      </c>
      <c r="G193" t="e">
        <f t="shared" si="40"/>
        <v>#N/A</v>
      </c>
      <c r="H193" t="e">
        <f t="shared" si="41"/>
        <v>#N/A</v>
      </c>
      <c r="I193" t="e">
        <f t="shared" si="42"/>
        <v>#N/A</v>
      </c>
      <c r="J193">
        <f t="shared" si="43"/>
        <v>1</v>
      </c>
      <c r="K193">
        <f t="shared" si="44"/>
        <v>1</v>
      </c>
      <c r="L193" t="str">
        <f>'Lab test'!AC182</f>
        <v>LTWb</v>
      </c>
      <c r="O193" t="e">
        <f t="shared" si="45"/>
        <v>#N/A</v>
      </c>
      <c r="P193" t="e">
        <f t="shared" si="46"/>
        <v>#N/A</v>
      </c>
      <c r="Q193" t="e">
        <f t="shared" si="47"/>
        <v>#N/A</v>
      </c>
      <c r="R193" t="e">
        <f t="shared" si="48"/>
        <v>#N/A</v>
      </c>
      <c r="S193" t="e">
        <f t="shared" si="49"/>
        <v>#N/A</v>
      </c>
      <c r="T193" t="e">
        <f t="shared" si="50"/>
        <v>#N/A</v>
      </c>
      <c r="U193" t="e">
        <f t="shared" si="51"/>
        <v>#N/A</v>
      </c>
      <c r="W193" t="e">
        <f t="shared" si="52"/>
        <v>#N/A</v>
      </c>
      <c r="X193">
        <f t="shared" si="53"/>
        <v>0.18247248837939781</v>
      </c>
      <c r="Y193" t="e">
        <f t="shared" si="54"/>
        <v>#N/A</v>
      </c>
      <c r="Z193" t="e">
        <f t="shared" si="55"/>
        <v>#N/A</v>
      </c>
      <c r="AA193" t="e">
        <f t="shared" si="56"/>
        <v>#N/A</v>
      </c>
      <c r="AB193" t="e">
        <f t="shared" si="57"/>
        <v>#N/A</v>
      </c>
      <c r="AC193" t="e">
        <f t="shared" si="58"/>
        <v>#N/A</v>
      </c>
    </row>
    <row r="194" spans="2:29">
      <c r="B194">
        <v>180</v>
      </c>
      <c r="C194">
        <f>'Lab test'!Q183</f>
        <v>2125.0000000000005</v>
      </c>
      <c r="D194" t="e">
        <f>IF('Lab test'!AQ183&gt;0,'Lab test'!AQ183,NA())</f>
        <v>#N/A</v>
      </c>
      <c r="E194" t="e">
        <f>IF('Lab test'!AU183&gt;0,'Lab test'!AU183,NA())</f>
        <v>#N/A</v>
      </c>
      <c r="F194">
        <f>IF('Lab test'!AT183&gt;0,'Lab test'!AT183,NA())</f>
        <v>0.18854261998518254</v>
      </c>
      <c r="G194" t="e">
        <f t="shared" si="40"/>
        <v>#N/A</v>
      </c>
      <c r="H194" t="e">
        <f t="shared" si="41"/>
        <v>#N/A</v>
      </c>
      <c r="I194" t="e">
        <f t="shared" si="42"/>
        <v>#N/A</v>
      </c>
      <c r="J194">
        <f t="shared" si="43"/>
        <v>1</v>
      </c>
      <c r="K194">
        <f t="shared" si="44"/>
        <v>1</v>
      </c>
      <c r="L194" t="str">
        <f>'Lab test'!AC183</f>
        <v>LTWb</v>
      </c>
      <c r="O194" t="e">
        <f t="shared" si="45"/>
        <v>#N/A</v>
      </c>
      <c r="P194" t="e">
        <f t="shared" si="46"/>
        <v>#N/A</v>
      </c>
      <c r="Q194" t="e">
        <f t="shared" si="47"/>
        <v>#N/A</v>
      </c>
      <c r="R194" t="e">
        <f t="shared" si="48"/>
        <v>#N/A</v>
      </c>
      <c r="S194" t="e">
        <f t="shared" si="49"/>
        <v>#N/A</v>
      </c>
      <c r="T194" t="e">
        <f t="shared" si="50"/>
        <v>#N/A</v>
      </c>
      <c r="U194" t="e">
        <f t="shared" si="51"/>
        <v>#N/A</v>
      </c>
      <c r="W194" t="e">
        <f t="shared" si="52"/>
        <v>#N/A</v>
      </c>
      <c r="X194">
        <f t="shared" si="53"/>
        <v>0.18854261998518254</v>
      </c>
      <c r="Y194" t="e">
        <f t="shared" si="54"/>
        <v>#N/A</v>
      </c>
      <c r="Z194" t="e">
        <f t="shared" si="55"/>
        <v>#N/A</v>
      </c>
      <c r="AA194" t="e">
        <f t="shared" si="56"/>
        <v>#N/A</v>
      </c>
      <c r="AB194" t="e">
        <f t="shared" si="57"/>
        <v>#N/A</v>
      </c>
      <c r="AC194" t="e">
        <f t="shared" si="58"/>
        <v>#N/A</v>
      </c>
    </row>
    <row r="195" spans="2:29">
      <c r="B195">
        <v>181</v>
      </c>
      <c r="C195">
        <f>'Lab test'!Q184</f>
        <v>2125.0000000000005</v>
      </c>
      <c r="D195" t="e">
        <f>IF('Lab test'!AQ184&gt;0,'Lab test'!AQ184,NA())</f>
        <v>#N/A</v>
      </c>
      <c r="E195" t="e">
        <f>IF('Lab test'!AU184&gt;0,'Lab test'!AU184,NA())</f>
        <v>#N/A</v>
      </c>
      <c r="F195">
        <f>IF('Lab test'!AT184&gt;0,'Lab test'!AT184,NA())</f>
        <v>0.26368413783907368</v>
      </c>
      <c r="G195" t="e">
        <f t="shared" si="40"/>
        <v>#N/A</v>
      </c>
      <c r="H195" t="e">
        <f t="shared" si="41"/>
        <v>#N/A</v>
      </c>
      <c r="I195" t="e">
        <f t="shared" si="42"/>
        <v>#N/A</v>
      </c>
      <c r="J195">
        <f t="shared" si="43"/>
        <v>1</v>
      </c>
      <c r="K195">
        <f t="shared" si="44"/>
        <v>1</v>
      </c>
      <c r="L195" t="str">
        <f>'Lab test'!AC184</f>
        <v>LTWb</v>
      </c>
      <c r="O195" t="e">
        <f t="shared" si="45"/>
        <v>#N/A</v>
      </c>
      <c r="P195" t="e">
        <f t="shared" si="46"/>
        <v>#N/A</v>
      </c>
      <c r="Q195" t="e">
        <f t="shared" si="47"/>
        <v>#N/A</v>
      </c>
      <c r="R195" t="e">
        <f t="shared" si="48"/>
        <v>#N/A</v>
      </c>
      <c r="S195" t="e">
        <f t="shared" si="49"/>
        <v>#N/A</v>
      </c>
      <c r="T195" t="e">
        <f t="shared" si="50"/>
        <v>#N/A</v>
      </c>
      <c r="U195" t="e">
        <f t="shared" si="51"/>
        <v>#N/A</v>
      </c>
      <c r="W195" t="e">
        <f t="shared" si="52"/>
        <v>#N/A</v>
      </c>
      <c r="X195">
        <f t="shared" si="53"/>
        <v>0.26368413783907368</v>
      </c>
      <c r="Y195" t="e">
        <f t="shared" si="54"/>
        <v>#N/A</v>
      </c>
      <c r="Z195" t="e">
        <f t="shared" si="55"/>
        <v>#N/A</v>
      </c>
      <c r="AA195" t="e">
        <f t="shared" si="56"/>
        <v>#N/A</v>
      </c>
      <c r="AB195" t="e">
        <f t="shared" si="57"/>
        <v>#N/A</v>
      </c>
      <c r="AC195" t="e">
        <f t="shared" si="58"/>
        <v>#N/A</v>
      </c>
    </row>
    <row r="196" spans="2:29">
      <c r="B196">
        <v>182</v>
      </c>
      <c r="C196">
        <f>'Lab test'!Q185</f>
        <v>2125.0000000000005</v>
      </c>
      <c r="D196" t="e">
        <f>IF('Lab test'!AQ185&gt;0,'Lab test'!AQ185,NA())</f>
        <v>#N/A</v>
      </c>
      <c r="E196" t="e">
        <f>IF('Lab test'!AU185&gt;0,'Lab test'!AU185,NA())</f>
        <v>#N/A</v>
      </c>
      <c r="F196">
        <f>IF('Lab test'!AT185&gt;0,'Lab test'!AT185,NA())</f>
        <v>0.25519482428669626</v>
      </c>
      <c r="G196" t="e">
        <f t="shared" si="40"/>
        <v>#N/A</v>
      </c>
      <c r="H196" t="e">
        <f t="shared" si="41"/>
        <v>#N/A</v>
      </c>
      <c r="I196" t="e">
        <f t="shared" si="42"/>
        <v>#N/A</v>
      </c>
      <c r="J196">
        <f t="shared" si="43"/>
        <v>1</v>
      </c>
      <c r="K196">
        <f t="shared" si="44"/>
        <v>1</v>
      </c>
      <c r="L196" t="str">
        <f>'Lab test'!AC185</f>
        <v>LTWb</v>
      </c>
      <c r="O196" t="e">
        <f t="shared" si="45"/>
        <v>#N/A</v>
      </c>
      <c r="P196" t="e">
        <f t="shared" si="46"/>
        <v>#N/A</v>
      </c>
      <c r="Q196" t="e">
        <f t="shared" si="47"/>
        <v>#N/A</v>
      </c>
      <c r="R196" t="e">
        <f t="shared" si="48"/>
        <v>#N/A</v>
      </c>
      <c r="S196" t="e">
        <f t="shared" si="49"/>
        <v>#N/A</v>
      </c>
      <c r="T196" t="e">
        <f t="shared" si="50"/>
        <v>#N/A</v>
      </c>
      <c r="U196" t="e">
        <f t="shared" si="51"/>
        <v>#N/A</v>
      </c>
      <c r="W196" t="e">
        <f t="shared" si="52"/>
        <v>#N/A</v>
      </c>
      <c r="X196">
        <f t="shared" si="53"/>
        <v>0.25519482428669626</v>
      </c>
      <c r="Y196" t="e">
        <f t="shared" si="54"/>
        <v>#N/A</v>
      </c>
      <c r="Z196" t="e">
        <f t="shared" si="55"/>
        <v>#N/A</v>
      </c>
      <c r="AA196" t="e">
        <f t="shared" si="56"/>
        <v>#N/A</v>
      </c>
      <c r="AB196" t="e">
        <f t="shared" si="57"/>
        <v>#N/A</v>
      </c>
      <c r="AC196" t="e">
        <f t="shared" si="58"/>
        <v>#N/A</v>
      </c>
    </row>
    <row r="197" spans="2:29">
      <c r="B197">
        <v>183</v>
      </c>
      <c r="C197">
        <f>'Lab test'!Q186</f>
        <v>2125.0000000000005</v>
      </c>
      <c r="D197" t="e">
        <f>IF('Lab test'!AQ186&gt;0,'Lab test'!AQ186,NA())</f>
        <v>#N/A</v>
      </c>
      <c r="E197" t="e">
        <f>IF('Lab test'!AU186&gt;0,'Lab test'!AU186,NA())</f>
        <v>#N/A</v>
      </c>
      <c r="F197">
        <f>IF('Lab test'!AT186&gt;0,'Lab test'!AT186,NA())</f>
        <v>0.38104004151776222</v>
      </c>
      <c r="G197" t="e">
        <f t="shared" si="40"/>
        <v>#N/A</v>
      </c>
      <c r="H197" t="e">
        <f t="shared" si="41"/>
        <v>#N/A</v>
      </c>
      <c r="I197" t="e">
        <f t="shared" si="42"/>
        <v>#N/A</v>
      </c>
      <c r="J197">
        <f t="shared" si="43"/>
        <v>1</v>
      </c>
      <c r="K197">
        <f t="shared" si="44"/>
        <v>1</v>
      </c>
      <c r="L197" t="str">
        <f>'Lab test'!AC186</f>
        <v>LTWb</v>
      </c>
      <c r="O197" t="e">
        <f t="shared" si="45"/>
        <v>#N/A</v>
      </c>
      <c r="P197" t="e">
        <f t="shared" si="46"/>
        <v>#N/A</v>
      </c>
      <c r="Q197" t="e">
        <f t="shared" si="47"/>
        <v>#N/A</v>
      </c>
      <c r="R197" t="e">
        <f t="shared" si="48"/>
        <v>#N/A</v>
      </c>
      <c r="S197" t="e">
        <f t="shared" si="49"/>
        <v>#N/A</v>
      </c>
      <c r="T197" t="e">
        <f t="shared" si="50"/>
        <v>#N/A</v>
      </c>
      <c r="U197" t="e">
        <f t="shared" si="51"/>
        <v>#N/A</v>
      </c>
      <c r="W197" t="e">
        <f t="shared" si="52"/>
        <v>#N/A</v>
      </c>
      <c r="X197">
        <f t="shared" si="53"/>
        <v>0.38104004151776222</v>
      </c>
      <c r="Y197" t="e">
        <f t="shared" si="54"/>
        <v>#N/A</v>
      </c>
      <c r="Z197" t="e">
        <f t="shared" si="55"/>
        <v>#N/A</v>
      </c>
      <c r="AA197" t="e">
        <f t="shared" si="56"/>
        <v>#N/A</v>
      </c>
      <c r="AB197" t="e">
        <f t="shared" si="57"/>
        <v>#N/A</v>
      </c>
      <c r="AC197" t="e">
        <f t="shared" si="58"/>
        <v>#N/A</v>
      </c>
    </row>
    <row r="198" spans="2:29">
      <c r="B198">
        <v>184</v>
      </c>
      <c r="C198">
        <f>'Lab test'!Q187</f>
        <v>2125.0000000000005</v>
      </c>
      <c r="D198" t="e">
        <f>IF('Lab test'!AQ187&gt;0,'Lab test'!AQ187,NA())</f>
        <v>#N/A</v>
      </c>
      <c r="E198" t="e">
        <f>IF('Lab test'!AU187&gt;0,'Lab test'!AU187,NA())</f>
        <v>#N/A</v>
      </c>
      <c r="F198">
        <f>IF('Lab test'!AT187&gt;0,'Lab test'!AT187,NA())</f>
        <v>0.33156524979597468</v>
      </c>
      <c r="G198" t="e">
        <f t="shared" si="40"/>
        <v>#N/A</v>
      </c>
      <c r="H198" t="e">
        <f t="shared" si="41"/>
        <v>#N/A</v>
      </c>
      <c r="I198" t="e">
        <f t="shared" si="42"/>
        <v>#N/A</v>
      </c>
      <c r="J198">
        <f t="shared" si="43"/>
        <v>1</v>
      </c>
      <c r="K198">
        <f t="shared" si="44"/>
        <v>1</v>
      </c>
      <c r="L198" t="str">
        <f>'Lab test'!AC187</f>
        <v>LTWb</v>
      </c>
      <c r="O198" t="e">
        <f t="shared" si="45"/>
        <v>#N/A</v>
      </c>
      <c r="P198" t="e">
        <f t="shared" si="46"/>
        <v>#N/A</v>
      </c>
      <c r="Q198" t="e">
        <f t="shared" si="47"/>
        <v>#N/A</v>
      </c>
      <c r="R198" t="e">
        <f t="shared" si="48"/>
        <v>#N/A</v>
      </c>
      <c r="S198" t="e">
        <f t="shared" si="49"/>
        <v>#N/A</v>
      </c>
      <c r="T198" t="e">
        <f t="shared" si="50"/>
        <v>#N/A</v>
      </c>
      <c r="U198" t="e">
        <f t="shared" si="51"/>
        <v>#N/A</v>
      </c>
      <c r="W198" t="e">
        <f t="shared" si="52"/>
        <v>#N/A</v>
      </c>
      <c r="X198">
        <f t="shared" si="53"/>
        <v>0.33156524979597468</v>
      </c>
      <c r="Y198" t="e">
        <f t="shared" si="54"/>
        <v>#N/A</v>
      </c>
      <c r="Z198" t="e">
        <f t="shared" si="55"/>
        <v>#N/A</v>
      </c>
      <c r="AA198" t="e">
        <f t="shared" si="56"/>
        <v>#N/A</v>
      </c>
      <c r="AB198" t="e">
        <f t="shared" si="57"/>
        <v>#N/A</v>
      </c>
      <c r="AC198" t="e">
        <f t="shared" si="58"/>
        <v>#N/A</v>
      </c>
    </row>
    <row r="199" spans="2:29">
      <c r="B199">
        <v>185</v>
      </c>
      <c r="C199">
        <f>'Lab test'!Q188</f>
        <v>2125.0000000000005</v>
      </c>
      <c r="D199" t="e">
        <f>IF('Lab test'!AQ188&gt;0,'Lab test'!AQ188,NA())</f>
        <v>#N/A</v>
      </c>
      <c r="E199" t="e">
        <f>IF('Lab test'!AU188&gt;0,'Lab test'!AU188,NA())</f>
        <v>#N/A</v>
      </c>
      <c r="F199">
        <f>IF('Lab test'!AT188&gt;0,'Lab test'!AT188,NA())</f>
        <v>0.56894380066558803</v>
      </c>
      <c r="G199" t="e">
        <f t="shared" si="40"/>
        <v>#N/A</v>
      </c>
      <c r="H199" t="e">
        <f t="shared" si="41"/>
        <v>#N/A</v>
      </c>
      <c r="I199" t="e">
        <f t="shared" si="42"/>
        <v>#N/A</v>
      </c>
      <c r="J199">
        <f t="shared" si="43"/>
        <v>1</v>
      </c>
      <c r="K199">
        <f t="shared" si="44"/>
        <v>1</v>
      </c>
      <c r="L199" t="str">
        <f>'Lab test'!AC188</f>
        <v>LTWb</v>
      </c>
      <c r="O199" t="e">
        <f t="shared" si="45"/>
        <v>#N/A</v>
      </c>
      <c r="P199" t="e">
        <f t="shared" si="46"/>
        <v>#N/A</v>
      </c>
      <c r="Q199" t="e">
        <f t="shared" si="47"/>
        <v>#N/A</v>
      </c>
      <c r="R199" t="e">
        <f t="shared" si="48"/>
        <v>#N/A</v>
      </c>
      <c r="S199" t="e">
        <f t="shared" si="49"/>
        <v>#N/A</v>
      </c>
      <c r="T199" t="e">
        <f t="shared" si="50"/>
        <v>#N/A</v>
      </c>
      <c r="U199" t="e">
        <f t="shared" si="51"/>
        <v>#N/A</v>
      </c>
      <c r="W199" t="e">
        <f t="shared" si="52"/>
        <v>#N/A</v>
      </c>
      <c r="X199">
        <f t="shared" si="53"/>
        <v>0.56894380066558803</v>
      </c>
      <c r="Y199" t="e">
        <f t="shared" si="54"/>
        <v>#N/A</v>
      </c>
      <c r="Z199" t="e">
        <f t="shared" si="55"/>
        <v>#N/A</v>
      </c>
      <c r="AA199" t="e">
        <f t="shared" si="56"/>
        <v>#N/A</v>
      </c>
      <c r="AB199" t="e">
        <f t="shared" si="57"/>
        <v>#N/A</v>
      </c>
      <c r="AC199" t="e">
        <f t="shared" si="58"/>
        <v>#N/A</v>
      </c>
    </row>
    <row r="200" spans="2:29">
      <c r="B200">
        <v>186</v>
      </c>
      <c r="C200">
        <f>'Lab test'!Q189</f>
        <v>2125.0000000000005</v>
      </c>
      <c r="D200" t="e">
        <f>IF('Lab test'!AQ189&gt;0,'Lab test'!AQ189,NA())</f>
        <v>#N/A</v>
      </c>
      <c r="E200" t="e">
        <f>IF('Lab test'!AU189&gt;0,'Lab test'!AU189,NA())</f>
        <v>#N/A</v>
      </c>
      <c r="F200">
        <f>IF('Lab test'!AT189&gt;0,'Lab test'!AT189,NA())</f>
        <v>0.48703670162272333</v>
      </c>
      <c r="G200" t="e">
        <f t="shared" si="40"/>
        <v>#N/A</v>
      </c>
      <c r="H200" t="e">
        <f t="shared" si="41"/>
        <v>#N/A</v>
      </c>
      <c r="I200" t="e">
        <f t="shared" si="42"/>
        <v>#N/A</v>
      </c>
      <c r="J200">
        <f t="shared" si="43"/>
        <v>1</v>
      </c>
      <c r="K200">
        <f t="shared" si="44"/>
        <v>1</v>
      </c>
      <c r="L200" t="str">
        <f>'Lab test'!AC189</f>
        <v>LTWb</v>
      </c>
      <c r="O200" t="e">
        <f t="shared" si="45"/>
        <v>#N/A</v>
      </c>
      <c r="P200" t="e">
        <f t="shared" si="46"/>
        <v>#N/A</v>
      </c>
      <c r="Q200" t="e">
        <f t="shared" si="47"/>
        <v>#N/A</v>
      </c>
      <c r="R200" t="e">
        <f t="shared" si="48"/>
        <v>#N/A</v>
      </c>
      <c r="S200" t="e">
        <f t="shared" si="49"/>
        <v>#N/A</v>
      </c>
      <c r="T200" t="e">
        <f t="shared" si="50"/>
        <v>#N/A</v>
      </c>
      <c r="U200" t="e">
        <f t="shared" si="51"/>
        <v>#N/A</v>
      </c>
      <c r="W200" t="e">
        <f t="shared" si="52"/>
        <v>#N/A</v>
      </c>
      <c r="X200">
        <f t="shared" si="53"/>
        <v>0.48703670162272333</v>
      </c>
      <c r="Y200" t="e">
        <f t="shared" si="54"/>
        <v>#N/A</v>
      </c>
      <c r="Z200" t="e">
        <f t="shared" si="55"/>
        <v>#N/A</v>
      </c>
      <c r="AA200" t="e">
        <f t="shared" si="56"/>
        <v>#N/A</v>
      </c>
      <c r="AB200" t="e">
        <f t="shared" si="57"/>
        <v>#N/A</v>
      </c>
      <c r="AC200" t="e">
        <f t="shared" si="58"/>
        <v>#N/A</v>
      </c>
    </row>
    <row r="201" spans="2:29">
      <c r="B201">
        <v>187</v>
      </c>
      <c r="C201">
        <f>'Lab test'!Q190</f>
        <v>2125.0000000000005</v>
      </c>
      <c r="D201" t="e">
        <f>IF('Lab test'!AQ190&gt;0,'Lab test'!AQ190,NA())</f>
        <v>#N/A</v>
      </c>
      <c r="E201" t="e">
        <f>IF('Lab test'!AU190&gt;0,'Lab test'!AU190,NA())</f>
        <v>#N/A</v>
      </c>
      <c r="F201">
        <f>IF('Lab test'!AT190&gt;0,'Lab test'!AT190,NA())</f>
        <v>0.46370681088827237</v>
      </c>
      <c r="G201" t="e">
        <f t="shared" si="40"/>
        <v>#N/A</v>
      </c>
      <c r="H201" t="e">
        <f t="shared" si="41"/>
        <v>#N/A</v>
      </c>
      <c r="I201" t="e">
        <f t="shared" si="42"/>
        <v>#N/A</v>
      </c>
      <c r="J201">
        <f t="shared" si="43"/>
        <v>1</v>
      </c>
      <c r="K201">
        <f t="shared" si="44"/>
        <v>1</v>
      </c>
      <c r="L201" t="str">
        <f>'Lab test'!AC190</f>
        <v>LTWb</v>
      </c>
      <c r="O201" t="e">
        <f t="shared" si="45"/>
        <v>#N/A</v>
      </c>
      <c r="P201" t="e">
        <f t="shared" si="46"/>
        <v>#N/A</v>
      </c>
      <c r="Q201" t="e">
        <f t="shared" si="47"/>
        <v>#N/A</v>
      </c>
      <c r="R201" t="e">
        <f t="shared" si="48"/>
        <v>#N/A</v>
      </c>
      <c r="S201" t="e">
        <f t="shared" si="49"/>
        <v>#N/A</v>
      </c>
      <c r="T201" t="e">
        <f t="shared" si="50"/>
        <v>#N/A</v>
      </c>
      <c r="U201" t="e">
        <f t="shared" si="51"/>
        <v>#N/A</v>
      </c>
      <c r="W201" t="e">
        <f t="shared" si="52"/>
        <v>#N/A</v>
      </c>
      <c r="X201">
        <f t="shared" si="53"/>
        <v>0.46370681088827237</v>
      </c>
      <c r="Y201" t="e">
        <f t="shared" si="54"/>
        <v>#N/A</v>
      </c>
      <c r="Z201" t="e">
        <f t="shared" si="55"/>
        <v>#N/A</v>
      </c>
      <c r="AA201" t="e">
        <f t="shared" si="56"/>
        <v>#N/A</v>
      </c>
      <c r="AB201" t="e">
        <f t="shared" si="57"/>
        <v>#N/A</v>
      </c>
      <c r="AC201" t="e">
        <f t="shared" si="58"/>
        <v>#N/A</v>
      </c>
    </row>
    <row r="202" spans="2:29">
      <c r="B202">
        <v>188</v>
      </c>
      <c r="C202">
        <f>'Lab test'!Q191</f>
        <v>2125.0000000000005</v>
      </c>
      <c r="D202" t="e">
        <f>IF('Lab test'!AQ191&gt;0,'Lab test'!AQ191,NA())</f>
        <v>#N/A</v>
      </c>
      <c r="E202" t="e">
        <f>IF('Lab test'!AU191&gt;0,'Lab test'!AU191,NA())</f>
        <v>#N/A</v>
      </c>
      <c r="F202">
        <f>IF('Lab test'!AT191&gt;0,'Lab test'!AT191,NA())</f>
        <v>0.51574252256048314</v>
      </c>
      <c r="G202" t="e">
        <f t="shared" si="40"/>
        <v>#N/A</v>
      </c>
      <c r="H202" t="e">
        <f t="shared" si="41"/>
        <v>#N/A</v>
      </c>
      <c r="I202" t="e">
        <f t="shared" si="42"/>
        <v>#N/A</v>
      </c>
      <c r="J202">
        <f t="shared" si="43"/>
        <v>1</v>
      </c>
      <c r="K202">
        <f t="shared" si="44"/>
        <v>1</v>
      </c>
      <c r="L202" t="str">
        <f>'Lab test'!AC191</f>
        <v>LTWb</v>
      </c>
      <c r="O202" t="e">
        <f t="shared" si="45"/>
        <v>#N/A</v>
      </c>
      <c r="P202" t="e">
        <f t="shared" si="46"/>
        <v>#N/A</v>
      </c>
      <c r="Q202" t="e">
        <f t="shared" si="47"/>
        <v>#N/A</v>
      </c>
      <c r="R202" t="e">
        <f t="shared" si="48"/>
        <v>#N/A</v>
      </c>
      <c r="S202" t="e">
        <f t="shared" si="49"/>
        <v>#N/A</v>
      </c>
      <c r="T202" t="e">
        <f t="shared" si="50"/>
        <v>#N/A</v>
      </c>
      <c r="U202" t="e">
        <f t="shared" si="51"/>
        <v>#N/A</v>
      </c>
      <c r="W202" t="e">
        <f t="shared" si="52"/>
        <v>#N/A</v>
      </c>
      <c r="X202">
        <f t="shared" si="53"/>
        <v>0.51574252256048314</v>
      </c>
      <c r="Y202" t="e">
        <f t="shared" si="54"/>
        <v>#N/A</v>
      </c>
      <c r="Z202" t="e">
        <f t="shared" si="55"/>
        <v>#N/A</v>
      </c>
      <c r="AA202" t="e">
        <f t="shared" si="56"/>
        <v>#N/A</v>
      </c>
      <c r="AB202" t="e">
        <f t="shared" si="57"/>
        <v>#N/A</v>
      </c>
      <c r="AC202" t="e">
        <f t="shared" si="58"/>
        <v>#N/A</v>
      </c>
    </row>
    <row r="203" spans="2:29">
      <c r="B203">
        <v>189</v>
      </c>
      <c r="C203">
        <f>'Lab test'!Q192</f>
        <v>2125.0000000000005</v>
      </c>
      <c r="D203" t="e">
        <f>IF('Lab test'!AQ192&gt;0,'Lab test'!AQ192,NA())</f>
        <v>#N/A</v>
      </c>
      <c r="E203" t="e">
        <f>IF('Lab test'!AU192&gt;0,'Lab test'!AU192,NA())</f>
        <v>#N/A</v>
      </c>
      <c r="F203">
        <f>IF('Lab test'!AT192&gt;0,'Lab test'!AT192,NA())</f>
        <v>0.70379844054274177</v>
      </c>
      <c r="G203" t="e">
        <f t="shared" si="40"/>
        <v>#N/A</v>
      </c>
      <c r="H203" t="e">
        <f t="shared" si="41"/>
        <v>#N/A</v>
      </c>
      <c r="I203" t="e">
        <f t="shared" si="42"/>
        <v>#N/A</v>
      </c>
      <c r="J203">
        <f t="shared" si="43"/>
        <v>1</v>
      </c>
      <c r="K203">
        <f t="shared" si="44"/>
        <v>1</v>
      </c>
      <c r="L203" t="str">
        <f>'Lab test'!AC192</f>
        <v>LTWb</v>
      </c>
      <c r="O203" t="e">
        <f t="shared" si="45"/>
        <v>#N/A</v>
      </c>
      <c r="P203" t="e">
        <f t="shared" si="46"/>
        <v>#N/A</v>
      </c>
      <c r="Q203" t="e">
        <f t="shared" si="47"/>
        <v>#N/A</v>
      </c>
      <c r="R203" t="e">
        <f t="shared" si="48"/>
        <v>#N/A</v>
      </c>
      <c r="S203" t="e">
        <f t="shared" si="49"/>
        <v>#N/A</v>
      </c>
      <c r="T203" t="e">
        <f t="shared" si="50"/>
        <v>#N/A</v>
      </c>
      <c r="U203" t="e">
        <f t="shared" si="51"/>
        <v>#N/A</v>
      </c>
      <c r="W203" t="e">
        <f t="shared" si="52"/>
        <v>#N/A</v>
      </c>
      <c r="X203">
        <f t="shared" si="53"/>
        <v>0.70379844054274177</v>
      </c>
      <c r="Y203" t="e">
        <f t="shared" si="54"/>
        <v>#N/A</v>
      </c>
      <c r="Z203" t="e">
        <f t="shared" si="55"/>
        <v>#N/A</v>
      </c>
      <c r="AA203" t="e">
        <f t="shared" si="56"/>
        <v>#N/A</v>
      </c>
      <c r="AB203" t="e">
        <f t="shared" si="57"/>
        <v>#N/A</v>
      </c>
      <c r="AC203" t="e">
        <f t="shared" si="58"/>
        <v>#N/A</v>
      </c>
    </row>
    <row r="204" spans="2:29">
      <c r="B204">
        <v>190</v>
      </c>
      <c r="C204">
        <f>'Lab test'!Q193</f>
        <v>2125.0000000000005</v>
      </c>
      <c r="D204" t="e">
        <f>IF('Lab test'!AQ193&gt;0,'Lab test'!AQ193,NA())</f>
        <v>#N/A</v>
      </c>
      <c r="E204" t="e">
        <f>IF('Lab test'!AU193&gt;0,'Lab test'!AU193,NA())</f>
        <v>#N/A</v>
      </c>
      <c r="F204">
        <f>IF('Lab test'!AT193&gt;0,'Lab test'!AT193,NA())</f>
        <v>0.78277647551548768</v>
      </c>
      <c r="G204" t="e">
        <f t="shared" si="40"/>
        <v>#N/A</v>
      </c>
      <c r="H204" t="e">
        <f t="shared" si="41"/>
        <v>#N/A</v>
      </c>
      <c r="I204" t="e">
        <f t="shared" si="42"/>
        <v>#N/A</v>
      </c>
      <c r="J204">
        <f t="shared" si="43"/>
        <v>1</v>
      </c>
      <c r="K204">
        <f t="shared" si="44"/>
        <v>1</v>
      </c>
      <c r="L204" t="str">
        <f>'Lab test'!AC193</f>
        <v>LTWb</v>
      </c>
      <c r="O204" t="e">
        <f t="shared" si="45"/>
        <v>#N/A</v>
      </c>
      <c r="P204" t="e">
        <f t="shared" si="46"/>
        <v>#N/A</v>
      </c>
      <c r="Q204" t="e">
        <f t="shared" si="47"/>
        <v>#N/A</v>
      </c>
      <c r="R204" t="e">
        <f t="shared" si="48"/>
        <v>#N/A</v>
      </c>
      <c r="S204" t="e">
        <f t="shared" si="49"/>
        <v>#N/A</v>
      </c>
      <c r="T204" t="e">
        <f t="shared" si="50"/>
        <v>#N/A</v>
      </c>
      <c r="U204" t="e">
        <f t="shared" si="51"/>
        <v>#N/A</v>
      </c>
      <c r="W204" t="e">
        <f t="shared" si="52"/>
        <v>#N/A</v>
      </c>
      <c r="X204">
        <f t="shared" si="53"/>
        <v>0.78277647551548768</v>
      </c>
      <c r="Y204" t="e">
        <f t="shared" si="54"/>
        <v>#N/A</v>
      </c>
      <c r="Z204" t="e">
        <f t="shared" si="55"/>
        <v>#N/A</v>
      </c>
      <c r="AA204" t="e">
        <f t="shared" si="56"/>
        <v>#N/A</v>
      </c>
      <c r="AB204" t="e">
        <f t="shared" si="57"/>
        <v>#N/A</v>
      </c>
      <c r="AC204" t="e">
        <f t="shared" si="58"/>
        <v>#N/A</v>
      </c>
    </row>
    <row r="205" spans="2:29">
      <c r="B205">
        <v>191</v>
      </c>
      <c r="C205">
        <f>'Lab test'!Q194</f>
        <v>2125.0000000000005</v>
      </c>
      <c r="D205" t="e">
        <f>IF('Lab test'!AQ194&gt;0,'Lab test'!AQ194,NA())</f>
        <v>#N/A</v>
      </c>
      <c r="E205" t="e">
        <f>IF('Lab test'!AU194&gt;0,'Lab test'!AU194,NA())</f>
        <v>#N/A</v>
      </c>
      <c r="F205">
        <f>IF('Lab test'!AT194&gt;0,'Lab test'!AT194,NA())</f>
        <v>1.033810603795414</v>
      </c>
      <c r="G205" t="e">
        <f t="shared" si="40"/>
        <v>#N/A</v>
      </c>
      <c r="H205" t="e">
        <f t="shared" si="41"/>
        <v>#N/A</v>
      </c>
      <c r="I205" t="e">
        <f t="shared" si="42"/>
        <v>#N/A</v>
      </c>
      <c r="J205">
        <f t="shared" si="43"/>
        <v>1</v>
      </c>
      <c r="K205">
        <f t="shared" si="44"/>
        <v>1</v>
      </c>
      <c r="L205" t="str">
        <f>'Lab test'!AC194</f>
        <v>LTWb</v>
      </c>
      <c r="O205" t="e">
        <f t="shared" si="45"/>
        <v>#N/A</v>
      </c>
      <c r="P205" t="e">
        <f t="shared" si="46"/>
        <v>#N/A</v>
      </c>
      <c r="Q205" t="e">
        <f t="shared" si="47"/>
        <v>#N/A</v>
      </c>
      <c r="R205" t="e">
        <f t="shared" si="48"/>
        <v>#N/A</v>
      </c>
      <c r="S205" t="e">
        <f t="shared" si="49"/>
        <v>#N/A</v>
      </c>
      <c r="T205" t="e">
        <f t="shared" si="50"/>
        <v>#N/A</v>
      </c>
      <c r="U205" t="e">
        <f t="shared" si="51"/>
        <v>#N/A</v>
      </c>
      <c r="W205" t="e">
        <f t="shared" si="52"/>
        <v>#N/A</v>
      </c>
      <c r="X205">
        <f t="shared" si="53"/>
        <v>1.033810603795414</v>
      </c>
      <c r="Y205" t="e">
        <f t="shared" si="54"/>
        <v>#N/A</v>
      </c>
      <c r="Z205" t="e">
        <f t="shared" si="55"/>
        <v>#N/A</v>
      </c>
      <c r="AA205" t="e">
        <f t="shared" si="56"/>
        <v>#N/A</v>
      </c>
      <c r="AB205" t="e">
        <f t="shared" si="57"/>
        <v>#N/A</v>
      </c>
      <c r="AC205" t="e">
        <f t="shared" si="58"/>
        <v>#N/A</v>
      </c>
    </row>
    <row r="206" spans="2:29">
      <c r="B206">
        <v>192</v>
      </c>
      <c r="C206">
        <f>'Lab test'!Q195</f>
        <v>2125.0000000000005</v>
      </c>
      <c r="D206" t="e">
        <f>IF('Lab test'!AQ195&gt;0,'Lab test'!AQ195,NA())</f>
        <v>#N/A</v>
      </c>
      <c r="E206" t="e">
        <f>IF('Lab test'!AU195&gt;0,'Lab test'!AU195,NA())</f>
        <v>#N/A</v>
      </c>
      <c r="F206">
        <f>IF('Lab test'!AT195&gt;0,'Lab test'!AT195,NA())</f>
        <v>1.168790086410471</v>
      </c>
      <c r="G206" t="e">
        <f t="shared" si="40"/>
        <v>#N/A</v>
      </c>
      <c r="H206" t="e">
        <f t="shared" si="41"/>
        <v>#N/A</v>
      </c>
      <c r="I206" t="e">
        <f t="shared" si="42"/>
        <v>#N/A</v>
      </c>
      <c r="J206">
        <f t="shared" si="43"/>
        <v>1</v>
      </c>
      <c r="K206">
        <f t="shared" si="44"/>
        <v>1</v>
      </c>
      <c r="L206" t="str">
        <f>'Lab test'!AC195</f>
        <v>LTWb</v>
      </c>
      <c r="O206" t="e">
        <f t="shared" si="45"/>
        <v>#N/A</v>
      </c>
      <c r="P206" t="e">
        <f t="shared" si="46"/>
        <v>#N/A</v>
      </c>
      <c r="Q206" t="e">
        <f t="shared" si="47"/>
        <v>#N/A</v>
      </c>
      <c r="R206" t="e">
        <f t="shared" si="48"/>
        <v>#N/A</v>
      </c>
      <c r="S206" t="e">
        <f t="shared" si="49"/>
        <v>#N/A</v>
      </c>
      <c r="T206" t="e">
        <f t="shared" si="50"/>
        <v>#N/A</v>
      </c>
      <c r="U206" t="e">
        <f t="shared" si="51"/>
        <v>#N/A</v>
      </c>
      <c r="W206" t="e">
        <f t="shared" si="52"/>
        <v>#N/A</v>
      </c>
      <c r="X206">
        <f t="shared" si="53"/>
        <v>1.168790086410471</v>
      </c>
      <c r="Y206" t="e">
        <f t="shared" si="54"/>
        <v>#N/A</v>
      </c>
      <c r="Z206" t="e">
        <f t="shared" si="55"/>
        <v>#N/A</v>
      </c>
      <c r="AA206" t="e">
        <f t="shared" si="56"/>
        <v>#N/A</v>
      </c>
      <c r="AB206" t="e">
        <f t="shared" si="57"/>
        <v>#N/A</v>
      </c>
      <c r="AC206" t="e">
        <f t="shared" si="58"/>
        <v>#N/A</v>
      </c>
    </row>
    <row r="207" spans="2:29">
      <c r="B207">
        <v>193</v>
      </c>
      <c r="C207">
        <f>'Lab test'!Q196</f>
        <v>3187.5</v>
      </c>
      <c r="D207" t="e">
        <f>IF('Lab test'!AQ196&gt;0,'Lab test'!AQ196,NA())</f>
        <v>#N/A</v>
      </c>
      <c r="E207" t="e">
        <f>IF('Lab test'!AU196&gt;0,'Lab test'!AU196,NA())</f>
        <v>#N/A</v>
      </c>
      <c r="F207">
        <f>IF('Lab test'!AT196&gt;0,'Lab test'!AT196,NA())</f>
        <v>0.17029918819162476</v>
      </c>
      <c r="G207" t="e">
        <f t="shared" si="40"/>
        <v>#N/A</v>
      </c>
      <c r="H207" t="e">
        <f t="shared" si="41"/>
        <v>#N/A</v>
      </c>
      <c r="I207" t="e">
        <f t="shared" si="42"/>
        <v>#N/A</v>
      </c>
      <c r="J207">
        <f t="shared" si="43"/>
        <v>1</v>
      </c>
      <c r="K207">
        <f t="shared" si="44"/>
        <v>1</v>
      </c>
      <c r="L207" t="str">
        <f>'Lab test'!AC196</f>
        <v>LTWb</v>
      </c>
      <c r="O207" t="e">
        <f t="shared" si="45"/>
        <v>#N/A</v>
      </c>
      <c r="P207" t="e">
        <f t="shared" si="46"/>
        <v>#N/A</v>
      </c>
      <c r="Q207" t="e">
        <f t="shared" si="47"/>
        <v>#N/A</v>
      </c>
      <c r="R207" t="e">
        <f t="shared" si="48"/>
        <v>#N/A</v>
      </c>
      <c r="S207" t="e">
        <f t="shared" si="49"/>
        <v>#N/A</v>
      </c>
      <c r="T207" t="e">
        <f t="shared" si="50"/>
        <v>#N/A</v>
      </c>
      <c r="U207" t="e">
        <f t="shared" si="51"/>
        <v>#N/A</v>
      </c>
      <c r="W207" t="e">
        <f t="shared" si="52"/>
        <v>#N/A</v>
      </c>
      <c r="X207">
        <f t="shared" si="53"/>
        <v>0.17029918819162476</v>
      </c>
      <c r="Y207" t="e">
        <f t="shared" si="54"/>
        <v>#N/A</v>
      </c>
      <c r="Z207" t="e">
        <f t="shared" si="55"/>
        <v>#N/A</v>
      </c>
      <c r="AA207" t="e">
        <f t="shared" si="56"/>
        <v>#N/A</v>
      </c>
      <c r="AB207" t="e">
        <f t="shared" si="57"/>
        <v>#N/A</v>
      </c>
      <c r="AC207" t="e">
        <f t="shared" si="58"/>
        <v>#N/A</v>
      </c>
    </row>
    <row r="208" spans="2:29">
      <c r="B208">
        <v>194</v>
      </c>
      <c r="C208">
        <f>'Lab test'!Q197</f>
        <v>3187.5</v>
      </c>
      <c r="D208" t="e">
        <f>IF('Lab test'!AQ197&gt;0,'Lab test'!AQ197,NA())</f>
        <v>#N/A</v>
      </c>
      <c r="E208" t="e">
        <f>IF('Lab test'!AU197&gt;0,'Lab test'!AU197,NA())</f>
        <v>#N/A</v>
      </c>
      <c r="F208">
        <f>IF('Lab test'!AT197&gt;0,'Lab test'!AT197,NA())</f>
        <v>0.12479500926461229</v>
      </c>
      <c r="G208" t="e">
        <f t="shared" ref="G208:G271" si="59">IF(AND(ISNUMBER(D208),ISNUMBER(E208)),1,NA())</f>
        <v>#N/A</v>
      </c>
      <c r="H208" t="e">
        <f t="shared" ref="H208:H271" si="60">IF(AND(ISNUMBER(D208),ISNUMBER(F208)),1,NA())</f>
        <v>#N/A</v>
      </c>
      <c r="I208" t="e">
        <f t="shared" ref="I208:I271" si="61">IF(AND(ISNUMBER(C208),ISNUMBER(E208)),1,NA())</f>
        <v>#N/A</v>
      </c>
      <c r="J208">
        <f t="shared" ref="J208:J271" si="62">IF(AND(ISNUMBER(C208),ISNUMBER(F208)),1,NA())</f>
        <v>1</v>
      </c>
      <c r="K208">
        <f t="shared" ref="K208:K271" si="63">IF(OR(ISNUMBER(E208),ISNUMBER(F208)),1,NA())</f>
        <v>1</v>
      </c>
      <c r="L208" t="str">
        <f>'Lab test'!AC197</f>
        <v>LTWb</v>
      </c>
      <c r="O208" t="e">
        <f t="shared" ref="O208:O271" si="64">IF(EXACT($O$14,L208),E208,NA())</f>
        <v>#N/A</v>
      </c>
      <c r="P208" t="e">
        <f t="shared" ref="P208:P271" si="65">IF(EXACT($P$14,L208),E208,NA())</f>
        <v>#N/A</v>
      </c>
      <c r="Q208" t="e">
        <f t="shared" ref="Q208:Q271" si="66">IF(EXACT($Q$14,L208),E208,NA())</f>
        <v>#N/A</v>
      </c>
      <c r="R208" t="e">
        <f t="shared" ref="R208:R271" si="67">IF(EXACT($R$14,L208),E208,NA())</f>
        <v>#N/A</v>
      </c>
      <c r="S208" t="e">
        <f t="shared" ref="S208:S271" si="68">IF(EXACT($S$14,L208),E208,NA())</f>
        <v>#N/A</v>
      </c>
      <c r="T208" t="e">
        <f t="shared" ref="T208:T271" si="69">IF(EXACT($T$14,L208),E208,NA())</f>
        <v>#N/A</v>
      </c>
      <c r="U208" t="e">
        <f t="shared" ref="U208:U271" si="70">IF(EXACT($U$14,L208),E208,NA())</f>
        <v>#N/A</v>
      </c>
      <c r="W208" t="e">
        <f t="shared" ref="W208:W271" si="71">IF(EXACT($W$14,L208),F208,NA())</f>
        <v>#N/A</v>
      </c>
      <c r="X208">
        <f t="shared" ref="X208:X271" si="72">IF(EXACT($X$14,L208),F208,NA())</f>
        <v>0.12479500926461229</v>
      </c>
      <c r="Y208" t="e">
        <f t="shared" ref="Y208:Y271" si="73">IF(EXACT($Y$14,L208),F208,NA())</f>
        <v>#N/A</v>
      </c>
      <c r="Z208" t="e">
        <f t="shared" ref="Z208:Z271" si="74">IF(EXACT($Z$14,L208),F208,NA())</f>
        <v>#N/A</v>
      </c>
      <c r="AA208" t="e">
        <f t="shared" ref="AA208:AA271" si="75">IF(EXACT($AA$14,L208),F208,NA())</f>
        <v>#N/A</v>
      </c>
      <c r="AB208" t="e">
        <f t="shared" ref="AB208:AB271" si="76">IF(EXACT($AB$14,L208),F208,NA())</f>
        <v>#N/A</v>
      </c>
      <c r="AC208" t="e">
        <f t="shared" ref="AC208:AC271" si="77">IF(EXACT($AC$14,L208),F208,NA())</f>
        <v>#N/A</v>
      </c>
    </row>
    <row r="209" spans="2:29">
      <c r="B209">
        <v>195</v>
      </c>
      <c r="C209">
        <f>'Lab test'!Q198</f>
        <v>3187.5</v>
      </c>
      <c r="D209" t="e">
        <f>IF('Lab test'!AQ198&gt;0,'Lab test'!AQ198,NA())</f>
        <v>#N/A</v>
      </c>
      <c r="E209" t="e">
        <f>IF('Lab test'!AU198&gt;0,'Lab test'!AU198,NA())</f>
        <v>#N/A</v>
      </c>
      <c r="F209">
        <f>IF('Lab test'!AT198&gt;0,'Lab test'!AT198,NA())</f>
        <v>0.12479500926461229</v>
      </c>
      <c r="G209" t="e">
        <f t="shared" si="59"/>
        <v>#N/A</v>
      </c>
      <c r="H209" t="e">
        <f t="shared" si="60"/>
        <v>#N/A</v>
      </c>
      <c r="I209" t="e">
        <f t="shared" si="61"/>
        <v>#N/A</v>
      </c>
      <c r="J209">
        <f t="shared" si="62"/>
        <v>1</v>
      </c>
      <c r="K209">
        <f t="shared" si="63"/>
        <v>1</v>
      </c>
      <c r="L209" t="str">
        <f>'Lab test'!AC198</f>
        <v>LTWb</v>
      </c>
      <c r="O209" t="e">
        <f t="shared" si="64"/>
        <v>#N/A</v>
      </c>
      <c r="P209" t="e">
        <f t="shared" si="65"/>
        <v>#N/A</v>
      </c>
      <c r="Q209" t="e">
        <f t="shared" si="66"/>
        <v>#N/A</v>
      </c>
      <c r="R209" t="e">
        <f t="shared" si="67"/>
        <v>#N/A</v>
      </c>
      <c r="S209" t="e">
        <f t="shared" si="68"/>
        <v>#N/A</v>
      </c>
      <c r="T209" t="e">
        <f t="shared" si="69"/>
        <v>#N/A</v>
      </c>
      <c r="U209" t="e">
        <f t="shared" si="70"/>
        <v>#N/A</v>
      </c>
      <c r="W209" t="e">
        <f t="shared" si="71"/>
        <v>#N/A</v>
      </c>
      <c r="X209">
        <f t="shared" si="72"/>
        <v>0.12479500926461229</v>
      </c>
      <c r="Y209" t="e">
        <f t="shared" si="73"/>
        <v>#N/A</v>
      </c>
      <c r="Z209" t="e">
        <f t="shared" si="74"/>
        <v>#N/A</v>
      </c>
      <c r="AA209" t="e">
        <f t="shared" si="75"/>
        <v>#N/A</v>
      </c>
      <c r="AB209" t="e">
        <f t="shared" si="76"/>
        <v>#N/A</v>
      </c>
      <c r="AC209" t="e">
        <f t="shared" si="77"/>
        <v>#N/A</v>
      </c>
    </row>
    <row r="210" spans="2:29">
      <c r="B210">
        <v>196</v>
      </c>
      <c r="C210">
        <f>'Lab test'!Q199</f>
        <v>3187.5</v>
      </c>
      <c r="D210" t="e">
        <f>IF('Lab test'!AQ199&gt;0,'Lab test'!AQ199,NA())</f>
        <v>#N/A</v>
      </c>
      <c r="E210" t="e">
        <f>IF('Lab test'!AU199&gt;0,'Lab test'!AU199,NA())</f>
        <v>#N/A</v>
      </c>
      <c r="F210">
        <f>IF('Lab test'!AT199&gt;0,'Lab test'!AT199,NA())</f>
        <v>0.11405486739299127</v>
      </c>
      <c r="G210" t="e">
        <f t="shared" si="59"/>
        <v>#N/A</v>
      </c>
      <c r="H210" t="e">
        <f t="shared" si="60"/>
        <v>#N/A</v>
      </c>
      <c r="I210" t="e">
        <f t="shared" si="61"/>
        <v>#N/A</v>
      </c>
      <c r="J210">
        <f t="shared" si="62"/>
        <v>1</v>
      </c>
      <c r="K210">
        <f t="shared" si="63"/>
        <v>1</v>
      </c>
      <c r="L210" t="str">
        <f>'Lab test'!AC199</f>
        <v>LTWb</v>
      </c>
      <c r="O210" t="e">
        <f t="shared" si="64"/>
        <v>#N/A</v>
      </c>
      <c r="P210" t="e">
        <f t="shared" si="65"/>
        <v>#N/A</v>
      </c>
      <c r="Q210" t="e">
        <f t="shared" si="66"/>
        <v>#N/A</v>
      </c>
      <c r="R210" t="e">
        <f t="shared" si="67"/>
        <v>#N/A</v>
      </c>
      <c r="S210" t="e">
        <f t="shared" si="68"/>
        <v>#N/A</v>
      </c>
      <c r="T210" t="e">
        <f t="shared" si="69"/>
        <v>#N/A</v>
      </c>
      <c r="U210" t="e">
        <f t="shared" si="70"/>
        <v>#N/A</v>
      </c>
      <c r="W210" t="e">
        <f t="shared" si="71"/>
        <v>#N/A</v>
      </c>
      <c r="X210">
        <f t="shared" si="72"/>
        <v>0.11405486739299127</v>
      </c>
      <c r="Y210" t="e">
        <f t="shared" si="73"/>
        <v>#N/A</v>
      </c>
      <c r="Z210" t="e">
        <f t="shared" si="74"/>
        <v>#N/A</v>
      </c>
      <c r="AA210" t="e">
        <f t="shared" si="75"/>
        <v>#N/A</v>
      </c>
      <c r="AB210" t="e">
        <f t="shared" si="76"/>
        <v>#N/A</v>
      </c>
      <c r="AC210" t="e">
        <f t="shared" si="77"/>
        <v>#N/A</v>
      </c>
    </row>
    <row r="211" spans="2:29">
      <c r="B211">
        <v>197</v>
      </c>
      <c r="C211">
        <f>'Lab test'!Q200</f>
        <v>3187.5</v>
      </c>
      <c r="D211" t="e">
        <f>IF('Lab test'!AQ200&gt;0,'Lab test'!AQ200,NA())</f>
        <v>#N/A</v>
      </c>
      <c r="E211" t="e">
        <f>IF('Lab test'!AU200&gt;0,'Lab test'!AU200,NA())</f>
        <v>#N/A</v>
      </c>
      <c r="F211">
        <f>IF('Lab test'!AT200&gt;0,'Lab test'!AT200,NA())</f>
        <v>0.13107366177086094</v>
      </c>
      <c r="G211" t="e">
        <f t="shared" si="59"/>
        <v>#N/A</v>
      </c>
      <c r="H211" t="e">
        <f t="shared" si="60"/>
        <v>#N/A</v>
      </c>
      <c r="I211" t="e">
        <f t="shared" si="61"/>
        <v>#N/A</v>
      </c>
      <c r="J211">
        <f t="shared" si="62"/>
        <v>1</v>
      </c>
      <c r="K211">
        <f t="shared" si="63"/>
        <v>1</v>
      </c>
      <c r="L211" t="str">
        <f>'Lab test'!AC200</f>
        <v>LTWb</v>
      </c>
      <c r="O211" t="e">
        <f t="shared" si="64"/>
        <v>#N/A</v>
      </c>
      <c r="P211" t="e">
        <f t="shared" si="65"/>
        <v>#N/A</v>
      </c>
      <c r="Q211" t="e">
        <f t="shared" si="66"/>
        <v>#N/A</v>
      </c>
      <c r="R211" t="e">
        <f t="shared" si="67"/>
        <v>#N/A</v>
      </c>
      <c r="S211" t="e">
        <f t="shared" si="68"/>
        <v>#N/A</v>
      </c>
      <c r="T211" t="e">
        <f t="shared" si="69"/>
        <v>#N/A</v>
      </c>
      <c r="U211" t="e">
        <f t="shared" si="70"/>
        <v>#N/A</v>
      </c>
      <c r="W211" t="e">
        <f t="shared" si="71"/>
        <v>#N/A</v>
      </c>
      <c r="X211">
        <f t="shared" si="72"/>
        <v>0.13107366177086094</v>
      </c>
      <c r="Y211" t="e">
        <f t="shared" si="73"/>
        <v>#N/A</v>
      </c>
      <c r="Z211" t="e">
        <f t="shared" si="74"/>
        <v>#N/A</v>
      </c>
      <c r="AA211" t="e">
        <f t="shared" si="75"/>
        <v>#N/A</v>
      </c>
      <c r="AB211" t="e">
        <f t="shared" si="76"/>
        <v>#N/A</v>
      </c>
      <c r="AC211" t="e">
        <f t="shared" si="77"/>
        <v>#N/A</v>
      </c>
    </row>
    <row r="212" spans="2:29">
      <c r="B212">
        <v>198</v>
      </c>
      <c r="C212">
        <f>'Lab test'!Q201</f>
        <v>3187.5</v>
      </c>
      <c r="D212" t="e">
        <f>IF('Lab test'!AQ201&gt;0,'Lab test'!AQ201,NA())</f>
        <v>#N/A</v>
      </c>
      <c r="E212" t="e">
        <f>IF('Lab test'!AU201&gt;0,'Lab test'!AU201,NA())</f>
        <v>#N/A</v>
      </c>
      <c r="F212">
        <f>IF('Lab test'!AT201&gt;0,'Lab test'!AT201,NA())</f>
        <v>0.18033657959516219</v>
      </c>
      <c r="G212" t="e">
        <f t="shared" si="59"/>
        <v>#N/A</v>
      </c>
      <c r="H212" t="e">
        <f t="shared" si="60"/>
        <v>#N/A</v>
      </c>
      <c r="I212" t="e">
        <f t="shared" si="61"/>
        <v>#N/A</v>
      </c>
      <c r="J212">
        <f t="shared" si="62"/>
        <v>1</v>
      </c>
      <c r="K212">
        <f t="shared" si="63"/>
        <v>1</v>
      </c>
      <c r="L212" t="str">
        <f>'Lab test'!AC201</f>
        <v>LTWb</v>
      </c>
      <c r="O212" t="e">
        <f t="shared" si="64"/>
        <v>#N/A</v>
      </c>
      <c r="P212" t="e">
        <f t="shared" si="65"/>
        <v>#N/A</v>
      </c>
      <c r="Q212" t="e">
        <f t="shared" si="66"/>
        <v>#N/A</v>
      </c>
      <c r="R212" t="e">
        <f t="shared" si="67"/>
        <v>#N/A</v>
      </c>
      <c r="S212" t="e">
        <f t="shared" si="68"/>
        <v>#N/A</v>
      </c>
      <c r="T212" t="e">
        <f t="shared" si="69"/>
        <v>#N/A</v>
      </c>
      <c r="U212" t="e">
        <f t="shared" si="70"/>
        <v>#N/A</v>
      </c>
      <c r="W212" t="e">
        <f t="shared" si="71"/>
        <v>#N/A</v>
      </c>
      <c r="X212">
        <f t="shared" si="72"/>
        <v>0.18033657959516219</v>
      </c>
      <c r="Y212" t="e">
        <f t="shared" si="73"/>
        <v>#N/A</v>
      </c>
      <c r="Z212" t="e">
        <f t="shared" si="74"/>
        <v>#N/A</v>
      </c>
      <c r="AA212" t="e">
        <f t="shared" si="75"/>
        <v>#N/A</v>
      </c>
      <c r="AB212" t="e">
        <f t="shared" si="76"/>
        <v>#N/A</v>
      </c>
      <c r="AC212" t="e">
        <f t="shared" si="77"/>
        <v>#N/A</v>
      </c>
    </row>
    <row r="213" spans="2:29">
      <c r="B213">
        <v>199</v>
      </c>
      <c r="C213">
        <f>'Lab test'!Q202</f>
        <v>3187.5</v>
      </c>
      <c r="D213" t="e">
        <f>IF('Lab test'!AQ202&gt;0,'Lab test'!AQ202,NA())</f>
        <v>#N/A</v>
      </c>
      <c r="E213" t="e">
        <f>IF('Lab test'!AU202&gt;0,'Lab test'!AU202,NA())</f>
        <v>#N/A</v>
      </c>
      <c r="F213">
        <f>IF('Lab test'!AT202&gt;0,'Lab test'!AT202,NA())</f>
        <v>0.19253430188409193</v>
      </c>
      <c r="G213" t="e">
        <f t="shared" si="59"/>
        <v>#N/A</v>
      </c>
      <c r="H213" t="e">
        <f t="shared" si="60"/>
        <v>#N/A</v>
      </c>
      <c r="I213" t="e">
        <f t="shared" si="61"/>
        <v>#N/A</v>
      </c>
      <c r="J213">
        <f t="shared" si="62"/>
        <v>1</v>
      </c>
      <c r="K213">
        <f t="shared" si="63"/>
        <v>1</v>
      </c>
      <c r="L213" t="str">
        <f>'Lab test'!AC202</f>
        <v>LTWb</v>
      </c>
      <c r="O213" t="e">
        <f t="shared" si="64"/>
        <v>#N/A</v>
      </c>
      <c r="P213" t="e">
        <f t="shared" si="65"/>
        <v>#N/A</v>
      </c>
      <c r="Q213" t="e">
        <f t="shared" si="66"/>
        <v>#N/A</v>
      </c>
      <c r="R213" t="e">
        <f t="shared" si="67"/>
        <v>#N/A</v>
      </c>
      <c r="S213" t="e">
        <f t="shared" si="68"/>
        <v>#N/A</v>
      </c>
      <c r="T213" t="e">
        <f t="shared" si="69"/>
        <v>#N/A</v>
      </c>
      <c r="U213" t="e">
        <f t="shared" si="70"/>
        <v>#N/A</v>
      </c>
      <c r="W213" t="e">
        <f t="shared" si="71"/>
        <v>#N/A</v>
      </c>
      <c r="X213">
        <f t="shared" si="72"/>
        <v>0.19253430188409193</v>
      </c>
      <c r="Y213" t="e">
        <f t="shared" si="73"/>
        <v>#N/A</v>
      </c>
      <c r="Z213" t="e">
        <f t="shared" si="74"/>
        <v>#N/A</v>
      </c>
      <c r="AA213" t="e">
        <f t="shared" si="75"/>
        <v>#N/A</v>
      </c>
      <c r="AB213" t="e">
        <f t="shared" si="76"/>
        <v>#N/A</v>
      </c>
      <c r="AC213" t="e">
        <f t="shared" si="77"/>
        <v>#N/A</v>
      </c>
    </row>
    <row r="214" spans="2:29">
      <c r="B214">
        <v>200</v>
      </c>
      <c r="C214">
        <f>'Lab test'!Q203</f>
        <v>3187.5</v>
      </c>
      <c r="D214" t="e">
        <f>IF('Lab test'!AQ203&gt;0,'Lab test'!AQ203,NA())</f>
        <v>#N/A</v>
      </c>
      <c r="E214" t="e">
        <f>IF('Lab test'!AU203&gt;0,'Lab test'!AU203,NA())</f>
        <v>#N/A</v>
      </c>
      <c r="F214">
        <f>IF('Lab test'!AT203&gt;0,'Lab test'!AT203,NA())</f>
        <v>0.20057338017566478</v>
      </c>
      <c r="G214" t="e">
        <f t="shared" si="59"/>
        <v>#N/A</v>
      </c>
      <c r="H214" t="e">
        <f t="shared" si="60"/>
        <v>#N/A</v>
      </c>
      <c r="I214" t="e">
        <f t="shared" si="61"/>
        <v>#N/A</v>
      </c>
      <c r="J214">
        <f t="shared" si="62"/>
        <v>1</v>
      </c>
      <c r="K214">
        <f t="shared" si="63"/>
        <v>1</v>
      </c>
      <c r="L214" t="str">
        <f>'Lab test'!AC203</f>
        <v>LTWb</v>
      </c>
      <c r="O214" t="e">
        <f t="shared" si="64"/>
        <v>#N/A</v>
      </c>
      <c r="P214" t="e">
        <f t="shared" si="65"/>
        <v>#N/A</v>
      </c>
      <c r="Q214" t="e">
        <f t="shared" si="66"/>
        <v>#N/A</v>
      </c>
      <c r="R214" t="e">
        <f t="shared" si="67"/>
        <v>#N/A</v>
      </c>
      <c r="S214" t="e">
        <f t="shared" si="68"/>
        <v>#N/A</v>
      </c>
      <c r="T214" t="e">
        <f t="shared" si="69"/>
        <v>#N/A</v>
      </c>
      <c r="U214" t="e">
        <f t="shared" si="70"/>
        <v>#N/A</v>
      </c>
      <c r="W214" t="e">
        <f t="shared" si="71"/>
        <v>#N/A</v>
      </c>
      <c r="X214">
        <f t="shared" si="72"/>
        <v>0.20057338017566478</v>
      </c>
      <c r="Y214" t="e">
        <f t="shared" si="73"/>
        <v>#N/A</v>
      </c>
      <c r="Z214" t="e">
        <f t="shared" si="74"/>
        <v>#N/A</v>
      </c>
      <c r="AA214" t="e">
        <f t="shared" si="75"/>
        <v>#N/A</v>
      </c>
      <c r="AB214" t="e">
        <f t="shared" si="76"/>
        <v>#N/A</v>
      </c>
      <c r="AC214" t="e">
        <f t="shared" si="77"/>
        <v>#N/A</v>
      </c>
    </row>
    <row r="215" spans="2:29">
      <c r="B215">
        <v>201</v>
      </c>
      <c r="C215">
        <f>'Lab test'!Q204</f>
        <v>3187.5</v>
      </c>
      <c r="D215" t="e">
        <f>IF('Lab test'!AQ204&gt;0,'Lab test'!AQ204,NA())</f>
        <v>#N/A</v>
      </c>
      <c r="E215" t="e">
        <f>IF('Lab test'!AU204&gt;0,'Lab test'!AU204,NA())</f>
        <v>#N/A</v>
      </c>
      <c r="F215">
        <f>IF('Lab test'!AT204&gt;0,'Lab test'!AT204,NA())</f>
        <v>0.24012649456431401</v>
      </c>
      <c r="G215" t="e">
        <f t="shared" si="59"/>
        <v>#N/A</v>
      </c>
      <c r="H215" t="e">
        <f t="shared" si="60"/>
        <v>#N/A</v>
      </c>
      <c r="I215" t="e">
        <f t="shared" si="61"/>
        <v>#N/A</v>
      </c>
      <c r="J215">
        <f t="shared" si="62"/>
        <v>1</v>
      </c>
      <c r="K215">
        <f t="shared" si="63"/>
        <v>1</v>
      </c>
      <c r="L215" t="str">
        <f>'Lab test'!AC204</f>
        <v>LTWb</v>
      </c>
      <c r="O215" t="e">
        <f t="shared" si="64"/>
        <v>#N/A</v>
      </c>
      <c r="P215" t="e">
        <f t="shared" si="65"/>
        <v>#N/A</v>
      </c>
      <c r="Q215" t="e">
        <f t="shared" si="66"/>
        <v>#N/A</v>
      </c>
      <c r="R215" t="e">
        <f t="shared" si="67"/>
        <v>#N/A</v>
      </c>
      <c r="S215" t="e">
        <f t="shared" si="68"/>
        <v>#N/A</v>
      </c>
      <c r="T215" t="e">
        <f t="shared" si="69"/>
        <v>#N/A</v>
      </c>
      <c r="U215" t="e">
        <f t="shared" si="70"/>
        <v>#N/A</v>
      </c>
      <c r="W215" t="e">
        <f t="shared" si="71"/>
        <v>#N/A</v>
      </c>
      <c r="X215">
        <f t="shared" si="72"/>
        <v>0.24012649456431401</v>
      </c>
      <c r="Y215" t="e">
        <f t="shared" si="73"/>
        <v>#N/A</v>
      </c>
      <c r="Z215" t="e">
        <f t="shared" si="74"/>
        <v>#N/A</v>
      </c>
      <c r="AA215" t="e">
        <f t="shared" si="75"/>
        <v>#N/A</v>
      </c>
      <c r="AB215" t="e">
        <f t="shared" si="76"/>
        <v>#N/A</v>
      </c>
      <c r="AC215" t="e">
        <f t="shared" si="77"/>
        <v>#N/A</v>
      </c>
    </row>
    <row r="216" spans="2:29">
      <c r="B216">
        <v>202</v>
      </c>
      <c r="C216">
        <f>'Lab test'!Q205</f>
        <v>3187.5</v>
      </c>
      <c r="D216" t="e">
        <f>IF('Lab test'!AQ205&gt;0,'Lab test'!AQ205,NA())</f>
        <v>#N/A</v>
      </c>
      <c r="E216" t="e">
        <f>IF('Lab test'!AU205&gt;0,'Lab test'!AU205,NA())</f>
        <v>#N/A</v>
      </c>
      <c r="F216">
        <f>IF('Lab test'!AT205&gt;0,'Lab test'!AT205,NA())</f>
        <v>0.28050962073851138</v>
      </c>
      <c r="G216" t="e">
        <f t="shared" si="59"/>
        <v>#N/A</v>
      </c>
      <c r="H216" t="e">
        <f t="shared" si="60"/>
        <v>#N/A</v>
      </c>
      <c r="I216" t="e">
        <f t="shared" si="61"/>
        <v>#N/A</v>
      </c>
      <c r="J216">
        <f t="shared" si="62"/>
        <v>1</v>
      </c>
      <c r="K216">
        <f t="shared" si="63"/>
        <v>1</v>
      </c>
      <c r="L216" t="str">
        <f>'Lab test'!AC205</f>
        <v>LTWb</v>
      </c>
      <c r="O216" t="e">
        <f t="shared" si="64"/>
        <v>#N/A</v>
      </c>
      <c r="P216" t="e">
        <f t="shared" si="65"/>
        <v>#N/A</v>
      </c>
      <c r="Q216" t="e">
        <f t="shared" si="66"/>
        <v>#N/A</v>
      </c>
      <c r="R216" t="e">
        <f t="shared" si="67"/>
        <v>#N/A</v>
      </c>
      <c r="S216" t="e">
        <f t="shared" si="68"/>
        <v>#N/A</v>
      </c>
      <c r="T216" t="e">
        <f t="shared" si="69"/>
        <v>#N/A</v>
      </c>
      <c r="U216" t="e">
        <f t="shared" si="70"/>
        <v>#N/A</v>
      </c>
      <c r="W216" t="e">
        <f t="shared" si="71"/>
        <v>#N/A</v>
      </c>
      <c r="X216">
        <f t="shared" si="72"/>
        <v>0.28050962073851138</v>
      </c>
      <c r="Y216" t="e">
        <f t="shared" si="73"/>
        <v>#N/A</v>
      </c>
      <c r="Z216" t="e">
        <f t="shared" si="74"/>
        <v>#N/A</v>
      </c>
      <c r="AA216" t="e">
        <f t="shared" si="75"/>
        <v>#N/A</v>
      </c>
      <c r="AB216" t="e">
        <f t="shared" si="76"/>
        <v>#N/A</v>
      </c>
      <c r="AC216" t="e">
        <f t="shared" si="77"/>
        <v>#N/A</v>
      </c>
    </row>
    <row r="217" spans="2:29">
      <c r="B217">
        <v>203</v>
      </c>
      <c r="C217">
        <f>'Lab test'!Q206</f>
        <v>3187.5</v>
      </c>
      <c r="D217" t="e">
        <f>IF('Lab test'!AQ206&gt;0,'Lab test'!AQ206,NA())</f>
        <v>#N/A</v>
      </c>
      <c r="E217" t="e">
        <f>IF('Lab test'!AU206&gt;0,'Lab test'!AU206,NA())</f>
        <v>#N/A</v>
      </c>
      <c r="F217">
        <f>IF('Lab test'!AT206&gt;0,'Lab test'!AT206,NA())</f>
        <v>0.29948291201875293</v>
      </c>
      <c r="G217" t="e">
        <f t="shared" si="59"/>
        <v>#N/A</v>
      </c>
      <c r="H217" t="e">
        <f t="shared" si="60"/>
        <v>#N/A</v>
      </c>
      <c r="I217" t="e">
        <f t="shared" si="61"/>
        <v>#N/A</v>
      </c>
      <c r="J217">
        <f t="shared" si="62"/>
        <v>1</v>
      </c>
      <c r="K217">
        <f t="shared" si="63"/>
        <v>1</v>
      </c>
      <c r="L217" t="str">
        <f>'Lab test'!AC206</f>
        <v>LTWb</v>
      </c>
      <c r="O217" t="e">
        <f t="shared" si="64"/>
        <v>#N/A</v>
      </c>
      <c r="P217" t="e">
        <f t="shared" si="65"/>
        <v>#N/A</v>
      </c>
      <c r="Q217" t="e">
        <f t="shared" si="66"/>
        <v>#N/A</v>
      </c>
      <c r="R217" t="e">
        <f t="shared" si="67"/>
        <v>#N/A</v>
      </c>
      <c r="S217" t="e">
        <f t="shared" si="68"/>
        <v>#N/A</v>
      </c>
      <c r="T217" t="e">
        <f t="shared" si="69"/>
        <v>#N/A</v>
      </c>
      <c r="U217" t="e">
        <f t="shared" si="70"/>
        <v>#N/A</v>
      </c>
      <c r="W217" t="e">
        <f t="shared" si="71"/>
        <v>#N/A</v>
      </c>
      <c r="X217">
        <f t="shared" si="72"/>
        <v>0.29948291201875293</v>
      </c>
      <c r="Y217" t="e">
        <f t="shared" si="73"/>
        <v>#N/A</v>
      </c>
      <c r="Z217" t="e">
        <f t="shared" si="74"/>
        <v>#N/A</v>
      </c>
      <c r="AA217" t="e">
        <f t="shared" si="75"/>
        <v>#N/A</v>
      </c>
      <c r="AB217" t="e">
        <f t="shared" si="76"/>
        <v>#N/A</v>
      </c>
      <c r="AC217" t="e">
        <f t="shared" si="77"/>
        <v>#N/A</v>
      </c>
    </row>
    <row r="218" spans="2:29">
      <c r="B218">
        <v>204</v>
      </c>
      <c r="C218">
        <f>'Lab test'!Q207</f>
        <v>3187.5</v>
      </c>
      <c r="D218" t="e">
        <f>IF('Lab test'!AQ207&gt;0,'Lab test'!AQ207,NA())</f>
        <v>#N/A</v>
      </c>
      <c r="E218" t="e">
        <f>IF('Lab test'!AU207&gt;0,'Lab test'!AU207,NA())</f>
        <v>#N/A</v>
      </c>
      <c r="F218">
        <f>IF('Lab test'!AT207&gt;0,'Lab test'!AT207,NA())</f>
        <v>0.45084144898790601</v>
      </c>
      <c r="G218" t="e">
        <f t="shared" si="59"/>
        <v>#N/A</v>
      </c>
      <c r="H218" t="e">
        <f t="shared" si="60"/>
        <v>#N/A</v>
      </c>
      <c r="I218" t="e">
        <f t="shared" si="61"/>
        <v>#N/A</v>
      </c>
      <c r="J218">
        <f t="shared" si="62"/>
        <v>1</v>
      </c>
      <c r="K218">
        <f t="shared" si="63"/>
        <v>1</v>
      </c>
      <c r="L218" t="str">
        <f>'Lab test'!AC207</f>
        <v>LTWb</v>
      </c>
      <c r="O218" t="e">
        <f t="shared" si="64"/>
        <v>#N/A</v>
      </c>
      <c r="P218" t="e">
        <f t="shared" si="65"/>
        <v>#N/A</v>
      </c>
      <c r="Q218" t="e">
        <f t="shared" si="66"/>
        <v>#N/A</v>
      </c>
      <c r="R218" t="e">
        <f t="shared" si="67"/>
        <v>#N/A</v>
      </c>
      <c r="S218" t="e">
        <f t="shared" si="68"/>
        <v>#N/A</v>
      </c>
      <c r="T218" t="e">
        <f t="shared" si="69"/>
        <v>#N/A</v>
      </c>
      <c r="U218" t="e">
        <f t="shared" si="70"/>
        <v>#N/A</v>
      </c>
      <c r="W218" t="e">
        <f t="shared" si="71"/>
        <v>#N/A</v>
      </c>
      <c r="X218">
        <f t="shared" si="72"/>
        <v>0.45084144898790601</v>
      </c>
      <c r="Y218" t="e">
        <f t="shared" si="73"/>
        <v>#N/A</v>
      </c>
      <c r="Z218" t="e">
        <f t="shared" si="74"/>
        <v>#N/A</v>
      </c>
      <c r="AA218" t="e">
        <f t="shared" si="75"/>
        <v>#N/A</v>
      </c>
      <c r="AB218" t="e">
        <f t="shared" si="76"/>
        <v>#N/A</v>
      </c>
      <c r="AC218" t="e">
        <f t="shared" si="77"/>
        <v>#N/A</v>
      </c>
    </row>
    <row r="219" spans="2:29">
      <c r="B219">
        <v>205</v>
      </c>
      <c r="C219">
        <f>'Lab test'!Q208</f>
        <v>3187.5</v>
      </c>
      <c r="D219" t="e">
        <f>IF('Lab test'!AQ208&gt;0,'Lab test'!AQ208,NA())</f>
        <v>#N/A</v>
      </c>
      <c r="E219" t="e">
        <f>IF('Lab test'!AU208&gt;0,'Lab test'!AU208,NA())</f>
        <v>#N/A</v>
      </c>
      <c r="F219">
        <f>IF('Lab test'!AT208&gt;0,'Lab test'!AT208,NA())</f>
        <v>0.70703482494443437</v>
      </c>
      <c r="G219" t="e">
        <f t="shared" si="59"/>
        <v>#N/A</v>
      </c>
      <c r="H219" t="e">
        <f t="shared" si="60"/>
        <v>#N/A</v>
      </c>
      <c r="I219" t="e">
        <f t="shared" si="61"/>
        <v>#N/A</v>
      </c>
      <c r="J219">
        <f t="shared" si="62"/>
        <v>1</v>
      </c>
      <c r="K219">
        <f t="shared" si="63"/>
        <v>1</v>
      </c>
      <c r="L219" t="str">
        <f>'Lab test'!AC208</f>
        <v>LTWb</v>
      </c>
      <c r="O219" t="e">
        <f t="shared" si="64"/>
        <v>#N/A</v>
      </c>
      <c r="P219" t="e">
        <f t="shared" si="65"/>
        <v>#N/A</v>
      </c>
      <c r="Q219" t="e">
        <f t="shared" si="66"/>
        <v>#N/A</v>
      </c>
      <c r="R219" t="e">
        <f t="shared" si="67"/>
        <v>#N/A</v>
      </c>
      <c r="S219" t="e">
        <f t="shared" si="68"/>
        <v>#N/A</v>
      </c>
      <c r="T219" t="e">
        <f t="shared" si="69"/>
        <v>#N/A</v>
      </c>
      <c r="U219" t="e">
        <f t="shared" si="70"/>
        <v>#N/A</v>
      </c>
      <c r="W219" t="e">
        <f t="shared" si="71"/>
        <v>#N/A</v>
      </c>
      <c r="X219">
        <f t="shared" si="72"/>
        <v>0.70703482494443437</v>
      </c>
      <c r="Y219" t="e">
        <f t="shared" si="73"/>
        <v>#N/A</v>
      </c>
      <c r="Z219" t="e">
        <f t="shared" si="74"/>
        <v>#N/A</v>
      </c>
      <c r="AA219" t="e">
        <f t="shared" si="75"/>
        <v>#N/A</v>
      </c>
      <c r="AB219" t="e">
        <f t="shared" si="76"/>
        <v>#N/A</v>
      </c>
      <c r="AC219" t="e">
        <f t="shared" si="77"/>
        <v>#N/A</v>
      </c>
    </row>
    <row r="220" spans="2:29">
      <c r="B220">
        <v>206</v>
      </c>
      <c r="C220">
        <f>'Lab test'!Q209</f>
        <v>3187.5</v>
      </c>
      <c r="D220" t="e">
        <f>IF('Lab test'!AQ209&gt;0,'Lab test'!AQ209,NA())</f>
        <v>#N/A</v>
      </c>
      <c r="E220" t="e">
        <f>IF('Lab test'!AU209&gt;0,'Lab test'!AU209,NA())</f>
        <v>#N/A</v>
      </c>
      <c r="F220">
        <f>IF('Lab test'!AT209&gt;0,'Lab test'!AT209,NA())</f>
        <v>0.7799688079038315</v>
      </c>
      <c r="G220" t="e">
        <f t="shared" si="59"/>
        <v>#N/A</v>
      </c>
      <c r="H220" t="e">
        <f t="shared" si="60"/>
        <v>#N/A</v>
      </c>
      <c r="I220" t="e">
        <f t="shared" si="61"/>
        <v>#N/A</v>
      </c>
      <c r="J220">
        <f t="shared" si="62"/>
        <v>1</v>
      </c>
      <c r="K220">
        <f t="shared" si="63"/>
        <v>1</v>
      </c>
      <c r="L220" t="str">
        <f>'Lab test'!AC209</f>
        <v>LTWb</v>
      </c>
      <c r="O220" t="e">
        <f t="shared" si="64"/>
        <v>#N/A</v>
      </c>
      <c r="P220" t="e">
        <f t="shared" si="65"/>
        <v>#N/A</v>
      </c>
      <c r="Q220" t="e">
        <f t="shared" si="66"/>
        <v>#N/A</v>
      </c>
      <c r="R220" t="e">
        <f t="shared" si="67"/>
        <v>#N/A</v>
      </c>
      <c r="S220" t="e">
        <f t="shared" si="68"/>
        <v>#N/A</v>
      </c>
      <c r="T220" t="e">
        <f t="shared" si="69"/>
        <v>#N/A</v>
      </c>
      <c r="U220" t="e">
        <f t="shared" si="70"/>
        <v>#N/A</v>
      </c>
      <c r="W220" t="e">
        <f t="shared" si="71"/>
        <v>#N/A</v>
      </c>
      <c r="X220">
        <f t="shared" si="72"/>
        <v>0.7799688079038315</v>
      </c>
      <c r="Y220" t="e">
        <f t="shared" si="73"/>
        <v>#N/A</v>
      </c>
      <c r="Z220" t="e">
        <f t="shared" si="74"/>
        <v>#N/A</v>
      </c>
      <c r="AA220" t="e">
        <f t="shared" si="75"/>
        <v>#N/A</v>
      </c>
      <c r="AB220" t="e">
        <f t="shared" si="76"/>
        <v>#N/A</v>
      </c>
      <c r="AC220" t="e">
        <f t="shared" si="77"/>
        <v>#N/A</v>
      </c>
    </row>
    <row r="221" spans="2:29">
      <c r="B221">
        <v>207</v>
      </c>
      <c r="C221">
        <f>'Lab test'!Q210</f>
        <v>3187.5</v>
      </c>
      <c r="D221" t="e">
        <f>IF('Lab test'!AQ210&gt;0,'Lab test'!AQ210,NA())</f>
        <v>#N/A</v>
      </c>
      <c r="E221" t="e">
        <f>IF('Lab test'!AU210&gt;0,'Lab test'!AU210,NA())</f>
        <v>#N/A</v>
      </c>
      <c r="F221">
        <f>IF('Lab test'!AT210&gt;0,'Lab test'!AT210,NA())</f>
        <v>0.98075885316822609</v>
      </c>
      <c r="G221" t="e">
        <f t="shared" si="59"/>
        <v>#N/A</v>
      </c>
      <c r="H221" t="e">
        <f t="shared" si="60"/>
        <v>#N/A</v>
      </c>
      <c r="I221" t="e">
        <f t="shared" si="61"/>
        <v>#N/A</v>
      </c>
      <c r="J221">
        <f t="shared" si="62"/>
        <v>1</v>
      </c>
      <c r="K221">
        <f t="shared" si="63"/>
        <v>1</v>
      </c>
      <c r="L221" t="str">
        <f>'Lab test'!AC210</f>
        <v>LTWb</v>
      </c>
      <c r="O221" t="e">
        <f t="shared" si="64"/>
        <v>#N/A</v>
      </c>
      <c r="P221" t="e">
        <f t="shared" si="65"/>
        <v>#N/A</v>
      </c>
      <c r="Q221" t="e">
        <f t="shared" si="66"/>
        <v>#N/A</v>
      </c>
      <c r="R221" t="e">
        <f t="shared" si="67"/>
        <v>#N/A</v>
      </c>
      <c r="S221" t="e">
        <f t="shared" si="68"/>
        <v>#N/A</v>
      </c>
      <c r="T221" t="e">
        <f t="shared" si="69"/>
        <v>#N/A</v>
      </c>
      <c r="U221" t="e">
        <f t="shared" si="70"/>
        <v>#N/A</v>
      </c>
      <c r="W221" t="e">
        <f t="shared" si="71"/>
        <v>#N/A</v>
      </c>
      <c r="X221">
        <f t="shared" si="72"/>
        <v>0.98075885316822609</v>
      </c>
      <c r="Y221" t="e">
        <f t="shared" si="73"/>
        <v>#N/A</v>
      </c>
      <c r="Z221" t="e">
        <f t="shared" si="74"/>
        <v>#N/A</v>
      </c>
      <c r="AA221" t="e">
        <f t="shared" si="75"/>
        <v>#N/A</v>
      </c>
      <c r="AB221" t="e">
        <f t="shared" si="76"/>
        <v>#N/A</v>
      </c>
      <c r="AC221" t="e">
        <f t="shared" si="77"/>
        <v>#N/A</v>
      </c>
    </row>
    <row r="222" spans="2:29">
      <c r="B222">
        <v>208</v>
      </c>
      <c r="C222">
        <f>'Lab test'!Q211</f>
        <v>3187.5</v>
      </c>
      <c r="D222" t="e">
        <f>IF('Lab test'!AQ211&gt;0,'Lab test'!AQ211,NA())</f>
        <v>#N/A</v>
      </c>
      <c r="E222" t="e">
        <f>IF('Lab test'!AU211&gt;0,'Lab test'!AU211,NA())</f>
        <v>#N/A</v>
      </c>
      <c r="F222">
        <f>IF('Lab test'!AT211&gt;0,'Lab test'!AT211,NA())</f>
        <v>1.0908165096552418</v>
      </c>
      <c r="G222" t="e">
        <f t="shared" si="59"/>
        <v>#N/A</v>
      </c>
      <c r="H222" t="e">
        <f t="shared" si="60"/>
        <v>#N/A</v>
      </c>
      <c r="I222" t="e">
        <f t="shared" si="61"/>
        <v>#N/A</v>
      </c>
      <c r="J222">
        <f t="shared" si="62"/>
        <v>1</v>
      </c>
      <c r="K222">
        <f t="shared" si="63"/>
        <v>1</v>
      </c>
      <c r="L222" t="str">
        <f>'Lab test'!AC211</f>
        <v>LTWb</v>
      </c>
      <c r="O222" t="e">
        <f t="shared" si="64"/>
        <v>#N/A</v>
      </c>
      <c r="P222" t="e">
        <f t="shared" si="65"/>
        <v>#N/A</v>
      </c>
      <c r="Q222" t="e">
        <f t="shared" si="66"/>
        <v>#N/A</v>
      </c>
      <c r="R222" t="e">
        <f t="shared" si="67"/>
        <v>#N/A</v>
      </c>
      <c r="S222" t="e">
        <f t="shared" si="68"/>
        <v>#N/A</v>
      </c>
      <c r="T222" t="e">
        <f t="shared" si="69"/>
        <v>#N/A</v>
      </c>
      <c r="U222" t="e">
        <f t="shared" si="70"/>
        <v>#N/A</v>
      </c>
      <c r="W222" t="e">
        <f t="shared" si="71"/>
        <v>#N/A</v>
      </c>
      <c r="X222">
        <f t="shared" si="72"/>
        <v>1.0908165096552418</v>
      </c>
      <c r="Y222" t="e">
        <f t="shared" si="73"/>
        <v>#N/A</v>
      </c>
      <c r="Z222" t="e">
        <f t="shared" si="74"/>
        <v>#N/A</v>
      </c>
      <c r="AA222" t="e">
        <f t="shared" si="75"/>
        <v>#N/A</v>
      </c>
      <c r="AB222" t="e">
        <f t="shared" si="76"/>
        <v>#N/A</v>
      </c>
      <c r="AC222" t="e">
        <f t="shared" si="77"/>
        <v>#N/A</v>
      </c>
    </row>
    <row r="223" spans="2:29">
      <c r="B223">
        <v>209</v>
      </c>
      <c r="C223">
        <f>'Lab test'!Q212</f>
        <v>81.967213114754088</v>
      </c>
      <c r="D223">
        <f>IF('Lab test'!AQ212&gt;0,'Lab test'!AQ212,NA())</f>
        <v>0.40625543654636848</v>
      </c>
      <c r="E223">
        <f>IF('Lab test'!AU212&gt;0,'Lab test'!AU212,NA())</f>
        <v>0.87343532684283731</v>
      </c>
      <c r="F223">
        <f>IF('Lab test'!AT212&gt;0,'Lab test'!AT212,NA())</f>
        <v>0.1441548056555573</v>
      </c>
      <c r="G223">
        <f t="shared" si="59"/>
        <v>1</v>
      </c>
      <c r="H223">
        <f t="shared" si="60"/>
        <v>1</v>
      </c>
      <c r="I223">
        <f t="shared" si="61"/>
        <v>1</v>
      </c>
      <c r="J223">
        <f t="shared" si="62"/>
        <v>1</v>
      </c>
      <c r="K223">
        <f t="shared" si="63"/>
        <v>1</v>
      </c>
      <c r="L223" t="str">
        <f>'Lab test'!AC212</f>
        <v>Machined</v>
      </c>
      <c r="O223" t="e">
        <f t="shared" si="64"/>
        <v>#N/A</v>
      </c>
      <c r="P223" t="e">
        <f t="shared" si="65"/>
        <v>#N/A</v>
      </c>
      <c r="Q223" t="e">
        <f t="shared" si="66"/>
        <v>#N/A</v>
      </c>
      <c r="R223">
        <f t="shared" si="67"/>
        <v>0.87343532684283731</v>
      </c>
      <c r="S223" t="e">
        <f t="shared" si="68"/>
        <v>#N/A</v>
      </c>
      <c r="T223" t="e">
        <f t="shared" si="69"/>
        <v>#N/A</v>
      </c>
      <c r="U223" t="e">
        <f t="shared" si="70"/>
        <v>#N/A</v>
      </c>
      <c r="W223" t="e">
        <f t="shared" si="71"/>
        <v>#N/A</v>
      </c>
      <c r="X223" t="e">
        <f t="shared" si="72"/>
        <v>#N/A</v>
      </c>
      <c r="Y223" t="e">
        <f t="shared" si="73"/>
        <v>#N/A</v>
      </c>
      <c r="Z223">
        <f t="shared" si="74"/>
        <v>0.1441548056555573</v>
      </c>
      <c r="AA223" t="e">
        <f t="shared" si="75"/>
        <v>#N/A</v>
      </c>
      <c r="AB223" t="e">
        <f t="shared" si="76"/>
        <v>#N/A</v>
      </c>
      <c r="AC223" t="e">
        <f t="shared" si="77"/>
        <v>#N/A</v>
      </c>
    </row>
    <row r="224" spans="2:29">
      <c r="B224">
        <v>210</v>
      </c>
      <c r="C224">
        <f>'Lab test'!Q213</f>
        <v>49.019607843137251</v>
      </c>
      <c r="D224">
        <f>IF('Lab test'!AQ213&gt;0,'Lab test'!AQ213,NA())</f>
        <v>0.31416949751362527</v>
      </c>
      <c r="E224">
        <f>IF('Lab test'!AU213&gt;0,'Lab test'!AU213,NA())</f>
        <v>1.0598052851182198</v>
      </c>
      <c r="F224">
        <f>IF('Lab test'!AT213&gt;0,'Lab test'!AT213,NA())</f>
        <v>0.1046054027176473</v>
      </c>
      <c r="G224">
        <f t="shared" si="59"/>
        <v>1</v>
      </c>
      <c r="H224">
        <f t="shared" si="60"/>
        <v>1</v>
      </c>
      <c r="I224">
        <f t="shared" si="61"/>
        <v>1</v>
      </c>
      <c r="J224">
        <f t="shared" si="62"/>
        <v>1</v>
      </c>
      <c r="K224">
        <f t="shared" si="63"/>
        <v>1</v>
      </c>
      <c r="L224" t="str">
        <f>'Lab test'!AC213</f>
        <v>Machined</v>
      </c>
      <c r="O224" t="e">
        <f t="shared" si="64"/>
        <v>#N/A</v>
      </c>
      <c r="P224" t="e">
        <f t="shared" si="65"/>
        <v>#N/A</v>
      </c>
      <c r="Q224" t="e">
        <f t="shared" si="66"/>
        <v>#N/A</v>
      </c>
      <c r="R224">
        <f t="shared" si="67"/>
        <v>1.0598052851182198</v>
      </c>
      <c r="S224" t="e">
        <f t="shared" si="68"/>
        <v>#N/A</v>
      </c>
      <c r="T224" t="e">
        <f t="shared" si="69"/>
        <v>#N/A</v>
      </c>
      <c r="U224" t="e">
        <f t="shared" si="70"/>
        <v>#N/A</v>
      </c>
      <c r="W224" t="e">
        <f t="shared" si="71"/>
        <v>#N/A</v>
      </c>
      <c r="X224" t="e">
        <f t="shared" si="72"/>
        <v>#N/A</v>
      </c>
      <c r="Y224" t="e">
        <f t="shared" si="73"/>
        <v>#N/A</v>
      </c>
      <c r="Z224">
        <f t="shared" si="74"/>
        <v>0.1046054027176473</v>
      </c>
      <c r="AA224" t="e">
        <f t="shared" si="75"/>
        <v>#N/A</v>
      </c>
      <c r="AB224" t="e">
        <f t="shared" si="76"/>
        <v>#N/A</v>
      </c>
      <c r="AC224" t="e">
        <f t="shared" si="77"/>
        <v>#N/A</v>
      </c>
    </row>
    <row r="225" spans="2:29">
      <c r="B225">
        <v>211</v>
      </c>
      <c r="C225">
        <f>'Lab test'!Q214</f>
        <v>28.653295128939828</v>
      </c>
      <c r="D225">
        <f>IF('Lab test'!AQ214&gt;0,'Lab test'!AQ214,NA())</f>
        <v>0.2401963411674162</v>
      </c>
      <c r="E225">
        <f>IF('Lab test'!AU214&gt;0,'Lab test'!AU214,NA())</f>
        <v>1.0681502086230876</v>
      </c>
      <c r="F225">
        <f>IF('Lab test'!AT214&gt;0,'Lab test'!AT214,NA())</f>
        <v>6.1626159686014183E-2</v>
      </c>
      <c r="G225">
        <f t="shared" si="59"/>
        <v>1</v>
      </c>
      <c r="H225">
        <f t="shared" si="60"/>
        <v>1</v>
      </c>
      <c r="I225">
        <f t="shared" si="61"/>
        <v>1</v>
      </c>
      <c r="J225">
        <f t="shared" si="62"/>
        <v>1</v>
      </c>
      <c r="K225">
        <f t="shared" si="63"/>
        <v>1</v>
      </c>
      <c r="L225" t="str">
        <f>'Lab test'!AC214</f>
        <v>Machined</v>
      </c>
      <c r="O225" t="e">
        <f t="shared" si="64"/>
        <v>#N/A</v>
      </c>
      <c r="P225" t="e">
        <f t="shared" si="65"/>
        <v>#N/A</v>
      </c>
      <c r="Q225" t="e">
        <f t="shared" si="66"/>
        <v>#N/A</v>
      </c>
      <c r="R225">
        <f t="shared" si="67"/>
        <v>1.0681502086230876</v>
      </c>
      <c r="S225" t="e">
        <f t="shared" si="68"/>
        <v>#N/A</v>
      </c>
      <c r="T225" t="e">
        <f t="shared" si="69"/>
        <v>#N/A</v>
      </c>
      <c r="U225" t="e">
        <f t="shared" si="70"/>
        <v>#N/A</v>
      </c>
      <c r="W225" t="e">
        <f t="shared" si="71"/>
        <v>#N/A</v>
      </c>
      <c r="X225" t="e">
        <f t="shared" si="72"/>
        <v>#N/A</v>
      </c>
      <c r="Y225" t="e">
        <f t="shared" si="73"/>
        <v>#N/A</v>
      </c>
      <c r="Z225">
        <f t="shared" si="74"/>
        <v>6.1626159686014183E-2</v>
      </c>
      <c r="AA225" t="e">
        <f t="shared" si="75"/>
        <v>#N/A</v>
      </c>
      <c r="AB225" t="e">
        <f t="shared" si="76"/>
        <v>#N/A</v>
      </c>
      <c r="AC225" t="e">
        <f t="shared" si="77"/>
        <v>#N/A</v>
      </c>
    </row>
    <row r="226" spans="2:29">
      <c r="B226">
        <v>212</v>
      </c>
      <c r="C226">
        <f>'Lab test'!Q215</f>
        <v>77.519379844961236</v>
      </c>
      <c r="D226">
        <f>IF('Lab test'!AQ215&gt;0,'Lab test'!AQ215,NA())</f>
        <v>0.39507927304092705</v>
      </c>
      <c r="E226">
        <f>IF('Lab test'!AU215&gt;0,'Lab test'!AU215,NA())</f>
        <v>1.1112656467315716</v>
      </c>
      <c r="F226">
        <f>IF('Lab test'!AT215&gt;0,'Lab test'!AT215,NA())</f>
        <v>0.17345482330633011</v>
      </c>
      <c r="G226">
        <f t="shared" si="59"/>
        <v>1</v>
      </c>
      <c r="H226">
        <f t="shared" si="60"/>
        <v>1</v>
      </c>
      <c r="I226">
        <f t="shared" si="61"/>
        <v>1</v>
      </c>
      <c r="J226">
        <f t="shared" si="62"/>
        <v>1</v>
      </c>
      <c r="K226">
        <f t="shared" si="63"/>
        <v>1</v>
      </c>
      <c r="L226" t="str">
        <f>'Lab test'!AC215</f>
        <v>Machined</v>
      </c>
      <c r="O226" t="e">
        <f t="shared" si="64"/>
        <v>#N/A</v>
      </c>
      <c r="P226" t="e">
        <f t="shared" si="65"/>
        <v>#N/A</v>
      </c>
      <c r="Q226" t="e">
        <f t="shared" si="66"/>
        <v>#N/A</v>
      </c>
      <c r="R226">
        <f t="shared" si="67"/>
        <v>1.1112656467315716</v>
      </c>
      <c r="S226" t="e">
        <f t="shared" si="68"/>
        <v>#N/A</v>
      </c>
      <c r="T226" t="e">
        <f t="shared" si="69"/>
        <v>#N/A</v>
      </c>
      <c r="U226" t="e">
        <f t="shared" si="70"/>
        <v>#N/A</v>
      </c>
      <c r="W226" t="e">
        <f t="shared" si="71"/>
        <v>#N/A</v>
      </c>
      <c r="X226" t="e">
        <f t="shared" si="72"/>
        <v>#N/A</v>
      </c>
      <c r="Y226" t="e">
        <f t="shared" si="73"/>
        <v>#N/A</v>
      </c>
      <c r="Z226">
        <f t="shared" si="74"/>
        <v>0.17345482330633011</v>
      </c>
      <c r="AA226" t="e">
        <f t="shared" si="75"/>
        <v>#N/A</v>
      </c>
      <c r="AB226" t="e">
        <f t="shared" si="76"/>
        <v>#N/A</v>
      </c>
      <c r="AC226" t="e">
        <f t="shared" si="77"/>
        <v>#N/A</v>
      </c>
    </row>
    <row r="227" spans="2:29">
      <c r="B227">
        <v>213</v>
      </c>
      <c r="C227">
        <f>'Lab test'!Q216</f>
        <v>42.553191489361701</v>
      </c>
      <c r="D227">
        <f>IF('Lab test'!AQ216&gt;0,'Lab test'!AQ216,NA())</f>
        <v>0.2927151292985638</v>
      </c>
      <c r="E227">
        <f>IF('Lab test'!AU216&gt;0,'Lab test'!AU216,NA())</f>
        <v>1.023643949930459</v>
      </c>
      <c r="F227">
        <f>IF('Lab test'!AT216&gt;0,'Lab test'!AT216,NA())</f>
        <v>8.7708011311992171E-2</v>
      </c>
      <c r="G227">
        <f t="shared" si="59"/>
        <v>1</v>
      </c>
      <c r="H227">
        <f t="shared" si="60"/>
        <v>1</v>
      </c>
      <c r="I227">
        <f t="shared" si="61"/>
        <v>1</v>
      </c>
      <c r="J227">
        <f t="shared" si="62"/>
        <v>1</v>
      </c>
      <c r="K227">
        <f t="shared" si="63"/>
        <v>1</v>
      </c>
      <c r="L227" t="str">
        <f>'Lab test'!AC216</f>
        <v>Machined</v>
      </c>
      <c r="O227" t="e">
        <f t="shared" si="64"/>
        <v>#N/A</v>
      </c>
      <c r="P227" t="e">
        <f t="shared" si="65"/>
        <v>#N/A</v>
      </c>
      <c r="Q227" t="e">
        <f t="shared" si="66"/>
        <v>#N/A</v>
      </c>
      <c r="R227">
        <f t="shared" si="67"/>
        <v>1.023643949930459</v>
      </c>
      <c r="S227" t="e">
        <f t="shared" si="68"/>
        <v>#N/A</v>
      </c>
      <c r="T227" t="e">
        <f t="shared" si="69"/>
        <v>#N/A</v>
      </c>
      <c r="U227" t="e">
        <f t="shared" si="70"/>
        <v>#N/A</v>
      </c>
      <c r="W227" t="e">
        <f t="shared" si="71"/>
        <v>#N/A</v>
      </c>
      <c r="X227" t="e">
        <f t="shared" si="72"/>
        <v>#N/A</v>
      </c>
      <c r="Y227" t="e">
        <f t="shared" si="73"/>
        <v>#N/A</v>
      </c>
      <c r="Z227">
        <f t="shared" si="74"/>
        <v>8.7708011311992171E-2</v>
      </c>
      <c r="AA227" t="e">
        <f t="shared" si="75"/>
        <v>#N/A</v>
      </c>
      <c r="AB227" t="e">
        <f t="shared" si="76"/>
        <v>#N/A</v>
      </c>
      <c r="AC227" t="e">
        <f t="shared" si="77"/>
        <v>#N/A</v>
      </c>
    </row>
    <row r="228" spans="2:29">
      <c r="B228">
        <v>214</v>
      </c>
      <c r="C228">
        <f>'Lab test'!Q217</f>
        <v>28.328611898016998</v>
      </c>
      <c r="D228">
        <f>IF('Lab test'!AQ217&gt;0,'Lab test'!AQ217,NA())</f>
        <v>0.23883157818281384</v>
      </c>
      <c r="E228">
        <f>IF('Lab test'!AU217&gt;0,'Lab test'!AU217,NA())</f>
        <v>1.1321279554937416</v>
      </c>
      <c r="F228">
        <f>IF('Lab test'!AT217&gt;0,'Lab test'!AT217,NA())</f>
        <v>6.4577170386866389E-2</v>
      </c>
      <c r="G228">
        <f t="shared" si="59"/>
        <v>1</v>
      </c>
      <c r="H228">
        <f t="shared" si="60"/>
        <v>1</v>
      </c>
      <c r="I228">
        <f t="shared" si="61"/>
        <v>1</v>
      </c>
      <c r="J228">
        <f t="shared" si="62"/>
        <v>1</v>
      </c>
      <c r="K228">
        <f t="shared" si="63"/>
        <v>1</v>
      </c>
      <c r="L228" t="str">
        <f>'Lab test'!AC217</f>
        <v>Machined</v>
      </c>
      <c r="O228" t="e">
        <f t="shared" si="64"/>
        <v>#N/A</v>
      </c>
      <c r="P228" t="e">
        <f t="shared" si="65"/>
        <v>#N/A</v>
      </c>
      <c r="Q228" t="e">
        <f t="shared" si="66"/>
        <v>#N/A</v>
      </c>
      <c r="R228">
        <f t="shared" si="67"/>
        <v>1.1321279554937416</v>
      </c>
      <c r="S228" t="e">
        <f t="shared" si="68"/>
        <v>#N/A</v>
      </c>
      <c r="T228" t="e">
        <f t="shared" si="69"/>
        <v>#N/A</v>
      </c>
      <c r="U228" t="e">
        <f t="shared" si="70"/>
        <v>#N/A</v>
      </c>
      <c r="W228" t="e">
        <f t="shared" si="71"/>
        <v>#N/A</v>
      </c>
      <c r="X228" t="e">
        <f t="shared" si="72"/>
        <v>#N/A</v>
      </c>
      <c r="Y228" t="e">
        <f t="shared" si="73"/>
        <v>#N/A</v>
      </c>
      <c r="Z228">
        <f t="shared" si="74"/>
        <v>6.4577170386866389E-2</v>
      </c>
      <c r="AA228" t="e">
        <f t="shared" si="75"/>
        <v>#N/A</v>
      </c>
      <c r="AB228" t="e">
        <f t="shared" si="76"/>
        <v>#N/A</v>
      </c>
      <c r="AC228" t="e">
        <f t="shared" si="77"/>
        <v>#N/A</v>
      </c>
    </row>
    <row r="229" spans="2:29">
      <c r="B229">
        <v>215</v>
      </c>
      <c r="C229">
        <f>'Lab test'!Q218</f>
        <v>76.92307692307692</v>
      </c>
      <c r="D229">
        <f>IF('Lab test'!AQ218&gt;0,'Lab test'!AQ218,NA())</f>
        <v>0.39355680389791659</v>
      </c>
      <c r="E229">
        <f>IF('Lab test'!AU218&gt;0,'Lab test'!AU218,NA())</f>
        <v>1.1126564673157162</v>
      </c>
      <c r="F229">
        <f>IF('Lab test'!AT218&gt;0,'Lab test'!AT218,NA())</f>
        <v>0.17233597540399795</v>
      </c>
      <c r="G229">
        <f t="shared" si="59"/>
        <v>1</v>
      </c>
      <c r="H229">
        <f t="shared" si="60"/>
        <v>1</v>
      </c>
      <c r="I229">
        <f t="shared" si="61"/>
        <v>1</v>
      </c>
      <c r="J229">
        <f t="shared" si="62"/>
        <v>1</v>
      </c>
      <c r="K229">
        <f t="shared" si="63"/>
        <v>1</v>
      </c>
      <c r="L229" t="str">
        <f>'Lab test'!AC218</f>
        <v>Machined</v>
      </c>
      <c r="O229" t="e">
        <f t="shared" si="64"/>
        <v>#N/A</v>
      </c>
      <c r="P229" t="e">
        <f t="shared" si="65"/>
        <v>#N/A</v>
      </c>
      <c r="Q229" t="e">
        <f t="shared" si="66"/>
        <v>#N/A</v>
      </c>
      <c r="R229">
        <f t="shared" si="67"/>
        <v>1.1126564673157162</v>
      </c>
      <c r="S229" t="e">
        <f t="shared" si="68"/>
        <v>#N/A</v>
      </c>
      <c r="T229" t="e">
        <f t="shared" si="69"/>
        <v>#N/A</v>
      </c>
      <c r="U229" t="e">
        <f t="shared" si="70"/>
        <v>#N/A</v>
      </c>
      <c r="W229" t="e">
        <f t="shared" si="71"/>
        <v>#N/A</v>
      </c>
      <c r="X229" t="e">
        <f t="shared" si="72"/>
        <v>#N/A</v>
      </c>
      <c r="Y229" t="e">
        <f t="shared" si="73"/>
        <v>#N/A</v>
      </c>
      <c r="Z229">
        <f t="shared" si="74"/>
        <v>0.17233597540399795</v>
      </c>
      <c r="AA229" t="e">
        <f t="shared" si="75"/>
        <v>#N/A</v>
      </c>
      <c r="AB229" t="e">
        <f t="shared" si="76"/>
        <v>#N/A</v>
      </c>
      <c r="AC229" t="e">
        <f t="shared" si="77"/>
        <v>#N/A</v>
      </c>
    </row>
    <row r="230" spans="2:29">
      <c r="B230">
        <v>216</v>
      </c>
      <c r="C230">
        <f>'Lab test'!Q219</f>
        <v>79.365079365079367</v>
      </c>
      <c r="D230">
        <f>IF('Lab test'!AQ219&gt;0,'Lab test'!AQ219,NA())</f>
        <v>0.39975493014683794</v>
      </c>
      <c r="E230">
        <f>IF('Lab test'!AU219&gt;0,'Lab test'!AU219,NA())</f>
        <v>1.1293463143254521</v>
      </c>
      <c r="F230">
        <f>IF('Lab test'!AT219&gt;0,'Lab test'!AT219,NA())</f>
        <v>0.18047406313140898</v>
      </c>
      <c r="G230">
        <f t="shared" si="59"/>
        <v>1</v>
      </c>
      <c r="H230">
        <f t="shared" si="60"/>
        <v>1</v>
      </c>
      <c r="I230">
        <f t="shared" si="61"/>
        <v>1</v>
      </c>
      <c r="J230">
        <f t="shared" si="62"/>
        <v>1</v>
      </c>
      <c r="K230">
        <f t="shared" si="63"/>
        <v>1</v>
      </c>
      <c r="L230" t="str">
        <f>'Lab test'!AC219</f>
        <v>Machined</v>
      </c>
      <c r="O230" t="e">
        <f t="shared" si="64"/>
        <v>#N/A</v>
      </c>
      <c r="P230" t="e">
        <f t="shared" si="65"/>
        <v>#N/A</v>
      </c>
      <c r="Q230" t="e">
        <f t="shared" si="66"/>
        <v>#N/A</v>
      </c>
      <c r="R230">
        <f t="shared" si="67"/>
        <v>1.1293463143254521</v>
      </c>
      <c r="S230" t="e">
        <f t="shared" si="68"/>
        <v>#N/A</v>
      </c>
      <c r="T230" t="e">
        <f t="shared" si="69"/>
        <v>#N/A</v>
      </c>
      <c r="U230" t="e">
        <f t="shared" si="70"/>
        <v>#N/A</v>
      </c>
      <c r="W230" t="e">
        <f t="shared" si="71"/>
        <v>#N/A</v>
      </c>
      <c r="X230" t="e">
        <f t="shared" si="72"/>
        <v>#N/A</v>
      </c>
      <c r="Y230" t="e">
        <f t="shared" si="73"/>
        <v>#N/A</v>
      </c>
      <c r="Z230">
        <f t="shared" si="74"/>
        <v>0.18047406313140898</v>
      </c>
      <c r="AA230" t="e">
        <f t="shared" si="75"/>
        <v>#N/A</v>
      </c>
      <c r="AB230" t="e">
        <f t="shared" si="76"/>
        <v>#N/A</v>
      </c>
      <c r="AC230" t="e">
        <f t="shared" si="77"/>
        <v>#N/A</v>
      </c>
    </row>
    <row r="231" spans="2:29">
      <c r="B231">
        <v>217</v>
      </c>
      <c r="C231">
        <f>'Lab test'!Q220</f>
        <v>98.231827111984288</v>
      </c>
      <c r="D231">
        <f>IF('Lab test'!AQ220&gt;0,'Lab test'!AQ220,NA())</f>
        <v>0.50402735227397011</v>
      </c>
      <c r="E231">
        <f>IF('Lab test'!AU220&gt;0,'Lab test'!AU220,NA())</f>
        <v>1.0555555555555556</v>
      </c>
      <c r="F231">
        <f>IF('Lab test'!AT220&gt;0,'Lab test'!AT220,NA())</f>
        <v>0.2681571036092148</v>
      </c>
      <c r="G231">
        <f t="shared" si="59"/>
        <v>1</v>
      </c>
      <c r="H231">
        <f t="shared" si="60"/>
        <v>1</v>
      </c>
      <c r="I231">
        <f t="shared" si="61"/>
        <v>1</v>
      </c>
      <c r="J231">
        <f t="shared" si="62"/>
        <v>1</v>
      </c>
      <c r="K231">
        <f t="shared" si="63"/>
        <v>1</v>
      </c>
      <c r="L231" t="str">
        <f>'Lab test'!AC220</f>
        <v>Machined</v>
      </c>
      <c r="O231" t="e">
        <f t="shared" si="64"/>
        <v>#N/A</v>
      </c>
      <c r="P231" t="e">
        <f t="shared" si="65"/>
        <v>#N/A</v>
      </c>
      <c r="Q231" t="e">
        <f t="shared" si="66"/>
        <v>#N/A</v>
      </c>
      <c r="R231">
        <f t="shared" si="67"/>
        <v>1.0555555555555556</v>
      </c>
      <c r="S231" t="e">
        <f t="shared" si="68"/>
        <v>#N/A</v>
      </c>
      <c r="T231" t="e">
        <f t="shared" si="69"/>
        <v>#N/A</v>
      </c>
      <c r="U231" t="e">
        <f t="shared" si="70"/>
        <v>#N/A</v>
      </c>
      <c r="W231" t="e">
        <f t="shared" si="71"/>
        <v>#N/A</v>
      </c>
      <c r="X231" t="e">
        <f t="shared" si="72"/>
        <v>#N/A</v>
      </c>
      <c r="Y231" t="e">
        <f t="shared" si="73"/>
        <v>#N/A</v>
      </c>
      <c r="Z231">
        <f t="shared" si="74"/>
        <v>0.2681571036092148</v>
      </c>
      <c r="AA231" t="e">
        <f t="shared" si="75"/>
        <v>#N/A</v>
      </c>
      <c r="AB231" t="e">
        <f t="shared" si="76"/>
        <v>#N/A</v>
      </c>
      <c r="AC231" t="e">
        <f t="shared" si="77"/>
        <v>#N/A</v>
      </c>
    </row>
    <row r="232" spans="2:29">
      <c r="B232">
        <v>218</v>
      </c>
      <c r="C232">
        <f>'Lab test'!Q221</f>
        <v>97.847358121330728</v>
      </c>
      <c r="D232">
        <f>IF('Lab test'!AQ221&gt;0,'Lab test'!AQ221,NA())</f>
        <v>0.50304003036161793</v>
      </c>
      <c r="E232">
        <f>IF('Lab test'!AU221&gt;0,'Lab test'!AU221,NA())</f>
        <v>1.1431623931623933</v>
      </c>
      <c r="F232">
        <f>IF('Lab test'!AT221&gt;0,'Lab test'!AT221,NA())</f>
        <v>0.28927641153467182</v>
      </c>
      <c r="G232">
        <f t="shared" si="59"/>
        <v>1</v>
      </c>
      <c r="H232">
        <f t="shared" si="60"/>
        <v>1</v>
      </c>
      <c r="I232">
        <f t="shared" si="61"/>
        <v>1</v>
      </c>
      <c r="J232">
        <f t="shared" si="62"/>
        <v>1</v>
      </c>
      <c r="K232">
        <f t="shared" si="63"/>
        <v>1</v>
      </c>
      <c r="L232" t="str">
        <f>'Lab test'!AC221</f>
        <v>Machined</v>
      </c>
      <c r="O232" t="e">
        <f t="shared" si="64"/>
        <v>#N/A</v>
      </c>
      <c r="P232" t="e">
        <f t="shared" si="65"/>
        <v>#N/A</v>
      </c>
      <c r="Q232" t="e">
        <f t="shared" si="66"/>
        <v>#N/A</v>
      </c>
      <c r="R232">
        <f t="shared" si="67"/>
        <v>1.1431623931623933</v>
      </c>
      <c r="S232" t="e">
        <f t="shared" si="68"/>
        <v>#N/A</v>
      </c>
      <c r="T232" t="e">
        <f t="shared" si="69"/>
        <v>#N/A</v>
      </c>
      <c r="U232" t="e">
        <f t="shared" si="70"/>
        <v>#N/A</v>
      </c>
      <c r="W232" t="e">
        <f t="shared" si="71"/>
        <v>#N/A</v>
      </c>
      <c r="X232" t="e">
        <f t="shared" si="72"/>
        <v>#N/A</v>
      </c>
      <c r="Y232" t="e">
        <f t="shared" si="73"/>
        <v>#N/A</v>
      </c>
      <c r="Z232">
        <f t="shared" si="74"/>
        <v>0.28927641153467182</v>
      </c>
      <c r="AA232" t="e">
        <f t="shared" si="75"/>
        <v>#N/A</v>
      </c>
      <c r="AB232" t="e">
        <f t="shared" si="76"/>
        <v>#N/A</v>
      </c>
      <c r="AC232" t="e">
        <f t="shared" si="77"/>
        <v>#N/A</v>
      </c>
    </row>
    <row r="233" spans="2:29">
      <c r="B233">
        <v>219</v>
      </c>
      <c r="C233">
        <f>'Lab test'!Q222</f>
        <v>98.231827111984288</v>
      </c>
      <c r="D233">
        <f>IF('Lab test'!AQ222&gt;0,'Lab test'!AQ222,NA())</f>
        <v>0.50402735227397011</v>
      </c>
      <c r="E233">
        <f>IF('Lab test'!AU222&gt;0,'Lab test'!AU222,NA())</f>
        <v>0.99145299145299148</v>
      </c>
      <c r="F233">
        <f>IF('Lab test'!AT222&gt;0,'Lab test'!AT222,NA())</f>
        <v>0.25187225926047707</v>
      </c>
      <c r="G233">
        <f t="shared" si="59"/>
        <v>1</v>
      </c>
      <c r="H233">
        <f t="shared" si="60"/>
        <v>1</v>
      </c>
      <c r="I233">
        <f t="shared" si="61"/>
        <v>1</v>
      </c>
      <c r="J233">
        <f t="shared" si="62"/>
        <v>1</v>
      </c>
      <c r="K233">
        <f t="shared" si="63"/>
        <v>1</v>
      </c>
      <c r="L233" t="str">
        <f>'Lab test'!AC222</f>
        <v>Machined</v>
      </c>
      <c r="O233" t="e">
        <f t="shared" si="64"/>
        <v>#N/A</v>
      </c>
      <c r="P233" t="e">
        <f t="shared" si="65"/>
        <v>#N/A</v>
      </c>
      <c r="Q233" t="e">
        <f t="shared" si="66"/>
        <v>#N/A</v>
      </c>
      <c r="R233">
        <f t="shared" si="67"/>
        <v>0.99145299145299148</v>
      </c>
      <c r="S233" t="e">
        <f t="shared" si="68"/>
        <v>#N/A</v>
      </c>
      <c r="T233" t="e">
        <f t="shared" si="69"/>
        <v>#N/A</v>
      </c>
      <c r="U233" t="e">
        <f t="shared" si="70"/>
        <v>#N/A</v>
      </c>
      <c r="W233" t="e">
        <f t="shared" si="71"/>
        <v>#N/A</v>
      </c>
      <c r="X233" t="e">
        <f t="shared" si="72"/>
        <v>#N/A</v>
      </c>
      <c r="Y233" t="e">
        <f t="shared" si="73"/>
        <v>#N/A</v>
      </c>
      <c r="Z233">
        <f t="shared" si="74"/>
        <v>0.25187225926047707</v>
      </c>
      <c r="AA233" t="e">
        <f t="shared" si="75"/>
        <v>#N/A</v>
      </c>
      <c r="AB233" t="e">
        <f t="shared" si="76"/>
        <v>#N/A</v>
      </c>
      <c r="AC233" t="e">
        <f t="shared" si="77"/>
        <v>#N/A</v>
      </c>
    </row>
    <row r="234" spans="2:29">
      <c r="B234">
        <v>220</v>
      </c>
      <c r="C234">
        <f>'Lab test'!Q223</f>
        <v>90.579710144927546</v>
      </c>
      <c r="D234">
        <f>IF('Lab test'!AQ223&gt;0,'Lab test'!AQ223,NA())</f>
        <v>0.48399787786005671</v>
      </c>
      <c r="E234">
        <f>IF('Lab test'!AU223&gt;0,'Lab test'!AU223,NA())</f>
        <v>1.0256410256410258</v>
      </c>
      <c r="F234">
        <f>IF('Lab test'!AT223&gt;0,'Lab test'!AT223,NA())</f>
        <v>0.24026045720311631</v>
      </c>
      <c r="G234">
        <f t="shared" si="59"/>
        <v>1</v>
      </c>
      <c r="H234">
        <f t="shared" si="60"/>
        <v>1</v>
      </c>
      <c r="I234">
        <f t="shared" si="61"/>
        <v>1</v>
      </c>
      <c r="J234">
        <f t="shared" si="62"/>
        <v>1</v>
      </c>
      <c r="K234">
        <f t="shared" si="63"/>
        <v>1</v>
      </c>
      <c r="L234" t="str">
        <f>'Lab test'!AC223</f>
        <v>Machined</v>
      </c>
      <c r="O234" t="e">
        <f t="shared" si="64"/>
        <v>#N/A</v>
      </c>
      <c r="P234" t="e">
        <f t="shared" si="65"/>
        <v>#N/A</v>
      </c>
      <c r="Q234" t="e">
        <f t="shared" si="66"/>
        <v>#N/A</v>
      </c>
      <c r="R234">
        <f t="shared" si="67"/>
        <v>1.0256410256410258</v>
      </c>
      <c r="S234" t="e">
        <f t="shared" si="68"/>
        <v>#N/A</v>
      </c>
      <c r="T234" t="e">
        <f t="shared" si="69"/>
        <v>#N/A</v>
      </c>
      <c r="U234" t="e">
        <f t="shared" si="70"/>
        <v>#N/A</v>
      </c>
      <c r="W234" t="e">
        <f t="shared" si="71"/>
        <v>#N/A</v>
      </c>
      <c r="X234" t="e">
        <f t="shared" si="72"/>
        <v>#N/A</v>
      </c>
      <c r="Y234" t="e">
        <f t="shared" si="73"/>
        <v>#N/A</v>
      </c>
      <c r="Z234">
        <f t="shared" si="74"/>
        <v>0.24026045720311631</v>
      </c>
      <c r="AA234" t="e">
        <f t="shared" si="75"/>
        <v>#N/A</v>
      </c>
      <c r="AB234" t="e">
        <f t="shared" si="76"/>
        <v>#N/A</v>
      </c>
      <c r="AC234" t="e">
        <f t="shared" si="77"/>
        <v>#N/A</v>
      </c>
    </row>
    <row r="235" spans="2:29">
      <c r="B235">
        <v>221</v>
      </c>
      <c r="C235">
        <f>'Lab test'!Q224</f>
        <v>100.30090270812438</v>
      </c>
      <c r="D235">
        <f>IF('Lab test'!AQ224&gt;0,'Lab test'!AQ224,NA())</f>
        <v>0.50930790270001947</v>
      </c>
      <c r="E235">
        <f>IF('Lab test'!AU224&gt;0,'Lab test'!AU224,NA())</f>
        <v>1.0811965811965811</v>
      </c>
      <c r="F235">
        <f>IF('Lab test'!AT224&gt;0,'Lab test'!AT224,NA())</f>
        <v>0.28045648956167174</v>
      </c>
      <c r="G235">
        <f t="shared" si="59"/>
        <v>1</v>
      </c>
      <c r="H235">
        <f t="shared" si="60"/>
        <v>1</v>
      </c>
      <c r="I235">
        <f t="shared" si="61"/>
        <v>1</v>
      </c>
      <c r="J235">
        <f t="shared" si="62"/>
        <v>1</v>
      </c>
      <c r="K235">
        <f t="shared" si="63"/>
        <v>1</v>
      </c>
      <c r="L235" t="str">
        <f>'Lab test'!AC224</f>
        <v>Machined</v>
      </c>
      <c r="O235" t="e">
        <f t="shared" si="64"/>
        <v>#N/A</v>
      </c>
      <c r="P235" t="e">
        <f t="shared" si="65"/>
        <v>#N/A</v>
      </c>
      <c r="Q235" t="e">
        <f t="shared" si="66"/>
        <v>#N/A</v>
      </c>
      <c r="R235">
        <f t="shared" si="67"/>
        <v>1.0811965811965811</v>
      </c>
      <c r="S235" t="e">
        <f t="shared" si="68"/>
        <v>#N/A</v>
      </c>
      <c r="T235" t="e">
        <f t="shared" si="69"/>
        <v>#N/A</v>
      </c>
      <c r="U235" t="e">
        <f t="shared" si="70"/>
        <v>#N/A</v>
      </c>
      <c r="W235" t="e">
        <f t="shared" si="71"/>
        <v>#N/A</v>
      </c>
      <c r="X235" t="e">
        <f t="shared" si="72"/>
        <v>#N/A</v>
      </c>
      <c r="Y235" t="e">
        <f t="shared" si="73"/>
        <v>#N/A</v>
      </c>
      <c r="Z235">
        <f t="shared" si="74"/>
        <v>0.28045648956167174</v>
      </c>
      <c r="AA235" t="e">
        <f t="shared" si="75"/>
        <v>#N/A</v>
      </c>
      <c r="AB235" t="e">
        <f t="shared" si="76"/>
        <v>#N/A</v>
      </c>
      <c r="AC235" t="e">
        <f t="shared" si="77"/>
        <v>#N/A</v>
      </c>
    </row>
    <row r="236" spans="2:29">
      <c r="B236">
        <v>222</v>
      </c>
      <c r="C236">
        <f>'Lab test'!Q225</f>
        <v>66.533599467731207</v>
      </c>
      <c r="D236">
        <f>IF('Lab test'!AQ225&gt;0,'Lab test'!AQ225,NA())</f>
        <v>0.41480931829921625</v>
      </c>
      <c r="E236">
        <f>IF('Lab test'!AU225&gt;0,'Lab test'!AU225,NA())</f>
        <v>1.1858974358974359</v>
      </c>
      <c r="F236">
        <f>IF('Lab test'!AT225&gt;0,'Lab test'!AT225,NA())</f>
        <v>0.20405354199586023</v>
      </c>
      <c r="G236">
        <f t="shared" si="59"/>
        <v>1</v>
      </c>
      <c r="H236">
        <f t="shared" si="60"/>
        <v>1</v>
      </c>
      <c r="I236">
        <f t="shared" si="61"/>
        <v>1</v>
      </c>
      <c r="J236">
        <f t="shared" si="62"/>
        <v>1</v>
      </c>
      <c r="K236">
        <f t="shared" si="63"/>
        <v>1</v>
      </c>
      <c r="L236" t="str">
        <f>'Lab test'!AC225</f>
        <v>Machined</v>
      </c>
      <c r="O236" t="e">
        <f t="shared" si="64"/>
        <v>#N/A</v>
      </c>
      <c r="P236" t="e">
        <f t="shared" si="65"/>
        <v>#N/A</v>
      </c>
      <c r="Q236" t="e">
        <f t="shared" si="66"/>
        <v>#N/A</v>
      </c>
      <c r="R236">
        <f t="shared" si="67"/>
        <v>1.1858974358974359</v>
      </c>
      <c r="S236" t="e">
        <f t="shared" si="68"/>
        <v>#N/A</v>
      </c>
      <c r="T236" t="e">
        <f t="shared" si="69"/>
        <v>#N/A</v>
      </c>
      <c r="U236" t="e">
        <f t="shared" si="70"/>
        <v>#N/A</v>
      </c>
      <c r="W236" t="e">
        <f t="shared" si="71"/>
        <v>#N/A</v>
      </c>
      <c r="X236" t="e">
        <f t="shared" si="72"/>
        <v>#N/A</v>
      </c>
      <c r="Y236" t="e">
        <f t="shared" si="73"/>
        <v>#N/A</v>
      </c>
      <c r="Z236">
        <f t="shared" si="74"/>
        <v>0.20405354199586023</v>
      </c>
      <c r="AA236" t="e">
        <f t="shared" si="75"/>
        <v>#N/A</v>
      </c>
      <c r="AB236" t="e">
        <f t="shared" si="76"/>
        <v>#N/A</v>
      </c>
      <c r="AC236" t="e">
        <f t="shared" si="77"/>
        <v>#N/A</v>
      </c>
    </row>
    <row r="237" spans="2:29">
      <c r="B237">
        <v>223</v>
      </c>
      <c r="C237">
        <f>'Lab test'!Q226</f>
        <v>132.97872340425533</v>
      </c>
      <c r="D237">
        <f>IF('Lab test'!AQ226&gt;0,'Lab test'!AQ226,NA())</f>
        <v>0.58643390838255893</v>
      </c>
      <c r="E237">
        <f>IF('Lab test'!AU226&gt;0,'Lab test'!AU226,NA())</f>
        <v>0.86324786324786329</v>
      </c>
      <c r="F237">
        <f>IF('Lab test'!AT226&gt;0,'Lab test'!AT226,NA())</f>
        <v>0.29687502238448887</v>
      </c>
      <c r="G237">
        <f t="shared" si="59"/>
        <v>1</v>
      </c>
      <c r="H237">
        <f t="shared" si="60"/>
        <v>1</v>
      </c>
      <c r="I237">
        <f t="shared" si="61"/>
        <v>1</v>
      </c>
      <c r="J237">
        <f t="shared" si="62"/>
        <v>1</v>
      </c>
      <c r="K237">
        <f t="shared" si="63"/>
        <v>1</v>
      </c>
      <c r="L237" t="str">
        <f>'Lab test'!AC226</f>
        <v>Machined</v>
      </c>
      <c r="O237" t="e">
        <f t="shared" si="64"/>
        <v>#N/A</v>
      </c>
      <c r="P237" t="e">
        <f t="shared" si="65"/>
        <v>#N/A</v>
      </c>
      <c r="Q237" t="e">
        <f t="shared" si="66"/>
        <v>#N/A</v>
      </c>
      <c r="R237">
        <f t="shared" si="67"/>
        <v>0.86324786324786329</v>
      </c>
      <c r="S237" t="e">
        <f t="shared" si="68"/>
        <v>#N/A</v>
      </c>
      <c r="T237" t="e">
        <f t="shared" si="69"/>
        <v>#N/A</v>
      </c>
      <c r="U237" t="e">
        <f t="shared" si="70"/>
        <v>#N/A</v>
      </c>
      <c r="W237" t="e">
        <f t="shared" si="71"/>
        <v>#N/A</v>
      </c>
      <c r="X237" t="e">
        <f t="shared" si="72"/>
        <v>#N/A</v>
      </c>
      <c r="Y237" t="e">
        <f t="shared" si="73"/>
        <v>#N/A</v>
      </c>
      <c r="Z237">
        <f t="shared" si="74"/>
        <v>0.29687502238448887</v>
      </c>
      <c r="AA237" t="e">
        <f t="shared" si="75"/>
        <v>#N/A</v>
      </c>
      <c r="AB237" t="e">
        <f t="shared" si="76"/>
        <v>#N/A</v>
      </c>
      <c r="AC237" t="e">
        <f t="shared" si="77"/>
        <v>#N/A</v>
      </c>
    </row>
    <row r="238" spans="2:29">
      <c r="B238">
        <v>224</v>
      </c>
      <c r="C238">
        <f>'Lab test'!Q227</f>
        <v>67.476383265856953</v>
      </c>
      <c r="D238">
        <f>IF('Lab test'!AQ227&gt;0,'Lab test'!AQ227,NA())</f>
        <v>0.4177379126351709</v>
      </c>
      <c r="E238">
        <f>IF('Lab test'!AU227&gt;0,'Lab test'!AU227,NA())</f>
        <v>1.1239316239316239</v>
      </c>
      <c r="F238">
        <f>IF('Lab test'!AT227&gt;0,'Lab test'!AT227,NA())</f>
        <v>0.19613164718240897</v>
      </c>
      <c r="G238">
        <f t="shared" si="59"/>
        <v>1</v>
      </c>
      <c r="H238">
        <f t="shared" si="60"/>
        <v>1</v>
      </c>
      <c r="I238">
        <f t="shared" si="61"/>
        <v>1</v>
      </c>
      <c r="J238">
        <f t="shared" si="62"/>
        <v>1</v>
      </c>
      <c r="K238">
        <f t="shared" si="63"/>
        <v>1</v>
      </c>
      <c r="L238" t="str">
        <f>'Lab test'!AC227</f>
        <v>Machined</v>
      </c>
      <c r="O238" t="e">
        <f t="shared" si="64"/>
        <v>#N/A</v>
      </c>
      <c r="P238" t="e">
        <f t="shared" si="65"/>
        <v>#N/A</v>
      </c>
      <c r="Q238" t="e">
        <f t="shared" si="66"/>
        <v>#N/A</v>
      </c>
      <c r="R238">
        <f t="shared" si="67"/>
        <v>1.1239316239316239</v>
      </c>
      <c r="S238" t="e">
        <f t="shared" si="68"/>
        <v>#N/A</v>
      </c>
      <c r="T238" t="e">
        <f t="shared" si="69"/>
        <v>#N/A</v>
      </c>
      <c r="U238" t="e">
        <f t="shared" si="70"/>
        <v>#N/A</v>
      </c>
      <c r="W238" t="e">
        <f t="shared" si="71"/>
        <v>#N/A</v>
      </c>
      <c r="X238" t="e">
        <f t="shared" si="72"/>
        <v>#N/A</v>
      </c>
      <c r="Y238" t="e">
        <f t="shared" si="73"/>
        <v>#N/A</v>
      </c>
      <c r="Z238">
        <f t="shared" si="74"/>
        <v>0.19613164718240897</v>
      </c>
      <c r="AA238" t="e">
        <f t="shared" si="75"/>
        <v>#N/A</v>
      </c>
      <c r="AB238" t="e">
        <f t="shared" si="76"/>
        <v>#N/A</v>
      </c>
      <c r="AC238" t="e">
        <f t="shared" si="77"/>
        <v>#N/A</v>
      </c>
    </row>
    <row r="239" spans="2:29">
      <c r="B239">
        <v>225</v>
      </c>
      <c r="C239">
        <f>'Lab test'!Q228</f>
        <v>135.86956521739131</v>
      </c>
      <c r="D239">
        <f>IF('Lab test'!AQ228&gt;0,'Lab test'!AQ228,NA())</f>
        <v>0.59277391867351714</v>
      </c>
      <c r="E239">
        <f>IF('Lab test'!AU228&gt;0,'Lab test'!AU228,NA())</f>
        <v>0.93376068376068388</v>
      </c>
      <c r="F239">
        <f>IF('Lab test'!AT228&gt;0,'Lab test'!AT228,NA())</f>
        <v>0.32810568686800567</v>
      </c>
      <c r="G239">
        <f t="shared" si="59"/>
        <v>1</v>
      </c>
      <c r="H239">
        <f t="shared" si="60"/>
        <v>1</v>
      </c>
      <c r="I239">
        <f t="shared" si="61"/>
        <v>1</v>
      </c>
      <c r="J239">
        <f t="shared" si="62"/>
        <v>1</v>
      </c>
      <c r="K239">
        <f t="shared" si="63"/>
        <v>1</v>
      </c>
      <c r="L239" t="str">
        <f>'Lab test'!AC228</f>
        <v>Machined</v>
      </c>
      <c r="O239" t="e">
        <f t="shared" si="64"/>
        <v>#N/A</v>
      </c>
      <c r="P239" t="e">
        <f t="shared" si="65"/>
        <v>#N/A</v>
      </c>
      <c r="Q239" t="e">
        <f t="shared" si="66"/>
        <v>#N/A</v>
      </c>
      <c r="R239">
        <f t="shared" si="67"/>
        <v>0.93376068376068388</v>
      </c>
      <c r="S239" t="e">
        <f t="shared" si="68"/>
        <v>#N/A</v>
      </c>
      <c r="T239" t="e">
        <f t="shared" si="69"/>
        <v>#N/A</v>
      </c>
      <c r="U239" t="e">
        <f t="shared" si="70"/>
        <v>#N/A</v>
      </c>
      <c r="W239" t="e">
        <f t="shared" si="71"/>
        <v>#N/A</v>
      </c>
      <c r="X239" t="e">
        <f t="shared" si="72"/>
        <v>#N/A</v>
      </c>
      <c r="Y239" t="e">
        <f t="shared" si="73"/>
        <v>#N/A</v>
      </c>
      <c r="Z239">
        <f t="shared" si="74"/>
        <v>0.32810568686800567</v>
      </c>
      <c r="AA239" t="e">
        <f t="shared" si="75"/>
        <v>#N/A</v>
      </c>
      <c r="AB239" t="e">
        <f t="shared" si="76"/>
        <v>#N/A</v>
      </c>
      <c r="AC239" t="e">
        <f t="shared" si="77"/>
        <v>#N/A</v>
      </c>
    </row>
    <row r="240" spans="2:29">
      <c r="B240">
        <v>226</v>
      </c>
      <c r="C240">
        <f>'Lab test'!Q229</f>
        <v>146.19883040935673</v>
      </c>
      <c r="D240">
        <f>IF('Lab test'!AQ229&gt;0,'Lab test'!AQ229,NA())</f>
        <v>0.61489355819879721</v>
      </c>
      <c r="E240">
        <f>IF('Lab test'!AU229&gt;0,'Lab test'!AU229,NA())</f>
        <v>1.1794871794871795</v>
      </c>
      <c r="F240">
        <f>IF('Lab test'!AT229&gt;0,'Lab test'!AT229,NA())</f>
        <v>0.44595712933490705</v>
      </c>
      <c r="G240">
        <f t="shared" si="59"/>
        <v>1</v>
      </c>
      <c r="H240">
        <f t="shared" si="60"/>
        <v>1</v>
      </c>
      <c r="I240">
        <f t="shared" si="61"/>
        <v>1</v>
      </c>
      <c r="J240">
        <f t="shared" si="62"/>
        <v>1</v>
      </c>
      <c r="K240">
        <f t="shared" si="63"/>
        <v>1</v>
      </c>
      <c r="L240" t="str">
        <f>'Lab test'!AC229</f>
        <v>Machined</v>
      </c>
      <c r="O240" t="e">
        <f t="shared" si="64"/>
        <v>#N/A</v>
      </c>
      <c r="P240" t="e">
        <f t="shared" si="65"/>
        <v>#N/A</v>
      </c>
      <c r="Q240" t="e">
        <f t="shared" si="66"/>
        <v>#N/A</v>
      </c>
      <c r="R240">
        <f t="shared" si="67"/>
        <v>1.1794871794871795</v>
      </c>
      <c r="S240" t="e">
        <f t="shared" si="68"/>
        <v>#N/A</v>
      </c>
      <c r="T240" t="e">
        <f t="shared" si="69"/>
        <v>#N/A</v>
      </c>
      <c r="U240" t="e">
        <f t="shared" si="70"/>
        <v>#N/A</v>
      </c>
      <c r="W240" t="e">
        <f t="shared" si="71"/>
        <v>#N/A</v>
      </c>
      <c r="X240" t="e">
        <f t="shared" si="72"/>
        <v>#N/A</v>
      </c>
      <c r="Y240" t="e">
        <f t="shared" si="73"/>
        <v>#N/A</v>
      </c>
      <c r="Z240">
        <f t="shared" si="74"/>
        <v>0.44595712933490705</v>
      </c>
      <c r="AA240" t="e">
        <f t="shared" si="75"/>
        <v>#N/A</v>
      </c>
      <c r="AB240" t="e">
        <f t="shared" si="76"/>
        <v>#N/A</v>
      </c>
      <c r="AC240" t="e">
        <f t="shared" si="77"/>
        <v>#N/A</v>
      </c>
    </row>
    <row r="241" spans="2:29">
      <c r="B241">
        <v>227</v>
      </c>
      <c r="C241">
        <f>'Lab test'!Q230</f>
        <v>135.13513513513513</v>
      </c>
      <c r="D241">
        <f>IF('Lab test'!AQ230&gt;0,'Lab test'!AQ230,NA())</f>
        <v>0.59116965614151651</v>
      </c>
      <c r="E241">
        <f>IF('Lab test'!AU230&gt;0,'Lab test'!AU230,NA())</f>
        <v>0.97222222222222221</v>
      </c>
      <c r="F241">
        <f>IF('Lab test'!AT230&gt;0,'Lab test'!AT230,NA())</f>
        <v>0.33977374116629883</v>
      </c>
      <c r="G241">
        <f t="shared" si="59"/>
        <v>1</v>
      </c>
      <c r="H241">
        <f t="shared" si="60"/>
        <v>1</v>
      </c>
      <c r="I241">
        <f t="shared" si="61"/>
        <v>1</v>
      </c>
      <c r="J241">
        <f t="shared" si="62"/>
        <v>1</v>
      </c>
      <c r="K241">
        <f t="shared" si="63"/>
        <v>1</v>
      </c>
      <c r="L241" t="str">
        <f>'Lab test'!AC230</f>
        <v>Machined</v>
      </c>
      <c r="O241" t="e">
        <f t="shared" si="64"/>
        <v>#N/A</v>
      </c>
      <c r="P241" t="e">
        <f t="shared" si="65"/>
        <v>#N/A</v>
      </c>
      <c r="Q241" t="e">
        <f t="shared" si="66"/>
        <v>#N/A</v>
      </c>
      <c r="R241">
        <f t="shared" si="67"/>
        <v>0.97222222222222221</v>
      </c>
      <c r="S241" t="e">
        <f t="shared" si="68"/>
        <v>#N/A</v>
      </c>
      <c r="T241" t="e">
        <f t="shared" si="69"/>
        <v>#N/A</v>
      </c>
      <c r="U241" t="e">
        <f t="shared" si="70"/>
        <v>#N/A</v>
      </c>
      <c r="W241" t="e">
        <f t="shared" si="71"/>
        <v>#N/A</v>
      </c>
      <c r="X241" t="e">
        <f t="shared" si="72"/>
        <v>#N/A</v>
      </c>
      <c r="Y241" t="e">
        <f t="shared" si="73"/>
        <v>#N/A</v>
      </c>
      <c r="Z241">
        <f t="shared" si="74"/>
        <v>0.33977374116629883</v>
      </c>
      <c r="AA241" t="e">
        <f t="shared" si="75"/>
        <v>#N/A</v>
      </c>
      <c r="AB241" t="e">
        <f t="shared" si="76"/>
        <v>#N/A</v>
      </c>
      <c r="AC241" t="e">
        <f t="shared" si="77"/>
        <v>#N/A</v>
      </c>
    </row>
    <row r="242" spans="2:29">
      <c r="B242">
        <v>228</v>
      </c>
      <c r="C242">
        <f>'Lab test'!Q231</f>
        <v>136.79890560875515</v>
      </c>
      <c r="D242">
        <f>IF('Lab test'!AQ231&gt;0,'Lab test'!AQ231,NA())</f>
        <v>0.5947977344575035</v>
      </c>
      <c r="E242">
        <f>IF('Lab test'!AU231&gt;0,'Lab test'!AU231,NA())</f>
        <v>0.76923076923076927</v>
      </c>
      <c r="F242">
        <f>IF('Lab test'!AT231&gt;0,'Lab test'!AT231,NA())</f>
        <v>0.27214180378136837</v>
      </c>
      <c r="G242">
        <f t="shared" si="59"/>
        <v>1</v>
      </c>
      <c r="H242">
        <f t="shared" si="60"/>
        <v>1</v>
      </c>
      <c r="I242">
        <f t="shared" si="61"/>
        <v>1</v>
      </c>
      <c r="J242">
        <f t="shared" si="62"/>
        <v>1</v>
      </c>
      <c r="K242">
        <f t="shared" si="63"/>
        <v>1</v>
      </c>
      <c r="L242" t="str">
        <f>'Lab test'!AC231</f>
        <v>Machined</v>
      </c>
      <c r="O242" t="e">
        <f t="shared" si="64"/>
        <v>#N/A</v>
      </c>
      <c r="P242" t="e">
        <f t="shared" si="65"/>
        <v>#N/A</v>
      </c>
      <c r="Q242" t="e">
        <f t="shared" si="66"/>
        <v>#N/A</v>
      </c>
      <c r="R242">
        <f t="shared" si="67"/>
        <v>0.76923076923076927</v>
      </c>
      <c r="S242" t="e">
        <f t="shared" si="68"/>
        <v>#N/A</v>
      </c>
      <c r="T242" t="e">
        <f t="shared" si="69"/>
        <v>#N/A</v>
      </c>
      <c r="U242" t="e">
        <f t="shared" si="70"/>
        <v>#N/A</v>
      </c>
      <c r="W242" t="e">
        <f t="shared" si="71"/>
        <v>#N/A</v>
      </c>
      <c r="X242" t="e">
        <f t="shared" si="72"/>
        <v>#N/A</v>
      </c>
      <c r="Y242" t="e">
        <f t="shared" si="73"/>
        <v>#N/A</v>
      </c>
      <c r="Z242">
        <f t="shared" si="74"/>
        <v>0.27214180378136837</v>
      </c>
      <c r="AA242" t="e">
        <f t="shared" si="75"/>
        <v>#N/A</v>
      </c>
      <c r="AB242" t="e">
        <f t="shared" si="76"/>
        <v>#N/A</v>
      </c>
      <c r="AC242" t="e">
        <f t="shared" si="77"/>
        <v>#N/A</v>
      </c>
    </row>
    <row r="243" spans="2:29">
      <c r="B243">
        <v>229</v>
      </c>
      <c r="C243">
        <f>'Lab test'!Q232</f>
        <v>141.84397163120568</v>
      </c>
      <c r="D243">
        <f>IF('Lab test'!AQ232&gt;0,'Lab test'!AQ232,NA())</f>
        <v>0.60566633621786048</v>
      </c>
      <c r="E243">
        <f>IF('Lab test'!AU232&gt;0,'Lab test'!AU232,NA())</f>
        <v>1.1538461538461537</v>
      </c>
      <c r="F243">
        <f>IF('Lab test'!AT232&gt;0,'Lab test'!AT232,NA())</f>
        <v>0.423267358647192</v>
      </c>
      <c r="G243">
        <f t="shared" si="59"/>
        <v>1</v>
      </c>
      <c r="H243">
        <f t="shared" si="60"/>
        <v>1</v>
      </c>
      <c r="I243">
        <f t="shared" si="61"/>
        <v>1</v>
      </c>
      <c r="J243">
        <f t="shared" si="62"/>
        <v>1</v>
      </c>
      <c r="K243">
        <f t="shared" si="63"/>
        <v>1</v>
      </c>
      <c r="L243" t="str">
        <f>'Lab test'!AC232</f>
        <v>Machined</v>
      </c>
      <c r="O243" t="e">
        <f t="shared" si="64"/>
        <v>#N/A</v>
      </c>
      <c r="P243" t="e">
        <f t="shared" si="65"/>
        <v>#N/A</v>
      </c>
      <c r="Q243" t="e">
        <f t="shared" si="66"/>
        <v>#N/A</v>
      </c>
      <c r="R243">
        <f t="shared" si="67"/>
        <v>1.1538461538461537</v>
      </c>
      <c r="S243" t="e">
        <f t="shared" si="68"/>
        <v>#N/A</v>
      </c>
      <c r="T243" t="e">
        <f t="shared" si="69"/>
        <v>#N/A</v>
      </c>
      <c r="U243" t="e">
        <f t="shared" si="70"/>
        <v>#N/A</v>
      </c>
      <c r="W243" t="e">
        <f t="shared" si="71"/>
        <v>#N/A</v>
      </c>
      <c r="X243" t="e">
        <f t="shared" si="72"/>
        <v>#N/A</v>
      </c>
      <c r="Y243" t="e">
        <f t="shared" si="73"/>
        <v>#N/A</v>
      </c>
      <c r="Z243">
        <f t="shared" si="74"/>
        <v>0.423267358647192</v>
      </c>
      <c r="AA243" t="e">
        <f t="shared" si="75"/>
        <v>#N/A</v>
      </c>
      <c r="AB243" t="e">
        <f t="shared" si="76"/>
        <v>#N/A</v>
      </c>
      <c r="AC243" t="e">
        <f t="shared" si="77"/>
        <v>#N/A</v>
      </c>
    </row>
    <row r="244" spans="2:29">
      <c r="B244">
        <v>230</v>
      </c>
      <c r="C244">
        <f>'Lab test'!Q233</f>
        <v>144.09221902017291</v>
      </c>
      <c r="D244">
        <f>IF('Lab test'!AQ233&gt;0,'Lab test'!AQ233,NA())</f>
        <v>0.61044741485387466</v>
      </c>
      <c r="E244">
        <f>IF('Lab test'!AU233&gt;0,'Lab test'!AU233,NA())</f>
        <v>1.0961538461538463</v>
      </c>
      <c r="F244">
        <f>IF('Lab test'!AT233&gt;0,'Lab test'!AT233,NA())</f>
        <v>0.40847739690771884</v>
      </c>
      <c r="G244">
        <f t="shared" si="59"/>
        <v>1</v>
      </c>
      <c r="H244">
        <f t="shared" si="60"/>
        <v>1</v>
      </c>
      <c r="I244">
        <f t="shared" si="61"/>
        <v>1</v>
      </c>
      <c r="J244">
        <f t="shared" si="62"/>
        <v>1</v>
      </c>
      <c r="K244">
        <f t="shared" si="63"/>
        <v>1</v>
      </c>
      <c r="L244" t="str">
        <f>'Lab test'!AC233</f>
        <v>Machined</v>
      </c>
      <c r="O244" t="e">
        <f t="shared" si="64"/>
        <v>#N/A</v>
      </c>
      <c r="P244" t="e">
        <f t="shared" si="65"/>
        <v>#N/A</v>
      </c>
      <c r="Q244" t="e">
        <f t="shared" si="66"/>
        <v>#N/A</v>
      </c>
      <c r="R244">
        <f t="shared" si="67"/>
        <v>1.0961538461538463</v>
      </c>
      <c r="S244" t="e">
        <f t="shared" si="68"/>
        <v>#N/A</v>
      </c>
      <c r="T244" t="e">
        <f t="shared" si="69"/>
        <v>#N/A</v>
      </c>
      <c r="U244" t="e">
        <f t="shared" si="70"/>
        <v>#N/A</v>
      </c>
      <c r="W244" t="e">
        <f t="shared" si="71"/>
        <v>#N/A</v>
      </c>
      <c r="X244" t="e">
        <f t="shared" si="72"/>
        <v>#N/A</v>
      </c>
      <c r="Y244" t="e">
        <f t="shared" si="73"/>
        <v>#N/A</v>
      </c>
      <c r="Z244">
        <f t="shared" si="74"/>
        <v>0.40847739690771884</v>
      </c>
      <c r="AA244" t="e">
        <f t="shared" si="75"/>
        <v>#N/A</v>
      </c>
      <c r="AB244" t="e">
        <f t="shared" si="76"/>
        <v>#N/A</v>
      </c>
      <c r="AC244" t="e">
        <f t="shared" si="77"/>
        <v>#N/A</v>
      </c>
    </row>
    <row r="245" spans="2:29">
      <c r="B245">
        <v>231</v>
      </c>
      <c r="C245">
        <f>'Lab test'!Q234</f>
        <v>140.8450704225352</v>
      </c>
      <c r="D245">
        <f>IF('Lab test'!AQ234&gt;0,'Lab test'!AQ234,NA())</f>
        <v>0.60352994036777496</v>
      </c>
      <c r="E245">
        <f>IF('Lab test'!AU234&gt;0,'Lab test'!AU234,NA())</f>
        <v>1.1239316239316239</v>
      </c>
      <c r="F245">
        <f>IF('Lab test'!AT234&gt;0,'Lab test'!AT234,NA())</f>
        <v>0.4093902832737043</v>
      </c>
      <c r="G245">
        <f t="shared" si="59"/>
        <v>1</v>
      </c>
      <c r="H245">
        <f t="shared" si="60"/>
        <v>1</v>
      </c>
      <c r="I245">
        <f t="shared" si="61"/>
        <v>1</v>
      </c>
      <c r="J245">
        <f t="shared" si="62"/>
        <v>1</v>
      </c>
      <c r="K245">
        <f t="shared" si="63"/>
        <v>1</v>
      </c>
      <c r="L245" t="str">
        <f>'Lab test'!AC234</f>
        <v>Machined</v>
      </c>
      <c r="O245" t="e">
        <f t="shared" si="64"/>
        <v>#N/A</v>
      </c>
      <c r="P245" t="e">
        <f t="shared" si="65"/>
        <v>#N/A</v>
      </c>
      <c r="Q245" t="e">
        <f t="shared" si="66"/>
        <v>#N/A</v>
      </c>
      <c r="R245">
        <f t="shared" si="67"/>
        <v>1.1239316239316239</v>
      </c>
      <c r="S245" t="e">
        <f t="shared" si="68"/>
        <v>#N/A</v>
      </c>
      <c r="T245" t="e">
        <f t="shared" si="69"/>
        <v>#N/A</v>
      </c>
      <c r="U245" t="e">
        <f t="shared" si="70"/>
        <v>#N/A</v>
      </c>
      <c r="W245" t="e">
        <f t="shared" si="71"/>
        <v>#N/A</v>
      </c>
      <c r="X245" t="e">
        <f t="shared" si="72"/>
        <v>#N/A</v>
      </c>
      <c r="Y245" t="e">
        <f t="shared" si="73"/>
        <v>#N/A</v>
      </c>
      <c r="Z245">
        <f t="shared" si="74"/>
        <v>0.4093902832737043</v>
      </c>
      <c r="AA245" t="e">
        <f t="shared" si="75"/>
        <v>#N/A</v>
      </c>
      <c r="AB245" t="e">
        <f t="shared" si="76"/>
        <v>#N/A</v>
      </c>
      <c r="AC245" t="e">
        <f t="shared" si="77"/>
        <v>#N/A</v>
      </c>
    </row>
    <row r="246" spans="2:29">
      <c r="B246">
        <v>232</v>
      </c>
      <c r="C246">
        <f>'Lab test'!Q235</f>
        <v>138.88888888888889</v>
      </c>
      <c r="D246">
        <f>IF('Lab test'!AQ235&gt;0,'Lab test'!AQ235,NA())</f>
        <v>0.59932410557114979</v>
      </c>
      <c r="E246">
        <f>IF('Lab test'!AU235&gt;0,'Lab test'!AU235,NA())</f>
        <v>1.0811965811965811</v>
      </c>
      <c r="F246">
        <f>IF('Lab test'!AT235&gt;0,'Lab test'!AT235,NA())</f>
        <v>0.38835433346248149</v>
      </c>
      <c r="G246">
        <f t="shared" si="59"/>
        <v>1</v>
      </c>
      <c r="H246">
        <f t="shared" si="60"/>
        <v>1</v>
      </c>
      <c r="I246">
        <f t="shared" si="61"/>
        <v>1</v>
      </c>
      <c r="J246">
        <f t="shared" si="62"/>
        <v>1</v>
      </c>
      <c r="K246">
        <f t="shared" si="63"/>
        <v>1</v>
      </c>
      <c r="L246" t="str">
        <f>'Lab test'!AC235</f>
        <v>Machined</v>
      </c>
      <c r="O246" t="e">
        <f t="shared" si="64"/>
        <v>#N/A</v>
      </c>
      <c r="P246" t="e">
        <f t="shared" si="65"/>
        <v>#N/A</v>
      </c>
      <c r="Q246" t="e">
        <f t="shared" si="66"/>
        <v>#N/A</v>
      </c>
      <c r="R246">
        <f t="shared" si="67"/>
        <v>1.0811965811965811</v>
      </c>
      <c r="S246" t="e">
        <f t="shared" si="68"/>
        <v>#N/A</v>
      </c>
      <c r="T246" t="e">
        <f t="shared" si="69"/>
        <v>#N/A</v>
      </c>
      <c r="U246" t="e">
        <f t="shared" si="70"/>
        <v>#N/A</v>
      </c>
      <c r="W246" t="e">
        <f t="shared" si="71"/>
        <v>#N/A</v>
      </c>
      <c r="X246" t="e">
        <f t="shared" si="72"/>
        <v>#N/A</v>
      </c>
      <c r="Y246" t="e">
        <f t="shared" si="73"/>
        <v>#N/A</v>
      </c>
      <c r="Z246">
        <f t="shared" si="74"/>
        <v>0.38835433346248149</v>
      </c>
      <c r="AA246" t="e">
        <f t="shared" si="75"/>
        <v>#N/A</v>
      </c>
      <c r="AB246" t="e">
        <f t="shared" si="76"/>
        <v>#N/A</v>
      </c>
      <c r="AC246" t="e">
        <f t="shared" si="77"/>
        <v>#N/A</v>
      </c>
    </row>
    <row r="247" spans="2:29">
      <c r="B247">
        <v>233</v>
      </c>
      <c r="C247">
        <f>'Lab test'!Q236</f>
        <v>138.88888888888889</v>
      </c>
      <c r="D247">
        <f>IF('Lab test'!AQ236&gt;0,'Lab test'!AQ236,NA())</f>
        <v>0.59932410557114979</v>
      </c>
      <c r="E247">
        <f>IF('Lab test'!AU236&gt;0,'Lab test'!AU236,NA())</f>
        <v>0.84615384615384615</v>
      </c>
      <c r="F247">
        <f>IF('Lab test'!AT236&gt;0,'Lab test'!AT236,NA())</f>
        <v>0.30392947836194206</v>
      </c>
      <c r="G247">
        <f t="shared" si="59"/>
        <v>1</v>
      </c>
      <c r="H247">
        <f t="shared" si="60"/>
        <v>1</v>
      </c>
      <c r="I247">
        <f t="shared" si="61"/>
        <v>1</v>
      </c>
      <c r="J247">
        <f t="shared" si="62"/>
        <v>1</v>
      </c>
      <c r="K247">
        <f t="shared" si="63"/>
        <v>1</v>
      </c>
      <c r="L247" t="str">
        <f>'Lab test'!AC236</f>
        <v>Machined</v>
      </c>
      <c r="O247" t="e">
        <f t="shared" si="64"/>
        <v>#N/A</v>
      </c>
      <c r="P247" t="e">
        <f t="shared" si="65"/>
        <v>#N/A</v>
      </c>
      <c r="Q247" t="e">
        <f t="shared" si="66"/>
        <v>#N/A</v>
      </c>
      <c r="R247">
        <f t="shared" si="67"/>
        <v>0.84615384615384615</v>
      </c>
      <c r="S247" t="e">
        <f t="shared" si="68"/>
        <v>#N/A</v>
      </c>
      <c r="T247" t="e">
        <f t="shared" si="69"/>
        <v>#N/A</v>
      </c>
      <c r="U247" t="e">
        <f t="shared" si="70"/>
        <v>#N/A</v>
      </c>
      <c r="W247" t="e">
        <f t="shared" si="71"/>
        <v>#N/A</v>
      </c>
      <c r="X247" t="e">
        <f t="shared" si="72"/>
        <v>#N/A</v>
      </c>
      <c r="Y247" t="e">
        <f t="shared" si="73"/>
        <v>#N/A</v>
      </c>
      <c r="Z247">
        <f t="shared" si="74"/>
        <v>0.30392947836194206</v>
      </c>
      <c r="AA247" t="e">
        <f t="shared" si="75"/>
        <v>#N/A</v>
      </c>
      <c r="AB247" t="e">
        <f t="shared" si="76"/>
        <v>#N/A</v>
      </c>
      <c r="AC247" t="e">
        <f t="shared" si="77"/>
        <v>#N/A</v>
      </c>
    </row>
    <row r="248" spans="2:29">
      <c r="B248">
        <v>234</v>
      </c>
      <c r="C248">
        <f>'Lab test'!Q237</f>
        <v>478.46889952153111</v>
      </c>
      <c r="D248">
        <f>IF('Lab test'!AQ237&gt;0,'Lab test'!AQ237,NA())</f>
        <v>1.0814268940158085</v>
      </c>
      <c r="E248">
        <f>IF('Lab test'!AU237&gt;0,'Lab test'!AU237,NA())</f>
        <v>0.34265734265734266</v>
      </c>
      <c r="F248">
        <f>IF('Lab test'!AT237&gt;0,'Lab test'!AT237,NA())</f>
        <v>0.40073232327226049</v>
      </c>
      <c r="G248">
        <f t="shared" si="59"/>
        <v>1</v>
      </c>
      <c r="H248">
        <f t="shared" si="60"/>
        <v>1</v>
      </c>
      <c r="I248">
        <f t="shared" si="61"/>
        <v>1</v>
      </c>
      <c r="J248">
        <f t="shared" si="62"/>
        <v>1</v>
      </c>
      <c r="K248">
        <f t="shared" si="63"/>
        <v>1</v>
      </c>
      <c r="L248" t="str">
        <f>'Lab test'!AC237</f>
        <v>Machined</v>
      </c>
      <c r="O248" t="e">
        <f t="shared" si="64"/>
        <v>#N/A</v>
      </c>
      <c r="P248" t="e">
        <f t="shared" si="65"/>
        <v>#N/A</v>
      </c>
      <c r="Q248" t="e">
        <f t="shared" si="66"/>
        <v>#N/A</v>
      </c>
      <c r="R248">
        <f t="shared" si="67"/>
        <v>0.34265734265734266</v>
      </c>
      <c r="S248" t="e">
        <f t="shared" si="68"/>
        <v>#N/A</v>
      </c>
      <c r="T248" t="e">
        <f t="shared" si="69"/>
        <v>#N/A</v>
      </c>
      <c r="U248" t="e">
        <f t="shared" si="70"/>
        <v>#N/A</v>
      </c>
      <c r="W248" t="e">
        <f t="shared" si="71"/>
        <v>#N/A</v>
      </c>
      <c r="X248" t="e">
        <f t="shared" si="72"/>
        <v>#N/A</v>
      </c>
      <c r="Y248" t="e">
        <f t="shared" si="73"/>
        <v>#N/A</v>
      </c>
      <c r="Z248">
        <f t="shared" si="74"/>
        <v>0.40073232327226049</v>
      </c>
      <c r="AA248" t="e">
        <f t="shared" si="75"/>
        <v>#N/A</v>
      </c>
      <c r="AB248" t="e">
        <f t="shared" si="76"/>
        <v>#N/A</v>
      </c>
      <c r="AC248" t="e">
        <f t="shared" si="77"/>
        <v>#N/A</v>
      </c>
    </row>
    <row r="249" spans="2:29">
      <c r="B249">
        <v>235</v>
      </c>
      <c r="C249">
        <f>'Lab test'!Q238</f>
        <v>206.18556701030928</v>
      </c>
      <c r="D249">
        <f>IF('Lab test'!AQ238&gt;0,'Lab test'!AQ238,NA())</f>
        <v>0.70990369982036505</v>
      </c>
      <c r="E249">
        <f>IF('Lab test'!AU238&gt;0,'Lab test'!AU238,NA())</f>
        <v>0.73193473193473202</v>
      </c>
      <c r="F249">
        <f>IF('Lab test'!AT238&gt;0,'Lab test'!AT238,NA())</f>
        <v>0.36886821582250323</v>
      </c>
      <c r="G249">
        <f t="shared" si="59"/>
        <v>1</v>
      </c>
      <c r="H249">
        <f t="shared" si="60"/>
        <v>1</v>
      </c>
      <c r="I249">
        <f t="shared" si="61"/>
        <v>1</v>
      </c>
      <c r="J249">
        <f t="shared" si="62"/>
        <v>1</v>
      </c>
      <c r="K249">
        <f t="shared" si="63"/>
        <v>1</v>
      </c>
      <c r="L249" t="str">
        <f>'Lab test'!AC238</f>
        <v>Machined</v>
      </c>
      <c r="O249" t="e">
        <f t="shared" si="64"/>
        <v>#N/A</v>
      </c>
      <c r="P249" t="e">
        <f t="shared" si="65"/>
        <v>#N/A</v>
      </c>
      <c r="Q249" t="e">
        <f t="shared" si="66"/>
        <v>#N/A</v>
      </c>
      <c r="R249">
        <f t="shared" si="67"/>
        <v>0.73193473193473202</v>
      </c>
      <c r="S249" t="e">
        <f t="shared" si="68"/>
        <v>#N/A</v>
      </c>
      <c r="T249" t="e">
        <f t="shared" si="69"/>
        <v>#N/A</v>
      </c>
      <c r="U249" t="e">
        <f t="shared" si="70"/>
        <v>#N/A</v>
      </c>
      <c r="W249" t="e">
        <f t="shared" si="71"/>
        <v>#N/A</v>
      </c>
      <c r="X249" t="e">
        <f t="shared" si="72"/>
        <v>#N/A</v>
      </c>
      <c r="Y249" t="e">
        <f t="shared" si="73"/>
        <v>#N/A</v>
      </c>
      <c r="Z249">
        <f t="shared" si="74"/>
        <v>0.36886821582250323</v>
      </c>
      <c r="AA249" t="e">
        <f t="shared" si="75"/>
        <v>#N/A</v>
      </c>
      <c r="AB249" t="e">
        <f t="shared" si="76"/>
        <v>#N/A</v>
      </c>
      <c r="AC249" t="e">
        <f t="shared" si="77"/>
        <v>#N/A</v>
      </c>
    </row>
    <row r="250" spans="2:29">
      <c r="B250">
        <v>236</v>
      </c>
      <c r="C250">
        <f>'Lab test'!Q239</f>
        <v>330.03300330032999</v>
      </c>
      <c r="D250">
        <f>IF('Lab test'!AQ239&gt;0,'Lab test'!AQ239,NA())</f>
        <v>0.89815024903872442</v>
      </c>
      <c r="E250">
        <f>IF('Lab test'!AU239&gt;0,'Lab test'!AU239,NA())</f>
        <v>0.53613053613053618</v>
      </c>
      <c r="F250">
        <f>IF('Lab test'!AT239&gt;0,'Lab test'!AT239,NA())</f>
        <v>0.43248249432427566</v>
      </c>
      <c r="G250">
        <f t="shared" si="59"/>
        <v>1</v>
      </c>
      <c r="H250">
        <f t="shared" si="60"/>
        <v>1</v>
      </c>
      <c r="I250">
        <f t="shared" si="61"/>
        <v>1</v>
      </c>
      <c r="J250">
        <f t="shared" si="62"/>
        <v>1</v>
      </c>
      <c r="K250">
        <f t="shared" si="63"/>
        <v>1</v>
      </c>
      <c r="L250" t="str">
        <f>'Lab test'!AC239</f>
        <v>Machined</v>
      </c>
      <c r="O250" t="e">
        <f t="shared" si="64"/>
        <v>#N/A</v>
      </c>
      <c r="P250" t="e">
        <f t="shared" si="65"/>
        <v>#N/A</v>
      </c>
      <c r="Q250" t="e">
        <f t="shared" si="66"/>
        <v>#N/A</v>
      </c>
      <c r="R250">
        <f t="shared" si="67"/>
        <v>0.53613053613053618</v>
      </c>
      <c r="S250" t="e">
        <f t="shared" si="68"/>
        <v>#N/A</v>
      </c>
      <c r="T250" t="e">
        <f t="shared" si="69"/>
        <v>#N/A</v>
      </c>
      <c r="U250" t="e">
        <f t="shared" si="70"/>
        <v>#N/A</v>
      </c>
      <c r="W250" t="e">
        <f t="shared" si="71"/>
        <v>#N/A</v>
      </c>
      <c r="X250" t="e">
        <f t="shared" si="72"/>
        <v>#N/A</v>
      </c>
      <c r="Y250" t="e">
        <f t="shared" si="73"/>
        <v>#N/A</v>
      </c>
      <c r="Z250">
        <f t="shared" si="74"/>
        <v>0.43248249432427566</v>
      </c>
      <c r="AA250" t="e">
        <f t="shared" si="75"/>
        <v>#N/A</v>
      </c>
      <c r="AB250" t="e">
        <f t="shared" si="76"/>
        <v>#N/A</v>
      </c>
      <c r="AC250" t="e">
        <f t="shared" si="77"/>
        <v>#N/A</v>
      </c>
    </row>
    <row r="251" spans="2:29">
      <c r="B251">
        <v>237</v>
      </c>
      <c r="C251">
        <f>'Lab test'!Q240</f>
        <v>434.78260869565219</v>
      </c>
      <c r="D251">
        <f>IF('Lab test'!AQ240&gt;0,'Lab test'!AQ240,NA())</f>
        <v>1.0308759098857585</v>
      </c>
      <c r="E251">
        <f>IF('Lab test'!AU240&gt;0,'Lab test'!AU240,NA())</f>
        <v>0.51515151515151514</v>
      </c>
      <c r="F251">
        <f>IF('Lab test'!AT240&gt;0,'Lab test'!AT240,NA())</f>
        <v>0.54745416384568002</v>
      </c>
      <c r="G251">
        <f t="shared" si="59"/>
        <v>1</v>
      </c>
      <c r="H251">
        <f t="shared" si="60"/>
        <v>1</v>
      </c>
      <c r="I251">
        <f t="shared" si="61"/>
        <v>1</v>
      </c>
      <c r="J251">
        <f t="shared" si="62"/>
        <v>1</v>
      </c>
      <c r="K251">
        <f t="shared" si="63"/>
        <v>1</v>
      </c>
      <c r="L251" t="str">
        <f>'Lab test'!AC240</f>
        <v>Machined</v>
      </c>
      <c r="O251" t="e">
        <f t="shared" si="64"/>
        <v>#N/A</v>
      </c>
      <c r="P251" t="e">
        <f t="shared" si="65"/>
        <v>#N/A</v>
      </c>
      <c r="Q251" t="e">
        <f t="shared" si="66"/>
        <v>#N/A</v>
      </c>
      <c r="R251">
        <f t="shared" si="67"/>
        <v>0.51515151515151514</v>
      </c>
      <c r="S251" t="e">
        <f t="shared" si="68"/>
        <v>#N/A</v>
      </c>
      <c r="T251" t="e">
        <f t="shared" si="69"/>
        <v>#N/A</v>
      </c>
      <c r="U251" t="e">
        <f t="shared" si="70"/>
        <v>#N/A</v>
      </c>
      <c r="W251" t="e">
        <f t="shared" si="71"/>
        <v>#N/A</v>
      </c>
      <c r="X251" t="e">
        <f t="shared" si="72"/>
        <v>#N/A</v>
      </c>
      <c r="Y251" t="e">
        <f t="shared" si="73"/>
        <v>#N/A</v>
      </c>
      <c r="Z251">
        <f t="shared" si="74"/>
        <v>0.54745416384568002</v>
      </c>
      <c r="AA251" t="e">
        <f t="shared" si="75"/>
        <v>#N/A</v>
      </c>
      <c r="AB251" t="e">
        <f t="shared" si="76"/>
        <v>#N/A</v>
      </c>
      <c r="AC251" t="e">
        <f t="shared" si="77"/>
        <v>#N/A</v>
      </c>
    </row>
    <row r="252" spans="2:29">
      <c r="B252">
        <v>238</v>
      </c>
      <c r="C252">
        <f>'Lab test'!Q241</f>
        <v>763.35877862595419</v>
      </c>
      <c r="D252">
        <f>IF('Lab test'!AQ241&gt;0,'Lab test'!AQ241,NA())</f>
        <v>1.3659495552588206</v>
      </c>
      <c r="E252">
        <f>IF('Lab test'!AU241&gt;0,'Lab test'!AU241,NA())</f>
        <v>0.18671328671328674</v>
      </c>
      <c r="F252">
        <f>IF('Lab test'!AT241&gt;0,'Lab test'!AT241,NA())</f>
        <v>0.34837304619975001</v>
      </c>
      <c r="G252">
        <f t="shared" si="59"/>
        <v>1</v>
      </c>
      <c r="H252">
        <f t="shared" si="60"/>
        <v>1</v>
      </c>
      <c r="I252">
        <f t="shared" si="61"/>
        <v>1</v>
      </c>
      <c r="J252">
        <f t="shared" si="62"/>
        <v>1</v>
      </c>
      <c r="K252">
        <f t="shared" si="63"/>
        <v>1</v>
      </c>
      <c r="L252" t="str">
        <f>'Lab test'!AC241</f>
        <v>Machined</v>
      </c>
      <c r="O252" t="e">
        <f t="shared" si="64"/>
        <v>#N/A</v>
      </c>
      <c r="P252" t="e">
        <f t="shared" si="65"/>
        <v>#N/A</v>
      </c>
      <c r="Q252" t="e">
        <f t="shared" si="66"/>
        <v>#N/A</v>
      </c>
      <c r="R252">
        <f t="shared" si="67"/>
        <v>0.18671328671328674</v>
      </c>
      <c r="S252" t="e">
        <f t="shared" si="68"/>
        <v>#N/A</v>
      </c>
      <c r="T252" t="e">
        <f t="shared" si="69"/>
        <v>#N/A</v>
      </c>
      <c r="U252" t="e">
        <f t="shared" si="70"/>
        <v>#N/A</v>
      </c>
      <c r="W252" t="e">
        <f t="shared" si="71"/>
        <v>#N/A</v>
      </c>
      <c r="X252" t="e">
        <f t="shared" si="72"/>
        <v>#N/A</v>
      </c>
      <c r="Y252" t="e">
        <f t="shared" si="73"/>
        <v>#N/A</v>
      </c>
      <c r="Z252">
        <f t="shared" si="74"/>
        <v>0.34837304619975001</v>
      </c>
      <c r="AA252" t="e">
        <f t="shared" si="75"/>
        <v>#N/A</v>
      </c>
      <c r="AB252" t="e">
        <f t="shared" si="76"/>
        <v>#N/A</v>
      </c>
      <c r="AC252" t="e">
        <f t="shared" si="77"/>
        <v>#N/A</v>
      </c>
    </row>
    <row r="253" spans="2:29">
      <c r="B253">
        <v>239</v>
      </c>
      <c r="C253">
        <f>'Lab test'!Q242</f>
        <v>510.20408163265307</v>
      </c>
      <c r="D253">
        <f>IF('Lab test'!AQ242&gt;0,'Lab test'!AQ242,NA())</f>
        <v>1.1167148032767167</v>
      </c>
      <c r="E253">
        <f>IF('Lab test'!AU242&gt;0,'Lab test'!AU242,NA())</f>
        <v>0.3867132867132867</v>
      </c>
      <c r="F253">
        <f>IF('Lab test'!AT242&gt;0,'Lab test'!AT242,NA())</f>
        <v>0.48225155900497763</v>
      </c>
      <c r="G253">
        <f t="shared" si="59"/>
        <v>1</v>
      </c>
      <c r="H253">
        <f t="shared" si="60"/>
        <v>1</v>
      </c>
      <c r="I253">
        <f t="shared" si="61"/>
        <v>1</v>
      </c>
      <c r="J253">
        <f t="shared" si="62"/>
        <v>1</v>
      </c>
      <c r="K253">
        <f t="shared" si="63"/>
        <v>1</v>
      </c>
      <c r="L253" t="str">
        <f>'Lab test'!AC242</f>
        <v>Machined</v>
      </c>
      <c r="O253" t="e">
        <f t="shared" si="64"/>
        <v>#N/A</v>
      </c>
      <c r="P253" t="e">
        <f t="shared" si="65"/>
        <v>#N/A</v>
      </c>
      <c r="Q253" t="e">
        <f t="shared" si="66"/>
        <v>#N/A</v>
      </c>
      <c r="R253">
        <f t="shared" si="67"/>
        <v>0.3867132867132867</v>
      </c>
      <c r="S253" t="e">
        <f t="shared" si="68"/>
        <v>#N/A</v>
      </c>
      <c r="T253" t="e">
        <f t="shared" si="69"/>
        <v>#N/A</v>
      </c>
      <c r="U253" t="e">
        <f t="shared" si="70"/>
        <v>#N/A</v>
      </c>
      <c r="W253" t="e">
        <f t="shared" si="71"/>
        <v>#N/A</v>
      </c>
      <c r="X253" t="e">
        <f t="shared" si="72"/>
        <v>#N/A</v>
      </c>
      <c r="Y253" t="e">
        <f t="shared" si="73"/>
        <v>#N/A</v>
      </c>
      <c r="Z253">
        <f t="shared" si="74"/>
        <v>0.48225155900497763</v>
      </c>
      <c r="AA253" t="e">
        <f t="shared" si="75"/>
        <v>#N/A</v>
      </c>
      <c r="AB253" t="e">
        <f t="shared" si="76"/>
        <v>#N/A</v>
      </c>
      <c r="AC253" t="e">
        <f t="shared" si="77"/>
        <v>#N/A</v>
      </c>
    </row>
    <row r="254" spans="2:29">
      <c r="B254">
        <v>240</v>
      </c>
      <c r="C254">
        <f>'Lab test'!Q243</f>
        <v>340.13605442176873</v>
      </c>
      <c r="D254">
        <f>IF('Lab test'!AQ243&gt;0,'Lab test'!AQ243,NA())</f>
        <v>0.91179381874681753</v>
      </c>
      <c r="E254">
        <f>IF('Lab test'!AU243&gt;0,'Lab test'!AU243,NA())</f>
        <v>0.50815850815850827</v>
      </c>
      <c r="F254">
        <f>IF('Lab test'!AT243&gt;0,'Lab test'!AT243,NA())</f>
        <v>0.42246670630132671</v>
      </c>
      <c r="G254">
        <f t="shared" si="59"/>
        <v>1</v>
      </c>
      <c r="H254">
        <f t="shared" si="60"/>
        <v>1</v>
      </c>
      <c r="I254">
        <f t="shared" si="61"/>
        <v>1</v>
      </c>
      <c r="J254">
        <f t="shared" si="62"/>
        <v>1</v>
      </c>
      <c r="K254">
        <f t="shared" si="63"/>
        <v>1</v>
      </c>
      <c r="L254" t="str">
        <f>'Lab test'!AC243</f>
        <v>Machined</v>
      </c>
      <c r="O254" t="e">
        <f t="shared" si="64"/>
        <v>#N/A</v>
      </c>
      <c r="P254" t="e">
        <f t="shared" si="65"/>
        <v>#N/A</v>
      </c>
      <c r="Q254" t="e">
        <f t="shared" si="66"/>
        <v>#N/A</v>
      </c>
      <c r="R254">
        <f t="shared" si="67"/>
        <v>0.50815850815850827</v>
      </c>
      <c r="S254" t="e">
        <f t="shared" si="68"/>
        <v>#N/A</v>
      </c>
      <c r="T254" t="e">
        <f t="shared" si="69"/>
        <v>#N/A</v>
      </c>
      <c r="U254" t="e">
        <f t="shared" si="70"/>
        <v>#N/A</v>
      </c>
      <c r="W254" t="e">
        <f t="shared" si="71"/>
        <v>#N/A</v>
      </c>
      <c r="X254" t="e">
        <f t="shared" si="72"/>
        <v>#N/A</v>
      </c>
      <c r="Y254" t="e">
        <f t="shared" si="73"/>
        <v>#N/A</v>
      </c>
      <c r="Z254">
        <f t="shared" si="74"/>
        <v>0.42246670630132671</v>
      </c>
      <c r="AA254" t="e">
        <f t="shared" si="75"/>
        <v>#N/A</v>
      </c>
      <c r="AB254" t="e">
        <f t="shared" si="76"/>
        <v>#N/A</v>
      </c>
      <c r="AC254" t="e">
        <f t="shared" si="77"/>
        <v>#N/A</v>
      </c>
    </row>
    <row r="255" spans="2:29">
      <c r="B255">
        <v>241</v>
      </c>
      <c r="C255">
        <f>'Lab test'!Q244</f>
        <v>235.29411764705881</v>
      </c>
      <c r="D255">
        <f>IF('Lab test'!AQ244&gt;0,'Lab test'!AQ244,NA())</f>
        <v>0.75836074384012342</v>
      </c>
      <c r="E255">
        <f>IF('Lab test'!AU244&gt;0,'Lab test'!AU244,NA())</f>
        <v>0.70629370629370636</v>
      </c>
      <c r="F255">
        <f>IF('Lab test'!AT244&gt;0,'Lab test'!AT244,NA())</f>
        <v>0.40619729229071527</v>
      </c>
      <c r="G255">
        <f t="shared" si="59"/>
        <v>1</v>
      </c>
      <c r="H255">
        <f t="shared" si="60"/>
        <v>1</v>
      </c>
      <c r="I255">
        <f t="shared" si="61"/>
        <v>1</v>
      </c>
      <c r="J255">
        <f t="shared" si="62"/>
        <v>1</v>
      </c>
      <c r="K255">
        <f t="shared" si="63"/>
        <v>1</v>
      </c>
      <c r="L255" t="str">
        <f>'Lab test'!AC244</f>
        <v>Machined</v>
      </c>
      <c r="O255" t="e">
        <f t="shared" si="64"/>
        <v>#N/A</v>
      </c>
      <c r="P255" t="e">
        <f t="shared" si="65"/>
        <v>#N/A</v>
      </c>
      <c r="Q255" t="e">
        <f t="shared" si="66"/>
        <v>#N/A</v>
      </c>
      <c r="R255">
        <f t="shared" si="67"/>
        <v>0.70629370629370636</v>
      </c>
      <c r="S255" t="e">
        <f t="shared" si="68"/>
        <v>#N/A</v>
      </c>
      <c r="T255" t="e">
        <f t="shared" si="69"/>
        <v>#N/A</v>
      </c>
      <c r="U255" t="e">
        <f t="shared" si="70"/>
        <v>#N/A</v>
      </c>
      <c r="W255" t="e">
        <f t="shared" si="71"/>
        <v>#N/A</v>
      </c>
      <c r="X255" t="e">
        <f t="shared" si="72"/>
        <v>#N/A</v>
      </c>
      <c r="Y255" t="e">
        <f t="shared" si="73"/>
        <v>#N/A</v>
      </c>
      <c r="Z255">
        <f t="shared" si="74"/>
        <v>0.40619729229071527</v>
      </c>
      <c r="AA255" t="e">
        <f t="shared" si="75"/>
        <v>#N/A</v>
      </c>
      <c r="AB255" t="e">
        <f t="shared" si="76"/>
        <v>#N/A</v>
      </c>
      <c r="AC255" t="e">
        <f t="shared" si="77"/>
        <v>#N/A</v>
      </c>
    </row>
    <row r="256" spans="2:29">
      <c r="B256">
        <v>242</v>
      </c>
      <c r="C256">
        <f>'Lab test'!Q245</f>
        <v>167.22408026755852</v>
      </c>
      <c r="D256">
        <f>IF('Lab test'!AQ245&gt;0,'Lab test'!AQ245,NA())</f>
        <v>0.58110549445608406</v>
      </c>
      <c r="E256">
        <f>IF('Lab test'!AU245&gt;0,'Lab test'!AU245,NA())</f>
        <v>0.68128778293265846</v>
      </c>
      <c r="F256">
        <f>IF('Lab test'!AT245&gt;0,'Lab test'!AT245,NA())</f>
        <v>0.23005970823835847</v>
      </c>
      <c r="G256">
        <f t="shared" si="59"/>
        <v>1</v>
      </c>
      <c r="H256">
        <f t="shared" si="60"/>
        <v>1</v>
      </c>
      <c r="I256">
        <f t="shared" si="61"/>
        <v>1</v>
      </c>
      <c r="J256">
        <f t="shared" si="62"/>
        <v>1</v>
      </c>
      <c r="K256">
        <f t="shared" si="63"/>
        <v>1</v>
      </c>
      <c r="L256" t="str">
        <f>'Lab test'!AC245</f>
        <v>CLTW</v>
      </c>
      <c r="O256" t="e">
        <f t="shared" si="64"/>
        <v>#N/A</v>
      </c>
      <c r="P256" t="e">
        <f t="shared" si="65"/>
        <v>#N/A</v>
      </c>
      <c r="Q256" t="e">
        <f t="shared" si="66"/>
        <v>#N/A</v>
      </c>
      <c r="R256" t="e">
        <f t="shared" si="67"/>
        <v>#N/A</v>
      </c>
      <c r="S256" t="e">
        <f t="shared" si="68"/>
        <v>#N/A</v>
      </c>
      <c r="T256">
        <f t="shared" si="69"/>
        <v>0.68128778293265846</v>
      </c>
      <c r="U256" t="e">
        <f t="shared" si="70"/>
        <v>#N/A</v>
      </c>
      <c r="W256" t="e">
        <f t="shared" si="71"/>
        <v>#N/A</v>
      </c>
      <c r="X256" t="e">
        <f t="shared" si="72"/>
        <v>#N/A</v>
      </c>
      <c r="Y256" t="e">
        <f t="shared" si="73"/>
        <v>#N/A</v>
      </c>
      <c r="Z256" t="e">
        <f t="shared" si="74"/>
        <v>#N/A</v>
      </c>
      <c r="AA256" t="e">
        <f t="shared" si="75"/>
        <v>#N/A</v>
      </c>
      <c r="AB256">
        <f t="shared" si="76"/>
        <v>0.23005970823835847</v>
      </c>
      <c r="AC256" t="e">
        <f t="shared" si="77"/>
        <v>#N/A</v>
      </c>
    </row>
    <row r="257" spans="2:29">
      <c r="B257">
        <v>243</v>
      </c>
      <c r="C257">
        <f>'Lab test'!Q246</f>
        <v>172.11703958691911</v>
      </c>
      <c r="D257">
        <f>IF('Lab test'!AQ246&gt;0,'Lab test'!AQ246,NA())</f>
        <v>0.59900842923715092</v>
      </c>
      <c r="E257">
        <f>IF('Lab test'!AU246&gt;0,'Lab test'!AU246,NA())</f>
        <v>0.65484273243730073</v>
      </c>
      <c r="F257">
        <f>IF('Lab test'!AT246&gt;0,'Lab test'!AT246,NA())</f>
        <v>0.2349648400377404</v>
      </c>
      <c r="G257">
        <f t="shared" si="59"/>
        <v>1</v>
      </c>
      <c r="H257">
        <f t="shared" si="60"/>
        <v>1</v>
      </c>
      <c r="I257">
        <f t="shared" si="61"/>
        <v>1</v>
      </c>
      <c r="J257">
        <f t="shared" si="62"/>
        <v>1</v>
      </c>
      <c r="K257">
        <f t="shared" si="63"/>
        <v>1</v>
      </c>
      <c r="L257" t="str">
        <f>'Lab test'!AC246</f>
        <v>CLTW</v>
      </c>
      <c r="O257" t="e">
        <f t="shared" si="64"/>
        <v>#N/A</v>
      </c>
      <c r="P257" t="e">
        <f t="shared" si="65"/>
        <v>#N/A</v>
      </c>
      <c r="Q257" t="e">
        <f t="shared" si="66"/>
        <v>#N/A</v>
      </c>
      <c r="R257" t="e">
        <f t="shared" si="67"/>
        <v>#N/A</v>
      </c>
      <c r="S257" t="e">
        <f t="shared" si="68"/>
        <v>#N/A</v>
      </c>
      <c r="T257">
        <f t="shared" si="69"/>
        <v>0.65484273243730073</v>
      </c>
      <c r="U257" t="e">
        <f t="shared" si="70"/>
        <v>#N/A</v>
      </c>
      <c r="W257" t="e">
        <f t="shared" si="71"/>
        <v>#N/A</v>
      </c>
      <c r="X257" t="e">
        <f t="shared" si="72"/>
        <v>#N/A</v>
      </c>
      <c r="Y257" t="e">
        <f t="shared" si="73"/>
        <v>#N/A</v>
      </c>
      <c r="Z257" t="e">
        <f t="shared" si="74"/>
        <v>#N/A</v>
      </c>
      <c r="AA257" t="e">
        <f t="shared" si="75"/>
        <v>#N/A</v>
      </c>
      <c r="AB257">
        <f t="shared" si="76"/>
        <v>0.2349648400377404</v>
      </c>
      <c r="AC257" t="e">
        <f t="shared" si="77"/>
        <v>#N/A</v>
      </c>
    </row>
    <row r="258" spans="2:29">
      <c r="B258">
        <v>244</v>
      </c>
      <c r="C258">
        <f>'Lab test'!Q247</f>
        <v>165.28925619834712</v>
      </c>
      <c r="D258">
        <f>IF('Lab test'!AQ247&gt;0,'Lab test'!AQ247,NA())</f>
        <v>0.58974292048580867</v>
      </c>
      <c r="E258">
        <f>IF('Lab test'!AU247&gt;0,'Lab test'!AU247,NA())</f>
        <v>0.69217143008222515</v>
      </c>
      <c r="F258">
        <f>IF('Lab test'!AT247&gt;0,'Lab test'!AT247,NA())</f>
        <v>0.24073494770506743</v>
      </c>
      <c r="G258">
        <f t="shared" si="59"/>
        <v>1</v>
      </c>
      <c r="H258">
        <f t="shared" si="60"/>
        <v>1</v>
      </c>
      <c r="I258">
        <f t="shared" si="61"/>
        <v>1</v>
      </c>
      <c r="J258">
        <f t="shared" si="62"/>
        <v>1</v>
      </c>
      <c r="K258">
        <f t="shared" si="63"/>
        <v>1</v>
      </c>
      <c r="L258" t="str">
        <f>'Lab test'!AC247</f>
        <v>CLTW</v>
      </c>
      <c r="O258" t="e">
        <f t="shared" si="64"/>
        <v>#N/A</v>
      </c>
      <c r="P258" t="e">
        <f t="shared" si="65"/>
        <v>#N/A</v>
      </c>
      <c r="Q258" t="e">
        <f t="shared" si="66"/>
        <v>#N/A</v>
      </c>
      <c r="R258" t="e">
        <f t="shared" si="67"/>
        <v>#N/A</v>
      </c>
      <c r="S258" t="e">
        <f t="shared" si="68"/>
        <v>#N/A</v>
      </c>
      <c r="T258">
        <f t="shared" si="69"/>
        <v>0.69217143008222515</v>
      </c>
      <c r="U258" t="e">
        <f t="shared" si="70"/>
        <v>#N/A</v>
      </c>
      <c r="W258" t="e">
        <f t="shared" si="71"/>
        <v>#N/A</v>
      </c>
      <c r="X258" t="e">
        <f t="shared" si="72"/>
        <v>#N/A</v>
      </c>
      <c r="Y258" t="e">
        <f t="shared" si="73"/>
        <v>#N/A</v>
      </c>
      <c r="Z258" t="e">
        <f t="shared" si="74"/>
        <v>#N/A</v>
      </c>
      <c r="AA258" t="e">
        <f t="shared" si="75"/>
        <v>#N/A</v>
      </c>
      <c r="AB258">
        <f t="shared" si="76"/>
        <v>0.24073494770506743</v>
      </c>
      <c r="AC258" t="e">
        <f t="shared" si="77"/>
        <v>#N/A</v>
      </c>
    </row>
    <row r="259" spans="2:29">
      <c r="B259">
        <v>245</v>
      </c>
      <c r="C259">
        <f>'Lab test'!Q248</f>
        <v>167.22408026755852</v>
      </c>
      <c r="D259">
        <f>IF('Lab test'!AQ248&gt;0,'Lab test'!AQ248,NA())</f>
        <v>0.58638724069742743</v>
      </c>
      <c r="E259">
        <f>IF('Lab test'!AU248&gt;0,'Lab test'!AU248,NA())</f>
        <v>0.7605985037406483</v>
      </c>
      <c r="F259">
        <f>IF('Lab test'!AT248&gt;0,'Lab test'!AT248,NA())</f>
        <v>0.26153179250894387</v>
      </c>
      <c r="G259">
        <f t="shared" si="59"/>
        <v>1</v>
      </c>
      <c r="H259">
        <f t="shared" si="60"/>
        <v>1</v>
      </c>
      <c r="I259">
        <f t="shared" si="61"/>
        <v>1</v>
      </c>
      <c r="J259">
        <f t="shared" si="62"/>
        <v>1</v>
      </c>
      <c r="K259">
        <f t="shared" si="63"/>
        <v>1</v>
      </c>
      <c r="L259" t="str">
        <f>'Lab test'!AC248</f>
        <v>CLTW</v>
      </c>
      <c r="O259" t="e">
        <f t="shared" si="64"/>
        <v>#N/A</v>
      </c>
      <c r="P259" t="e">
        <f t="shared" si="65"/>
        <v>#N/A</v>
      </c>
      <c r="Q259" t="e">
        <f t="shared" si="66"/>
        <v>#N/A</v>
      </c>
      <c r="R259" t="e">
        <f t="shared" si="67"/>
        <v>#N/A</v>
      </c>
      <c r="S259" t="e">
        <f t="shared" si="68"/>
        <v>#N/A</v>
      </c>
      <c r="T259">
        <f t="shared" si="69"/>
        <v>0.7605985037406483</v>
      </c>
      <c r="U259" t="e">
        <f t="shared" si="70"/>
        <v>#N/A</v>
      </c>
      <c r="W259" t="e">
        <f t="shared" si="71"/>
        <v>#N/A</v>
      </c>
      <c r="X259" t="e">
        <f t="shared" si="72"/>
        <v>#N/A</v>
      </c>
      <c r="Y259" t="e">
        <f t="shared" si="73"/>
        <v>#N/A</v>
      </c>
      <c r="Z259" t="e">
        <f t="shared" si="74"/>
        <v>#N/A</v>
      </c>
      <c r="AA259" t="e">
        <f t="shared" si="75"/>
        <v>#N/A</v>
      </c>
      <c r="AB259">
        <f t="shared" si="76"/>
        <v>0.26153179250894387</v>
      </c>
      <c r="AC259" t="e">
        <f t="shared" si="77"/>
        <v>#N/A</v>
      </c>
    </row>
    <row r="260" spans="2:29">
      <c r="B260">
        <v>246</v>
      </c>
      <c r="C260">
        <f>'Lab test'!Q249</f>
        <v>138.88888888888889</v>
      </c>
      <c r="D260">
        <f>IF('Lab test'!AQ249&gt;0,'Lab test'!AQ249,NA())</f>
        <v>0.50598503249121529</v>
      </c>
      <c r="E260">
        <f>IF('Lab test'!AU249&gt;0,'Lab test'!AU249,NA())</f>
        <v>0.6097560975609756</v>
      </c>
      <c r="F260">
        <f>IF('Lab test'!AT249&gt;0,'Lab test'!AT249,NA())</f>
        <v>0.15611027628361965</v>
      </c>
      <c r="G260">
        <f t="shared" si="59"/>
        <v>1</v>
      </c>
      <c r="H260">
        <f t="shared" si="60"/>
        <v>1</v>
      </c>
      <c r="I260">
        <f t="shared" si="61"/>
        <v>1</v>
      </c>
      <c r="J260">
        <f t="shared" si="62"/>
        <v>1</v>
      </c>
      <c r="K260">
        <f t="shared" si="63"/>
        <v>1</v>
      </c>
      <c r="L260" t="str">
        <f>'Lab test'!AC249</f>
        <v>CLTW</v>
      </c>
      <c r="O260" t="e">
        <f t="shared" si="64"/>
        <v>#N/A</v>
      </c>
      <c r="P260" t="e">
        <f t="shared" si="65"/>
        <v>#N/A</v>
      </c>
      <c r="Q260" t="e">
        <f t="shared" si="66"/>
        <v>#N/A</v>
      </c>
      <c r="R260" t="e">
        <f t="shared" si="67"/>
        <v>#N/A</v>
      </c>
      <c r="S260" t="e">
        <f t="shared" si="68"/>
        <v>#N/A</v>
      </c>
      <c r="T260">
        <f t="shared" si="69"/>
        <v>0.6097560975609756</v>
      </c>
      <c r="U260" t="e">
        <f t="shared" si="70"/>
        <v>#N/A</v>
      </c>
      <c r="W260" t="e">
        <f t="shared" si="71"/>
        <v>#N/A</v>
      </c>
      <c r="X260" t="e">
        <f t="shared" si="72"/>
        <v>#N/A</v>
      </c>
      <c r="Y260" t="e">
        <f t="shared" si="73"/>
        <v>#N/A</v>
      </c>
      <c r="Z260" t="e">
        <f t="shared" si="74"/>
        <v>#N/A</v>
      </c>
      <c r="AA260" t="e">
        <f t="shared" si="75"/>
        <v>#N/A</v>
      </c>
      <c r="AB260">
        <f t="shared" si="76"/>
        <v>0.15611027628361965</v>
      </c>
      <c r="AC260" t="e">
        <f t="shared" si="77"/>
        <v>#N/A</v>
      </c>
    </row>
    <row r="261" spans="2:29">
      <c r="B261">
        <v>247</v>
      </c>
      <c r="C261">
        <f>'Lab test'!Q250</f>
        <v>151.05740181268882</v>
      </c>
      <c r="D261">
        <f>IF('Lab test'!AQ250&gt;0,'Lab test'!AQ250,NA())</f>
        <v>0.53550017609716916</v>
      </c>
      <c r="E261">
        <f>IF('Lab test'!AU250&gt;0,'Lab test'!AU250,NA())</f>
        <v>0.68518518518518523</v>
      </c>
      <c r="F261">
        <f>IF('Lab test'!AT250&gt;0,'Lab test'!AT250,NA())</f>
        <v>0.19648400422599385</v>
      </c>
      <c r="G261">
        <f t="shared" si="59"/>
        <v>1</v>
      </c>
      <c r="H261">
        <f t="shared" si="60"/>
        <v>1</v>
      </c>
      <c r="I261">
        <f t="shared" si="61"/>
        <v>1</v>
      </c>
      <c r="J261">
        <f t="shared" si="62"/>
        <v>1</v>
      </c>
      <c r="K261">
        <f t="shared" si="63"/>
        <v>1</v>
      </c>
      <c r="L261" t="str">
        <f>'Lab test'!AC250</f>
        <v>CLTW</v>
      </c>
      <c r="O261" t="e">
        <f t="shared" si="64"/>
        <v>#N/A</v>
      </c>
      <c r="P261" t="e">
        <f t="shared" si="65"/>
        <v>#N/A</v>
      </c>
      <c r="Q261" t="e">
        <f t="shared" si="66"/>
        <v>#N/A</v>
      </c>
      <c r="R261" t="e">
        <f t="shared" si="67"/>
        <v>#N/A</v>
      </c>
      <c r="S261" t="e">
        <f t="shared" si="68"/>
        <v>#N/A</v>
      </c>
      <c r="T261">
        <f t="shared" si="69"/>
        <v>0.68518518518518523</v>
      </c>
      <c r="U261" t="e">
        <f t="shared" si="70"/>
        <v>#N/A</v>
      </c>
      <c r="W261" t="e">
        <f t="shared" si="71"/>
        <v>#N/A</v>
      </c>
      <c r="X261" t="e">
        <f t="shared" si="72"/>
        <v>#N/A</v>
      </c>
      <c r="Y261" t="e">
        <f t="shared" si="73"/>
        <v>#N/A</v>
      </c>
      <c r="Z261" t="e">
        <f t="shared" si="74"/>
        <v>#N/A</v>
      </c>
      <c r="AA261" t="e">
        <f t="shared" si="75"/>
        <v>#N/A</v>
      </c>
      <c r="AB261">
        <f t="shared" si="76"/>
        <v>0.19648400422599385</v>
      </c>
      <c r="AC261" t="e">
        <f t="shared" si="77"/>
        <v>#N/A</v>
      </c>
    </row>
    <row r="262" spans="2:29">
      <c r="B262">
        <v>248</v>
      </c>
      <c r="C262">
        <f>'Lab test'!Q251</f>
        <v>141.84397163120568</v>
      </c>
      <c r="D262">
        <f>IF('Lab test'!AQ251&gt;0,'Lab test'!AQ251,NA())</f>
        <v>0.60720317283264569</v>
      </c>
      <c r="E262">
        <f>IF('Lab test'!AU251&gt;0,'Lab test'!AU251,NA())</f>
        <v>0.5138427464008859</v>
      </c>
      <c r="F262">
        <f>IF('Lab test'!AT251&gt;0,'Lab test'!AT251,NA())</f>
        <v>0.18945160752767079</v>
      </c>
      <c r="G262">
        <f t="shared" si="59"/>
        <v>1</v>
      </c>
      <c r="H262">
        <f t="shared" si="60"/>
        <v>1</v>
      </c>
      <c r="I262">
        <f t="shared" si="61"/>
        <v>1</v>
      </c>
      <c r="J262">
        <f t="shared" si="62"/>
        <v>1</v>
      </c>
      <c r="K262">
        <f t="shared" si="63"/>
        <v>1</v>
      </c>
      <c r="L262" t="str">
        <f>'Lab test'!AC251</f>
        <v>CLTW</v>
      </c>
      <c r="O262" t="e">
        <f t="shared" si="64"/>
        <v>#N/A</v>
      </c>
      <c r="P262" t="e">
        <f t="shared" si="65"/>
        <v>#N/A</v>
      </c>
      <c r="Q262" t="e">
        <f t="shared" si="66"/>
        <v>#N/A</v>
      </c>
      <c r="R262" t="e">
        <f t="shared" si="67"/>
        <v>#N/A</v>
      </c>
      <c r="S262" t="e">
        <f t="shared" si="68"/>
        <v>#N/A</v>
      </c>
      <c r="T262">
        <f t="shared" si="69"/>
        <v>0.5138427464008859</v>
      </c>
      <c r="U262" t="e">
        <f t="shared" si="70"/>
        <v>#N/A</v>
      </c>
      <c r="W262" t="e">
        <f t="shared" si="71"/>
        <v>#N/A</v>
      </c>
      <c r="X262" t="e">
        <f t="shared" si="72"/>
        <v>#N/A</v>
      </c>
      <c r="Y262" t="e">
        <f t="shared" si="73"/>
        <v>#N/A</v>
      </c>
      <c r="Z262" t="e">
        <f t="shared" si="74"/>
        <v>#N/A</v>
      </c>
      <c r="AA262" t="e">
        <f t="shared" si="75"/>
        <v>#N/A</v>
      </c>
      <c r="AB262">
        <f t="shared" si="76"/>
        <v>0.18945160752767079</v>
      </c>
      <c r="AC262" t="e">
        <f t="shared" si="77"/>
        <v>#N/A</v>
      </c>
    </row>
    <row r="263" spans="2:29">
      <c r="B263">
        <v>249</v>
      </c>
      <c r="C263">
        <f>'Lab test'!Q252</f>
        <v>142.24751066856331</v>
      </c>
      <c r="D263">
        <f>IF('Lab test'!AQ252&gt;0,'Lab test'!AQ252,NA())</f>
        <v>0.5481726393695614</v>
      </c>
      <c r="E263">
        <f>IF('Lab test'!AU252&gt;0,'Lab test'!AU252,NA())</f>
        <v>0.61154855643044614</v>
      </c>
      <c r="F263">
        <f>IF('Lab test'!AT252&gt;0,'Lab test'!AT252,NA())</f>
        <v>0.18376620870063035</v>
      </c>
      <c r="G263">
        <f t="shared" si="59"/>
        <v>1</v>
      </c>
      <c r="H263">
        <f t="shared" si="60"/>
        <v>1</v>
      </c>
      <c r="I263">
        <f t="shared" si="61"/>
        <v>1</v>
      </c>
      <c r="J263">
        <f t="shared" si="62"/>
        <v>1</v>
      </c>
      <c r="K263">
        <f t="shared" si="63"/>
        <v>1</v>
      </c>
      <c r="L263" t="str">
        <f>'Lab test'!AC252</f>
        <v>CLTW</v>
      </c>
      <c r="O263" t="e">
        <f t="shared" si="64"/>
        <v>#N/A</v>
      </c>
      <c r="P263" t="e">
        <f t="shared" si="65"/>
        <v>#N/A</v>
      </c>
      <c r="Q263" t="e">
        <f t="shared" si="66"/>
        <v>#N/A</v>
      </c>
      <c r="R263" t="e">
        <f t="shared" si="67"/>
        <v>#N/A</v>
      </c>
      <c r="S263" t="e">
        <f t="shared" si="68"/>
        <v>#N/A</v>
      </c>
      <c r="T263">
        <f t="shared" si="69"/>
        <v>0.61154855643044614</v>
      </c>
      <c r="U263" t="e">
        <f t="shared" si="70"/>
        <v>#N/A</v>
      </c>
      <c r="W263" t="e">
        <f t="shared" si="71"/>
        <v>#N/A</v>
      </c>
      <c r="X263" t="e">
        <f t="shared" si="72"/>
        <v>#N/A</v>
      </c>
      <c r="Y263" t="e">
        <f t="shared" si="73"/>
        <v>#N/A</v>
      </c>
      <c r="Z263" t="e">
        <f t="shared" si="74"/>
        <v>#N/A</v>
      </c>
      <c r="AA263" t="e">
        <f t="shared" si="75"/>
        <v>#N/A</v>
      </c>
      <c r="AB263">
        <f t="shared" si="76"/>
        <v>0.18376620870063035</v>
      </c>
      <c r="AC263" t="e">
        <f t="shared" si="77"/>
        <v>#N/A</v>
      </c>
    </row>
    <row r="264" spans="2:29">
      <c r="B264">
        <v>250</v>
      </c>
      <c r="C264">
        <f>'Lab test'!Q253</f>
        <v>166.11295681063123</v>
      </c>
      <c r="D264">
        <f>IF('Lab test'!AQ253&gt;0,'Lab test'!AQ253,NA())</f>
        <v>0.49430718136621271</v>
      </c>
      <c r="E264">
        <f>IF('Lab test'!AU253&gt;0,'Lab test'!AU253,NA())</f>
        <v>0.40704500978473579</v>
      </c>
      <c r="F264">
        <f>IF('Lab test'!AT253&gt;0,'Lab test'!AT253,NA())</f>
        <v>9.9457210619263534E-2</v>
      </c>
      <c r="G264">
        <f t="shared" si="59"/>
        <v>1</v>
      </c>
      <c r="H264">
        <f t="shared" si="60"/>
        <v>1</v>
      </c>
      <c r="I264">
        <f t="shared" si="61"/>
        <v>1</v>
      </c>
      <c r="J264">
        <f t="shared" si="62"/>
        <v>1</v>
      </c>
      <c r="K264">
        <f t="shared" si="63"/>
        <v>1</v>
      </c>
      <c r="L264" t="str">
        <f>'Lab test'!AC253</f>
        <v>LTWa</v>
      </c>
      <c r="O264">
        <f t="shared" si="64"/>
        <v>0.40704500978473579</v>
      </c>
      <c r="P264" t="e">
        <f t="shared" si="65"/>
        <v>#N/A</v>
      </c>
      <c r="Q264" t="e">
        <f t="shared" si="66"/>
        <v>#N/A</v>
      </c>
      <c r="R264" t="e">
        <f t="shared" si="67"/>
        <v>#N/A</v>
      </c>
      <c r="S264" t="e">
        <f t="shared" si="68"/>
        <v>#N/A</v>
      </c>
      <c r="T264" t="e">
        <f t="shared" si="69"/>
        <v>#N/A</v>
      </c>
      <c r="U264" t="e">
        <f t="shared" si="70"/>
        <v>#N/A</v>
      </c>
      <c r="W264">
        <f t="shared" si="71"/>
        <v>9.9457210619263534E-2</v>
      </c>
      <c r="X264" t="e">
        <f t="shared" si="72"/>
        <v>#N/A</v>
      </c>
      <c r="Y264" t="e">
        <f t="shared" si="73"/>
        <v>#N/A</v>
      </c>
      <c r="Z264" t="e">
        <f t="shared" si="74"/>
        <v>#N/A</v>
      </c>
      <c r="AA264" t="e">
        <f t="shared" si="75"/>
        <v>#N/A</v>
      </c>
      <c r="AB264" t="e">
        <f t="shared" si="76"/>
        <v>#N/A</v>
      </c>
      <c r="AC264" t="e">
        <f t="shared" si="77"/>
        <v>#N/A</v>
      </c>
    </row>
    <row r="265" spans="2:29">
      <c r="B265">
        <v>251</v>
      </c>
      <c r="C265">
        <f>'Lab test'!Q254</f>
        <v>168.0672268907563</v>
      </c>
      <c r="D265">
        <f>IF('Lab test'!AQ254&gt;0,'Lab test'!AQ254,NA())</f>
        <v>0.49955414383058894</v>
      </c>
      <c r="E265">
        <f>IF('Lab test'!AU254&gt;0,'Lab test'!AU254,NA())</f>
        <v>0.5471349353049908</v>
      </c>
      <c r="F265">
        <f>IF('Lab test'!AT254&gt;0,'Lab test'!AT254,NA())</f>
        <v>0.13653989910355002</v>
      </c>
      <c r="G265">
        <f t="shared" si="59"/>
        <v>1</v>
      </c>
      <c r="H265">
        <f t="shared" si="60"/>
        <v>1</v>
      </c>
      <c r="I265">
        <f t="shared" si="61"/>
        <v>1</v>
      </c>
      <c r="J265">
        <f t="shared" si="62"/>
        <v>1</v>
      </c>
      <c r="K265">
        <f t="shared" si="63"/>
        <v>1</v>
      </c>
      <c r="L265" t="str">
        <f>'Lab test'!AC254</f>
        <v>LTWa</v>
      </c>
      <c r="O265">
        <f t="shared" si="64"/>
        <v>0.5471349353049908</v>
      </c>
      <c r="P265" t="e">
        <f t="shared" si="65"/>
        <v>#N/A</v>
      </c>
      <c r="Q265" t="e">
        <f t="shared" si="66"/>
        <v>#N/A</v>
      </c>
      <c r="R265" t="e">
        <f t="shared" si="67"/>
        <v>#N/A</v>
      </c>
      <c r="S265" t="e">
        <f t="shared" si="68"/>
        <v>#N/A</v>
      </c>
      <c r="T265" t="e">
        <f t="shared" si="69"/>
        <v>#N/A</v>
      </c>
      <c r="U265" t="e">
        <f t="shared" si="70"/>
        <v>#N/A</v>
      </c>
      <c r="W265">
        <f t="shared" si="71"/>
        <v>0.13653989910355002</v>
      </c>
      <c r="X265" t="e">
        <f t="shared" si="72"/>
        <v>#N/A</v>
      </c>
      <c r="Y265" t="e">
        <f t="shared" si="73"/>
        <v>#N/A</v>
      </c>
      <c r="Z265" t="e">
        <f t="shared" si="74"/>
        <v>#N/A</v>
      </c>
      <c r="AA265" t="e">
        <f t="shared" si="75"/>
        <v>#N/A</v>
      </c>
      <c r="AB265" t="e">
        <f t="shared" si="76"/>
        <v>#N/A</v>
      </c>
      <c r="AC265" t="e">
        <f t="shared" si="77"/>
        <v>#N/A</v>
      </c>
    </row>
    <row r="266" spans="2:29">
      <c r="B266">
        <v>252</v>
      </c>
      <c r="C266">
        <f>'Lab test'!Q255</f>
        <v>328.9473684210526</v>
      </c>
      <c r="D266">
        <f>IF('Lab test'!AQ255&gt;0,'Lab test'!AQ255,NA())</f>
        <v>0.69888264642922793</v>
      </c>
      <c r="E266">
        <f>IF('Lab test'!AU255&gt;0,'Lab test'!AU255,NA())</f>
        <v>0.33493530499075785</v>
      </c>
      <c r="F266">
        <f>IF('Lab test'!AT255&gt;0,'Lab test'!AT255,NA())</f>
        <v>0.16359477998255403</v>
      </c>
      <c r="G266">
        <f t="shared" si="59"/>
        <v>1</v>
      </c>
      <c r="H266">
        <f t="shared" si="60"/>
        <v>1</v>
      </c>
      <c r="I266">
        <f t="shared" si="61"/>
        <v>1</v>
      </c>
      <c r="J266">
        <f t="shared" si="62"/>
        <v>1</v>
      </c>
      <c r="K266">
        <f t="shared" si="63"/>
        <v>1</v>
      </c>
      <c r="L266" t="str">
        <f>'Lab test'!AC255</f>
        <v>LTWa</v>
      </c>
      <c r="O266">
        <f t="shared" si="64"/>
        <v>0.33493530499075785</v>
      </c>
      <c r="P266" t="e">
        <f t="shared" si="65"/>
        <v>#N/A</v>
      </c>
      <c r="Q266" t="e">
        <f t="shared" si="66"/>
        <v>#N/A</v>
      </c>
      <c r="R266" t="e">
        <f t="shared" si="67"/>
        <v>#N/A</v>
      </c>
      <c r="S266" t="e">
        <f t="shared" si="68"/>
        <v>#N/A</v>
      </c>
      <c r="T266" t="e">
        <f t="shared" si="69"/>
        <v>#N/A</v>
      </c>
      <c r="U266" t="e">
        <f t="shared" si="70"/>
        <v>#N/A</v>
      </c>
      <c r="W266">
        <f t="shared" si="71"/>
        <v>0.16359477998255403</v>
      </c>
      <c r="X266" t="e">
        <f t="shared" si="72"/>
        <v>#N/A</v>
      </c>
      <c r="Y266" t="e">
        <f t="shared" si="73"/>
        <v>#N/A</v>
      </c>
      <c r="Z266" t="e">
        <f t="shared" si="74"/>
        <v>#N/A</v>
      </c>
      <c r="AA266" t="e">
        <f t="shared" si="75"/>
        <v>#N/A</v>
      </c>
      <c r="AB266" t="e">
        <f t="shared" si="76"/>
        <v>#N/A</v>
      </c>
      <c r="AC266" t="e">
        <f t="shared" si="77"/>
        <v>#N/A</v>
      </c>
    </row>
    <row r="267" spans="2:29">
      <c r="B267">
        <v>253</v>
      </c>
      <c r="C267">
        <f>'Lab test'!Q256</f>
        <v>518.13471502590676</v>
      </c>
      <c r="D267">
        <f>IF('Lab test'!AQ256&gt;0,'Lab test'!AQ256,NA())</f>
        <v>0.91984304452712873</v>
      </c>
      <c r="E267">
        <f>IF('Lab test'!AU256&gt;0,'Lab test'!AU256,NA())</f>
        <v>0.30219224283305229</v>
      </c>
      <c r="F267">
        <f>IF('Lab test'!AT256&gt;0,'Lab test'!AT256,NA())</f>
        <v>0.25568824924188327</v>
      </c>
      <c r="G267">
        <f t="shared" si="59"/>
        <v>1</v>
      </c>
      <c r="H267">
        <f t="shared" si="60"/>
        <v>1</v>
      </c>
      <c r="I267">
        <f t="shared" si="61"/>
        <v>1</v>
      </c>
      <c r="J267">
        <f t="shared" si="62"/>
        <v>1</v>
      </c>
      <c r="K267">
        <f t="shared" si="63"/>
        <v>1</v>
      </c>
      <c r="L267" t="str">
        <f>'Lab test'!AC256</f>
        <v>LTWa</v>
      </c>
      <c r="O267">
        <f t="shared" si="64"/>
        <v>0.30219224283305229</v>
      </c>
      <c r="P267" t="e">
        <f t="shared" si="65"/>
        <v>#N/A</v>
      </c>
      <c r="Q267" t="e">
        <f t="shared" si="66"/>
        <v>#N/A</v>
      </c>
      <c r="R267" t="e">
        <f t="shared" si="67"/>
        <v>#N/A</v>
      </c>
      <c r="S267" t="e">
        <f t="shared" si="68"/>
        <v>#N/A</v>
      </c>
      <c r="T267" t="e">
        <f t="shared" si="69"/>
        <v>#N/A</v>
      </c>
      <c r="U267" t="e">
        <f t="shared" si="70"/>
        <v>#N/A</v>
      </c>
      <c r="W267">
        <f t="shared" si="71"/>
        <v>0.25568824924188327</v>
      </c>
      <c r="X267" t="e">
        <f t="shared" si="72"/>
        <v>#N/A</v>
      </c>
      <c r="Y267" t="e">
        <f t="shared" si="73"/>
        <v>#N/A</v>
      </c>
      <c r="Z267" t="e">
        <f t="shared" si="74"/>
        <v>#N/A</v>
      </c>
      <c r="AA267" t="e">
        <f t="shared" si="75"/>
        <v>#N/A</v>
      </c>
      <c r="AB267" t="e">
        <f t="shared" si="76"/>
        <v>#N/A</v>
      </c>
      <c r="AC267" t="e">
        <f t="shared" si="77"/>
        <v>#N/A</v>
      </c>
    </row>
    <row r="268" spans="2:29">
      <c r="B268">
        <v>254</v>
      </c>
      <c r="C268">
        <f>'Lab test'!Q257</f>
        <v>450.45045045045043</v>
      </c>
      <c r="D268">
        <f>IF('Lab test'!AQ257&gt;0,'Lab test'!AQ257,NA())</f>
        <v>0.89586112181004085</v>
      </c>
      <c r="E268">
        <f>IF('Lab test'!AU257&gt;0,'Lab test'!AU257,NA())</f>
        <v>0.31406491499227207</v>
      </c>
      <c r="F268">
        <f>IF('Lab test'!AT257&gt;0,'Lab test'!AT257,NA())</f>
        <v>0.25205818360552606</v>
      </c>
      <c r="G268">
        <f t="shared" si="59"/>
        <v>1</v>
      </c>
      <c r="H268">
        <f t="shared" si="60"/>
        <v>1</v>
      </c>
      <c r="I268">
        <f t="shared" si="61"/>
        <v>1</v>
      </c>
      <c r="J268">
        <f t="shared" si="62"/>
        <v>1</v>
      </c>
      <c r="K268">
        <f t="shared" si="63"/>
        <v>1</v>
      </c>
      <c r="L268" t="str">
        <f>'Lab test'!AC257</f>
        <v>LTWa</v>
      </c>
      <c r="O268">
        <f t="shared" si="64"/>
        <v>0.31406491499227207</v>
      </c>
      <c r="P268" t="e">
        <f t="shared" si="65"/>
        <v>#N/A</v>
      </c>
      <c r="Q268" t="e">
        <f t="shared" si="66"/>
        <v>#N/A</v>
      </c>
      <c r="R268" t="e">
        <f t="shared" si="67"/>
        <v>#N/A</v>
      </c>
      <c r="S268" t="e">
        <f t="shared" si="68"/>
        <v>#N/A</v>
      </c>
      <c r="T268" t="e">
        <f t="shared" si="69"/>
        <v>#N/A</v>
      </c>
      <c r="U268" t="e">
        <f t="shared" si="70"/>
        <v>#N/A</v>
      </c>
      <c r="W268">
        <f t="shared" si="71"/>
        <v>0.25205818360552606</v>
      </c>
      <c r="X268" t="e">
        <f t="shared" si="72"/>
        <v>#N/A</v>
      </c>
      <c r="Y268" t="e">
        <f t="shared" si="73"/>
        <v>#N/A</v>
      </c>
      <c r="Z268" t="e">
        <f t="shared" si="74"/>
        <v>#N/A</v>
      </c>
      <c r="AA268" t="e">
        <f t="shared" si="75"/>
        <v>#N/A</v>
      </c>
      <c r="AB268" t="e">
        <f t="shared" si="76"/>
        <v>#N/A</v>
      </c>
      <c r="AC268" t="e">
        <f t="shared" si="77"/>
        <v>#N/A</v>
      </c>
    </row>
    <row r="269" spans="2:29">
      <c r="B269">
        <v>255</v>
      </c>
      <c r="C269">
        <f>'Lab test'!Q258</f>
        <v>150.15015015015015</v>
      </c>
      <c r="D269">
        <f>IF('Lab test'!AQ258&gt;0,'Lab test'!AQ258,NA())</f>
        <v>0.57382397712795674</v>
      </c>
      <c r="E269">
        <f>IF('Lab test'!AU258&gt;0,'Lab test'!AU258,NA())</f>
        <v>0.67334167709637049</v>
      </c>
      <c r="F269">
        <f>IF('Lab test'!AT258&gt;0,'Lab test'!AT258,NA())</f>
        <v>0.22171387824667943</v>
      </c>
      <c r="G269">
        <f t="shared" si="59"/>
        <v>1</v>
      </c>
      <c r="H269">
        <f t="shared" si="60"/>
        <v>1</v>
      </c>
      <c r="I269">
        <f t="shared" si="61"/>
        <v>1</v>
      </c>
      <c r="J269">
        <f t="shared" si="62"/>
        <v>1</v>
      </c>
      <c r="K269">
        <f t="shared" si="63"/>
        <v>1</v>
      </c>
      <c r="L269" t="str">
        <f>'Lab test'!AC258</f>
        <v>LTWa</v>
      </c>
      <c r="O269">
        <f t="shared" si="64"/>
        <v>0.67334167709637049</v>
      </c>
      <c r="P269" t="e">
        <f t="shared" si="65"/>
        <v>#N/A</v>
      </c>
      <c r="Q269" t="e">
        <f t="shared" si="66"/>
        <v>#N/A</v>
      </c>
      <c r="R269" t="e">
        <f t="shared" si="67"/>
        <v>#N/A</v>
      </c>
      <c r="S269" t="e">
        <f t="shared" si="68"/>
        <v>#N/A</v>
      </c>
      <c r="T269" t="e">
        <f t="shared" si="69"/>
        <v>#N/A</v>
      </c>
      <c r="U269" t="e">
        <f t="shared" si="70"/>
        <v>#N/A</v>
      </c>
      <c r="W269">
        <f t="shared" si="71"/>
        <v>0.22171387824667943</v>
      </c>
      <c r="X269" t="e">
        <f t="shared" si="72"/>
        <v>#N/A</v>
      </c>
      <c r="Y269" t="e">
        <f t="shared" si="73"/>
        <v>#N/A</v>
      </c>
      <c r="Z269" t="e">
        <f t="shared" si="74"/>
        <v>#N/A</v>
      </c>
      <c r="AA269" t="e">
        <f t="shared" si="75"/>
        <v>#N/A</v>
      </c>
      <c r="AB269" t="e">
        <f t="shared" si="76"/>
        <v>#N/A</v>
      </c>
      <c r="AC269" t="e">
        <f t="shared" si="77"/>
        <v>#N/A</v>
      </c>
    </row>
    <row r="270" spans="2:29">
      <c r="B270">
        <v>256</v>
      </c>
      <c r="C270">
        <f>'Lab test'!Q259</f>
        <v>145.34883720930233</v>
      </c>
      <c r="D270">
        <f>IF('Lab test'!AQ259&gt;0,'Lab test'!AQ259,NA())</f>
        <v>0.58169037332592877</v>
      </c>
      <c r="E270">
        <f>IF('Lab test'!AU259&gt;0,'Lab test'!AU259,NA())</f>
        <v>0.6707317073170731</v>
      </c>
      <c r="F270">
        <f>IF('Lab test'!AT259&gt;0,'Lab test'!AT259,NA())</f>
        <v>0.22695125576955136</v>
      </c>
      <c r="G270">
        <f t="shared" si="59"/>
        <v>1</v>
      </c>
      <c r="H270">
        <f t="shared" si="60"/>
        <v>1</v>
      </c>
      <c r="I270">
        <f t="shared" si="61"/>
        <v>1</v>
      </c>
      <c r="J270">
        <f t="shared" si="62"/>
        <v>1</v>
      </c>
      <c r="K270">
        <f t="shared" si="63"/>
        <v>1</v>
      </c>
      <c r="L270" t="str">
        <f>'Lab test'!AC259</f>
        <v>LTWa</v>
      </c>
      <c r="O270">
        <f t="shared" si="64"/>
        <v>0.6707317073170731</v>
      </c>
      <c r="P270" t="e">
        <f t="shared" si="65"/>
        <v>#N/A</v>
      </c>
      <c r="Q270" t="e">
        <f t="shared" si="66"/>
        <v>#N/A</v>
      </c>
      <c r="R270" t="e">
        <f t="shared" si="67"/>
        <v>#N/A</v>
      </c>
      <c r="S270" t="e">
        <f t="shared" si="68"/>
        <v>#N/A</v>
      </c>
      <c r="T270" t="e">
        <f t="shared" si="69"/>
        <v>#N/A</v>
      </c>
      <c r="U270" t="e">
        <f t="shared" si="70"/>
        <v>#N/A</v>
      </c>
      <c r="W270">
        <f t="shared" si="71"/>
        <v>0.22695125576955136</v>
      </c>
      <c r="X270" t="e">
        <f t="shared" si="72"/>
        <v>#N/A</v>
      </c>
      <c r="Y270" t="e">
        <f t="shared" si="73"/>
        <v>#N/A</v>
      </c>
      <c r="Z270" t="e">
        <f t="shared" si="74"/>
        <v>#N/A</v>
      </c>
      <c r="AA270" t="e">
        <f t="shared" si="75"/>
        <v>#N/A</v>
      </c>
      <c r="AB270" t="e">
        <f t="shared" si="76"/>
        <v>#N/A</v>
      </c>
      <c r="AC270" t="e">
        <f t="shared" si="77"/>
        <v>#N/A</v>
      </c>
    </row>
    <row r="271" spans="2:29">
      <c r="B271">
        <v>257</v>
      </c>
      <c r="C271">
        <f>'Lab test'!Q260</f>
        <v>666.66666666666663</v>
      </c>
      <c r="D271">
        <f>IF('Lab test'!AQ260&gt;0,'Lab test'!AQ260,NA())</f>
        <v>0.95391112701722314</v>
      </c>
      <c r="E271">
        <f>IF('Lab test'!AU260&gt;0,'Lab test'!AU260,NA())</f>
        <v>0.23117408906882592</v>
      </c>
      <c r="F271">
        <f>IF('Lab test'!AT260&gt;0,'Lab test'!AT260,NA())</f>
        <v>0.21035603896323504</v>
      </c>
      <c r="G271">
        <f t="shared" si="59"/>
        <v>1</v>
      </c>
      <c r="H271">
        <f t="shared" si="60"/>
        <v>1</v>
      </c>
      <c r="I271">
        <f t="shared" si="61"/>
        <v>1</v>
      </c>
      <c r="J271">
        <f t="shared" si="62"/>
        <v>1</v>
      </c>
      <c r="K271">
        <f t="shared" si="63"/>
        <v>1</v>
      </c>
      <c r="L271" t="str">
        <f>'Lab test'!AC260</f>
        <v>Miscellaneous</v>
      </c>
      <c r="O271" t="e">
        <f t="shared" si="64"/>
        <v>#N/A</v>
      </c>
      <c r="P271" t="e">
        <f t="shared" si="65"/>
        <v>#N/A</v>
      </c>
      <c r="Q271" t="e">
        <f t="shared" si="66"/>
        <v>#N/A</v>
      </c>
      <c r="R271" t="e">
        <f t="shared" si="67"/>
        <v>#N/A</v>
      </c>
      <c r="S271" t="e">
        <f t="shared" si="68"/>
        <v>#N/A</v>
      </c>
      <c r="T271" t="e">
        <f t="shared" si="69"/>
        <v>#N/A</v>
      </c>
      <c r="U271">
        <f t="shared" si="70"/>
        <v>0.23117408906882592</v>
      </c>
      <c r="W271" t="e">
        <f t="shared" si="71"/>
        <v>#N/A</v>
      </c>
      <c r="X271" t="e">
        <f t="shared" si="72"/>
        <v>#N/A</v>
      </c>
      <c r="Y271" t="e">
        <f t="shared" si="73"/>
        <v>#N/A</v>
      </c>
      <c r="Z271" t="e">
        <f t="shared" si="74"/>
        <v>#N/A</v>
      </c>
      <c r="AA271" t="e">
        <f t="shared" si="75"/>
        <v>#N/A</v>
      </c>
      <c r="AB271" t="e">
        <f t="shared" si="76"/>
        <v>#N/A</v>
      </c>
      <c r="AC271">
        <f t="shared" si="77"/>
        <v>0.21035603896323504</v>
      </c>
    </row>
    <row r="272" spans="2:29">
      <c r="B272">
        <v>258</v>
      </c>
      <c r="C272">
        <f>'Lab test'!Q261</f>
        <v>653.59477124183013</v>
      </c>
      <c r="D272">
        <f>IF('Lab test'!AQ261&gt;0,'Lab test'!AQ261,NA())</f>
        <v>0.94451275863421391</v>
      </c>
      <c r="E272">
        <f>IF('Lab test'!AU261&gt;0,'Lab test'!AU261,NA())</f>
        <v>0.23238866396761132</v>
      </c>
      <c r="F272">
        <f>IF('Lab test'!AT261&gt;0,'Lab test'!AT261,NA())</f>
        <v>0.20731493830036216</v>
      </c>
      <c r="G272">
        <f t="shared" ref="G272:G335" si="78">IF(AND(ISNUMBER(D272),ISNUMBER(E272)),1,NA())</f>
        <v>1</v>
      </c>
      <c r="H272">
        <f t="shared" ref="H272:H335" si="79">IF(AND(ISNUMBER(D272),ISNUMBER(F272)),1,NA())</f>
        <v>1</v>
      </c>
      <c r="I272">
        <f t="shared" ref="I272:I335" si="80">IF(AND(ISNUMBER(C272),ISNUMBER(E272)),1,NA())</f>
        <v>1</v>
      </c>
      <c r="J272">
        <f t="shared" ref="J272:J335" si="81">IF(AND(ISNUMBER(C272),ISNUMBER(F272)),1,NA())</f>
        <v>1</v>
      </c>
      <c r="K272">
        <f t="shared" ref="K272:K335" si="82">IF(OR(ISNUMBER(E272),ISNUMBER(F272)),1,NA())</f>
        <v>1</v>
      </c>
      <c r="L272" t="str">
        <f>'Lab test'!AC261</f>
        <v>Miscellaneous</v>
      </c>
      <c r="O272" t="e">
        <f t="shared" ref="O272:O335" si="83">IF(EXACT($O$14,L272),E272,NA())</f>
        <v>#N/A</v>
      </c>
      <c r="P272" t="e">
        <f t="shared" ref="P272:P335" si="84">IF(EXACT($P$14,L272),E272,NA())</f>
        <v>#N/A</v>
      </c>
      <c r="Q272" t="e">
        <f t="shared" ref="Q272:Q335" si="85">IF(EXACT($Q$14,L272),E272,NA())</f>
        <v>#N/A</v>
      </c>
      <c r="R272" t="e">
        <f t="shared" ref="R272:R335" si="86">IF(EXACT($R$14,L272),E272,NA())</f>
        <v>#N/A</v>
      </c>
      <c r="S272" t="e">
        <f t="shared" ref="S272:S335" si="87">IF(EXACT($S$14,L272),E272,NA())</f>
        <v>#N/A</v>
      </c>
      <c r="T272" t="e">
        <f t="shared" ref="T272:T335" si="88">IF(EXACT($T$14,L272),E272,NA())</f>
        <v>#N/A</v>
      </c>
      <c r="U272">
        <f t="shared" ref="U272:U335" si="89">IF(EXACT($U$14,L272),E272,NA())</f>
        <v>0.23238866396761132</v>
      </c>
      <c r="W272" t="e">
        <f t="shared" ref="W272:W335" si="90">IF(EXACT($W$14,L272),F272,NA())</f>
        <v>#N/A</v>
      </c>
      <c r="X272" t="e">
        <f t="shared" ref="X272:X335" si="91">IF(EXACT($X$14,L272),F272,NA())</f>
        <v>#N/A</v>
      </c>
      <c r="Y272" t="e">
        <f t="shared" ref="Y272:Y335" si="92">IF(EXACT($Y$14,L272),F272,NA())</f>
        <v>#N/A</v>
      </c>
      <c r="Z272" t="e">
        <f t="shared" ref="Z272:Z335" si="93">IF(EXACT($Z$14,L272),F272,NA())</f>
        <v>#N/A</v>
      </c>
      <c r="AA272" t="e">
        <f t="shared" ref="AA272:AA335" si="94">IF(EXACT($AA$14,L272),F272,NA())</f>
        <v>#N/A</v>
      </c>
      <c r="AB272" t="e">
        <f t="shared" ref="AB272:AB335" si="95">IF(EXACT($AB$14,L272),F272,NA())</f>
        <v>#N/A</v>
      </c>
      <c r="AC272">
        <f t="shared" ref="AC272:AC335" si="96">IF(EXACT($AC$14,L272),F272,NA())</f>
        <v>0.20731493830036216</v>
      </c>
    </row>
    <row r="273" spans="2:29">
      <c r="B273">
        <v>259</v>
      </c>
      <c r="C273">
        <f>'Lab test'!Q262</f>
        <v>826.44628099173553</v>
      </c>
      <c r="D273">
        <f>IF('Lab test'!AQ262&gt;0,'Lab test'!AQ262,NA())</f>
        <v>1.1459357224888604</v>
      </c>
      <c r="E273">
        <f>IF('Lab test'!AU262&gt;0,'Lab test'!AU262,NA())</f>
        <v>0.15355285961871751</v>
      </c>
      <c r="F273">
        <f>IF('Lab test'!AT262&gt;0,'Lab test'!AT262,NA())</f>
        <v>0.20164080598741679</v>
      </c>
      <c r="G273">
        <f t="shared" si="78"/>
        <v>1</v>
      </c>
      <c r="H273">
        <f t="shared" si="79"/>
        <v>1</v>
      </c>
      <c r="I273">
        <f t="shared" si="80"/>
        <v>1</v>
      </c>
      <c r="J273">
        <f t="shared" si="81"/>
        <v>1</v>
      </c>
      <c r="K273">
        <f t="shared" si="82"/>
        <v>1</v>
      </c>
      <c r="L273" t="str">
        <f>'Lab test'!AC262</f>
        <v>Miscellaneous</v>
      </c>
      <c r="O273" t="e">
        <f t="shared" si="83"/>
        <v>#N/A</v>
      </c>
      <c r="P273" t="e">
        <f t="shared" si="84"/>
        <v>#N/A</v>
      </c>
      <c r="Q273" t="e">
        <f t="shared" si="85"/>
        <v>#N/A</v>
      </c>
      <c r="R273" t="e">
        <f t="shared" si="86"/>
        <v>#N/A</v>
      </c>
      <c r="S273" t="e">
        <f t="shared" si="87"/>
        <v>#N/A</v>
      </c>
      <c r="T273" t="e">
        <f t="shared" si="88"/>
        <v>#N/A</v>
      </c>
      <c r="U273">
        <f t="shared" si="89"/>
        <v>0.15355285961871751</v>
      </c>
      <c r="W273" t="e">
        <f t="shared" si="90"/>
        <v>#N/A</v>
      </c>
      <c r="X273" t="e">
        <f t="shared" si="91"/>
        <v>#N/A</v>
      </c>
      <c r="Y273" t="e">
        <f t="shared" si="92"/>
        <v>#N/A</v>
      </c>
      <c r="Z273" t="e">
        <f t="shared" si="93"/>
        <v>#N/A</v>
      </c>
      <c r="AA273" t="e">
        <f t="shared" si="94"/>
        <v>#N/A</v>
      </c>
      <c r="AB273" t="e">
        <f t="shared" si="95"/>
        <v>#N/A</v>
      </c>
      <c r="AC273">
        <f t="shared" si="96"/>
        <v>0.20164080598741679</v>
      </c>
    </row>
    <row r="274" spans="2:29">
      <c r="B274">
        <v>260</v>
      </c>
      <c r="C274">
        <f>'Lab test'!Q263</f>
        <v>847.45762711864404</v>
      </c>
      <c r="D274">
        <f>IF('Lab test'!AQ263&gt;0,'Lab test'!AQ263,NA())</f>
        <v>1.0904258213959641</v>
      </c>
      <c r="E274">
        <f>IF('Lab test'!AU263&gt;0,'Lab test'!AU263,NA())</f>
        <v>0.16800785083415112</v>
      </c>
      <c r="F274">
        <f>IF('Lab test'!AT263&gt;0,'Lab test'!AT263,NA())</f>
        <v>0.199766118155801</v>
      </c>
      <c r="G274">
        <f t="shared" si="78"/>
        <v>1</v>
      </c>
      <c r="H274">
        <f t="shared" si="79"/>
        <v>1</v>
      </c>
      <c r="I274">
        <f t="shared" si="80"/>
        <v>1</v>
      </c>
      <c r="J274">
        <f t="shared" si="81"/>
        <v>1</v>
      </c>
      <c r="K274">
        <f t="shared" si="82"/>
        <v>1</v>
      </c>
      <c r="L274" t="str">
        <f>'Lab test'!AC263</f>
        <v>Miscellaneous</v>
      </c>
      <c r="O274" t="e">
        <f t="shared" si="83"/>
        <v>#N/A</v>
      </c>
      <c r="P274" t="e">
        <f t="shared" si="84"/>
        <v>#N/A</v>
      </c>
      <c r="Q274" t="e">
        <f t="shared" si="85"/>
        <v>#N/A</v>
      </c>
      <c r="R274" t="e">
        <f t="shared" si="86"/>
        <v>#N/A</v>
      </c>
      <c r="S274" t="e">
        <f t="shared" si="87"/>
        <v>#N/A</v>
      </c>
      <c r="T274" t="e">
        <f t="shared" si="88"/>
        <v>#N/A</v>
      </c>
      <c r="U274">
        <f t="shared" si="89"/>
        <v>0.16800785083415112</v>
      </c>
      <c r="W274" t="e">
        <f t="shared" si="90"/>
        <v>#N/A</v>
      </c>
      <c r="X274" t="e">
        <f t="shared" si="91"/>
        <v>#N/A</v>
      </c>
      <c r="Y274" t="e">
        <f t="shared" si="92"/>
        <v>#N/A</v>
      </c>
      <c r="Z274" t="e">
        <f t="shared" si="93"/>
        <v>#N/A</v>
      </c>
      <c r="AA274" t="e">
        <f t="shared" si="94"/>
        <v>#N/A</v>
      </c>
      <c r="AB274" t="e">
        <f t="shared" si="95"/>
        <v>#N/A</v>
      </c>
      <c r="AC274">
        <f t="shared" si="96"/>
        <v>0.199766118155801</v>
      </c>
    </row>
    <row r="275" spans="2:29">
      <c r="B275">
        <v>261</v>
      </c>
      <c r="C275">
        <f>'Lab test'!Q264</f>
        <v>970.87378640776694</v>
      </c>
      <c r="D275">
        <f>IF('Lab test'!AQ264&gt;0,'Lab test'!AQ264,NA())</f>
        <v>1.3013240428093602</v>
      </c>
      <c r="E275">
        <f>IF('Lab test'!AU264&gt;0,'Lab test'!AU264,NA())</f>
        <v>0.13135459425323651</v>
      </c>
      <c r="F275">
        <f>IF('Lab test'!AT264&gt;0,'Lab test'!AT264,NA())</f>
        <v>0.22244168423990465</v>
      </c>
      <c r="G275">
        <f t="shared" si="78"/>
        <v>1</v>
      </c>
      <c r="H275">
        <f t="shared" si="79"/>
        <v>1</v>
      </c>
      <c r="I275">
        <f t="shared" si="80"/>
        <v>1</v>
      </c>
      <c r="J275">
        <f t="shared" si="81"/>
        <v>1</v>
      </c>
      <c r="K275">
        <f t="shared" si="82"/>
        <v>1</v>
      </c>
      <c r="L275" t="str">
        <f>'Lab test'!AC264</f>
        <v>Miscellaneous</v>
      </c>
      <c r="O275" t="e">
        <f t="shared" si="83"/>
        <v>#N/A</v>
      </c>
      <c r="P275" t="e">
        <f t="shared" si="84"/>
        <v>#N/A</v>
      </c>
      <c r="Q275" t="e">
        <f t="shared" si="85"/>
        <v>#N/A</v>
      </c>
      <c r="R275" t="e">
        <f t="shared" si="86"/>
        <v>#N/A</v>
      </c>
      <c r="S275" t="e">
        <f t="shared" si="87"/>
        <v>#N/A</v>
      </c>
      <c r="T275" t="e">
        <f t="shared" si="88"/>
        <v>#N/A</v>
      </c>
      <c r="U275">
        <f t="shared" si="89"/>
        <v>0.13135459425323651</v>
      </c>
      <c r="W275" t="e">
        <f t="shared" si="90"/>
        <v>#N/A</v>
      </c>
      <c r="X275" t="e">
        <f t="shared" si="91"/>
        <v>#N/A</v>
      </c>
      <c r="Y275" t="e">
        <f t="shared" si="92"/>
        <v>#N/A</v>
      </c>
      <c r="Z275" t="e">
        <f t="shared" si="93"/>
        <v>#N/A</v>
      </c>
      <c r="AA275" t="e">
        <f t="shared" si="94"/>
        <v>#N/A</v>
      </c>
      <c r="AB275" t="e">
        <f t="shared" si="95"/>
        <v>#N/A</v>
      </c>
      <c r="AC275">
        <f t="shared" si="96"/>
        <v>0.22244168423990465</v>
      </c>
    </row>
    <row r="276" spans="2:29">
      <c r="B276">
        <v>262</v>
      </c>
      <c r="C276">
        <f>'Lab test'!Q265</f>
        <v>990.09900990099004</v>
      </c>
      <c r="D276">
        <f>IF('Lab test'!AQ265&gt;0,'Lab test'!AQ265,NA())</f>
        <v>1.5794827845583594</v>
      </c>
      <c r="E276">
        <f>IF('Lab test'!AU265&gt;0,'Lab test'!AU265,NA())</f>
        <v>8.4590163934426227E-2</v>
      </c>
      <c r="F276">
        <f>IF('Lab test'!AT265&gt;0,'Lab test'!AT265,NA())</f>
        <v>0.21103265364353677</v>
      </c>
      <c r="G276">
        <f t="shared" si="78"/>
        <v>1</v>
      </c>
      <c r="H276">
        <f t="shared" si="79"/>
        <v>1</v>
      </c>
      <c r="I276">
        <f t="shared" si="80"/>
        <v>1</v>
      </c>
      <c r="J276">
        <f t="shared" si="81"/>
        <v>1</v>
      </c>
      <c r="K276">
        <f t="shared" si="82"/>
        <v>1</v>
      </c>
      <c r="L276" t="str">
        <f>'Lab test'!AC265</f>
        <v>Miscellaneous</v>
      </c>
      <c r="O276" t="e">
        <f t="shared" si="83"/>
        <v>#N/A</v>
      </c>
      <c r="P276" t="e">
        <f t="shared" si="84"/>
        <v>#N/A</v>
      </c>
      <c r="Q276" t="e">
        <f t="shared" si="85"/>
        <v>#N/A</v>
      </c>
      <c r="R276" t="e">
        <f t="shared" si="86"/>
        <v>#N/A</v>
      </c>
      <c r="S276" t="e">
        <f t="shared" si="87"/>
        <v>#N/A</v>
      </c>
      <c r="T276" t="e">
        <f t="shared" si="88"/>
        <v>#N/A</v>
      </c>
      <c r="U276">
        <f t="shared" si="89"/>
        <v>8.4590163934426227E-2</v>
      </c>
      <c r="W276" t="e">
        <f t="shared" si="90"/>
        <v>#N/A</v>
      </c>
      <c r="X276" t="e">
        <f t="shared" si="91"/>
        <v>#N/A</v>
      </c>
      <c r="Y276" t="e">
        <f t="shared" si="92"/>
        <v>#N/A</v>
      </c>
      <c r="Z276" t="e">
        <f t="shared" si="93"/>
        <v>#N/A</v>
      </c>
      <c r="AA276" t="e">
        <f t="shared" si="94"/>
        <v>#N/A</v>
      </c>
      <c r="AB276" t="e">
        <f t="shared" si="95"/>
        <v>#N/A</v>
      </c>
      <c r="AC276">
        <f t="shared" si="96"/>
        <v>0.21103265364353677</v>
      </c>
    </row>
    <row r="277" spans="2:29">
      <c r="B277">
        <v>263</v>
      </c>
      <c r="C277">
        <f>'Lab test'!Q266</f>
        <v>303</v>
      </c>
      <c r="D277">
        <f>IF('Lab test'!AQ266&gt;0,'Lab test'!AQ266,NA())</f>
        <v>0.99045856852064684</v>
      </c>
      <c r="E277">
        <f>IF('Lab test'!AU266&gt;0,'Lab test'!AU266,NA())</f>
        <v>0.71045576407506705</v>
      </c>
      <c r="F277">
        <f>IF('Lab test'!AT266&gt;0,'Lab test'!AT266,NA())</f>
        <v>0.69696291321268566</v>
      </c>
      <c r="G277">
        <f t="shared" si="78"/>
        <v>1</v>
      </c>
      <c r="H277">
        <f t="shared" si="79"/>
        <v>1</v>
      </c>
      <c r="I277">
        <f t="shared" si="80"/>
        <v>1</v>
      </c>
      <c r="J277">
        <f t="shared" si="81"/>
        <v>1</v>
      </c>
      <c r="K277">
        <f t="shared" si="82"/>
        <v>1</v>
      </c>
      <c r="L277" t="str">
        <f>'Lab test'!AC266</f>
        <v>LTWa</v>
      </c>
      <c r="O277">
        <f t="shared" si="83"/>
        <v>0.71045576407506705</v>
      </c>
      <c r="P277" t="e">
        <f t="shared" si="84"/>
        <v>#N/A</v>
      </c>
      <c r="Q277" t="e">
        <f t="shared" si="85"/>
        <v>#N/A</v>
      </c>
      <c r="R277" t="e">
        <f t="shared" si="86"/>
        <v>#N/A</v>
      </c>
      <c r="S277" t="e">
        <f t="shared" si="87"/>
        <v>#N/A</v>
      </c>
      <c r="T277" t="e">
        <f t="shared" si="88"/>
        <v>#N/A</v>
      </c>
      <c r="U277" t="e">
        <f t="shared" si="89"/>
        <v>#N/A</v>
      </c>
      <c r="W277">
        <f t="shared" si="90"/>
        <v>0.69696291321268566</v>
      </c>
      <c r="X277" t="e">
        <f t="shared" si="91"/>
        <v>#N/A</v>
      </c>
      <c r="Y277" t="e">
        <f t="shared" si="92"/>
        <v>#N/A</v>
      </c>
      <c r="Z277" t="e">
        <f t="shared" si="93"/>
        <v>#N/A</v>
      </c>
      <c r="AA277" t="e">
        <f t="shared" si="94"/>
        <v>#N/A</v>
      </c>
      <c r="AB277" t="e">
        <f t="shared" si="95"/>
        <v>#N/A</v>
      </c>
      <c r="AC277" t="e">
        <f t="shared" si="96"/>
        <v>#N/A</v>
      </c>
    </row>
    <row r="278" spans="2:29">
      <c r="B278">
        <v>264</v>
      </c>
      <c r="C278">
        <f>'Lab test'!Q267</f>
        <v>313</v>
      </c>
      <c r="D278">
        <f>IF('Lab test'!AQ267&gt;0,'Lab test'!AQ267,NA())</f>
        <v>1.0127778652551334</v>
      </c>
      <c r="E278">
        <f>IF('Lab test'!AU267&gt;0,'Lab test'!AU267,NA())</f>
        <v>0.54358974358974355</v>
      </c>
      <c r="F278">
        <f>IF('Lab test'!AT267&gt;0,'Lab test'!AT267,NA())</f>
        <v>0.55757033057014849</v>
      </c>
      <c r="G278">
        <f t="shared" si="78"/>
        <v>1</v>
      </c>
      <c r="H278">
        <f t="shared" si="79"/>
        <v>1</v>
      </c>
      <c r="I278">
        <f t="shared" si="80"/>
        <v>1</v>
      </c>
      <c r="J278">
        <f t="shared" si="81"/>
        <v>1</v>
      </c>
      <c r="K278">
        <f t="shared" si="82"/>
        <v>1</v>
      </c>
      <c r="L278" t="str">
        <f>'Lab test'!AC267</f>
        <v>LTWa</v>
      </c>
      <c r="O278">
        <f t="shared" si="83"/>
        <v>0.54358974358974355</v>
      </c>
      <c r="P278" t="e">
        <f t="shared" si="84"/>
        <v>#N/A</v>
      </c>
      <c r="Q278" t="e">
        <f t="shared" si="85"/>
        <v>#N/A</v>
      </c>
      <c r="R278" t="e">
        <f t="shared" si="86"/>
        <v>#N/A</v>
      </c>
      <c r="S278" t="e">
        <f t="shared" si="87"/>
        <v>#N/A</v>
      </c>
      <c r="T278" t="e">
        <f t="shared" si="88"/>
        <v>#N/A</v>
      </c>
      <c r="U278" t="e">
        <f t="shared" si="89"/>
        <v>#N/A</v>
      </c>
      <c r="W278">
        <f t="shared" si="90"/>
        <v>0.55757033057014849</v>
      </c>
      <c r="X278" t="e">
        <f t="shared" si="91"/>
        <v>#N/A</v>
      </c>
      <c r="Y278" t="e">
        <f t="shared" si="92"/>
        <v>#N/A</v>
      </c>
      <c r="Z278" t="e">
        <f t="shared" si="93"/>
        <v>#N/A</v>
      </c>
      <c r="AA278" t="e">
        <f t="shared" si="94"/>
        <v>#N/A</v>
      </c>
      <c r="AB278" t="e">
        <f t="shared" si="95"/>
        <v>#N/A</v>
      </c>
      <c r="AC278" t="e">
        <f t="shared" si="96"/>
        <v>#N/A</v>
      </c>
    </row>
    <row r="279" spans="2:29">
      <c r="B279">
        <v>265</v>
      </c>
      <c r="C279">
        <f>'Lab test'!Q268</f>
        <v>313</v>
      </c>
      <c r="D279">
        <f>IF('Lab test'!AQ268&gt;0,'Lab test'!AQ268,NA())</f>
        <v>1.0409515245154519</v>
      </c>
      <c r="E279">
        <f>IF('Lab test'!AU268&gt;0,'Lab test'!AU268,NA())</f>
        <v>0.55024271844660189</v>
      </c>
      <c r="F279">
        <f>IF('Lab test'!AT268&gt;0,'Lab test'!AT268,NA())</f>
        <v>0.59623204688798426</v>
      </c>
      <c r="G279">
        <f t="shared" si="78"/>
        <v>1</v>
      </c>
      <c r="H279">
        <f t="shared" si="79"/>
        <v>1</v>
      </c>
      <c r="I279">
        <f t="shared" si="80"/>
        <v>1</v>
      </c>
      <c r="J279">
        <f t="shared" si="81"/>
        <v>1</v>
      </c>
      <c r="K279">
        <f t="shared" si="82"/>
        <v>1</v>
      </c>
      <c r="L279" t="str">
        <f>'Lab test'!AC268</f>
        <v>LTWa</v>
      </c>
      <c r="O279">
        <f t="shared" si="83"/>
        <v>0.55024271844660189</v>
      </c>
      <c r="P279" t="e">
        <f t="shared" si="84"/>
        <v>#N/A</v>
      </c>
      <c r="Q279" t="e">
        <f t="shared" si="85"/>
        <v>#N/A</v>
      </c>
      <c r="R279" t="e">
        <f t="shared" si="86"/>
        <v>#N/A</v>
      </c>
      <c r="S279" t="e">
        <f t="shared" si="87"/>
        <v>#N/A</v>
      </c>
      <c r="T279" t="e">
        <f t="shared" si="88"/>
        <v>#N/A</v>
      </c>
      <c r="U279" t="e">
        <f t="shared" si="89"/>
        <v>#N/A</v>
      </c>
      <c r="W279">
        <f t="shared" si="90"/>
        <v>0.59623204688798426</v>
      </c>
      <c r="X279" t="e">
        <f t="shared" si="91"/>
        <v>#N/A</v>
      </c>
      <c r="Y279" t="e">
        <f t="shared" si="92"/>
        <v>#N/A</v>
      </c>
      <c r="Z279" t="e">
        <f t="shared" si="93"/>
        <v>#N/A</v>
      </c>
      <c r="AA279" t="e">
        <f t="shared" si="94"/>
        <v>#N/A</v>
      </c>
      <c r="AB279" t="e">
        <f t="shared" si="95"/>
        <v>#N/A</v>
      </c>
      <c r="AC279" t="e">
        <f t="shared" si="96"/>
        <v>#N/A</v>
      </c>
    </row>
    <row r="280" spans="2:29">
      <c r="B280">
        <v>266</v>
      </c>
      <c r="C280">
        <f>'Lab test'!Q269</f>
        <v>313</v>
      </c>
      <c r="D280">
        <f>IF('Lab test'!AQ269&gt;0,'Lab test'!AQ269,NA())</f>
        <v>1.0409515245154519</v>
      </c>
      <c r="E280">
        <f>IF('Lab test'!AU269&gt;0,'Lab test'!AU269,NA())</f>
        <v>0.56966019417475722</v>
      </c>
      <c r="F280">
        <f>IF('Lab test'!AT269&gt;0,'Lab test'!AT269,NA())</f>
        <v>0.61727243672082011</v>
      </c>
      <c r="G280">
        <f t="shared" si="78"/>
        <v>1</v>
      </c>
      <c r="H280">
        <f t="shared" si="79"/>
        <v>1</v>
      </c>
      <c r="I280">
        <f t="shared" si="80"/>
        <v>1</v>
      </c>
      <c r="J280">
        <f t="shared" si="81"/>
        <v>1</v>
      </c>
      <c r="K280">
        <f t="shared" si="82"/>
        <v>1</v>
      </c>
      <c r="L280" t="str">
        <f>'Lab test'!AC269</f>
        <v>LTWa</v>
      </c>
      <c r="O280">
        <f t="shared" si="83"/>
        <v>0.56966019417475722</v>
      </c>
      <c r="P280" t="e">
        <f t="shared" si="84"/>
        <v>#N/A</v>
      </c>
      <c r="Q280" t="e">
        <f t="shared" si="85"/>
        <v>#N/A</v>
      </c>
      <c r="R280" t="e">
        <f t="shared" si="86"/>
        <v>#N/A</v>
      </c>
      <c r="S280" t="e">
        <f t="shared" si="87"/>
        <v>#N/A</v>
      </c>
      <c r="T280" t="e">
        <f t="shared" si="88"/>
        <v>#N/A</v>
      </c>
      <c r="U280" t="e">
        <f t="shared" si="89"/>
        <v>#N/A</v>
      </c>
      <c r="W280">
        <f t="shared" si="90"/>
        <v>0.61727243672082011</v>
      </c>
      <c r="X280" t="e">
        <f t="shared" si="91"/>
        <v>#N/A</v>
      </c>
      <c r="Y280" t="e">
        <f t="shared" si="92"/>
        <v>#N/A</v>
      </c>
      <c r="Z280" t="e">
        <f t="shared" si="93"/>
        <v>#N/A</v>
      </c>
      <c r="AA280" t="e">
        <f t="shared" si="94"/>
        <v>#N/A</v>
      </c>
      <c r="AB280" t="e">
        <f t="shared" si="95"/>
        <v>#N/A</v>
      </c>
      <c r="AC280" t="e">
        <f t="shared" si="96"/>
        <v>#N/A</v>
      </c>
    </row>
    <row r="281" spans="2:29">
      <c r="B281">
        <v>267</v>
      </c>
      <c r="C281">
        <f>'Lab test'!Q270</f>
        <v>107.52688172043011</v>
      </c>
      <c r="D281">
        <f>IF('Lab test'!AQ270&gt;0,'Lab test'!AQ270,NA())</f>
        <v>0.70266527472493745</v>
      </c>
      <c r="E281">
        <f>IF('Lab test'!AU270&gt;0,'Lab test'!AU270,NA())</f>
        <v>0.97750000000000004</v>
      </c>
      <c r="F281">
        <f>IF('Lab test'!AT270&gt;0,'Lab test'!AT270,NA())</f>
        <v>0.48262937231742575</v>
      </c>
      <c r="G281">
        <f t="shared" si="78"/>
        <v>1</v>
      </c>
      <c r="H281">
        <f t="shared" si="79"/>
        <v>1</v>
      </c>
      <c r="I281">
        <f t="shared" si="80"/>
        <v>1</v>
      </c>
      <c r="J281">
        <f t="shared" si="81"/>
        <v>1</v>
      </c>
      <c r="K281">
        <f t="shared" si="82"/>
        <v>1</v>
      </c>
      <c r="L281" t="str">
        <f>'Lab test'!AC270</f>
        <v>LTWa</v>
      </c>
      <c r="O281">
        <f t="shared" si="83"/>
        <v>0.97750000000000004</v>
      </c>
      <c r="P281" t="e">
        <f t="shared" si="84"/>
        <v>#N/A</v>
      </c>
      <c r="Q281" t="e">
        <f t="shared" si="85"/>
        <v>#N/A</v>
      </c>
      <c r="R281" t="e">
        <f t="shared" si="86"/>
        <v>#N/A</v>
      </c>
      <c r="S281" t="e">
        <f t="shared" si="87"/>
        <v>#N/A</v>
      </c>
      <c r="T281" t="e">
        <f t="shared" si="88"/>
        <v>#N/A</v>
      </c>
      <c r="U281" t="e">
        <f t="shared" si="89"/>
        <v>#N/A</v>
      </c>
      <c r="W281">
        <f t="shared" si="90"/>
        <v>0.48262937231742575</v>
      </c>
      <c r="X281" t="e">
        <f t="shared" si="91"/>
        <v>#N/A</v>
      </c>
      <c r="Y281" t="e">
        <f t="shared" si="92"/>
        <v>#N/A</v>
      </c>
      <c r="Z281" t="e">
        <f t="shared" si="93"/>
        <v>#N/A</v>
      </c>
      <c r="AA281" t="e">
        <f t="shared" si="94"/>
        <v>#N/A</v>
      </c>
      <c r="AB281" t="e">
        <f t="shared" si="95"/>
        <v>#N/A</v>
      </c>
      <c r="AC281" t="e">
        <f t="shared" si="96"/>
        <v>#N/A</v>
      </c>
    </row>
    <row r="282" spans="2:29">
      <c r="B282">
        <v>268</v>
      </c>
      <c r="C282">
        <f>'Lab test'!Q271</f>
        <v>109.89010989010988</v>
      </c>
      <c r="D282">
        <f>IF('Lab test'!AQ271&gt;0,'Lab test'!AQ271,NA())</f>
        <v>0.71034490471292777</v>
      </c>
      <c r="E282">
        <f>IF('Lab test'!AU271&gt;0,'Lab test'!AU271,NA())</f>
        <v>1.0875000000000001</v>
      </c>
      <c r="F282">
        <f>IF('Lab test'!AT271&gt;0,'Lab test'!AT271,NA())</f>
        <v>0.54874149847113507</v>
      </c>
      <c r="G282">
        <f t="shared" si="78"/>
        <v>1</v>
      </c>
      <c r="H282">
        <f t="shared" si="79"/>
        <v>1</v>
      </c>
      <c r="I282">
        <f t="shared" si="80"/>
        <v>1</v>
      </c>
      <c r="J282">
        <f t="shared" si="81"/>
        <v>1</v>
      </c>
      <c r="K282">
        <f t="shared" si="82"/>
        <v>1</v>
      </c>
      <c r="L282" t="str">
        <f>'Lab test'!AC271</f>
        <v>LTWa</v>
      </c>
      <c r="O282">
        <f t="shared" si="83"/>
        <v>1.0875000000000001</v>
      </c>
      <c r="P282" t="e">
        <f t="shared" si="84"/>
        <v>#N/A</v>
      </c>
      <c r="Q282" t="e">
        <f t="shared" si="85"/>
        <v>#N/A</v>
      </c>
      <c r="R282" t="e">
        <f t="shared" si="86"/>
        <v>#N/A</v>
      </c>
      <c r="S282" t="e">
        <f t="shared" si="87"/>
        <v>#N/A</v>
      </c>
      <c r="T282" t="e">
        <f t="shared" si="88"/>
        <v>#N/A</v>
      </c>
      <c r="U282" t="e">
        <f t="shared" si="89"/>
        <v>#N/A</v>
      </c>
      <c r="W282">
        <f t="shared" si="90"/>
        <v>0.54874149847113507</v>
      </c>
      <c r="X282" t="e">
        <f t="shared" si="91"/>
        <v>#N/A</v>
      </c>
      <c r="Y282" t="e">
        <f t="shared" si="92"/>
        <v>#N/A</v>
      </c>
      <c r="Z282" t="e">
        <f t="shared" si="93"/>
        <v>#N/A</v>
      </c>
      <c r="AA282" t="e">
        <f t="shared" si="94"/>
        <v>#N/A</v>
      </c>
      <c r="AB282" t="e">
        <f t="shared" si="95"/>
        <v>#N/A</v>
      </c>
      <c r="AC282" t="e">
        <f t="shared" si="96"/>
        <v>#N/A</v>
      </c>
    </row>
    <row r="283" spans="2:29">
      <c r="B283">
        <v>269</v>
      </c>
      <c r="C283">
        <f>'Lab test'!Q272</f>
        <v>108.69565217391305</v>
      </c>
      <c r="D283">
        <f>IF('Lab test'!AQ272&gt;0,'Lab test'!AQ272,NA())</f>
        <v>0.70647378649404347</v>
      </c>
      <c r="E283">
        <f>IF('Lab test'!AU272&gt;0,'Lab test'!AU272,NA())</f>
        <v>1.0875000000000001</v>
      </c>
      <c r="F283">
        <f>IF('Lab test'!AT272&gt;0,'Lab test'!AT272,NA())</f>
        <v>0.54277691696601416</v>
      </c>
      <c r="G283">
        <f t="shared" si="78"/>
        <v>1</v>
      </c>
      <c r="H283">
        <f t="shared" si="79"/>
        <v>1</v>
      </c>
      <c r="I283">
        <f t="shared" si="80"/>
        <v>1</v>
      </c>
      <c r="J283">
        <f t="shared" si="81"/>
        <v>1</v>
      </c>
      <c r="K283">
        <f t="shared" si="82"/>
        <v>1</v>
      </c>
      <c r="L283" t="str">
        <f>'Lab test'!AC272</f>
        <v>LTWa</v>
      </c>
      <c r="O283">
        <f t="shared" si="83"/>
        <v>1.0875000000000001</v>
      </c>
      <c r="P283" t="e">
        <f t="shared" si="84"/>
        <v>#N/A</v>
      </c>
      <c r="Q283" t="e">
        <f t="shared" si="85"/>
        <v>#N/A</v>
      </c>
      <c r="R283" t="e">
        <f t="shared" si="86"/>
        <v>#N/A</v>
      </c>
      <c r="S283" t="e">
        <f t="shared" si="87"/>
        <v>#N/A</v>
      </c>
      <c r="T283" t="e">
        <f t="shared" si="88"/>
        <v>#N/A</v>
      </c>
      <c r="U283" t="e">
        <f t="shared" si="89"/>
        <v>#N/A</v>
      </c>
      <c r="W283">
        <f t="shared" si="90"/>
        <v>0.54277691696601416</v>
      </c>
      <c r="X283" t="e">
        <f t="shared" si="91"/>
        <v>#N/A</v>
      </c>
      <c r="Y283" t="e">
        <f t="shared" si="92"/>
        <v>#N/A</v>
      </c>
      <c r="Z283" t="e">
        <f t="shared" si="93"/>
        <v>#N/A</v>
      </c>
      <c r="AA283" t="e">
        <f t="shared" si="94"/>
        <v>#N/A</v>
      </c>
      <c r="AB283" t="e">
        <f t="shared" si="95"/>
        <v>#N/A</v>
      </c>
      <c r="AC283" t="e">
        <f t="shared" si="96"/>
        <v>#N/A</v>
      </c>
    </row>
    <row r="284" spans="2:29">
      <c r="B284">
        <v>270</v>
      </c>
      <c r="C284">
        <f>'Lab test'!Q273</f>
        <v>160.77170418006432</v>
      </c>
      <c r="D284">
        <f>IF('Lab test'!AQ273&gt;0,'Lab test'!AQ273,NA())</f>
        <v>0.85920099924923787</v>
      </c>
      <c r="E284">
        <f>IF('Lab test'!AU273&gt;0,'Lab test'!AU273,NA())</f>
        <v>0.75625000000000009</v>
      </c>
      <c r="F284">
        <f>IF('Lab test'!AT273&gt;0,'Lab test'!AT273,NA())</f>
        <v>0.55828368256510974</v>
      </c>
      <c r="G284">
        <f t="shared" si="78"/>
        <v>1</v>
      </c>
      <c r="H284">
        <f t="shared" si="79"/>
        <v>1</v>
      </c>
      <c r="I284">
        <f t="shared" si="80"/>
        <v>1</v>
      </c>
      <c r="J284">
        <f t="shared" si="81"/>
        <v>1</v>
      </c>
      <c r="K284">
        <f t="shared" si="82"/>
        <v>1</v>
      </c>
      <c r="L284" t="str">
        <f>'Lab test'!AC273</f>
        <v>LTWa</v>
      </c>
      <c r="O284">
        <f t="shared" si="83"/>
        <v>0.75625000000000009</v>
      </c>
      <c r="P284" t="e">
        <f t="shared" si="84"/>
        <v>#N/A</v>
      </c>
      <c r="Q284" t="e">
        <f t="shared" si="85"/>
        <v>#N/A</v>
      </c>
      <c r="R284" t="e">
        <f t="shared" si="86"/>
        <v>#N/A</v>
      </c>
      <c r="S284" t="e">
        <f t="shared" si="87"/>
        <v>#N/A</v>
      </c>
      <c r="T284" t="e">
        <f t="shared" si="88"/>
        <v>#N/A</v>
      </c>
      <c r="U284" t="e">
        <f t="shared" si="89"/>
        <v>#N/A</v>
      </c>
      <c r="W284">
        <f t="shared" si="90"/>
        <v>0.55828368256510974</v>
      </c>
      <c r="X284" t="e">
        <f t="shared" si="91"/>
        <v>#N/A</v>
      </c>
      <c r="Y284" t="e">
        <f t="shared" si="92"/>
        <v>#N/A</v>
      </c>
      <c r="Z284" t="e">
        <f t="shared" si="93"/>
        <v>#N/A</v>
      </c>
      <c r="AA284" t="e">
        <f t="shared" si="94"/>
        <v>#N/A</v>
      </c>
      <c r="AB284" t="e">
        <f t="shared" si="95"/>
        <v>#N/A</v>
      </c>
      <c r="AC284" t="e">
        <f t="shared" si="96"/>
        <v>#N/A</v>
      </c>
    </row>
    <row r="285" spans="2:29">
      <c r="B285">
        <v>271</v>
      </c>
      <c r="C285">
        <f>'Lab test'!Q274</f>
        <v>165.016501650165</v>
      </c>
      <c r="D285">
        <f>IF('Lab test'!AQ274&gt;0,'Lab test'!AQ274,NA())</f>
        <v>0.87046969048388478</v>
      </c>
      <c r="E285">
        <f>IF('Lab test'!AU274&gt;0,'Lab test'!AU274,NA())</f>
        <v>0.70250000000000012</v>
      </c>
      <c r="F285">
        <f>IF('Lab test'!AT274&gt;0,'Lab test'!AT274,NA())</f>
        <v>0.53229653114090503</v>
      </c>
      <c r="G285">
        <f t="shared" si="78"/>
        <v>1</v>
      </c>
      <c r="H285">
        <f t="shared" si="79"/>
        <v>1</v>
      </c>
      <c r="I285">
        <f t="shared" si="80"/>
        <v>1</v>
      </c>
      <c r="J285">
        <f t="shared" si="81"/>
        <v>1</v>
      </c>
      <c r="K285">
        <f t="shared" si="82"/>
        <v>1</v>
      </c>
      <c r="L285" t="str">
        <f>'Lab test'!AC274</f>
        <v>LTWa</v>
      </c>
      <c r="O285">
        <f t="shared" si="83"/>
        <v>0.70250000000000012</v>
      </c>
      <c r="P285" t="e">
        <f t="shared" si="84"/>
        <v>#N/A</v>
      </c>
      <c r="Q285" t="e">
        <f t="shared" si="85"/>
        <v>#N/A</v>
      </c>
      <c r="R285" t="e">
        <f t="shared" si="86"/>
        <v>#N/A</v>
      </c>
      <c r="S285" t="e">
        <f t="shared" si="87"/>
        <v>#N/A</v>
      </c>
      <c r="T285" t="e">
        <f t="shared" si="88"/>
        <v>#N/A</v>
      </c>
      <c r="U285" t="e">
        <f t="shared" si="89"/>
        <v>#N/A</v>
      </c>
      <c r="W285">
        <f t="shared" si="90"/>
        <v>0.53229653114090503</v>
      </c>
      <c r="X285" t="e">
        <f t="shared" si="91"/>
        <v>#N/A</v>
      </c>
      <c r="Y285" t="e">
        <f t="shared" si="92"/>
        <v>#N/A</v>
      </c>
      <c r="Z285" t="e">
        <f t="shared" si="93"/>
        <v>#N/A</v>
      </c>
      <c r="AA285" t="e">
        <f t="shared" si="94"/>
        <v>#N/A</v>
      </c>
      <c r="AB285" t="e">
        <f t="shared" si="95"/>
        <v>#N/A</v>
      </c>
      <c r="AC285" t="e">
        <f t="shared" si="96"/>
        <v>#N/A</v>
      </c>
    </row>
    <row r="286" spans="2:29">
      <c r="B286">
        <v>272</v>
      </c>
      <c r="C286">
        <f>'Lab test'!Q275</f>
        <v>260.41666666666669</v>
      </c>
      <c r="D286">
        <f>IF('Lab test'!AQ275&gt;0,'Lab test'!AQ275,NA())</f>
        <v>1.0935140151648302</v>
      </c>
      <c r="E286">
        <f>IF('Lab test'!AU275&gt;0,'Lab test'!AU275,NA())</f>
        <v>0.42125000000000007</v>
      </c>
      <c r="F286">
        <f>IF('Lab test'!AT275&gt;0,'Lab test'!AT275,NA())</f>
        <v>0.50371933469870411</v>
      </c>
      <c r="G286">
        <f t="shared" si="78"/>
        <v>1</v>
      </c>
      <c r="H286">
        <f t="shared" si="79"/>
        <v>1</v>
      </c>
      <c r="I286">
        <f t="shared" si="80"/>
        <v>1</v>
      </c>
      <c r="J286">
        <f t="shared" si="81"/>
        <v>1</v>
      </c>
      <c r="K286">
        <f t="shared" si="82"/>
        <v>1</v>
      </c>
      <c r="L286" t="str">
        <f>'Lab test'!AC275</f>
        <v>LTWa</v>
      </c>
      <c r="O286">
        <f t="shared" si="83"/>
        <v>0.42125000000000007</v>
      </c>
      <c r="P286" t="e">
        <f t="shared" si="84"/>
        <v>#N/A</v>
      </c>
      <c r="Q286" t="e">
        <f t="shared" si="85"/>
        <v>#N/A</v>
      </c>
      <c r="R286" t="e">
        <f t="shared" si="86"/>
        <v>#N/A</v>
      </c>
      <c r="S286" t="e">
        <f t="shared" si="87"/>
        <v>#N/A</v>
      </c>
      <c r="T286" t="e">
        <f t="shared" si="88"/>
        <v>#N/A</v>
      </c>
      <c r="U286" t="e">
        <f t="shared" si="89"/>
        <v>#N/A</v>
      </c>
      <c r="W286">
        <f t="shared" si="90"/>
        <v>0.50371933469870411</v>
      </c>
      <c r="X286" t="e">
        <f t="shared" si="91"/>
        <v>#N/A</v>
      </c>
      <c r="Y286" t="e">
        <f t="shared" si="92"/>
        <v>#N/A</v>
      </c>
      <c r="Z286" t="e">
        <f t="shared" si="93"/>
        <v>#N/A</v>
      </c>
      <c r="AA286" t="e">
        <f t="shared" si="94"/>
        <v>#N/A</v>
      </c>
      <c r="AB286" t="e">
        <f t="shared" si="95"/>
        <v>#N/A</v>
      </c>
      <c r="AC286" t="e">
        <f t="shared" si="96"/>
        <v>#N/A</v>
      </c>
    </row>
    <row r="287" spans="2:29">
      <c r="B287">
        <v>273</v>
      </c>
      <c r="C287">
        <f>'Lab test'!Q276</f>
        <v>270.27027027027026</v>
      </c>
      <c r="D287">
        <f>IF('Lab test'!AQ276&gt;0,'Lab test'!AQ276,NA())</f>
        <v>1.1140100369810504</v>
      </c>
      <c r="E287">
        <f>IF('Lab test'!AU276&gt;0,'Lab test'!AU276,NA())</f>
        <v>0.4875000000000001</v>
      </c>
      <c r="F287">
        <f>IF('Lab test'!AT276&gt;0,'Lab test'!AT276,NA())</f>
        <v>0.60499645171607908</v>
      </c>
      <c r="G287">
        <f t="shared" si="78"/>
        <v>1</v>
      </c>
      <c r="H287">
        <f t="shared" si="79"/>
        <v>1</v>
      </c>
      <c r="I287">
        <f t="shared" si="80"/>
        <v>1</v>
      </c>
      <c r="J287">
        <f t="shared" si="81"/>
        <v>1</v>
      </c>
      <c r="K287">
        <f t="shared" si="82"/>
        <v>1</v>
      </c>
      <c r="L287" t="str">
        <f>'Lab test'!AC276</f>
        <v>LTWa</v>
      </c>
      <c r="O287">
        <f t="shared" si="83"/>
        <v>0.4875000000000001</v>
      </c>
      <c r="P287" t="e">
        <f t="shared" si="84"/>
        <v>#N/A</v>
      </c>
      <c r="Q287" t="e">
        <f t="shared" si="85"/>
        <v>#N/A</v>
      </c>
      <c r="R287" t="e">
        <f t="shared" si="86"/>
        <v>#N/A</v>
      </c>
      <c r="S287" t="e">
        <f t="shared" si="87"/>
        <v>#N/A</v>
      </c>
      <c r="T287" t="e">
        <f t="shared" si="88"/>
        <v>#N/A</v>
      </c>
      <c r="U287" t="e">
        <f t="shared" si="89"/>
        <v>#N/A</v>
      </c>
      <c r="W287">
        <f t="shared" si="90"/>
        <v>0.60499645171607908</v>
      </c>
      <c r="X287" t="e">
        <f t="shared" si="91"/>
        <v>#N/A</v>
      </c>
      <c r="Y287" t="e">
        <f t="shared" si="92"/>
        <v>#N/A</v>
      </c>
      <c r="Z287" t="e">
        <f t="shared" si="93"/>
        <v>#N/A</v>
      </c>
      <c r="AA287" t="e">
        <f t="shared" si="94"/>
        <v>#N/A</v>
      </c>
      <c r="AB287" t="e">
        <f t="shared" si="95"/>
        <v>#N/A</v>
      </c>
      <c r="AC287" t="e">
        <f t="shared" si="96"/>
        <v>#N/A</v>
      </c>
    </row>
    <row r="288" spans="2:29">
      <c r="B288">
        <v>274</v>
      </c>
      <c r="C288">
        <f>'Lab test'!Q277</f>
        <v>480.76923076923083</v>
      </c>
      <c r="D288">
        <f>IF('Lab test'!AQ277&gt;0,'Lab test'!AQ277,NA())</f>
        <v>1.4857929670636589</v>
      </c>
      <c r="E288">
        <f>IF('Lab test'!AU277&gt;0,'Lab test'!AU277,NA())</f>
        <v>0.24375000000000005</v>
      </c>
      <c r="F288">
        <f>IF('Lab test'!AT277&gt;0,'Lab test'!AT277,NA())</f>
        <v>0.53809780561285891</v>
      </c>
      <c r="G288">
        <f t="shared" si="78"/>
        <v>1</v>
      </c>
      <c r="H288">
        <f t="shared" si="79"/>
        <v>1</v>
      </c>
      <c r="I288">
        <f t="shared" si="80"/>
        <v>1</v>
      </c>
      <c r="J288">
        <f t="shared" si="81"/>
        <v>1</v>
      </c>
      <c r="K288">
        <f t="shared" si="82"/>
        <v>1</v>
      </c>
      <c r="L288" t="str">
        <f>'Lab test'!AC277</f>
        <v>LTWa</v>
      </c>
      <c r="O288">
        <f t="shared" si="83"/>
        <v>0.24375000000000005</v>
      </c>
      <c r="P288" t="e">
        <f t="shared" si="84"/>
        <v>#N/A</v>
      </c>
      <c r="Q288" t="e">
        <f t="shared" si="85"/>
        <v>#N/A</v>
      </c>
      <c r="R288" t="e">
        <f t="shared" si="86"/>
        <v>#N/A</v>
      </c>
      <c r="S288" t="e">
        <f t="shared" si="87"/>
        <v>#N/A</v>
      </c>
      <c r="T288" t="e">
        <f t="shared" si="88"/>
        <v>#N/A</v>
      </c>
      <c r="U288" t="e">
        <f t="shared" si="89"/>
        <v>#N/A</v>
      </c>
      <c r="W288">
        <f t="shared" si="90"/>
        <v>0.53809780561285891</v>
      </c>
      <c r="X288" t="e">
        <f t="shared" si="91"/>
        <v>#N/A</v>
      </c>
      <c r="Y288" t="e">
        <f t="shared" si="92"/>
        <v>#N/A</v>
      </c>
      <c r="Z288" t="e">
        <f t="shared" si="93"/>
        <v>#N/A</v>
      </c>
      <c r="AA288" t="e">
        <f t="shared" si="94"/>
        <v>#N/A</v>
      </c>
      <c r="AB288" t="e">
        <f t="shared" si="95"/>
        <v>#N/A</v>
      </c>
      <c r="AC288" t="e">
        <f t="shared" si="96"/>
        <v>#N/A</v>
      </c>
    </row>
    <row r="289" spans="2:29">
      <c r="B289">
        <v>275</v>
      </c>
      <c r="C289">
        <f>'Lab test'!Q278</f>
        <v>510.20408163265307</v>
      </c>
      <c r="D289">
        <f>IF('Lab test'!AQ278&gt;0,'Lab test'!AQ278,NA())</f>
        <v>1.5306007792776573</v>
      </c>
      <c r="E289">
        <f>IF('Lab test'!AU278&gt;0,'Lab test'!AU278,NA())</f>
        <v>0.16900000000000001</v>
      </c>
      <c r="F289">
        <f>IF('Lab test'!AT278&gt;0,'Lab test'!AT278,NA())</f>
        <v>0.39592284799378785</v>
      </c>
      <c r="G289">
        <f t="shared" si="78"/>
        <v>1</v>
      </c>
      <c r="H289">
        <f t="shared" si="79"/>
        <v>1</v>
      </c>
      <c r="I289">
        <f t="shared" si="80"/>
        <v>1</v>
      </c>
      <c r="J289">
        <f t="shared" si="81"/>
        <v>1</v>
      </c>
      <c r="K289">
        <f t="shared" si="82"/>
        <v>1</v>
      </c>
      <c r="L289" t="str">
        <f>'Lab test'!AC278</f>
        <v>LTWa</v>
      </c>
      <c r="O289">
        <f t="shared" si="83"/>
        <v>0.16900000000000001</v>
      </c>
      <c r="P289" t="e">
        <f t="shared" si="84"/>
        <v>#N/A</v>
      </c>
      <c r="Q289" t="e">
        <f t="shared" si="85"/>
        <v>#N/A</v>
      </c>
      <c r="R289" t="e">
        <f t="shared" si="86"/>
        <v>#N/A</v>
      </c>
      <c r="S289" t="e">
        <f t="shared" si="87"/>
        <v>#N/A</v>
      </c>
      <c r="T289" t="e">
        <f t="shared" si="88"/>
        <v>#N/A</v>
      </c>
      <c r="U289" t="e">
        <f t="shared" si="89"/>
        <v>#N/A</v>
      </c>
      <c r="W289">
        <f t="shared" si="90"/>
        <v>0.39592284799378785</v>
      </c>
      <c r="X289" t="e">
        <f t="shared" si="91"/>
        <v>#N/A</v>
      </c>
      <c r="Y289" t="e">
        <f t="shared" si="92"/>
        <v>#N/A</v>
      </c>
      <c r="Z289" t="e">
        <f t="shared" si="93"/>
        <v>#N/A</v>
      </c>
      <c r="AA289" t="e">
        <f t="shared" si="94"/>
        <v>#N/A</v>
      </c>
      <c r="AB289" t="e">
        <f t="shared" si="95"/>
        <v>#N/A</v>
      </c>
      <c r="AC289" t="e">
        <f t="shared" si="96"/>
        <v>#N/A</v>
      </c>
    </row>
    <row r="290" spans="2:29">
      <c r="B290">
        <v>276</v>
      </c>
      <c r="C290">
        <f>'Lab test'!Q279</f>
        <v>26.776315789473685</v>
      </c>
      <c r="D290">
        <f>IF('Lab test'!AQ279&gt;0,'Lab test'!AQ279,NA())</f>
        <v>0.25238436792586039</v>
      </c>
      <c r="E290">
        <f>IF('Lab test'!AU279&gt;0,'Lab test'!AU279,NA())</f>
        <v>1.0342644271697803</v>
      </c>
      <c r="F290">
        <f>IF('Lab test'!AT279&gt;0,'Lab test'!AT279,NA())</f>
        <v>6.5880440172496016E-2</v>
      </c>
      <c r="G290">
        <f t="shared" si="78"/>
        <v>1</v>
      </c>
      <c r="H290">
        <f t="shared" si="79"/>
        <v>1</v>
      </c>
      <c r="I290">
        <f t="shared" si="80"/>
        <v>1</v>
      </c>
      <c r="J290">
        <f t="shared" si="81"/>
        <v>1</v>
      </c>
      <c r="K290">
        <f t="shared" si="82"/>
        <v>1</v>
      </c>
      <c r="L290" t="str">
        <f>'Lab test'!AC279</f>
        <v>LTWa</v>
      </c>
      <c r="O290">
        <f t="shared" si="83"/>
        <v>1.0342644271697803</v>
      </c>
      <c r="P290" t="e">
        <f t="shared" si="84"/>
        <v>#N/A</v>
      </c>
      <c r="Q290" t="e">
        <f t="shared" si="85"/>
        <v>#N/A</v>
      </c>
      <c r="R290" t="e">
        <f t="shared" si="86"/>
        <v>#N/A</v>
      </c>
      <c r="S290" t="e">
        <f t="shared" si="87"/>
        <v>#N/A</v>
      </c>
      <c r="T290" t="e">
        <f t="shared" si="88"/>
        <v>#N/A</v>
      </c>
      <c r="U290" t="e">
        <f t="shared" si="89"/>
        <v>#N/A</v>
      </c>
      <c r="W290">
        <f t="shared" si="90"/>
        <v>6.5880440172496016E-2</v>
      </c>
      <c r="X290" t="e">
        <f t="shared" si="91"/>
        <v>#N/A</v>
      </c>
      <c r="Y290" t="e">
        <f t="shared" si="92"/>
        <v>#N/A</v>
      </c>
      <c r="Z290" t="e">
        <f t="shared" si="93"/>
        <v>#N/A</v>
      </c>
      <c r="AA290" t="e">
        <f t="shared" si="94"/>
        <v>#N/A</v>
      </c>
      <c r="AB290" t="e">
        <f t="shared" si="95"/>
        <v>#N/A</v>
      </c>
      <c r="AC290" t="e">
        <f t="shared" si="96"/>
        <v>#N/A</v>
      </c>
    </row>
    <row r="291" spans="2:29">
      <c r="B291">
        <v>277</v>
      </c>
      <c r="C291">
        <f>'Lab test'!Q280</f>
        <v>39.868421052631582</v>
      </c>
      <c r="D291">
        <f>IF('Lab test'!AQ280&gt;0,'Lab test'!AQ280,NA())</f>
        <v>0.30796514017858079</v>
      </c>
      <c r="E291">
        <f>IF('Lab test'!AU280&gt;0,'Lab test'!AU280,NA())</f>
        <v>1.024778471330511</v>
      </c>
      <c r="F291">
        <f>IF('Lab test'!AT280&gt;0,'Lab test'!AT280,NA())</f>
        <v>9.7192580415400728E-2</v>
      </c>
      <c r="G291">
        <f t="shared" si="78"/>
        <v>1</v>
      </c>
      <c r="H291">
        <f t="shared" si="79"/>
        <v>1</v>
      </c>
      <c r="I291">
        <f t="shared" si="80"/>
        <v>1</v>
      </c>
      <c r="J291">
        <f t="shared" si="81"/>
        <v>1</v>
      </c>
      <c r="K291">
        <f t="shared" si="82"/>
        <v>1</v>
      </c>
      <c r="L291" t="str">
        <f>'Lab test'!AC280</f>
        <v>LTWa</v>
      </c>
      <c r="O291">
        <f t="shared" si="83"/>
        <v>1.024778471330511</v>
      </c>
      <c r="P291" t="e">
        <f t="shared" si="84"/>
        <v>#N/A</v>
      </c>
      <c r="Q291" t="e">
        <f t="shared" si="85"/>
        <v>#N/A</v>
      </c>
      <c r="R291" t="e">
        <f t="shared" si="86"/>
        <v>#N/A</v>
      </c>
      <c r="S291" t="e">
        <f t="shared" si="87"/>
        <v>#N/A</v>
      </c>
      <c r="T291" t="e">
        <f t="shared" si="88"/>
        <v>#N/A</v>
      </c>
      <c r="U291" t="e">
        <f t="shared" si="89"/>
        <v>#N/A</v>
      </c>
      <c r="W291">
        <f t="shared" si="90"/>
        <v>9.7192580415400728E-2</v>
      </c>
      <c r="X291" t="e">
        <f t="shared" si="91"/>
        <v>#N/A</v>
      </c>
      <c r="Y291" t="e">
        <f t="shared" si="92"/>
        <v>#N/A</v>
      </c>
      <c r="Z291" t="e">
        <f t="shared" si="93"/>
        <v>#N/A</v>
      </c>
      <c r="AA291" t="e">
        <f t="shared" si="94"/>
        <v>#N/A</v>
      </c>
      <c r="AB291" t="e">
        <f t="shared" si="95"/>
        <v>#N/A</v>
      </c>
      <c r="AC291" t="e">
        <f t="shared" si="96"/>
        <v>#N/A</v>
      </c>
    </row>
    <row r="292" spans="2:29">
      <c r="B292">
        <v>278</v>
      </c>
      <c r="C292">
        <f>'Lab test'!Q281</f>
        <v>53.684210526315795</v>
      </c>
      <c r="D292">
        <f>IF('Lab test'!AQ281&gt;0,'Lab test'!AQ281,NA())</f>
        <v>0.35736361033099262</v>
      </c>
      <c r="E292">
        <f>IF('Lab test'!AU281&gt;0,'Lab test'!AU281,NA())</f>
        <v>0.84554380320268663</v>
      </c>
      <c r="F292">
        <f>IF('Lab test'!AT281&gt;0,'Lab test'!AT281,NA())</f>
        <v>0.1079833421677923</v>
      </c>
      <c r="G292">
        <f t="shared" si="78"/>
        <v>1</v>
      </c>
      <c r="H292">
        <f t="shared" si="79"/>
        <v>1</v>
      </c>
      <c r="I292">
        <f t="shared" si="80"/>
        <v>1</v>
      </c>
      <c r="J292">
        <f t="shared" si="81"/>
        <v>1</v>
      </c>
      <c r="K292">
        <f t="shared" si="82"/>
        <v>1</v>
      </c>
      <c r="L292" t="str">
        <f>'Lab test'!AC281</f>
        <v>LTWa</v>
      </c>
      <c r="O292">
        <f t="shared" si="83"/>
        <v>0.84554380320268663</v>
      </c>
      <c r="P292" t="e">
        <f t="shared" si="84"/>
        <v>#N/A</v>
      </c>
      <c r="Q292" t="e">
        <f t="shared" si="85"/>
        <v>#N/A</v>
      </c>
      <c r="R292" t="e">
        <f t="shared" si="86"/>
        <v>#N/A</v>
      </c>
      <c r="S292" t="e">
        <f t="shared" si="87"/>
        <v>#N/A</v>
      </c>
      <c r="T292" t="e">
        <f t="shared" si="88"/>
        <v>#N/A</v>
      </c>
      <c r="U292" t="e">
        <f t="shared" si="89"/>
        <v>#N/A</v>
      </c>
      <c r="W292">
        <f t="shared" si="90"/>
        <v>0.1079833421677923</v>
      </c>
      <c r="X292" t="e">
        <f t="shared" si="91"/>
        <v>#N/A</v>
      </c>
      <c r="Y292" t="e">
        <f t="shared" si="92"/>
        <v>#N/A</v>
      </c>
      <c r="Z292" t="e">
        <f t="shared" si="93"/>
        <v>#N/A</v>
      </c>
      <c r="AA292" t="e">
        <f t="shared" si="94"/>
        <v>#N/A</v>
      </c>
      <c r="AB292" t="e">
        <f t="shared" si="95"/>
        <v>#N/A</v>
      </c>
      <c r="AC292" t="e">
        <f t="shared" si="96"/>
        <v>#N/A</v>
      </c>
    </row>
    <row r="293" spans="2:29">
      <c r="B293">
        <v>279</v>
      </c>
      <c r="C293">
        <f>'Lab test'!Q282</f>
        <v>67.5</v>
      </c>
      <c r="D293">
        <f>IF('Lab test'!AQ282&gt;0,'Lab test'!AQ282,NA())</f>
        <v>0.40071807098306678</v>
      </c>
      <c r="E293">
        <f>IF('Lab test'!AU282&gt;0,'Lab test'!AU282,NA())</f>
        <v>0.83163899996276169</v>
      </c>
      <c r="F293">
        <f>IF('Lab test'!AT282&gt;0,'Lab test'!AT282,NA())</f>
        <v>0.1335404094760882</v>
      </c>
      <c r="G293">
        <f t="shared" si="78"/>
        <v>1</v>
      </c>
      <c r="H293">
        <f t="shared" si="79"/>
        <v>1</v>
      </c>
      <c r="I293">
        <f t="shared" si="80"/>
        <v>1</v>
      </c>
      <c r="J293">
        <f t="shared" si="81"/>
        <v>1</v>
      </c>
      <c r="K293">
        <f t="shared" si="82"/>
        <v>1</v>
      </c>
      <c r="L293" t="str">
        <f>'Lab test'!AC282</f>
        <v>LTWa</v>
      </c>
      <c r="O293">
        <f t="shared" si="83"/>
        <v>0.83163899996276169</v>
      </c>
      <c r="P293" t="e">
        <f t="shared" si="84"/>
        <v>#N/A</v>
      </c>
      <c r="Q293" t="e">
        <f t="shared" si="85"/>
        <v>#N/A</v>
      </c>
      <c r="R293" t="e">
        <f t="shared" si="86"/>
        <v>#N/A</v>
      </c>
      <c r="S293" t="e">
        <f t="shared" si="87"/>
        <v>#N/A</v>
      </c>
      <c r="T293" t="e">
        <f t="shared" si="88"/>
        <v>#N/A</v>
      </c>
      <c r="U293" t="e">
        <f t="shared" si="89"/>
        <v>#N/A</v>
      </c>
      <c r="W293">
        <f t="shared" si="90"/>
        <v>0.1335404094760882</v>
      </c>
      <c r="X293" t="e">
        <f t="shared" si="91"/>
        <v>#N/A</v>
      </c>
      <c r="Y293" t="e">
        <f t="shared" si="92"/>
        <v>#N/A</v>
      </c>
      <c r="Z293" t="e">
        <f t="shared" si="93"/>
        <v>#N/A</v>
      </c>
      <c r="AA293" t="e">
        <f t="shared" si="94"/>
        <v>#N/A</v>
      </c>
      <c r="AB293" t="e">
        <f t="shared" si="95"/>
        <v>#N/A</v>
      </c>
      <c r="AC293" t="e">
        <f t="shared" si="96"/>
        <v>#N/A</v>
      </c>
    </row>
    <row r="294" spans="2:29">
      <c r="B294">
        <v>280</v>
      </c>
      <c r="C294">
        <f>'Lab test'!Q283</f>
        <v>53.684210526315795</v>
      </c>
      <c r="D294">
        <f>IF('Lab test'!AQ283&gt;0,'Lab test'!AQ283,NA())</f>
        <v>0.35736361033099262</v>
      </c>
      <c r="E294">
        <f>IF('Lab test'!AU283&gt;0,'Lab test'!AU283,NA())</f>
        <v>0.83813195359536996</v>
      </c>
      <c r="F294">
        <f>IF('Lab test'!AT283&gt;0,'Lab test'!AT283,NA())</f>
        <v>0.10703678411933691</v>
      </c>
      <c r="G294">
        <f t="shared" si="78"/>
        <v>1</v>
      </c>
      <c r="H294">
        <f t="shared" si="79"/>
        <v>1</v>
      </c>
      <c r="I294">
        <f t="shared" si="80"/>
        <v>1</v>
      </c>
      <c r="J294">
        <f t="shared" si="81"/>
        <v>1</v>
      </c>
      <c r="K294">
        <f t="shared" si="82"/>
        <v>1</v>
      </c>
      <c r="L294" t="str">
        <f>'Lab test'!AC283</f>
        <v>LTWa</v>
      </c>
      <c r="O294">
        <f t="shared" si="83"/>
        <v>0.83813195359536996</v>
      </c>
      <c r="P294" t="e">
        <f t="shared" si="84"/>
        <v>#N/A</v>
      </c>
      <c r="Q294" t="e">
        <f t="shared" si="85"/>
        <v>#N/A</v>
      </c>
      <c r="R294" t="e">
        <f t="shared" si="86"/>
        <v>#N/A</v>
      </c>
      <c r="S294" t="e">
        <f t="shared" si="87"/>
        <v>#N/A</v>
      </c>
      <c r="T294" t="e">
        <f t="shared" si="88"/>
        <v>#N/A</v>
      </c>
      <c r="U294" t="e">
        <f t="shared" si="89"/>
        <v>#N/A</v>
      </c>
      <c r="W294">
        <f t="shared" si="90"/>
        <v>0.10703678411933691</v>
      </c>
      <c r="X294" t="e">
        <f t="shared" si="91"/>
        <v>#N/A</v>
      </c>
      <c r="Y294" t="e">
        <f t="shared" si="92"/>
        <v>#N/A</v>
      </c>
      <c r="Z294" t="e">
        <f t="shared" si="93"/>
        <v>#N/A</v>
      </c>
      <c r="AA294" t="e">
        <f t="shared" si="94"/>
        <v>#N/A</v>
      </c>
      <c r="AB294" t="e">
        <f t="shared" si="95"/>
        <v>#N/A</v>
      </c>
      <c r="AC294" t="e">
        <f t="shared" si="96"/>
        <v>#N/A</v>
      </c>
    </row>
    <row r="295" spans="2:29">
      <c r="B295">
        <v>281</v>
      </c>
      <c r="C295">
        <f>'Lab test'!Q284</f>
        <v>20.818989999999999</v>
      </c>
      <c r="D295">
        <f>IF('Lab test'!AQ284&gt;0,'Lab test'!AQ284,NA())</f>
        <v>0.34203951467201471</v>
      </c>
      <c r="E295">
        <f>IF('Lab test'!AU284&gt;0,'Lab test'!AU284,NA())</f>
        <v>1.1111413228196587</v>
      </c>
      <c r="F295">
        <f>IF('Lab test'!AT284&gt;0,'Lab test'!AT284,NA())</f>
        <v>0.13013613388687759</v>
      </c>
      <c r="G295">
        <f t="shared" si="78"/>
        <v>1</v>
      </c>
      <c r="H295">
        <f t="shared" si="79"/>
        <v>1</v>
      </c>
      <c r="I295">
        <f t="shared" si="80"/>
        <v>1</v>
      </c>
      <c r="J295">
        <f t="shared" si="81"/>
        <v>1</v>
      </c>
      <c r="K295">
        <f t="shared" si="82"/>
        <v>1</v>
      </c>
      <c r="L295" t="str">
        <f>'Lab test'!AC284</f>
        <v>Tubes</v>
      </c>
      <c r="O295" t="e">
        <f t="shared" si="83"/>
        <v>#N/A</v>
      </c>
      <c r="P295" t="e">
        <f t="shared" si="84"/>
        <v>#N/A</v>
      </c>
      <c r="Q295" t="e">
        <f t="shared" si="85"/>
        <v>#N/A</v>
      </c>
      <c r="R295" t="e">
        <f t="shared" si="86"/>
        <v>#N/A</v>
      </c>
      <c r="S295">
        <f t="shared" si="87"/>
        <v>1.1111413228196587</v>
      </c>
      <c r="T295" t="e">
        <f t="shared" si="88"/>
        <v>#N/A</v>
      </c>
      <c r="U295" t="e">
        <f t="shared" si="89"/>
        <v>#N/A</v>
      </c>
      <c r="W295" t="e">
        <f t="shared" si="90"/>
        <v>#N/A</v>
      </c>
      <c r="X295" t="e">
        <f t="shared" si="91"/>
        <v>#N/A</v>
      </c>
      <c r="Y295" t="e">
        <f t="shared" si="92"/>
        <v>#N/A</v>
      </c>
      <c r="Z295" t="e">
        <f t="shared" si="93"/>
        <v>#N/A</v>
      </c>
      <c r="AA295">
        <f t="shared" si="94"/>
        <v>0.13013613388687759</v>
      </c>
      <c r="AB295" t="e">
        <f t="shared" si="95"/>
        <v>#N/A</v>
      </c>
      <c r="AC295" t="e">
        <f t="shared" si="96"/>
        <v>#N/A</v>
      </c>
    </row>
    <row r="296" spans="2:29">
      <c r="B296">
        <v>282</v>
      </c>
      <c r="C296">
        <f>'Lab test'!Q285</f>
        <v>17.1005</v>
      </c>
      <c r="D296">
        <f>IF('Lab test'!AQ285&gt;0,'Lab test'!AQ285,NA())</f>
        <v>0.31359465510973783</v>
      </c>
      <c r="E296">
        <f>IF('Lab test'!AU285&gt;0,'Lab test'!AU285,NA())</f>
        <v>1.1230610952833175</v>
      </c>
      <c r="F296">
        <f>IF('Lab test'!AT285&gt;0,'Lab test'!AT285,NA())</f>
        <v>0.11044789816484829</v>
      </c>
      <c r="G296">
        <f t="shared" si="78"/>
        <v>1</v>
      </c>
      <c r="H296">
        <f t="shared" si="79"/>
        <v>1</v>
      </c>
      <c r="I296">
        <f t="shared" si="80"/>
        <v>1</v>
      </c>
      <c r="J296">
        <f t="shared" si="81"/>
        <v>1</v>
      </c>
      <c r="K296">
        <f t="shared" si="82"/>
        <v>1</v>
      </c>
      <c r="L296" t="str">
        <f>'Lab test'!AC285</f>
        <v>Tubes</v>
      </c>
      <c r="O296" t="e">
        <f t="shared" si="83"/>
        <v>#N/A</v>
      </c>
      <c r="P296" t="e">
        <f t="shared" si="84"/>
        <v>#N/A</v>
      </c>
      <c r="Q296" t="e">
        <f t="shared" si="85"/>
        <v>#N/A</v>
      </c>
      <c r="R296" t="e">
        <f t="shared" si="86"/>
        <v>#N/A</v>
      </c>
      <c r="S296">
        <f t="shared" si="87"/>
        <v>1.1230610952833175</v>
      </c>
      <c r="T296" t="e">
        <f t="shared" si="88"/>
        <v>#N/A</v>
      </c>
      <c r="U296" t="e">
        <f t="shared" si="89"/>
        <v>#N/A</v>
      </c>
      <c r="W296" t="e">
        <f t="shared" si="90"/>
        <v>#N/A</v>
      </c>
      <c r="X296" t="e">
        <f t="shared" si="91"/>
        <v>#N/A</v>
      </c>
      <c r="Y296" t="e">
        <f t="shared" si="92"/>
        <v>#N/A</v>
      </c>
      <c r="Z296" t="e">
        <f t="shared" si="93"/>
        <v>#N/A</v>
      </c>
      <c r="AA296">
        <f t="shared" si="94"/>
        <v>0.11044789816484829</v>
      </c>
      <c r="AB296" t="e">
        <f t="shared" si="95"/>
        <v>#N/A</v>
      </c>
      <c r="AC296" t="e">
        <f t="shared" si="96"/>
        <v>#N/A</v>
      </c>
    </row>
    <row r="297" spans="2:29">
      <c r="B297">
        <v>283</v>
      </c>
      <c r="C297">
        <f>'Lab test'!Q286</f>
        <v>13.799390000000001</v>
      </c>
      <c r="D297">
        <f>IF('Lab test'!AQ286&gt;0,'Lab test'!AQ286,NA())</f>
        <v>0.27981004185148683</v>
      </c>
      <c r="E297">
        <f>IF('Lab test'!AU286&gt;0,'Lab test'!AU286,NA())</f>
        <v>1.1800406797454237</v>
      </c>
      <c r="F297">
        <f>IF('Lab test'!AT286&gt;0,'Lab test'!AT286,NA())</f>
        <v>9.2318763434484113E-2</v>
      </c>
      <c r="G297">
        <f t="shared" si="78"/>
        <v>1</v>
      </c>
      <c r="H297">
        <f t="shared" si="79"/>
        <v>1</v>
      </c>
      <c r="I297">
        <f t="shared" si="80"/>
        <v>1</v>
      </c>
      <c r="J297">
        <f t="shared" si="81"/>
        <v>1</v>
      </c>
      <c r="K297">
        <f t="shared" si="82"/>
        <v>1</v>
      </c>
      <c r="L297" t="str">
        <f>'Lab test'!AC286</f>
        <v>Tubes</v>
      </c>
      <c r="O297" t="e">
        <f t="shared" si="83"/>
        <v>#N/A</v>
      </c>
      <c r="P297" t="e">
        <f t="shared" si="84"/>
        <v>#N/A</v>
      </c>
      <c r="Q297" t="e">
        <f t="shared" si="85"/>
        <v>#N/A</v>
      </c>
      <c r="R297" t="e">
        <f t="shared" si="86"/>
        <v>#N/A</v>
      </c>
      <c r="S297">
        <f t="shared" si="87"/>
        <v>1.1800406797454237</v>
      </c>
      <c r="T297" t="e">
        <f t="shared" si="88"/>
        <v>#N/A</v>
      </c>
      <c r="U297" t="e">
        <f t="shared" si="89"/>
        <v>#N/A</v>
      </c>
      <c r="W297" t="e">
        <f t="shared" si="90"/>
        <v>#N/A</v>
      </c>
      <c r="X297" t="e">
        <f t="shared" si="91"/>
        <v>#N/A</v>
      </c>
      <c r="Y297" t="e">
        <f t="shared" si="92"/>
        <v>#N/A</v>
      </c>
      <c r="Z297" t="e">
        <f t="shared" si="93"/>
        <v>#N/A</v>
      </c>
      <c r="AA297">
        <f t="shared" si="94"/>
        <v>9.2318763434484113E-2</v>
      </c>
      <c r="AB297" t="e">
        <f t="shared" si="95"/>
        <v>#N/A</v>
      </c>
      <c r="AC297" t="e">
        <f t="shared" si="96"/>
        <v>#N/A</v>
      </c>
    </row>
    <row r="298" spans="2:29">
      <c r="B298">
        <v>284</v>
      </c>
      <c r="C298">
        <f>'Lab test'!Q287</f>
        <v>11.0745</v>
      </c>
      <c r="D298">
        <f>IF('Lab test'!AQ287&gt;0,'Lab test'!AQ287,NA())</f>
        <v>0.26184499351775142</v>
      </c>
      <c r="E298">
        <f>IF('Lab test'!AU287&gt;0,'Lab test'!AU287,NA())</f>
        <v>1.143095430651031</v>
      </c>
      <c r="F298">
        <f>IF('Lab test'!AT287&gt;0,'Lab test'!AT287,NA())</f>
        <v>7.8409679859592532E-2</v>
      </c>
      <c r="G298">
        <f t="shared" si="78"/>
        <v>1</v>
      </c>
      <c r="H298">
        <f t="shared" si="79"/>
        <v>1</v>
      </c>
      <c r="I298">
        <f t="shared" si="80"/>
        <v>1</v>
      </c>
      <c r="J298">
        <f t="shared" si="81"/>
        <v>1</v>
      </c>
      <c r="K298">
        <f t="shared" si="82"/>
        <v>1</v>
      </c>
      <c r="L298" t="str">
        <f>'Lab test'!AC287</f>
        <v>Tubes</v>
      </c>
      <c r="O298" t="e">
        <f t="shared" si="83"/>
        <v>#N/A</v>
      </c>
      <c r="P298" t="e">
        <f t="shared" si="84"/>
        <v>#N/A</v>
      </c>
      <c r="Q298" t="e">
        <f t="shared" si="85"/>
        <v>#N/A</v>
      </c>
      <c r="R298" t="e">
        <f t="shared" si="86"/>
        <v>#N/A</v>
      </c>
      <c r="S298">
        <f t="shared" si="87"/>
        <v>1.143095430651031</v>
      </c>
      <c r="T298" t="e">
        <f t="shared" si="88"/>
        <v>#N/A</v>
      </c>
      <c r="U298" t="e">
        <f t="shared" si="89"/>
        <v>#N/A</v>
      </c>
      <c r="W298" t="e">
        <f t="shared" si="90"/>
        <v>#N/A</v>
      </c>
      <c r="X298" t="e">
        <f t="shared" si="91"/>
        <v>#N/A</v>
      </c>
      <c r="Y298" t="e">
        <f t="shared" si="92"/>
        <v>#N/A</v>
      </c>
      <c r="Z298" t="e">
        <f t="shared" si="93"/>
        <v>#N/A</v>
      </c>
      <c r="AA298">
        <f t="shared" si="94"/>
        <v>7.8409679859592532E-2</v>
      </c>
      <c r="AB298" t="e">
        <f t="shared" si="95"/>
        <v>#N/A</v>
      </c>
      <c r="AC298" t="e">
        <f t="shared" si="96"/>
        <v>#N/A</v>
      </c>
    </row>
    <row r="299" spans="2:29">
      <c r="B299">
        <v>285</v>
      </c>
      <c r="C299">
        <f>'Lab test'!Q288</f>
        <v>8.4210189999999994</v>
      </c>
      <c r="D299">
        <f>IF('Lab test'!AQ288&gt;0,'Lab test'!AQ288,NA())</f>
        <v>0.23040151980371659</v>
      </c>
      <c r="E299">
        <f>IF('Lab test'!AU288&gt;0,'Lab test'!AU288,NA())</f>
        <v>1.1419999999999999</v>
      </c>
      <c r="F299">
        <f>IF('Lab test'!AT288&gt;0,'Lab test'!AT288,NA())</f>
        <v>6.0569111778250508E-2</v>
      </c>
      <c r="G299">
        <f t="shared" si="78"/>
        <v>1</v>
      </c>
      <c r="H299">
        <f t="shared" si="79"/>
        <v>1</v>
      </c>
      <c r="I299">
        <f t="shared" si="80"/>
        <v>1</v>
      </c>
      <c r="J299">
        <f t="shared" si="81"/>
        <v>1</v>
      </c>
      <c r="K299">
        <f t="shared" si="82"/>
        <v>1</v>
      </c>
      <c r="L299" t="str">
        <f>'Lab test'!AC288</f>
        <v>Tubes</v>
      </c>
      <c r="O299" t="e">
        <f t="shared" si="83"/>
        <v>#N/A</v>
      </c>
      <c r="P299" t="e">
        <f t="shared" si="84"/>
        <v>#N/A</v>
      </c>
      <c r="Q299" t="e">
        <f t="shared" si="85"/>
        <v>#N/A</v>
      </c>
      <c r="R299" t="e">
        <f t="shared" si="86"/>
        <v>#N/A</v>
      </c>
      <c r="S299">
        <f t="shared" si="87"/>
        <v>1.1419999999999999</v>
      </c>
      <c r="T299" t="e">
        <f t="shared" si="88"/>
        <v>#N/A</v>
      </c>
      <c r="U299" t="e">
        <f t="shared" si="89"/>
        <v>#N/A</v>
      </c>
      <c r="W299" t="e">
        <f t="shared" si="90"/>
        <v>#N/A</v>
      </c>
      <c r="X299" t="e">
        <f t="shared" si="91"/>
        <v>#N/A</v>
      </c>
      <c r="Y299" t="e">
        <f t="shared" si="92"/>
        <v>#N/A</v>
      </c>
      <c r="Z299" t="e">
        <f t="shared" si="93"/>
        <v>#N/A</v>
      </c>
      <c r="AA299">
        <f t="shared" si="94"/>
        <v>6.0569111778250508E-2</v>
      </c>
      <c r="AB299" t="e">
        <f t="shared" si="95"/>
        <v>#N/A</v>
      </c>
      <c r="AC299" t="e">
        <f t="shared" si="96"/>
        <v>#N/A</v>
      </c>
    </row>
    <row r="300" spans="2:29">
      <c r="B300">
        <v>286</v>
      </c>
      <c r="C300">
        <f>'Lab test'!Q289</f>
        <v>6.5639479999999999</v>
      </c>
      <c r="D300">
        <f>IF('Lab test'!AQ289&gt;0,'Lab test'!AQ289,NA())</f>
        <v>0.20382831493677156</v>
      </c>
      <c r="E300">
        <f>IF('Lab test'!AU289&gt;0,'Lab test'!AU289,NA())</f>
        <v>1.1741194104421684</v>
      </c>
      <c r="F300">
        <f>IF('Lab test'!AT289&gt;0,'Lab test'!AT289,NA())</f>
        <v>4.8771677430958567E-2</v>
      </c>
      <c r="G300">
        <f t="shared" si="78"/>
        <v>1</v>
      </c>
      <c r="H300">
        <f t="shared" si="79"/>
        <v>1</v>
      </c>
      <c r="I300">
        <f t="shared" si="80"/>
        <v>1</v>
      </c>
      <c r="J300">
        <f t="shared" si="81"/>
        <v>1</v>
      </c>
      <c r="K300">
        <f t="shared" si="82"/>
        <v>1</v>
      </c>
      <c r="L300" t="str">
        <f>'Lab test'!AC289</f>
        <v>Tubes</v>
      </c>
      <c r="O300" t="e">
        <f t="shared" si="83"/>
        <v>#N/A</v>
      </c>
      <c r="P300" t="e">
        <f t="shared" si="84"/>
        <v>#N/A</v>
      </c>
      <c r="Q300" t="e">
        <f t="shared" si="85"/>
        <v>#N/A</v>
      </c>
      <c r="R300" t="e">
        <f t="shared" si="86"/>
        <v>#N/A</v>
      </c>
      <c r="S300">
        <f t="shared" si="87"/>
        <v>1.1741194104421684</v>
      </c>
      <c r="T300" t="e">
        <f t="shared" si="88"/>
        <v>#N/A</v>
      </c>
      <c r="U300" t="e">
        <f t="shared" si="89"/>
        <v>#N/A</v>
      </c>
      <c r="W300" t="e">
        <f t="shared" si="90"/>
        <v>#N/A</v>
      </c>
      <c r="X300" t="e">
        <f t="shared" si="91"/>
        <v>#N/A</v>
      </c>
      <c r="Y300" t="e">
        <f t="shared" si="92"/>
        <v>#N/A</v>
      </c>
      <c r="Z300" t="e">
        <f t="shared" si="93"/>
        <v>#N/A</v>
      </c>
      <c r="AA300">
        <f t="shared" si="94"/>
        <v>4.8771677430958567E-2</v>
      </c>
      <c r="AB300" t="e">
        <f t="shared" si="95"/>
        <v>#N/A</v>
      </c>
      <c r="AC300" t="e">
        <f t="shared" si="96"/>
        <v>#N/A</v>
      </c>
    </row>
    <row r="301" spans="2:29">
      <c r="B301">
        <v>287</v>
      </c>
      <c r="C301">
        <f>'Lab test'!Q290</f>
        <v>37.5</v>
      </c>
      <c r="D301">
        <f>IF('Lab test'!AQ290&gt;0,'Lab test'!AQ290,NA())</f>
        <v>0.2502385249863856</v>
      </c>
      <c r="E301">
        <f>IF('Lab test'!AU290&gt;0,'Lab test'!AU290,NA())</f>
        <v>1.1052631578947369</v>
      </c>
      <c r="F301">
        <f>IF('Lab test'!AT290&gt;0,'Lab test'!AT290,NA())</f>
        <v>6.9210826691294761E-2</v>
      </c>
      <c r="G301">
        <f t="shared" si="78"/>
        <v>1</v>
      </c>
      <c r="H301">
        <f t="shared" si="79"/>
        <v>1</v>
      </c>
      <c r="I301">
        <f t="shared" si="80"/>
        <v>1</v>
      </c>
      <c r="J301">
        <f t="shared" si="81"/>
        <v>1</v>
      </c>
      <c r="K301">
        <f t="shared" si="82"/>
        <v>1</v>
      </c>
      <c r="L301" t="str">
        <f>'Lab test'!AC290</f>
        <v>LTWb</v>
      </c>
      <c r="O301" t="e">
        <f t="shared" si="83"/>
        <v>#N/A</v>
      </c>
      <c r="P301">
        <f t="shared" si="84"/>
        <v>1.1052631578947369</v>
      </c>
      <c r="Q301" t="e">
        <f t="shared" si="85"/>
        <v>#N/A</v>
      </c>
      <c r="R301" t="e">
        <f t="shared" si="86"/>
        <v>#N/A</v>
      </c>
      <c r="S301" t="e">
        <f t="shared" si="87"/>
        <v>#N/A</v>
      </c>
      <c r="T301" t="e">
        <f t="shared" si="88"/>
        <v>#N/A</v>
      </c>
      <c r="U301" t="e">
        <f t="shared" si="89"/>
        <v>#N/A</v>
      </c>
      <c r="W301" t="e">
        <f t="shared" si="90"/>
        <v>#N/A</v>
      </c>
      <c r="X301">
        <f t="shared" si="91"/>
        <v>6.9210826691294761E-2</v>
      </c>
      <c r="Y301" t="e">
        <f t="shared" si="92"/>
        <v>#N/A</v>
      </c>
      <c r="Z301" t="e">
        <f t="shared" si="93"/>
        <v>#N/A</v>
      </c>
      <c r="AA301" t="e">
        <f t="shared" si="94"/>
        <v>#N/A</v>
      </c>
      <c r="AB301" t="e">
        <f t="shared" si="95"/>
        <v>#N/A</v>
      </c>
      <c r="AC301" t="e">
        <f t="shared" si="96"/>
        <v>#N/A</v>
      </c>
    </row>
    <row r="302" spans="2:29">
      <c r="B302">
        <v>288</v>
      </c>
      <c r="C302">
        <f>'Lab test'!Q291</f>
        <v>37.5</v>
      </c>
      <c r="D302" t="e">
        <f>IF('Lab test'!AQ291&gt;0,'Lab test'!AQ291,NA())</f>
        <v>#N/A</v>
      </c>
      <c r="E302" t="e">
        <f>IF('Lab test'!AU291&gt;0,'Lab test'!AU291,NA())</f>
        <v>#N/A</v>
      </c>
      <c r="F302" t="e">
        <f>IF('Lab test'!AT291&gt;0,'Lab test'!AT291,NA())</f>
        <v>#N/A</v>
      </c>
      <c r="G302" t="e">
        <f t="shared" si="78"/>
        <v>#N/A</v>
      </c>
      <c r="H302" t="e">
        <f t="shared" si="79"/>
        <v>#N/A</v>
      </c>
      <c r="I302" t="e">
        <f t="shared" si="80"/>
        <v>#N/A</v>
      </c>
      <c r="J302" t="e">
        <f t="shared" si="81"/>
        <v>#N/A</v>
      </c>
      <c r="K302" t="e">
        <f t="shared" si="82"/>
        <v>#N/A</v>
      </c>
      <c r="L302" t="str">
        <f>'Lab test'!AC291</f>
        <v>LTWb</v>
      </c>
      <c r="O302" t="e">
        <f t="shared" si="83"/>
        <v>#N/A</v>
      </c>
      <c r="P302" t="e">
        <f t="shared" si="84"/>
        <v>#N/A</v>
      </c>
      <c r="Q302" t="e">
        <f t="shared" si="85"/>
        <v>#N/A</v>
      </c>
      <c r="R302" t="e">
        <f t="shared" si="86"/>
        <v>#N/A</v>
      </c>
      <c r="S302" t="e">
        <f t="shared" si="87"/>
        <v>#N/A</v>
      </c>
      <c r="T302" t="e">
        <f t="shared" si="88"/>
        <v>#N/A</v>
      </c>
      <c r="U302" t="e">
        <f t="shared" si="89"/>
        <v>#N/A</v>
      </c>
      <c r="W302" t="e">
        <f t="shared" si="90"/>
        <v>#N/A</v>
      </c>
      <c r="X302" t="e">
        <f t="shared" si="91"/>
        <v>#N/A</v>
      </c>
      <c r="Y302" t="e">
        <f t="shared" si="92"/>
        <v>#N/A</v>
      </c>
      <c r="Z302" t="e">
        <f t="shared" si="93"/>
        <v>#N/A</v>
      </c>
      <c r="AA302" t="e">
        <f t="shared" si="94"/>
        <v>#N/A</v>
      </c>
      <c r="AB302" t="e">
        <f t="shared" si="95"/>
        <v>#N/A</v>
      </c>
      <c r="AC302" t="e">
        <f t="shared" si="96"/>
        <v>#N/A</v>
      </c>
    </row>
    <row r="303" spans="2:29">
      <c r="B303">
        <v>289</v>
      </c>
      <c r="C303">
        <f>'Lab test'!Q292</f>
        <v>37.5</v>
      </c>
      <c r="D303" t="e">
        <f>IF('Lab test'!AQ292&gt;0,'Lab test'!AQ292,NA())</f>
        <v>#N/A</v>
      </c>
      <c r="E303" t="e">
        <f>IF('Lab test'!AU292&gt;0,'Lab test'!AU292,NA())</f>
        <v>#N/A</v>
      </c>
      <c r="F303" t="e">
        <f>IF('Lab test'!AT292&gt;0,'Lab test'!AT292,NA())</f>
        <v>#N/A</v>
      </c>
      <c r="G303" t="e">
        <f t="shared" si="78"/>
        <v>#N/A</v>
      </c>
      <c r="H303" t="e">
        <f t="shared" si="79"/>
        <v>#N/A</v>
      </c>
      <c r="I303" t="e">
        <f t="shared" si="80"/>
        <v>#N/A</v>
      </c>
      <c r="J303" t="e">
        <f t="shared" si="81"/>
        <v>#N/A</v>
      </c>
      <c r="K303" t="e">
        <f t="shared" si="82"/>
        <v>#N/A</v>
      </c>
      <c r="L303" t="str">
        <f>'Lab test'!AC292</f>
        <v>LTWb</v>
      </c>
      <c r="O303" t="e">
        <f t="shared" si="83"/>
        <v>#N/A</v>
      </c>
      <c r="P303" t="e">
        <f t="shared" si="84"/>
        <v>#N/A</v>
      </c>
      <c r="Q303" t="e">
        <f t="shared" si="85"/>
        <v>#N/A</v>
      </c>
      <c r="R303" t="e">
        <f t="shared" si="86"/>
        <v>#N/A</v>
      </c>
      <c r="S303" t="e">
        <f t="shared" si="87"/>
        <v>#N/A</v>
      </c>
      <c r="T303" t="e">
        <f t="shared" si="88"/>
        <v>#N/A</v>
      </c>
      <c r="U303" t="e">
        <f t="shared" si="89"/>
        <v>#N/A</v>
      </c>
      <c r="W303" t="e">
        <f t="shared" si="90"/>
        <v>#N/A</v>
      </c>
      <c r="X303" t="e">
        <f t="shared" si="91"/>
        <v>#N/A</v>
      </c>
      <c r="Y303" t="e">
        <f t="shared" si="92"/>
        <v>#N/A</v>
      </c>
      <c r="Z303" t="e">
        <f t="shared" si="93"/>
        <v>#N/A</v>
      </c>
      <c r="AA303" t="e">
        <f t="shared" si="94"/>
        <v>#N/A</v>
      </c>
      <c r="AB303" t="e">
        <f t="shared" si="95"/>
        <v>#N/A</v>
      </c>
      <c r="AC303" t="e">
        <f t="shared" si="96"/>
        <v>#N/A</v>
      </c>
    </row>
    <row r="304" spans="2:29">
      <c r="B304">
        <v>290</v>
      </c>
      <c r="C304">
        <f>'Lab test'!Q293</f>
        <v>50</v>
      </c>
      <c r="D304">
        <f>IF('Lab test'!AQ293&gt;0,'Lab test'!AQ293,NA())</f>
        <v>0.2889505595250092</v>
      </c>
      <c r="E304">
        <f>IF('Lab test'!AU293&gt;0,'Lab test'!AU293,NA())</f>
        <v>0.9</v>
      </c>
      <c r="F304">
        <f>IF('Lab test'!AT293&gt;0,'Lab test'!AT293,NA())</f>
        <v>7.514318326483431E-2</v>
      </c>
      <c r="G304">
        <f t="shared" si="78"/>
        <v>1</v>
      </c>
      <c r="H304">
        <f t="shared" si="79"/>
        <v>1</v>
      </c>
      <c r="I304">
        <f t="shared" si="80"/>
        <v>1</v>
      </c>
      <c r="J304">
        <f t="shared" si="81"/>
        <v>1</v>
      </c>
      <c r="K304">
        <f t="shared" si="82"/>
        <v>1</v>
      </c>
      <c r="L304" t="str">
        <f>'Lab test'!AC293</f>
        <v>LTWb</v>
      </c>
      <c r="O304" t="e">
        <f t="shared" si="83"/>
        <v>#N/A</v>
      </c>
      <c r="P304">
        <f t="shared" si="84"/>
        <v>0.9</v>
      </c>
      <c r="Q304" t="e">
        <f t="shared" si="85"/>
        <v>#N/A</v>
      </c>
      <c r="R304" t="e">
        <f t="shared" si="86"/>
        <v>#N/A</v>
      </c>
      <c r="S304" t="e">
        <f t="shared" si="87"/>
        <v>#N/A</v>
      </c>
      <c r="T304" t="e">
        <f t="shared" si="88"/>
        <v>#N/A</v>
      </c>
      <c r="U304" t="e">
        <f t="shared" si="89"/>
        <v>#N/A</v>
      </c>
      <c r="W304" t="e">
        <f t="shared" si="90"/>
        <v>#N/A</v>
      </c>
      <c r="X304">
        <f t="shared" si="91"/>
        <v>7.514318326483431E-2</v>
      </c>
      <c r="Y304" t="e">
        <f t="shared" si="92"/>
        <v>#N/A</v>
      </c>
      <c r="Z304" t="e">
        <f t="shared" si="93"/>
        <v>#N/A</v>
      </c>
      <c r="AA304" t="e">
        <f t="shared" si="94"/>
        <v>#N/A</v>
      </c>
      <c r="AB304" t="e">
        <f t="shared" si="95"/>
        <v>#N/A</v>
      </c>
      <c r="AC304" t="e">
        <f t="shared" si="96"/>
        <v>#N/A</v>
      </c>
    </row>
    <row r="305" spans="2:29">
      <c r="B305">
        <v>291</v>
      </c>
      <c r="C305">
        <f>'Lab test'!Q294</f>
        <v>50</v>
      </c>
      <c r="D305" t="e">
        <f>IF('Lab test'!AQ294&gt;0,'Lab test'!AQ294,NA())</f>
        <v>#N/A</v>
      </c>
      <c r="E305" t="e">
        <f>IF('Lab test'!AU294&gt;0,'Lab test'!AU294,NA())</f>
        <v>#N/A</v>
      </c>
      <c r="F305" t="e">
        <f>IF('Lab test'!AT294&gt;0,'Lab test'!AT294,NA())</f>
        <v>#N/A</v>
      </c>
      <c r="G305" t="e">
        <f t="shared" si="78"/>
        <v>#N/A</v>
      </c>
      <c r="H305" t="e">
        <f t="shared" si="79"/>
        <v>#N/A</v>
      </c>
      <c r="I305" t="e">
        <f t="shared" si="80"/>
        <v>#N/A</v>
      </c>
      <c r="J305" t="e">
        <f t="shared" si="81"/>
        <v>#N/A</v>
      </c>
      <c r="K305" t="e">
        <f t="shared" si="82"/>
        <v>#N/A</v>
      </c>
      <c r="L305" t="str">
        <f>'Lab test'!AC294</f>
        <v>LTWb</v>
      </c>
      <c r="O305" t="e">
        <f t="shared" si="83"/>
        <v>#N/A</v>
      </c>
      <c r="P305" t="e">
        <f t="shared" si="84"/>
        <v>#N/A</v>
      </c>
      <c r="Q305" t="e">
        <f t="shared" si="85"/>
        <v>#N/A</v>
      </c>
      <c r="R305" t="e">
        <f t="shared" si="86"/>
        <v>#N/A</v>
      </c>
      <c r="S305" t="e">
        <f t="shared" si="87"/>
        <v>#N/A</v>
      </c>
      <c r="T305" t="e">
        <f t="shared" si="88"/>
        <v>#N/A</v>
      </c>
      <c r="U305" t="e">
        <f t="shared" si="89"/>
        <v>#N/A</v>
      </c>
      <c r="W305" t="e">
        <f t="shared" si="90"/>
        <v>#N/A</v>
      </c>
      <c r="X305" t="e">
        <f t="shared" si="91"/>
        <v>#N/A</v>
      </c>
      <c r="Y305" t="e">
        <f t="shared" si="92"/>
        <v>#N/A</v>
      </c>
      <c r="Z305" t="e">
        <f t="shared" si="93"/>
        <v>#N/A</v>
      </c>
      <c r="AA305" t="e">
        <f t="shared" si="94"/>
        <v>#N/A</v>
      </c>
      <c r="AB305" t="e">
        <f t="shared" si="95"/>
        <v>#N/A</v>
      </c>
      <c r="AC305" t="e">
        <f t="shared" si="96"/>
        <v>#N/A</v>
      </c>
    </row>
    <row r="306" spans="2:29">
      <c r="B306">
        <v>292</v>
      </c>
      <c r="C306">
        <f>'Lab test'!Q295</f>
        <v>50</v>
      </c>
      <c r="D306" t="e">
        <f>IF('Lab test'!AQ295&gt;0,'Lab test'!AQ295,NA())</f>
        <v>#N/A</v>
      </c>
      <c r="E306" t="e">
        <f>IF('Lab test'!AU295&gt;0,'Lab test'!AU295,NA())</f>
        <v>#N/A</v>
      </c>
      <c r="F306" t="e">
        <f>IF('Lab test'!AT295&gt;0,'Lab test'!AT295,NA())</f>
        <v>#N/A</v>
      </c>
      <c r="G306" t="e">
        <f t="shared" si="78"/>
        <v>#N/A</v>
      </c>
      <c r="H306" t="e">
        <f t="shared" si="79"/>
        <v>#N/A</v>
      </c>
      <c r="I306" t="e">
        <f t="shared" si="80"/>
        <v>#N/A</v>
      </c>
      <c r="J306" t="e">
        <f t="shared" si="81"/>
        <v>#N/A</v>
      </c>
      <c r="K306" t="e">
        <f t="shared" si="82"/>
        <v>#N/A</v>
      </c>
      <c r="L306" t="str">
        <f>'Lab test'!AC295</f>
        <v>LTWb</v>
      </c>
      <c r="O306" t="e">
        <f t="shared" si="83"/>
        <v>#N/A</v>
      </c>
      <c r="P306" t="e">
        <f t="shared" si="84"/>
        <v>#N/A</v>
      </c>
      <c r="Q306" t="e">
        <f t="shared" si="85"/>
        <v>#N/A</v>
      </c>
      <c r="R306" t="e">
        <f t="shared" si="86"/>
        <v>#N/A</v>
      </c>
      <c r="S306" t="e">
        <f t="shared" si="87"/>
        <v>#N/A</v>
      </c>
      <c r="T306" t="e">
        <f t="shared" si="88"/>
        <v>#N/A</v>
      </c>
      <c r="U306" t="e">
        <f t="shared" si="89"/>
        <v>#N/A</v>
      </c>
      <c r="W306" t="e">
        <f t="shared" si="90"/>
        <v>#N/A</v>
      </c>
      <c r="X306" t="e">
        <f t="shared" si="91"/>
        <v>#N/A</v>
      </c>
      <c r="Y306" t="e">
        <f t="shared" si="92"/>
        <v>#N/A</v>
      </c>
      <c r="Z306" t="e">
        <f t="shared" si="93"/>
        <v>#N/A</v>
      </c>
      <c r="AA306" t="e">
        <f t="shared" si="94"/>
        <v>#N/A</v>
      </c>
      <c r="AB306" t="e">
        <f t="shared" si="95"/>
        <v>#N/A</v>
      </c>
      <c r="AC306" t="e">
        <f t="shared" si="96"/>
        <v>#N/A</v>
      </c>
    </row>
    <row r="307" spans="2:29">
      <c r="B307">
        <v>293</v>
      </c>
      <c r="C307">
        <f>'Lab test'!Q296</f>
        <v>62.5</v>
      </c>
      <c r="D307" t="e">
        <f>IF('Lab test'!AQ296&gt;0,'Lab test'!AQ296,NA())</f>
        <v>#N/A</v>
      </c>
      <c r="E307" t="e">
        <f>IF('Lab test'!AU296&gt;0,'Lab test'!AU296,NA())</f>
        <v>#N/A</v>
      </c>
      <c r="F307" t="e">
        <f>IF('Lab test'!AT296&gt;0,'Lab test'!AT296,NA())</f>
        <v>#N/A</v>
      </c>
      <c r="G307" t="e">
        <f t="shared" si="78"/>
        <v>#N/A</v>
      </c>
      <c r="H307" t="e">
        <f t="shared" si="79"/>
        <v>#N/A</v>
      </c>
      <c r="I307" t="e">
        <f t="shared" si="80"/>
        <v>#N/A</v>
      </c>
      <c r="J307" t="e">
        <f t="shared" si="81"/>
        <v>#N/A</v>
      </c>
      <c r="K307" t="e">
        <f t="shared" si="82"/>
        <v>#N/A</v>
      </c>
      <c r="L307" t="str">
        <f>'Lab test'!AC296</f>
        <v>LTWb</v>
      </c>
      <c r="O307" t="e">
        <f t="shared" si="83"/>
        <v>#N/A</v>
      </c>
      <c r="P307" t="e">
        <f t="shared" si="84"/>
        <v>#N/A</v>
      </c>
      <c r="Q307" t="e">
        <f t="shared" si="85"/>
        <v>#N/A</v>
      </c>
      <c r="R307" t="e">
        <f t="shared" si="86"/>
        <v>#N/A</v>
      </c>
      <c r="S307" t="e">
        <f t="shared" si="87"/>
        <v>#N/A</v>
      </c>
      <c r="T307" t="e">
        <f t="shared" si="88"/>
        <v>#N/A</v>
      </c>
      <c r="U307" t="e">
        <f t="shared" si="89"/>
        <v>#N/A</v>
      </c>
      <c r="W307" t="e">
        <f t="shared" si="90"/>
        <v>#N/A</v>
      </c>
      <c r="X307" t="e">
        <f t="shared" si="91"/>
        <v>#N/A</v>
      </c>
      <c r="Y307" t="e">
        <f t="shared" si="92"/>
        <v>#N/A</v>
      </c>
      <c r="Z307" t="e">
        <f t="shared" si="93"/>
        <v>#N/A</v>
      </c>
      <c r="AA307" t="e">
        <f t="shared" si="94"/>
        <v>#N/A</v>
      </c>
      <c r="AB307" t="e">
        <f t="shared" si="95"/>
        <v>#N/A</v>
      </c>
      <c r="AC307" t="e">
        <f t="shared" si="96"/>
        <v>#N/A</v>
      </c>
    </row>
    <row r="308" spans="2:29">
      <c r="B308">
        <v>294</v>
      </c>
      <c r="C308">
        <f>'Lab test'!Q297</f>
        <v>62.5</v>
      </c>
      <c r="D308" t="e">
        <f>IF('Lab test'!AQ297&gt;0,'Lab test'!AQ297,NA())</f>
        <v>#N/A</v>
      </c>
      <c r="E308" t="e">
        <f>IF('Lab test'!AU297&gt;0,'Lab test'!AU297,NA())</f>
        <v>#N/A</v>
      </c>
      <c r="F308" t="e">
        <f>IF('Lab test'!AT297&gt;0,'Lab test'!AT297,NA())</f>
        <v>#N/A</v>
      </c>
      <c r="G308" t="e">
        <f t="shared" si="78"/>
        <v>#N/A</v>
      </c>
      <c r="H308" t="e">
        <f t="shared" si="79"/>
        <v>#N/A</v>
      </c>
      <c r="I308" t="e">
        <f t="shared" si="80"/>
        <v>#N/A</v>
      </c>
      <c r="J308" t="e">
        <f t="shared" si="81"/>
        <v>#N/A</v>
      </c>
      <c r="K308" t="e">
        <f t="shared" si="82"/>
        <v>#N/A</v>
      </c>
      <c r="L308" t="str">
        <f>'Lab test'!AC297</f>
        <v>LTWb</v>
      </c>
      <c r="O308" t="e">
        <f t="shared" si="83"/>
        <v>#N/A</v>
      </c>
      <c r="P308" t="e">
        <f t="shared" si="84"/>
        <v>#N/A</v>
      </c>
      <c r="Q308" t="e">
        <f t="shared" si="85"/>
        <v>#N/A</v>
      </c>
      <c r="R308" t="e">
        <f t="shared" si="86"/>
        <v>#N/A</v>
      </c>
      <c r="S308" t="e">
        <f t="shared" si="87"/>
        <v>#N/A</v>
      </c>
      <c r="T308" t="e">
        <f t="shared" si="88"/>
        <v>#N/A</v>
      </c>
      <c r="U308" t="e">
        <f t="shared" si="89"/>
        <v>#N/A</v>
      </c>
      <c r="W308" t="e">
        <f t="shared" si="90"/>
        <v>#N/A</v>
      </c>
      <c r="X308" t="e">
        <f t="shared" si="91"/>
        <v>#N/A</v>
      </c>
      <c r="Y308" t="e">
        <f t="shared" si="92"/>
        <v>#N/A</v>
      </c>
      <c r="Z308" t="e">
        <f t="shared" si="93"/>
        <v>#N/A</v>
      </c>
      <c r="AA308" t="e">
        <f t="shared" si="94"/>
        <v>#N/A</v>
      </c>
      <c r="AB308" t="e">
        <f t="shared" si="95"/>
        <v>#N/A</v>
      </c>
      <c r="AC308" t="e">
        <f t="shared" si="96"/>
        <v>#N/A</v>
      </c>
    </row>
    <row r="309" spans="2:29">
      <c r="B309">
        <v>295</v>
      </c>
      <c r="C309">
        <f>'Lab test'!Q298</f>
        <v>62.5</v>
      </c>
      <c r="D309" t="e">
        <f>IF('Lab test'!AQ298&gt;0,'Lab test'!AQ298,NA())</f>
        <v>#N/A</v>
      </c>
      <c r="E309" t="e">
        <f>IF('Lab test'!AU298&gt;0,'Lab test'!AU298,NA())</f>
        <v>#N/A</v>
      </c>
      <c r="F309" t="e">
        <f>IF('Lab test'!AT298&gt;0,'Lab test'!AT298,NA())</f>
        <v>#N/A</v>
      </c>
      <c r="G309" t="e">
        <f t="shared" si="78"/>
        <v>#N/A</v>
      </c>
      <c r="H309" t="e">
        <f t="shared" si="79"/>
        <v>#N/A</v>
      </c>
      <c r="I309" t="e">
        <f t="shared" si="80"/>
        <v>#N/A</v>
      </c>
      <c r="J309" t="e">
        <f t="shared" si="81"/>
        <v>#N/A</v>
      </c>
      <c r="K309" t="e">
        <f t="shared" si="82"/>
        <v>#N/A</v>
      </c>
      <c r="L309" t="str">
        <f>'Lab test'!AC298</f>
        <v>LTWb</v>
      </c>
      <c r="O309" t="e">
        <f t="shared" si="83"/>
        <v>#N/A</v>
      </c>
      <c r="P309" t="e">
        <f t="shared" si="84"/>
        <v>#N/A</v>
      </c>
      <c r="Q309" t="e">
        <f t="shared" si="85"/>
        <v>#N/A</v>
      </c>
      <c r="R309" t="e">
        <f t="shared" si="86"/>
        <v>#N/A</v>
      </c>
      <c r="S309" t="e">
        <f t="shared" si="87"/>
        <v>#N/A</v>
      </c>
      <c r="T309" t="e">
        <f t="shared" si="88"/>
        <v>#N/A</v>
      </c>
      <c r="U309" t="e">
        <f t="shared" si="89"/>
        <v>#N/A</v>
      </c>
      <c r="W309" t="e">
        <f t="shared" si="90"/>
        <v>#N/A</v>
      </c>
      <c r="X309" t="e">
        <f t="shared" si="91"/>
        <v>#N/A</v>
      </c>
      <c r="Y309" t="e">
        <f t="shared" si="92"/>
        <v>#N/A</v>
      </c>
      <c r="Z309" t="e">
        <f t="shared" si="93"/>
        <v>#N/A</v>
      </c>
      <c r="AA309" t="e">
        <f t="shared" si="94"/>
        <v>#N/A</v>
      </c>
      <c r="AB309" t="e">
        <f t="shared" si="95"/>
        <v>#N/A</v>
      </c>
      <c r="AC309" t="e">
        <f t="shared" si="96"/>
        <v>#N/A</v>
      </c>
    </row>
    <row r="310" spans="2:29">
      <c r="B310">
        <v>296</v>
      </c>
      <c r="C310">
        <f>'Lab test'!Q299</f>
        <v>75</v>
      </c>
      <c r="D310" t="e">
        <f>IF('Lab test'!AQ299&gt;0,'Lab test'!AQ299,NA())</f>
        <v>#N/A</v>
      </c>
      <c r="E310" t="e">
        <f>IF('Lab test'!AU299&gt;0,'Lab test'!AU299,NA())</f>
        <v>#N/A</v>
      </c>
      <c r="F310" t="e">
        <f>IF('Lab test'!AT299&gt;0,'Lab test'!AT299,NA())</f>
        <v>#N/A</v>
      </c>
      <c r="G310" t="e">
        <f t="shared" si="78"/>
        <v>#N/A</v>
      </c>
      <c r="H310" t="e">
        <f t="shared" si="79"/>
        <v>#N/A</v>
      </c>
      <c r="I310" t="e">
        <f t="shared" si="80"/>
        <v>#N/A</v>
      </c>
      <c r="J310" t="e">
        <f t="shared" si="81"/>
        <v>#N/A</v>
      </c>
      <c r="K310" t="e">
        <f t="shared" si="82"/>
        <v>#N/A</v>
      </c>
      <c r="L310" t="str">
        <f>'Lab test'!AC299</f>
        <v>LTWb</v>
      </c>
      <c r="O310" t="e">
        <f t="shared" si="83"/>
        <v>#N/A</v>
      </c>
      <c r="P310" t="e">
        <f t="shared" si="84"/>
        <v>#N/A</v>
      </c>
      <c r="Q310" t="e">
        <f t="shared" si="85"/>
        <v>#N/A</v>
      </c>
      <c r="R310" t="e">
        <f t="shared" si="86"/>
        <v>#N/A</v>
      </c>
      <c r="S310" t="e">
        <f t="shared" si="87"/>
        <v>#N/A</v>
      </c>
      <c r="T310" t="e">
        <f t="shared" si="88"/>
        <v>#N/A</v>
      </c>
      <c r="U310" t="e">
        <f t="shared" si="89"/>
        <v>#N/A</v>
      </c>
      <c r="W310" t="e">
        <f t="shared" si="90"/>
        <v>#N/A</v>
      </c>
      <c r="X310" t="e">
        <f t="shared" si="91"/>
        <v>#N/A</v>
      </c>
      <c r="Y310" t="e">
        <f t="shared" si="92"/>
        <v>#N/A</v>
      </c>
      <c r="Z310" t="e">
        <f t="shared" si="93"/>
        <v>#N/A</v>
      </c>
      <c r="AA310" t="e">
        <f t="shared" si="94"/>
        <v>#N/A</v>
      </c>
      <c r="AB310" t="e">
        <f t="shared" si="95"/>
        <v>#N/A</v>
      </c>
      <c r="AC310" t="e">
        <f t="shared" si="96"/>
        <v>#N/A</v>
      </c>
    </row>
    <row r="311" spans="2:29">
      <c r="B311">
        <v>297</v>
      </c>
      <c r="C311">
        <f>'Lab test'!Q300</f>
        <v>75</v>
      </c>
      <c r="D311" t="e">
        <f>IF('Lab test'!AQ300&gt;0,'Lab test'!AQ300,NA())</f>
        <v>#N/A</v>
      </c>
      <c r="E311" t="e">
        <f>IF('Lab test'!AU300&gt;0,'Lab test'!AU300,NA())</f>
        <v>#N/A</v>
      </c>
      <c r="F311" t="e">
        <f>IF('Lab test'!AT300&gt;0,'Lab test'!AT300,NA())</f>
        <v>#N/A</v>
      </c>
      <c r="G311" t="e">
        <f t="shared" si="78"/>
        <v>#N/A</v>
      </c>
      <c r="H311" t="e">
        <f t="shared" si="79"/>
        <v>#N/A</v>
      </c>
      <c r="I311" t="e">
        <f t="shared" si="80"/>
        <v>#N/A</v>
      </c>
      <c r="J311" t="e">
        <f t="shared" si="81"/>
        <v>#N/A</v>
      </c>
      <c r="K311" t="e">
        <f t="shared" si="82"/>
        <v>#N/A</v>
      </c>
      <c r="L311" t="str">
        <f>'Lab test'!AC300</f>
        <v>LTWb</v>
      </c>
      <c r="O311" t="e">
        <f t="shared" si="83"/>
        <v>#N/A</v>
      </c>
      <c r="P311" t="e">
        <f t="shared" si="84"/>
        <v>#N/A</v>
      </c>
      <c r="Q311" t="e">
        <f t="shared" si="85"/>
        <v>#N/A</v>
      </c>
      <c r="R311" t="e">
        <f t="shared" si="86"/>
        <v>#N/A</v>
      </c>
      <c r="S311" t="e">
        <f t="shared" si="87"/>
        <v>#N/A</v>
      </c>
      <c r="T311" t="e">
        <f t="shared" si="88"/>
        <v>#N/A</v>
      </c>
      <c r="U311" t="e">
        <f t="shared" si="89"/>
        <v>#N/A</v>
      </c>
      <c r="W311" t="e">
        <f t="shared" si="90"/>
        <v>#N/A</v>
      </c>
      <c r="X311" t="e">
        <f t="shared" si="91"/>
        <v>#N/A</v>
      </c>
      <c r="Y311" t="e">
        <f t="shared" si="92"/>
        <v>#N/A</v>
      </c>
      <c r="Z311" t="e">
        <f t="shared" si="93"/>
        <v>#N/A</v>
      </c>
      <c r="AA311" t="e">
        <f t="shared" si="94"/>
        <v>#N/A</v>
      </c>
      <c r="AB311" t="e">
        <f t="shared" si="95"/>
        <v>#N/A</v>
      </c>
      <c r="AC311" t="e">
        <f t="shared" si="96"/>
        <v>#N/A</v>
      </c>
    </row>
    <row r="312" spans="2:29">
      <c r="B312">
        <v>298</v>
      </c>
      <c r="C312">
        <f>'Lab test'!Q301</f>
        <v>75</v>
      </c>
      <c r="D312" t="e">
        <f>IF('Lab test'!AQ301&gt;0,'Lab test'!AQ301,NA())</f>
        <v>#N/A</v>
      </c>
      <c r="E312" t="e">
        <f>IF('Lab test'!AU301&gt;0,'Lab test'!AU301,NA())</f>
        <v>#N/A</v>
      </c>
      <c r="F312" t="e">
        <f>IF('Lab test'!AT301&gt;0,'Lab test'!AT301,NA())</f>
        <v>#N/A</v>
      </c>
      <c r="G312" t="e">
        <f t="shared" si="78"/>
        <v>#N/A</v>
      </c>
      <c r="H312" t="e">
        <f t="shared" si="79"/>
        <v>#N/A</v>
      </c>
      <c r="I312" t="e">
        <f t="shared" si="80"/>
        <v>#N/A</v>
      </c>
      <c r="J312" t="e">
        <f t="shared" si="81"/>
        <v>#N/A</v>
      </c>
      <c r="K312" t="e">
        <f t="shared" si="82"/>
        <v>#N/A</v>
      </c>
      <c r="L312" t="str">
        <f>'Lab test'!AC301</f>
        <v>LTWb</v>
      </c>
      <c r="O312" t="e">
        <f t="shared" si="83"/>
        <v>#N/A</v>
      </c>
      <c r="P312" t="e">
        <f t="shared" si="84"/>
        <v>#N/A</v>
      </c>
      <c r="Q312" t="e">
        <f t="shared" si="85"/>
        <v>#N/A</v>
      </c>
      <c r="R312" t="e">
        <f t="shared" si="86"/>
        <v>#N/A</v>
      </c>
      <c r="S312" t="e">
        <f t="shared" si="87"/>
        <v>#N/A</v>
      </c>
      <c r="T312" t="e">
        <f t="shared" si="88"/>
        <v>#N/A</v>
      </c>
      <c r="U312" t="e">
        <f t="shared" si="89"/>
        <v>#N/A</v>
      </c>
      <c r="W312" t="e">
        <f t="shared" si="90"/>
        <v>#N/A</v>
      </c>
      <c r="X312" t="e">
        <f t="shared" si="91"/>
        <v>#N/A</v>
      </c>
      <c r="Y312" t="e">
        <f t="shared" si="92"/>
        <v>#N/A</v>
      </c>
      <c r="Z312" t="e">
        <f t="shared" si="93"/>
        <v>#N/A</v>
      </c>
      <c r="AA312" t="e">
        <f t="shared" si="94"/>
        <v>#N/A</v>
      </c>
      <c r="AB312" t="e">
        <f t="shared" si="95"/>
        <v>#N/A</v>
      </c>
      <c r="AC312" t="e">
        <f t="shared" si="96"/>
        <v>#N/A</v>
      </c>
    </row>
    <row r="313" spans="2:29">
      <c r="B313">
        <v>299</v>
      </c>
      <c r="C313">
        <f>'Lab test'!Q302</f>
        <v>100</v>
      </c>
      <c r="D313">
        <f>IF('Lab test'!AQ302&gt;0,'Lab test'!AQ302,NA())</f>
        <v>0.40863780013556233</v>
      </c>
      <c r="E313">
        <f>IF('Lab test'!AU302&gt;0,'Lab test'!AU302,NA())</f>
        <v>0.75421052631578955</v>
      </c>
      <c r="F313">
        <f>IF('Lab test'!AT302&gt;0,'Lab test'!AT302,NA())</f>
        <v>0.12594173288714336</v>
      </c>
      <c r="G313">
        <f t="shared" si="78"/>
        <v>1</v>
      </c>
      <c r="H313">
        <f t="shared" si="79"/>
        <v>1</v>
      </c>
      <c r="I313">
        <f t="shared" si="80"/>
        <v>1</v>
      </c>
      <c r="J313">
        <f t="shared" si="81"/>
        <v>1</v>
      </c>
      <c r="K313">
        <f t="shared" si="82"/>
        <v>1</v>
      </c>
      <c r="L313" t="str">
        <f>'Lab test'!AC302</f>
        <v>CLTW</v>
      </c>
      <c r="O313" t="e">
        <f t="shared" si="83"/>
        <v>#N/A</v>
      </c>
      <c r="P313" t="e">
        <f t="shared" si="84"/>
        <v>#N/A</v>
      </c>
      <c r="Q313" t="e">
        <f t="shared" si="85"/>
        <v>#N/A</v>
      </c>
      <c r="R313" t="e">
        <f t="shared" si="86"/>
        <v>#N/A</v>
      </c>
      <c r="S313" t="e">
        <f t="shared" si="87"/>
        <v>#N/A</v>
      </c>
      <c r="T313">
        <f t="shared" si="88"/>
        <v>0.75421052631578955</v>
      </c>
      <c r="U313" t="e">
        <f t="shared" si="89"/>
        <v>#N/A</v>
      </c>
      <c r="W313" t="e">
        <f t="shared" si="90"/>
        <v>#N/A</v>
      </c>
      <c r="X313" t="e">
        <f t="shared" si="91"/>
        <v>#N/A</v>
      </c>
      <c r="Y313" t="e">
        <f t="shared" si="92"/>
        <v>#N/A</v>
      </c>
      <c r="Z313" t="e">
        <f t="shared" si="93"/>
        <v>#N/A</v>
      </c>
      <c r="AA313" t="e">
        <f t="shared" si="94"/>
        <v>#N/A</v>
      </c>
      <c r="AB313">
        <f t="shared" si="95"/>
        <v>0.12594173288714336</v>
      </c>
      <c r="AC313" t="e">
        <f t="shared" si="96"/>
        <v>#N/A</v>
      </c>
    </row>
    <row r="314" spans="2:29">
      <c r="B314">
        <v>300</v>
      </c>
      <c r="C314">
        <f>'Lab test'!Q303</f>
        <v>100</v>
      </c>
      <c r="D314" t="e">
        <f>IF('Lab test'!AQ303&gt;0,'Lab test'!AQ303,NA())</f>
        <v>#N/A</v>
      </c>
      <c r="E314" t="e">
        <f>IF('Lab test'!AU303&gt;0,'Lab test'!AU303,NA())</f>
        <v>#N/A</v>
      </c>
      <c r="F314" t="e">
        <f>IF('Lab test'!AT303&gt;0,'Lab test'!AT303,NA())</f>
        <v>#N/A</v>
      </c>
      <c r="G314" t="e">
        <f t="shared" si="78"/>
        <v>#N/A</v>
      </c>
      <c r="H314" t="e">
        <f t="shared" si="79"/>
        <v>#N/A</v>
      </c>
      <c r="I314" t="e">
        <f t="shared" si="80"/>
        <v>#N/A</v>
      </c>
      <c r="J314" t="e">
        <f t="shared" si="81"/>
        <v>#N/A</v>
      </c>
      <c r="K314" t="e">
        <f t="shared" si="82"/>
        <v>#N/A</v>
      </c>
      <c r="L314" t="str">
        <f>'Lab test'!AC303</f>
        <v>CLTW</v>
      </c>
      <c r="O314" t="e">
        <f t="shared" si="83"/>
        <v>#N/A</v>
      </c>
      <c r="P314" t="e">
        <f t="shared" si="84"/>
        <v>#N/A</v>
      </c>
      <c r="Q314" t="e">
        <f t="shared" si="85"/>
        <v>#N/A</v>
      </c>
      <c r="R314" t="e">
        <f t="shared" si="86"/>
        <v>#N/A</v>
      </c>
      <c r="S314" t="e">
        <f t="shared" si="87"/>
        <v>#N/A</v>
      </c>
      <c r="T314" t="e">
        <f t="shared" si="88"/>
        <v>#N/A</v>
      </c>
      <c r="U314" t="e">
        <f t="shared" si="89"/>
        <v>#N/A</v>
      </c>
      <c r="W314" t="e">
        <f t="shared" si="90"/>
        <v>#N/A</v>
      </c>
      <c r="X314" t="e">
        <f t="shared" si="91"/>
        <v>#N/A</v>
      </c>
      <c r="Y314" t="e">
        <f t="shared" si="92"/>
        <v>#N/A</v>
      </c>
      <c r="Z314" t="e">
        <f t="shared" si="93"/>
        <v>#N/A</v>
      </c>
      <c r="AA314" t="e">
        <f t="shared" si="94"/>
        <v>#N/A</v>
      </c>
      <c r="AB314" t="e">
        <f t="shared" si="95"/>
        <v>#N/A</v>
      </c>
      <c r="AC314" t="e">
        <f t="shared" si="96"/>
        <v>#N/A</v>
      </c>
    </row>
    <row r="315" spans="2:29">
      <c r="B315">
        <v>301</v>
      </c>
      <c r="C315">
        <f>'Lab test'!Q304</f>
        <v>150</v>
      </c>
      <c r="D315">
        <f>IF('Lab test'!AQ304&gt;0,'Lab test'!AQ304,NA())</f>
        <v>0.5004770499727712</v>
      </c>
      <c r="E315">
        <f>IF('Lab test'!AU304&gt;0,'Lab test'!AU304,NA())</f>
        <v>0.58684210526315794</v>
      </c>
      <c r="F315">
        <f>IF('Lab test'!AT304&gt;0,'Lab test'!AT304,NA())</f>
        <v>0.14699061287770221</v>
      </c>
      <c r="G315">
        <f t="shared" si="78"/>
        <v>1</v>
      </c>
      <c r="H315">
        <f t="shared" si="79"/>
        <v>1</v>
      </c>
      <c r="I315">
        <f t="shared" si="80"/>
        <v>1</v>
      </c>
      <c r="J315">
        <f t="shared" si="81"/>
        <v>1</v>
      </c>
      <c r="K315">
        <f t="shared" si="82"/>
        <v>1</v>
      </c>
      <c r="L315" t="str">
        <f>'Lab test'!AC304</f>
        <v>CLTW</v>
      </c>
      <c r="O315" t="e">
        <f t="shared" si="83"/>
        <v>#N/A</v>
      </c>
      <c r="P315" t="e">
        <f t="shared" si="84"/>
        <v>#N/A</v>
      </c>
      <c r="Q315" t="e">
        <f t="shared" si="85"/>
        <v>#N/A</v>
      </c>
      <c r="R315" t="e">
        <f t="shared" si="86"/>
        <v>#N/A</v>
      </c>
      <c r="S315" t="e">
        <f t="shared" si="87"/>
        <v>#N/A</v>
      </c>
      <c r="T315">
        <f t="shared" si="88"/>
        <v>0.58684210526315794</v>
      </c>
      <c r="U315" t="e">
        <f t="shared" si="89"/>
        <v>#N/A</v>
      </c>
      <c r="W315" t="e">
        <f t="shared" si="90"/>
        <v>#N/A</v>
      </c>
      <c r="X315" t="e">
        <f t="shared" si="91"/>
        <v>#N/A</v>
      </c>
      <c r="Y315" t="e">
        <f t="shared" si="92"/>
        <v>#N/A</v>
      </c>
      <c r="Z315" t="e">
        <f t="shared" si="93"/>
        <v>#N/A</v>
      </c>
      <c r="AA315" t="e">
        <f t="shared" si="94"/>
        <v>#N/A</v>
      </c>
      <c r="AB315">
        <f t="shared" si="95"/>
        <v>0.14699061287770221</v>
      </c>
      <c r="AC315" t="e">
        <f t="shared" si="96"/>
        <v>#N/A</v>
      </c>
    </row>
    <row r="316" spans="2:29">
      <c r="B316">
        <v>302</v>
      </c>
      <c r="C316">
        <f>'Lab test'!Q305</f>
        <v>150</v>
      </c>
      <c r="D316" t="e">
        <f>IF('Lab test'!AQ305&gt;0,'Lab test'!AQ305,NA())</f>
        <v>#N/A</v>
      </c>
      <c r="E316" t="e">
        <f>IF('Lab test'!AU305&gt;0,'Lab test'!AU305,NA())</f>
        <v>#N/A</v>
      </c>
      <c r="F316" t="e">
        <f>IF('Lab test'!AT305&gt;0,'Lab test'!AT305,NA())</f>
        <v>#N/A</v>
      </c>
      <c r="G316" t="e">
        <f t="shared" si="78"/>
        <v>#N/A</v>
      </c>
      <c r="H316" t="e">
        <f t="shared" si="79"/>
        <v>#N/A</v>
      </c>
      <c r="I316" t="e">
        <f t="shared" si="80"/>
        <v>#N/A</v>
      </c>
      <c r="J316" t="e">
        <f t="shared" si="81"/>
        <v>#N/A</v>
      </c>
      <c r="K316" t="e">
        <f t="shared" si="82"/>
        <v>#N/A</v>
      </c>
      <c r="L316" t="str">
        <f>'Lab test'!AC305</f>
        <v>CLTW</v>
      </c>
      <c r="O316" t="e">
        <f t="shared" si="83"/>
        <v>#N/A</v>
      </c>
      <c r="P316" t="e">
        <f t="shared" si="84"/>
        <v>#N/A</v>
      </c>
      <c r="Q316" t="e">
        <f t="shared" si="85"/>
        <v>#N/A</v>
      </c>
      <c r="R316" t="e">
        <f t="shared" si="86"/>
        <v>#N/A</v>
      </c>
      <c r="S316" t="e">
        <f t="shared" si="87"/>
        <v>#N/A</v>
      </c>
      <c r="T316" t="e">
        <f t="shared" si="88"/>
        <v>#N/A</v>
      </c>
      <c r="U316" t="e">
        <f t="shared" si="89"/>
        <v>#N/A</v>
      </c>
      <c r="W316" t="e">
        <f t="shared" si="90"/>
        <v>#N/A</v>
      </c>
      <c r="X316" t="e">
        <f t="shared" si="91"/>
        <v>#N/A</v>
      </c>
      <c r="Y316" t="e">
        <f t="shared" si="92"/>
        <v>#N/A</v>
      </c>
      <c r="Z316" t="e">
        <f t="shared" si="93"/>
        <v>#N/A</v>
      </c>
      <c r="AA316" t="e">
        <f t="shared" si="94"/>
        <v>#N/A</v>
      </c>
      <c r="AB316" t="e">
        <f t="shared" si="95"/>
        <v>#N/A</v>
      </c>
      <c r="AC316" t="e">
        <f t="shared" si="96"/>
        <v>#N/A</v>
      </c>
    </row>
    <row r="317" spans="2:29">
      <c r="B317">
        <v>303</v>
      </c>
      <c r="C317">
        <f>'Lab test'!Q306</f>
        <v>10.36331</v>
      </c>
      <c r="D317">
        <f>IF('Lab test'!AQ306&gt;0,'Lab test'!AQ306,NA())</f>
        <v>0.17886578339328085</v>
      </c>
      <c r="E317">
        <f>IF('Lab test'!AU306&gt;0,'Lab test'!AU306,NA())</f>
        <v>1.5874861716202324</v>
      </c>
      <c r="F317">
        <f>IF('Lab test'!AT306&gt;0,'Lab test'!AT306,NA())</f>
        <v>5.0788395033448272E-2</v>
      </c>
      <c r="G317">
        <f t="shared" si="78"/>
        <v>1</v>
      </c>
      <c r="H317">
        <f t="shared" si="79"/>
        <v>1</v>
      </c>
      <c r="I317">
        <f t="shared" si="80"/>
        <v>1</v>
      </c>
      <c r="J317">
        <f t="shared" si="81"/>
        <v>1</v>
      </c>
      <c r="K317">
        <f t="shared" si="82"/>
        <v>1</v>
      </c>
      <c r="L317" t="str">
        <f>'Lab test'!AC306</f>
        <v>Tubes</v>
      </c>
      <c r="O317" t="e">
        <f t="shared" si="83"/>
        <v>#N/A</v>
      </c>
      <c r="P317" t="e">
        <f t="shared" si="84"/>
        <v>#N/A</v>
      </c>
      <c r="Q317" t="e">
        <f t="shared" si="85"/>
        <v>#N/A</v>
      </c>
      <c r="R317" t="e">
        <f t="shared" si="86"/>
        <v>#N/A</v>
      </c>
      <c r="S317">
        <f t="shared" si="87"/>
        <v>1.5874861716202324</v>
      </c>
      <c r="T317" t="e">
        <f t="shared" si="88"/>
        <v>#N/A</v>
      </c>
      <c r="U317" t="e">
        <f t="shared" si="89"/>
        <v>#N/A</v>
      </c>
      <c r="W317" t="e">
        <f t="shared" si="90"/>
        <v>#N/A</v>
      </c>
      <c r="X317" t="e">
        <f t="shared" si="91"/>
        <v>#N/A</v>
      </c>
      <c r="Y317" t="e">
        <f t="shared" si="92"/>
        <v>#N/A</v>
      </c>
      <c r="Z317" t="e">
        <f t="shared" si="93"/>
        <v>#N/A</v>
      </c>
      <c r="AA317">
        <f t="shared" si="94"/>
        <v>5.0788395033448272E-2</v>
      </c>
      <c r="AB317" t="e">
        <f t="shared" si="95"/>
        <v>#N/A</v>
      </c>
      <c r="AC317" t="e">
        <f t="shared" si="96"/>
        <v>#N/A</v>
      </c>
    </row>
    <row r="318" spans="2:29">
      <c r="B318">
        <v>304</v>
      </c>
      <c r="C318">
        <f>'Lab test'!Q307</f>
        <v>12.322150000000001</v>
      </c>
      <c r="D318">
        <f>IF('Lab test'!AQ307&gt;0,'Lab test'!AQ307,NA())</f>
        <v>0.17757017871410097</v>
      </c>
      <c r="E318">
        <f>IF('Lab test'!AU307&gt;0,'Lab test'!AU307,NA())</f>
        <v>1.5869004051105828</v>
      </c>
      <c r="F318">
        <f>IF('Lab test'!AT307&gt;0,'Lab test'!AT307,NA())</f>
        <v>5.0036823857674308E-2</v>
      </c>
      <c r="G318">
        <f t="shared" si="78"/>
        <v>1</v>
      </c>
      <c r="H318">
        <f t="shared" si="79"/>
        <v>1</v>
      </c>
      <c r="I318">
        <f t="shared" si="80"/>
        <v>1</v>
      </c>
      <c r="J318">
        <f t="shared" si="81"/>
        <v>1</v>
      </c>
      <c r="K318">
        <f t="shared" si="82"/>
        <v>1</v>
      </c>
      <c r="L318" t="str">
        <f>'Lab test'!AC307</f>
        <v>Tubes</v>
      </c>
      <c r="O318" t="e">
        <f t="shared" si="83"/>
        <v>#N/A</v>
      </c>
      <c r="P318" t="e">
        <f t="shared" si="84"/>
        <v>#N/A</v>
      </c>
      <c r="Q318" t="e">
        <f t="shared" si="85"/>
        <v>#N/A</v>
      </c>
      <c r="R318" t="e">
        <f t="shared" si="86"/>
        <v>#N/A</v>
      </c>
      <c r="S318">
        <f t="shared" si="87"/>
        <v>1.5869004051105828</v>
      </c>
      <c r="T318" t="e">
        <f t="shared" si="88"/>
        <v>#N/A</v>
      </c>
      <c r="U318" t="e">
        <f t="shared" si="89"/>
        <v>#N/A</v>
      </c>
      <c r="W318" t="e">
        <f t="shared" si="90"/>
        <v>#N/A</v>
      </c>
      <c r="X318" t="e">
        <f t="shared" si="91"/>
        <v>#N/A</v>
      </c>
      <c r="Y318" t="e">
        <f t="shared" si="92"/>
        <v>#N/A</v>
      </c>
      <c r="Z318" t="e">
        <f t="shared" si="93"/>
        <v>#N/A</v>
      </c>
      <c r="AA318">
        <f t="shared" si="94"/>
        <v>5.0036823857674308E-2</v>
      </c>
      <c r="AB318" t="e">
        <f t="shared" si="95"/>
        <v>#N/A</v>
      </c>
      <c r="AC318" t="e">
        <f t="shared" si="96"/>
        <v>#N/A</v>
      </c>
    </row>
    <row r="319" spans="2:29">
      <c r="B319">
        <v>305</v>
      </c>
      <c r="C319">
        <f>'Lab test'!Q308</f>
        <v>19.31315</v>
      </c>
      <c r="D319">
        <f>IF('Lab test'!AQ308&gt;0,'Lab test'!AQ308,NA())</f>
        <v>0.22245665397328121</v>
      </c>
      <c r="E319">
        <f>IF('Lab test'!AU308&gt;0,'Lab test'!AU308,NA())</f>
        <v>1.3020624788107931</v>
      </c>
      <c r="F319">
        <f>IF('Lab test'!AT308&gt;0,'Lab test'!AT308,NA())</f>
        <v>6.4435117578470175E-2</v>
      </c>
      <c r="G319">
        <f t="shared" si="78"/>
        <v>1</v>
      </c>
      <c r="H319">
        <f t="shared" si="79"/>
        <v>1</v>
      </c>
      <c r="I319">
        <f t="shared" si="80"/>
        <v>1</v>
      </c>
      <c r="J319">
        <f t="shared" si="81"/>
        <v>1</v>
      </c>
      <c r="K319">
        <f t="shared" si="82"/>
        <v>1</v>
      </c>
      <c r="L319" t="str">
        <f>'Lab test'!AC308</f>
        <v>Tubes</v>
      </c>
      <c r="O319" t="e">
        <f t="shared" si="83"/>
        <v>#N/A</v>
      </c>
      <c r="P319" t="e">
        <f t="shared" si="84"/>
        <v>#N/A</v>
      </c>
      <c r="Q319" t="e">
        <f t="shared" si="85"/>
        <v>#N/A</v>
      </c>
      <c r="R319" t="e">
        <f t="shared" si="86"/>
        <v>#N/A</v>
      </c>
      <c r="S319">
        <f t="shared" si="87"/>
        <v>1.3020624788107931</v>
      </c>
      <c r="T319" t="e">
        <f t="shared" si="88"/>
        <v>#N/A</v>
      </c>
      <c r="U319" t="e">
        <f t="shared" si="89"/>
        <v>#N/A</v>
      </c>
      <c r="W319" t="e">
        <f t="shared" si="90"/>
        <v>#N/A</v>
      </c>
      <c r="X319" t="e">
        <f t="shared" si="91"/>
        <v>#N/A</v>
      </c>
      <c r="Y319" t="e">
        <f t="shared" si="92"/>
        <v>#N/A</v>
      </c>
      <c r="Z319" t="e">
        <f t="shared" si="93"/>
        <v>#N/A</v>
      </c>
      <c r="AA319">
        <f t="shared" si="94"/>
        <v>6.4435117578470175E-2</v>
      </c>
      <c r="AB319" t="e">
        <f t="shared" si="95"/>
        <v>#N/A</v>
      </c>
      <c r="AC319" t="e">
        <f t="shared" si="96"/>
        <v>#N/A</v>
      </c>
    </row>
    <row r="320" spans="2:29">
      <c r="B320">
        <v>306</v>
      </c>
      <c r="C320">
        <f>'Lab test'!Q309</f>
        <v>23.438359999999999</v>
      </c>
      <c r="D320">
        <f>IF('Lab test'!AQ309&gt;0,'Lab test'!AQ309,NA())</f>
        <v>0.25794467871866744</v>
      </c>
      <c r="E320">
        <f>IF('Lab test'!AU309&gt;0,'Lab test'!AU309,NA())</f>
        <v>1.1250588124005259</v>
      </c>
      <c r="F320">
        <f>IF('Lab test'!AT309&gt;0,'Lab test'!AT309,NA())</f>
        <v>7.4856302549148837E-2</v>
      </c>
      <c r="G320">
        <f t="shared" si="78"/>
        <v>1</v>
      </c>
      <c r="H320">
        <f t="shared" si="79"/>
        <v>1</v>
      </c>
      <c r="I320">
        <f t="shared" si="80"/>
        <v>1</v>
      </c>
      <c r="J320">
        <f t="shared" si="81"/>
        <v>1</v>
      </c>
      <c r="K320">
        <f t="shared" si="82"/>
        <v>1</v>
      </c>
      <c r="L320" t="str">
        <f>'Lab test'!AC309</f>
        <v>Tubes</v>
      </c>
      <c r="O320" t="e">
        <f t="shared" si="83"/>
        <v>#N/A</v>
      </c>
      <c r="P320" t="e">
        <f t="shared" si="84"/>
        <v>#N/A</v>
      </c>
      <c r="Q320" t="e">
        <f t="shared" si="85"/>
        <v>#N/A</v>
      </c>
      <c r="R320" t="e">
        <f t="shared" si="86"/>
        <v>#N/A</v>
      </c>
      <c r="S320">
        <f t="shared" si="87"/>
        <v>1.1250588124005259</v>
      </c>
      <c r="T320" t="e">
        <f t="shared" si="88"/>
        <v>#N/A</v>
      </c>
      <c r="U320" t="e">
        <f t="shared" si="89"/>
        <v>#N/A</v>
      </c>
      <c r="W320" t="e">
        <f t="shared" si="90"/>
        <v>#N/A</v>
      </c>
      <c r="X320" t="e">
        <f t="shared" si="91"/>
        <v>#N/A</v>
      </c>
      <c r="Y320" t="e">
        <f t="shared" si="92"/>
        <v>#N/A</v>
      </c>
      <c r="Z320" t="e">
        <f t="shared" si="93"/>
        <v>#N/A</v>
      </c>
      <c r="AA320">
        <f t="shared" si="94"/>
        <v>7.4856302549148837E-2</v>
      </c>
      <c r="AB320" t="e">
        <f t="shared" si="95"/>
        <v>#N/A</v>
      </c>
      <c r="AC320" t="e">
        <f t="shared" si="96"/>
        <v>#N/A</v>
      </c>
    </row>
    <row r="321" spans="2:29">
      <c r="B321">
        <v>307</v>
      </c>
      <c r="C321">
        <f>'Lab test'!Q310</f>
        <v>30.294117647058826</v>
      </c>
      <c r="D321" t="e">
        <f>IF('Lab test'!AQ310&gt;0,'Lab test'!AQ310,NA())</f>
        <v>#N/A</v>
      </c>
      <c r="E321" t="e">
        <f>IF('Lab test'!AU310&gt;0,'Lab test'!AU310,NA())</f>
        <v>#N/A</v>
      </c>
      <c r="F321">
        <f>IF('Lab test'!AT310&gt;0,'Lab test'!AT310,NA())</f>
        <v>7.4469224855689145E-2</v>
      </c>
      <c r="G321" t="e">
        <f t="shared" si="78"/>
        <v>#N/A</v>
      </c>
      <c r="H321" t="e">
        <f t="shared" si="79"/>
        <v>#N/A</v>
      </c>
      <c r="I321" t="e">
        <f t="shared" si="80"/>
        <v>#N/A</v>
      </c>
      <c r="J321">
        <f t="shared" si="81"/>
        <v>1</v>
      </c>
      <c r="K321">
        <f t="shared" si="82"/>
        <v>1</v>
      </c>
      <c r="L321" t="str">
        <f>'Lab test'!AC310</f>
        <v>Miscellaneous</v>
      </c>
      <c r="O321" t="e">
        <f t="shared" si="83"/>
        <v>#N/A</v>
      </c>
      <c r="P321" t="e">
        <f t="shared" si="84"/>
        <v>#N/A</v>
      </c>
      <c r="Q321" t="e">
        <f t="shared" si="85"/>
        <v>#N/A</v>
      </c>
      <c r="R321" t="e">
        <f t="shared" si="86"/>
        <v>#N/A</v>
      </c>
      <c r="S321" t="e">
        <f t="shared" si="87"/>
        <v>#N/A</v>
      </c>
      <c r="T321" t="e">
        <f t="shared" si="88"/>
        <v>#N/A</v>
      </c>
      <c r="U321" t="e">
        <f t="shared" si="89"/>
        <v>#N/A</v>
      </c>
      <c r="W321" t="e">
        <f t="shared" si="90"/>
        <v>#N/A</v>
      </c>
      <c r="X321" t="e">
        <f t="shared" si="91"/>
        <v>#N/A</v>
      </c>
      <c r="Y321" t="e">
        <f t="shared" si="92"/>
        <v>#N/A</v>
      </c>
      <c r="Z321" t="e">
        <f t="shared" si="93"/>
        <v>#N/A</v>
      </c>
      <c r="AA321" t="e">
        <f t="shared" si="94"/>
        <v>#N/A</v>
      </c>
      <c r="AB321" t="e">
        <f t="shared" si="95"/>
        <v>#N/A</v>
      </c>
      <c r="AC321">
        <f t="shared" si="96"/>
        <v>7.4469224855689145E-2</v>
      </c>
    </row>
    <row r="322" spans="2:29">
      <c r="B322">
        <v>308</v>
      </c>
      <c r="C322">
        <f>'Lab test'!Q311</f>
        <v>34.333333333333336</v>
      </c>
      <c r="D322" t="e">
        <f>IF('Lab test'!AQ311&gt;0,'Lab test'!AQ311,NA())</f>
        <v>#N/A</v>
      </c>
      <c r="E322" t="e">
        <f>IF('Lab test'!AU311&gt;0,'Lab test'!AU311,NA())</f>
        <v>#N/A</v>
      </c>
      <c r="F322">
        <f>IF('Lab test'!AT311&gt;0,'Lab test'!AT311,NA())</f>
        <v>8.9075535875300829E-2</v>
      </c>
      <c r="G322" t="e">
        <f t="shared" si="78"/>
        <v>#N/A</v>
      </c>
      <c r="H322" t="e">
        <f t="shared" si="79"/>
        <v>#N/A</v>
      </c>
      <c r="I322" t="e">
        <f t="shared" si="80"/>
        <v>#N/A</v>
      </c>
      <c r="J322">
        <f t="shared" si="81"/>
        <v>1</v>
      </c>
      <c r="K322">
        <f t="shared" si="82"/>
        <v>1</v>
      </c>
      <c r="L322" t="str">
        <f>'Lab test'!AC311</f>
        <v>Miscellaneous</v>
      </c>
      <c r="O322" t="e">
        <f t="shared" si="83"/>
        <v>#N/A</v>
      </c>
      <c r="P322" t="e">
        <f t="shared" si="84"/>
        <v>#N/A</v>
      </c>
      <c r="Q322" t="e">
        <f t="shared" si="85"/>
        <v>#N/A</v>
      </c>
      <c r="R322" t="e">
        <f t="shared" si="86"/>
        <v>#N/A</v>
      </c>
      <c r="S322" t="e">
        <f t="shared" si="87"/>
        <v>#N/A</v>
      </c>
      <c r="T322" t="e">
        <f t="shared" si="88"/>
        <v>#N/A</v>
      </c>
      <c r="U322" t="e">
        <f t="shared" si="89"/>
        <v>#N/A</v>
      </c>
      <c r="W322" t="e">
        <f t="shared" si="90"/>
        <v>#N/A</v>
      </c>
      <c r="X322" t="e">
        <f t="shared" si="91"/>
        <v>#N/A</v>
      </c>
      <c r="Y322" t="e">
        <f t="shared" si="92"/>
        <v>#N/A</v>
      </c>
      <c r="Z322" t="e">
        <f t="shared" si="93"/>
        <v>#N/A</v>
      </c>
      <c r="AA322" t="e">
        <f t="shared" si="94"/>
        <v>#N/A</v>
      </c>
      <c r="AB322" t="e">
        <f t="shared" si="95"/>
        <v>#N/A</v>
      </c>
      <c r="AC322">
        <f t="shared" si="96"/>
        <v>8.9075535875300829E-2</v>
      </c>
    </row>
    <row r="323" spans="2:29">
      <c r="B323">
        <v>309</v>
      </c>
      <c r="C323">
        <f>'Lab test'!Q312</f>
        <v>36.428571428571423</v>
      </c>
      <c r="D323" t="e">
        <f>IF('Lab test'!AQ312&gt;0,'Lab test'!AQ312,NA())</f>
        <v>#N/A</v>
      </c>
      <c r="E323" t="e">
        <f>IF('Lab test'!AU312&gt;0,'Lab test'!AU312,NA())</f>
        <v>#N/A</v>
      </c>
      <c r="F323">
        <f>IF('Lab test'!AT312&gt;0,'Lab test'!AT312,NA())</f>
        <v>0.12553628027610716</v>
      </c>
      <c r="G323" t="e">
        <f t="shared" si="78"/>
        <v>#N/A</v>
      </c>
      <c r="H323" t="e">
        <f t="shared" si="79"/>
        <v>#N/A</v>
      </c>
      <c r="I323" t="e">
        <f t="shared" si="80"/>
        <v>#N/A</v>
      </c>
      <c r="J323">
        <f t="shared" si="81"/>
        <v>1</v>
      </c>
      <c r="K323">
        <f t="shared" si="82"/>
        <v>1</v>
      </c>
      <c r="L323" t="str">
        <f>'Lab test'!AC312</f>
        <v>Miscellaneous</v>
      </c>
      <c r="O323" t="e">
        <f t="shared" si="83"/>
        <v>#N/A</v>
      </c>
      <c r="P323" t="e">
        <f t="shared" si="84"/>
        <v>#N/A</v>
      </c>
      <c r="Q323" t="e">
        <f t="shared" si="85"/>
        <v>#N/A</v>
      </c>
      <c r="R323" t="e">
        <f t="shared" si="86"/>
        <v>#N/A</v>
      </c>
      <c r="S323" t="e">
        <f t="shared" si="87"/>
        <v>#N/A</v>
      </c>
      <c r="T323" t="e">
        <f t="shared" si="88"/>
        <v>#N/A</v>
      </c>
      <c r="U323" t="e">
        <f t="shared" si="89"/>
        <v>#N/A</v>
      </c>
      <c r="W323" t="e">
        <f t="shared" si="90"/>
        <v>#N/A</v>
      </c>
      <c r="X323" t="e">
        <f t="shared" si="91"/>
        <v>#N/A</v>
      </c>
      <c r="Y323" t="e">
        <f t="shared" si="92"/>
        <v>#N/A</v>
      </c>
      <c r="Z323" t="e">
        <f t="shared" si="93"/>
        <v>#N/A</v>
      </c>
      <c r="AA323" t="e">
        <f t="shared" si="94"/>
        <v>#N/A</v>
      </c>
      <c r="AB323" t="e">
        <f t="shared" si="95"/>
        <v>#N/A</v>
      </c>
      <c r="AC323">
        <f t="shared" si="96"/>
        <v>0.12553628027610716</v>
      </c>
    </row>
    <row r="324" spans="2:29">
      <c r="B324">
        <v>310</v>
      </c>
      <c r="C324">
        <f>'Lab test'!Q313</f>
        <v>36.666666666666664</v>
      </c>
      <c r="D324" t="e">
        <f>IF('Lab test'!AQ313&gt;0,'Lab test'!AQ313,NA())</f>
        <v>#N/A</v>
      </c>
      <c r="E324" t="e">
        <f>IF('Lab test'!AU313&gt;0,'Lab test'!AU313,NA())</f>
        <v>#N/A</v>
      </c>
      <c r="F324">
        <f>IF('Lab test'!AT313&gt;0,'Lab test'!AT313,NA())</f>
        <v>9.0518265251719382E-2</v>
      </c>
      <c r="G324" t="e">
        <f t="shared" si="78"/>
        <v>#N/A</v>
      </c>
      <c r="H324" t="e">
        <f t="shared" si="79"/>
        <v>#N/A</v>
      </c>
      <c r="I324" t="e">
        <f t="shared" si="80"/>
        <v>#N/A</v>
      </c>
      <c r="J324">
        <f t="shared" si="81"/>
        <v>1</v>
      </c>
      <c r="K324">
        <f t="shared" si="82"/>
        <v>1</v>
      </c>
      <c r="L324" t="str">
        <f>'Lab test'!AC313</f>
        <v>Miscellaneous</v>
      </c>
      <c r="O324" t="e">
        <f t="shared" si="83"/>
        <v>#N/A</v>
      </c>
      <c r="P324" t="e">
        <f t="shared" si="84"/>
        <v>#N/A</v>
      </c>
      <c r="Q324" t="e">
        <f t="shared" si="85"/>
        <v>#N/A</v>
      </c>
      <c r="R324" t="e">
        <f t="shared" si="86"/>
        <v>#N/A</v>
      </c>
      <c r="S324" t="e">
        <f t="shared" si="87"/>
        <v>#N/A</v>
      </c>
      <c r="T324" t="e">
        <f t="shared" si="88"/>
        <v>#N/A</v>
      </c>
      <c r="U324" t="e">
        <f t="shared" si="89"/>
        <v>#N/A</v>
      </c>
      <c r="W324" t="e">
        <f t="shared" si="90"/>
        <v>#N/A</v>
      </c>
      <c r="X324" t="e">
        <f t="shared" si="91"/>
        <v>#N/A</v>
      </c>
      <c r="Y324" t="e">
        <f t="shared" si="92"/>
        <v>#N/A</v>
      </c>
      <c r="Z324" t="e">
        <f t="shared" si="93"/>
        <v>#N/A</v>
      </c>
      <c r="AA324" t="e">
        <f t="shared" si="94"/>
        <v>#N/A</v>
      </c>
      <c r="AB324" t="e">
        <f t="shared" si="95"/>
        <v>#N/A</v>
      </c>
      <c r="AC324">
        <f t="shared" si="96"/>
        <v>9.0518265251719382E-2</v>
      </c>
    </row>
    <row r="325" spans="2:29">
      <c r="B325">
        <v>311</v>
      </c>
      <c r="C325">
        <f>'Lab test'!Q314</f>
        <v>48.333333333333329</v>
      </c>
      <c r="D325" t="e">
        <f>IF('Lab test'!AQ314&gt;0,'Lab test'!AQ314,NA())</f>
        <v>#N/A</v>
      </c>
      <c r="E325" t="e">
        <f>IF('Lab test'!AU314&gt;0,'Lab test'!AU314,NA())</f>
        <v>#N/A</v>
      </c>
      <c r="F325">
        <f>IF('Lab test'!AT314&gt;0,'Lab test'!AT314,NA())</f>
        <v>0.10967906592544101</v>
      </c>
      <c r="G325" t="e">
        <f t="shared" si="78"/>
        <v>#N/A</v>
      </c>
      <c r="H325" t="e">
        <f t="shared" si="79"/>
        <v>#N/A</v>
      </c>
      <c r="I325" t="e">
        <f t="shared" si="80"/>
        <v>#N/A</v>
      </c>
      <c r="J325">
        <f t="shared" si="81"/>
        <v>1</v>
      </c>
      <c r="K325">
        <f t="shared" si="82"/>
        <v>1</v>
      </c>
      <c r="L325" t="str">
        <f>'Lab test'!AC314</f>
        <v>Miscellaneous</v>
      </c>
      <c r="O325" t="e">
        <f t="shared" si="83"/>
        <v>#N/A</v>
      </c>
      <c r="P325" t="e">
        <f t="shared" si="84"/>
        <v>#N/A</v>
      </c>
      <c r="Q325" t="e">
        <f t="shared" si="85"/>
        <v>#N/A</v>
      </c>
      <c r="R325" t="e">
        <f t="shared" si="86"/>
        <v>#N/A</v>
      </c>
      <c r="S325" t="e">
        <f t="shared" si="87"/>
        <v>#N/A</v>
      </c>
      <c r="T325" t="e">
        <f t="shared" si="88"/>
        <v>#N/A</v>
      </c>
      <c r="U325" t="e">
        <f t="shared" si="89"/>
        <v>#N/A</v>
      </c>
      <c r="W325" t="e">
        <f t="shared" si="90"/>
        <v>#N/A</v>
      </c>
      <c r="X325" t="e">
        <f t="shared" si="91"/>
        <v>#N/A</v>
      </c>
      <c r="Y325" t="e">
        <f t="shared" si="92"/>
        <v>#N/A</v>
      </c>
      <c r="Z325" t="e">
        <f t="shared" si="93"/>
        <v>#N/A</v>
      </c>
      <c r="AA325" t="e">
        <f t="shared" si="94"/>
        <v>#N/A</v>
      </c>
      <c r="AB325" t="e">
        <f t="shared" si="95"/>
        <v>#N/A</v>
      </c>
      <c r="AC325">
        <f t="shared" si="96"/>
        <v>0.10967906592544101</v>
      </c>
    </row>
    <row r="326" spans="2:29">
      <c r="B326">
        <v>312</v>
      </c>
      <c r="C326">
        <f>'Lab test'!Q315</f>
        <v>48.333333333333329</v>
      </c>
      <c r="D326" t="e">
        <f>IF('Lab test'!AQ315&gt;0,'Lab test'!AQ315,NA())</f>
        <v>#N/A</v>
      </c>
      <c r="E326" t="e">
        <f>IF('Lab test'!AU315&gt;0,'Lab test'!AU315,NA())</f>
        <v>#N/A</v>
      </c>
      <c r="F326">
        <f>IF('Lab test'!AT315&gt;0,'Lab test'!AT315,NA())</f>
        <v>0.11562552130694083</v>
      </c>
      <c r="G326" t="e">
        <f t="shared" si="78"/>
        <v>#N/A</v>
      </c>
      <c r="H326" t="e">
        <f t="shared" si="79"/>
        <v>#N/A</v>
      </c>
      <c r="I326" t="e">
        <f t="shared" si="80"/>
        <v>#N/A</v>
      </c>
      <c r="J326">
        <f t="shared" si="81"/>
        <v>1</v>
      </c>
      <c r="K326">
        <f t="shared" si="82"/>
        <v>1</v>
      </c>
      <c r="L326" t="str">
        <f>'Lab test'!AC315</f>
        <v>Miscellaneous</v>
      </c>
      <c r="O326" t="e">
        <f t="shared" si="83"/>
        <v>#N/A</v>
      </c>
      <c r="P326" t="e">
        <f t="shared" si="84"/>
        <v>#N/A</v>
      </c>
      <c r="Q326" t="e">
        <f t="shared" si="85"/>
        <v>#N/A</v>
      </c>
      <c r="R326" t="e">
        <f t="shared" si="86"/>
        <v>#N/A</v>
      </c>
      <c r="S326" t="e">
        <f t="shared" si="87"/>
        <v>#N/A</v>
      </c>
      <c r="T326" t="e">
        <f t="shared" si="88"/>
        <v>#N/A</v>
      </c>
      <c r="U326" t="e">
        <f t="shared" si="89"/>
        <v>#N/A</v>
      </c>
      <c r="W326" t="e">
        <f t="shared" si="90"/>
        <v>#N/A</v>
      </c>
      <c r="X326" t="e">
        <f t="shared" si="91"/>
        <v>#N/A</v>
      </c>
      <c r="Y326" t="e">
        <f t="shared" si="92"/>
        <v>#N/A</v>
      </c>
      <c r="Z326" t="e">
        <f t="shared" si="93"/>
        <v>#N/A</v>
      </c>
      <c r="AA326" t="e">
        <f t="shared" si="94"/>
        <v>#N/A</v>
      </c>
      <c r="AB326" t="e">
        <f t="shared" si="95"/>
        <v>#N/A</v>
      </c>
      <c r="AC326">
        <f t="shared" si="96"/>
        <v>0.11562552130694083</v>
      </c>
    </row>
    <row r="327" spans="2:29">
      <c r="B327">
        <v>313</v>
      </c>
      <c r="C327">
        <f>'Lab test'!Q316</f>
        <v>60.476190476190474</v>
      </c>
      <c r="D327" t="e">
        <f>IF('Lab test'!AQ316&gt;0,'Lab test'!AQ316,NA())</f>
        <v>#N/A</v>
      </c>
      <c r="E327" t="e">
        <f>IF('Lab test'!AU316&gt;0,'Lab test'!AU316,NA())</f>
        <v>#N/A</v>
      </c>
      <c r="F327">
        <f>IF('Lab test'!AT316&gt;0,'Lab test'!AT316,NA())</f>
        <v>0.13379524608374582</v>
      </c>
      <c r="G327" t="e">
        <f t="shared" si="78"/>
        <v>#N/A</v>
      </c>
      <c r="H327" t="e">
        <f t="shared" si="79"/>
        <v>#N/A</v>
      </c>
      <c r="I327" t="e">
        <f t="shared" si="80"/>
        <v>#N/A</v>
      </c>
      <c r="J327">
        <f t="shared" si="81"/>
        <v>1</v>
      </c>
      <c r="K327">
        <f t="shared" si="82"/>
        <v>1</v>
      </c>
      <c r="L327" t="str">
        <f>'Lab test'!AC316</f>
        <v>Miscellaneous</v>
      </c>
      <c r="O327" t="e">
        <f t="shared" si="83"/>
        <v>#N/A</v>
      </c>
      <c r="P327" t="e">
        <f t="shared" si="84"/>
        <v>#N/A</v>
      </c>
      <c r="Q327" t="e">
        <f t="shared" si="85"/>
        <v>#N/A</v>
      </c>
      <c r="R327" t="e">
        <f t="shared" si="86"/>
        <v>#N/A</v>
      </c>
      <c r="S327" t="e">
        <f t="shared" si="87"/>
        <v>#N/A</v>
      </c>
      <c r="T327" t="e">
        <f t="shared" si="88"/>
        <v>#N/A</v>
      </c>
      <c r="U327" t="e">
        <f t="shared" si="89"/>
        <v>#N/A</v>
      </c>
      <c r="W327" t="e">
        <f t="shared" si="90"/>
        <v>#N/A</v>
      </c>
      <c r="X327" t="e">
        <f t="shared" si="91"/>
        <v>#N/A</v>
      </c>
      <c r="Y327" t="e">
        <f t="shared" si="92"/>
        <v>#N/A</v>
      </c>
      <c r="Z327" t="e">
        <f t="shared" si="93"/>
        <v>#N/A</v>
      </c>
      <c r="AA327" t="e">
        <f t="shared" si="94"/>
        <v>#N/A</v>
      </c>
      <c r="AB327" t="e">
        <f t="shared" si="95"/>
        <v>#N/A</v>
      </c>
      <c r="AC327">
        <f t="shared" si="96"/>
        <v>0.13379524608374582</v>
      </c>
    </row>
    <row r="328" spans="2:29">
      <c r="B328">
        <v>314</v>
      </c>
      <c r="C328">
        <f>'Lab test'!Q317</f>
        <v>60.476190476190474</v>
      </c>
      <c r="D328" t="e">
        <f>IF('Lab test'!AQ317&gt;0,'Lab test'!AQ317,NA())</f>
        <v>#N/A</v>
      </c>
      <c r="E328" t="e">
        <f>IF('Lab test'!AU317&gt;0,'Lab test'!AU317,NA())</f>
        <v>#N/A</v>
      </c>
      <c r="F328">
        <f>IF('Lab test'!AT317&gt;0,'Lab test'!AT317,NA())</f>
        <v>0.13049165976069035</v>
      </c>
      <c r="G328" t="e">
        <f t="shared" si="78"/>
        <v>#N/A</v>
      </c>
      <c r="H328" t="e">
        <f t="shared" si="79"/>
        <v>#N/A</v>
      </c>
      <c r="I328" t="e">
        <f t="shared" si="80"/>
        <v>#N/A</v>
      </c>
      <c r="J328">
        <f t="shared" si="81"/>
        <v>1</v>
      </c>
      <c r="K328">
        <f t="shared" si="82"/>
        <v>1</v>
      </c>
      <c r="L328" t="str">
        <f>'Lab test'!AC317</f>
        <v>Miscellaneous</v>
      </c>
      <c r="O328" t="e">
        <f t="shared" si="83"/>
        <v>#N/A</v>
      </c>
      <c r="P328" t="e">
        <f t="shared" si="84"/>
        <v>#N/A</v>
      </c>
      <c r="Q328" t="e">
        <f t="shared" si="85"/>
        <v>#N/A</v>
      </c>
      <c r="R328" t="e">
        <f t="shared" si="86"/>
        <v>#N/A</v>
      </c>
      <c r="S328" t="e">
        <f t="shared" si="87"/>
        <v>#N/A</v>
      </c>
      <c r="T328" t="e">
        <f t="shared" si="88"/>
        <v>#N/A</v>
      </c>
      <c r="U328" t="e">
        <f t="shared" si="89"/>
        <v>#N/A</v>
      </c>
      <c r="W328" t="e">
        <f t="shared" si="90"/>
        <v>#N/A</v>
      </c>
      <c r="X328" t="e">
        <f t="shared" si="91"/>
        <v>#N/A</v>
      </c>
      <c r="Y328" t="e">
        <f t="shared" si="92"/>
        <v>#N/A</v>
      </c>
      <c r="Z328" t="e">
        <f t="shared" si="93"/>
        <v>#N/A</v>
      </c>
      <c r="AA328" t="e">
        <f t="shared" si="94"/>
        <v>#N/A</v>
      </c>
      <c r="AB328" t="e">
        <f t="shared" si="95"/>
        <v>#N/A</v>
      </c>
      <c r="AC328">
        <f t="shared" si="96"/>
        <v>0.13049165976069035</v>
      </c>
    </row>
    <row r="329" spans="2:29">
      <c r="B329">
        <v>315</v>
      </c>
      <c r="C329">
        <f>'Lab test'!Q318</f>
        <v>51.050420000000003</v>
      </c>
      <c r="D329">
        <f>IF('Lab test'!AQ318&gt;0,'Lab test'!AQ318,NA())</f>
        <v>0.3204208727095576</v>
      </c>
      <c r="E329">
        <f>IF('Lab test'!AU318&gt;0,'Lab test'!AU318,NA())</f>
        <v>0.85632181033735433</v>
      </c>
      <c r="F329">
        <f>IF('Lab test'!AT318&gt;0,'Lab test'!AT318,NA())</f>
        <v>8.7918162649678389E-2</v>
      </c>
      <c r="G329">
        <f t="shared" si="78"/>
        <v>1</v>
      </c>
      <c r="H329">
        <f t="shared" si="79"/>
        <v>1</v>
      </c>
      <c r="I329">
        <f t="shared" si="80"/>
        <v>1</v>
      </c>
      <c r="J329">
        <f t="shared" si="81"/>
        <v>1</v>
      </c>
      <c r="K329">
        <f t="shared" si="82"/>
        <v>1</v>
      </c>
      <c r="L329" t="str">
        <f>'Lab test'!AC318</f>
        <v>CLTW</v>
      </c>
      <c r="O329" t="e">
        <f t="shared" si="83"/>
        <v>#N/A</v>
      </c>
      <c r="P329" t="e">
        <f t="shared" si="84"/>
        <v>#N/A</v>
      </c>
      <c r="Q329" t="e">
        <f t="shared" si="85"/>
        <v>#N/A</v>
      </c>
      <c r="R329" t="e">
        <f t="shared" si="86"/>
        <v>#N/A</v>
      </c>
      <c r="S329" t="e">
        <f t="shared" si="87"/>
        <v>#N/A</v>
      </c>
      <c r="T329">
        <f t="shared" si="88"/>
        <v>0.85632181033735433</v>
      </c>
      <c r="U329" t="e">
        <f t="shared" si="89"/>
        <v>#N/A</v>
      </c>
      <c r="W329" t="e">
        <f t="shared" si="90"/>
        <v>#N/A</v>
      </c>
      <c r="X329" t="e">
        <f t="shared" si="91"/>
        <v>#N/A</v>
      </c>
      <c r="Y329" t="e">
        <f t="shared" si="92"/>
        <v>#N/A</v>
      </c>
      <c r="Z329" t="e">
        <f t="shared" si="93"/>
        <v>#N/A</v>
      </c>
      <c r="AA329" t="e">
        <f t="shared" si="94"/>
        <v>#N/A</v>
      </c>
      <c r="AB329">
        <f t="shared" si="95"/>
        <v>8.7918162649678389E-2</v>
      </c>
      <c r="AC329" t="e">
        <f t="shared" si="96"/>
        <v>#N/A</v>
      </c>
    </row>
    <row r="330" spans="2:29">
      <c r="B330">
        <v>316</v>
      </c>
      <c r="C330">
        <f>'Lab test'!Q319</f>
        <v>51.355930000000001</v>
      </c>
      <c r="D330">
        <f>IF('Lab test'!AQ319&gt;0,'Lab test'!AQ319,NA())</f>
        <v>0.31766268123244462</v>
      </c>
      <c r="E330">
        <f>IF('Lab test'!AU319&gt;0,'Lab test'!AU319,NA())</f>
        <v>0.72647071495514282</v>
      </c>
      <c r="F330">
        <f>IF('Lab test'!AT319&gt;0,'Lab test'!AT319,NA())</f>
        <v>7.3307854036667397E-2</v>
      </c>
      <c r="G330">
        <f t="shared" si="78"/>
        <v>1</v>
      </c>
      <c r="H330">
        <f t="shared" si="79"/>
        <v>1</v>
      </c>
      <c r="I330">
        <f t="shared" si="80"/>
        <v>1</v>
      </c>
      <c r="J330">
        <f t="shared" si="81"/>
        <v>1</v>
      </c>
      <c r="K330">
        <f t="shared" si="82"/>
        <v>1</v>
      </c>
      <c r="L330" t="str">
        <f>'Lab test'!AC319</f>
        <v>CLTW</v>
      </c>
      <c r="O330" t="e">
        <f t="shared" si="83"/>
        <v>#N/A</v>
      </c>
      <c r="P330" t="e">
        <f t="shared" si="84"/>
        <v>#N/A</v>
      </c>
      <c r="Q330" t="e">
        <f t="shared" si="85"/>
        <v>#N/A</v>
      </c>
      <c r="R330" t="e">
        <f t="shared" si="86"/>
        <v>#N/A</v>
      </c>
      <c r="S330" t="e">
        <f t="shared" si="87"/>
        <v>#N/A</v>
      </c>
      <c r="T330">
        <f t="shared" si="88"/>
        <v>0.72647071495514282</v>
      </c>
      <c r="U330" t="e">
        <f t="shared" si="89"/>
        <v>#N/A</v>
      </c>
      <c r="W330" t="e">
        <f t="shared" si="90"/>
        <v>#N/A</v>
      </c>
      <c r="X330" t="e">
        <f t="shared" si="91"/>
        <v>#N/A</v>
      </c>
      <c r="Y330" t="e">
        <f t="shared" si="92"/>
        <v>#N/A</v>
      </c>
      <c r="Z330" t="e">
        <f t="shared" si="93"/>
        <v>#N/A</v>
      </c>
      <c r="AA330" t="e">
        <f t="shared" si="94"/>
        <v>#N/A</v>
      </c>
      <c r="AB330">
        <f t="shared" si="95"/>
        <v>7.3307854036667397E-2</v>
      </c>
      <c r="AC330" t="e">
        <f t="shared" si="96"/>
        <v>#N/A</v>
      </c>
    </row>
    <row r="331" spans="2:29">
      <c r="B331">
        <v>317</v>
      </c>
      <c r="C331">
        <f>'Lab test'!Q320</f>
        <v>55.090910000000001</v>
      </c>
      <c r="D331">
        <f>IF('Lab test'!AQ320&gt;0,'Lab test'!AQ320,NA())</f>
        <v>0.35205031635472167</v>
      </c>
      <c r="E331">
        <f>IF('Lab test'!AU320&gt;0,'Lab test'!AU320,NA())</f>
        <v>0.72307718054039571</v>
      </c>
      <c r="F331">
        <f>IF('Lab test'!AT320&gt;0,'Lab test'!AT320,NA())</f>
        <v>8.9617770164284072E-2</v>
      </c>
      <c r="G331">
        <f t="shared" si="78"/>
        <v>1</v>
      </c>
      <c r="H331">
        <f t="shared" si="79"/>
        <v>1</v>
      </c>
      <c r="I331">
        <f t="shared" si="80"/>
        <v>1</v>
      </c>
      <c r="J331">
        <f t="shared" si="81"/>
        <v>1</v>
      </c>
      <c r="K331">
        <f t="shared" si="82"/>
        <v>1</v>
      </c>
      <c r="L331" t="str">
        <f>'Lab test'!AC320</f>
        <v>CLTW</v>
      </c>
      <c r="O331" t="e">
        <f t="shared" si="83"/>
        <v>#N/A</v>
      </c>
      <c r="P331" t="e">
        <f t="shared" si="84"/>
        <v>#N/A</v>
      </c>
      <c r="Q331" t="e">
        <f t="shared" si="85"/>
        <v>#N/A</v>
      </c>
      <c r="R331" t="e">
        <f t="shared" si="86"/>
        <v>#N/A</v>
      </c>
      <c r="S331" t="e">
        <f t="shared" si="87"/>
        <v>#N/A</v>
      </c>
      <c r="T331">
        <f t="shared" si="88"/>
        <v>0.72307718054039571</v>
      </c>
      <c r="U331" t="e">
        <f t="shared" si="89"/>
        <v>#N/A</v>
      </c>
      <c r="W331" t="e">
        <f t="shared" si="90"/>
        <v>#N/A</v>
      </c>
      <c r="X331" t="e">
        <f t="shared" si="91"/>
        <v>#N/A</v>
      </c>
      <c r="Y331" t="e">
        <f t="shared" si="92"/>
        <v>#N/A</v>
      </c>
      <c r="Z331" t="e">
        <f t="shared" si="93"/>
        <v>#N/A</v>
      </c>
      <c r="AA331" t="e">
        <f t="shared" si="94"/>
        <v>#N/A</v>
      </c>
      <c r="AB331">
        <f t="shared" si="95"/>
        <v>8.9617770164284072E-2</v>
      </c>
      <c r="AC331" t="e">
        <f t="shared" si="96"/>
        <v>#N/A</v>
      </c>
    </row>
    <row r="332" spans="2:29">
      <c r="B332">
        <v>318</v>
      </c>
      <c r="C332">
        <f>'Lab test'!Q321</f>
        <v>57.5</v>
      </c>
      <c r="D332">
        <f>IF('Lab test'!AQ321&gt;0,'Lab test'!AQ321,NA())</f>
        <v>0.35502442548424701</v>
      </c>
      <c r="E332">
        <f>IF('Lab test'!AU321&gt;0,'Lab test'!AU321,NA())</f>
        <v>0.70263144234674091</v>
      </c>
      <c r="F332">
        <f>IF('Lab test'!AT321&gt;0,'Lab test'!AT321,NA())</f>
        <v>8.8561313041331746E-2</v>
      </c>
      <c r="G332">
        <f t="shared" si="78"/>
        <v>1</v>
      </c>
      <c r="H332">
        <f t="shared" si="79"/>
        <v>1</v>
      </c>
      <c r="I332">
        <f t="shared" si="80"/>
        <v>1</v>
      </c>
      <c r="J332">
        <f t="shared" si="81"/>
        <v>1</v>
      </c>
      <c r="K332">
        <f t="shared" si="82"/>
        <v>1</v>
      </c>
      <c r="L332" t="str">
        <f>'Lab test'!AC321</f>
        <v>CLTW</v>
      </c>
      <c r="O332" t="e">
        <f t="shared" si="83"/>
        <v>#N/A</v>
      </c>
      <c r="P332" t="e">
        <f t="shared" si="84"/>
        <v>#N/A</v>
      </c>
      <c r="Q332" t="e">
        <f t="shared" si="85"/>
        <v>#N/A</v>
      </c>
      <c r="R332" t="e">
        <f t="shared" si="86"/>
        <v>#N/A</v>
      </c>
      <c r="S332" t="e">
        <f t="shared" si="87"/>
        <v>#N/A</v>
      </c>
      <c r="T332">
        <f t="shared" si="88"/>
        <v>0.70263144234674091</v>
      </c>
      <c r="U332" t="e">
        <f t="shared" si="89"/>
        <v>#N/A</v>
      </c>
      <c r="W332" t="e">
        <f t="shared" si="90"/>
        <v>#N/A</v>
      </c>
      <c r="X332" t="e">
        <f t="shared" si="91"/>
        <v>#N/A</v>
      </c>
      <c r="Y332" t="e">
        <f t="shared" si="92"/>
        <v>#N/A</v>
      </c>
      <c r="Z332" t="e">
        <f t="shared" si="93"/>
        <v>#N/A</v>
      </c>
      <c r="AA332" t="e">
        <f t="shared" si="94"/>
        <v>#N/A</v>
      </c>
      <c r="AB332">
        <f t="shared" si="95"/>
        <v>8.8561313041331746E-2</v>
      </c>
      <c r="AC332" t="e">
        <f t="shared" si="96"/>
        <v>#N/A</v>
      </c>
    </row>
    <row r="333" spans="2:29">
      <c r="B333">
        <v>319</v>
      </c>
      <c r="C333">
        <f>'Lab test'!Q322</f>
        <v>97.25806</v>
      </c>
      <c r="D333">
        <f>IF('Lab test'!AQ322&gt;0,'Lab test'!AQ322,NA())</f>
        <v>0.47232725242961432</v>
      </c>
      <c r="E333">
        <f>IF('Lab test'!AU322&gt;0,'Lab test'!AU322,NA())</f>
        <v>0.53499996192759491</v>
      </c>
      <c r="F333">
        <f>IF('Lab test'!AT322&gt;0,'Lab test'!AT322,NA())</f>
        <v>0.11935476436873577</v>
      </c>
      <c r="G333">
        <f t="shared" si="78"/>
        <v>1</v>
      </c>
      <c r="H333">
        <f t="shared" si="79"/>
        <v>1</v>
      </c>
      <c r="I333">
        <f t="shared" si="80"/>
        <v>1</v>
      </c>
      <c r="J333">
        <f t="shared" si="81"/>
        <v>1</v>
      </c>
      <c r="K333">
        <f t="shared" si="82"/>
        <v>1</v>
      </c>
      <c r="L333" t="str">
        <f>'Lab test'!AC322</f>
        <v>CLTW</v>
      </c>
      <c r="O333" t="e">
        <f t="shared" si="83"/>
        <v>#N/A</v>
      </c>
      <c r="P333" t="e">
        <f t="shared" si="84"/>
        <v>#N/A</v>
      </c>
      <c r="Q333" t="e">
        <f t="shared" si="85"/>
        <v>#N/A</v>
      </c>
      <c r="R333" t="e">
        <f t="shared" si="86"/>
        <v>#N/A</v>
      </c>
      <c r="S333" t="e">
        <f t="shared" si="87"/>
        <v>#N/A</v>
      </c>
      <c r="T333">
        <f t="shared" si="88"/>
        <v>0.53499996192759491</v>
      </c>
      <c r="U333" t="e">
        <f t="shared" si="89"/>
        <v>#N/A</v>
      </c>
      <c r="W333" t="e">
        <f t="shared" si="90"/>
        <v>#N/A</v>
      </c>
      <c r="X333" t="e">
        <f t="shared" si="91"/>
        <v>#N/A</v>
      </c>
      <c r="Y333" t="e">
        <f t="shared" si="92"/>
        <v>#N/A</v>
      </c>
      <c r="Z333" t="e">
        <f t="shared" si="93"/>
        <v>#N/A</v>
      </c>
      <c r="AA333" t="e">
        <f t="shared" si="94"/>
        <v>#N/A</v>
      </c>
      <c r="AB333">
        <f t="shared" si="95"/>
        <v>0.11935476436873577</v>
      </c>
      <c r="AC333" t="e">
        <f t="shared" si="96"/>
        <v>#N/A</v>
      </c>
    </row>
    <row r="334" spans="2:29">
      <c r="B334">
        <v>320</v>
      </c>
      <c r="C334">
        <f>'Lab test'!Q323</f>
        <v>96.190479999999994</v>
      </c>
      <c r="D334">
        <f>IF('Lab test'!AQ323&gt;0,'Lab test'!AQ323,NA())</f>
        <v>0.4697277637193889</v>
      </c>
      <c r="E334">
        <f>IF('Lab test'!AU323&gt;0,'Lab test'!AU323,NA())</f>
        <v>0.54499995104976495</v>
      </c>
      <c r="F334">
        <f>IF('Lab test'!AT323&gt;0,'Lab test'!AT323,NA())</f>
        <v>0.12025106294422178</v>
      </c>
      <c r="G334">
        <f t="shared" si="78"/>
        <v>1</v>
      </c>
      <c r="H334">
        <f t="shared" si="79"/>
        <v>1</v>
      </c>
      <c r="I334">
        <f t="shared" si="80"/>
        <v>1</v>
      </c>
      <c r="J334">
        <f t="shared" si="81"/>
        <v>1</v>
      </c>
      <c r="K334">
        <f t="shared" si="82"/>
        <v>1</v>
      </c>
      <c r="L334" t="str">
        <f>'Lab test'!AC323</f>
        <v>CLTW</v>
      </c>
      <c r="O334" t="e">
        <f t="shared" si="83"/>
        <v>#N/A</v>
      </c>
      <c r="P334" t="e">
        <f t="shared" si="84"/>
        <v>#N/A</v>
      </c>
      <c r="Q334" t="e">
        <f t="shared" si="85"/>
        <v>#N/A</v>
      </c>
      <c r="R334" t="e">
        <f t="shared" si="86"/>
        <v>#N/A</v>
      </c>
      <c r="S334" t="e">
        <f t="shared" si="87"/>
        <v>#N/A</v>
      </c>
      <c r="T334">
        <f t="shared" si="88"/>
        <v>0.54499995104976495</v>
      </c>
      <c r="U334" t="e">
        <f t="shared" si="89"/>
        <v>#N/A</v>
      </c>
      <c r="W334" t="e">
        <f t="shared" si="90"/>
        <v>#N/A</v>
      </c>
      <c r="X334" t="e">
        <f t="shared" si="91"/>
        <v>#N/A</v>
      </c>
      <c r="Y334" t="e">
        <f t="shared" si="92"/>
        <v>#N/A</v>
      </c>
      <c r="Z334" t="e">
        <f t="shared" si="93"/>
        <v>#N/A</v>
      </c>
      <c r="AA334" t="e">
        <f t="shared" si="94"/>
        <v>#N/A</v>
      </c>
      <c r="AB334">
        <f t="shared" si="95"/>
        <v>0.12025106294422178</v>
      </c>
      <c r="AC334" t="e">
        <f t="shared" si="96"/>
        <v>#N/A</v>
      </c>
    </row>
    <row r="335" spans="2:29">
      <c r="B335">
        <v>321</v>
      </c>
      <c r="C335">
        <f>'Lab test'!Q324</f>
        <v>48.582999999999998</v>
      </c>
      <c r="D335">
        <f>IF('Lab test'!AQ324&gt;0,'Lab test'!AQ324,NA())</f>
        <v>0.29769210771408505</v>
      </c>
      <c r="E335">
        <f>IF('Lab test'!AU324&gt;0,'Lab test'!AU324,NA())</f>
        <v>0.97101473037061137</v>
      </c>
      <c r="F335">
        <f>IF('Lab test'!AT324&gt;0,'Lab test'!AT324,NA())</f>
        <v>8.6051899270541202E-2</v>
      </c>
      <c r="G335">
        <f t="shared" si="78"/>
        <v>1</v>
      </c>
      <c r="H335">
        <f t="shared" si="79"/>
        <v>1</v>
      </c>
      <c r="I335">
        <f t="shared" si="80"/>
        <v>1</v>
      </c>
      <c r="J335">
        <f t="shared" si="81"/>
        <v>1</v>
      </c>
      <c r="K335">
        <f t="shared" si="82"/>
        <v>1</v>
      </c>
      <c r="L335" t="str">
        <f>'Lab test'!AC324</f>
        <v>CLTW</v>
      </c>
      <c r="O335" t="e">
        <f t="shared" si="83"/>
        <v>#N/A</v>
      </c>
      <c r="P335" t="e">
        <f t="shared" si="84"/>
        <v>#N/A</v>
      </c>
      <c r="Q335" t="e">
        <f t="shared" si="85"/>
        <v>#N/A</v>
      </c>
      <c r="R335" t="e">
        <f t="shared" si="86"/>
        <v>#N/A</v>
      </c>
      <c r="S335" t="e">
        <f t="shared" si="87"/>
        <v>#N/A</v>
      </c>
      <c r="T335">
        <f t="shared" si="88"/>
        <v>0.97101473037061137</v>
      </c>
      <c r="U335" t="e">
        <f t="shared" si="89"/>
        <v>#N/A</v>
      </c>
      <c r="W335" t="e">
        <f t="shared" si="90"/>
        <v>#N/A</v>
      </c>
      <c r="X335" t="e">
        <f t="shared" si="91"/>
        <v>#N/A</v>
      </c>
      <c r="Y335" t="e">
        <f t="shared" si="92"/>
        <v>#N/A</v>
      </c>
      <c r="Z335" t="e">
        <f t="shared" si="93"/>
        <v>#N/A</v>
      </c>
      <c r="AA335" t="e">
        <f t="shared" si="94"/>
        <v>#N/A</v>
      </c>
      <c r="AB335">
        <f t="shared" si="95"/>
        <v>8.6051899270541202E-2</v>
      </c>
      <c r="AC335" t="e">
        <f t="shared" si="96"/>
        <v>#N/A</v>
      </c>
    </row>
    <row r="336" spans="2:29">
      <c r="B336">
        <v>322</v>
      </c>
      <c r="C336">
        <f>'Lab test'!Q325</f>
        <v>48.681539999999998</v>
      </c>
      <c r="D336">
        <f>IF('Lab test'!AQ325&gt;0,'Lab test'!AQ325,NA())</f>
        <v>0.29582660308724873</v>
      </c>
      <c r="E336">
        <f>IF('Lab test'!AU325&gt;0,'Lab test'!AU325,NA())</f>
        <v>0.9088237138456039</v>
      </c>
      <c r="F336">
        <f>IF('Lab test'!AT325&gt;0,'Lab test'!AT325,NA())</f>
        <v>7.953423419951508E-2</v>
      </c>
      <c r="G336">
        <f t="shared" ref="G336:G399" si="97">IF(AND(ISNUMBER(D336),ISNUMBER(E336)),1,NA())</f>
        <v>1</v>
      </c>
      <c r="H336">
        <f t="shared" ref="H336:H399" si="98">IF(AND(ISNUMBER(D336),ISNUMBER(F336)),1,NA())</f>
        <v>1</v>
      </c>
      <c r="I336">
        <f t="shared" ref="I336:I399" si="99">IF(AND(ISNUMBER(C336),ISNUMBER(E336)),1,NA())</f>
        <v>1</v>
      </c>
      <c r="J336">
        <f t="shared" ref="J336:J399" si="100">IF(AND(ISNUMBER(C336),ISNUMBER(F336)),1,NA())</f>
        <v>1</v>
      </c>
      <c r="K336">
        <f t="shared" ref="K336:K399" si="101">IF(OR(ISNUMBER(E336),ISNUMBER(F336)),1,NA())</f>
        <v>1</v>
      </c>
      <c r="L336" t="str">
        <f>'Lab test'!AC325</f>
        <v>CLTW</v>
      </c>
      <c r="O336" t="e">
        <f t="shared" ref="O336:O399" si="102">IF(EXACT($O$14,L336),E336,NA())</f>
        <v>#N/A</v>
      </c>
      <c r="P336" t="e">
        <f t="shared" ref="P336:P399" si="103">IF(EXACT($P$14,L336),E336,NA())</f>
        <v>#N/A</v>
      </c>
      <c r="Q336" t="e">
        <f t="shared" ref="Q336:Q399" si="104">IF(EXACT($Q$14,L336),E336,NA())</f>
        <v>#N/A</v>
      </c>
      <c r="R336" t="e">
        <f t="shared" ref="R336:R399" si="105">IF(EXACT($R$14,L336),E336,NA())</f>
        <v>#N/A</v>
      </c>
      <c r="S336" t="e">
        <f t="shared" ref="S336:S399" si="106">IF(EXACT($S$14,L336),E336,NA())</f>
        <v>#N/A</v>
      </c>
      <c r="T336">
        <f t="shared" ref="T336:T399" si="107">IF(EXACT($T$14,L336),E336,NA())</f>
        <v>0.9088237138456039</v>
      </c>
      <c r="U336" t="e">
        <f t="shared" ref="U336:U399" si="108">IF(EXACT($U$14,L336),E336,NA())</f>
        <v>#N/A</v>
      </c>
      <c r="W336" t="e">
        <f t="shared" ref="W336:W399" si="109">IF(EXACT($W$14,L336),F336,NA())</f>
        <v>#N/A</v>
      </c>
      <c r="X336" t="e">
        <f t="shared" ref="X336:X399" si="110">IF(EXACT($X$14,L336),F336,NA())</f>
        <v>#N/A</v>
      </c>
      <c r="Y336" t="e">
        <f t="shared" ref="Y336:Y399" si="111">IF(EXACT($Y$14,L336),F336,NA())</f>
        <v>#N/A</v>
      </c>
      <c r="Z336" t="e">
        <f t="shared" ref="Z336:Z399" si="112">IF(EXACT($Z$14,L336),F336,NA())</f>
        <v>#N/A</v>
      </c>
      <c r="AA336" t="e">
        <f t="shared" ref="AA336:AA399" si="113">IF(EXACT($AA$14,L336),F336,NA())</f>
        <v>#N/A</v>
      </c>
      <c r="AB336">
        <f t="shared" ref="AB336:AB399" si="114">IF(EXACT($AB$14,L336),F336,NA())</f>
        <v>7.953423419951508E-2</v>
      </c>
      <c r="AC336" t="e">
        <f t="shared" ref="AC336:AC399" si="115">IF(EXACT($AC$14,L336),F336,NA())</f>
        <v>#N/A</v>
      </c>
    </row>
    <row r="337" spans="2:29">
      <c r="B337">
        <v>323</v>
      </c>
      <c r="C337">
        <f>'Lab test'!Q326</f>
        <v>52.543100000000003</v>
      </c>
      <c r="D337">
        <f>IF('Lab test'!AQ326&gt;0,'Lab test'!AQ326,NA())</f>
        <v>0.31445399772968119</v>
      </c>
      <c r="E337">
        <f>IF('Lab test'!AU326&gt;0,'Lab test'!AU326,NA())</f>
        <v>0.77187509348136851</v>
      </c>
      <c r="F337">
        <f>IF('Lab test'!AT326&gt;0,'Lab test'!AT326,NA())</f>
        <v>7.632402556224846E-2</v>
      </c>
      <c r="G337">
        <f t="shared" si="97"/>
        <v>1</v>
      </c>
      <c r="H337">
        <f t="shared" si="98"/>
        <v>1</v>
      </c>
      <c r="I337">
        <f t="shared" si="99"/>
        <v>1</v>
      </c>
      <c r="J337">
        <f t="shared" si="100"/>
        <v>1</v>
      </c>
      <c r="K337">
        <f t="shared" si="101"/>
        <v>1</v>
      </c>
      <c r="L337" t="str">
        <f>'Lab test'!AC326</f>
        <v>CLTW</v>
      </c>
      <c r="O337" t="e">
        <f t="shared" si="102"/>
        <v>#N/A</v>
      </c>
      <c r="P337" t="e">
        <f t="shared" si="103"/>
        <v>#N/A</v>
      </c>
      <c r="Q337" t="e">
        <f t="shared" si="104"/>
        <v>#N/A</v>
      </c>
      <c r="R337" t="e">
        <f t="shared" si="105"/>
        <v>#N/A</v>
      </c>
      <c r="S337" t="e">
        <f t="shared" si="106"/>
        <v>#N/A</v>
      </c>
      <c r="T337">
        <f t="shared" si="107"/>
        <v>0.77187509348136851</v>
      </c>
      <c r="U337" t="e">
        <f t="shared" si="108"/>
        <v>#N/A</v>
      </c>
      <c r="W337" t="e">
        <f t="shared" si="109"/>
        <v>#N/A</v>
      </c>
      <c r="X337" t="e">
        <f t="shared" si="110"/>
        <v>#N/A</v>
      </c>
      <c r="Y337" t="e">
        <f t="shared" si="111"/>
        <v>#N/A</v>
      </c>
      <c r="Z337" t="e">
        <f t="shared" si="112"/>
        <v>#N/A</v>
      </c>
      <c r="AA337" t="e">
        <f t="shared" si="113"/>
        <v>#N/A</v>
      </c>
      <c r="AB337">
        <f t="shared" si="114"/>
        <v>7.632402556224846E-2</v>
      </c>
      <c r="AC337" t="e">
        <f t="shared" si="115"/>
        <v>#N/A</v>
      </c>
    </row>
    <row r="338" spans="2:29">
      <c r="B338">
        <v>324</v>
      </c>
      <c r="C338">
        <f>'Lab test'!Q327</f>
        <v>52.543100000000003</v>
      </c>
      <c r="D338">
        <f>IF('Lab test'!AQ327&gt;0,'Lab test'!AQ327,NA())</f>
        <v>0.32413175311751147</v>
      </c>
      <c r="E338">
        <f>IF('Lab test'!AU327&gt;0,'Lab test'!AU327,NA())</f>
        <v>0.72941199556184444</v>
      </c>
      <c r="F338">
        <f>IF('Lab test'!AT327&gt;0,'Lab test'!AT327,NA())</f>
        <v>7.6633040601107247E-2</v>
      </c>
      <c r="G338">
        <f t="shared" si="97"/>
        <v>1</v>
      </c>
      <c r="H338">
        <f t="shared" si="98"/>
        <v>1</v>
      </c>
      <c r="I338">
        <f t="shared" si="99"/>
        <v>1</v>
      </c>
      <c r="J338">
        <f t="shared" si="100"/>
        <v>1</v>
      </c>
      <c r="K338">
        <f t="shared" si="101"/>
        <v>1</v>
      </c>
      <c r="L338" t="str">
        <f>'Lab test'!AC327</f>
        <v>CLTW</v>
      </c>
      <c r="O338" t="e">
        <f t="shared" si="102"/>
        <v>#N/A</v>
      </c>
      <c r="P338" t="e">
        <f t="shared" si="103"/>
        <v>#N/A</v>
      </c>
      <c r="Q338" t="e">
        <f t="shared" si="104"/>
        <v>#N/A</v>
      </c>
      <c r="R338" t="e">
        <f t="shared" si="105"/>
        <v>#N/A</v>
      </c>
      <c r="S338" t="e">
        <f t="shared" si="106"/>
        <v>#N/A</v>
      </c>
      <c r="T338">
        <f t="shared" si="107"/>
        <v>0.72941199556184444</v>
      </c>
      <c r="U338" t="e">
        <f t="shared" si="108"/>
        <v>#N/A</v>
      </c>
      <c r="W338" t="e">
        <f t="shared" si="109"/>
        <v>#N/A</v>
      </c>
      <c r="X338" t="e">
        <f t="shared" si="110"/>
        <v>#N/A</v>
      </c>
      <c r="Y338" t="e">
        <f t="shared" si="111"/>
        <v>#N/A</v>
      </c>
      <c r="Z338" t="e">
        <f t="shared" si="112"/>
        <v>#N/A</v>
      </c>
      <c r="AA338" t="e">
        <f t="shared" si="113"/>
        <v>#N/A</v>
      </c>
      <c r="AB338">
        <f t="shared" si="114"/>
        <v>7.6633040601107247E-2</v>
      </c>
      <c r="AC338" t="e">
        <f t="shared" si="115"/>
        <v>#N/A</v>
      </c>
    </row>
    <row r="339" spans="2:29">
      <c r="B339">
        <v>325</v>
      </c>
      <c r="C339">
        <f>'Lab test'!Q328</f>
        <v>35.12397</v>
      </c>
      <c r="D339">
        <f>IF('Lab test'!AQ328&gt;0,'Lab test'!AQ328,NA())</f>
        <v>0.26350430838609257</v>
      </c>
      <c r="E339">
        <f>IF('Lab test'!AU328&gt;0,'Lab test'!AU328,NA())</f>
        <v>1.0859375920649841</v>
      </c>
      <c r="F339">
        <f>IF('Lab test'!AT328&gt;0,'Lab test'!AT328,NA())</f>
        <v>7.5401556039258216E-2</v>
      </c>
      <c r="G339">
        <f t="shared" si="97"/>
        <v>1</v>
      </c>
      <c r="H339">
        <f t="shared" si="98"/>
        <v>1</v>
      </c>
      <c r="I339">
        <f t="shared" si="99"/>
        <v>1</v>
      </c>
      <c r="J339">
        <f t="shared" si="100"/>
        <v>1</v>
      </c>
      <c r="K339">
        <f t="shared" si="101"/>
        <v>1</v>
      </c>
      <c r="L339" t="str">
        <f>'Lab test'!AC328</f>
        <v>CLTW</v>
      </c>
      <c r="O339" t="e">
        <f t="shared" si="102"/>
        <v>#N/A</v>
      </c>
      <c r="P339" t="e">
        <f t="shared" si="103"/>
        <v>#N/A</v>
      </c>
      <c r="Q339" t="e">
        <f t="shared" si="104"/>
        <v>#N/A</v>
      </c>
      <c r="R339" t="e">
        <f t="shared" si="105"/>
        <v>#N/A</v>
      </c>
      <c r="S339" t="e">
        <f t="shared" si="106"/>
        <v>#N/A</v>
      </c>
      <c r="T339">
        <f t="shared" si="107"/>
        <v>1.0859375920649841</v>
      </c>
      <c r="U339" t="e">
        <f t="shared" si="108"/>
        <v>#N/A</v>
      </c>
      <c r="W339" t="e">
        <f t="shared" si="109"/>
        <v>#N/A</v>
      </c>
      <c r="X339" t="e">
        <f t="shared" si="110"/>
        <v>#N/A</v>
      </c>
      <c r="Y339" t="e">
        <f t="shared" si="111"/>
        <v>#N/A</v>
      </c>
      <c r="Z339" t="e">
        <f t="shared" si="112"/>
        <v>#N/A</v>
      </c>
      <c r="AA339" t="e">
        <f t="shared" si="113"/>
        <v>#N/A</v>
      </c>
      <c r="AB339">
        <f t="shared" si="114"/>
        <v>7.5401556039258216E-2</v>
      </c>
      <c r="AC339" t="e">
        <f t="shared" si="115"/>
        <v>#N/A</v>
      </c>
    </row>
    <row r="340" spans="2:29">
      <c r="B340">
        <v>326</v>
      </c>
      <c r="C340">
        <f>'Lab test'!Q329</f>
        <v>34.623220000000003</v>
      </c>
      <c r="D340">
        <f>IF('Lab test'!AQ329&gt;0,'Lab test'!AQ329,NA())</f>
        <v>0.26365521610911546</v>
      </c>
      <c r="E340">
        <f>IF('Lab test'!AU329&gt;0,'Lab test'!AU329,NA())</f>
        <v>1.1243076121164086</v>
      </c>
      <c r="F340">
        <f>IF('Lab test'!AT329&gt;0,'Lab test'!AT329,NA())</f>
        <v>7.8155201402365912E-2</v>
      </c>
      <c r="G340">
        <f t="shared" si="97"/>
        <v>1</v>
      </c>
      <c r="H340">
        <f t="shared" si="98"/>
        <v>1</v>
      </c>
      <c r="I340">
        <f t="shared" si="99"/>
        <v>1</v>
      </c>
      <c r="J340">
        <f t="shared" si="100"/>
        <v>1</v>
      </c>
      <c r="K340">
        <f t="shared" si="101"/>
        <v>1</v>
      </c>
      <c r="L340" t="str">
        <f>'Lab test'!AC329</f>
        <v>CLTW</v>
      </c>
      <c r="O340" t="e">
        <f t="shared" si="102"/>
        <v>#N/A</v>
      </c>
      <c r="P340" t="e">
        <f t="shared" si="103"/>
        <v>#N/A</v>
      </c>
      <c r="Q340" t="e">
        <f t="shared" si="104"/>
        <v>#N/A</v>
      </c>
      <c r="R340" t="e">
        <f t="shared" si="105"/>
        <v>#N/A</v>
      </c>
      <c r="S340" t="e">
        <f t="shared" si="106"/>
        <v>#N/A</v>
      </c>
      <c r="T340">
        <f t="shared" si="107"/>
        <v>1.1243076121164086</v>
      </c>
      <c r="U340" t="e">
        <f t="shared" si="108"/>
        <v>#N/A</v>
      </c>
      <c r="W340" t="e">
        <f t="shared" si="109"/>
        <v>#N/A</v>
      </c>
      <c r="X340" t="e">
        <f t="shared" si="110"/>
        <v>#N/A</v>
      </c>
      <c r="Y340" t="e">
        <f t="shared" si="111"/>
        <v>#N/A</v>
      </c>
      <c r="Z340" t="e">
        <f t="shared" si="112"/>
        <v>#N/A</v>
      </c>
      <c r="AA340" t="e">
        <f t="shared" si="113"/>
        <v>#N/A</v>
      </c>
      <c r="AB340">
        <f t="shared" si="114"/>
        <v>7.8155201402365912E-2</v>
      </c>
      <c r="AC340" t="e">
        <f t="shared" si="115"/>
        <v>#N/A</v>
      </c>
    </row>
    <row r="341" spans="2:29">
      <c r="B341">
        <v>327</v>
      </c>
      <c r="C341">
        <f>'Lab test'!Q330</f>
        <v>65.040649999999999</v>
      </c>
      <c r="D341">
        <f>IF('Lab test'!AQ330&gt;0,'Lab test'!AQ330,NA())</f>
        <v>0.36310021871121562</v>
      </c>
      <c r="E341">
        <f>IF('Lab test'!AU330&gt;0,'Lab test'!AU330,NA())</f>
        <v>0.95593752861096426</v>
      </c>
      <c r="F341">
        <f>IF('Lab test'!AT330&gt;0,'Lab test'!AT330,NA())</f>
        <v>0.12603249466126315</v>
      </c>
      <c r="G341">
        <f t="shared" si="97"/>
        <v>1</v>
      </c>
      <c r="H341">
        <f t="shared" si="98"/>
        <v>1</v>
      </c>
      <c r="I341">
        <f t="shared" si="99"/>
        <v>1</v>
      </c>
      <c r="J341">
        <f t="shared" si="100"/>
        <v>1</v>
      </c>
      <c r="K341">
        <f t="shared" si="101"/>
        <v>1</v>
      </c>
      <c r="L341" t="str">
        <f>'Lab test'!AC330</f>
        <v>CLTW</v>
      </c>
      <c r="O341" t="e">
        <f t="shared" si="102"/>
        <v>#N/A</v>
      </c>
      <c r="P341" t="e">
        <f t="shared" si="103"/>
        <v>#N/A</v>
      </c>
      <c r="Q341" t="e">
        <f t="shared" si="104"/>
        <v>#N/A</v>
      </c>
      <c r="R341" t="e">
        <f t="shared" si="105"/>
        <v>#N/A</v>
      </c>
      <c r="S341" t="e">
        <f t="shared" si="106"/>
        <v>#N/A</v>
      </c>
      <c r="T341">
        <f t="shared" si="107"/>
        <v>0.95593752861096426</v>
      </c>
      <c r="U341" t="e">
        <f t="shared" si="108"/>
        <v>#N/A</v>
      </c>
      <c r="W341" t="e">
        <f t="shared" si="109"/>
        <v>#N/A</v>
      </c>
      <c r="X341" t="e">
        <f t="shared" si="110"/>
        <v>#N/A</v>
      </c>
      <c r="Y341" t="e">
        <f t="shared" si="111"/>
        <v>#N/A</v>
      </c>
      <c r="Z341" t="e">
        <f t="shared" si="112"/>
        <v>#N/A</v>
      </c>
      <c r="AA341" t="e">
        <f t="shared" si="113"/>
        <v>#N/A</v>
      </c>
      <c r="AB341">
        <f t="shared" si="114"/>
        <v>0.12603249466126315</v>
      </c>
      <c r="AC341" t="e">
        <f t="shared" si="115"/>
        <v>#N/A</v>
      </c>
    </row>
    <row r="342" spans="2:29">
      <c r="B342">
        <v>328</v>
      </c>
      <c r="C342">
        <f>'Lab test'!Q331</f>
        <v>65.395099999999999</v>
      </c>
      <c r="D342">
        <f>IF('Lab test'!AQ331&gt;0,'Lab test'!AQ331,NA())</f>
        <v>0.36973339957465107</v>
      </c>
      <c r="E342">
        <f>IF('Lab test'!AU331&gt;0,'Lab test'!AU331,NA())</f>
        <v>0.95484843557028409</v>
      </c>
      <c r="F342">
        <f>IF('Lab test'!AT331&gt;0,'Lab test'!AT331,NA())</f>
        <v>0.13053044207686629</v>
      </c>
      <c r="G342">
        <f t="shared" si="97"/>
        <v>1</v>
      </c>
      <c r="H342">
        <f t="shared" si="98"/>
        <v>1</v>
      </c>
      <c r="I342">
        <f t="shared" si="99"/>
        <v>1</v>
      </c>
      <c r="J342">
        <f t="shared" si="100"/>
        <v>1</v>
      </c>
      <c r="K342">
        <f t="shared" si="101"/>
        <v>1</v>
      </c>
      <c r="L342" t="str">
        <f>'Lab test'!AC331</f>
        <v>CLTW</v>
      </c>
      <c r="O342" t="e">
        <f t="shared" si="102"/>
        <v>#N/A</v>
      </c>
      <c r="P342" t="e">
        <f t="shared" si="103"/>
        <v>#N/A</v>
      </c>
      <c r="Q342" t="e">
        <f t="shared" si="104"/>
        <v>#N/A</v>
      </c>
      <c r="R342" t="e">
        <f t="shared" si="105"/>
        <v>#N/A</v>
      </c>
      <c r="S342" t="e">
        <f t="shared" si="106"/>
        <v>#N/A</v>
      </c>
      <c r="T342">
        <f t="shared" si="107"/>
        <v>0.95484843557028409</v>
      </c>
      <c r="U342" t="e">
        <f t="shared" si="108"/>
        <v>#N/A</v>
      </c>
      <c r="W342" t="e">
        <f t="shared" si="109"/>
        <v>#N/A</v>
      </c>
      <c r="X342" t="e">
        <f t="shared" si="110"/>
        <v>#N/A</v>
      </c>
      <c r="Y342" t="e">
        <f t="shared" si="111"/>
        <v>#N/A</v>
      </c>
      <c r="Z342" t="e">
        <f t="shared" si="112"/>
        <v>#N/A</v>
      </c>
      <c r="AA342" t="e">
        <f t="shared" si="113"/>
        <v>#N/A</v>
      </c>
      <c r="AB342">
        <f t="shared" si="114"/>
        <v>0.13053044207686629</v>
      </c>
      <c r="AC342" t="e">
        <f t="shared" si="115"/>
        <v>#N/A</v>
      </c>
    </row>
    <row r="343" spans="2:29">
      <c r="B343">
        <v>329</v>
      </c>
      <c r="C343">
        <f>'Lab test'!Q332</f>
        <v>97.560980000000001</v>
      </c>
      <c r="D343">
        <f>IF('Lab test'!AQ332&gt;0,'Lab test'!AQ332,NA())</f>
        <v>0.46139509978243343</v>
      </c>
      <c r="E343">
        <f>IF('Lab test'!AU332&gt;0,'Lab test'!AU332,NA())</f>
        <v>0.72765425298947806</v>
      </c>
      <c r="F343">
        <f>IF('Lab test'!AT332&gt;0,'Lab test'!AT332,NA())</f>
        <v>0.15490699443535211</v>
      </c>
      <c r="G343">
        <f t="shared" si="97"/>
        <v>1</v>
      </c>
      <c r="H343">
        <f t="shared" si="98"/>
        <v>1</v>
      </c>
      <c r="I343">
        <f t="shared" si="99"/>
        <v>1</v>
      </c>
      <c r="J343">
        <f t="shared" si="100"/>
        <v>1</v>
      </c>
      <c r="K343">
        <f t="shared" si="101"/>
        <v>1</v>
      </c>
      <c r="L343" t="str">
        <f>'Lab test'!AC332</f>
        <v>CLTW</v>
      </c>
      <c r="O343" t="e">
        <f t="shared" si="102"/>
        <v>#N/A</v>
      </c>
      <c r="P343" t="e">
        <f t="shared" si="103"/>
        <v>#N/A</v>
      </c>
      <c r="Q343" t="e">
        <f t="shared" si="104"/>
        <v>#N/A</v>
      </c>
      <c r="R343" t="e">
        <f t="shared" si="105"/>
        <v>#N/A</v>
      </c>
      <c r="S343" t="e">
        <f t="shared" si="106"/>
        <v>#N/A</v>
      </c>
      <c r="T343">
        <f t="shared" si="107"/>
        <v>0.72765425298947806</v>
      </c>
      <c r="U343" t="e">
        <f t="shared" si="108"/>
        <v>#N/A</v>
      </c>
      <c r="W343" t="e">
        <f t="shared" si="109"/>
        <v>#N/A</v>
      </c>
      <c r="X343" t="e">
        <f t="shared" si="110"/>
        <v>#N/A</v>
      </c>
      <c r="Y343" t="e">
        <f t="shared" si="111"/>
        <v>#N/A</v>
      </c>
      <c r="Z343" t="e">
        <f t="shared" si="112"/>
        <v>#N/A</v>
      </c>
      <c r="AA343" t="e">
        <f t="shared" si="113"/>
        <v>#N/A</v>
      </c>
      <c r="AB343">
        <f t="shared" si="114"/>
        <v>0.15490699443535211</v>
      </c>
      <c r="AC343" t="e">
        <f t="shared" si="115"/>
        <v>#N/A</v>
      </c>
    </row>
    <row r="344" spans="2:29">
      <c r="B344">
        <v>330</v>
      </c>
      <c r="C344">
        <f>'Lab test'!Q333</f>
        <v>96</v>
      </c>
      <c r="D344">
        <f>IF('Lab test'!AQ333&gt;0,'Lab test'!AQ333,NA())</f>
        <v>0.45257503559500378</v>
      </c>
      <c r="E344">
        <f>IF('Lab test'!AU333&gt;0,'Lab test'!AU333,NA())</f>
        <v>0.79898979022269889</v>
      </c>
      <c r="F344">
        <f>IF('Lab test'!AT333&gt;0,'Lab test'!AT333,NA())</f>
        <v>0.16365241490312282</v>
      </c>
      <c r="G344">
        <f t="shared" si="97"/>
        <v>1</v>
      </c>
      <c r="H344">
        <f t="shared" si="98"/>
        <v>1</v>
      </c>
      <c r="I344">
        <f t="shared" si="99"/>
        <v>1</v>
      </c>
      <c r="J344">
        <f t="shared" si="100"/>
        <v>1</v>
      </c>
      <c r="K344">
        <f t="shared" si="101"/>
        <v>1</v>
      </c>
      <c r="L344" t="str">
        <f>'Lab test'!AC333</f>
        <v>CLTW</v>
      </c>
      <c r="O344" t="e">
        <f t="shared" si="102"/>
        <v>#N/A</v>
      </c>
      <c r="P344" t="e">
        <f t="shared" si="103"/>
        <v>#N/A</v>
      </c>
      <c r="Q344" t="e">
        <f t="shared" si="104"/>
        <v>#N/A</v>
      </c>
      <c r="R344" t="e">
        <f t="shared" si="105"/>
        <v>#N/A</v>
      </c>
      <c r="S344" t="e">
        <f t="shared" si="106"/>
        <v>#N/A</v>
      </c>
      <c r="T344">
        <f t="shared" si="107"/>
        <v>0.79898979022269889</v>
      </c>
      <c r="U344" t="e">
        <f t="shared" si="108"/>
        <v>#N/A</v>
      </c>
      <c r="W344" t="e">
        <f t="shared" si="109"/>
        <v>#N/A</v>
      </c>
      <c r="X344" t="e">
        <f t="shared" si="110"/>
        <v>#N/A</v>
      </c>
      <c r="Y344" t="e">
        <f t="shared" si="111"/>
        <v>#N/A</v>
      </c>
      <c r="Z344" t="e">
        <f t="shared" si="112"/>
        <v>#N/A</v>
      </c>
      <c r="AA344" t="e">
        <f t="shared" si="113"/>
        <v>#N/A</v>
      </c>
      <c r="AB344">
        <f t="shared" si="114"/>
        <v>0.16365241490312282</v>
      </c>
      <c r="AC344" t="e">
        <f t="shared" si="115"/>
        <v>#N/A</v>
      </c>
    </row>
    <row r="345" spans="2:29">
      <c r="B345">
        <v>331</v>
      </c>
      <c r="C345">
        <f>'Lab test'!Q334</f>
        <v>1294.3274968148473</v>
      </c>
      <c r="D345">
        <f>IF('Lab test'!AQ334&gt;0,'Lab test'!AQ334,NA())</f>
        <v>2.7318910024929859</v>
      </c>
      <c r="E345">
        <f>IF('Lab test'!AU334&gt;0,'Lab test'!AU334,NA())</f>
        <v>5.730978260869566E-2</v>
      </c>
      <c r="F345">
        <f>IF('Lab test'!AT334&gt;0,'Lab test'!AT334,NA())</f>
        <v>0.42771599999999999</v>
      </c>
      <c r="G345">
        <f t="shared" si="97"/>
        <v>1</v>
      </c>
      <c r="H345">
        <f t="shared" si="98"/>
        <v>1</v>
      </c>
      <c r="I345">
        <f t="shared" si="99"/>
        <v>1</v>
      </c>
      <c r="J345">
        <f t="shared" si="100"/>
        <v>1</v>
      </c>
      <c r="K345">
        <f t="shared" si="101"/>
        <v>1</v>
      </c>
      <c r="L345" t="str">
        <f>'Lab test'!AC334</f>
        <v>LTWb</v>
      </c>
      <c r="O345" t="e">
        <f t="shared" si="102"/>
        <v>#N/A</v>
      </c>
      <c r="P345">
        <f t="shared" si="103"/>
        <v>5.730978260869566E-2</v>
      </c>
      <c r="Q345" t="e">
        <f t="shared" si="104"/>
        <v>#N/A</v>
      </c>
      <c r="R345" t="e">
        <f t="shared" si="105"/>
        <v>#N/A</v>
      </c>
      <c r="S345" t="e">
        <f t="shared" si="106"/>
        <v>#N/A</v>
      </c>
      <c r="T345" t="e">
        <f t="shared" si="107"/>
        <v>#N/A</v>
      </c>
      <c r="U345" t="e">
        <f t="shared" si="108"/>
        <v>#N/A</v>
      </c>
      <c r="W345" t="e">
        <f t="shared" si="109"/>
        <v>#N/A</v>
      </c>
      <c r="X345">
        <f t="shared" si="110"/>
        <v>0.42771599999999999</v>
      </c>
      <c r="Y345" t="e">
        <f t="shared" si="111"/>
        <v>#N/A</v>
      </c>
      <c r="Z345" t="e">
        <f t="shared" si="112"/>
        <v>#N/A</v>
      </c>
      <c r="AA345" t="e">
        <f t="shared" si="113"/>
        <v>#N/A</v>
      </c>
      <c r="AB345" t="e">
        <f t="shared" si="114"/>
        <v>#N/A</v>
      </c>
      <c r="AC345" t="e">
        <f t="shared" si="115"/>
        <v>#N/A</v>
      </c>
    </row>
    <row r="346" spans="2:29">
      <c r="B346">
        <v>332</v>
      </c>
      <c r="C346">
        <f>'Lab test'!Q335</f>
        <v>1294.3274968148473</v>
      </c>
      <c r="D346">
        <f>IF('Lab test'!AQ335&gt;0,'Lab test'!AQ335,NA())</f>
        <v>2.7318910024929859</v>
      </c>
      <c r="E346">
        <f>IF('Lab test'!AU335&gt;0,'Lab test'!AU335,NA())</f>
        <v>3.6363057065217391E-2</v>
      </c>
      <c r="F346">
        <f>IF('Lab test'!AT335&gt;0,'Lab test'!AT335,NA())</f>
        <v>0.27138580199999995</v>
      </c>
      <c r="G346">
        <f t="shared" si="97"/>
        <v>1</v>
      </c>
      <c r="H346">
        <f t="shared" si="98"/>
        <v>1</v>
      </c>
      <c r="I346">
        <f t="shared" si="99"/>
        <v>1</v>
      </c>
      <c r="J346">
        <f t="shared" si="100"/>
        <v>1</v>
      </c>
      <c r="K346">
        <f t="shared" si="101"/>
        <v>1</v>
      </c>
      <c r="L346" t="str">
        <f>'Lab test'!AC335</f>
        <v>LTWb</v>
      </c>
      <c r="O346" t="e">
        <f t="shared" si="102"/>
        <v>#N/A</v>
      </c>
      <c r="P346">
        <f t="shared" si="103"/>
        <v>3.6363057065217391E-2</v>
      </c>
      <c r="Q346" t="e">
        <f t="shared" si="104"/>
        <v>#N/A</v>
      </c>
      <c r="R346" t="e">
        <f t="shared" si="105"/>
        <v>#N/A</v>
      </c>
      <c r="S346" t="e">
        <f t="shared" si="106"/>
        <v>#N/A</v>
      </c>
      <c r="T346" t="e">
        <f t="shared" si="107"/>
        <v>#N/A</v>
      </c>
      <c r="U346" t="e">
        <f t="shared" si="108"/>
        <v>#N/A</v>
      </c>
      <c r="W346" t="e">
        <f t="shared" si="109"/>
        <v>#N/A</v>
      </c>
      <c r="X346">
        <f t="shared" si="110"/>
        <v>0.27138580199999995</v>
      </c>
      <c r="Y346" t="e">
        <f t="shared" si="111"/>
        <v>#N/A</v>
      </c>
      <c r="Z346" t="e">
        <f t="shared" si="112"/>
        <v>#N/A</v>
      </c>
      <c r="AA346" t="e">
        <f t="shared" si="113"/>
        <v>#N/A</v>
      </c>
      <c r="AB346" t="e">
        <f t="shared" si="114"/>
        <v>#N/A</v>
      </c>
      <c r="AC346" t="e">
        <f t="shared" si="115"/>
        <v>#N/A</v>
      </c>
    </row>
    <row r="347" spans="2:29">
      <c r="B347">
        <v>333</v>
      </c>
      <c r="C347">
        <f>'Lab test'!Q336</f>
        <v>1440.7441415180838</v>
      </c>
      <c r="D347">
        <f>IF('Lab test'!AQ336&gt;0,'Lab test'!AQ336,NA())</f>
        <v>2.8822703237311318</v>
      </c>
      <c r="E347">
        <f>IF('Lab test'!AU336&gt;0,'Lab test'!AU336,NA())</f>
        <v>3.5130896739130439E-2</v>
      </c>
      <c r="F347">
        <f>IF('Lab test'!AT336&gt;0,'Lab test'!AT336,NA())</f>
        <v>0.29184929999999987</v>
      </c>
      <c r="G347">
        <f t="shared" si="97"/>
        <v>1</v>
      </c>
      <c r="H347">
        <f t="shared" si="98"/>
        <v>1</v>
      </c>
      <c r="I347">
        <f t="shared" si="99"/>
        <v>1</v>
      </c>
      <c r="J347">
        <f t="shared" si="100"/>
        <v>1</v>
      </c>
      <c r="K347">
        <f t="shared" si="101"/>
        <v>1</v>
      </c>
      <c r="L347" t="str">
        <f>'Lab test'!AC336</f>
        <v>LTWb</v>
      </c>
      <c r="O347" t="e">
        <f t="shared" si="102"/>
        <v>#N/A</v>
      </c>
      <c r="P347">
        <f t="shared" si="103"/>
        <v>3.5130896739130439E-2</v>
      </c>
      <c r="Q347" t="e">
        <f t="shared" si="104"/>
        <v>#N/A</v>
      </c>
      <c r="R347" t="e">
        <f t="shared" si="105"/>
        <v>#N/A</v>
      </c>
      <c r="S347" t="e">
        <f t="shared" si="106"/>
        <v>#N/A</v>
      </c>
      <c r="T347" t="e">
        <f t="shared" si="107"/>
        <v>#N/A</v>
      </c>
      <c r="U347" t="e">
        <f t="shared" si="108"/>
        <v>#N/A</v>
      </c>
      <c r="W347" t="e">
        <f t="shared" si="109"/>
        <v>#N/A</v>
      </c>
      <c r="X347">
        <f t="shared" si="110"/>
        <v>0.29184929999999987</v>
      </c>
      <c r="Y347" t="e">
        <f t="shared" si="111"/>
        <v>#N/A</v>
      </c>
      <c r="Z347" t="e">
        <f t="shared" si="112"/>
        <v>#N/A</v>
      </c>
      <c r="AA347" t="e">
        <f t="shared" si="113"/>
        <v>#N/A</v>
      </c>
      <c r="AB347" t="e">
        <f t="shared" si="114"/>
        <v>#N/A</v>
      </c>
      <c r="AC347" t="e">
        <f t="shared" si="115"/>
        <v>#N/A</v>
      </c>
    </row>
    <row r="348" spans="2:29">
      <c r="B348">
        <v>334</v>
      </c>
      <c r="C348">
        <f>'Lab test'!Q337</f>
        <v>1440.7441415180838</v>
      </c>
      <c r="D348">
        <f>IF('Lab test'!AQ337&gt;0,'Lab test'!AQ337,NA())</f>
        <v>2.8822703237311318</v>
      </c>
      <c r="E348">
        <f>IF('Lab test'!AU337&gt;0,'Lab test'!AU337,NA())</f>
        <v>2.8872668478260873E-2</v>
      </c>
      <c r="F348">
        <f>IF('Lab test'!AT337&gt;0,'Lab test'!AT337,NA())</f>
        <v>0.23985917999999989</v>
      </c>
      <c r="G348">
        <f t="shared" si="97"/>
        <v>1</v>
      </c>
      <c r="H348">
        <f t="shared" si="98"/>
        <v>1</v>
      </c>
      <c r="I348">
        <f t="shared" si="99"/>
        <v>1</v>
      </c>
      <c r="J348">
        <f t="shared" si="100"/>
        <v>1</v>
      </c>
      <c r="K348">
        <f t="shared" si="101"/>
        <v>1</v>
      </c>
      <c r="L348" t="str">
        <f>'Lab test'!AC337</f>
        <v>LTWb</v>
      </c>
      <c r="O348" t="e">
        <f t="shared" si="102"/>
        <v>#N/A</v>
      </c>
      <c r="P348">
        <f t="shared" si="103"/>
        <v>2.8872668478260873E-2</v>
      </c>
      <c r="Q348" t="e">
        <f t="shared" si="104"/>
        <v>#N/A</v>
      </c>
      <c r="R348" t="e">
        <f t="shared" si="105"/>
        <v>#N/A</v>
      </c>
      <c r="S348" t="e">
        <f t="shared" si="106"/>
        <v>#N/A</v>
      </c>
      <c r="T348" t="e">
        <f t="shared" si="107"/>
        <v>#N/A</v>
      </c>
      <c r="U348" t="e">
        <f t="shared" si="108"/>
        <v>#N/A</v>
      </c>
      <c r="W348" t="e">
        <f t="shared" si="109"/>
        <v>#N/A</v>
      </c>
      <c r="X348">
        <f t="shared" si="110"/>
        <v>0.23985917999999989</v>
      </c>
      <c r="Y348" t="e">
        <f t="shared" si="111"/>
        <v>#N/A</v>
      </c>
      <c r="Z348" t="e">
        <f t="shared" si="112"/>
        <v>#N/A</v>
      </c>
      <c r="AA348" t="e">
        <f t="shared" si="113"/>
        <v>#N/A</v>
      </c>
      <c r="AB348" t="e">
        <f t="shared" si="114"/>
        <v>#N/A</v>
      </c>
      <c r="AC348" t="e">
        <f t="shared" si="115"/>
        <v>#N/A</v>
      </c>
    </row>
    <row r="349" spans="2:29">
      <c r="B349">
        <v>335</v>
      </c>
      <c r="C349">
        <f>'Lab test'!Q338</f>
        <v>1415.7966626214763</v>
      </c>
      <c r="D349">
        <f>IF('Lab test'!AQ338&gt;0,'Lab test'!AQ338,NA())</f>
        <v>2.8572071035247748</v>
      </c>
      <c r="E349">
        <f>IF('Lab test'!AU338&gt;0,'Lab test'!AU338,NA())</f>
        <v>2.8874244497282611E-2</v>
      </c>
      <c r="F349">
        <f>IF('Lab test'!AT338&gt;0,'Lab test'!AT338,NA())</f>
        <v>0.23571871884000001</v>
      </c>
      <c r="G349">
        <f t="shared" si="97"/>
        <v>1</v>
      </c>
      <c r="H349">
        <f t="shared" si="98"/>
        <v>1</v>
      </c>
      <c r="I349">
        <f t="shared" si="99"/>
        <v>1</v>
      </c>
      <c r="J349">
        <f t="shared" si="100"/>
        <v>1</v>
      </c>
      <c r="K349">
        <f t="shared" si="101"/>
        <v>1</v>
      </c>
      <c r="L349" t="str">
        <f>'Lab test'!AC338</f>
        <v>LTWb</v>
      </c>
      <c r="O349" t="e">
        <f t="shared" si="102"/>
        <v>#N/A</v>
      </c>
      <c r="P349">
        <f t="shared" si="103"/>
        <v>2.8874244497282611E-2</v>
      </c>
      <c r="Q349" t="e">
        <f t="shared" si="104"/>
        <v>#N/A</v>
      </c>
      <c r="R349" t="e">
        <f t="shared" si="105"/>
        <v>#N/A</v>
      </c>
      <c r="S349" t="e">
        <f t="shared" si="106"/>
        <v>#N/A</v>
      </c>
      <c r="T349" t="e">
        <f t="shared" si="107"/>
        <v>#N/A</v>
      </c>
      <c r="U349" t="e">
        <f t="shared" si="108"/>
        <v>#N/A</v>
      </c>
      <c r="W349" t="e">
        <f t="shared" si="109"/>
        <v>#N/A</v>
      </c>
      <c r="X349">
        <f t="shared" si="110"/>
        <v>0.23571871884000001</v>
      </c>
      <c r="Y349" t="e">
        <f t="shared" si="111"/>
        <v>#N/A</v>
      </c>
      <c r="Z349" t="e">
        <f t="shared" si="112"/>
        <v>#N/A</v>
      </c>
      <c r="AA349" t="e">
        <f t="shared" si="113"/>
        <v>#N/A</v>
      </c>
      <c r="AB349" t="e">
        <f t="shared" si="114"/>
        <v>#N/A</v>
      </c>
      <c r="AC349" t="e">
        <f t="shared" si="115"/>
        <v>#N/A</v>
      </c>
    </row>
    <row r="350" spans="2:29">
      <c r="B350">
        <v>336</v>
      </c>
      <c r="C350">
        <f>'Lab test'!Q339</f>
        <v>1432.4041061179078</v>
      </c>
      <c r="D350">
        <f>IF('Lab test'!AQ339&gt;0,'Lab test'!AQ339,NA())</f>
        <v>2.8739159169956792</v>
      </c>
      <c r="E350">
        <f>IF('Lab test'!AU339&gt;0,'Lab test'!AU339,NA())</f>
        <v>2.9468117119565217E-2</v>
      </c>
      <c r="F350">
        <f>IF('Lab test'!AT339&gt;0,'Lab test'!AT339,NA())</f>
        <v>0.24338875135999993</v>
      </c>
      <c r="G350">
        <f t="shared" si="97"/>
        <v>1</v>
      </c>
      <c r="H350">
        <f t="shared" si="98"/>
        <v>1</v>
      </c>
      <c r="I350">
        <f t="shared" si="99"/>
        <v>1</v>
      </c>
      <c r="J350">
        <f t="shared" si="100"/>
        <v>1</v>
      </c>
      <c r="K350">
        <f t="shared" si="101"/>
        <v>1</v>
      </c>
      <c r="L350" t="str">
        <f>'Lab test'!AC339</f>
        <v>LTWb</v>
      </c>
      <c r="O350" t="e">
        <f t="shared" si="102"/>
        <v>#N/A</v>
      </c>
      <c r="P350">
        <f t="shared" si="103"/>
        <v>2.9468117119565217E-2</v>
      </c>
      <c r="Q350" t="e">
        <f t="shared" si="104"/>
        <v>#N/A</v>
      </c>
      <c r="R350" t="e">
        <f t="shared" si="105"/>
        <v>#N/A</v>
      </c>
      <c r="S350" t="e">
        <f t="shared" si="106"/>
        <v>#N/A</v>
      </c>
      <c r="T350" t="e">
        <f t="shared" si="107"/>
        <v>#N/A</v>
      </c>
      <c r="U350" t="e">
        <f t="shared" si="108"/>
        <v>#N/A</v>
      </c>
      <c r="W350" t="e">
        <f t="shared" si="109"/>
        <v>#N/A</v>
      </c>
      <c r="X350">
        <f t="shared" si="110"/>
        <v>0.24338875135999993</v>
      </c>
      <c r="Y350" t="e">
        <f t="shared" si="111"/>
        <v>#N/A</v>
      </c>
      <c r="Z350" t="e">
        <f t="shared" si="112"/>
        <v>#N/A</v>
      </c>
      <c r="AA350" t="e">
        <f t="shared" si="113"/>
        <v>#N/A</v>
      </c>
      <c r="AB350" t="e">
        <f t="shared" si="114"/>
        <v>#N/A</v>
      </c>
      <c r="AC350" t="e">
        <f t="shared" si="115"/>
        <v>#N/A</v>
      </c>
    </row>
    <row r="351" spans="2:29">
      <c r="B351">
        <v>337</v>
      </c>
      <c r="C351">
        <f>'Lab test'!Q340</f>
        <v>915.40664316156347</v>
      </c>
      <c r="D351">
        <f>IF('Lab test'!AQ340&gt;0,'Lab test'!AQ340,NA())</f>
        <v>2.2999818971047166</v>
      </c>
      <c r="E351">
        <f>IF('Lab test'!AU340&gt;0,'Lab test'!AU340,NA())</f>
        <v>6.5055107246376823E-2</v>
      </c>
      <c r="F351">
        <f>IF('Lab test'!AT340&gt;0,'Lab test'!AT340,NA())</f>
        <v>0.34413609999999989</v>
      </c>
      <c r="G351">
        <f t="shared" si="97"/>
        <v>1</v>
      </c>
      <c r="H351">
        <f t="shared" si="98"/>
        <v>1</v>
      </c>
      <c r="I351">
        <f t="shared" si="99"/>
        <v>1</v>
      </c>
      <c r="J351">
        <f t="shared" si="100"/>
        <v>1</v>
      </c>
      <c r="K351">
        <f t="shared" si="101"/>
        <v>1</v>
      </c>
      <c r="L351" t="str">
        <f>'Lab test'!AC340</f>
        <v>LTWb</v>
      </c>
      <c r="O351" t="e">
        <f t="shared" si="102"/>
        <v>#N/A</v>
      </c>
      <c r="P351">
        <f t="shared" si="103"/>
        <v>6.5055107246376823E-2</v>
      </c>
      <c r="Q351" t="e">
        <f t="shared" si="104"/>
        <v>#N/A</v>
      </c>
      <c r="R351" t="e">
        <f t="shared" si="105"/>
        <v>#N/A</v>
      </c>
      <c r="S351" t="e">
        <f t="shared" si="106"/>
        <v>#N/A</v>
      </c>
      <c r="T351" t="e">
        <f t="shared" si="107"/>
        <v>#N/A</v>
      </c>
      <c r="U351" t="e">
        <f t="shared" si="108"/>
        <v>#N/A</v>
      </c>
      <c r="W351" t="e">
        <f t="shared" si="109"/>
        <v>#N/A</v>
      </c>
      <c r="X351">
        <f t="shared" si="110"/>
        <v>0.34413609999999989</v>
      </c>
      <c r="Y351" t="e">
        <f t="shared" si="111"/>
        <v>#N/A</v>
      </c>
      <c r="Z351" t="e">
        <f t="shared" si="112"/>
        <v>#N/A</v>
      </c>
      <c r="AA351" t="e">
        <f t="shared" si="113"/>
        <v>#N/A</v>
      </c>
      <c r="AB351" t="e">
        <f t="shared" si="114"/>
        <v>#N/A</v>
      </c>
      <c r="AC351" t="e">
        <f t="shared" si="115"/>
        <v>#N/A</v>
      </c>
    </row>
    <row r="352" spans="2:29">
      <c r="B352">
        <v>338</v>
      </c>
      <c r="C352">
        <f>'Lab test'!Q341</f>
        <v>928.77006708289071</v>
      </c>
      <c r="D352">
        <f>IF('Lab test'!AQ341&gt;0,'Lab test'!AQ341,NA())</f>
        <v>2.3167090381745692</v>
      </c>
      <c r="E352">
        <f>IF('Lab test'!AU341&gt;0,'Lab test'!AU341,NA())</f>
        <v>5.9557412008281581E-2</v>
      </c>
      <c r="F352">
        <f>IF('Lab test'!AT341&gt;0,'Lab test'!AT341,NA())</f>
        <v>0.3196530139999999</v>
      </c>
      <c r="G352">
        <f t="shared" si="97"/>
        <v>1</v>
      </c>
      <c r="H352">
        <f t="shared" si="98"/>
        <v>1</v>
      </c>
      <c r="I352">
        <f t="shared" si="99"/>
        <v>1</v>
      </c>
      <c r="J352">
        <f t="shared" si="100"/>
        <v>1</v>
      </c>
      <c r="K352">
        <f t="shared" si="101"/>
        <v>1</v>
      </c>
      <c r="L352" t="str">
        <f>'Lab test'!AC341</f>
        <v>LTWb</v>
      </c>
      <c r="O352" t="e">
        <f t="shared" si="102"/>
        <v>#N/A</v>
      </c>
      <c r="P352">
        <f t="shared" si="103"/>
        <v>5.9557412008281581E-2</v>
      </c>
      <c r="Q352" t="e">
        <f t="shared" si="104"/>
        <v>#N/A</v>
      </c>
      <c r="R352" t="e">
        <f t="shared" si="105"/>
        <v>#N/A</v>
      </c>
      <c r="S352" t="e">
        <f t="shared" si="106"/>
        <v>#N/A</v>
      </c>
      <c r="T352" t="e">
        <f t="shared" si="107"/>
        <v>#N/A</v>
      </c>
      <c r="U352" t="e">
        <f t="shared" si="108"/>
        <v>#N/A</v>
      </c>
      <c r="W352" t="e">
        <f t="shared" si="109"/>
        <v>#N/A</v>
      </c>
      <c r="X352">
        <f t="shared" si="110"/>
        <v>0.3196530139999999</v>
      </c>
      <c r="Y352" t="e">
        <f t="shared" si="111"/>
        <v>#N/A</v>
      </c>
      <c r="Z352" t="e">
        <f t="shared" si="112"/>
        <v>#N/A</v>
      </c>
      <c r="AA352" t="e">
        <f t="shared" si="113"/>
        <v>#N/A</v>
      </c>
      <c r="AB352" t="e">
        <f t="shared" si="114"/>
        <v>#N/A</v>
      </c>
      <c r="AC352" t="e">
        <f t="shared" si="115"/>
        <v>#N/A</v>
      </c>
    </row>
    <row r="353" spans="2:29">
      <c r="B353">
        <v>339</v>
      </c>
      <c r="C353">
        <f>'Lab test'!Q342</f>
        <v>720.65652769939629</v>
      </c>
      <c r="D353">
        <f>IF('Lab test'!AQ342&gt;0,'Lab test'!AQ342,NA())</f>
        <v>2.112824657063634</v>
      </c>
      <c r="E353">
        <f>IF('Lab test'!AU342&gt;0,'Lab test'!AU342,NA())</f>
        <v>0.11408327645051196</v>
      </c>
      <c r="F353">
        <f>IF('Lab test'!AT342&gt;0,'Lab test'!AT342,NA())</f>
        <v>0.50927094399999995</v>
      </c>
      <c r="G353">
        <f t="shared" si="97"/>
        <v>1</v>
      </c>
      <c r="H353">
        <f t="shared" si="98"/>
        <v>1</v>
      </c>
      <c r="I353">
        <f t="shared" si="99"/>
        <v>1</v>
      </c>
      <c r="J353">
        <f t="shared" si="100"/>
        <v>1</v>
      </c>
      <c r="K353">
        <f t="shared" si="101"/>
        <v>1</v>
      </c>
      <c r="L353" t="str">
        <f>'Lab test'!AC342</f>
        <v>LTWb</v>
      </c>
      <c r="O353" t="e">
        <f t="shared" si="102"/>
        <v>#N/A</v>
      </c>
      <c r="P353">
        <f t="shared" si="103"/>
        <v>0.11408327645051196</v>
      </c>
      <c r="Q353" t="e">
        <f t="shared" si="104"/>
        <v>#N/A</v>
      </c>
      <c r="R353" t="e">
        <f t="shared" si="105"/>
        <v>#N/A</v>
      </c>
      <c r="S353" t="e">
        <f t="shared" si="106"/>
        <v>#N/A</v>
      </c>
      <c r="T353" t="e">
        <f t="shared" si="107"/>
        <v>#N/A</v>
      </c>
      <c r="U353" t="e">
        <f t="shared" si="108"/>
        <v>#N/A</v>
      </c>
      <c r="W353" t="e">
        <f t="shared" si="109"/>
        <v>#N/A</v>
      </c>
      <c r="X353">
        <f t="shared" si="110"/>
        <v>0.50927094399999995</v>
      </c>
      <c r="Y353" t="e">
        <f t="shared" si="111"/>
        <v>#N/A</v>
      </c>
      <c r="Z353" t="e">
        <f t="shared" si="112"/>
        <v>#N/A</v>
      </c>
      <c r="AA353" t="e">
        <f t="shared" si="113"/>
        <v>#N/A</v>
      </c>
      <c r="AB353" t="e">
        <f t="shared" si="114"/>
        <v>#N/A</v>
      </c>
      <c r="AC353" t="e">
        <f t="shared" si="115"/>
        <v>#N/A</v>
      </c>
    </row>
    <row r="354" spans="2:29">
      <c r="B354">
        <v>340</v>
      </c>
      <c r="C354">
        <f>'Lab test'!Q343</f>
        <v>768.68738469199252</v>
      </c>
      <c r="D354">
        <f>IF('Lab test'!AQ343&gt;0,'Lab test'!AQ343,NA())</f>
        <v>2.1820975966394909</v>
      </c>
      <c r="E354">
        <f>IF('Lab test'!AU343&gt;0,'Lab test'!AU343,NA())</f>
        <v>9.0578440535573651E-2</v>
      </c>
      <c r="F354">
        <f>IF('Lab test'!AT343&gt;0,'Lab test'!AT343,NA())</f>
        <v>0.4312937664</v>
      </c>
      <c r="G354">
        <f t="shared" si="97"/>
        <v>1</v>
      </c>
      <c r="H354">
        <f t="shared" si="98"/>
        <v>1</v>
      </c>
      <c r="I354">
        <f t="shared" si="99"/>
        <v>1</v>
      </c>
      <c r="J354">
        <f t="shared" si="100"/>
        <v>1</v>
      </c>
      <c r="K354">
        <f t="shared" si="101"/>
        <v>1</v>
      </c>
      <c r="L354" t="str">
        <f>'Lab test'!AC343</f>
        <v>LTWb</v>
      </c>
      <c r="O354" t="e">
        <f t="shared" si="102"/>
        <v>#N/A</v>
      </c>
      <c r="P354">
        <f t="shared" si="103"/>
        <v>9.0578440535573651E-2</v>
      </c>
      <c r="Q354" t="e">
        <f t="shared" si="104"/>
        <v>#N/A</v>
      </c>
      <c r="R354" t="e">
        <f t="shared" si="105"/>
        <v>#N/A</v>
      </c>
      <c r="S354" t="e">
        <f t="shared" si="106"/>
        <v>#N/A</v>
      </c>
      <c r="T354" t="e">
        <f t="shared" si="107"/>
        <v>#N/A</v>
      </c>
      <c r="U354" t="e">
        <f t="shared" si="108"/>
        <v>#N/A</v>
      </c>
      <c r="W354" t="e">
        <f t="shared" si="109"/>
        <v>#N/A</v>
      </c>
      <c r="X354">
        <f t="shared" si="110"/>
        <v>0.4312937664</v>
      </c>
      <c r="Y354" t="e">
        <f t="shared" si="111"/>
        <v>#N/A</v>
      </c>
      <c r="Z354" t="e">
        <f t="shared" si="112"/>
        <v>#N/A</v>
      </c>
      <c r="AA354" t="e">
        <f t="shared" si="113"/>
        <v>#N/A</v>
      </c>
      <c r="AB354" t="e">
        <f t="shared" si="114"/>
        <v>#N/A</v>
      </c>
      <c r="AC354" t="e">
        <f t="shared" si="115"/>
        <v>#N/A</v>
      </c>
    </row>
    <row r="355" spans="2:29">
      <c r="B355">
        <v>341</v>
      </c>
      <c r="C355">
        <f>'Lab test'!Q344</f>
        <v>756.53441583600295</v>
      </c>
      <c r="D355">
        <f>IF('Lab test'!AQ344&gt;0,'Lab test'!AQ344,NA())</f>
        <v>2.1647793617455267</v>
      </c>
      <c r="E355">
        <f>IF('Lab test'!AU344&gt;0,'Lab test'!AU344,NA())</f>
        <v>0.11178934103439224</v>
      </c>
      <c r="F355">
        <f>IF('Lab test'!AT344&gt;0,'Lab test'!AT344,NA())</f>
        <v>0.52387499999999998</v>
      </c>
      <c r="G355">
        <f t="shared" si="97"/>
        <v>1</v>
      </c>
      <c r="H355">
        <f t="shared" si="98"/>
        <v>1</v>
      </c>
      <c r="I355">
        <f t="shared" si="99"/>
        <v>1</v>
      </c>
      <c r="J355">
        <f t="shared" si="100"/>
        <v>1</v>
      </c>
      <c r="K355">
        <f t="shared" si="101"/>
        <v>1</v>
      </c>
      <c r="L355" t="str">
        <f>'Lab test'!AC344</f>
        <v>LTWb</v>
      </c>
      <c r="O355" t="e">
        <f t="shared" si="102"/>
        <v>#N/A</v>
      </c>
      <c r="P355">
        <f t="shared" si="103"/>
        <v>0.11178934103439224</v>
      </c>
      <c r="Q355" t="e">
        <f t="shared" si="104"/>
        <v>#N/A</v>
      </c>
      <c r="R355" t="e">
        <f t="shared" si="105"/>
        <v>#N/A</v>
      </c>
      <c r="S355" t="e">
        <f t="shared" si="106"/>
        <v>#N/A</v>
      </c>
      <c r="T355" t="e">
        <f t="shared" si="107"/>
        <v>#N/A</v>
      </c>
      <c r="U355" t="e">
        <f t="shared" si="108"/>
        <v>#N/A</v>
      </c>
      <c r="W355" t="e">
        <f t="shared" si="109"/>
        <v>#N/A</v>
      </c>
      <c r="X355">
        <f t="shared" si="110"/>
        <v>0.52387499999999998</v>
      </c>
      <c r="Y355" t="e">
        <f t="shared" si="111"/>
        <v>#N/A</v>
      </c>
      <c r="Z355" t="e">
        <f t="shared" si="112"/>
        <v>#N/A</v>
      </c>
      <c r="AA355" t="e">
        <f t="shared" si="113"/>
        <v>#N/A</v>
      </c>
      <c r="AB355" t="e">
        <f t="shared" si="114"/>
        <v>#N/A</v>
      </c>
      <c r="AC355" t="e">
        <f t="shared" si="115"/>
        <v>#N/A</v>
      </c>
    </row>
    <row r="356" spans="2:29">
      <c r="B356">
        <v>342</v>
      </c>
      <c r="C356">
        <f>'Lab test'!Q345</f>
        <v>674.17505319043255</v>
      </c>
      <c r="D356">
        <f>IF('Lab test'!AQ345&gt;0,'Lab test'!AQ345,NA())</f>
        <v>2.0435517174877771</v>
      </c>
      <c r="E356">
        <f>IF('Lab test'!AU345&gt;0,'Lab test'!AU345,NA())</f>
        <v>0.10952207928590181</v>
      </c>
      <c r="F356">
        <f>IF('Lab test'!AT345&gt;0,'Lab test'!AT345,NA())</f>
        <v>0.45737555200000007</v>
      </c>
      <c r="G356">
        <f t="shared" si="97"/>
        <v>1</v>
      </c>
      <c r="H356">
        <f t="shared" si="98"/>
        <v>1</v>
      </c>
      <c r="I356">
        <f t="shared" si="99"/>
        <v>1</v>
      </c>
      <c r="J356">
        <f t="shared" si="100"/>
        <v>1</v>
      </c>
      <c r="K356">
        <f t="shared" si="101"/>
        <v>1</v>
      </c>
      <c r="L356" t="str">
        <f>'Lab test'!AC345</f>
        <v>LTWb</v>
      </c>
      <c r="O356" t="e">
        <f t="shared" si="102"/>
        <v>#N/A</v>
      </c>
      <c r="P356">
        <f t="shared" si="103"/>
        <v>0.10952207928590181</v>
      </c>
      <c r="Q356" t="e">
        <f t="shared" si="104"/>
        <v>#N/A</v>
      </c>
      <c r="R356" t="e">
        <f t="shared" si="105"/>
        <v>#N/A</v>
      </c>
      <c r="S356" t="e">
        <f t="shared" si="106"/>
        <v>#N/A</v>
      </c>
      <c r="T356" t="e">
        <f t="shared" si="107"/>
        <v>#N/A</v>
      </c>
      <c r="U356" t="e">
        <f t="shared" si="108"/>
        <v>#N/A</v>
      </c>
      <c r="W356" t="e">
        <f t="shared" si="109"/>
        <v>#N/A</v>
      </c>
      <c r="X356">
        <f t="shared" si="110"/>
        <v>0.45737555200000007</v>
      </c>
      <c r="Y356" t="e">
        <f t="shared" si="111"/>
        <v>#N/A</v>
      </c>
      <c r="Z356" t="e">
        <f t="shared" si="112"/>
        <v>#N/A</v>
      </c>
      <c r="AA356" t="e">
        <f t="shared" si="113"/>
        <v>#N/A</v>
      </c>
      <c r="AB356" t="e">
        <f t="shared" si="114"/>
        <v>#N/A</v>
      </c>
      <c r="AC356" t="e">
        <f t="shared" si="115"/>
        <v>#N/A</v>
      </c>
    </row>
    <row r="357" spans="2:29">
      <c r="B357">
        <v>343</v>
      </c>
      <c r="C357">
        <f>'Lab test'!Q346</f>
        <v>691.42403787149306</v>
      </c>
      <c r="D357">
        <f>IF('Lab test'!AQ346&gt;0,'Lab test'!AQ346,NA())</f>
        <v>2.069529069828723</v>
      </c>
      <c r="E357">
        <f>IF('Lab test'!AU346&gt;0,'Lab test'!AU346,NA())</f>
        <v>0.10234953006038332</v>
      </c>
      <c r="F357">
        <f>IF('Lab test'!AT346&gt;0,'Lab test'!AT346,NA())</f>
        <v>0.43835797819999983</v>
      </c>
      <c r="G357">
        <f t="shared" si="97"/>
        <v>1</v>
      </c>
      <c r="H357">
        <f t="shared" si="98"/>
        <v>1</v>
      </c>
      <c r="I357">
        <f t="shared" si="99"/>
        <v>1</v>
      </c>
      <c r="J357">
        <f t="shared" si="100"/>
        <v>1</v>
      </c>
      <c r="K357">
        <f t="shared" si="101"/>
        <v>1</v>
      </c>
      <c r="L357" t="str">
        <f>'Lab test'!AC346</f>
        <v>LTWb</v>
      </c>
      <c r="O357" t="e">
        <f t="shared" si="102"/>
        <v>#N/A</v>
      </c>
      <c r="P357">
        <f t="shared" si="103"/>
        <v>0.10234953006038332</v>
      </c>
      <c r="Q357" t="e">
        <f t="shared" si="104"/>
        <v>#N/A</v>
      </c>
      <c r="R357" t="e">
        <f t="shared" si="105"/>
        <v>#N/A</v>
      </c>
      <c r="S357" t="e">
        <f t="shared" si="106"/>
        <v>#N/A</v>
      </c>
      <c r="T357" t="e">
        <f t="shared" si="107"/>
        <v>#N/A</v>
      </c>
      <c r="U357" t="e">
        <f t="shared" si="108"/>
        <v>#N/A</v>
      </c>
      <c r="W357" t="e">
        <f t="shared" si="109"/>
        <v>#N/A</v>
      </c>
      <c r="X357">
        <f t="shared" si="110"/>
        <v>0.43835797819999983</v>
      </c>
      <c r="Y357" t="e">
        <f t="shared" si="111"/>
        <v>#N/A</v>
      </c>
      <c r="Z357" t="e">
        <f t="shared" si="112"/>
        <v>#N/A</v>
      </c>
      <c r="AA357" t="e">
        <f t="shared" si="113"/>
        <v>#N/A</v>
      </c>
      <c r="AB357" t="e">
        <f t="shared" si="114"/>
        <v>#N/A</v>
      </c>
      <c r="AC357" t="e">
        <f t="shared" si="115"/>
        <v>#N/A</v>
      </c>
    </row>
    <row r="358" spans="2:29">
      <c r="B358">
        <v>344</v>
      </c>
      <c r="C358">
        <f>'Lab test'!Q347</f>
        <v>685.65016720983283</v>
      </c>
      <c r="D358">
        <f>IF('Lab test'!AQ347&gt;0,'Lab test'!AQ347,NA())</f>
        <v>2.0608699523817413</v>
      </c>
      <c r="E358">
        <f>IF('Lab test'!AU347&gt;0,'Lab test'!AU347,NA())</f>
        <v>0.11255220792859019</v>
      </c>
      <c r="F358">
        <f>IF('Lab test'!AT347&gt;0,'Lab test'!AT347,NA())</f>
        <v>0.47803004479999994</v>
      </c>
      <c r="G358">
        <f t="shared" si="97"/>
        <v>1</v>
      </c>
      <c r="H358">
        <f t="shared" si="98"/>
        <v>1</v>
      </c>
      <c r="I358">
        <f t="shared" si="99"/>
        <v>1</v>
      </c>
      <c r="J358">
        <f t="shared" si="100"/>
        <v>1</v>
      </c>
      <c r="K358">
        <f t="shared" si="101"/>
        <v>1</v>
      </c>
      <c r="L358" t="str">
        <f>'Lab test'!AC347</f>
        <v>LTWb</v>
      </c>
      <c r="O358" t="e">
        <f t="shared" si="102"/>
        <v>#N/A</v>
      </c>
      <c r="P358">
        <f t="shared" si="103"/>
        <v>0.11255220792859019</v>
      </c>
      <c r="Q358" t="e">
        <f t="shared" si="104"/>
        <v>#N/A</v>
      </c>
      <c r="R358" t="e">
        <f t="shared" si="105"/>
        <v>#N/A</v>
      </c>
      <c r="S358" t="e">
        <f t="shared" si="106"/>
        <v>#N/A</v>
      </c>
      <c r="T358" t="e">
        <f t="shared" si="107"/>
        <v>#N/A</v>
      </c>
      <c r="U358" t="e">
        <f t="shared" si="108"/>
        <v>#N/A</v>
      </c>
      <c r="W358" t="e">
        <f t="shared" si="109"/>
        <v>#N/A</v>
      </c>
      <c r="X358">
        <f t="shared" si="110"/>
        <v>0.47803004479999994</v>
      </c>
      <c r="Y358" t="e">
        <f t="shared" si="111"/>
        <v>#N/A</v>
      </c>
      <c r="Z358" t="e">
        <f t="shared" si="112"/>
        <v>#N/A</v>
      </c>
      <c r="AA358" t="e">
        <f t="shared" si="113"/>
        <v>#N/A</v>
      </c>
      <c r="AB358" t="e">
        <f t="shared" si="114"/>
        <v>#N/A</v>
      </c>
      <c r="AC358" t="e">
        <f t="shared" si="115"/>
        <v>#N/A</v>
      </c>
    </row>
    <row r="359" spans="2:29">
      <c r="B359">
        <v>345</v>
      </c>
      <c r="C359">
        <f>'Lab test'!Q348</f>
        <v>685.65016720983283</v>
      </c>
      <c r="D359">
        <f>IF('Lab test'!AQ348&gt;0,'Lab test'!AQ348,NA())</f>
        <v>2.0608699523817413</v>
      </c>
      <c r="E359">
        <f>IF('Lab test'!AU348&gt;0,'Lab test'!AU348,NA())</f>
        <v>0.12546493042793386</v>
      </c>
      <c r="F359">
        <f>IF('Lab test'!AT348&gt;0,'Lab test'!AT348,NA())</f>
        <v>0.53287276559999996</v>
      </c>
      <c r="G359">
        <f t="shared" si="97"/>
        <v>1</v>
      </c>
      <c r="H359">
        <f t="shared" si="98"/>
        <v>1</v>
      </c>
      <c r="I359">
        <f t="shared" si="99"/>
        <v>1</v>
      </c>
      <c r="J359">
        <f t="shared" si="100"/>
        <v>1</v>
      </c>
      <c r="K359">
        <f t="shared" si="101"/>
        <v>1</v>
      </c>
      <c r="L359" t="str">
        <f>'Lab test'!AC348</f>
        <v>LTWb</v>
      </c>
      <c r="O359" t="e">
        <f t="shared" si="102"/>
        <v>#N/A</v>
      </c>
      <c r="P359">
        <f t="shared" si="103"/>
        <v>0.12546493042793386</v>
      </c>
      <c r="Q359" t="e">
        <f t="shared" si="104"/>
        <v>#N/A</v>
      </c>
      <c r="R359" t="e">
        <f t="shared" si="105"/>
        <v>#N/A</v>
      </c>
      <c r="S359" t="e">
        <f t="shared" si="106"/>
        <v>#N/A</v>
      </c>
      <c r="T359" t="e">
        <f t="shared" si="107"/>
        <v>#N/A</v>
      </c>
      <c r="U359" t="e">
        <f t="shared" si="108"/>
        <v>#N/A</v>
      </c>
      <c r="W359" t="e">
        <f t="shared" si="109"/>
        <v>#N/A</v>
      </c>
      <c r="X359">
        <f t="shared" si="110"/>
        <v>0.53287276559999996</v>
      </c>
      <c r="Y359" t="e">
        <f t="shared" si="111"/>
        <v>#N/A</v>
      </c>
      <c r="Z359" t="e">
        <f t="shared" si="112"/>
        <v>#N/A</v>
      </c>
      <c r="AA359" t="e">
        <f t="shared" si="113"/>
        <v>#N/A</v>
      </c>
      <c r="AB359" t="e">
        <f t="shared" si="114"/>
        <v>#N/A</v>
      </c>
      <c r="AC359" t="e">
        <f t="shared" si="115"/>
        <v>#N/A</v>
      </c>
    </row>
    <row r="360" spans="2:29">
      <c r="B360">
        <v>346</v>
      </c>
      <c r="C360">
        <f>'Lab test'!Q349</f>
        <v>651.51533436731233</v>
      </c>
      <c r="D360">
        <f>IF('Lab test'!AQ349&gt;0,'Lab test'!AQ349,NA())</f>
        <v>1.9382223626249933</v>
      </c>
      <c r="E360">
        <f>IF('Lab test'!AU349&gt;0,'Lab test'!AU349,NA())</f>
        <v>0.1641036970108696</v>
      </c>
      <c r="F360">
        <f>IF('Lab test'!AT349&gt;0,'Lab test'!AT349,NA())</f>
        <v>0.61648933120000005</v>
      </c>
      <c r="G360">
        <f t="shared" si="97"/>
        <v>1</v>
      </c>
      <c r="H360">
        <f t="shared" si="98"/>
        <v>1</v>
      </c>
      <c r="I360">
        <f t="shared" si="99"/>
        <v>1</v>
      </c>
      <c r="J360">
        <f t="shared" si="100"/>
        <v>1</v>
      </c>
      <c r="K360">
        <f t="shared" si="101"/>
        <v>1</v>
      </c>
      <c r="L360" t="str">
        <f>'Lab test'!AC349</f>
        <v>LTWb</v>
      </c>
      <c r="O360" t="e">
        <f t="shared" si="102"/>
        <v>#N/A</v>
      </c>
      <c r="P360">
        <f t="shared" si="103"/>
        <v>0.1641036970108696</v>
      </c>
      <c r="Q360" t="e">
        <f t="shared" si="104"/>
        <v>#N/A</v>
      </c>
      <c r="R360" t="e">
        <f t="shared" si="105"/>
        <v>#N/A</v>
      </c>
      <c r="S360" t="e">
        <f t="shared" si="106"/>
        <v>#N/A</v>
      </c>
      <c r="T360" t="e">
        <f t="shared" si="107"/>
        <v>#N/A</v>
      </c>
      <c r="U360" t="e">
        <f t="shared" si="108"/>
        <v>#N/A</v>
      </c>
      <c r="W360" t="e">
        <f t="shared" si="109"/>
        <v>#N/A</v>
      </c>
      <c r="X360">
        <f t="shared" si="110"/>
        <v>0.61648933120000005</v>
      </c>
      <c r="Y360" t="e">
        <f t="shared" si="111"/>
        <v>#N/A</v>
      </c>
      <c r="Z360" t="e">
        <f t="shared" si="112"/>
        <v>#N/A</v>
      </c>
      <c r="AA360" t="e">
        <f t="shared" si="113"/>
        <v>#N/A</v>
      </c>
      <c r="AB360" t="e">
        <f t="shared" si="114"/>
        <v>#N/A</v>
      </c>
      <c r="AC360" t="e">
        <f t="shared" si="115"/>
        <v>#N/A</v>
      </c>
    </row>
    <row r="361" spans="2:29">
      <c r="B361">
        <v>347</v>
      </c>
      <c r="C361">
        <f>'Lab test'!Q350</f>
        <v>657.14395042113222</v>
      </c>
      <c r="D361">
        <f>IF('Lab test'!AQ350&gt;0,'Lab test'!AQ350,NA())</f>
        <v>1.9465767693604457</v>
      </c>
      <c r="E361">
        <f>IF('Lab test'!AU350&gt;0,'Lab test'!AU350,NA())</f>
        <v>0.1492295160326087</v>
      </c>
      <c r="F361">
        <f>IF('Lab test'!AT350&gt;0,'Lab test'!AT350,NA())</f>
        <v>0.56545467995999987</v>
      </c>
      <c r="G361">
        <f t="shared" si="97"/>
        <v>1</v>
      </c>
      <c r="H361">
        <f t="shared" si="98"/>
        <v>1</v>
      </c>
      <c r="I361">
        <f t="shared" si="99"/>
        <v>1</v>
      </c>
      <c r="J361">
        <f t="shared" si="100"/>
        <v>1</v>
      </c>
      <c r="K361">
        <f t="shared" si="101"/>
        <v>1</v>
      </c>
      <c r="L361" t="str">
        <f>'Lab test'!AC350</f>
        <v>LTWb</v>
      </c>
      <c r="O361" t="e">
        <f t="shared" si="102"/>
        <v>#N/A</v>
      </c>
      <c r="P361">
        <f t="shared" si="103"/>
        <v>0.1492295160326087</v>
      </c>
      <c r="Q361" t="e">
        <f t="shared" si="104"/>
        <v>#N/A</v>
      </c>
      <c r="R361" t="e">
        <f t="shared" si="105"/>
        <v>#N/A</v>
      </c>
      <c r="S361" t="e">
        <f t="shared" si="106"/>
        <v>#N/A</v>
      </c>
      <c r="T361" t="e">
        <f t="shared" si="107"/>
        <v>#N/A</v>
      </c>
      <c r="U361" t="e">
        <f t="shared" si="108"/>
        <v>#N/A</v>
      </c>
      <c r="W361" t="e">
        <f t="shared" si="109"/>
        <v>#N/A</v>
      </c>
      <c r="X361">
        <f t="shared" si="110"/>
        <v>0.56545467995999987</v>
      </c>
      <c r="Y361" t="e">
        <f t="shared" si="111"/>
        <v>#N/A</v>
      </c>
      <c r="Z361" t="e">
        <f t="shared" si="112"/>
        <v>#N/A</v>
      </c>
      <c r="AA361" t="e">
        <f t="shared" si="113"/>
        <v>#N/A</v>
      </c>
      <c r="AB361" t="e">
        <f t="shared" si="114"/>
        <v>#N/A</v>
      </c>
      <c r="AC361" t="e">
        <f t="shared" si="115"/>
        <v>#N/A</v>
      </c>
    </row>
    <row r="362" spans="2:29">
      <c r="B362">
        <v>348</v>
      </c>
      <c r="C362">
        <f>'Lab test'!Q351</f>
        <v>691.42403787149306</v>
      </c>
      <c r="D362">
        <f>IF('Lab test'!AQ351&gt;0,'Lab test'!AQ351,NA())</f>
        <v>1.996703209773161</v>
      </c>
      <c r="E362">
        <f>IF('Lab test'!AU351&gt;0,'Lab test'!AU351,NA())</f>
        <v>9.4701550271739141E-2</v>
      </c>
      <c r="F362">
        <f>IF('Lab test'!AT351&gt;0,'Lab test'!AT351,NA())</f>
        <v>0.3775583857999999</v>
      </c>
      <c r="G362">
        <f t="shared" si="97"/>
        <v>1</v>
      </c>
      <c r="H362">
        <f t="shared" si="98"/>
        <v>1</v>
      </c>
      <c r="I362">
        <f t="shared" si="99"/>
        <v>1</v>
      </c>
      <c r="J362">
        <f t="shared" si="100"/>
        <v>1</v>
      </c>
      <c r="K362">
        <f t="shared" si="101"/>
        <v>1</v>
      </c>
      <c r="L362" t="str">
        <f>'Lab test'!AC351</f>
        <v>LTWb</v>
      </c>
      <c r="O362" t="e">
        <f t="shared" si="102"/>
        <v>#N/A</v>
      </c>
      <c r="P362">
        <f t="shared" si="103"/>
        <v>9.4701550271739141E-2</v>
      </c>
      <c r="Q362" t="e">
        <f t="shared" si="104"/>
        <v>#N/A</v>
      </c>
      <c r="R362" t="e">
        <f t="shared" si="105"/>
        <v>#N/A</v>
      </c>
      <c r="S362" t="e">
        <f t="shared" si="106"/>
        <v>#N/A</v>
      </c>
      <c r="T362" t="e">
        <f t="shared" si="107"/>
        <v>#N/A</v>
      </c>
      <c r="U362" t="e">
        <f t="shared" si="108"/>
        <v>#N/A</v>
      </c>
      <c r="W362" t="e">
        <f t="shared" si="109"/>
        <v>#N/A</v>
      </c>
      <c r="X362">
        <f t="shared" si="110"/>
        <v>0.3775583857999999</v>
      </c>
      <c r="Y362" t="e">
        <f t="shared" si="111"/>
        <v>#N/A</v>
      </c>
      <c r="Z362" t="e">
        <f t="shared" si="112"/>
        <v>#N/A</v>
      </c>
      <c r="AA362" t="e">
        <f t="shared" si="113"/>
        <v>#N/A</v>
      </c>
      <c r="AB362" t="e">
        <f t="shared" si="114"/>
        <v>#N/A</v>
      </c>
      <c r="AC362" t="e">
        <f t="shared" si="115"/>
        <v>#N/A</v>
      </c>
    </row>
    <row r="363" spans="2:29">
      <c r="B363">
        <v>349</v>
      </c>
      <c r="C363">
        <f>'Lab test'!Q352</f>
        <v>629.2429611651005</v>
      </c>
      <c r="D363">
        <f>IF('Lab test'!AQ352&gt;0,'Lab test'!AQ352,NA())</f>
        <v>1.904804735683183</v>
      </c>
      <c r="E363">
        <f>IF('Lab test'!AU352&gt;0,'Lab test'!AU352,NA())</f>
        <v>0.15542986141304346</v>
      </c>
      <c r="F363">
        <f>IF('Lab test'!AT352&gt;0,'Lab test'!AT352,NA())</f>
        <v>0.56394322559999988</v>
      </c>
      <c r="G363">
        <f t="shared" si="97"/>
        <v>1</v>
      </c>
      <c r="H363">
        <f t="shared" si="98"/>
        <v>1</v>
      </c>
      <c r="I363">
        <f t="shared" si="99"/>
        <v>1</v>
      </c>
      <c r="J363">
        <f t="shared" si="100"/>
        <v>1</v>
      </c>
      <c r="K363">
        <f t="shared" si="101"/>
        <v>1</v>
      </c>
      <c r="L363" t="str">
        <f>'Lab test'!AC352</f>
        <v>LTWb</v>
      </c>
      <c r="O363" t="e">
        <f t="shared" si="102"/>
        <v>#N/A</v>
      </c>
      <c r="P363">
        <f t="shared" si="103"/>
        <v>0.15542986141304346</v>
      </c>
      <c r="Q363" t="e">
        <f t="shared" si="104"/>
        <v>#N/A</v>
      </c>
      <c r="R363" t="e">
        <f t="shared" si="105"/>
        <v>#N/A</v>
      </c>
      <c r="S363" t="e">
        <f t="shared" si="106"/>
        <v>#N/A</v>
      </c>
      <c r="T363" t="e">
        <f t="shared" si="107"/>
        <v>#N/A</v>
      </c>
      <c r="U363" t="e">
        <f t="shared" si="108"/>
        <v>#N/A</v>
      </c>
      <c r="W363" t="e">
        <f t="shared" si="109"/>
        <v>#N/A</v>
      </c>
      <c r="X363">
        <f t="shared" si="110"/>
        <v>0.56394322559999988</v>
      </c>
      <c r="Y363" t="e">
        <f t="shared" si="111"/>
        <v>#N/A</v>
      </c>
      <c r="Z363" t="e">
        <f t="shared" si="112"/>
        <v>#N/A</v>
      </c>
      <c r="AA363" t="e">
        <f t="shared" si="113"/>
        <v>#N/A</v>
      </c>
      <c r="AB363" t="e">
        <f t="shared" si="114"/>
        <v>#N/A</v>
      </c>
      <c r="AC363" t="e">
        <f t="shared" si="115"/>
        <v>#N/A</v>
      </c>
    </row>
    <row r="364" spans="2:29">
      <c r="B364">
        <v>350</v>
      </c>
      <c r="C364">
        <f>'Lab test'!Q353</f>
        <v>662.79677557625882</v>
      </c>
      <c r="D364">
        <f>IF('Lab test'!AQ353&gt;0,'Lab test'!AQ353,NA())</f>
        <v>1.9549311760958983</v>
      </c>
      <c r="E364">
        <f>IF('Lab test'!AU353&gt;0,'Lab test'!AU353,NA())</f>
        <v>0.11069957608695653</v>
      </c>
      <c r="F364">
        <f>IF('Lab test'!AT353&gt;0,'Lab test'!AT353,NA())</f>
        <v>0.42306675839999996</v>
      </c>
      <c r="G364">
        <f t="shared" si="97"/>
        <v>1</v>
      </c>
      <c r="H364">
        <f t="shared" si="98"/>
        <v>1</v>
      </c>
      <c r="I364">
        <f t="shared" si="99"/>
        <v>1</v>
      </c>
      <c r="J364">
        <f t="shared" si="100"/>
        <v>1</v>
      </c>
      <c r="K364">
        <f t="shared" si="101"/>
        <v>1</v>
      </c>
      <c r="L364" t="str">
        <f>'Lab test'!AC353</f>
        <v>LTWb</v>
      </c>
      <c r="O364" t="e">
        <f t="shared" si="102"/>
        <v>#N/A</v>
      </c>
      <c r="P364">
        <f t="shared" si="103"/>
        <v>0.11069957608695653</v>
      </c>
      <c r="Q364" t="e">
        <f t="shared" si="104"/>
        <v>#N/A</v>
      </c>
      <c r="R364" t="e">
        <f t="shared" si="105"/>
        <v>#N/A</v>
      </c>
      <c r="S364" t="e">
        <f t="shared" si="106"/>
        <v>#N/A</v>
      </c>
      <c r="T364" t="e">
        <f t="shared" si="107"/>
        <v>#N/A</v>
      </c>
      <c r="U364" t="e">
        <f t="shared" si="108"/>
        <v>#N/A</v>
      </c>
      <c r="W364" t="e">
        <f t="shared" si="109"/>
        <v>#N/A</v>
      </c>
      <c r="X364">
        <f t="shared" si="110"/>
        <v>0.42306675839999996</v>
      </c>
      <c r="Y364" t="e">
        <f t="shared" si="111"/>
        <v>#N/A</v>
      </c>
      <c r="Z364" t="e">
        <f t="shared" si="112"/>
        <v>#N/A</v>
      </c>
      <c r="AA364" t="e">
        <f t="shared" si="113"/>
        <v>#N/A</v>
      </c>
      <c r="AB364" t="e">
        <f t="shared" si="114"/>
        <v>#N/A</v>
      </c>
      <c r="AC364" t="e">
        <f t="shared" si="115"/>
        <v>#N/A</v>
      </c>
    </row>
    <row r="365" spans="2:29">
      <c r="B365">
        <v>351</v>
      </c>
      <c r="C365">
        <f>'Lab test'!Q354</f>
        <v>662.79677557625882</v>
      </c>
      <c r="D365">
        <f>IF('Lab test'!AQ354&gt;0,'Lab test'!AQ354,NA())</f>
        <v>1.9549311760958983</v>
      </c>
      <c r="E365">
        <f>IF('Lab test'!AU354&gt;0,'Lab test'!AU354,NA())</f>
        <v>0.16189274290760869</v>
      </c>
      <c r="F365">
        <f>IF('Lab test'!AT354&gt;0,'Lab test'!AT354,NA())</f>
        <v>0.61871454590399988</v>
      </c>
      <c r="G365">
        <f t="shared" si="97"/>
        <v>1</v>
      </c>
      <c r="H365">
        <f t="shared" si="98"/>
        <v>1</v>
      </c>
      <c r="I365">
        <f t="shared" si="99"/>
        <v>1</v>
      </c>
      <c r="J365">
        <f t="shared" si="100"/>
        <v>1</v>
      </c>
      <c r="K365">
        <f t="shared" si="101"/>
        <v>1</v>
      </c>
      <c r="L365" t="str">
        <f>'Lab test'!AC354</f>
        <v>LTWb</v>
      </c>
      <c r="O365" t="e">
        <f t="shared" si="102"/>
        <v>#N/A</v>
      </c>
      <c r="P365">
        <f t="shared" si="103"/>
        <v>0.16189274290760869</v>
      </c>
      <c r="Q365" t="e">
        <f t="shared" si="104"/>
        <v>#N/A</v>
      </c>
      <c r="R365" t="e">
        <f t="shared" si="105"/>
        <v>#N/A</v>
      </c>
      <c r="S365" t="e">
        <f t="shared" si="106"/>
        <v>#N/A</v>
      </c>
      <c r="T365" t="e">
        <f t="shared" si="107"/>
        <v>#N/A</v>
      </c>
      <c r="U365" t="e">
        <f t="shared" si="108"/>
        <v>#N/A</v>
      </c>
      <c r="W365" t="e">
        <f t="shared" si="109"/>
        <v>#N/A</v>
      </c>
      <c r="X365">
        <f t="shared" si="110"/>
        <v>0.61871454590399988</v>
      </c>
      <c r="Y365" t="e">
        <f t="shared" si="111"/>
        <v>#N/A</v>
      </c>
      <c r="Z365" t="e">
        <f t="shared" si="112"/>
        <v>#N/A</v>
      </c>
      <c r="AA365" t="e">
        <f t="shared" si="113"/>
        <v>#N/A</v>
      </c>
      <c r="AB365" t="e">
        <f t="shared" si="114"/>
        <v>#N/A</v>
      </c>
      <c r="AC365" t="e">
        <f t="shared" si="115"/>
        <v>#N/A</v>
      </c>
    </row>
    <row r="366" spans="2:29">
      <c r="B366">
        <v>352</v>
      </c>
      <c r="C366">
        <f>'Lab test'!Q355</f>
        <v>668.47380983269215</v>
      </c>
      <c r="D366">
        <f>IF('Lab test'!AQ355&gt;0,'Lab test'!AQ355,NA())</f>
        <v>1.9632855828313509</v>
      </c>
      <c r="E366">
        <f>IF('Lab test'!AU355&gt;0,'Lab test'!AU355,NA())</f>
        <v>0.11297763994565219</v>
      </c>
      <c r="F366">
        <f>IF('Lab test'!AT355&gt;0,'Lab test'!AT355,NA())</f>
        <v>0.43547121499999997</v>
      </c>
      <c r="G366">
        <f t="shared" si="97"/>
        <v>1</v>
      </c>
      <c r="H366">
        <f t="shared" si="98"/>
        <v>1</v>
      </c>
      <c r="I366">
        <f t="shared" si="99"/>
        <v>1</v>
      </c>
      <c r="J366">
        <f t="shared" si="100"/>
        <v>1</v>
      </c>
      <c r="K366">
        <f t="shared" si="101"/>
        <v>1</v>
      </c>
      <c r="L366" t="str">
        <f>'Lab test'!AC355</f>
        <v>LTWb</v>
      </c>
      <c r="O366" t="e">
        <f t="shared" si="102"/>
        <v>#N/A</v>
      </c>
      <c r="P366">
        <f t="shared" si="103"/>
        <v>0.11297763994565219</v>
      </c>
      <c r="Q366" t="e">
        <f t="shared" si="104"/>
        <v>#N/A</v>
      </c>
      <c r="R366" t="e">
        <f t="shared" si="105"/>
        <v>#N/A</v>
      </c>
      <c r="S366" t="e">
        <f t="shared" si="106"/>
        <v>#N/A</v>
      </c>
      <c r="T366" t="e">
        <f t="shared" si="107"/>
        <v>#N/A</v>
      </c>
      <c r="U366" t="e">
        <f t="shared" si="108"/>
        <v>#N/A</v>
      </c>
      <c r="W366" t="e">
        <f t="shared" si="109"/>
        <v>#N/A</v>
      </c>
      <c r="X366">
        <f t="shared" si="110"/>
        <v>0.43547121499999997</v>
      </c>
      <c r="Y366" t="e">
        <f t="shared" si="111"/>
        <v>#N/A</v>
      </c>
      <c r="Z366" t="e">
        <f t="shared" si="112"/>
        <v>#N/A</v>
      </c>
      <c r="AA366" t="e">
        <f t="shared" si="113"/>
        <v>#N/A</v>
      </c>
      <c r="AB366" t="e">
        <f t="shared" si="114"/>
        <v>#N/A</v>
      </c>
      <c r="AC366" t="e">
        <f t="shared" si="115"/>
        <v>#N/A</v>
      </c>
    </row>
    <row r="367" spans="2:29">
      <c r="B367">
        <v>353</v>
      </c>
      <c r="C367">
        <f>'Lab test'!Q356</f>
        <v>720.65652769939629</v>
      </c>
      <c r="D367">
        <f>IF('Lab test'!AQ356&gt;0,'Lab test'!AQ356,NA())</f>
        <v>2.0384752434504239</v>
      </c>
      <c r="E367">
        <f>IF('Lab test'!AU356&gt;0,'Lab test'!AU356,NA())</f>
        <v>0.11069957608695653</v>
      </c>
      <c r="F367">
        <f>IF('Lab test'!AT356&gt;0,'Lab test'!AT356,NA())</f>
        <v>0.4599989504</v>
      </c>
      <c r="G367">
        <f t="shared" si="97"/>
        <v>1</v>
      </c>
      <c r="H367">
        <f t="shared" si="98"/>
        <v>1</v>
      </c>
      <c r="I367">
        <f t="shared" si="99"/>
        <v>1</v>
      </c>
      <c r="J367">
        <f t="shared" si="100"/>
        <v>1</v>
      </c>
      <c r="K367">
        <f t="shared" si="101"/>
        <v>1</v>
      </c>
      <c r="L367" t="str">
        <f>'Lab test'!AC356</f>
        <v>LTWb</v>
      </c>
      <c r="O367" t="e">
        <f t="shared" si="102"/>
        <v>#N/A</v>
      </c>
      <c r="P367">
        <f t="shared" si="103"/>
        <v>0.11069957608695653</v>
      </c>
      <c r="Q367" t="e">
        <f t="shared" si="104"/>
        <v>#N/A</v>
      </c>
      <c r="R367" t="e">
        <f t="shared" si="105"/>
        <v>#N/A</v>
      </c>
      <c r="S367" t="e">
        <f t="shared" si="106"/>
        <v>#N/A</v>
      </c>
      <c r="T367" t="e">
        <f t="shared" si="107"/>
        <v>#N/A</v>
      </c>
      <c r="U367" t="e">
        <f t="shared" si="108"/>
        <v>#N/A</v>
      </c>
      <c r="W367" t="e">
        <f t="shared" si="109"/>
        <v>#N/A</v>
      </c>
      <c r="X367">
        <f t="shared" si="110"/>
        <v>0.4599989504</v>
      </c>
      <c r="Y367" t="e">
        <f t="shared" si="111"/>
        <v>#N/A</v>
      </c>
      <c r="Z367" t="e">
        <f t="shared" si="112"/>
        <v>#N/A</v>
      </c>
      <c r="AA367" t="e">
        <f t="shared" si="113"/>
        <v>#N/A</v>
      </c>
      <c r="AB367" t="e">
        <f t="shared" si="114"/>
        <v>#N/A</v>
      </c>
      <c r="AC367" t="e">
        <f t="shared" si="115"/>
        <v>#N/A</v>
      </c>
    </row>
    <row r="368" spans="2:29">
      <c r="B368">
        <v>354</v>
      </c>
      <c r="C368">
        <f>'Lab test'!Q357</f>
        <v>668.47380983269215</v>
      </c>
      <c r="D368">
        <f>IF('Lab test'!AQ357&gt;0,'Lab test'!AQ357,NA())</f>
        <v>1.9632855828313509</v>
      </c>
      <c r="E368">
        <f>IF('Lab test'!AU357&gt;0,'Lab test'!AU357,NA())</f>
        <v>9.5334823369565225E-2</v>
      </c>
      <c r="F368">
        <f>IF('Lab test'!AT357&gt;0,'Lab test'!AT357,NA())</f>
        <v>0.36746714999999996</v>
      </c>
      <c r="G368">
        <f t="shared" si="97"/>
        <v>1</v>
      </c>
      <c r="H368">
        <f t="shared" si="98"/>
        <v>1</v>
      </c>
      <c r="I368">
        <f t="shared" si="99"/>
        <v>1</v>
      </c>
      <c r="J368">
        <f t="shared" si="100"/>
        <v>1</v>
      </c>
      <c r="K368">
        <f t="shared" si="101"/>
        <v>1</v>
      </c>
      <c r="L368" t="str">
        <f>'Lab test'!AC357</f>
        <v>LTWb</v>
      </c>
      <c r="O368" t="e">
        <f t="shared" si="102"/>
        <v>#N/A</v>
      </c>
      <c r="P368">
        <f t="shared" si="103"/>
        <v>9.5334823369565225E-2</v>
      </c>
      <c r="Q368" t="e">
        <f t="shared" si="104"/>
        <v>#N/A</v>
      </c>
      <c r="R368" t="e">
        <f t="shared" si="105"/>
        <v>#N/A</v>
      </c>
      <c r="S368" t="e">
        <f t="shared" si="106"/>
        <v>#N/A</v>
      </c>
      <c r="T368" t="e">
        <f t="shared" si="107"/>
        <v>#N/A</v>
      </c>
      <c r="U368" t="e">
        <f t="shared" si="108"/>
        <v>#N/A</v>
      </c>
      <c r="W368" t="e">
        <f t="shared" si="109"/>
        <v>#N/A</v>
      </c>
      <c r="X368">
        <f t="shared" si="110"/>
        <v>0.36746714999999996</v>
      </c>
      <c r="Y368" t="e">
        <f t="shared" si="111"/>
        <v>#N/A</v>
      </c>
      <c r="Z368" t="e">
        <f t="shared" si="112"/>
        <v>#N/A</v>
      </c>
      <c r="AA368" t="e">
        <f t="shared" si="113"/>
        <v>#N/A</v>
      </c>
      <c r="AB368" t="e">
        <f t="shared" si="114"/>
        <v>#N/A</v>
      </c>
      <c r="AC368" t="e">
        <f t="shared" si="115"/>
        <v>#N/A</v>
      </c>
    </row>
    <row r="369" spans="2:29">
      <c r="B369">
        <v>355</v>
      </c>
      <c r="C369">
        <f>'Lab test'!Q358</f>
        <v>651.51533436731233</v>
      </c>
      <c r="D369">
        <f>IF('Lab test'!AQ358&gt;0,'Lab test'!AQ358,NA())</f>
        <v>1.9382223626249933</v>
      </c>
      <c r="E369">
        <f>IF('Lab test'!AU358&gt;0,'Lab test'!AU358,NA())</f>
        <v>0.15126914254076088</v>
      </c>
      <c r="F369">
        <f>IF('Lab test'!AT358&gt;0,'Lab test'!AT358,NA())</f>
        <v>0.56827368435199987</v>
      </c>
      <c r="G369">
        <f t="shared" si="97"/>
        <v>1</v>
      </c>
      <c r="H369">
        <f t="shared" si="98"/>
        <v>1</v>
      </c>
      <c r="I369">
        <f t="shared" si="99"/>
        <v>1</v>
      </c>
      <c r="J369">
        <f t="shared" si="100"/>
        <v>1</v>
      </c>
      <c r="K369">
        <f t="shared" si="101"/>
        <v>1</v>
      </c>
      <c r="L369" t="str">
        <f>'Lab test'!AC358</f>
        <v>LTWb</v>
      </c>
      <c r="O369" t="e">
        <f t="shared" si="102"/>
        <v>#N/A</v>
      </c>
      <c r="P369">
        <f t="shared" si="103"/>
        <v>0.15126914254076088</v>
      </c>
      <c r="Q369" t="e">
        <f t="shared" si="104"/>
        <v>#N/A</v>
      </c>
      <c r="R369" t="e">
        <f t="shared" si="105"/>
        <v>#N/A</v>
      </c>
      <c r="S369" t="e">
        <f t="shared" si="106"/>
        <v>#N/A</v>
      </c>
      <c r="T369" t="e">
        <f t="shared" si="107"/>
        <v>#N/A</v>
      </c>
      <c r="U369" t="e">
        <f t="shared" si="108"/>
        <v>#N/A</v>
      </c>
      <c r="W369" t="e">
        <f t="shared" si="109"/>
        <v>#N/A</v>
      </c>
      <c r="X369">
        <f t="shared" si="110"/>
        <v>0.56827368435199987</v>
      </c>
      <c r="Y369" t="e">
        <f t="shared" si="111"/>
        <v>#N/A</v>
      </c>
      <c r="Z369" t="e">
        <f t="shared" si="112"/>
        <v>#N/A</v>
      </c>
      <c r="AA369" t="e">
        <f t="shared" si="113"/>
        <v>#N/A</v>
      </c>
      <c r="AB369" t="e">
        <f t="shared" si="114"/>
        <v>#N/A</v>
      </c>
      <c r="AC369" t="e">
        <f t="shared" si="115"/>
        <v>#N/A</v>
      </c>
    </row>
    <row r="370" spans="2:29">
      <c r="B370">
        <v>356</v>
      </c>
      <c r="C370">
        <f>'Lab test'!Q359</f>
        <v>651.51533436731233</v>
      </c>
      <c r="D370">
        <f>IF('Lab test'!AQ359&gt;0,'Lab test'!AQ359,NA())</f>
        <v>1.9382223626249933</v>
      </c>
      <c r="E370">
        <f>IF('Lab test'!AU359&gt;0,'Lab test'!AU359,NA())</f>
        <v>0.13478401222826086</v>
      </c>
      <c r="F370">
        <f>IF('Lab test'!AT359&gt;0,'Lab test'!AT359,NA())</f>
        <v>0.50634389759999987</v>
      </c>
      <c r="G370">
        <f t="shared" si="97"/>
        <v>1</v>
      </c>
      <c r="H370">
        <f t="shared" si="98"/>
        <v>1</v>
      </c>
      <c r="I370">
        <f t="shared" si="99"/>
        <v>1</v>
      </c>
      <c r="J370">
        <f t="shared" si="100"/>
        <v>1</v>
      </c>
      <c r="K370">
        <f t="shared" si="101"/>
        <v>1</v>
      </c>
      <c r="L370" t="str">
        <f>'Lab test'!AC359</f>
        <v>LTWb</v>
      </c>
      <c r="O370" t="e">
        <f t="shared" si="102"/>
        <v>#N/A</v>
      </c>
      <c r="P370">
        <f t="shared" si="103"/>
        <v>0.13478401222826086</v>
      </c>
      <c r="Q370" t="e">
        <f t="shared" si="104"/>
        <v>#N/A</v>
      </c>
      <c r="R370" t="e">
        <f t="shared" si="105"/>
        <v>#N/A</v>
      </c>
      <c r="S370" t="e">
        <f t="shared" si="106"/>
        <v>#N/A</v>
      </c>
      <c r="T370" t="e">
        <f t="shared" si="107"/>
        <v>#N/A</v>
      </c>
      <c r="U370" t="e">
        <f t="shared" si="108"/>
        <v>#N/A</v>
      </c>
      <c r="W370" t="e">
        <f t="shared" si="109"/>
        <v>#N/A</v>
      </c>
      <c r="X370">
        <f t="shared" si="110"/>
        <v>0.50634389759999987</v>
      </c>
      <c r="Y370" t="e">
        <f t="shared" si="111"/>
        <v>#N/A</v>
      </c>
      <c r="Z370" t="e">
        <f t="shared" si="112"/>
        <v>#N/A</v>
      </c>
      <c r="AA370" t="e">
        <f t="shared" si="113"/>
        <v>#N/A</v>
      </c>
      <c r="AB370" t="e">
        <f t="shared" si="114"/>
        <v>#N/A</v>
      </c>
      <c r="AC370" t="e">
        <f t="shared" si="115"/>
        <v>#N/A</v>
      </c>
    </row>
    <row r="371" spans="2:29">
      <c r="B371">
        <v>357</v>
      </c>
      <c r="C371">
        <f>'Lab test'!Q360</f>
        <v>685.65016720983283</v>
      </c>
      <c r="D371">
        <f>IF('Lab test'!AQ360&gt;0,'Lab test'!AQ360,NA())</f>
        <v>1.9883488030377086</v>
      </c>
      <c r="E371">
        <f>IF('Lab test'!AU360&gt;0,'Lab test'!AU360,NA())</f>
        <v>8.5534850543478272E-2</v>
      </c>
      <c r="F371">
        <f>IF('Lab test'!AT360&gt;0,'Lab test'!AT360,NA())</f>
        <v>0.33816467999999994</v>
      </c>
      <c r="G371">
        <f t="shared" si="97"/>
        <v>1</v>
      </c>
      <c r="H371">
        <f t="shared" si="98"/>
        <v>1</v>
      </c>
      <c r="I371">
        <f t="shared" si="99"/>
        <v>1</v>
      </c>
      <c r="J371">
        <f t="shared" si="100"/>
        <v>1</v>
      </c>
      <c r="K371">
        <f t="shared" si="101"/>
        <v>1</v>
      </c>
      <c r="L371" t="str">
        <f>'Lab test'!AC360</f>
        <v>LTWb</v>
      </c>
      <c r="O371" t="e">
        <f t="shared" si="102"/>
        <v>#N/A</v>
      </c>
      <c r="P371">
        <f t="shared" si="103"/>
        <v>8.5534850543478272E-2</v>
      </c>
      <c r="Q371" t="e">
        <f t="shared" si="104"/>
        <v>#N/A</v>
      </c>
      <c r="R371" t="e">
        <f t="shared" si="105"/>
        <v>#N/A</v>
      </c>
      <c r="S371" t="e">
        <f t="shared" si="106"/>
        <v>#N/A</v>
      </c>
      <c r="T371" t="e">
        <f t="shared" si="107"/>
        <v>#N/A</v>
      </c>
      <c r="U371" t="e">
        <f t="shared" si="108"/>
        <v>#N/A</v>
      </c>
      <c r="W371" t="e">
        <f t="shared" si="109"/>
        <v>#N/A</v>
      </c>
      <c r="X371">
        <f t="shared" si="110"/>
        <v>0.33816467999999994</v>
      </c>
      <c r="Y371" t="e">
        <f t="shared" si="111"/>
        <v>#N/A</v>
      </c>
      <c r="Z371" t="e">
        <f t="shared" si="112"/>
        <v>#N/A</v>
      </c>
      <c r="AA371" t="e">
        <f t="shared" si="113"/>
        <v>#N/A</v>
      </c>
      <c r="AB371" t="e">
        <f t="shared" si="114"/>
        <v>#N/A</v>
      </c>
      <c r="AC371" t="e">
        <f t="shared" si="115"/>
        <v>#N/A</v>
      </c>
    </row>
    <row r="372" spans="2:29">
      <c r="B372">
        <v>358</v>
      </c>
      <c r="C372">
        <f>'Lab test'!Q361</f>
        <v>645.9109274147994</v>
      </c>
      <c r="D372">
        <f>IF('Lab test'!AQ361&gt;0,'Lab test'!AQ361,NA())</f>
        <v>1.9298679558895411</v>
      </c>
      <c r="E372">
        <f>IF('Lab test'!AU361&gt;0,'Lab test'!AU361,NA())</f>
        <v>0.12940548913043479</v>
      </c>
      <c r="F372">
        <f>IF('Lab test'!AT361&gt;0,'Lab test'!AT361,NA())</f>
        <v>0.48195655200000015</v>
      </c>
      <c r="G372">
        <f t="shared" si="97"/>
        <v>1</v>
      </c>
      <c r="H372">
        <f t="shared" si="98"/>
        <v>1</v>
      </c>
      <c r="I372">
        <f t="shared" si="99"/>
        <v>1</v>
      </c>
      <c r="J372">
        <f t="shared" si="100"/>
        <v>1</v>
      </c>
      <c r="K372">
        <f t="shared" si="101"/>
        <v>1</v>
      </c>
      <c r="L372" t="str">
        <f>'Lab test'!AC361</f>
        <v>LTWb</v>
      </c>
      <c r="O372" t="e">
        <f t="shared" si="102"/>
        <v>#N/A</v>
      </c>
      <c r="P372">
        <f t="shared" si="103"/>
        <v>0.12940548913043479</v>
      </c>
      <c r="Q372" t="e">
        <f t="shared" si="104"/>
        <v>#N/A</v>
      </c>
      <c r="R372" t="e">
        <f t="shared" si="105"/>
        <v>#N/A</v>
      </c>
      <c r="S372" t="e">
        <f t="shared" si="106"/>
        <v>#N/A</v>
      </c>
      <c r="T372" t="e">
        <f t="shared" si="107"/>
        <v>#N/A</v>
      </c>
      <c r="U372" t="e">
        <f t="shared" si="108"/>
        <v>#N/A</v>
      </c>
      <c r="W372" t="e">
        <f t="shared" si="109"/>
        <v>#N/A</v>
      </c>
      <c r="X372">
        <f t="shared" si="110"/>
        <v>0.48195655200000015</v>
      </c>
      <c r="Y372" t="e">
        <f t="shared" si="111"/>
        <v>#N/A</v>
      </c>
      <c r="Z372" t="e">
        <f t="shared" si="112"/>
        <v>#N/A</v>
      </c>
      <c r="AA372" t="e">
        <f t="shared" si="113"/>
        <v>#N/A</v>
      </c>
      <c r="AB372" t="e">
        <f t="shared" si="114"/>
        <v>#N/A</v>
      </c>
      <c r="AC372" t="e">
        <f t="shared" si="115"/>
        <v>#N/A</v>
      </c>
    </row>
    <row r="373" spans="2:29">
      <c r="B373">
        <v>359</v>
      </c>
      <c r="C373">
        <f>'Lab test'!Q362</f>
        <v>640.33072956359285</v>
      </c>
      <c r="D373">
        <f>IF('Lab test'!AQ362&gt;0,'Lab test'!AQ362,NA())</f>
        <v>1.9215135491540878</v>
      </c>
      <c r="E373">
        <f>IF('Lab test'!AU362&gt;0,'Lab test'!AU362,NA())</f>
        <v>0.1452229891304348</v>
      </c>
      <c r="F373">
        <f>IF('Lab test'!AT362&gt;0,'Lab test'!AT362,NA())</f>
        <v>0.53619439999999985</v>
      </c>
      <c r="G373">
        <f t="shared" si="97"/>
        <v>1</v>
      </c>
      <c r="H373">
        <f t="shared" si="98"/>
        <v>1</v>
      </c>
      <c r="I373">
        <f t="shared" si="99"/>
        <v>1</v>
      </c>
      <c r="J373">
        <f t="shared" si="100"/>
        <v>1</v>
      </c>
      <c r="K373">
        <f t="shared" si="101"/>
        <v>1</v>
      </c>
      <c r="L373" t="str">
        <f>'Lab test'!AC362</f>
        <v>LTWb</v>
      </c>
      <c r="O373" t="e">
        <f t="shared" si="102"/>
        <v>#N/A</v>
      </c>
      <c r="P373">
        <f t="shared" si="103"/>
        <v>0.1452229891304348</v>
      </c>
      <c r="Q373" t="e">
        <f t="shared" si="104"/>
        <v>#N/A</v>
      </c>
      <c r="R373" t="e">
        <f t="shared" si="105"/>
        <v>#N/A</v>
      </c>
      <c r="S373" t="e">
        <f t="shared" si="106"/>
        <v>#N/A</v>
      </c>
      <c r="T373" t="e">
        <f t="shared" si="107"/>
        <v>#N/A</v>
      </c>
      <c r="U373" t="e">
        <f t="shared" si="108"/>
        <v>#N/A</v>
      </c>
      <c r="W373" t="e">
        <f t="shared" si="109"/>
        <v>#N/A</v>
      </c>
      <c r="X373">
        <f t="shared" si="110"/>
        <v>0.53619439999999985</v>
      </c>
      <c r="Y373" t="e">
        <f t="shared" si="111"/>
        <v>#N/A</v>
      </c>
      <c r="Z373" t="e">
        <f t="shared" si="112"/>
        <v>#N/A</v>
      </c>
      <c r="AA373" t="e">
        <f t="shared" si="113"/>
        <v>#N/A</v>
      </c>
      <c r="AB373" t="e">
        <f t="shared" si="114"/>
        <v>#N/A</v>
      </c>
      <c r="AC373" t="e">
        <f t="shared" si="115"/>
        <v>#N/A</v>
      </c>
    </row>
    <row r="374" spans="2:29">
      <c r="B374">
        <v>360</v>
      </c>
      <c r="C374">
        <f>'Lab test'!Q363</f>
        <v>640.33072956359285</v>
      </c>
      <c r="D374">
        <f>IF('Lab test'!AQ363&gt;0,'Lab test'!AQ363,NA())</f>
        <v>1.9215135491540878</v>
      </c>
      <c r="E374">
        <f>IF('Lab test'!AU363&gt;0,'Lab test'!AU363,NA())</f>
        <v>0.11145606521739131</v>
      </c>
      <c r="F374">
        <f>IF('Lab test'!AT363&gt;0,'Lab test'!AT363,NA())</f>
        <v>0.41151967999999983</v>
      </c>
      <c r="G374">
        <f t="shared" si="97"/>
        <v>1</v>
      </c>
      <c r="H374">
        <f t="shared" si="98"/>
        <v>1</v>
      </c>
      <c r="I374">
        <f t="shared" si="99"/>
        <v>1</v>
      </c>
      <c r="J374">
        <f t="shared" si="100"/>
        <v>1</v>
      </c>
      <c r="K374">
        <f t="shared" si="101"/>
        <v>1</v>
      </c>
      <c r="L374" t="str">
        <f>'Lab test'!AC363</f>
        <v>LTWb</v>
      </c>
      <c r="O374" t="e">
        <f t="shared" si="102"/>
        <v>#N/A</v>
      </c>
      <c r="P374">
        <f t="shared" si="103"/>
        <v>0.11145606521739131</v>
      </c>
      <c r="Q374" t="e">
        <f t="shared" si="104"/>
        <v>#N/A</v>
      </c>
      <c r="R374" t="e">
        <f t="shared" si="105"/>
        <v>#N/A</v>
      </c>
      <c r="S374" t="e">
        <f t="shared" si="106"/>
        <v>#N/A</v>
      </c>
      <c r="T374" t="e">
        <f t="shared" si="107"/>
        <v>#N/A</v>
      </c>
      <c r="U374" t="e">
        <f t="shared" si="108"/>
        <v>#N/A</v>
      </c>
      <c r="W374" t="e">
        <f t="shared" si="109"/>
        <v>#N/A</v>
      </c>
      <c r="X374">
        <f t="shared" si="110"/>
        <v>0.41151967999999983</v>
      </c>
      <c r="Y374" t="e">
        <f t="shared" si="111"/>
        <v>#N/A</v>
      </c>
      <c r="Z374" t="e">
        <f t="shared" si="112"/>
        <v>#N/A</v>
      </c>
      <c r="AA374" t="e">
        <f t="shared" si="113"/>
        <v>#N/A</v>
      </c>
      <c r="AB374" t="e">
        <f t="shared" si="114"/>
        <v>#N/A</v>
      </c>
      <c r="AC374" t="e">
        <f t="shared" si="115"/>
        <v>#N/A</v>
      </c>
    </row>
    <row r="375" spans="2:29">
      <c r="B375">
        <v>361</v>
      </c>
      <c r="C375">
        <f>'Lab test'!Q364</f>
        <v>662.79677557625882</v>
      </c>
      <c r="D375">
        <f>IF('Lab test'!AQ364&gt;0,'Lab test'!AQ364,NA())</f>
        <v>1.9549311760958983</v>
      </c>
      <c r="E375">
        <f>IF('Lab test'!AU364&gt;0,'Lab test'!AU364,NA())</f>
        <v>0.13028519429347829</v>
      </c>
      <c r="F375">
        <f>IF('Lab test'!AT364&gt;0,'Lab test'!AT364,NA())</f>
        <v>0.49791821040000001</v>
      </c>
      <c r="G375">
        <f t="shared" si="97"/>
        <v>1</v>
      </c>
      <c r="H375">
        <f t="shared" si="98"/>
        <v>1</v>
      </c>
      <c r="I375">
        <f t="shared" si="99"/>
        <v>1</v>
      </c>
      <c r="J375">
        <f t="shared" si="100"/>
        <v>1</v>
      </c>
      <c r="K375">
        <f t="shared" si="101"/>
        <v>1</v>
      </c>
      <c r="L375" t="str">
        <f>'Lab test'!AC364</f>
        <v>LTWb</v>
      </c>
      <c r="O375" t="e">
        <f t="shared" si="102"/>
        <v>#N/A</v>
      </c>
      <c r="P375">
        <f t="shared" si="103"/>
        <v>0.13028519429347829</v>
      </c>
      <c r="Q375" t="e">
        <f t="shared" si="104"/>
        <v>#N/A</v>
      </c>
      <c r="R375" t="e">
        <f t="shared" si="105"/>
        <v>#N/A</v>
      </c>
      <c r="S375" t="e">
        <f t="shared" si="106"/>
        <v>#N/A</v>
      </c>
      <c r="T375" t="e">
        <f t="shared" si="107"/>
        <v>#N/A</v>
      </c>
      <c r="U375" t="e">
        <f t="shared" si="108"/>
        <v>#N/A</v>
      </c>
      <c r="W375" t="e">
        <f t="shared" si="109"/>
        <v>#N/A</v>
      </c>
      <c r="X375">
        <f t="shared" si="110"/>
        <v>0.49791821040000001</v>
      </c>
      <c r="Y375" t="e">
        <f t="shared" si="111"/>
        <v>#N/A</v>
      </c>
      <c r="Z375" t="e">
        <f t="shared" si="112"/>
        <v>#N/A</v>
      </c>
      <c r="AA375" t="e">
        <f t="shared" si="113"/>
        <v>#N/A</v>
      </c>
      <c r="AB375" t="e">
        <f t="shared" si="114"/>
        <v>#N/A</v>
      </c>
      <c r="AC375" t="e">
        <f t="shared" si="115"/>
        <v>#N/A</v>
      </c>
    </row>
    <row r="376" spans="2:29">
      <c r="B376">
        <v>362</v>
      </c>
      <c r="C376">
        <f>'Lab test'!Q365</f>
        <v>674.17505319043255</v>
      </c>
      <c r="D376">
        <f>IF('Lab test'!AQ365&gt;0,'Lab test'!AQ365,NA())</f>
        <v>1.9716399895668035</v>
      </c>
      <c r="E376">
        <f>IF('Lab test'!AU365&gt;0,'Lab test'!AU365,NA())</f>
        <v>0.11450494565217392</v>
      </c>
      <c r="F376">
        <f>IF('Lab test'!AT365&gt;0,'Lab test'!AT365,NA())</f>
        <v>0.44512243200000001</v>
      </c>
      <c r="G376">
        <f t="shared" si="97"/>
        <v>1</v>
      </c>
      <c r="H376">
        <f t="shared" si="98"/>
        <v>1</v>
      </c>
      <c r="I376">
        <f t="shared" si="99"/>
        <v>1</v>
      </c>
      <c r="J376">
        <f t="shared" si="100"/>
        <v>1</v>
      </c>
      <c r="K376">
        <f t="shared" si="101"/>
        <v>1</v>
      </c>
      <c r="L376" t="str">
        <f>'Lab test'!AC365</f>
        <v>LTWb</v>
      </c>
      <c r="O376" t="e">
        <f t="shared" si="102"/>
        <v>#N/A</v>
      </c>
      <c r="P376">
        <f t="shared" si="103"/>
        <v>0.11450494565217392</v>
      </c>
      <c r="Q376" t="e">
        <f t="shared" si="104"/>
        <v>#N/A</v>
      </c>
      <c r="R376" t="e">
        <f t="shared" si="105"/>
        <v>#N/A</v>
      </c>
      <c r="S376" t="e">
        <f t="shared" si="106"/>
        <v>#N/A</v>
      </c>
      <c r="T376" t="e">
        <f t="shared" si="107"/>
        <v>#N/A</v>
      </c>
      <c r="U376" t="e">
        <f t="shared" si="108"/>
        <v>#N/A</v>
      </c>
      <c r="W376" t="e">
        <f t="shared" si="109"/>
        <v>#N/A</v>
      </c>
      <c r="X376">
        <f t="shared" si="110"/>
        <v>0.44512243200000001</v>
      </c>
      <c r="Y376" t="e">
        <f t="shared" si="111"/>
        <v>#N/A</v>
      </c>
      <c r="Z376" t="e">
        <f t="shared" si="112"/>
        <v>#N/A</v>
      </c>
      <c r="AA376" t="e">
        <f t="shared" si="113"/>
        <v>#N/A</v>
      </c>
      <c r="AB376" t="e">
        <f t="shared" si="114"/>
        <v>#N/A</v>
      </c>
      <c r="AC376" t="e">
        <f t="shared" si="115"/>
        <v>#N/A</v>
      </c>
    </row>
    <row r="377" spans="2:29">
      <c r="B377">
        <v>363</v>
      </c>
      <c r="C377">
        <f>'Lab test'!Q366</f>
        <v>629.2429611651005</v>
      </c>
      <c r="D377">
        <f>IF('Lab test'!AQ366&gt;0,'Lab test'!AQ366,NA())</f>
        <v>1.904804735683183</v>
      </c>
      <c r="E377">
        <f>IF('Lab test'!AU366&gt;0,'Lab test'!AU366,NA())</f>
        <v>0.12852864945652173</v>
      </c>
      <c r="F377">
        <f>IF('Lab test'!AT366&gt;0,'Lab test'!AT366,NA())</f>
        <v>0.46633806719999993</v>
      </c>
      <c r="G377">
        <f t="shared" si="97"/>
        <v>1</v>
      </c>
      <c r="H377">
        <f t="shared" si="98"/>
        <v>1</v>
      </c>
      <c r="I377">
        <f t="shared" si="99"/>
        <v>1</v>
      </c>
      <c r="J377">
        <f t="shared" si="100"/>
        <v>1</v>
      </c>
      <c r="K377">
        <f t="shared" si="101"/>
        <v>1</v>
      </c>
      <c r="L377" t="str">
        <f>'Lab test'!AC366</f>
        <v>LTWb</v>
      </c>
      <c r="O377" t="e">
        <f t="shared" si="102"/>
        <v>#N/A</v>
      </c>
      <c r="P377">
        <f t="shared" si="103"/>
        <v>0.12852864945652173</v>
      </c>
      <c r="Q377" t="e">
        <f t="shared" si="104"/>
        <v>#N/A</v>
      </c>
      <c r="R377" t="e">
        <f t="shared" si="105"/>
        <v>#N/A</v>
      </c>
      <c r="S377" t="e">
        <f t="shared" si="106"/>
        <v>#N/A</v>
      </c>
      <c r="T377" t="e">
        <f t="shared" si="107"/>
        <v>#N/A</v>
      </c>
      <c r="U377" t="e">
        <f t="shared" si="108"/>
        <v>#N/A</v>
      </c>
      <c r="W377" t="e">
        <f t="shared" si="109"/>
        <v>#N/A</v>
      </c>
      <c r="X377">
        <f t="shared" si="110"/>
        <v>0.46633806719999993</v>
      </c>
      <c r="Y377" t="e">
        <f t="shared" si="111"/>
        <v>#N/A</v>
      </c>
      <c r="Z377" t="e">
        <f t="shared" si="112"/>
        <v>#N/A</v>
      </c>
      <c r="AA377" t="e">
        <f t="shared" si="113"/>
        <v>#N/A</v>
      </c>
      <c r="AB377" t="e">
        <f t="shared" si="114"/>
        <v>#N/A</v>
      </c>
      <c r="AC377" t="e">
        <f t="shared" si="115"/>
        <v>#N/A</v>
      </c>
    </row>
    <row r="378" spans="2:29">
      <c r="B378">
        <v>364</v>
      </c>
      <c r="C378">
        <f>'Lab test'!Q367</f>
        <v>634.77474081369314</v>
      </c>
      <c r="D378">
        <f>IF('Lab test'!AQ367&gt;0,'Lab test'!AQ367,NA())</f>
        <v>1.9131591424186352</v>
      </c>
      <c r="E378">
        <f>IF('Lab test'!AU367&gt;0,'Lab test'!AU367,NA())</f>
        <v>0.11374845652173914</v>
      </c>
      <c r="F378">
        <f>IF('Lab test'!AT367&gt;0,'Lab test'!AT367,NA())</f>
        <v>0.41633958719999981</v>
      </c>
      <c r="G378">
        <f t="shared" si="97"/>
        <v>1</v>
      </c>
      <c r="H378">
        <f t="shared" si="98"/>
        <v>1</v>
      </c>
      <c r="I378">
        <f t="shared" si="99"/>
        <v>1</v>
      </c>
      <c r="J378">
        <f t="shared" si="100"/>
        <v>1</v>
      </c>
      <c r="K378">
        <f t="shared" si="101"/>
        <v>1</v>
      </c>
      <c r="L378" t="str">
        <f>'Lab test'!AC367</f>
        <v>LTWb</v>
      </c>
      <c r="O378" t="e">
        <f t="shared" si="102"/>
        <v>#N/A</v>
      </c>
      <c r="P378">
        <f t="shared" si="103"/>
        <v>0.11374845652173914</v>
      </c>
      <c r="Q378" t="e">
        <f t="shared" si="104"/>
        <v>#N/A</v>
      </c>
      <c r="R378" t="e">
        <f t="shared" si="105"/>
        <v>#N/A</v>
      </c>
      <c r="S378" t="e">
        <f t="shared" si="106"/>
        <v>#N/A</v>
      </c>
      <c r="T378" t="e">
        <f t="shared" si="107"/>
        <v>#N/A</v>
      </c>
      <c r="U378" t="e">
        <f t="shared" si="108"/>
        <v>#N/A</v>
      </c>
      <c r="W378" t="e">
        <f t="shared" si="109"/>
        <v>#N/A</v>
      </c>
      <c r="X378">
        <f t="shared" si="110"/>
        <v>0.41633958719999981</v>
      </c>
      <c r="Y378" t="e">
        <f t="shared" si="111"/>
        <v>#N/A</v>
      </c>
      <c r="Z378" t="e">
        <f t="shared" si="112"/>
        <v>#N/A</v>
      </c>
      <c r="AA378" t="e">
        <f t="shared" si="113"/>
        <v>#N/A</v>
      </c>
      <c r="AB378" t="e">
        <f t="shared" si="114"/>
        <v>#N/A</v>
      </c>
      <c r="AC378" t="e">
        <f t="shared" si="115"/>
        <v>#N/A</v>
      </c>
    </row>
    <row r="379" spans="2:29">
      <c r="B379">
        <v>365</v>
      </c>
      <c r="C379">
        <f>'Lab test'!Q368</f>
        <v>651.51533436731233</v>
      </c>
      <c r="D379">
        <f>IF('Lab test'!AQ368&gt;0,'Lab test'!AQ368,NA())</f>
        <v>1.9382223626249933</v>
      </c>
      <c r="E379">
        <f>IF('Lab test'!AU368&gt;0,'Lab test'!AU368,NA())</f>
        <v>0.13028519429347829</v>
      </c>
      <c r="F379">
        <f>IF('Lab test'!AT368&gt;0,'Lab test'!AT368,NA())</f>
        <v>0.48944316159999995</v>
      </c>
      <c r="G379">
        <f t="shared" si="97"/>
        <v>1</v>
      </c>
      <c r="H379">
        <f t="shared" si="98"/>
        <v>1</v>
      </c>
      <c r="I379">
        <f t="shared" si="99"/>
        <v>1</v>
      </c>
      <c r="J379">
        <f t="shared" si="100"/>
        <v>1</v>
      </c>
      <c r="K379">
        <f t="shared" si="101"/>
        <v>1</v>
      </c>
      <c r="L379" t="str">
        <f>'Lab test'!AC368</f>
        <v>LTWb</v>
      </c>
      <c r="O379" t="e">
        <f t="shared" si="102"/>
        <v>#N/A</v>
      </c>
      <c r="P379">
        <f t="shared" si="103"/>
        <v>0.13028519429347829</v>
      </c>
      <c r="Q379" t="e">
        <f t="shared" si="104"/>
        <v>#N/A</v>
      </c>
      <c r="R379" t="e">
        <f t="shared" si="105"/>
        <v>#N/A</v>
      </c>
      <c r="S379" t="e">
        <f t="shared" si="106"/>
        <v>#N/A</v>
      </c>
      <c r="T379" t="e">
        <f t="shared" si="107"/>
        <v>#N/A</v>
      </c>
      <c r="U379" t="e">
        <f t="shared" si="108"/>
        <v>#N/A</v>
      </c>
      <c r="W379" t="e">
        <f t="shared" si="109"/>
        <v>#N/A</v>
      </c>
      <c r="X379">
        <f t="shared" si="110"/>
        <v>0.48944316159999995</v>
      </c>
      <c r="Y379" t="e">
        <f t="shared" si="111"/>
        <v>#N/A</v>
      </c>
      <c r="Z379" t="e">
        <f t="shared" si="112"/>
        <v>#N/A</v>
      </c>
      <c r="AA379" t="e">
        <f t="shared" si="113"/>
        <v>#N/A</v>
      </c>
      <c r="AB379" t="e">
        <f t="shared" si="114"/>
        <v>#N/A</v>
      </c>
      <c r="AC379" t="e">
        <f t="shared" si="115"/>
        <v>#N/A</v>
      </c>
    </row>
    <row r="380" spans="2:29">
      <c r="B380">
        <v>366</v>
      </c>
      <c r="C380">
        <f>'Lab test'!Q369</f>
        <v>640.33072956359285</v>
      </c>
      <c r="D380">
        <f>IF('Lab test'!AQ369&gt;0,'Lab test'!AQ369,NA())</f>
        <v>1.9215135491540878</v>
      </c>
      <c r="E380">
        <f>IF('Lab test'!AU369&gt;0,'Lab test'!AU369,NA())</f>
        <v>0.1384919551630435</v>
      </c>
      <c r="F380">
        <f>IF('Lab test'!AT369&gt;0,'Lab test'!AT369,NA())</f>
        <v>0.51134197999999986</v>
      </c>
      <c r="G380">
        <f t="shared" si="97"/>
        <v>1</v>
      </c>
      <c r="H380">
        <f t="shared" si="98"/>
        <v>1</v>
      </c>
      <c r="I380">
        <f t="shared" si="99"/>
        <v>1</v>
      </c>
      <c r="J380">
        <f t="shared" si="100"/>
        <v>1</v>
      </c>
      <c r="K380">
        <f t="shared" si="101"/>
        <v>1</v>
      </c>
      <c r="L380" t="str">
        <f>'Lab test'!AC369</f>
        <v>LTWb</v>
      </c>
      <c r="O380" t="e">
        <f t="shared" si="102"/>
        <v>#N/A</v>
      </c>
      <c r="P380">
        <f t="shared" si="103"/>
        <v>0.1384919551630435</v>
      </c>
      <c r="Q380" t="e">
        <f t="shared" si="104"/>
        <v>#N/A</v>
      </c>
      <c r="R380" t="e">
        <f t="shared" si="105"/>
        <v>#N/A</v>
      </c>
      <c r="S380" t="e">
        <f t="shared" si="106"/>
        <v>#N/A</v>
      </c>
      <c r="T380" t="e">
        <f t="shared" si="107"/>
        <v>#N/A</v>
      </c>
      <c r="U380" t="e">
        <f t="shared" si="108"/>
        <v>#N/A</v>
      </c>
      <c r="W380" t="e">
        <f t="shared" si="109"/>
        <v>#N/A</v>
      </c>
      <c r="X380">
        <f t="shared" si="110"/>
        <v>0.51134197999999986</v>
      </c>
      <c r="Y380" t="e">
        <f t="shared" si="111"/>
        <v>#N/A</v>
      </c>
      <c r="Z380" t="e">
        <f t="shared" si="112"/>
        <v>#N/A</v>
      </c>
      <c r="AA380" t="e">
        <f t="shared" si="113"/>
        <v>#N/A</v>
      </c>
      <c r="AB380" t="e">
        <f t="shared" si="114"/>
        <v>#N/A</v>
      </c>
      <c r="AC380" t="e">
        <f t="shared" si="115"/>
        <v>#N/A</v>
      </c>
    </row>
    <row r="381" spans="2:29">
      <c r="B381">
        <v>367</v>
      </c>
      <c r="C381">
        <f>'Lab test'!Q370</f>
        <v>460.27553859462421</v>
      </c>
      <c r="D381">
        <f>IF('Lab test'!AQ370&gt;0,'Lab test'!AQ370,NA())</f>
        <v>1.6308962543106174</v>
      </c>
      <c r="E381">
        <f>IF('Lab test'!AU370&gt;0,'Lab test'!AU370,NA())</f>
        <v>0.20765322153209109</v>
      </c>
      <c r="F381">
        <f>IF('Lab test'!AT370&gt;0,'Lab test'!AT370,NA())</f>
        <v>0.55232072999999982</v>
      </c>
      <c r="G381">
        <f t="shared" si="97"/>
        <v>1</v>
      </c>
      <c r="H381">
        <f t="shared" si="98"/>
        <v>1</v>
      </c>
      <c r="I381">
        <f t="shared" si="99"/>
        <v>1</v>
      </c>
      <c r="J381">
        <f t="shared" si="100"/>
        <v>1</v>
      </c>
      <c r="K381">
        <f t="shared" si="101"/>
        <v>1</v>
      </c>
      <c r="L381" t="str">
        <f>'Lab test'!AC370</f>
        <v>LTWb</v>
      </c>
      <c r="O381" t="e">
        <f t="shared" si="102"/>
        <v>#N/A</v>
      </c>
      <c r="P381">
        <f t="shared" si="103"/>
        <v>0.20765322153209109</v>
      </c>
      <c r="Q381" t="e">
        <f t="shared" si="104"/>
        <v>#N/A</v>
      </c>
      <c r="R381" t="e">
        <f t="shared" si="105"/>
        <v>#N/A</v>
      </c>
      <c r="S381" t="e">
        <f t="shared" si="106"/>
        <v>#N/A</v>
      </c>
      <c r="T381" t="e">
        <f t="shared" si="107"/>
        <v>#N/A</v>
      </c>
      <c r="U381" t="e">
        <f t="shared" si="108"/>
        <v>#N/A</v>
      </c>
      <c r="W381" t="e">
        <f t="shared" si="109"/>
        <v>#N/A</v>
      </c>
      <c r="X381">
        <f t="shared" si="110"/>
        <v>0.55232072999999982</v>
      </c>
      <c r="Y381" t="e">
        <f t="shared" si="111"/>
        <v>#N/A</v>
      </c>
      <c r="Z381" t="e">
        <f t="shared" si="112"/>
        <v>#N/A</v>
      </c>
      <c r="AA381" t="e">
        <f t="shared" si="113"/>
        <v>#N/A</v>
      </c>
      <c r="AB381" t="e">
        <f t="shared" si="114"/>
        <v>#N/A</v>
      </c>
      <c r="AC381" t="e">
        <f t="shared" si="115"/>
        <v>#N/A</v>
      </c>
    </row>
    <row r="382" spans="2:29">
      <c r="B382">
        <v>368</v>
      </c>
      <c r="C382">
        <f>'Lab test'!Q371</f>
        <v>460.27553859462421</v>
      </c>
      <c r="D382">
        <f>IF('Lab test'!AQ371&gt;0,'Lab test'!AQ371,NA())</f>
        <v>1.6308962543106174</v>
      </c>
      <c r="E382">
        <f>IF('Lab test'!AU371&gt;0,'Lab test'!AU371,NA())</f>
        <v>0.19011652298136647</v>
      </c>
      <c r="F382">
        <f>IF('Lab test'!AT371&gt;0,'Lab test'!AT371,NA())</f>
        <v>0.50567622299999992</v>
      </c>
      <c r="G382">
        <f t="shared" si="97"/>
        <v>1</v>
      </c>
      <c r="H382">
        <f t="shared" si="98"/>
        <v>1</v>
      </c>
      <c r="I382">
        <f t="shared" si="99"/>
        <v>1</v>
      </c>
      <c r="J382">
        <f t="shared" si="100"/>
        <v>1</v>
      </c>
      <c r="K382">
        <f t="shared" si="101"/>
        <v>1</v>
      </c>
      <c r="L382" t="str">
        <f>'Lab test'!AC371</f>
        <v>LTWb</v>
      </c>
      <c r="O382" t="e">
        <f t="shared" si="102"/>
        <v>#N/A</v>
      </c>
      <c r="P382">
        <f t="shared" si="103"/>
        <v>0.19011652298136647</v>
      </c>
      <c r="Q382" t="e">
        <f t="shared" si="104"/>
        <v>#N/A</v>
      </c>
      <c r="R382" t="e">
        <f t="shared" si="105"/>
        <v>#N/A</v>
      </c>
      <c r="S382" t="e">
        <f t="shared" si="106"/>
        <v>#N/A</v>
      </c>
      <c r="T382" t="e">
        <f t="shared" si="107"/>
        <v>#N/A</v>
      </c>
      <c r="U382" t="e">
        <f t="shared" si="108"/>
        <v>#N/A</v>
      </c>
      <c r="W382" t="e">
        <f t="shared" si="109"/>
        <v>#N/A</v>
      </c>
      <c r="X382">
        <f t="shared" si="110"/>
        <v>0.50567622299999992</v>
      </c>
      <c r="Y382" t="e">
        <f t="shared" si="111"/>
        <v>#N/A</v>
      </c>
      <c r="Z382" t="e">
        <f t="shared" si="112"/>
        <v>#N/A</v>
      </c>
      <c r="AA382" t="e">
        <f t="shared" si="113"/>
        <v>#N/A</v>
      </c>
      <c r="AB382" t="e">
        <f t="shared" si="114"/>
        <v>#N/A</v>
      </c>
      <c r="AC382" t="e">
        <f t="shared" si="115"/>
        <v>#N/A</v>
      </c>
    </row>
    <row r="383" spans="2:29">
      <c r="B383">
        <v>369</v>
      </c>
      <c r="C383">
        <f>'Lab test'!Q372</f>
        <v>460.27553859462421</v>
      </c>
      <c r="D383">
        <f>IF('Lab test'!AQ372&gt;0,'Lab test'!AQ372,NA())</f>
        <v>1.6308962543106174</v>
      </c>
      <c r="E383">
        <f>IF('Lab test'!AU372&gt;0,'Lab test'!AU372,NA())</f>
        <v>0.16597732919254657</v>
      </c>
      <c r="F383">
        <f>IF('Lab test'!AT372&gt;0,'Lab test'!AT372,NA())</f>
        <v>0.44147024999999984</v>
      </c>
      <c r="G383">
        <f t="shared" si="97"/>
        <v>1</v>
      </c>
      <c r="H383">
        <f t="shared" si="98"/>
        <v>1</v>
      </c>
      <c r="I383">
        <f t="shared" si="99"/>
        <v>1</v>
      </c>
      <c r="J383">
        <f t="shared" si="100"/>
        <v>1</v>
      </c>
      <c r="K383">
        <f t="shared" si="101"/>
        <v>1</v>
      </c>
      <c r="L383" t="str">
        <f>'Lab test'!AC372</f>
        <v>LTWb</v>
      </c>
      <c r="O383" t="e">
        <f t="shared" si="102"/>
        <v>#N/A</v>
      </c>
      <c r="P383">
        <f t="shared" si="103"/>
        <v>0.16597732919254657</v>
      </c>
      <c r="Q383" t="e">
        <f t="shared" si="104"/>
        <v>#N/A</v>
      </c>
      <c r="R383" t="e">
        <f t="shared" si="105"/>
        <v>#N/A</v>
      </c>
      <c r="S383" t="e">
        <f t="shared" si="106"/>
        <v>#N/A</v>
      </c>
      <c r="T383" t="e">
        <f t="shared" si="107"/>
        <v>#N/A</v>
      </c>
      <c r="U383" t="e">
        <f t="shared" si="108"/>
        <v>#N/A</v>
      </c>
      <c r="W383" t="e">
        <f t="shared" si="109"/>
        <v>#N/A</v>
      </c>
      <c r="X383">
        <f t="shared" si="110"/>
        <v>0.44147024999999984</v>
      </c>
      <c r="Y383" t="e">
        <f t="shared" si="111"/>
        <v>#N/A</v>
      </c>
      <c r="Z383" t="e">
        <f t="shared" si="112"/>
        <v>#N/A</v>
      </c>
      <c r="AA383" t="e">
        <f t="shared" si="113"/>
        <v>#N/A</v>
      </c>
      <c r="AB383" t="e">
        <f t="shared" si="114"/>
        <v>#N/A</v>
      </c>
      <c r="AC383" t="e">
        <f t="shared" si="115"/>
        <v>#N/A</v>
      </c>
    </row>
    <row r="384" spans="2:29">
      <c r="B384">
        <v>370</v>
      </c>
      <c r="C384">
        <f>'Lab test'!Q373</f>
        <v>455.5668683904608</v>
      </c>
      <c r="D384">
        <f>IF('Lab test'!AQ373&gt;0,'Lab test'!AQ373,NA())</f>
        <v>1.6225326837756908</v>
      </c>
      <c r="E384">
        <f>IF('Lab test'!AU373&gt;0,'Lab test'!AU373,NA())</f>
        <v>0.1615369710144928</v>
      </c>
      <c r="F384">
        <f>IF('Lab test'!AT373&gt;0,'Lab test'!AT373,NA())</f>
        <v>0.42526421839999989</v>
      </c>
      <c r="G384">
        <f t="shared" si="97"/>
        <v>1</v>
      </c>
      <c r="H384">
        <f t="shared" si="98"/>
        <v>1</v>
      </c>
      <c r="I384">
        <f t="shared" si="99"/>
        <v>1</v>
      </c>
      <c r="J384">
        <f t="shared" si="100"/>
        <v>1</v>
      </c>
      <c r="K384">
        <f t="shared" si="101"/>
        <v>1</v>
      </c>
      <c r="L384" t="str">
        <f>'Lab test'!AC373</f>
        <v>LTWb</v>
      </c>
      <c r="O384" t="e">
        <f t="shared" si="102"/>
        <v>#N/A</v>
      </c>
      <c r="P384">
        <f t="shared" si="103"/>
        <v>0.1615369710144928</v>
      </c>
      <c r="Q384" t="e">
        <f t="shared" si="104"/>
        <v>#N/A</v>
      </c>
      <c r="R384" t="e">
        <f t="shared" si="105"/>
        <v>#N/A</v>
      </c>
      <c r="S384" t="e">
        <f t="shared" si="106"/>
        <v>#N/A</v>
      </c>
      <c r="T384" t="e">
        <f t="shared" si="107"/>
        <v>#N/A</v>
      </c>
      <c r="U384" t="e">
        <f t="shared" si="108"/>
        <v>#N/A</v>
      </c>
      <c r="W384" t="e">
        <f t="shared" si="109"/>
        <v>#N/A</v>
      </c>
      <c r="X384">
        <f t="shared" si="110"/>
        <v>0.42526421839999989</v>
      </c>
      <c r="Y384" t="e">
        <f t="shared" si="111"/>
        <v>#N/A</v>
      </c>
      <c r="Z384" t="e">
        <f t="shared" si="112"/>
        <v>#N/A</v>
      </c>
      <c r="AA384" t="e">
        <f t="shared" si="113"/>
        <v>#N/A</v>
      </c>
      <c r="AB384" t="e">
        <f t="shared" si="114"/>
        <v>#N/A</v>
      </c>
      <c r="AC384" t="e">
        <f t="shared" si="115"/>
        <v>#N/A</v>
      </c>
    </row>
    <row r="385" spans="2:29">
      <c r="B385">
        <v>371</v>
      </c>
      <c r="C385">
        <f>'Lab test'!Q374</f>
        <v>358.10102652947694</v>
      </c>
      <c r="D385">
        <f>IF('Lab test'!AQ374&gt;0,'Lab test'!AQ374,NA())</f>
        <v>1.4893682008809219</v>
      </c>
      <c r="E385">
        <f>IF('Lab test'!AU374&gt;0,'Lab test'!AU374,NA())</f>
        <v>0.24235425003938041</v>
      </c>
      <c r="F385">
        <f>IF('Lab test'!AT374&gt;0,'Lab test'!AT374,NA())</f>
        <v>0.53759447203199984</v>
      </c>
      <c r="G385">
        <f t="shared" si="97"/>
        <v>1</v>
      </c>
      <c r="H385">
        <f t="shared" si="98"/>
        <v>1</v>
      </c>
      <c r="I385">
        <f t="shared" si="99"/>
        <v>1</v>
      </c>
      <c r="J385">
        <f t="shared" si="100"/>
        <v>1</v>
      </c>
      <c r="K385">
        <f t="shared" si="101"/>
        <v>1</v>
      </c>
      <c r="L385" t="str">
        <f>'Lab test'!AC374</f>
        <v>LTWb</v>
      </c>
      <c r="O385" t="e">
        <f t="shared" si="102"/>
        <v>#N/A</v>
      </c>
      <c r="P385">
        <f t="shared" si="103"/>
        <v>0.24235425003938041</v>
      </c>
      <c r="Q385" t="e">
        <f t="shared" si="104"/>
        <v>#N/A</v>
      </c>
      <c r="R385" t="e">
        <f t="shared" si="105"/>
        <v>#N/A</v>
      </c>
      <c r="S385" t="e">
        <f t="shared" si="106"/>
        <v>#N/A</v>
      </c>
      <c r="T385" t="e">
        <f t="shared" si="107"/>
        <v>#N/A</v>
      </c>
      <c r="U385" t="e">
        <f t="shared" si="108"/>
        <v>#N/A</v>
      </c>
      <c r="W385" t="e">
        <f t="shared" si="109"/>
        <v>#N/A</v>
      </c>
      <c r="X385">
        <f t="shared" si="110"/>
        <v>0.53759447203199984</v>
      </c>
      <c r="Y385" t="e">
        <f t="shared" si="111"/>
        <v>#N/A</v>
      </c>
      <c r="Z385" t="e">
        <f t="shared" si="112"/>
        <v>#N/A</v>
      </c>
      <c r="AA385" t="e">
        <f t="shared" si="113"/>
        <v>#N/A</v>
      </c>
      <c r="AB385" t="e">
        <f t="shared" si="114"/>
        <v>#N/A</v>
      </c>
      <c r="AC385" t="e">
        <f t="shared" si="115"/>
        <v>#N/A</v>
      </c>
    </row>
    <row r="386" spans="2:29">
      <c r="B386">
        <v>372</v>
      </c>
      <c r="C386">
        <f>'Lab test'!Q375</f>
        <v>345.71807121107321</v>
      </c>
      <c r="D386">
        <f>IF('Lab test'!AQ375&gt;0,'Lab test'!AQ375,NA())</f>
        <v>1.4633908485399758</v>
      </c>
      <c r="E386">
        <f>IF('Lab test'!AU375&gt;0,'Lab test'!AU375,NA())</f>
        <v>0.22339196639537937</v>
      </c>
      <c r="F386">
        <f>IF('Lab test'!AT375&gt;0,'Lab test'!AT375,NA())</f>
        <v>0.47839674999999982</v>
      </c>
      <c r="G386">
        <f t="shared" si="97"/>
        <v>1</v>
      </c>
      <c r="H386">
        <f t="shared" si="98"/>
        <v>1</v>
      </c>
      <c r="I386">
        <f t="shared" si="99"/>
        <v>1</v>
      </c>
      <c r="J386">
        <f t="shared" si="100"/>
        <v>1</v>
      </c>
      <c r="K386">
        <f t="shared" si="101"/>
        <v>1</v>
      </c>
      <c r="L386" t="str">
        <f>'Lab test'!AC375</f>
        <v>LTWb</v>
      </c>
      <c r="O386" t="e">
        <f t="shared" si="102"/>
        <v>#N/A</v>
      </c>
      <c r="P386">
        <f t="shared" si="103"/>
        <v>0.22339196639537937</v>
      </c>
      <c r="Q386" t="e">
        <f t="shared" si="104"/>
        <v>#N/A</v>
      </c>
      <c r="R386" t="e">
        <f t="shared" si="105"/>
        <v>#N/A</v>
      </c>
      <c r="S386" t="e">
        <f t="shared" si="106"/>
        <v>#N/A</v>
      </c>
      <c r="T386" t="e">
        <f t="shared" si="107"/>
        <v>#N/A</v>
      </c>
      <c r="U386" t="e">
        <f t="shared" si="108"/>
        <v>#N/A</v>
      </c>
      <c r="W386" t="e">
        <f t="shared" si="109"/>
        <v>#N/A</v>
      </c>
      <c r="X386">
        <f t="shared" si="110"/>
        <v>0.47839674999999982</v>
      </c>
      <c r="Y386" t="e">
        <f t="shared" si="111"/>
        <v>#N/A</v>
      </c>
      <c r="Z386" t="e">
        <f t="shared" si="112"/>
        <v>#N/A</v>
      </c>
      <c r="AA386" t="e">
        <f t="shared" si="113"/>
        <v>#N/A</v>
      </c>
      <c r="AB386" t="e">
        <f t="shared" si="114"/>
        <v>#N/A</v>
      </c>
      <c r="AC386" t="e">
        <f t="shared" si="115"/>
        <v>#N/A</v>
      </c>
    </row>
    <row r="387" spans="2:29">
      <c r="B387">
        <v>373</v>
      </c>
      <c r="C387">
        <f>'Lab test'!Q376</f>
        <v>358.10102652947694</v>
      </c>
      <c r="D387">
        <f>IF('Lab test'!AQ376&gt;0,'Lab test'!AQ376,NA())</f>
        <v>1.4893682008809219</v>
      </c>
      <c r="E387">
        <f>IF('Lab test'!AU376&gt;0,'Lab test'!AU376,NA())</f>
        <v>0.20177029141506961</v>
      </c>
      <c r="F387">
        <f>IF('Lab test'!AT376&gt;0,'Lab test'!AT376,NA())</f>
        <v>0.4475704191999999</v>
      </c>
      <c r="G387">
        <f t="shared" si="97"/>
        <v>1</v>
      </c>
      <c r="H387">
        <f t="shared" si="98"/>
        <v>1</v>
      </c>
      <c r="I387">
        <f t="shared" si="99"/>
        <v>1</v>
      </c>
      <c r="J387">
        <f t="shared" si="100"/>
        <v>1</v>
      </c>
      <c r="K387">
        <f t="shared" si="101"/>
        <v>1</v>
      </c>
      <c r="L387" t="str">
        <f>'Lab test'!AC376</f>
        <v>LTWb</v>
      </c>
      <c r="O387" t="e">
        <f t="shared" si="102"/>
        <v>#N/A</v>
      </c>
      <c r="P387">
        <f t="shared" si="103"/>
        <v>0.20177029141506961</v>
      </c>
      <c r="Q387" t="e">
        <f t="shared" si="104"/>
        <v>#N/A</v>
      </c>
      <c r="R387" t="e">
        <f t="shared" si="105"/>
        <v>#N/A</v>
      </c>
      <c r="S387" t="e">
        <f t="shared" si="106"/>
        <v>#N/A</v>
      </c>
      <c r="T387" t="e">
        <f t="shared" si="107"/>
        <v>#N/A</v>
      </c>
      <c r="U387" t="e">
        <f t="shared" si="108"/>
        <v>#N/A</v>
      </c>
      <c r="W387" t="e">
        <f t="shared" si="109"/>
        <v>#N/A</v>
      </c>
      <c r="X387">
        <f t="shared" si="110"/>
        <v>0.4475704191999999</v>
      </c>
      <c r="Y387" t="e">
        <f t="shared" si="111"/>
        <v>#N/A</v>
      </c>
      <c r="Z387" t="e">
        <f t="shared" si="112"/>
        <v>#N/A</v>
      </c>
      <c r="AA387" t="e">
        <f t="shared" si="113"/>
        <v>#N/A</v>
      </c>
      <c r="AB387" t="e">
        <f t="shared" si="114"/>
        <v>#N/A</v>
      </c>
      <c r="AC387" t="e">
        <f t="shared" si="115"/>
        <v>#N/A</v>
      </c>
    </row>
    <row r="388" spans="2:29">
      <c r="B388">
        <v>374</v>
      </c>
      <c r="C388">
        <f>'Lab test'!Q377</f>
        <v>362.2770965048918</v>
      </c>
      <c r="D388">
        <f>IF('Lab test'!AQ377&gt;0,'Lab test'!AQ377,NA())</f>
        <v>1.4980273183279045</v>
      </c>
      <c r="E388">
        <f>IF('Lab test'!AU377&gt;0,'Lab test'!AU377,NA())</f>
        <v>0.22644876870569705</v>
      </c>
      <c r="F388">
        <f>IF('Lab test'!AT377&gt;0,'Lab test'!AT377,NA())</f>
        <v>0.50817047680000005</v>
      </c>
      <c r="G388">
        <f t="shared" si="97"/>
        <v>1</v>
      </c>
      <c r="H388">
        <f t="shared" si="98"/>
        <v>1</v>
      </c>
      <c r="I388">
        <f t="shared" si="99"/>
        <v>1</v>
      </c>
      <c r="J388">
        <f t="shared" si="100"/>
        <v>1</v>
      </c>
      <c r="K388">
        <f t="shared" si="101"/>
        <v>1</v>
      </c>
      <c r="L388" t="str">
        <f>'Lab test'!AC377</f>
        <v>LTWb</v>
      </c>
      <c r="O388" t="e">
        <f t="shared" si="102"/>
        <v>#N/A</v>
      </c>
      <c r="P388">
        <f t="shared" si="103"/>
        <v>0.22644876870569705</v>
      </c>
      <c r="Q388" t="e">
        <f t="shared" si="104"/>
        <v>#N/A</v>
      </c>
      <c r="R388" t="e">
        <f t="shared" si="105"/>
        <v>#N/A</v>
      </c>
      <c r="S388" t="e">
        <f t="shared" si="106"/>
        <v>#N/A</v>
      </c>
      <c r="T388" t="e">
        <f t="shared" si="107"/>
        <v>#N/A</v>
      </c>
      <c r="U388" t="e">
        <f t="shared" si="108"/>
        <v>#N/A</v>
      </c>
      <c r="W388" t="e">
        <f t="shared" si="109"/>
        <v>#N/A</v>
      </c>
      <c r="X388">
        <f t="shared" si="110"/>
        <v>0.50817047680000005</v>
      </c>
      <c r="Y388" t="e">
        <f t="shared" si="111"/>
        <v>#N/A</v>
      </c>
      <c r="Z388" t="e">
        <f t="shared" si="112"/>
        <v>#N/A</v>
      </c>
      <c r="AA388" t="e">
        <f t="shared" si="113"/>
        <v>#N/A</v>
      </c>
      <c r="AB388" t="e">
        <f t="shared" si="114"/>
        <v>#N/A</v>
      </c>
      <c r="AC388" t="e">
        <f t="shared" si="115"/>
        <v>#N/A</v>
      </c>
    </row>
    <row r="389" spans="2:29">
      <c r="B389">
        <v>375</v>
      </c>
      <c r="C389">
        <f>'Lab test'!Q378</f>
        <v>362.2770965048918</v>
      </c>
      <c r="D389">
        <f>IF('Lab test'!AQ378&gt;0,'Lab test'!AQ378,NA())</f>
        <v>1.4980273183279045</v>
      </c>
      <c r="E389">
        <f>IF('Lab test'!AU378&gt;0,'Lab test'!AU378,NA())</f>
        <v>0.24400270937253873</v>
      </c>
      <c r="F389">
        <f>IF('Lab test'!AT378&gt;0,'Lab test'!AT378,NA())</f>
        <v>0.54756302660000011</v>
      </c>
      <c r="G389">
        <f t="shared" si="97"/>
        <v>1</v>
      </c>
      <c r="H389">
        <f t="shared" si="98"/>
        <v>1</v>
      </c>
      <c r="I389">
        <f t="shared" si="99"/>
        <v>1</v>
      </c>
      <c r="J389">
        <f t="shared" si="100"/>
        <v>1</v>
      </c>
      <c r="K389">
        <f t="shared" si="101"/>
        <v>1</v>
      </c>
      <c r="L389" t="str">
        <f>'Lab test'!AC378</f>
        <v>LTWb</v>
      </c>
      <c r="O389" t="e">
        <f t="shared" si="102"/>
        <v>#N/A</v>
      </c>
      <c r="P389">
        <f t="shared" si="103"/>
        <v>0.24400270937253873</v>
      </c>
      <c r="Q389" t="e">
        <f t="shared" si="104"/>
        <v>#N/A</v>
      </c>
      <c r="R389" t="e">
        <f t="shared" si="105"/>
        <v>#N/A</v>
      </c>
      <c r="S389" t="e">
        <f t="shared" si="106"/>
        <v>#N/A</v>
      </c>
      <c r="T389" t="e">
        <f t="shared" si="107"/>
        <v>#N/A</v>
      </c>
      <c r="U389" t="e">
        <f t="shared" si="108"/>
        <v>#N/A</v>
      </c>
      <c r="W389" t="e">
        <f t="shared" si="109"/>
        <v>#N/A</v>
      </c>
      <c r="X389">
        <f t="shared" si="110"/>
        <v>0.54756302660000011</v>
      </c>
      <c r="Y389" t="e">
        <f t="shared" si="111"/>
        <v>#N/A</v>
      </c>
      <c r="Z389" t="e">
        <f t="shared" si="112"/>
        <v>#N/A</v>
      </c>
      <c r="AA389" t="e">
        <f t="shared" si="113"/>
        <v>#N/A</v>
      </c>
      <c r="AB389" t="e">
        <f t="shared" si="114"/>
        <v>#N/A</v>
      </c>
      <c r="AC389" t="e">
        <f t="shared" si="115"/>
        <v>#N/A</v>
      </c>
    </row>
    <row r="390" spans="2:29">
      <c r="B390">
        <v>376</v>
      </c>
      <c r="C390">
        <f>'Lab test'!Q379</f>
        <v>24</v>
      </c>
      <c r="D390">
        <f>IF('Lab test'!AQ379&gt;0,'Lab test'!AQ379,NA())</f>
        <v>0.22488032531694971</v>
      </c>
      <c r="E390">
        <f>IF('Lab test'!AU379&gt;0,'Lab test'!AU379,NA())</f>
        <v>0.9667307232158302</v>
      </c>
      <c r="F390">
        <f>IF('Lab test'!AT379&gt;0,'Lab test'!AT379,NA())</f>
        <v>4.8888694771544478E-2</v>
      </c>
      <c r="G390">
        <f t="shared" si="97"/>
        <v>1</v>
      </c>
      <c r="H390">
        <f t="shared" si="98"/>
        <v>1</v>
      </c>
      <c r="I390">
        <f t="shared" si="99"/>
        <v>1</v>
      </c>
      <c r="J390">
        <f t="shared" si="100"/>
        <v>1</v>
      </c>
      <c r="K390">
        <f t="shared" si="101"/>
        <v>1</v>
      </c>
      <c r="L390" t="str">
        <f>'Lab test'!AC379</f>
        <v>CLTW</v>
      </c>
      <c r="O390" t="e">
        <f t="shared" si="102"/>
        <v>#N/A</v>
      </c>
      <c r="P390" t="e">
        <f t="shared" si="103"/>
        <v>#N/A</v>
      </c>
      <c r="Q390" t="e">
        <f t="shared" si="104"/>
        <v>#N/A</v>
      </c>
      <c r="R390" t="e">
        <f t="shared" si="105"/>
        <v>#N/A</v>
      </c>
      <c r="S390" t="e">
        <f t="shared" si="106"/>
        <v>#N/A</v>
      </c>
      <c r="T390">
        <f t="shared" si="107"/>
        <v>0.9667307232158302</v>
      </c>
      <c r="U390" t="e">
        <f t="shared" si="108"/>
        <v>#N/A</v>
      </c>
      <c r="W390" t="e">
        <f t="shared" si="109"/>
        <v>#N/A</v>
      </c>
      <c r="X390" t="e">
        <f t="shared" si="110"/>
        <v>#N/A</v>
      </c>
      <c r="Y390" t="e">
        <f t="shared" si="111"/>
        <v>#N/A</v>
      </c>
      <c r="Z390" t="e">
        <f t="shared" si="112"/>
        <v>#N/A</v>
      </c>
      <c r="AA390" t="e">
        <f t="shared" si="113"/>
        <v>#N/A</v>
      </c>
      <c r="AB390">
        <f t="shared" si="114"/>
        <v>4.8888694771544478E-2</v>
      </c>
      <c r="AC390" t="e">
        <f t="shared" si="115"/>
        <v>#N/A</v>
      </c>
    </row>
    <row r="391" spans="2:29">
      <c r="B391">
        <v>377</v>
      </c>
      <c r="C391">
        <f>'Lab test'!Q380</f>
        <v>24</v>
      </c>
      <c r="D391">
        <f>IF('Lab test'!AQ380&gt;0,'Lab test'!AQ380,NA())</f>
        <v>0.22488032531694971</v>
      </c>
      <c r="E391">
        <f>IF('Lab test'!AU380&gt;0,'Lab test'!AU380,NA())</f>
        <v>0.97297777150801645</v>
      </c>
      <c r="F391">
        <f>IF('Lab test'!AT380&gt;0,'Lab test'!AT380,NA())</f>
        <v>4.9204615254720849E-2</v>
      </c>
      <c r="G391">
        <f t="shared" si="97"/>
        <v>1</v>
      </c>
      <c r="H391">
        <f t="shared" si="98"/>
        <v>1</v>
      </c>
      <c r="I391">
        <f t="shared" si="99"/>
        <v>1</v>
      </c>
      <c r="J391">
        <f t="shared" si="100"/>
        <v>1</v>
      </c>
      <c r="K391">
        <f t="shared" si="101"/>
        <v>1</v>
      </c>
      <c r="L391" t="str">
        <f>'Lab test'!AC380</f>
        <v>CLTW</v>
      </c>
      <c r="O391" t="e">
        <f t="shared" si="102"/>
        <v>#N/A</v>
      </c>
      <c r="P391" t="e">
        <f t="shared" si="103"/>
        <v>#N/A</v>
      </c>
      <c r="Q391" t="e">
        <f t="shared" si="104"/>
        <v>#N/A</v>
      </c>
      <c r="R391" t="e">
        <f t="shared" si="105"/>
        <v>#N/A</v>
      </c>
      <c r="S391" t="e">
        <f t="shared" si="106"/>
        <v>#N/A</v>
      </c>
      <c r="T391">
        <f t="shared" si="107"/>
        <v>0.97297777150801645</v>
      </c>
      <c r="U391" t="e">
        <f t="shared" si="108"/>
        <v>#N/A</v>
      </c>
      <c r="W391" t="e">
        <f t="shared" si="109"/>
        <v>#N/A</v>
      </c>
      <c r="X391" t="e">
        <f t="shared" si="110"/>
        <v>#N/A</v>
      </c>
      <c r="Y391" t="e">
        <f t="shared" si="111"/>
        <v>#N/A</v>
      </c>
      <c r="Z391" t="e">
        <f t="shared" si="112"/>
        <v>#N/A</v>
      </c>
      <c r="AA391" t="e">
        <f t="shared" si="113"/>
        <v>#N/A</v>
      </c>
      <c r="AB391">
        <f t="shared" si="114"/>
        <v>4.9204615254720849E-2</v>
      </c>
      <c r="AC391" t="e">
        <f t="shared" si="115"/>
        <v>#N/A</v>
      </c>
    </row>
    <row r="392" spans="2:29">
      <c r="B392">
        <v>378</v>
      </c>
      <c r="C392">
        <f>'Lab test'!Q381</f>
        <v>24</v>
      </c>
      <c r="D392">
        <f>IF('Lab test'!AQ381&gt;0,'Lab test'!AQ381,NA())</f>
        <v>0.23974092335795624</v>
      </c>
      <c r="E392">
        <f>IF('Lab test'!AU381&gt;0,'Lab test'!AU381,NA())</f>
        <v>0.77982887538641377</v>
      </c>
      <c r="F392">
        <f>IF('Lab test'!AT381&gt;0,'Lab test'!AT381,NA())</f>
        <v>4.4821218550648606E-2</v>
      </c>
      <c r="G392">
        <f t="shared" si="97"/>
        <v>1</v>
      </c>
      <c r="H392">
        <f t="shared" si="98"/>
        <v>1</v>
      </c>
      <c r="I392">
        <f t="shared" si="99"/>
        <v>1</v>
      </c>
      <c r="J392">
        <f t="shared" si="100"/>
        <v>1</v>
      </c>
      <c r="K392">
        <f t="shared" si="101"/>
        <v>1</v>
      </c>
      <c r="L392" t="str">
        <f>'Lab test'!AC381</f>
        <v>CLTW</v>
      </c>
      <c r="O392" t="e">
        <f t="shared" si="102"/>
        <v>#N/A</v>
      </c>
      <c r="P392" t="e">
        <f t="shared" si="103"/>
        <v>#N/A</v>
      </c>
      <c r="Q392" t="e">
        <f t="shared" si="104"/>
        <v>#N/A</v>
      </c>
      <c r="R392" t="e">
        <f t="shared" si="105"/>
        <v>#N/A</v>
      </c>
      <c r="S392" t="e">
        <f t="shared" si="106"/>
        <v>#N/A</v>
      </c>
      <c r="T392">
        <f t="shared" si="107"/>
        <v>0.77982887538641377</v>
      </c>
      <c r="U392" t="e">
        <f t="shared" si="108"/>
        <v>#N/A</v>
      </c>
      <c r="W392" t="e">
        <f t="shared" si="109"/>
        <v>#N/A</v>
      </c>
      <c r="X392" t="e">
        <f t="shared" si="110"/>
        <v>#N/A</v>
      </c>
      <c r="Y392" t="e">
        <f t="shared" si="111"/>
        <v>#N/A</v>
      </c>
      <c r="Z392" t="e">
        <f t="shared" si="112"/>
        <v>#N/A</v>
      </c>
      <c r="AA392" t="e">
        <f t="shared" si="113"/>
        <v>#N/A</v>
      </c>
      <c r="AB392">
        <f t="shared" si="114"/>
        <v>4.4821218550648606E-2</v>
      </c>
      <c r="AC392" t="e">
        <f t="shared" si="115"/>
        <v>#N/A</v>
      </c>
    </row>
    <row r="393" spans="2:29">
      <c r="B393">
        <v>379</v>
      </c>
      <c r="C393">
        <f>'Lab test'!Q382</f>
        <v>24</v>
      </c>
      <c r="D393">
        <f>IF('Lab test'!AQ382&gt;0,'Lab test'!AQ382,NA())</f>
        <v>0.23974092335795624</v>
      </c>
      <c r="E393">
        <f>IF('Lab test'!AU382&gt;0,'Lab test'!AU382,NA())</f>
        <v>0.7887608360736591</v>
      </c>
      <c r="F393">
        <f>IF('Lab test'!AT382&gt;0,'Lab test'!AT382,NA())</f>
        <v>4.5334589335810221E-2</v>
      </c>
      <c r="G393">
        <f t="shared" si="97"/>
        <v>1</v>
      </c>
      <c r="H393">
        <f t="shared" si="98"/>
        <v>1</v>
      </c>
      <c r="I393">
        <f t="shared" si="99"/>
        <v>1</v>
      </c>
      <c r="J393">
        <f t="shared" si="100"/>
        <v>1</v>
      </c>
      <c r="K393">
        <f t="shared" si="101"/>
        <v>1</v>
      </c>
      <c r="L393" t="str">
        <f>'Lab test'!AC382</f>
        <v>CLTW</v>
      </c>
      <c r="O393" t="e">
        <f t="shared" si="102"/>
        <v>#N/A</v>
      </c>
      <c r="P393" t="e">
        <f t="shared" si="103"/>
        <v>#N/A</v>
      </c>
      <c r="Q393" t="e">
        <f t="shared" si="104"/>
        <v>#N/A</v>
      </c>
      <c r="R393" t="e">
        <f t="shared" si="105"/>
        <v>#N/A</v>
      </c>
      <c r="S393" t="e">
        <f t="shared" si="106"/>
        <v>#N/A</v>
      </c>
      <c r="T393">
        <f t="shared" si="107"/>
        <v>0.7887608360736591</v>
      </c>
      <c r="U393" t="e">
        <f t="shared" si="108"/>
        <v>#N/A</v>
      </c>
      <c r="W393" t="e">
        <f t="shared" si="109"/>
        <v>#N/A</v>
      </c>
      <c r="X393" t="e">
        <f t="shared" si="110"/>
        <v>#N/A</v>
      </c>
      <c r="Y393" t="e">
        <f t="shared" si="111"/>
        <v>#N/A</v>
      </c>
      <c r="Z393" t="e">
        <f t="shared" si="112"/>
        <v>#N/A</v>
      </c>
      <c r="AA393" t="e">
        <f t="shared" si="113"/>
        <v>#N/A</v>
      </c>
      <c r="AB393">
        <f t="shared" si="114"/>
        <v>4.5334589335810221E-2</v>
      </c>
      <c r="AC393" t="e">
        <f t="shared" si="115"/>
        <v>#N/A</v>
      </c>
    </row>
    <row r="394" spans="2:29">
      <c r="B394">
        <v>380</v>
      </c>
      <c r="C394">
        <f>'Lab test'!Q383</f>
        <v>35</v>
      </c>
      <c r="D394">
        <f>IF('Lab test'!AQ383&gt;0,'Lab test'!AQ383,NA())</f>
        <v>0.28951467015495597</v>
      </c>
      <c r="E394">
        <f>IF('Lab test'!AU383&gt;0,'Lab test'!AU383,NA())</f>
        <v>0.98341477620702389</v>
      </c>
      <c r="F394">
        <f>IF('Lab test'!AT383&gt;0,'Lab test'!AT383,NA())</f>
        <v>8.2428591603750365E-2</v>
      </c>
      <c r="G394">
        <f t="shared" si="97"/>
        <v>1</v>
      </c>
      <c r="H394">
        <f t="shared" si="98"/>
        <v>1</v>
      </c>
      <c r="I394">
        <f t="shared" si="99"/>
        <v>1</v>
      </c>
      <c r="J394">
        <f t="shared" si="100"/>
        <v>1</v>
      </c>
      <c r="K394">
        <f t="shared" si="101"/>
        <v>1</v>
      </c>
      <c r="L394" t="str">
        <f>'Lab test'!AC383</f>
        <v>CLTW</v>
      </c>
      <c r="O394" t="e">
        <f t="shared" si="102"/>
        <v>#N/A</v>
      </c>
      <c r="P394" t="e">
        <f t="shared" si="103"/>
        <v>#N/A</v>
      </c>
      <c r="Q394" t="e">
        <f t="shared" si="104"/>
        <v>#N/A</v>
      </c>
      <c r="R394" t="e">
        <f t="shared" si="105"/>
        <v>#N/A</v>
      </c>
      <c r="S394" t="e">
        <f t="shared" si="106"/>
        <v>#N/A</v>
      </c>
      <c r="T394">
        <f t="shared" si="107"/>
        <v>0.98341477620702389</v>
      </c>
      <c r="U394" t="e">
        <f t="shared" si="108"/>
        <v>#N/A</v>
      </c>
      <c r="W394" t="e">
        <f t="shared" si="109"/>
        <v>#N/A</v>
      </c>
      <c r="X394" t="e">
        <f t="shared" si="110"/>
        <v>#N/A</v>
      </c>
      <c r="Y394" t="e">
        <f t="shared" si="111"/>
        <v>#N/A</v>
      </c>
      <c r="Z394" t="e">
        <f t="shared" si="112"/>
        <v>#N/A</v>
      </c>
      <c r="AA394" t="e">
        <f t="shared" si="113"/>
        <v>#N/A</v>
      </c>
      <c r="AB394">
        <f t="shared" si="114"/>
        <v>8.2428591603750365E-2</v>
      </c>
      <c r="AC394" t="e">
        <f t="shared" si="115"/>
        <v>#N/A</v>
      </c>
    </row>
    <row r="395" spans="2:29">
      <c r="B395">
        <v>381</v>
      </c>
      <c r="C395">
        <f>'Lab test'!Q384</f>
        <v>35</v>
      </c>
      <c r="D395">
        <f>IF('Lab test'!AQ384&gt;0,'Lab test'!AQ384,NA())</f>
        <v>0.28951467015495597</v>
      </c>
      <c r="E395">
        <f>IF('Lab test'!AU384&gt;0,'Lab test'!AU384,NA())</f>
        <v>0.94858117751894955</v>
      </c>
      <c r="F395">
        <f>IF('Lab test'!AT384&gt;0,'Lab test'!AT384,NA())</f>
        <v>7.9508883104532371E-2</v>
      </c>
      <c r="G395">
        <f t="shared" si="97"/>
        <v>1</v>
      </c>
      <c r="H395">
        <f t="shared" si="98"/>
        <v>1</v>
      </c>
      <c r="I395">
        <f t="shared" si="99"/>
        <v>1</v>
      </c>
      <c r="J395">
        <f t="shared" si="100"/>
        <v>1</v>
      </c>
      <c r="K395">
        <f t="shared" si="101"/>
        <v>1</v>
      </c>
      <c r="L395" t="str">
        <f>'Lab test'!AC384</f>
        <v>CLTW</v>
      </c>
      <c r="O395" t="e">
        <f t="shared" si="102"/>
        <v>#N/A</v>
      </c>
      <c r="P395" t="e">
        <f t="shared" si="103"/>
        <v>#N/A</v>
      </c>
      <c r="Q395" t="e">
        <f t="shared" si="104"/>
        <v>#N/A</v>
      </c>
      <c r="R395" t="e">
        <f t="shared" si="105"/>
        <v>#N/A</v>
      </c>
      <c r="S395" t="e">
        <f t="shared" si="106"/>
        <v>#N/A</v>
      </c>
      <c r="T395">
        <f t="shared" si="107"/>
        <v>0.94858117751894955</v>
      </c>
      <c r="U395" t="e">
        <f t="shared" si="108"/>
        <v>#N/A</v>
      </c>
      <c r="W395" t="e">
        <f t="shared" si="109"/>
        <v>#N/A</v>
      </c>
      <c r="X395" t="e">
        <f t="shared" si="110"/>
        <v>#N/A</v>
      </c>
      <c r="Y395" t="e">
        <f t="shared" si="111"/>
        <v>#N/A</v>
      </c>
      <c r="Z395" t="e">
        <f t="shared" si="112"/>
        <v>#N/A</v>
      </c>
      <c r="AA395" t="e">
        <f t="shared" si="113"/>
        <v>#N/A</v>
      </c>
      <c r="AB395">
        <f t="shared" si="114"/>
        <v>7.9508883104532371E-2</v>
      </c>
      <c r="AC395" t="e">
        <f t="shared" si="115"/>
        <v>#N/A</v>
      </c>
    </row>
    <row r="396" spans="2:29">
      <c r="B396">
        <v>382</v>
      </c>
      <c r="C396">
        <f>'Lab test'!Q385</f>
        <v>24</v>
      </c>
      <c r="D396">
        <f>IF('Lab test'!AQ385&gt;0,'Lab test'!AQ385,NA())</f>
        <v>0.23974092335795624</v>
      </c>
      <c r="E396">
        <f>IF('Lab test'!AU385&gt;0,'Lab test'!AU385,NA())</f>
        <v>0.75990373231486663</v>
      </c>
      <c r="F396">
        <f>IF('Lab test'!AT385&gt;0,'Lab test'!AT385,NA())</f>
        <v>4.3676006799134234E-2</v>
      </c>
      <c r="G396">
        <f t="shared" si="97"/>
        <v>1</v>
      </c>
      <c r="H396">
        <f t="shared" si="98"/>
        <v>1</v>
      </c>
      <c r="I396">
        <f t="shared" si="99"/>
        <v>1</v>
      </c>
      <c r="J396">
        <f t="shared" si="100"/>
        <v>1</v>
      </c>
      <c r="K396">
        <f t="shared" si="101"/>
        <v>1</v>
      </c>
      <c r="L396" t="str">
        <f>'Lab test'!AC385</f>
        <v>CLTW</v>
      </c>
      <c r="O396" t="e">
        <f t="shared" si="102"/>
        <v>#N/A</v>
      </c>
      <c r="P396" t="e">
        <f t="shared" si="103"/>
        <v>#N/A</v>
      </c>
      <c r="Q396" t="e">
        <f t="shared" si="104"/>
        <v>#N/A</v>
      </c>
      <c r="R396" t="e">
        <f t="shared" si="105"/>
        <v>#N/A</v>
      </c>
      <c r="S396" t="e">
        <f t="shared" si="106"/>
        <v>#N/A</v>
      </c>
      <c r="T396">
        <f t="shared" si="107"/>
        <v>0.75990373231486663</v>
      </c>
      <c r="U396" t="e">
        <f t="shared" si="108"/>
        <v>#N/A</v>
      </c>
      <c r="W396" t="e">
        <f t="shared" si="109"/>
        <v>#N/A</v>
      </c>
      <c r="X396" t="e">
        <f t="shared" si="110"/>
        <v>#N/A</v>
      </c>
      <c r="Y396" t="e">
        <f t="shared" si="111"/>
        <v>#N/A</v>
      </c>
      <c r="Z396" t="e">
        <f t="shared" si="112"/>
        <v>#N/A</v>
      </c>
      <c r="AA396" t="e">
        <f t="shared" si="113"/>
        <v>#N/A</v>
      </c>
      <c r="AB396">
        <f t="shared" si="114"/>
        <v>4.3676006799134234E-2</v>
      </c>
      <c r="AC396" t="e">
        <f t="shared" si="115"/>
        <v>#N/A</v>
      </c>
    </row>
    <row r="397" spans="2:29">
      <c r="B397">
        <v>383</v>
      </c>
      <c r="C397">
        <f>'Lab test'!Q386</f>
        <v>24</v>
      </c>
      <c r="D397">
        <f>IF('Lab test'!AQ386&gt;0,'Lab test'!AQ386,NA())</f>
        <v>0.22488032531694971</v>
      </c>
      <c r="E397">
        <f>IF('Lab test'!AU386&gt;0,'Lab test'!AU386,NA())</f>
        <v>0.92417270672531104</v>
      </c>
      <c r="F397">
        <f>IF('Lab test'!AT386&gt;0,'Lab test'!AT386,NA())</f>
        <v>4.6736486479905401E-2</v>
      </c>
      <c r="G397">
        <f t="shared" si="97"/>
        <v>1</v>
      </c>
      <c r="H397">
        <f t="shared" si="98"/>
        <v>1</v>
      </c>
      <c r="I397">
        <f t="shared" si="99"/>
        <v>1</v>
      </c>
      <c r="J397">
        <f t="shared" si="100"/>
        <v>1</v>
      </c>
      <c r="K397">
        <f t="shared" si="101"/>
        <v>1</v>
      </c>
      <c r="L397" t="str">
        <f>'Lab test'!AC386</f>
        <v>CLTW</v>
      </c>
      <c r="O397" t="e">
        <f t="shared" si="102"/>
        <v>#N/A</v>
      </c>
      <c r="P397" t="e">
        <f t="shared" si="103"/>
        <v>#N/A</v>
      </c>
      <c r="Q397" t="e">
        <f t="shared" si="104"/>
        <v>#N/A</v>
      </c>
      <c r="R397" t="e">
        <f t="shared" si="105"/>
        <v>#N/A</v>
      </c>
      <c r="S397" t="e">
        <f t="shared" si="106"/>
        <v>#N/A</v>
      </c>
      <c r="T397">
        <f t="shared" si="107"/>
        <v>0.92417270672531104</v>
      </c>
      <c r="U397" t="e">
        <f t="shared" si="108"/>
        <v>#N/A</v>
      </c>
      <c r="W397" t="e">
        <f t="shared" si="109"/>
        <v>#N/A</v>
      </c>
      <c r="X397" t="e">
        <f t="shared" si="110"/>
        <v>#N/A</v>
      </c>
      <c r="Y397" t="e">
        <f t="shared" si="111"/>
        <v>#N/A</v>
      </c>
      <c r="Z397" t="e">
        <f t="shared" si="112"/>
        <v>#N/A</v>
      </c>
      <c r="AA397" t="e">
        <f t="shared" si="113"/>
        <v>#N/A</v>
      </c>
      <c r="AB397">
        <f t="shared" si="114"/>
        <v>4.6736486479905401E-2</v>
      </c>
      <c r="AC397" t="e">
        <f t="shared" si="115"/>
        <v>#N/A</v>
      </c>
    </row>
    <row r="398" spans="2:29">
      <c r="B398">
        <v>384</v>
      </c>
      <c r="C398">
        <f>'Lab test'!Q387</f>
        <v>35</v>
      </c>
      <c r="D398">
        <f>IF('Lab test'!AQ387&gt;0,'Lab test'!AQ387,NA())</f>
        <v>0.28951467015495597</v>
      </c>
      <c r="E398">
        <f>IF('Lab test'!AU387&gt;0,'Lab test'!AU387,NA())</f>
        <v>0.96495988948486533</v>
      </c>
      <c r="F398">
        <f>IF('Lab test'!AT387&gt;0,'Lab test'!AT387,NA())</f>
        <v>8.0881726173701096E-2</v>
      </c>
      <c r="G398">
        <f t="shared" si="97"/>
        <v>1</v>
      </c>
      <c r="H398">
        <f t="shared" si="98"/>
        <v>1</v>
      </c>
      <c r="I398">
        <f t="shared" si="99"/>
        <v>1</v>
      </c>
      <c r="J398">
        <f t="shared" si="100"/>
        <v>1</v>
      </c>
      <c r="K398">
        <f t="shared" si="101"/>
        <v>1</v>
      </c>
      <c r="L398" t="str">
        <f>'Lab test'!AC387</f>
        <v>CLTW</v>
      </c>
      <c r="O398" t="e">
        <f t="shared" si="102"/>
        <v>#N/A</v>
      </c>
      <c r="P398" t="e">
        <f t="shared" si="103"/>
        <v>#N/A</v>
      </c>
      <c r="Q398" t="e">
        <f t="shared" si="104"/>
        <v>#N/A</v>
      </c>
      <c r="R398" t="e">
        <f t="shared" si="105"/>
        <v>#N/A</v>
      </c>
      <c r="S398" t="e">
        <f t="shared" si="106"/>
        <v>#N/A</v>
      </c>
      <c r="T398">
        <f t="shared" si="107"/>
        <v>0.96495988948486533</v>
      </c>
      <c r="U398" t="e">
        <f t="shared" si="108"/>
        <v>#N/A</v>
      </c>
      <c r="W398" t="e">
        <f t="shared" si="109"/>
        <v>#N/A</v>
      </c>
      <c r="X398" t="e">
        <f t="shared" si="110"/>
        <v>#N/A</v>
      </c>
      <c r="Y398" t="e">
        <f t="shared" si="111"/>
        <v>#N/A</v>
      </c>
      <c r="Z398" t="e">
        <f t="shared" si="112"/>
        <v>#N/A</v>
      </c>
      <c r="AA398" t="e">
        <f t="shared" si="113"/>
        <v>#N/A</v>
      </c>
      <c r="AB398">
        <f t="shared" si="114"/>
        <v>8.0881726173701096E-2</v>
      </c>
      <c r="AC398" t="e">
        <f t="shared" si="115"/>
        <v>#N/A</v>
      </c>
    </row>
    <row r="399" spans="2:29">
      <c r="B399">
        <v>385</v>
      </c>
      <c r="C399">
        <f>'Lab test'!Q388</f>
        <v>35</v>
      </c>
      <c r="D399">
        <f>IF('Lab test'!AQ388&gt;0,'Lab test'!AQ388,NA())</f>
        <v>0.28951467015495597</v>
      </c>
      <c r="E399">
        <f>IF('Lab test'!AU388&gt;0,'Lab test'!AU388,NA())</f>
        <v>0.94442882800646388</v>
      </c>
      <c r="F399">
        <f>IF('Lab test'!AT388&gt;0,'Lab test'!AT388,NA())</f>
        <v>7.9160838382771284E-2</v>
      </c>
      <c r="G399">
        <f t="shared" si="97"/>
        <v>1</v>
      </c>
      <c r="H399">
        <f t="shared" si="98"/>
        <v>1</v>
      </c>
      <c r="I399">
        <f t="shared" si="99"/>
        <v>1</v>
      </c>
      <c r="J399">
        <f t="shared" si="100"/>
        <v>1</v>
      </c>
      <c r="K399">
        <f t="shared" si="101"/>
        <v>1</v>
      </c>
      <c r="L399" t="str">
        <f>'Lab test'!AC388</f>
        <v>CLTW</v>
      </c>
      <c r="O399" t="e">
        <f t="shared" si="102"/>
        <v>#N/A</v>
      </c>
      <c r="P399" t="e">
        <f t="shared" si="103"/>
        <v>#N/A</v>
      </c>
      <c r="Q399" t="e">
        <f t="shared" si="104"/>
        <v>#N/A</v>
      </c>
      <c r="R399" t="e">
        <f t="shared" si="105"/>
        <v>#N/A</v>
      </c>
      <c r="S399" t="e">
        <f t="shared" si="106"/>
        <v>#N/A</v>
      </c>
      <c r="T399">
        <f t="shared" si="107"/>
        <v>0.94442882800646388</v>
      </c>
      <c r="U399" t="e">
        <f t="shared" si="108"/>
        <v>#N/A</v>
      </c>
      <c r="W399" t="e">
        <f t="shared" si="109"/>
        <v>#N/A</v>
      </c>
      <c r="X399" t="e">
        <f t="shared" si="110"/>
        <v>#N/A</v>
      </c>
      <c r="Y399" t="e">
        <f t="shared" si="111"/>
        <v>#N/A</v>
      </c>
      <c r="Z399" t="e">
        <f t="shared" si="112"/>
        <v>#N/A</v>
      </c>
      <c r="AA399" t="e">
        <f t="shared" si="113"/>
        <v>#N/A</v>
      </c>
      <c r="AB399">
        <f t="shared" si="114"/>
        <v>7.9160838382771284E-2</v>
      </c>
      <c r="AC399" t="e">
        <f t="shared" si="115"/>
        <v>#N/A</v>
      </c>
    </row>
    <row r="400" spans="2:29">
      <c r="B400">
        <v>386</v>
      </c>
      <c r="C400">
        <f>'Lab test'!Q389</f>
        <v>500</v>
      </c>
      <c r="D400">
        <f>IF('Lab test'!AQ389&gt;0,'Lab test'!AQ389,NA())</f>
        <v>0.91096260846253096</v>
      </c>
      <c r="E400">
        <f>IF('Lab test'!AU389&gt;0,'Lab test'!AU389,NA())</f>
        <v>0.47700358046184671</v>
      </c>
      <c r="F400">
        <f>IF('Lab test'!AT389&gt;0,'Lab test'!AT389,NA())</f>
        <v>0.39584279216259538</v>
      </c>
      <c r="G400">
        <f t="shared" ref="G400:G463" si="116">IF(AND(ISNUMBER(D400),ISNUMBER(E400)),1,NA())</f>
        <v>1</v>
      </c>
      <c r="H400">
        <f t="shared" ref="H400:H463" si="117">IF(AND(ISNUMBER(D400),ISNUMBER(F400)),1,NA())</f>
        <v>1</v>
      </c>
      <c r="I400">
        <f t="shared" ref="I400:I463" si="118">IF(AND(ISNUMBER(C400),ISNUMBER(E400)),1,NA())</f>
        <v>1</v>
      </c>
      <c r="J400">
        <f t="shared" ref="J400:J463" si="119">IF(AND(ISNUMBER(C400),ISNUMBER(F400)),1,NA())</f>
        <v>1</v>
      </c>
      <c r="K400">
        <f t="shared" ref="K400:K463" si="120">IF(OR(ISNUMBER(E400),ISNUMBER(F400)),1,NA())</f>
        <v>1</v>
      </c>
      <c r="L400" t="str">
        <f>'Lab test'!AC389</f>
        <v>LTWa</v>
      </c>
      <c r="O400">
        <f t="shared" ref="O400:O463" si="121">IF(EXACT($O$14,L400),E400,NA())</f>
        <v>0.47700358046184671</v>
      </c>
      <c r="P400" t="e">
        <f t="shared" ref="P400:P463" si="122">IF(EXACT($P$14,L400),E400,NA())</f>
        <v>#N/A</v>
      </c>
      <c r="Q400" t="e">
        <f t="shared" ref="Q400:Q463" si="123">IF(EXACT($Q$14,L400),E400,NA())</f>
        <v>#N/A</v>
      </c>
      <c r="R400" t="e">
        <f t="shared" ref="R400:R463" si="124">IF(EXACT($R$14,L400),E400,NA())</f>
        <v>#N/A</v>
      </c>
      <c r="S400" t="e">
        <f t="shared" ref="S400:S463" si="125">IF(EXACT($S$14,L400),E400,NA())</f>
        <v>#N/A</v>
      </c>
      <c r="T400" t="e">
        <f t="shared" ref="T400:T463" si="126">IF(EXACT($T$14,L400),E400,NA())</f>
        <v>#N/A</v>
      </c>
      <c r="U400" t="e">
        <f t="shared" ref="U400:U463" si="127">IF(EXACT($U$14,L400),E400,NA())</f>
        <v>#N/A</v>
      </c>
      <c r="W400">
        <f t="shared" ref="W400:W463" si="128">IF(EXACT($W$14,L400),F400,NA())</f>
        <v>0.39584279216259538</v>
      </c>
      <c r="X400" t="e">
        <f t="shared" ref="X400:X463" si="129">IF(EXACT($X$14,L400),F400,NA())</f>
        <v>#N/A</v>
      </c>
      <c r="Y400" t="e">
        <f t="shared" ref="Y400:Y463" si="130">IF(EXACT($Y$14,L400),F400,NA())</f>
        <v>#N/A</v>
      </c>
      <c r="Z400" t="e">
        <f t="shared" ref="Z400:Z463" si="131">IF(EXACT($Z$14,L400),F400,NA())</f>
        <v>#N/A</v>
      </c>
      <c r="AA400" t="e">
        <f t="shared" ref="AA400:AA463" si="132">IF(EXACT($AA$14,L400),F400,NA())</f>
        <v>#N/A</v>
      </c>
      <c r="AB400" t="e">
        <f t="shared" ref="AB400:AB463" si="133">IF(EXACT($AB$14,L400),F400,NA())</f>
        <v>#N/A</v>
      </c>
      <c r="AC400" t="e">
        <f t="shared" ref="AC400:AC463" si="134">IF(EXACT($AC$14,L400),F400,NA())</f>
        <v>#N/A</v>
      </c>
    </row>
    <row r="401" spans="2:29">
      <c r="B401">
        <v>387</v>
      </c>
      <c r="C401">
        <f>'Lab test'!Q390</f>
        <v>500</v>
      </c>
      <c r="D401">
        <f>IF('Lab test'!AQ390&gt;0,'Lab test'!AQ390,NA())</f>
        <v>0.91096260846253096</v>
      </c>
      <c r="E401">
        <f>IF('Lab test'!AU390&gt;0,'Lab test'!AU390,NA())</f>
        <v>0.41707321880235193</v>
      </c>
      <c r="F401">
        <f>IF('Lab test'!AT390&gt;0,'Lab test'!AT390,NA())</f>
        <v>0.34610940929859391</v>
      </c>
      <c r="G401">
        <f t="shared" si="116"/>
        <v>1</v>
      </c>
      <c r="H401">
        <f t="shared" si="117"/>
        <v>1</v>
      </c>
      <c r="I401">
        <f t="shared" si="118"/>
        <v>1</v>
      </c>
      <c r="J401">
        <f t="shared" si="119"/>
        <v>1</v>
      </c>
      <c r="K401">
        <f t="shared" si="120"/>
        <v>1</v>
      </c>
      <c r="L401" t="str">
        <f>'Lab test'!AC390</f>
        <v>LTWa</v>
      </c>
      <c r="O401">
        <f t="shared" si="121"/>
        <v>0.41707321880235193</v>
      </c>
      <c r="P401" t="e">
        <f t="shared" si="122"/>
        <v>#N/A</v>
      </c>
      <c r="Q401" t="e">
        <f t="shared" si="123"/>
        <v>#N/A</v>
      </c>
      <c r="R401" t="e">
        <f t="shared" si="124"/>
        <v>#N/A</v>
      </c>
      <c r="S401" t="e">
        <f t="shared" si="125"/>
        <v>#N/A</v>
      </c>
      <c r="T401" t="e">
        <f t="shared" si="126"/>
        <v>#N/A</v>
      </c>
      <c r="U401" t="e">
        <f t="shared" si="127"/>
        <v>#N/A</v>
      </c>
      <c r="W401">
        <f t="shared" si="128"/>
        <v>0.34610940929859391</v>
      </c>
      <c r="X401" t="e">
        <f t="shared" si="129"/>
        <v>#N/A</v>
      </c>
      <c r="Y401" t="e">
        <f t="shared" si="130"/>
        <v>#N/A</v>
      </c>
      <c r="Z401" t="e">
        <f t="shared" si="131"/>
        <v>#N/A</v>
      </c>
      <c r="AA401" t="e">
        <f t="shared" si="132"/>
        <v>#N/A</v>
      </c>
      <c r="AB401" t="e">
        <f t="shared" si="133"/>
        <v>#N/A</v>
      </c>
      <c r="AC401" t="e">
        <f t="shared" si="134"/>
        <v>#N/A</v>
      </c>
    </row>
    <row r="402" spans="2:29">
      <c r="B402">
        <v>388</v>
      </c>
      <c r="C402">
        <f>'Lab test'!Q391</f>
        <v>494</v>
      </c>
      <c r="D402">
        <f>IF('Lab test'!AQ391&gt;0,'Lab test'!AQ391,NA())</f>
        <v>0.97715251177903528</v>
      </c>
      <c r="E402">
        <f>IF('Lab test'!AU391&gt;0,'Lab test'!AU391,NA())</f>
        <v>0.50370362718279715</v>
      </c>
      <c r="F402">
        <f>IF('Lab test'!AT391&gt;0,'Lab test'!AT391,NA())</f>
        <v>0.48094983898594235</v>
      </c>
      <c r="G402">
        <f t="shared" si="116"/>
        <v>1</v>
      </c>
      <c r="H402">
        <f t="shared" si="117"/>
        <v>1</v>
      </c>
      <c r="I402">
        <f t="shared" si="118"/>
        <v>1</v>
      </c>
      <c r="J402">
        <f t="shared" si="119"/>
        <v>1</v>
      </c>
      <c r="K402">
        <f t="shared" si="120"/>
        <v>1</v>
      </c>
      <c r="L402" t="str">
        <f>'Lab test'!AC391</f>
        <v>LTWa</v>
      </c>
      <c r="O402">
        <f t="shared" si="121"/>
        <v>0.50370362718279715</v>
      </c>
      <c r="P402" t="e">
        <f t="shared" si="122"/>
        <v>#N/A</v>
      </c>
      <c r="Q402" t="e">
        <f t="shared" si="123"/>
        <v>#N/A</v>
      </c>
      <c r="R402" t="e">
        <f t="shared" si="124"/>
        <v>#N/A</v>
      </c>
      <c r="S402" t="e">
        <f t="shared" si="125"/>
        <v>#N/A</v>
      </c>
      <c r="T402" t="e">
        <f t="shared" si="126"/>
        <v>#N/A</v>
      </c>
      <c r="U402" t="e">
        <f t="shared" si="127"/>
        <v>#N/A</v>
      </c>
      <c r="W402">
        <f t="shared" si="128"/>
        <v>0.48094983898594235</v>
      </c>
      <c r="X402" t="e">
        <f t="shared" si="129"/>
        <v>#N/A</v>
      </c>
      <c r="Y402" t="e">
        <f t="shared" si="130"/>
        <v>#N/A</v>
      </c>
      <c r="Z402" t="e">
        <f t="shared" si="131"/>
        <v>#N/A</v>
      </c>
      <c r="AA402" t="e">
        <f t="shared" si="132"/>
        <v>#N/A</v>
      </c>
      <c r="AB402" t="e">
        <f t="shared" si="133"/>
        <v>#N/A</v>
      </c>
      <c r="AC402" t="e">
        <f t="shared" si="134"/>
        <v>#N/A</v>
      </c>
    </row>
    <row r="403" spans="2:29">
      <c r="B403">
        <v>389</v>
      </c>
      <c r="C403">
        <f>'Lab test'!Q392</f>
        <v>257</v>
      </c>
      <c r="D403">
        <f>IF('Lab test'!AQ392&gt;0,'Lab test'!AQ392,NA())</f>
        <v>0.7141188168613557</v>
      </c>
      <c r="E403">
        <f>IF('Lab test'!AU392&gt;0,'Lab test'!AU392,NA())</f>
        <v>0.66901409889285135</v>
      </c>
      <c r="F403">
        <f>IF('Lab test'!AT392&gt;0,'Lab test'!AT392,NA())</f>
        <v>0.34117423294590943</v>
      </c>
      <c r="G403">
        <f t="shared" si="116"/>
        <v>1</v>
      </c>
      <c r="H403">
        <f t="shared" si="117"/>
        <v>1</v>
      </c>
      <c r="I403">
        <f t="shared" si="118"/>
        <v>1</v>
      </c>
      <c r="J403">
        <f t="shared" si="119"/>
        <v>1</v>
      </c>
      <c r="K403">
        <f t="shared" si="120"/>
        <v>1</v>
      </c>
      <c r="L403" t="str">
        <f>'Lab test'!AC392</f>
        <v>LTWa</v>
      </c>
      <c r="O403">
        <f t="shared" si="121"/>
        <v>0.66901409889285135</v>
      </c>
      <c r="P403" t="e">
        <f t="shared" si="122"/>
        <v>#N/A</v>
      </c>
      <c r="Q403" t="e">
        <f t="shared" si="123"/>
        <v>#N/A</v>
      </c>
      <c r="R403" t="e">
        <f t="shared" si="124"/>
        <v>#N/A</v>
      </c>
      <c r="S403" t="e">
        <f t="shared" si="125"/>
        <v>#N/A</v>
      </c>
      <c r="T403" t="e">
        <f t="shared" si="126"/>
        <v>#N/A</v>
      </c>
      <c r="U403" t="e">
        <f t="shared" si="127"/>
        <v>#N/A</v>
      </c>
      <c r="W403">
        <f t="shared" si="128"/>
        <v>0.34117423294590943</v>
      </c>
      <c r="X403" t="e">
        <f t="shared" si="129"/>
        <v>#N/A</v>
      </c>
      <c r="Y403" t="e">
        <f t="shared" si="130"/>
        <v>#N/A</v>
      </c>
      <c r="Z403" t="e">
        <f t="shared" si="131"/>
        <v>#N/A</v>
      </c>
      <c r="AA403" t="e">
        <f t="shared" si="132"/>
        <v>#N/A</v>
      </c>
      <c r="AB403" t="e">
        <f t="shared" si="133"/>
        <v>#N/A</v>
      </c>
      <c r="AC403" t="e">
        <f t="shared" si="134"/>
        <v>#N/A</v>
      </c>
    </row>
    <row r="404" spans="2:29">
      <c r="B404">
        <v>390</v>
      </c>
      <c r="C404">
        <f>'Lab test'!Q393</f>
        <v>256</v>
      </c>
      <c r="D404">
        <f>IF('Lab test'!AQ393&gt;0,'Lab test'!AQ393,NA())</f>
        <v>0.76986679333632768</v>
      </c>
      <c r="E404">
        <f>IF('Lab test'!AU393&gt;0,'Lab test'!AU393,NA())</f>
        <v>0.66352651842924859</v>
      </c>
      <c r="F404">
        <f>IF('Lab test'!AT393&gt;0,'Lab test'!AT393,NA())</f>
        <v>0.3932687698735079</v>
      </c>
      <c r="G404">
        <f t="shared" si="116"/>
        <v>1</v>
      </c>
      <c r="H404">
        <f t="shared" si="117"/>
        <v>1</v>
      </c>
      <c r="I404">
        <f t="shared" si="118"/>
        <v>1</v>
      </c>
      <c r="J404">
        <f t="shared" si="119"/>
        <v>1</v>
      </c>
      <c r="K404">
        <f t="shared" si="120"/>
        <v>1</v>
      </c>
      <c r="L404" t="str">
        <f>'Lab test'!AC393</f>
        <v>LTWa</v>
      </c>
      <c r="O404">
        <f t="shared" si="121"/>
        <v>0.66352651842924859</v>
      </c>
      <c r="P404" t="e">
        <f t="shared" si="122"/>
        <v>#N/A</v>
      </c>
      <c r="Q404" t="e">
        <f t="shared" si="123"/>
        <v>#N/A</v>
      </c>
      <c r="R404" t="e">
        <f t="shared" si="124"/>
        <v>#N/A</v>
      </c>
      <c r="S404" t="e">
        <f t="shared" si="125"/>
        <v>#N/A</v>
      </c>
      <c r="T404" t="e">
        <f t="shared" si="126"/>
        <v>#N/A</v>
      </c>
      <c r="U404" t="e">
        <f t="shared" si="127"/>
        <v>#N/A</v>
      </c>
      <c r="W404">
        <f t="shared" si="128"/>
        <v>0.3932687698735079</v>
      </c>
      <c r="X404" t="e">
        <f t="shared" si="129"/>
        <v>#N/A</v>
      </c>
      <c r="Y404" t="e">
        <f t="shared" si="130"/>
        <v>#N/A</v>
      </c>
      <c r="Z404" t="e">
        <f t="shared" si="131"/>
        <v>#N/A</v>
      </c>
      <c r="AA404" t="e">
        <f t="shared" si="132"/>
        <v>#N/A</v>
      </c>
      <c r="AB404" t="e">
        <f t="shared" si="133"/>
        <v>#N/A</v>
      </c>
      <c r="AC404" t="e">
        <f t="shared" si="134"/>
        <v>#N/A</v>
      </c>
    </row>
    <row r="405" spans="2:29">
      <c r="B405">
        <v>391</v>
      </c>
      <c r="C405">
        <f>'Lab test'!Q394</f>
        <v>243</v>
      </c>
      <c r="D405">
        <f>IF('Lab test'!AQ394&gt;0,'Lab test'!AQ394,NA())</f>
        <v>1.0339664593628208</v>
      </c>
      <c r="E405">
        <f>IF('Lab test'!AU394&gt;0,'Lab test'!AU394,NA())</f>
        <v>0.57594947399032614</v>
      </c>
      <c r="F405">
        <f>IF('Lab test'!AT394&gt;0,'Lab test'!AT394,NA())</f>
        <v>0.61573988743240926</v>
      </c>
      <c r="G405">
        <f t="shared" si="116"/>
        <v>1</v>
      </c>
      <c r="H405">
        <f t="shared" si="117"/>
        <v>1</v>
      </c>
      <c r="I405">
        <f t="shared" si="118"/>
        <v>1</v>
      </c>
      <c r="J405">
        <f t="shared" si="119"/>
        <v>1</v>
      </c>
      <c r="K405">
        <f t="shared" si="120"/>
        <v>1</v>
      </c>
      <c r="L405" t="str">
        <f>'Lab test'!AC394</f>
        <v>LTWa</v>
      </c>
      <c r="O405">
        <f t="shared" si="121"/>
        <v>0.57594947399032614</v>
      </c>
      <c r="P405" t="e">
        <f t="shared" si="122"/>
        <v>#N/A</v>
      </c>
      <c r="Q405" t="e">
        <f t="shared" si="123"/>
        <v>#N/A</v>
      </c>
      <c r="R405" t="e">
        <f t="shared" si="124"/>
        <v>#N/A</v>
      </c>
      <c r="S405" t="e">
        <f t="shared" si="125"/>
        <v>#N/A</v>
      </c>
      <c r="T405" t="e">
        <f t="shared" si="126"/>
        <v>#N/A</v>
      </c>
      <c r="U405" t="e">
        <f t="shared" si="127"/>
        <v>#N/A</v>
      </c>
      <c r="W405">
        <f t="shared" si="128"/>
        <v>0.61573988743240926</v>
      </c>
      <c r="X405" t="e">
        <f t="shared" si="129"/>
        <v>#N/A</v>
      </c>
      <c r="Y405" t="e">
        <f t="shared" si="130"/>
        <v>#N/A</v>
      </c>
      <c r="Z405" t="e">
        <f t="shared" si="131"/>
        <v>#N/A</v>
      </c>
      <c r="AA405" t="e">
        <f t="shared" si="132"/>
        <v>#N/A</v>
      </c>
      <c r="AB405" t="e">
        <f t="shared" si="133"/>
        <v>#N/A</v>
      </c>
      <c r="AC405" t="e">
        <f t="shared" si="134"/>
        <v>#N/A</v>
      </c>
    </row>
    <row r="406" spans="2:29">
      <c r="B406">
        <v>392</v>
      </c>
      <c r="C406">
        <f>'Lab test'!Q395</f>
        <v>372</v>
      </c>
      <c r="D406">
        <f>IF('Lab test'!AQ395&gt;0,'Lab test'!AQ395,NA())</f>
        <v>1.1792262274677314</v>
      </c>
      <c r="E406">
        <f>IF('Lab test'!AU395&gt;0,'Lab test'!AU395,NA())</f>
        <v>0.29304071259381648</v>
      </c>
      <c r="F406">
        <f>IF('Lab test'!AT395&gt;0,'Lab test'!AT395,NA())</f>
        <v>0.4074949410901077</v>
      </c>
      <c r="G406">
        <f t="shared" si="116"/>
        <v>1</v>
      </c>
      <c r="H406">
        <f t="shared" si="117"/>
        <v>1</v>
      </c>
      <c r="I406">
        <f t="shared" si="118"/>
        <v>1</v>
      </c>
      <c r="J406">
        <f t="shared" si="119"/>
        <v>1</v>
      </c>
      <c r="K406">
        <f t="shared" si="120"/>
        <v>1</v>
      </c>
      <c r="L406" t="str">
        <f>'Lab test'!AC395</f>
        <v>LTWa</v>
      </c>
      <c r="O406">
        <f t="shared" si="121"/>
        <v>0.29304071259381648</v>
      </c>
      <c r="P406" t="e">
        <f t="shared" si="122"/>
        <v>#N/A</v>
      </c>
      <c r="Q406" t="e">
        <f t="shared" si="123"/>
        <v>#N/A</v>
      </c>
      <c r="R406" t="e">
        <f t="shared" si="124"/>
        <v>#N/A</v>
      </c>
      <c r="S406" t="e">
        <f t="shared" si="125"/>
        <v>#N/A</v>
      </c>
      <c r="T406" t="e">
        <f t="shared" si="126"/>
        <v>#N/A</v>
      </c>
      <c r="U406" t="e">
        <f t="shared" si="127"/>
        <v>#N/A</v>
      </c>
      <c r="W406">
        <f t="shared" si="128"/>
        <v>0.4074949410901077</v>
      </c>
      <c r="X406" t="e">
        <f t="shared" si="129"/>
        <v>#N/A</v>
      </c>
      <c r="Y406" t="e">
        <f t="shared" si="130"/>
        <v>#N/A</v>
      </c>
      <c r="Z406" t="e">
        <f t="shared" si="131"/>
        <v>#N/A</v>
      </c>
      <c r="AA406" t="e">
        <f t="shared" si="132"/>
        <v>#N/A</v>
      </c>
      <c r="AB406" t="e">
        <f t="shared" si="133"/>
        <v>#N/A</v>
      </c>
      <c r="AC406" t="e">
        <f t="shared" si="134"/>
        <v>#N/A</v>
      </c>
    </row>
    <row r="407" spans="2:29">
      <c r="B407">
        <v>393</v>
      </c>
      <c r="C407">
        <f>'Lab test'!Q396</f>
        <v>372</v>
      </c>
      <c r="D407">
        <f>IF('Lab test'!AQ396&gt;0,'Lab test'!AQ396,NA())</f>
        <v>1.1792262274677314</v>
      </c>
      <c r="E407">
        <f>IF('Lab test'!AU396&gt;0,'Lab test'!AU396,NA())</f>
        <v>0.42813907384307182</v>
      </c>
      <c r="F407">
        <f>IF('Lab test'!AT396&gt;0,'Lab test'!AT396,NA())</f>
        <v>0.59535927663362243</v>
      </c>
      <c r="G407">
        <f t="shared" si="116"/>
        <v>1</v>
      </c>
      <c r="H407">
        <f t="shared" si="117"/>
        <v>1</v>
      </c>
      <c r="I407">
        <f t="shared" si="118"/>
        <v>1</v>
      </c>
      <c r="J407">
        <f t="shared" si="119"/>
        <v>1</v>
      </c>
      <c r="K407">
        <f t="shared" si="120"/>
        <v>1</v>
      </c>
      <c r="L407" t="str">
        <f>'Lab test'!AC396</f>
        <v>LTWa</v>
      </c>
      <c r="O407">
        <f t="shared" si="121"/>
        <v>0.42813907384307182</v>
      </c>
      <c r="P407" t="e">
        <f t="shared" si="122"/>
        <v>#N/A</v>
      </c>
      <c r="Q407" t="e">
        <f t="shared" si="123"/>
        <v>#N/A</v>
      </c>
      <c r="R407" t="e">
        <f t="shared" si="124"/>
        <v>#N/A</v>
      </c>
      <c r="S407" t="e">
        <f t="shared" si="125"/>
        <v>#N/A</v>
      </c>
      <c r="T407" t="e">
        <f t="shared" si="126"/>
        <v>#N/A</v>
      </c>
      <c r="U407" t="e">
        <f t="shared" si="127"/>
        <v>#N/A</v>
      </c>
      <c r="W407">
        <f t="shared" si="128"/>
        <v>0.59535927663362243</v>
      </c>
      <c r="X407" t="e">
        <f t="shared" si="129"/>
        <v>#N/A</v>
      </c>
      <c r="Y407" t="e">
        <f t="shared" si="130"/>
        <v>#N/A</v>
      </c>
      <c r="Z407" t="e">
        <f t="shared" si="131"/>
        <v>#N/A</v>
      </c>
      <c r="AA407" t="e">
        <f t="shared" si="132"/>
        <v>#N/A</v>
      </c>
      <c r="AB407" t="e">
        <f t="shared" si="133"/>
        <v>#N/A</v>
      </c>
      <c r="AC407" t="e">
        <f t="shared" si="134"/>
        <v>#N/A</v>
      </c>
    </row>
    <row r="408" spans="2:29">
      <c r="B408">
        <v>394</v>
      </c>
      <c r="C408">
        <f>'Lab test'!Q397</f>
        <v>38.732394366197184</v>
      </c>
      <c r="D408">
        <f>IF('Lab test'!AQ397&gt;0,'Lab test'!AQ397,NA())</f>
        <v>0.27422137900921711</v>
      </c>
      <c r="E408">
        <f>IF('Lab test'!AU397&gt;0,'Lab test'!AU397,NA())</f>
        <v>1.056</v>
      </c>
      <c r="F408">
        <f>IF('Lab test'!AT397&gt;0,'Lab test'!AT397,NA())</f>
        <v>7.9408417129236825E-2</v>
      </c>
      <c r="G408">
        <f t="shared" si="116"/>
        <v>1</v>
      </c>
      <c r="H408">
        <f t="shared" si="117"/>
        <v>1</v>
      </c>
      <c r="I408">
        <f t="shared" si="118"/>
        <v>1</v>
      </c>
      <c r="J408">
        <f t="shared" si="119"/>
        <v>1</v>
      </c>
      <c r="K408">
        <f t="shared" si="120"/>
        <v>1</v>
      </c>
      <c r="L408" t="str">
        <f>'Lab test'!AC397</f>
        <v>LTWa</v>
      </c>
      <c r="O408">
        <f t="shared" si="121"/>
        <v>1.056</v>
      </c>
      <c r="P408" t="e">
        <f t="shared" si="122"/>
        <v>#N/A</v>
      </c>
      <c r="Q408" t="e">
        <f t="shared" si="123"/>
        <v>#N/A</v>
      </c>
      <c r="R408" t="e">
        <f t="shared" si="124"/>
        <v>#N/A</v>
      </c>
      <c r="S408" t="e">
        <f t="shared" si="125"/>
        <v>#N/A</v>
      </c>
      <c r="T408" t="e">
        <f t="shared" si="126"/>
        <v>#N/A</v>
      </c>
      <c r="U408" t="e">
        <f t="shared" si="127"/>
        <v>#N/A</v>
      </c>
      <c r="W408">
        <f t="shared" si="128"/>
        <v>7.9408417129236825E-2</v>
      </c>
      <c r="X408" t="e">
        <f t="shared" si="129"/>
        <v>#N/A</v>
      </c>
      <c r="Y408" t="e">
        <f t="shared" si="130"/>
        <v>#N/A</v>
      </c>
      <c r="Z408" t="e">
        <f t="shared" si="131"/>
        <v>#N/A</v>
      </c>
      <c r="AA408" t="e">
        <f t="shared" si="132"/>
        <v>#N/A</v>
      </c>
      <c r="AB408" t="e">
        <f t="shared" si="133"/>
        <v>#N/A</v>
      </c>
      <c r="AC408" t="e">
        <f t="shared" si="134"/>
        <v>#N/A</v>
      </c>
    </row>
    <row r="409" spans="2:29">
      <c r="B409">
        <v>395</v>
      </c>
      <c r="C409">
        <f>'Lab test'!Q398</f>
        <v>57.949479940564629</v>
      </c>
      <c r="D409">
        <f>IF('Lab test'!AQ398&gt;0,'Lab test'!AQ398,NA())</f>
        <v>0.30973625905190222</v>
      </c>
      <c r="E409">
        <f>IF('Lab test'!AU398&gt;0,'Lab test'!AU398,NA())</f>
        <v>1.004</v>
      </c>
      <c r="F409">
        <f>IF('Lab test'!AT398&gt;0,'Lab test'!AT398,NA())</f>
        <v>9.6320296372152933E-2</v>
      </c>
      <c r="G409">
        <f t="shared" si="116"/>
        <v>1</v>
      </c>
      <c r="H409">
        <f t="shared" si="117"/>
        <v>1</v>
      </c>
      <c r="I409">
        <f t="shared" si="118"/>
        <v>1</v>
      </c>
      <c r="J409">
        <f t="shared" si="119"/>
        <v>1</v>
      </c>
      <c r="K409">
        <f t="shared" si="120"/>
        <v>1</v>
      </c>
      <c r="L409" t="str">
        <f>'Lab test'!AC398</f>
        <v>LTWa</v>
      </c>
      <c r="O409">
        <f t="shared" si="121"/>
        <v>1.004</v>
      </c>
      <c r="P409" t="e">
        <f t="shared" si="122"/>
        <v>#N/A</v>
      </c>
      <c r="Q409" t="e">
        <f t="shared" si="123"/>
        <v>#N/A</v>
      </c>
      <c r="R409" t="e">
        <f t="shared" si="124"/>
        <v>#N/A</v>
      </c>
      <c r="S409" t="e">
        <f t="shared" si="125"/>
        <v>#N/A</v>
      </c>
      <c r="T409" t="e">
        <f t="shared" si="126"/>
        <v>#N/A</v>
      </c>
      <c r="U409" t="e">
        <f t="shared" si="127"/>
        <v>#N/A</v>
      </c>
      <c r="W409">
        <f t="shared" si="128"/>
        <v>9.6320296372152933E-2</v>
      </c>
      <c r="X409" t="e">
        <f t="shared" si="129"/>
        <v>#N/A</v>
      </c>
      <c r="Y409" t="e">
        <f t="shared" si="130"/>
        <v>#N/A</v>
      </c>
      <c r="Z409" t="e">
        <f t="shared" si="131"/>
        <v>#N/A</v>
      </c>
      <c r="AA409" t="e">
        <f t="shared" si="132"/>
        <v>#N/A</v>
      </c>
      <c r="AB409" t="e">
        <f t="shared" si="133"/>
        <v>#N/A</v>
      </c>
      <c r="AC409" t="e">
        <f t="shared" si="134"/>
        <v>#N/A</v>
      </c>
    </row>
    <row r="410" spans="2:29">
      <c r="B410">
        <v>396</v>
      </c>
      <c r="C410">
        <f>'Lab test'!Q399</f>
        <v>75.780089153046063</v>
      </c>
      <c r="D410">
        <f>IF('Lab test'!AQ399&gt;0,'Lab test'!AQ399,NA())</f>
        <v>0.35419696312329474</v>
      </c>
      <c r="E410">
        <f>IF('Lab test'!AU399&gt;0,'Lab test'!AU399,NA())</f>
        <v>0.999</v>
      </c>
      <c r="F410">
        <f>IF('Lab test'!AT399&gt;0,'Lab test'!AT399,NA())</f>
        <v>0.12533003319707886</v>
      </c>
      <c r="G410">
        <f t="shared" si="116"/>
        <v>1</v>
      </c>
      <c r="H410">
        <f t="shared" si="117"/>
        <v>1</v>
      </c>
      <c r="I410">
        <f t="shared" si="118"/>
        <v>1</v>
      </c>
      <c r="J410">
        <f t="shared" si="119"/>
        <v>1</v>
      </c>
      <c r="K410">
        <f t="shared" si="120"/>
        <v>1</v>
      </c>
      <c r="L410" t="str">
        <f>'Lab test'!AC399</f>
        <v>LTWa</v>
      </c>
      <c r="O410">
        <f t="shared" si="121"/>
        <v>0.999</v>
      </c>
      <c r="P410" t="e">
        <f t="shared" si="122"/>
        <v>#N/A</v>
      </c>
      <c r="Q410" t="e">
        <f t="shared" si="123"/>
        <v>#N/A</v>
      </c>
      <c r="R410" t="e">
        <f t="shared" si="124"/>
        <v>#N/A</v>
      </c>
      <c r="S410" t="e">
        <f t="shared" si="125"/>
        <v>#N/A</v>
      </c>
      <c r="T410" t="e">
        <f t="shared" si="126"/>
        <v>#N/A</v>
      </c>
      <c r="U410" t="e">
        <f t="shared" si="127"/>
        <v>#N/A</v>
      </c>
      <c r="W410">
        <f t="shared" si="128"/>
        <v>0.12533003319707886</v>
      </c>
      <c r="X410" t="e">
        <f t="shared" si="129"/>
        <v>#N/A</v>
      </c>
      <c r="Y410" t="e">
        <f t="shared" si="130"/>
        <v>#N/A</v>
      </c>
      <c r="Z410" t="e">
        <f t="shared" si="131"/>
        <v>#N/A</v>
      </c>
      <c r="AA410" t="e">
        <f t="shared" si="132"/>
        <v>#N/A</v>
      </c>
      <c r="AB410" t="e">
        <f t="shared" si="133"/>
        <v>#N/A</v>
      </c>
      <c r="AC410" t="e">
        <f t="shared" si="134"/>
        <v>#N/A</v>
      </c>
    </row>
    <row r="411" spans="2:29">
      <c r="B411">
        <v>397</v>
      </c>
      <c r="C411">
        <f>'Lab test'!Q400</f>
        <v>113.67013372956909</v>
      </c>
      <c r="D411">
        <f>IF('Lab test'!AQ400&gt;0,'Lab test'!AQ400,NA())</f>
        <v>0.43380091404773102</v>
      </c>
      <c r="E411">
        <f>IF('Lab test'!AU400&gt;0,'Lab test'!AU400,NA())</f>
        <v>0.88000000000000012</v>
      </c>
      <c r="F411">
        <f>IF('Lab test'!AT400&gt;0,'Lab test'!AT400,NA())</f>
        <v>0.16560124506520929</v>
      </c>
      <c r="G411">
        <f t="shared" si="116"/>
        <v>1</v>
      </c>
      <c r="H411">
        <f t="shared" si="117"/>
        <v>1</v>
      </c>
      <c r="I411">
        <f t="shared" si="118"/>
        <v>1</v>
      </c>
      <c r="J411">
        <f t="shared" si="119"/>
        <v>1</v>
      </c>
      <c r="K411">
        <f t="shared" si="120"/>
        <v>1</v>
      </c>
      <c r="L411" t="str">
        <f>'Lab test'!AC400</f>
        <v>LTWa</v>
      </c>
      <c r="O411">
        <f t="shared" si="121"/>
        <v>0.88000000000000012</v>
      </c>
      <c r="P411" t="e">
        <f t="shared" si="122"/>
        <v>#N/A</v>
      </c>
      <c r="Q411" t="e">
        <f t="shared" si="123"/>
        <v>#N/A</v>
      </c>
      <c r="R411" t="e">
        <f t="shared" si="124"/>
        <v>#N/A</v>
      </c>
      <c r="S411" t="e">
        <f t="shared" si="125"/>
        <v>#N/A</v>
      </c>
      <c r="T411" t="e">
        <f t="shared" si="126"/>
        <v>#N/A</v>
      </c>
      <c r="U411" t="e">
        <f t="shared" si="127"/>
        <v>#N/A</v>
      </c>
      <c r="W411">
        <f t="shared" si="128"/>
        <v>0.16560124506520929</v>
      </c>
      <c r="X411" t="e">
        <f t="shared" si="129"/>
        <v>#N/A</v>
      </c>
      <c r="Y411" t="e">
        <f t="shared" si="130"/>
        <v>#N/A</v>
      </c>
      <c r="Z411" t="e">
        <f t="shared" si="131"/>
        <v>#N/A</v>
      </c>
      <c r="AA411" t="e">
        <f t="shared" si="132"/>
        <v>#N/A</v>
      </c>
      <c r="AB411" t="e">
        <f t="shared" si="133"/>
        <v>#N/A</v>
      </c>
      <c r="AC411" t="e">
        <f t="shared" si="134"/>
        <v>#N/A</v>
      </c>
    </row>
    <row r="412" spans="2:29">
      <c r="B412">
        <v>398</v>
      </c>
      <c r="C412">
        <f>'Lab test'!Q401</f>
        <v>29.804727646454264</v>
      </c>
      <c r="D412">
        <f>IF('Lab test'!AQ401&gt;0,'Lab test'!AQ401,NA())</f>
        <v>0.28504848843895608</v>
      </c>
      <c r="E412">
        <f>IF('Lab test'!AU401&gt;0,'Lab test'!AU401,NA())</f>
        <v>1.0089999999999999</v>
      </c>
      <c r="F412">
        <f>IF('Lab test'!AT401&gt;0,'Lab test'!AT401,NA())</f>
        <v>8.1983914528185653E-2</v>
      </c>
      <c r="G412">
        <f t="shared" si="116"/>
        <v>1</v>
      </c>
      <c r="H412">
        <f t="shared" si="117"/>
        <v>1</v>
      </c>
      <c r="I412">
        <f t="shared" si="118"/>
        <v>1</v>
      </c>
      <c r="J412">
        <f t="shared" si="119"/>
        <v>1</v>
      </c>
      <c r="K412">
        <f t="shared" si="120"/>
        <v>1</v>
      </c>
      <c r="L412" t="str">
        <f>'Lab test'!AC401</f>
        <v>LTWa</v>
      </c>
      <c r="O412">
        <f t="shared" si="121"/>
        <v>1.0089999999999999</v>
      </c>
      <c r="P412" t="e">
        <f t="shared" si="122"/>
        <v>#N/A</v>
      </c>
      <c r="Q412" t="e">
        <f t="shared" si="123"/>
        <v>#N/A</v>
      </c>
      <c r="R412" t="e">
        <f t="shared" si="124"/>
        <v>#N/A</v>
      </c>
      <c r="S412" t="e">
        <f t="shared" si="125"/>
        <v>#N/A</v>
      </c>
      <c r="T412" t="e">
        <f t="shared" si="126"/>
        <v>#N/A</v>
      </c>
      <c r="U412" t="e">
        <f t="shared" si="127"/>
        <v>#N/A</v>
      </c>
      <c r="W412">
        <f t="shared" si="128"/>
        <v>8.1983914528185653E-2</v>
      </c>
      <c r="X412" t="e">
        <f t="shared" si="129"/>
        <v>#N/A</v>
      </c>
      <c r="Y412" t="e">
        <f t="shared" si="130"/>
        <v>#N/A</v>
      </c>
      <c r="Z412" t="e">
        <f t="shared" si="131"/>
        <v>#N/A</v>
      </c>
      <c r="AA412" t="e">
        <f t="shared" si="132"/>
        <v>#N/A</v>
      </c>
      <c r="AB412" t="e">
        <f t="shared" si="133"/>
        <v>#N/A</v>
      </c>
      <c r="AC412" t="e">
        <f t="shared" si="134"/>
        <v>#N/A</v>
      </c>
    </row>
    <row r="413" spans="2:29">
      <c r="B413">
        <v>399</v>
      </c>
      <c r="C413">
        <f>'Lab test'!Q402</f>
        <v>116.79389312977099</v>
      </c>
      <c r="D413">
        <f>IF('Lab test'!AQ402&gt;0,'Lab test'!AQ402,NA())</f>
        <v>0.768687036520039</v>
      </c>
      <c r="E413">
        <f>IF('Lab test'!AU402&gt;0,'Lab test'!AU402,NA())</f>
        <v>0.82899999999999985</v>
      </c>
      <c r="F413">
        <f>IF('Lab test'!AT402&gt;0,'Lab test'!AT402,NA())</f>
        <v>0.48983932113447265</v>
      </c>
      <c r="G413">
        <f t="shared" si="116"/>
        <v>1</v>
      </c>
      <c r="H413">
        <f t="shared" si="117"/>
        <v>1</v>
      </c>
      <c r="I413">
        <f t="shared" si="118"/>
        <v>1</v>
      </c>
      <c r="J413">
        <f t="shared" si="119"/>
        <v>1</v>
      </c>
      <c r="K413">
        <f t="shared" si="120"/>
        <v>1</v>
      </c>
      <c r="L413" t="str">
        <f>'Lab test'!AC402</f>
        <v>LTWa</v>
      </c>
      <c r="O413">
        <f t="shared" si="121"/>
        <v>0.82899999999999985</v>
      </c>
      <c r="P413" t="e">
        <f t="shared" si="122"/>
        <v>#N/A</v>
      </c>
      <c r="Q413" t="e">
        <f t="shared" si="123"/>
        <v>#N/A</v>
      </c>
      <c r="R413" t="e">
        <f t="shared" si="124"/>
        <v>#N/A</v>
      </c>
      <c r="S413" t="e">
        <f t="shared" si="125"/>
        <v>#N/A</v>
      </c>
      <c r="T413" t="e">
        <f t="shared" si="126"/>
        <v>#N/A</v>
      </c>
      <c r="U413" t="e">
        <f t="shared" si="127"/>
        <v>#N/A</v>
      </c>
      <c r="W413">
        <f t="shared" si="128"/>
        <v>0.48983932113447265</v>
      </c>
      <c r="X413" t="e">
        <f t="shared" si="129"/>
        <v>#N/A</v>
      </c>
      <c r="Y413" t="e">
        <f t="shared" si="130"/>
        <v>#N/A</v>
      </c>
      <c r="Z413" t="e">
        <f t="shared" si="131"/>
        <v>#N/A</v>
      </c>
      <c r="AA413" t="e">
        <f t="shared" si="132"/>
        <v>#N/A</v>
      </c>
      <c r="AB413" t="e">
        <f t="shared" si="133"/>
        <v>#N/A</v>
      </c>
      <c r="AC413" t="e">
        <f t="shared" si="134"/>
        <v>#N/A</v>
      </c>
    </row>
    <row r="414" spans="2:29">
      <c r="B414">
        <v>400</v>
      </c>
      <c r="C414">
        <f>'Lab test'!Q403</f>
        <v>124.68982630272953</v>
      </c>
      <c r="D414">
        <f>IF('Lab test'!AQ403&gt;0,'Lab test'!AQ403,NA())</f>
        <v>0.61806001674406175</v>
      </c>
      <c r="E414">
        <f>IF('Lab test'!AU403&gt;0,'Lab test'!AU403,NA())</f>
        <v>0.81399999999999995</v>
      </c>
      <c r="F414">
        <f>IF('Lab test'!AT403&gt;0,'Lab test'!AT403,NA())</f>
        <v>0.31094652201830331</v>
      </c>
      <c r="G414">
        <f t="shared" si="116"/>
        <v>1</v>
      </c>
      <c r="H414">
        <f t="shared" si="117"/>
        <v>1</v>
      </c>
      <c r="I414">
        <f t="shared" si="118"/>
        <v>1</v>
      </c>
      <c r="J414">
        <f t="shared" si="119"/>
        <v>1</v>
      </c>
      <c r="K414">
        <f t="shared" si="120"/>
        <v>1</v>
      </c>
      <c r="L414" t="str">
        <f>'Lab test'!AC403</f>
        <v>LTWa</v>
      </c>
      <c r="O414">
        <f t="shared" si="121"/>
        <v>0.81399999999999995</v>
      </c>
      <c r="P414" t="e">
        <f t="shared" si="122"/>
        <v>#N/A</v>
      </c>
      <c r="Q414" t="e">
        <f t="shared" si="123"/>
        <v>#N/A</v>
      </c>
      <c r="R414" t="e">
        <f t="shared" si="124"/>
        <v>#N/A</v>
      </c>
      <c r="S414" t="e">
        <f t="shared" si="125"/>
        <v>#N/A</v>
      </c>
      <c r="T414" t="e">
        <f t="shared" si="126"/>
        <v>#N/A</v>
      </c>
      <c r="U414" t="e">
        <f t="shared" si="127"/>
        <v>#N/A</v>
      </c>
      <c r="W414">
        <f t="shared" si="128"/>
        <v>0.31094652201830331</v>
      </c>
      <c r="X414" t="e">
        <f t="shared" si="129"/>
        <v>#N/A</v>
      </c>
      <c r="Y414" t="e">
        <f t="shared" si="130"/>
        <v>#N/A</v>
      </c>
      <c r="Z414" t="e">
        <f t="shared" si="131"/>
        <v>#N/A</v>
      </c>
      <c r="AA414" t="e">
        <f t="shared" si="132"/>
        <v>#N/A</v>
      </c>
      <c r="AB414" t="e">
        <f t="shared" si="133"/>
        <v>#N/A</v>
      </c>
      <c r="AC414" t="e">
        <f t="shared" si="134"/>
        <v>#N/A</v>
      </c>
    </row>
    <row r="415" spans="2:29">
      <c r="B415">
        <v>401</v>
      </c>
      <c r="C415">
        <f>'Lab test'!Q404</f>
        <v>105.52640783490732</v>
      </c>
      <c r="D415">
        <f>IF('Lab test'!AQ404&gt;0,'Lab test'!AQ404,NA())</f>
        <v>0.56472631332742684</v>
      </c>
      <c r="E415">
        <f>IF('Lab test'!AU404&gt;0,'Lab test'!AU404,NA())</f>
        <v>0.88900000000000001</v>
      </c>
      <c r="F415">
        <f>IF('Lab test'!AT404&gt;0,'Lab test'!AT404,NA())</f>
        <v>0.28351615416934006</v>
      </c>
      <c r="G415">
        <f t="shared" si="116"/>
        <v>1</v>
      </c>
      <c r="H415">
        <f t="shared" si="117"/>
        <v>1</v>
      </c>
      <c r="I415">
        <f t="shared" si="118"/>
        <v>1</v>
      </c>
      <c r="J415">
        <f t="shared" si="119"/>
        <v>1</v>
      </c>
      <c r="K415">
        <f t="shared" si="120"/>
        <v>1</v>
      </c>
      <c r="L415" t="str">
        <f>'Lab test'!AC404</f>
        <v>LTWa</v>
      </c>
      <c r="O415">
        <f t="shared" si="121"/>
        <v>0.88900000000000001</v>
      </c>
      <c r="P415" t="e">
        <f t="shared" si="122"/>
        <v>#N/A</v>
      </c>
      <c r="Q415" t="e">
        <f t="shared" si="123"/>
        <v>#N/A</v>
      </c>
      <c r="R415" t="e">
        <f t="shared" si="124"/>
        <v>#N/A</v>
      </c>
      <c r="S415" t="e">
        <f t="shared" si="125"/>
        <v>#N/A</v>
      </c>
      <c r="T415" t="e">
        <f t="shared" si="126"/>
        <v>#N/A</v>
      </c>
      <c r="U415" t="e">
        <f t="shared" si="127"/>
        <v>#N/A</v>
      </c>
      <c r="W415">
        <f t="shared" si="128"/>
        <v>0.28351615416934006</v>
      </c>
      <c r="X415" t="e">
        <f t="shared" si="129"/>
        <v>#N/A</v>
      </c>
      <c r="Y415" t="e">
        <f t="shared" si="130"/>
        <v>#N/A</v>
      </c>
      <c r="Z415" t="e">
        <f t="shared" si="131"/>
        <v>#N/A</v>
      </c>
      <c r="AA415" t="e">
        <f t="shared" si="132"/>
        <v>#N/A</v>
      </c>
      <c r="AB415" t="e">
        <f t="shared" si="133"/>
        <v>#N/A</v>
      </c>
      <c r="AC415" t="e">
        <f t="shared" si="134"/>
        <v>#N/A</v>
      </c>
    </row>
    <row r="416" spans="2:29">
      <c r="B416">
        <v>402</v>
      </c>
      <c r="C416">
        <f>'Lab test'!Q405</f>
        <v>82.808674361664913</v>
      </c>
      <c r="D416">
        <f>IF('Lab test'!AQ405&gt;0,'Lab test'!AQ405,NA())</f>
        <v>0.50025952088993719</v>
      </c>
      <c r="E416">
        <f>IF('Lab test'!AU405&gt;0,'Lab test'!AU405,NA())</f>
        <v>0.94099999999999995</v>
      </c>
      <c r="F416">
        <f>IF('Lab test'!AT405&gt;0,'Lab test'!AT405,NA())</f>
        <v>0.23549427253480876</v>
      </c>
      <c r="G416">
        <f t="shared" si="116"/>
        <v>1</v>
      </c>
      <c r="H416">
        <f t="shared" si="117"/>
        <v>1</v>
      </c>
      <c r="I416">
        <f t="shared" si="118"/>
        <v>1</v>
      </c>
      <c r="J416">
        <f t="shared" si="119"/>
        <v>1</v>
      </c>
      <c r="K416">
        <f t="shared" si="120"/>
        <v>1</v>
      </c>
      <c r="L416" t="str">
        <f>'Lab test'!AC405</f>
        <v>LTWa</v>
      </c>
      <c r="O416">
        <f t="shared" si="121"/>
        <v>0.94099999999999995</v>
      </c>
      <c r="P416" t="e">
        <f t="shared" si="122"/>
        <v>#N/A</v>
      </c>
      <c r="Q416" t="e">
        <f t="shared" si="123"/>
        <v>#N/A</v>
      </c>
      <c r="R416" t="e">
        <f t="shared" si="124"/>
        <v>#N/A</v>
      </c>
      <c r="S416" t="e">
        <f t="shared" si="125"/>
        <v>#N/A</v>
      </c>
      <c r="T416" t="e">
        <f t="shared" si="126"/>
        <v>#N/A</v>
      </c>
      <c r="U416" t="e">
        <f t="shared" si="127"/>
        <v>#N/A</v>
      </c>
      <c r="W416">
        <f t="shared" si="128"/>
        <v>0.23549427253480876</v>
      </c>
      <c r="X416" t="e">
        <f t="shared" si="129"/>
        <v>#N/A</v>
      </c>
      <c r="Y416" t="e">
        <f t="shared" si="130"/>
        <v>#N/A</v>
      </c>
      <c r="Z416" t="e">
        <f t="shared" si="131"/>
        <v>#N/A</v>
      </c>
      <c r="AA416" t="e">
        <f t="shared" si="132"/>
        <v>#N/A</v>
      </c>
      <c r="AB416" t="e">
        <f t="shared" si="133"/>
        <v>#N/A</v>
      </c>
      <c r="AC416" t="e">
        <f t="shared" si="134"/>
        <v>#N/A</v>
      </c>
    </row>
    <row r="417" spans="2:29">
      <c r="B417">
        <v>403</v>
      </c>
      <c r="C417">
        <f>'Lab test'!Q406</f>
        <v>42.939274164570605</v>
      </c>
      <c r="D417">
        <f>IF('Lab test'!AQ406&gt;0,'Lab test'!AQ406,NA())</f>
        <v>0.33365955692237836</v>
      </c>
      <c r="E417">
        <f>IF('Lab test'!AU406&gt;0,'Lab test'!AU406,NA())</f>
        <v>0.94099999999999995</v>
      </c>
      <c r="F417">
        <f>IF('Lab test'!AT406&gt;0,'Lab test'!AT406,NA())</f>
        <v>0.1047603066300252</v>
      </c>
      <c r="G417">
        <f t="shared" si="116"/>
        <v>1</v>
      </c>
      <c r="H417">
        <f t="shared" si="117"/>
        <v>1</v>
      </c>
      <c r="I417">
        <f t="shared" si="118"/>
        <v>1</v>
      </c>
      <c r="J417">
        <f t="shared" si="119"/>
        <v>1</v>
      </c>
      <c r="K417">
        <f t="shared" si="120"/>
        <v>1</v>
      </c>
      <c r="L417" t="str">
        <f>'Lab test'!AC406</f>
        <v>LTWa</v>
      </c>
      <c r="O417">
        <f t="shared" si="121"/>
        <v>0.94099999999999995</v>
      </c>
      <c r="P417" t="e">
        <f t="shared" si="122"/>
        <v>#N/A</v>
      </c>
      <c r="Q417" t="e">
        <f t="shared" si="123"/>
        <v>#N/A</v>
      </c>
      <c r="R417" t="e">
        <f t="shared" si="124"/>
        <v>#N/A</v>
      </c>
      <c r="S417" t="e">
        <f t="shared" si="125"/>
        <v>#N/A</v>
      </c>
      <c r="T417" t="e">
        <f t="shared" si="126"/>
        <v>#N/A</v>
      </c>
      <c r="U417" t="e">
        <f t="shared" si="127"/>
        <v>#N/A</v>
      </c>
      <c r="W417">
        <f t="shared" si="128"/>
        <v>0.1047603066300252</v>
      </c>
      <c r="X417" t="e">
        <f t="shared" si="129"/>
        <v>#N/A</v>
      </c>
      <c r="Y417" t="e">
        <f t="shared" si="130"/>
        <v>#N/A</v>
      </c>
      <c r="Z417" t="e">
        <f t="shared" si="131"/>
        <v>#N/A</v>
      </c>
      <c r="AA417" t="e">
        <f t="shared" si="132"/>
        <v>#N/A</v>
      </c>
      <c r="AB417" t="e">
        <f t="shared" si="133"/>
        <v>#N/A</v>
      </c>
      <c r="AC417" t="e">
        <f t="shared" si="134"/>
        <v>#N/A</v>
      </c>
    </row>
    <row r="418" spans="2:29">
      <c r="B418">
        <v>404</v>
      </c>
      <c r="C418">
        <f>'Lab test'!Q407</f>
        <v>46.099290780141843</v>
      </c>
      <c r="D418">
        <f>IF('Lab test'!AQ407&gt;0,'Lab test'!AQ407,NA())</f>
        <v>0.360310321703327</v>
      </c>
      <c r="E418">
        <f>IF('Lab test'!AU407&gt;0,'Lab test'!AU407,NA())</f>
        <v>1.008</v>
      </c>
      <c r="F418">
        <f>IF('Lab test'!AT407&gt;0,'Lab test'!AT407,NA())</f>
        <v>0.13086211614936263</v>
      </c>
      <c r="G418">
        <f t="shared" si="116"/>
        <v>1</v>
      </c>
      <c r="H418">
        <f t="shared" si="117"/>
        <v>1</v>
      </c>
      <c r="I418">
        <f t="shared" si="118"/>
        <v>1</v>
      </c>
      <c r="J418">
        <f t="shared" si="119"/>
        <v>1</v>
      </c>
      <c r="K418">
        <f t="shared" si="120"/>
        <v>1</v>
      </c>
      <c r="L418" t="str">
        <f>'Lab test'!AC407</f>
        <v>LTWa</v>
      </c>
      <c r="O418">
        <f t="shared" si="121"/>
        <v>1.008</v>
      </c>
      <c r="P418" t="e">
        <f t="shared" si="122"/>
        <v>#N/A</v>
      </c>
      <c r="Q418" t="e">
        <f t="shared" si="123"/>
        <v>#N/A</v>
      </c>
      <c r="R418" t="e">
        <f t="shared" si="124"/>
        <v>#N/A</v>
      </c>
      <c r="S418" t="e">
        <f t="shared" si="125"/>
        <v>#N/A</v>
      </c>
      <c r="T418" t="e">
        <f t="shared" si="126"/>
        <v>#N/A</v>
      </c>
      <c r="U418" t="e">
        <f t="shared" si="127"/>
        <v>#N/A</v>
      </c>
      <c r="W418">
        <f t="shared" si="128"/>
        <v>0.13086211614936263</v>
      </c>
      <c r="X418" t="e">
        <f t="shared" si="129"/>
        <v>#N/A</v>
      </c>
      <c r="Y418" t="e">
        <f t="shared" si="130"/>
        <v>#N/A</v>
      </c>
      <c r="Z418" t="e">
        <f t="shared" si="131"/>
        <v>#N/A</v>
      </c>
      <c r="AA418" t="e">
        <f t="shared" si="132"/>
        <v>#N/A</v>
      </c>
      <c r="AB418" t="e">
        <f t="shared" si="133"/>
        <v>#N/A</v>
      </c>
      <c r="AC418" t="e">
        <f t="shared" si="134"/>
        <v>#N/A</v>
      </c>
    </row>
    <row r="419" spans="2:29">
      <c r="B419">
        <v>405</v>
      </c>
      <c r="C419">
        <f>'Lab test'!Q408</f>
        <v>71.266019882620668</v>
      </c>
      <c r="D419">
        <f>IF('Lab test'!AQ408&gt;0,'Lab test'!AQ408,NA())</f>
        <v>0.42985053500354037</v>
      </c>
      <c r="E419">
        <f>IF('Lab test'!AU408&gt;0,'Lab test'!AU408,NA())</f>
        <v>0.98899999999999999</v>
      </c>
      <c r="F419">
        <f>IF('Lab test'!AT408&gt;0,'Lab test'!AT408,NA())</f>
        <v>0.18273899613595873</v>
      </c>
      <c r="G419">
        <f t="shared" si="116"/>
        <v>1</v>
      </c>
      <c r="H419">
        <f t="shared" si="117"/>
        <v>1</v>
      </c>
      <c r="I419">
        <f t="shared" si="118"/>
        <v>1</v>
      </c>
      <c r="J419">
        <f t="shared" si="119"/>
        <v>1</v>
      </c>
      <c r="K419">
        <f t="shared" si="120"/>
        <v>1</v>
      </c>
      <c r="L419" t="str">
        <f>'Lab test'!AC408</f>
        <v>LTWa</v>
      </c>
      <c r="O419">
        <f t="shared" si="121"/>
        <v>0.98899999999999999</v>
      </c>
      <c r="P419" t="e">
        <f t="shared" si="122"/>
        <v>#N/A</v>
      </c>
      <c r="Q419" t="e">
        <f t="shared" si="123"/>
        <v>#N/A</v>
      </c>
      <c r="R419" t="e">
        <f t="shared" si="124"/>
        <v>#N/A</v>
      </c>
      <c r="S419" t="e">
        <f t="shared" si="125"/>
        <v>#N/A</v>
      </c>
      <c r="T419" t="e">
        <f t="shared" si="126"/>
        <v>#N/A</v>
      </c>
      <c r="U419" t="e">
        <f t="shared" si="127"/>
        <v>#N/A</v>
      </c>
      <c r="W419">
        <f t="shared" si="128"/>
        <v>0.18273899613595873</v>
      </c>
      <c r="X419" t="e">
        <f t="shared" si="129"/>
        <v>#N/A</v>
      </c>
      <c r="Y419" t="e">
        <f t="shared" si="130"/>
        <v>#N/A</v>
      </c>
      <c r="Z419" t="e">
        <f t="shared" si="131"/>
        <v>#N/A</v>
      </c>
      <c r="AA419" t="e">
        <f t="shared" si="132"/>
        <v>#N/A</v>
      </c>
      <c r="AB419" t="e">
        <f t="shared" si="133"/>
        <v>#N/A</v>
      </c>
      <c r="AC419" t="e">
        <f t="shared" si="134"/>
        <v>#N/A</v>
      </c>
    </row>
    <row r="420" spans="2:29">
      <c r="B420">
        <v>406</v>
      </c>
      <c r="C420">
        <f>'Lab test'!Q409</f>
        <v>71.266019882620668</v>
      </c>
      <c r="D420">
        <f>IF('Lab test'!AQ409&gt;0,'Lab test'!AQ409,NA())</f>
        <v>0.42985053500354037</v>
      </c>
      <c r="E420">
        <f>IF('Lab test'!AU409&gt;0,'Lab test'!AU409,NA())</f>
        <v>1.0089999999999999</v>
      </c>
      <c r="F420">
        <f>IF('Lab test'!AT409&gt;0,'Lab test'!AT409,NA())</f>
        <v>0.18643442578481531</v>
      </c>
      <c r="G420">
        <f t="shared" si="116"/>
        <v>1</v>
      </c>
      <c r="H420">
        <f t="shared" si="117"/>
        <v>1</v>
      </c>
      <c r="I420">
        <f t="shared" si="118"/>
        <v>1</v>
      </c>
      <c r="J420">
        <f t="shared" si="119"/>
        <v>1</v>
      </c>
      <c r="K420">
        <f t="shared" si="120"/>
        <v>1</v>
      </c>
      <c r="L420" t="str">
        <f>'Lab test'!AC409</f>
        <v>LTWa</v>
      </c>
      <c r="O420">
        <f t="shared" si="121"/>
        <v>1.0089999999999999</v>
      </c>
      <c r="P420" t="e">
        <f t="shared" si="122"/>
        <v>#N/A</v>
      </c>
      <c r="Q420" t="e">
        <f t="shared" si="123"/>
        <v>#N/A</v>
      </c>
      <c r="R420" t="e">
        <f t="shared" si="124"/>
        <v>#N/A</v>
      </c>
      <c r="S420" t="e">
        <f t="shared" si="125"/>
        <v>#N/A</v>
      </c>
      <c r="T420" t="e">
        <f t="shared" si="126"/>
        <v>#N/A</v>
      </c>
      <c r="U420" t="e">
        <f t="shared" si="127"/>
        <v>#N/A</v>
      </c>
      <c r="W420">
        <f t="shared" si="128"/>
        <v>0.18643442578481531</v>
      </c>
      <c r="X420" t="e">
        <f t="shared" si="129"/>
        <v>#N/A</v>
      </c>
      <c r="Y420" t="e">
        <f t="shared" si="130"/>
        <v>#N/A</v>
      </c>
      <c r="Z420" t="e">
        <f t="shared" si="131"/>
        <v>#N/A</v>
      </c>
      <c r="AA420" t="e">
        <f t="shared" si="132"/>
        <v>#N/A</v>
      </c>
      <c r="AB420" t="e">
        <f t="shared" si="133"/>
        <v>#N/A</v>
      </c>
      <c r="AC420" t="e">
        <f t="shared" si="134"/>
        <v>#N/A</v>
      </c>
    </row>
    <row r="421" spans="2:29">
      <c r="B421">
        <v>407</v>
      </c>
      <c r="C421">
        <f>'Lab test'!Q410</f>
        <v>75.71233047156899</v>
      </c>
      <c r="D421">
        <f>IF('Lab test'!AQ410&gt;0,'Lab test'!AQ410,NA())</f>
        <v>0.46175636279042831</v>
      </c>
      <c r="E421">
        <f>IF('Lab test'!AU410&gt;0,'Lab test'!AU410,NA())</f>
        <v>0.95099999999999996</v>
      </c>
      <c r="F421">
        <f>IF('Lab test'!AT410&gt;0,'Lab test'!AT410,NA())</f>
        <v>0.20277121058715084</v>
      </c>
      <c r="G421">
        <f t="shared" si="116"/>
        <v>1</v>
      </c>
      <c r="H421">
        <f t="shared" si="117"/>
        <v>1</v>
      </c>
      <c r="I421">
        <f t="shared" si="118"/>
        <v>1</v>
      </c>
      <c r="J421">
        <f t="shared" si="119"/>
        <v>1</v>
      </c>
      <c r="K421">
        <f t="shared" si="120"/>
        <v>1</v>
      </c>
      <c r="L421" t="str">
        <f>'Lab test'!AC410</f>
        <v>LTWa</v>
      </c>
      <c r="O421">
        <f t="shared" si="121"/>
        <v>0.95099999999999996</v>
      </c>
      <c r="P421" t="e">
        <f t="shared" si="122"/>
        <v>#N/A</v>
      </c>
      <c r="Q421" t="e">
        <f t="shared" si="123"/>
        <v>#N/A</v>
      </c>
      <c r="R421" t="e">
        <f t="shared" si="124"/>
        <v>#N/A</v>
      </c>
      <c r="S421" t="e">
        <f t="shared" si="125"/>
        <v>#N/A</v>
      </c>
      <c r="T421" t="e">
        <f t="shared" si="126"/>
        <v>#N/A</v>
      </c>
      <c r="U421" t="e">
        <f t="shared" si="127"/>
        <v>#N/A</v>
      </c>
      <c r="W421">
        <f t="shared" si="128"/>
        <v>0.20277121058715084</v>
      </c>
      <c r="X421" t="e">
        <f t="shared" si="129"/>
        <v>#N/A</v>
      </c>
      <c r="Y421" t="e">
        <f t="shared" si="130"/>
        <v>#N/A</v>
      </c>
      <c r="Z421" t="e">
        <f t="shared" si="131"/>
        <v>#N/A</v>
      </c>
      <c r="AA421" t="e">
        <f t="shared" si="132"/>
        <v>#N/A</v>
      </c>
      <c r="AB421" t="e">
        <f t="shared" si="133"/>
        <v>#N/A</v>
      </c>
      <c r="AC421" t="e">
        <f t="shared" si="134"/>
        <v>#N/A</v>
      </c>
    </row>
    <row r="422" spans="2:29">
      <c r="B422">
        <v>408</v>
      </c>
      <c r="C422">
        <f>'Lab test'!Q411</f>
        <v>105.54943541724043</v>
      </c>
      <c r="D422">
        <f>IF('Lab test'!AQ411&gt;0,'Lab test'!AQ411,NA())</f>
        <v>0.56479884407332515</v>
      </c>
      <c r="E422">
        <f>IF('Lab test'!AU411&gt;0,'Lab test'!AU411,NA())</f>
        <v>0.872</v>
      </c>
      <c r="F422">
        <f>IF('Lab test'!AT411&gt;0,'Lab test'!AT411,NA())</f>
        <v>0.27816602428044396</v>
      </c>
      <c r="G422">
        <f t="shared" si="116"/>
        <v>1</v>
      </c>
      <c r="H422">
        <f t="shared" si="117"/>
        <v>1</v>
      </c>
      <c r="I422">
        <f t="shared" si="118"/>
        <v>1</v>
      </c>
      <c r="J422">
        <f t="shared" si="119"/>
        <v>1</v>
      </c>
      <c r="K422">
        <f t="shared" si="120"/>
        <v>1</v>
      </c>
      <c r="L422" t="str">
        <f>'Lab test'!AC411</f>
        <v>LTWa</v>
      </c>
      <c r="O422">
        <f t="shared" si="121"/>
        <v>0.872</v>
      </c>
      <c r="P422" t="e">
        <f t="shared" si="122"/>
        <v>#N/A</v>
      </c>
      <c r="Q422" t="e">
        <f t="shared" si="123"/>
        <v>#N/A</v>
      </c>
      <c r="R422" t="e">
        <f t="shared" si="124"/>
        <v>#N/A</v>
      </c>
      <c r="S422" t="e">
        <f t="shared" si="125"/>
        <v>#N/A</v>
      </c>
      <c r="T422" t="e">
        <f t="shared" si="126"/>
        <v>#N/A</v>
      </c>
      <c r="U422" t="e">
        <f t="shared" si="127"/>
        <v>#N/A</v>
      </c>
      <c r="W422">
        <f t="shared" si="128"/>
        <v>0.27816602428044396</v>
      </c>
      <c r="X422" t="e">
        <f t="shared" si="129"/>
        <v>#N/A</v>
      </c>
      <c r="Y422" t="e">
        <f t="shared" si="130"/>
        <v>#N/A</v>
      </c>
      <c r="Z422" t="e">
        <f t="shared" si="131"/>
        <v>#N/A</v>
      </c>
      <c r="AA422" t="e">
        <f t="shared" si="132"/>
        <v>#N/A</v>
      </c>
      <c r="AB422" t="e">
        <f t="shared" si="133"/>
        <v>#N/A</v>
      </c>
      <c r="AC422" t="e">
        <f t="shared" si="134"/>
        <v>#N/A</v>
      </c>
    </row>
    <row r="423" spans="2:29">
      <c r="B423">
        <v>409</v>
      </c>
      <c r="C423">
        <f>'Lab test'!Q412</f>
        <v>116.89302609491835</v>
      </c>
      <c r="D423">
        <f>IF('Lab test'!AQ412&gt;0,'Lab test'!AQ412,NA())</f>
        <v>0.76898849679172598</v>
      </c>
      <c r="E423">
        <f>IF('Lab test'!AU412&gt;0,'Lab test'!AU412,NA())</f>
        <v>0.91200000000000003</v>
      </c>
      <c r="F423">
        <f>IF('Lab test'!AT412&gt;0,'Lab test'!AT412,NA())</f>
        <v>0.53930509707657448</v>
      </c>
      <c r="G423">
        <f t="shared" si="116"/>
        <v>1</v>
      </c>
      <c r="H423">
        <f t="shared" si="117"/>
        <v>1</v>
      </c>
      <c r="I423">
        <f t="shared" si="118"/>
        <v>1</v>
      </c>
      <c r="J423">
        <f t="shared" si="119"/>
        <v>1</v>
      </c>
      <c r="K423">
        <f t="shared" si="120"/>
        <v>1</v>
      </c>
      <c r="L423" t="str">
        <f>'Lab test'!AC412</f>
        <v>LTWa</v>
      </c>
      <c r="O423">
        <f t="shared" si="121"/>
        <v>0.91200000000000003</v>
      </c>
      <c r="P423" t="e">
        <f t="shared" si="122"/>
        <v>#N/A</v>
      </c>
      <c r="Q423" t="e">
        <f t="shared" si="123"/>
        <v>#N/A</v>
      </c>
      <c r="R423" t="e">
        <f t="shared" si="124"/>
        <v>#N/A</v>
      </c>
      <c r="S423" t="e">
        <f t="shared" si="125"/>
        <v>#N/A</v>
      </c>
      <c r="T423" t="e">
        <f t="shared" si="126"/>
        <v>#N/A</v>
      </c>
      <c r="U423" t="e">
        <f t="shared" si="127"/>
        <v>#N/A</v>
      </c>
      <c r="W423">
        <f t="shared" si="128"/>
        <v>0.53930509707657448</v>
      </c>
      <c r="X423" t="e">
        <f t="shared" si="129"/>
        <v>#N/A</v>
      </c>
      <c r="Y423" t="e">
        <f t="shared" si="130"/>
        <v>#N/A</v>
      </c>
      <c r="Z423" t="e">
        <f t="shared" si="131"/>
        <v>#N/A</v>
      </c>
      <c r="AA423" t="e">
        <f t="shared" si="132"/>
        <v>#N/A</v>
      </c>
      <c r="AB423" t="e">
        <f t="shared" si="133"/>
        <v>#N/A</v>
      </c>
      <c r="AC423" t="e">
        <f t="shared" si="134"/>
        <v>#N/A</v>
      </c>
    </row>
    <row r="424" spans="2:29">
      <c r="B424">
        <v>410</v>
      </c>
      <c r="C424">
        <f>'Lab test'!Q413</f>
        <v>501</v>
      </c>
      <c r="D424" t="e">
        <f>IF('Lab test'!AQ413&gt;0,'Lab test'!AQ413,NA())</f>
        <v>#N/A</v>
      </c>
      <c r="E424" t="e">
        <f>IF('Lab test'!AU413&gt;0,'Lab test'!AU413,NA())</f>
        <v>#N/A</v>
      </c>
      <c r="F424">
        <f>IF('Lab test'!AT413&gt;0,'Lab test'!AT413,NA())</f>
        <v>0.39676768308876392</v>
      </c>
      <c r="G424" t="e">
        <f t="shared" si="116"/>
        <v>#N/A</v>
      </c>
      <c r="H424" t="e">
        <f t="shared" si="117"/>
        <v>#N/A</v>
      </c>
      <c r="I424" t="e">
        <f t="shared" si="118"/>
        <v>#N/A</v>
      </c>
      <c r="J424">
        <f t="shared" si="119"/>
        <v>1</v>
      </c>
      <c r="K424">
        <f t="shared" si="120"/>
        <v>1</v>
      </c>
      <c r="L424" t="str">
        <f>'Lab test'!AC413</f>
        <v>LTWa</v>
      </c>
      <c r="O424" t="e">
        <f t="shared" si="121"/>
        <v>#N/A</v>
      </c>
      <c r="P424" t="e">
        <f t="shared" si="122"/>
        <v>#N/A</v>
      </c>
      <c r="Q424" t="e">
        <f t="shared" si="123"/>
        <v>#N/A</v>
      </c>
      <c r="R424" t="e">
        <f t="shared" si="124"/>
        <v>#N/A</v>
      </c>
      <c r="S424" t="e">
        <f t="shared" si="125"/>
        <v>#N/A</v>
      </c>
      <c r="T424" t="e">
        <f t="shared" si="126"/>
        <v>#N/A</v>
      </c>
      <c r="U424" t="e">
        <f t="shared" si="127"/>
        <v>#N/A</v>
      </c>
      <c r="W424">
        <f t="shared" si="128"/>
        <v>0.39676768308876392</v>
      </c>
      <c r="X424" t="e">
        <f t="shared" si="129"/>
        <v>#N/A</v>
      </c>
      <c r="Y424" t="e">
        <f t="shared" si="130"/>
        <v>#N/A</v>
      </c>
      <c r="Z424" t="e">
        <f t="shared" si="131"/>
        <v>#N/A</v>
      </c>
      <c r="AA424" t="e">
        <f t="shared" si="132"/>
        <v>#N/A</v>
      </c>
      <c r="AB424" t="e">
        <f t="shared" si="133"/>
        <v>#N/A</v>
      </c>
      <c r="AC424" t="e">
        <f t="shared" si="134"/>
        <v>#N/A</v>
      </c>
    </row>
    <row r="425" spans="2:29">
      <c r="B425">
        <v>411</v>
      </c>
      <c r="C425">
        <f>'Lab test'!Q414</f>
        <v>496</v>
      </c>
      <c r="D425" t="e">
        <f>IF('Lab test'!AQ414&gt;0,'Lab test'!AQ414,NA())</f>
        <v>#N/A</v>
      </c>
      <c r="E425" t="e">
        <f>IF('Lab test'!AU414&gt;0,'Lab test'!AU414,NA())</f>
        <v>#N/A</v>
      </c>
      <c r="F425">
        <f>IF('Lab test'!AT414&gt;0,'Lab test'!AT414,NA())</f>
        <v>0.37033167311551884</v>
      </c>
      <c r="G425" t="e">
        <f t="shared" si="116"/>
        <v>#N/A</v>
      </c>
      <c r="H425" t="e">
        <f t="shared" si="117"/>
        <v>#N/A</v>
      </c>
      <c r="I425" t="e">
        <f t="shared" si="118"/>
        <v>#N/A</v>
      </c>
      <c r="J425">
        <f t="shared" si="119"/>
        <v>1</v>
      </c>
      <c r="K425">
        <f t="shared" si="120"/>
        <v>1</v>
      </c>
      <c r="L425" t="str">
        <f>'Lab test'!AC414</f>
        <v>LTWa</v>
      </c>
      <c r="O425" t="e">
        <f t="shared" si="121"/>
        <v>#N/A</v>
      </c>
      <c r="P425" t="e">
        <f t="shared" si="122"/>
        <v>#N/A</v>
      </c>
      <c r="Q425" t="e">
        <f t="shared" si="123"/>
        <v>#N/A</v>
      </c>
      <c r="R425" t="e">
        <f t="shared" si="124"/>
        <v>#N/A</v>
      </c>
      <c r="S425" t="e">
        <f t="shared" si="125"/>
        <v>#N/A</v>
      </c>
      <c r="T425" t="e">
        <f t="shared" si="126"/>
        <v>#N/A</v>
      </c>
      <c r="U425" t="e">
        <f t="shared" si="127"/>
        <v>#N/A</v>
      </c>
      <c r="W425">
        <f t="shared" si="128"/>
        <v>0.37033167311551884</v>
      </c>
      <c r="X425" t="e">
        <f t="shared" si="129"/>
        <v>#N/A</v>
      </c>
      <c r="Y425" t="e">
        <f t="shared" si="130"/>
        <v>#N/A</v>
      </c>
      <c r="Z425" t="e">
        <f t="shared" si="131"/>
        <v>#N/A</v>
      </c>
      <c r="AA425" t="e">
        <f t="shared" si="132"/>
        <v>#N/A</v>
      </c>
      <c r="AB425" t="e">
        <f t="shared" si="133"/>
        <v>#N/A</v>
      </c>
      <c r="AC425" t="e">
        <f t="shared" si="134"/>
        <v>#N/A</v>
      </c>
    </row>
    <row r="426" spans="2:29">
      <c r="B426">
        <v>412</v>
      </c>
      <c r="C426">
        <f>'Lab test'!Q415</f>
        <v>501</v>
      </c>
      <c r="D426" t="e">
        <f>IF('Lab test'!AQ415&gt;0,'Lab test'!AQ415,NA())</f>
        <v>#N/A</v>
      </c>
      <c r="E426" t="e">
        <f>IF('Lab test'!AU415&gt;0,'Lab test'!AU415,NA())</f>
        <v>#N/A</v>
      </c>
      <c r="F426">
        <f>IF('Lab test'!AT415&gt;0,'Lab test'!AT415,NA())</f>
        <v>0.55795464324285493</v>
      </c>
      <c r="G426" t="e">
        <f t="shared" si="116"/>
        <v>#N/A</v>
      </c>
      <c r="H426" t="e">
        <f t="shared" si="117"/>
        <v>#N/A</v>
      </c>
      <c r="I426" t="e">
        <f t="shared" si="118"/>
        <v>#N/A</v>
      </c>
      <c r="J426">
        <f t="shared" si="119"/>
        <v>1</v>
      </c>
      <c r="K426">
        <f t="shared" si="120"/>
        <v>1</v>
      </c>
      <c r="L426" t="str">
        <f>'Lab test'!AC415</f>
        <v>LTWa</v>
      </c>
      <c r="O426" t="e">
        <f t="shared" si="121"/>
        <v>#N/A</v>
      </c>
      <c r="P426" t="e">
        <f t="shared" si="122"/>
        <v>#N/A</v>
      </c>
      <c r="Q426" t="e">
        <f t="shared" si="123"/>
        <v>#N/A</v>
      </c>
      <c r="R426" t="e">
        <f t="shared" si="124"/>
        <v>#N/A</v>
      </c>
      <c r="S426" t="e">
        <f t="shared" si="125"/>
        <v>#N/A</v>
      </c>
      <c r="T426" t="e">
        <f t="shared" si="126"/>
        <v>#N/A</v>
      </c>
      <c r="U426" t="e">
        <f t="shared" si="127"/>
        <v>#N/A</v>
      </c>
      <c r="W426">
        <f t="shared" si="128"/>
        <v>0.55795464324285493</v>
      </c>
      <c r="X426" t="e">
        <f t="shared" si="129"/>
        <v>#N/A</v>
      </c>
      <c r="Y426" t="e">
        <f t="shared" si="130"/>
        <v>#N/A</v>
      </c>
      <c r="Z426" t="e">
        <f t="shared" si="131"/>
        <v>#N/A</v>
      </c>
      <c r="AA426" t="e">
        <f t="shared" si="132"/>
        <v>#N/A</v>
      </c>
      <c r="AB426" t="e">
        <f t="shared" si="133"/>
        <v>#N/A</v>
      </c>
      <c r="AC426" t="e">
        <f t="shared" si="134"/>
        <v>#N/A</v>
      </c>
    </row>
    <row r="427" spans="2:29">
      <c r="B427">
        <v>413</v>
      </c>
      <c r="C427">
        <f>'Lab test'!Q416</f>
        <v>511</v>
      </c>
      <c r="D427" t="e">
        <f>IF('Lab test'!AQ416&gt;0,'Lab test'!AQ416,NA())</f>
        <v>#N/A</v>
      </c>
      <c r="E427" t="e">
        <f>IF('Lab test'!AU416&gt;0,'Lab test'!AU416,NA())</f>
        <v>#N/A</v>
      </c>
      <c r="F427">
        <f>IF('Lab test'!AT416&gt;0,'Lab test'!AT416,NA())</f>
        <v>0.47116176195567699</v>
      </c>
      <c r="G427" t="e">
        <f t="shared" si="116"/>
        <v>#N/A</v>
      </c>
      <c r="H427" t="e">
        <f t="shared" si="117"/>
        <v>#N/A</v>
      </c>
      <c r="I427" t="e">
        <f t="shared" si="118"/>
        <v>#N/A</v>
      </c>
      <c r="J427">
        <f t="shared" si="119"/>
        <v>1</v>
      </c>
      <c r="K427">
        <f t="shared" si="120"/>
        <v>1</v>
      </c>
      <c r="L427" t="str">
        <f>'Lab test'!AC416</f>
        <v>LTWa</v>
      </c>
      <c r="O427" t="e">
        <f t="shared" si="121"/>
        <v>#N/A</v>
      </c>
      <c r="P427" t="e">
        <f t="shared" si="122"/>
        <v>#N/A</v>
      </c>
      <c r="Q427" t="e">
        <f t="shared" si="123"/>
        <v>#N/A</v>
      </c>
      <c r="R427" t="e">
        <f t="shared" si="124"/>
        <v>#N/A</v>
      </c>
      <c r="S427" t="e">
        <f t="shared" si="125"/>
        <v>#N/A</v>
      </c>
      <c r="T427" t="e">
        <f t="shared" si="126"/>
        <v>#N/A</v>
      </c>
      <c r="U427" t="e">
        <f t="shared" si="127"/>
        <v>#N/A</v>
      </c>
      <c r="W427">
        <f t="shared" si="128"/>
        <v>0.47116176195567699</v>
      </c>
      <c r="X427" t="e">
        <f t="shared" si="129"/>
        <v>#N/A</v>
      </c>
      <c r="Y427" t="e">
        <f t="shared" si="130"/>
        <v>#N/A</v>
      </c>
      <c r="Z427" t="e">
        <f t="shared" si="131"/>
        <v>#N/A</v>
      </c>
      <c r="AA427" t="e">
        <f t="shared" si="132"/>
        <v>#N/A</v>
      </c>
      <c r="AB427" t="e">
        <f t="shared" si="133"/>
        <v>#N/A</v>
      </c>
      <c r="AC427" t="e">
        <f t="shared" si="134"/>
        <v>#N/A</v>
      </c>
    </row>
    <row r="428" spans="2:29">
      <c r="B428">
        <v>414</v>
      </c>
      <c r="C428">
        <f>'Lab test'!Q417</f>
        <v>496</v>
      </c>
      <c r="D428" t="e">
        <f>IF('Lab test'!AQ417&gt;0,'Lab test'!AQ417,NA())</f>
        <v>#N/A</v>
      </c>
      <c r="E428" t="e">
        <f>IF('Lab test'!AU417&gt;0,'Lab test'!AU417,NA())</f>
        <v>#N/A</v>
      </c>
      <c r="F428">
        <f>IF('Lab test'!AT417&gt;0,'Lab test'!AT417,NA())</f>
        <v>0.83900341109296039</v>
      </c>
      <c r="G428" t="e">
        <f t="shared" si="116"/>
        <v>#N/A</v>
      </c>
      <c r="H428" t="e">
        <f t="shared" si="117"/>
        <v>#N/A</v>
      </c>
      <c r="I428" t="e">
        <f t="shared" si="118"/>
        <v>#N/A</v>
      </c>
      <c r="J428">
        <f t="shared" si="119"/>
        <v>1</v>
      </c>
      <c r="K428">
        <f t="shared" si="120"/>
        <v>1</v>
      </c>
      <c r="L428" t="str">
        <f>'Lab test'!AC417</f>
        <v>LTWa</v>
      </c>
      <c r="O428" t="e">
        <f t="shared" si="121"/>
        <v>#N/A</v>
      </c>
      <c r="P428" t="e">
        <f t="shared" si="122"/>
        <v>#N/A</v>
      </c>
      <c r="Q428" t="e">
        <f t="shared" si="123"/>
        <v>#N/A</v>
      </c>
      <c r="R428" t="e">
        <f t="shared" si="124"/>
        <v>#N/A</v>
      </c>
      <c r="S428" t="e">
        <f t="shared" si="125"/>
        <v>#N/A</v>
      </c>
      <c r="T428" t="e">
        <f t="shared" si="126"/>
        <v>#N/A</v>
      </c>
      <c r="U428" t="e">
        <f t="shared" si="127"/>
        <v>#N/A</v>
      </c>
      <c r="W428">
        <f t="shared" si="128"/>
        <v>0.83900341109296039</v>
      </c>
      <c r="X428" t="e">
        <f t="shared" si="129"/>
        <v>#N/A</v>
      </c>
      <c r="Y428" t="e">
        <f t="shared" si="130"/>
        <v>#N/A</v>
      </c>
      <c r="Z428" t="e">
        <f t="shared" si="131"/>
        <v>#N/A</v>
      </c>
      <c r="AA428" t="e">
        <f t="shared" si="132"/>
        <v>#N/A</v>
      </c>
      <c r="AB428" t="e">
        <f t="shared" si="133"/>
        <v>#N/A</v>
      </c>
      <c r="AC428" t="e">
        <f t="shared" si="134"/>
        <v>#N/A</v>
      </c>
    </row>
    <row r="429" spans="2:29">
      <c r="B429">
        <v>415</v>
      </c>
      <c r="C429">
        <f>'Lab test'!Q418</f>
        <v>496</v>
      </c>
      <c r="D429" t="e">
        <f>IF('Lab test'!AQ418&gt;0,'Lab test'!AQ418,NA())</f>
        <v>#N/A</v>
      </c>
      <c r="E429" t="e">
        <f>IF('Lab test'!AU418&gt;0,'Lab test'!AU418,NA())</f>
        <v>#N/A</v>
      </c>
      <c r="F429">
        <f>IF('Lab test'!AT418&gt;0,'Lab test'!AT418,NA())</f>
        <v>0.80734306339192341</v>
      </c>
      <c r="G429" t="e">
        <f t="shared" si="116"/>
        <v>#N/A</v>
      </c>
      <c r="H429" t="e">
        <f t="shared" si="117"/>
        <v>#N/A</v>
      </c>
      <c r="I429" t="e">
        <f t="shared" si="118"/>
        <v>#N/A</v>
      </c>
      <c r="J429">
        <f t="shared" si="119"/>
        <v>1</v>
      </c>
      <c r="K429">
        <f t="shared" si="120"/>
        <v>1</v>
      </c>
      <c r="L429" t="str">
        <f>'Lab test'!AC418</f>
        <v>LTWa</v>
      </c>
      <c r="O429" t="e">
        <f t="shared" si="121"/>
        <v>#N/A</v>
      </c>
      <c r="P429" t="e">
        <f t="shared" si="122"/>
        <v>#N/A</v>
      </c>
      <c r="Q429" t="e">
        <f t="shared" si="123"/>
        <v>#N/A</v>
      </c>
      <c r="R429" t="e">
        <f t="shared" si="124"/>
        <v>#N/A</v>
      </c>
      <c r="S429" t="e">
        <f t="shared" si="125"/>
        <v>#N/A</v>
      </c>
      <c r="T429" t="e">
        <f t="shared" si="126"/>
        <v>#N/A</v>
      </c>
      <c r="U429" t="e">
        <f t="shared" si="127"/>
        <v>#N/A</v>
      </c>
      <c r="W429">
        <f t="shared" si="128"/>
        <v>0.80734306339192341</v>
      </c>
      <c r="X429" t="e">
        <f t="shared" si="129"/>
        <v>#N/A</v>
      </c>
      <c r="Y429" t="e">
        <f t="shared" si="130"/>
        <v>#N/A</v>
      </c>
      <c r="Z429" t="e">
        <f t="shared" si="131"/>
        <v>#N/A</v>
      </c>
      <c r="AA429" t="e">
        <f t="shared" si="132"/>
        <v>#N/A</v>
      </c>
      <c r="AB429" t="e">
        <f t="shared" si="133"/>
        <v>#N/A</v>
      </c>
      <c r="AC429" t="e">
        <f t="shared" si="134"/>
        <v>#N/A</v>
      </c>
    </row>
    <row r="430" spans="2:29">
      <c r="B430">
        <v>416</v>
      </c>
      <c r="C430">
        <f>'Lab test'!Q419</f>
        <v>24.5</v>
      </c>
      <c r="D430">
        <f>IF('Lab test'!AQ419&gt;0,'Lab test'!AQ419,NA())</f>
        <v>0.26343004554493188</v>
      </c>
      <c r="E430">
        <f>IF('Lab test'!AU419&gt;0,'Lab test'!AU419,NA())</f>
        <v>0.93832837067054176</v>
      </c>
      <c r="F430">
        <f>IF('Lab test'!AT419&gt;0,'Lab test'!AT419,NA())</f>
        <v>6.5115662194649218E-2</v>
      </c>
      <c r="G430">
        <f t="shared" si="116"/>
        <v>1</v>
      </c>
      <c r="H430">
        <f t="shared" si="117"/>
        <v>1</v>
      </c>
      <c r="I430">
        <f t="shared" si="118"/>
        <v>1</v>
      </c>
      <c r="J430">
        <f t="shared" si="119"/>
        <v>1</v>
      </c>
      <c r="K430">
        <f t="shared" si="120"/>
        <v>1</v>
      </c>
      <c r="L430" t="str">
        <f>'Lab test'!AC419</f>
        <v>LTWa</v>
      </c>
      <c r="O430">
        <f t="shared" si="121"/>
        <v>0.93832837067054176</v>
      </c>
      <c r="P430" t="e">
        <f t="shared" si="122"/>
        <v>#N/A</v>
      </c>
      <c r="Q430" t="e">
        <f t="shared" si="123"/>
        <v>#N/A</v>
      </c>
      <c r="R430" t="e">
        <f t="shared" si="124"/>
        <v>#N/A</v>
      </c>
      <c r="S430" t="e">
        <f t="shared" si="125"/>
        <v>#N/A</v>
      </c>
      <c r="T430" t="e">
        <f t="shared" si="126"/>
        <v>#N/A</v>
      </c>
      <c r="U430" t="e">
        <f t="shared" si="127"/>
        <v>#N/A</v>
      </c>
      <c r="W430">
        <f t="shared" si="128"/>
        <v>6.5115662194649218E-2</v>
      </c>
      <c r="X430" t="e">
        <f t="shared" si="129"/>
        <v>#N/A</v>
      </c>
      <c r="Y430" t="e">
        <f t="shared" si="130"/>
        <v>#N/A</v>
      </c>
      <c r="Z430" t="e">
        <f t="shared" si="131"/>
        <v>#N/A</v>
      </c>
      <c r="AA430" t="e">
        <f t="shared" si="132"/>
        <v>#N/A</v>
      </c>
      <c r="AB430" t="e">
        <f t="shared" si="133"/>
        <v>#N/A</v>
      </c>
      <c r="AC430" t="e">
        <f t="shared" si="134"/>
        <v>#N/A</v>
      </c>
    </row>
    <row r="431" spans="2:29">
      <c r="B431">
        <v>417</v>
      </c>
      <c r="C431">
        <f>'Lab test'!Q420</f>
        <v>42.7</v>
      </c>
      <c r="D431">
        <f>IF('Lab test'!AQ420&gt;0,'Lab test'!AQ420,NA())</f>
        <v>0.3477555666755387</v>
      </c>
      <c r="E431">
        <f>IF('Lab test'!AU420&gt;0,'Lab test'!AU420,NA())</f>
        <v>0.78687246647398568</v>
      </c>
      <c r="F431">
        <f>IF('Lab test'!AT420&gt;0,'Lab test'!AT420,NA())</f>
        <v>9.5159583048022869E-2</v>
      </c>
      <c r="G431">
        <f t="shared" si="116"/>
        <v>1</v>
      </c>
      <c r="H431">
        <f t="shared" si="117"/>
        <v>1</v>
      </c>
      <c r="I431">
        <f t="shared" si="118"/>
        <v>1</v>
      </c>
      <c r="J431">
        <f t="shared" si="119"/>
        <v>1</v>
      </c>
      <c r="K431">
        <f t="shared" si="120"/>
        <v>1</v>
      </c>
      <c r="L431" t="str">
        <f>'Lab test'!AC420</f>
        <v>LTWa</v>
      </c>
      <c r="O431">
        <f t="shared" si="121"/>
        <v>0.78687246647398568</v>
      </c>
      <c r="P431" t="e">
        <f t="shared" si="122"/>
        <v>#N/A</v>
      </c>
      <c r="Q431" t="e">
        <f t="shared" si="123"/>
        <v>#N/A</v>
      </c>
      <c r="R431" t="e">
        <f t="shared" si="124"/>
        <v>#N/A</v>
      </c>
      <c r="S431" t="e">
        <f t="shared" si="125"/>
        <v>#N/A</v>
      </c>
      <c r="T431" t="e">
        <f t="shared" si="126"/>
        <v>#N/A</v>
      </c>
      <c r="U431" t="e">
        <f t="shared" si="127"/>
        <v>#N/A</v>
      </c>
      <c r="W431">
        <f t="shared" si="128"/>
        <v>9.5159583048022869E-2</v>
      </c>
      <c r="X431" t="e">
        <f t="shared" si="129"/>
        <v>#N/A</v>
      </c>
      <c r="Y431" t="e">
        <f t="shared" si="130"/>
        <v>#N/A</v>
      </c>
      <c r="Z431" t="e">
        <f t="shared" si="131"/>
        <v>#N/A</v>
      </c>
      <c r="AA431" t="e">
        <f t="shared" si="132"/>
        <v>#N/A</v>
      </c>
      <c r="AB431" t="e">
        <f t="shared" si="133"/>
        <v>#N/A</v>
      </c>
      <c r="AC431" t="e">
        <f t="shared" si="134"/>
        <v>#N/A</v>
      </c>
    </row>
    <row r="432" spans="2:29">
      <c r="B432">
        <v>418</v>
      </c>
      <c r="C432">
        <f>'Lab test'!Q421</f>
        <v>97.3</v>
      </c>
      <c r="D432">
        <f>IF('Lab test'!AQ421&gt;0,'Lab test'!AQ421,NA())</f>
        <v>0.52524477786217494</v>
      </c>
      <c r="E432">
        <f>IF('Lab test'!AU421&gt;0,'Lab test'!AU421,NA())</f>
        <v>0.6899256031818416</v>
      </c>
      <c r="F432">
        <f>IF('Lab test'!AT421&gt;0,'Lab test'!AT421,NA())</f>
        <v>0.1903381081546337</v>
      </c>
      <c r="G432">
        <f t="shared" si="116"/>
        <v>1</v>
      </c>
      <c r="H432">
        <f t="shared" si="117"/>
        <v>1</v>
      </c>
      <c r="I432">
        <f t="shared" si="118"/>
        <v>1</v>
      </c>
      <c r="J432">
        <f t="shared" si="119"/>
        <v>1</v>
      </c>
      <c r="K432">
        <f t="shared" si="120"/>
        <v>1</v>
      </c>
      <c r="L432" t="str">
        <f>'Lab test'!AC421</f>
        <v>LTWa</v>
      </c>
      <c r="O432">
        <f t="shared" si="121"/>
        <v>0.6899256031818416</v>
      </c>
      <c r="P432" t="e">
        <f t="shared" si="122"/>
        <v>#N/A</v>
      </c>
      <c r="Q432" t="e">
        <f t="shared" si="123"/>
        <v>#N/A</v>
      </c>
      <c r="R432" t="e">
        <f t="shared" si="124"/>
        <v>#N/A</v>
      </c>
      <c r="S432" t="e">
        <f t="shared" si="125"/>
        <v>#N/A</v>
      </c>
      <c r="T432" t="e">
        <f t="shared" si="126"/>
        <v>#N/A</v>
      </c>
      <c r="U432" t="e">
        <f t="shared" si="127"/>
        <v>#N/A</v>
      </c>
      <c r="W432">
        <f t="shared" si="128"/>
        <v>0.1903381081546337</v>
      </c>
      <c r="X432" t="e">
        <f t="shared" si="129"/>
        <v>#N/A</v>
      </c>
      <c r="Y432" t="e">
        <f t="shared" si="130"/>
        <v>#N/A</v>
      </c>
      <c r="Z432" t="e">
        <f t="shared" si="131"/>
        <v>#N/A</v>
      </c>
      <c r="AA432" t="e">
        <f t="shared" si="132"/>
        <v>#N/A</v>
      </c>
      <c r="AB432" t="e">
        <f t="shared" si="133"/>
        <v>#N/A</v>
      </c>
      <c r="AC432" t="e">
        <f t="shared" si="134"/>
        <v>#N/A</v>
      </c>
    </row>
    <row r="433" spans="2:29">
      <c r="B433">
        <v>419</v>
      </c>
      <c r="C433">
        <f>'Lab test'!Q422</f>
        <v>91.5</v>
      </c>
      <c r="D433">
        <f>IF('Lab test'!AQ422&gt;0,'Lab test'!AQ422,NA())</f>
        <v>0.50911418700127697</v>
      </c>
      <c r="E433">
        <f>IF('Lab test'!AU422&gt;0,'Lab test'!AU422,NA())</f>
        <v>1.0233330653028985</v>
      </c>
      <c r="F433">
        <f>IF('Lab test'!AT422&gt;0,'Lab test'!AT422,NA())</f>
        <v>0.26524512189269084</v>
      </c>
      <c r="G433">
        <f t="shared" si="116"/>
        <v>1</v>
      </c>
      <c r="H433">
        <f t="shared" si="117"/>
        <v>1</v>
      </c>
      <c r="I433">
        <f t="shared" si="118"/>
        <v>1</v>
      </c>
      <c r="J433">
        <f t="shared" si="119"/>
        <v>1</v>
      </c>
      <c r="K433">
        <f t="shared" si="120"/>
        <v>1</v>
      </c>
      <c r="L433" t="str">
        <f>'Lab test'!AC422</f>
        <v>LTWa</v>
      </c>
      <c r="O433">
        <f t="shared" si="121"/>
        <v>1.0233330653028985</v>
      </c>
      <c r="P433" t="e">
        <f t="shared" si="122"/>
        <v>#N/A</v>
      </c>
      <c r="Q433" t="e">
        <f t="shared" si="123"/>
        <v>#N/A</v>
      </c>
      <c r="R433" t="e">
        <f t="shared" si="124"/>
        <v>#N/A</v>
      </c>
      <c r="S433" t="e">
        <f t="shared" si="125"/>
        <v>#N/A</v>
      </c>
      <c r="T433" t="e">
        <f t="shared" si="126"/>
        <v>#N/A</v>
      </c>
      <c r="U433" t="e">
        <f t="shared" si="127"/>
        <v>#N/A</v>
      </c>
      <c r="W433">
        <f t="shared" si="128"/>
        <v>0.26524512189269084</v>
      </c>
      <c r="X433" t="e">
        <f t="shared" si="129"/>
        <v>#N/A</v>
      </c>
      <c r="Y433" t="e">
        <f t="shared" si="130"/>
        <v>#N/A</v>
      </c>
      <c r="Z433" t="e">
        <f t="shared" si="131"/>
        <v>#N/A</v>
      </c>
      <c r="AA433" t="e">
        <f t="shared" si="132"/>
        <v>#N/A</v>
      </c>
      <c r="AB433" t="e">
        <f t="shared" si="133"/>
        <v>#N/A</v>
      </c>
      <c r="AC433" t="e">
        <f t="shared" si="134"/>
        <v>#N/A</v>
      </c>
    </row>
    <row r="434" spans="2:29">
      <c r="B434">
        <v>420</v>
      </c>
      <c r="C434">
        <f>'Lab test'!Q423</f>
        <v>99</v>
      </c>
      <c r="D434">
        <f>IF('Lab test'!AQ423&gt;0,'Lab test'!AQ423,NA())</f>
        <v>0.53114357696186398</v>
      </c>
      <c r="E434">
        <f>IF('Lab test'!AU423&gt;0,'Lab test'!AU423,NA())</f>
        <v>0.85223530437427208</v>
      </c>
      <c r="F434">
        <f>IF('Lab test'!AT423&gt;0,'Lab test'!AT423,NA())</f>
        <v>0.24042708398480042</v>
      </c>
      <c r="G434">
        <f t="shared" si="116"/>
        <v>1</v>
      </c>
      <c r="H434">
        <f t="shared" si="117"/>
        <v>1</v>
      </c>
      <c r="I434">
        <f t="shared" si="118"/>
        <v>1</v>
      </c>
      <c r="J434">
        <f t="shared" si="119"/>
        <v>1</v>
      </c>
      <c r="K434">
        <f t="shared" si="120"/>
        <v>1</v>
      </c>
      <c r="L434" t="str">
        <f>'Lab test'!AC423</f>
        <v>LTWa</v>
      </c>
      <c r="O434">
        <f t="shared" si="121"/>
        <v>0.85223530437427208</v>
      </c>
      <c r="P434" t="e">
        <f t="shared" si="122"/>
        <v>#N/A</v>
      </c>
      <c r="Q434" t="e">
        <f t="shared" si="123"/>
        <v>#N/A</v>
      </c>
      <c r="R434" t="e">
        <f t="shared" si="124"/>
        <v>#N/A</v>
      </c>
      <c r="S434" t="e">
        <f t="shared" si="125"/>
        <v>#N/A</v>
      </c>
      <c r="T434" t="e">
        <f t="shared" si="126"/>
        <v>#N/A</v>
      </c>
      <c r="U434" t="e">
        <f t="shared" si="127"/>
        <v>#N/A</v>
      </c>
      <c r="W434">
        <f t="shared" si="128"/>
        <v>0.24042708398480042</v>
      </c>
      <c r="X434" t="e">
        <f t="shared" si="129"/>
        <v>#N/A</v>
      </c>
      <c r="Y434" t="e">
        <f t="shared" si="130"/>
        <v>#N/A</v>
      </c>
      <c r="Z434" t="e">
        <f t="shared" si="131"/>
        <v>#N/A</v>
      </c>
      <c r="AA434" t="e">
        <f t="shared" si="132"/>
        <v>#N/A</v>
      </c>
      <c r="AB434" t="e">
        <f t="shared" si="133"/>
        <v>#N/A</v>
      </c>
      <c r="AC434" t="e">
        <f t="shared" si="134"/>
        <v>#N/A</v>
      </c>
    </row>
    <row r="435" spans="2:29">
      <c r="B435">
        <v>421</v>
      </c>
      <c r="C435">
        <f>'Lab test'!Q424</f>
        <v>162</v>
      </c>
      <c r="D435">
        <f>IF('Lab test'!AQ424&gt;0,'Lab test'!AQ424,NA())</f>
        <v>0.67669428194511583</v>
      </c>
      <c r="E435">
        <f>IF('Lab test'!AU424&gt;0,'Lab test'!AU424,NA())</f>
        <v>0.79607846928771109</v>
      </c>
      <c r="F435">
        <f>IF('Lab test'!AT424&gt;0,'Lab test'!AT424,NA())</f>
        <v>0.36453639264465204</v>
      </c>
      <c r="G435">
        <f t="shared" si="116"/>
        <v>1</v>
      </c>
      <c r="H435">
        <f t="shared" si="117"/>
        <v>1</v>
      </c>
      <c r="I435">
        <f t="shared" si="118"/>
        <v>1</v>
      </c>
      <c r="J435">
        <f t="shared" si="119"/>
        <v>1</v>
      </c>
      <c r="K435">
        <f t="shared" si="120"/>
        <v>1</v>
      </c>
      <c r="L435" t="str">
        <f>'Lab test'!AC424</f>
        <v>LTWa</v>
      </c>
      <c r="O435">
        <f t="shared" si="121"/>
        <v>0.79607846928771109</v>
      </c>
      <c r="P435" t="e">
        <f t="shared" si="122"/>
        <v>#N/A</v>
      </c>
      <c r="Q435" t="e">
        <f t="shared" si="123"/>
        <v>#N/A</v>
      </c>
      <c r="R435" t="e">
        <f t="shared" si="124"/>
        <v>#N/A</v>
      </c>
      <c r="S435" t="e">
        <f t="shared" si="125"/>
        <v>#N/A</v>
      </c>
      <c r="T435" t="e">
        <f t="shared" si="126"/>
        <v>#N/A</v>
      </c>
      <c r="U435" t="e">
        <f t="shared" si="127"/>
        <v>#N/A</v>
      </c>
      <c r="W435">
        <f t="shared" si="128"/>
        <v>0.36453639264465204</v>
      </c>
      <c r="X435" t="e">
        <f t="shared" si="129"/>
        <v>#N/A</v>
      </c>
      <c r="Y435" t="e">
        <f t="shared" si="130"/>
        <v>#N/A</v>
      </c>
      <c r="Z435" t="e">
        <f t="shared" si="131"/>
        <v>#N/A</v>
      </c>
      <c r="AA435" t="e">
        <f t="shared" si="132"/>
        <v>#N/A</v>
      </c>
      <c r="AB435" t="e">
        <f t="shared" si="133"/>
        <v>#N/A</v>
      </c>
      <c r="AC435" t="e">
        <f t="shared" si="134"/>
        <v>#N/A</v>
      </c>
    </row>
    <row r="436" spans="2:29">
      <c r="B436">
        <v>422</v>
      </c>
      <c r="C436">
        <f>'Lab test'!Q425</f>
        <v>117</v>
      </c>
      <c r="D436">
        <f>IF('Lab test'!AQ425&gt;0,'Lab test'!AQ425,NA())</f>
        <v>0.4693642741959001</v>
      </c>
      <c r="E436">
        <f>IF('Lab test'!AU425&gt;0,'Lab test'!AU425,NA())</f>
        <v>1.1494521735689953</v>
      </c>
      <c r="F436">
        <f>IF('Lab test'!AT425&gt;0,'Lab test'!AT425,NA())</f>
        <v>0.25322755746650366</v>
      </c>
      <c r="G436">
        <f t="shared" si="116"/>
        <v>1</v>
      </c>
      <c r="H436">
        <f t="shared" si="117"/>
        <v>1</v>
      </c>
      <c r="I436">
        <f t="shared" si="118"/>
        <v>1</v>
      </c>
      <c r="J436">
        <f t="shared" si="119"/>
        <v>1</v>
      </c>
      <c r="K436">
        <f t="shared" si="120"/>
        <v>1</v>
      </c>
      <c r="L436" t="str">
        <f>'Lab test'!AC425</f>
        <v>LTWa</v>
      </c>
      <c r="O436">
        <f t="shared" si="121"/>
        <v>1.1494521735689953</v>
      </c>
      <c r="P436" t="e">
        <f t="shared" si="122"/>
        <v>#N/A</v>
      </c>
      <c r="Q436" t="e">
        <f t="shared" si="123"/>
        <v>#N/A</v>
      </c>
      <c r="R436" t="e">
        <f t="shared" si="124"/>
        <v>#N/A</v>
      </c>
      <c r="S436" t="e">
        <f t="shared" si="125"/>
        <v>#N/A</v>
      </c>
      <c r="T436" t="e">
        <f t="shared" si="126"/>
        <v>#N/A</v>
      </c>
      <c r="U436" t="e">
        <f t="shared" si="127"/>
        <v>#N/A</v>
      </c>
      <c r="W436">
        <f t="shared" si="128"/>
        <v>0.25322755746650366</v>
      </c>
      <c r="X436" t="e">
        <f t="shared" si="129"/>
        <v>#N/A</v>
      </c>
      <c r="Y436" t="e">
        <f t="shared" si="130"/>
        <v>#N/A</v>
      </c>
      <c r="Z436" t="e">
        <f t="shared" si="131"/>
        <v>#N/A</v>
      </c>
      <c r="AA436" t="e">
        <f t="shared" si="132"/>
        <v>#N/A</v>
      </c>
      <c r="AB436" t="e">
        <f t="shared" si="133"/>
        <v>#N/A</v>
      </c>
      <c r="AC436" t="e">
        <f t="shared" si="134"/>
        <v>#N/A</v>
      </c>
    </row>
    <row r="437" spans="2:29">
      <c r="B437">
        <v>423</v>
      </c>
      <c r="C437">
        <f>'Lab test'!Q426</f>
        <v>150</v>
      </c>
      <c r="D437">
        <f>IF('Lab test'!AQ426&gt;0,'Lab test'!AQ426,NA())</f>
        <v>0.57485148763586424</v>
      </c>
      <c r="E437">
        <f>IF('Lab test'!AU426&gt;0,'Lab test'!AU426,NA())</f>
        <v>0.84503697907040565</v>
      </c>
      <c r="F437">
        <f>IF('Lab test'!AT426&gt;0,'Lab test'!AT426,NA())</f>
        <v>0.27924604663774732</v>
      </c>
      <c r="G437">
        <f t="shared" si="116"/>
        <v>1</v>
      </c>
      <c r="H437">
        <f t="shared" si="117"/>
        <v>1</v>
      </c>
      <c r="I437">
        <f t="shared" si="118"/>
        <v>1</v>
      </c>
      <c r="J437">
        <f t="shared" si="119"/>
        <v>1</v>
      </c>
      <c r="K437">
        <f t="shared" si="120"/>
        <v>1</v>
      </c>
      <c r="L437" t="str">
        <f>'Lab test'!AC426</f>
        <v>LTWa</v>
      </c>
      <c r="O437">
        <f t="shared" si="121"/>
        <v>0.84503697907040565</v>
      </c>
      <c r="P437" t="e">
        <f t="shared" si="122"/>
        <v>#N/A</v>
      </c>
      <c r="Q437" t="e">
        <f t="shared" si="123"/>
        <v>#N/A</v>
      </c>
      <c r="R437" t="e">
        <f t="shared" si="124"/>
        <v>#N/A</v>
      </c>
      <c r="S437" t="e">
        <f t="shared" si="125"/>
        <v>#N/A</v>
      </c>
      <c r="T437" t="e">
        <f t="shared" si="126"/>
        <v>#N/A</v>
      </c>
      <c r="U437" t="e">
        <f t="shared" si="127"/>
        <v>#N/A</v>
      </c>
      <c r="W437">
        <f t="shared" si="128"/>
        <v>0.27924604663774732</v>
      </c>
      <c r="X437" t="e">
        <f t="shared" si="129"/>
        <v>#N/A</v>
      </c>
      <c r="Y437" t="e">
        <f t="shared" si="130"/>
        <v>#N/A</v>
      </c>
      <c r="Z437" t="e">
        <f t="shared" si="131"/>
        <v>#N/A</v>
      </c>
      <c r="AA437" t="e">
        <f t="shared" si="132"/>
        <v>#N/A</v>
      </c>
      <c r="AB437" t="e">
        <f t="shared" si="133"/>
        <v>#N/A</v>
      </c>
      <c r="AC437" t="e">
        <f t="shared" si="134"/>
        <v>#N/A</v>
      </c>
    </row>
    <row r="438" spans="2:29">
      <c r="B438">
        <v>424</v>
      </c>
      <c r="C438">
        <f>'Lab test'!Q427</f>
        <v>140</v>
      </c>
      <c r="D438">
        <f>IF('Lab test'!AQ427&gt;0,'Lab test'!AQ427,NA())</f>
        <v>0.51416280132826886</v>
      </c>
      <c r="E438">
        <f>IF('Lab test'!AU427&gt;0,'Lab test'!AU427,NA())</f>
        <v>0.87989942086025497</v>
      </c>
      <c r="F438">
        <f>IF('Lab test'!AT427&gt;0,'Lab test'!AT427,NA())</f>
        <v>0.23261319047539386</v>
      </c>
      <c r="G438">
        <f t="shared" si="116"/>
        <v>1</v>
      </c>
      <c r="H438">
        <f t="shared" si="117"/>
        <v>1</v>
      </c>
      <c r="I438">
        <f t="shared" si="118"/>
        <v>1</v>
      </c>
      <c r="J438">
        <f t="shared" si="119"/>
        <v>1</v>
      </c>
      <c r="K438">
        <f t="shared" si="120"/>
        <v>1</v>
      </c>
      <c r="L438" t="str">
        <f>'Lab test'!AC427</f>
        <v>LTWa</v>
      </c>
      <c r="O438">
        <f t="shared" si="121"/>
        <v>0.87989942086025497</v>
      </c>
      <c r="P438" t="e">
        <f t="shared" si="122"/>
        <v>#N/A</v>
      </c>
      <c r="Q438" t="e">
        <f t="shared" si="123"/>
        <v>#N/A</v>
      </c>
      <c r="R438" t="e">
        <f t="shared" si="124"/>
        <v>#N/A</v>
      </c>
      <c r="S438" t="e">
        <f t="shared" si="125"/>
        <v>#N/A</v>
      </c>
      <c r="T438" t="e">
        <f t="shared" si="126"/>
        <v>#N/A</v>
      </c>
      <c r="U438" t="e">
        <f t="shared" si="127"/>
        <v>#N/A</v>
      </c>
      <c r="W438">
        <f t="shared" si="128"/>
        <v>0.23261319047539386</v>
      </c>
      <c r="X438" t="e">
        <f t="shared" si="129"/>
        <v>#N/A</v>
      </c>
      <c r="Y438" t="e">
        <f t="shared" si="130"/>
        <v>#N/A</v>
      </c>
      <c r="Z438" t="e">
        <f t="shared" si="131"/>
        <v>#N/A</v>
      </c>
      <c r="AA438" t="e">
        <f t="shared" si="132"/>
        <v>#N/A</v>
      </c>
      <c r="AB438" t="e">
        <f t="shared" si="133"/>
        <v>#N/A</v>
      </c>
      <c r="AC438" t="e">
        <f t="shared" si="134"/>
        <v>#N/A</v>
      </c>
    </row>
    <row r="439" spans="2:29">
      <c r="B439">
        <v>425</v>
      </c>
      <c r="C439">
        <f>'Lab test'!Q428</f>
        <v>460.78431372549016</v>
      </c>
      <c r="D439">
        <f>IF('Lab test'!AQ428&gt;0,'Lab test'!AQ428,NA())</f>
        <v>1.1828034630256554</v>
      </c>
      <c r="E439">
        <f>IF('Lab test'!AU428&gt;0,'Lab test'!AU428,NA())</f>
        <v>0.27627135514766743</v>
      </c>
      <c r="F439">
        <f>IF('Lab test'!AT428&gt;0,'Lab test'!AT428,NA())</f>
        <v>0.3865102652449865</v>
      </c>
      <c r="G439">
        <f t="shared" si="116"/>
        <v>1</v>
      </c>
      <c r="H439">
        <f t="shared" si="117"/>
        <v>1</v>
      </c>
      <c r="I439">
        <f t="shared" si="118"/>
        <v>1</v>
      </c>
      <c r="J439">
        <f t="shared" si="119"/>
        <v>1</v>
      </c>
      <c r="K439">
        <f t="shared" si="120"/>
        <v>1</v>
      </c>
      <c r="L439" t="str">
        <f>'Lab test'!AC428</f>
        <v>LTWb</v>
      </c>
      <c r="O439" t="e">
        <f t="shared" si="121"/>
        <v>#N/A</v>
      </c>
      <c r="P439">
        <f t="shared" si="122"/>
        <v>0.27627135514766743</v>
      </c>
      <c r="Q439" t="e">
        <f t="shared" si="123"/>
        <v>#N/A</v>
      </c>
      <c r="R439" t="e">
        <f t="shared" si="124"/>
        <v>#N/A</v>
      </c>
      <c r="S439" t="e">
        <f t="shared" si="125"/>
        <v>#N/A</v>
      </c>
      <c r="T439" t="e">
        <f t="shared" si="126"/>
        <v>#N/A</v>
      </c>
      <c r="U439" t="e">
        <f t="shared" si="127"/>
        <v>#N/A</v>
      </c>
      <c r="W439" t="e">
        <f t="shared" si="128"/>
        <v>#N/A</v>
      </c>
      <c r="X439">
        <f t="shared" si="129"/>
        <v>0.3865102652449865</v>
      </c>
      <c r="Y439" t="e">
        <f t="shared" si="130"/>
        <v>#N/A</v>
      </c>
      <c r="Z439" t="e">
        <f t="shared" si="131"/>
        <v>#N/A</v>
      </c>
      <c r="AA439" t="e">
        <f t="shared" si="132"/>
        <v>#N/A</v>
      </c>
      <c r="AB439" t="e">
        <f t="shared" si="133"/>
        <v>#N/A</v>
      </c>
      <c r="AC439" t="e">
        <f t="shared" si="134"/>
        <v>#N/A</v>
      </c>
    </row>
    <row r="440" spans="2:29">
      <c r="B440">
        <v>426</v>
      </c>
      <c r="C440">
        <f>'Lab test'!Q429</f>
        <v>460.78431372549016</v>
      </c>
      <c r="D440">
        <f>IF('Lab test'!AQ429&gt;0,'Lab test'!AQ429,NA())</f>
        <v>1.1828034630256554</v>
      </c>
      <c r="E440">
        <f>IF('Lab test'!AU429&gt;0,'Lab test'!AU429,NA())</f>
        <v>0.3136831011572474</v>
      </c>
      <c r="F440">
        <f>IF('Lab test'!AT429&gt;0,'Lab test'!AT429,NA())</f>
        <v>0.43885019699691169</v>
      </c>
      <c r="G440">
        <f t="shared" si="116"/>
        <v>1</v>
      </c>
      <c r="H440">
        <f t="shared" si="117"/>
        <v>1</v>
      </c>
      <c r="I440">
        <f t="shared" si="118"/>
        <v>1</v>
      </c>
      <c r="J440">
        <f t="shared" si="119"/>
        <v>1</v>
      </c>
      <c r="K440">
        <f t="shared" si="120"/>
        <v>1</v>
      </c>
      <c r="L440" t="str">
        <f>'Lab test'!AC429</f>
        <v>LTWb</v>
      </c>
      <c r="O440" t="e">
        <f t="shared" si="121"/>
        <v>#N/A</v>
      </c>
      <c r="P440">
        <f t="shared" si="122"/>
        <v>0.3136831011572474</v>
      </c>
      <c r="Q440" t="e">
        <f t="shared" si="123"/>
        <v>#N/A</v>
      </c>
      <c r="R440" t="e">
        <f t="shared" si="124"/>
        <v>#N/A</v>
      </c>
      <c r="S440" t="e">
        <f t="shared" si="125"/>
        <v>#N/A</v>
      </c>
      <c r="T440" t="e">
        <f t="shared" si="126"/>
        <v>#N/A</v>
      </c>
      <c r="U440" t="e">
        <f t="shared" si="127"/>
        <v>#N/A</v>
      </c>
      <c r="W440" t="e">
        <f t="shared" si="128"/>
        <v>#N/A</v>
      </c>
      <c r="X440">
        <f t="shared" si="129"/>
        <v>0.43885019699691169</v>
      </c>
      <c r="Y440" t="e">
        <f t="shared" si="130"/>
        <v>#N/A</v>
      </c>
      <c r="Z440" t="e">
        <f t="shared" si="131"/>
        <v>#N/A</v>
      </c>
      <c r="AA440" t="e">
        <f t="shared" si="132"/>
        <v>#N/A</v>
      </c>
      <c r="AB440" t="e">
        <f t="shared" si="133"/>
        <v>#N/A</v>
      </c>
      <c r="AC440" t="e">
        <f t="shared" si="134"/>
        <v>#N/A</v>
      </c>
    </row>
    <row r="441" spans="2:29">
      <c r="B441">
        <v>427</v>
      </c>
      <c r="C441">
        <f>'Lab test'!Q430</f>
        <v>460.78431372549016</v>
      </c>
      <c r="D441">
        <f>IF('Lab test'!AQ430&gt;0,'Lab test'!AQ430,NA())</f>
        <v>1.1828034630256554</v>
      </c>
      <c r="E441">
        <f>IF('Lab test'!AU430&gt;0,'Lab test'!AU430,NA())</f>
        <v>0.33238897416203733</v>
      </c>
      <c r="F441">
        <f>IF('Lab test'!AT430&gt;0,'Lab test'!AT430,NA())</f>
        <v>0.46502016287287429</v>
      </c>
      <c r="G441">
        <f t="shared" si="116"/>
        <v>1</v>
      </c>
      <c r="H441">
        <f t="shared" si="117"/>
        <v>1</v>
      </c>
      <c r="I441">
        <f t="shared" si="118"/>
        <v>1</v>
      </c>
      <c r="J441">
        <f t="shared" si="119"/>
        <v>1</v>
      </c>
      <c r="K441">
        <f t="shared" si="120"/>
        <v>1</v>
      </c>
      <c r="L441" t="str">
        <f>'Lab test'!AC430</f>
        <v>LTWb</v>
      </c>
      <c r="O441" t="e">
        <f t="shared" si="121"/>
        <v>#N/A</v>
      </c>
      <c r="P441">
        <f t="shared" si="122"/>
        <v>0.33238897416203733</v>
      </c>
      <c r="Q441" t="e">
        <f t="shared" si="123"/>
        <v>#N/A</v>
      </c>
      <c r="R441" t="e">
        <f t="shared" si="124"/>
        <v>#N/A</v>
      </c>
      <c r="S441" t="e">
        <f t="shared" si="125"/>
        <v>#N/A</v>
      </c>
      <c r="T441" t="e">
        <f t="shared" si="126"/>
        <v>#N/A</v>
      </c>
      <c r="U441" t="e">
        <f t="shared" si="127"/>
        <v>#N/A</v>
      </c>
      <c r="W441" t="e">
        <f t="shared" si="128"/>
        <v>#N/A</v>
      </c>
      <c r="X441">
        <f t="shared" si="129"/>
        <v>0.46502016287287429</v>
      </c>
      <c r="Y441" t="e">
        <f t="shared" si="130"/>
        <v>#N/A</v>
      </c>
      <c r="Z441" t="e">
        <f t="shared" si="131"/>
        <v>#N/A</v>
      </c>
      <c r="AA441" t="e">
        <f t="shared" si="132"/>
        <v>#N/A</v>
      </c>
      <c r="AB441" t="e">
        <f t="shared" si="133"/>
        <v>#N/A</v>
      </c>
      <c r="AC441" t="e">
        <f t="shared" si="134"/>
        <v>#N/A</v>
      </c>
    </row>
    <row r="442" spans="2:29">
      <c r="B442">
        <v>428</v>
      </c>
      <c r="C442">
        <f>'Lab test'!Q431</f>
        <v>293.75000000000006</v>
      </c>
      <c r="D442">
        <f>IF('Lab test'!AQ431&gt;0,'Lab test'!AQ431,NA())</f>
        <v>0.89118836804024459</v>
      </c>
      <c r="E442">
        <f>IF('Lab test'!AU431&gt;0,'Lab test'!AU431,NA())</f>
        <v>0.49007988329055813</v>
      </c>
      <c r="F442">
        <f>IF('Lab test'!AT431&gt;0,'Lab test'!AT431,NA())</f>
        <v>0.38922963123581278</v>
      </c>
      <c r="G442">
        <f t="shared" si="116"/>
        <v>1</v>
      </c>
      <c r="H442">
        <f t="shared" si="117"/>
        <v>1</v>
      </c>
      <c r="I442">
        <f t="shared" si="118"/>
        <v>1</v>
      </c>
      <c r="J442">
        <f t="shared" si="119"/>
        <v>1</v>
      </c>
      <c r="K442">
        <f t="shared" si="120"/>
        <v>1</v>
      </c>
      <c r="L442" t="str">
        <f>'Lab test'!AC431</f>
        <v>LTWb</v>
      </c>
      <c r="O442" t="e">
        <f t="shared" si="121"/>
        <v>#N/A</v>
      </c>
      <c r="P442">
        <f t="shared" si="122"/>
        <v>0.49007988329055813</v>
      </c>
      <c r="Q442" t="e">
        <f t="shared" si="123"/>
        <v>#N/A</v>
      </c>
      <c r="R442" t="e">
        <f t="shared" si="124"/>
        <v>#N/A</v>
      </c>
      <c r="S442" t="e">
        <f t="shared" si="125"/>
        <v>#N/A</v>
      </c>
      <c r="T442" t="e">
        <f t="shared" si="126"/>
        <v>#N/A</v>
      </c>
      <c r="U442" t="e">
        <f t="shared" si="127"/>
        <v>#N/A</v>
      </c>
      <c r="W442" t="e">
        <f t="shared" si="128"/>
        <v>#N/A</v>
      </c>
      <c r="X442">
        <f t="shared" si="129"/>
        <v>0.38922963123581278</v>
      </c>
      <c r="Y442" t="e">
        <f t="shared" si="130"/>
        <v>#N/A</v>
      </c>
      <c r="Z442" t="e">
        <f t="shared" si="131"/>
        <v>#N/A</v>
      </c>
      <c r="AA442" t="e">
        <f t="shared" si="132"/>
        <v>#N/A</v>
      </c>
      <c r="AB442" t="e">
        <f t="shared" si="133"/>
        <v>#N/A</v>
      </c>
      <c r="AC442" t="e">
        <f t="shared" si="134"/>
        <v>#N/A</v>
      </c>
    </row>
    <row r="443" spans="2:29">
      <c r="B443">
        <v>429</v>
      </c>
      <c r="C443">
        <f>'Lab test'!Q432</f>
        <v>635.59322033898309</v>
      </c>
      <c r="D443">
        <f>IF('Lab test'!AQ432&gt;0,'Lab test'!AQ432,NA())</f>
        <v>1.2914800778037814</v>
      </c>
      <c r="E443">
        <f>IF('Lab test'!AU432&gt;0,'Lab test'!AU432,NA())</f>
        <v>0.16997725164603367</v>
      </c>
      <c r="F443">
        <f>IF('Lab test'!AT432&gt;0,'Lab test'!AT432,NA())</f>
        <v>0.2835085920793407</v>
      </c>
      <c r="G443">
        <f t="shared" si="116"/>
        <v>1</v>
      </c>
      <c r="H443">
        <f t="shared" si="117"/>
        <v>1</v>
      </c>
      <c r="I443">
        <f t="shared" si="118"/>
        <v>1</v>
      </c>
      <c r="J443">
        <f t="shared" si="119"/>
        <v>1</v>
      </c>
      <c r="K443">
        <f t="shared" si="120"/>
        <v>1</v>
      </c>
      <c r="L443" t="str">
        <f>'Lab test'!AC432</f>
        <v>LTWb</v>
      </c>
      <c r="O443" t="e">
        <f t="shared" si="121"/>
        <v>#N/A</v>
      </c>
      <c r="P443">
        <f t="shared" si="122"/>
        <v>0.16997725164603367</v>
      </c>
      <c r="Q443" t="e">
        <f t="shared" si="123"/>
        <v>#N/A</v>
      </c>
      <c r="R443" t="e">
        <f t="shared" si="124"/>
        <v>#N/A</v>
      </c>
      <c r="S443" t="e">
        <f t="shared" si="125"/>
        <v>#N/A</v>
      </c>
      <c r="T443" t="e">
        <f t="shared" si="126"/>
        <v>#N/A</v>
      </c>
      <c r="U443" t="e">
        <f t="shared" si="127"/>
        <v>#N/A</v>
      </c>
      <c r="W443" t="e">
        <f t="shared" si="128"/>
        <v>#N/A</v>
      </c>
      <c r="X443">
        <f t="shared" si="129"/>
        <v>0.2835085920793407</v>
      </c>
      <c r="Y443" t="e">
        <f t="shared" si="130"/>
        <v>#N/A</v>
      </c>
      <c r="Z443" t="e">
        <f t="shared" si="131"/>
        <v>#N/A</v>
      </c>
      <c r="AA443" t="e">
        <f t="shared" si="132"/>
        <v>#N/A</v>
      </c>
      <c r="AB443" t="e">
        <f t="shared" si="133"/>
        <v>#N/A</v>
      </c>
      <c r="AC443" t="e">
        <f t="shared" si="134"/>
        <v>#N/A</v>
      </c>
    </row>
    <row r="444" spans="2:29">
      <c r="B444">
        <v>430</v>
      </c>
      <c r="C444">
        <f>'Lab test'!Q433</f>
        <v>635.59322033898309</v>
      </c>
      <c r="D444">
        <f>IF('Lab test'!AQ433&gt;0,'Lab test'!AQ433,NA())</f>
        <v>1.2914800778037814</v>
      </c>
      <c r="E444">
        <f>IF('Lab test'!AU433&gt;0,'Lab test'!AU433,NA())</f>
        <v>0.16997725164603367</v>
      </c>
      <c r="F444">
        <f>IF('Lab test'!AT433&gt;0,'Lab test'!AT433,NA())</f>
        <v>0.2835085920793407</v>
      </c>
      <c r="G444">
        <f t="shared" si="116"/>
        <v>1</v>
      </c>
      <c r="H444">
        <f t="shared" si="117"/>
        <v>1</v>
      </c>
      <c r="I444">
        <f t="shared" si="118"/>
        <v>1</v>
      </c>
      <c r="J444">
        <f t="shared" si="119"/>
        <v>1</v>
      </c>
      <c r="K444">
        <f t="shared" si="120"/>
        <v>1</v>
      </c>
      <c r="L444" t="str">
        <f>'Lab test'!AC433</f>
        <v>LTWb</v>
      </c>
      <c r="O444" t="e">
        <f t="shared" si="121"/>
        <v>#N/A</v>
      </c>
      <c r="P444">
        <f t="shared" si="122"/>
        <v>0.16997725164603367</v>
      </c>
      <c r="Q444" t="e">
        <f t="shared" si="123"/>
        <v>#N/A</v>
      </c>
      <c r="R444" t="e">
        <f t="shared" si="124"/>
        <v>#N/A</v>
      </c>
      <c r="S444" t="e">
        <f t="shared" si="125"/>
        <v>#N/A</v>
      </c>
      <c r="T444" t="e">
        <f t="shared" si="126"/>
        <v>#N/A</v>
      </c>
      <c r="U444" t="e">
        <f t="shared" si="127"/>
        <v>#N/A</v>
      </c>
      <c r="W444" t="e">
        <f t="shared" si="128"/>
        <v>#N/A</v>
      </c>
      <c r="X444">
        <f t="shared" si="129"/>
        <v>0.2835085920793407</v>
      </c>
      <c r="Y444" t="e">
        <f t="shared" si="130"/>
        <v>#N/A</v>
      </c>
      <c r="Z444" t="e">
        <f t="shared" si="131"/>
        <v>#N/A</v>
      </c>
      <c r="AA444" t="e">
        <f t="shared" si="132"/>
        <v>#N/A</v>
      </c>
      <c r="AB444" t="e">
        <f t="shared" si="133"/>
        <v>#N/A</v>
      </c>
      <c r="AC444" t="e">
        <f t="shared" si="134"/>
        <v>#N/A</v>
      </c>
    </row>
    <row r="445" spans="2:29">
      <c r="B445">
        <v>431</v>
      </c>
      <c r="C445">
        <f>'Lab test'!Q434</f>
        <v>460.78431372549016</v>
      </c>
      <c r="D445">
        <f>IF('Lab test'!AQ434&gt;0,'Lab test'!AQ434,NA())</f>
        <v>1.2245857832908482</v>
      </c>
      <c r="E445">
        <f>IF('Lab test'!AU434&gt;0,'Lab test'!AU434,NA())</f>
        <v>0.19471223704293225</v>
      </c>
      <c r="F445">
        <f>IF('Lab test'!AT434&gt;0,'Lab test'!AT434,NA())</f>
        <v>0.29199248411835044</v>
      </c>
      <c r="G445">
        <f t="shared" si="116"/>
        <v>1</v>
      </c>
      <c r="H445">
        <f t="shared" si="117"/>
        <v>1</v>
      </c>
      <c r="I445">
        <f t="shared" si="118"/>
        <v>1</v>
      </c>
      <c r="J445">
        <f t="shared" si="119"/>
        <v>1</v>
      </c>
      <c r="K445">
        <f t="shared" si="120"/>
        <v>1</v>
      </c>
      <c r="L445" t="str">
        <f>'Lab test'!AC434</f>
        <v>LTWb</v>
      </c>
      <c r="O445" t="e">
        <f t="shared" si="121"/>
        <v>#N/A</v>
      </c>
      <c r="P445">
        <f t="shared" si="122"/>
        <v>0.19471223704293225</v>
      </c>
      <c r="Q445" t="e">
        <f t="shared" si="123"/>
        <v>#N/A</v>
      </c>
      <c r="R445" t="e">
        <f t="shared" si="124"/>
        <v>#N/A</v>
      </c>
      <c r="S445" t="e">
        <f t="shared" si="125"/>
        <v>#N/A</v>
      </c>
      <c r="T445" t="e">
        <f t="shared" si="126"/>
        <v>#N/A</v>
      </c>
      <c r="U445" t="e">
        <f t="shared" si="127"/>
        <v>#N/A</v>
      </c>
      <c r="W445" t="e">
        <f t="shared" si="128"/>
        <v>#N/A</v>
      </c>
      <c r="X445">
        <f t="shared" si="129"/>
        <v>0.29199248411835044</v>
      </c>
      <c r="Y445" t="e">
        <f t="shared" si="130"/>
        <v>#N/A</v>
      </c>
      <c r="Z445" t="e">
        <f t="shared" si="131"/>
        <v>#N/A</v>
      </c>
      <c r="AA445" t="e">
        <f t="shared" si="132"/>
        <v>#N/A</v>
      </c>
      <c r="AB445" t="e">
        <f t="shared" si="133"/>
        <v>#N/A</v>
      </c>
      <c r="AC445" t="e">
        <f t="shared" si="134"/>
        <v>#N/A</v>
      </c>
    </row>
    <row r="446" spans="2:29">
      <c r="B446">
        <v>432</v>
      </c>
      <c r="C446">
        <f>'Lab test'!Q435</f>
        <v>460.78431372549016</v>
      </c>
      <c r="D446">
        <f>IF('Lab test'!AQ435&gt;0,'Lab test'!AQ435,NA())</f>
        <v>1.2245857832908482</v>
      </c>
      <c r="E446">
        <f>IF('Lab test'!AU435&gt;0,'Lab test'!AU435,NA())</f>
        <v>0.20250072652464954</v>
      </c>
      <c r="F446">
        <f>IF('Lab test'!AT435&gt;0,'Lab test'!AT435,NA())</f>
        <v>0.30367218348308445</v>
      </c>
      <c r="G446">
        <f t="shared" si="116"/>
        <v>1</v>
      </c>
      <c r="H446">
        <f t="shared" si="117"/>
        <v>1</v>
      </c>
      <c r="I446">
        <f t="shared" si="118"/>
        <v>1</v>
      </c>
      <c r="J446">
        <f t="shared" si="119"/>
        <v>1</v>
      </c>
      <c r="K446">
        <f t="shared" si="120"/>
        <v>1</v>
      </c>
      <c r="L446" t="str">
        <f>'Lab test'!AC435</f>
        <v>LTWb</v>
      </c>
      <c r="O446" t="e">
        <f t="shared" si="121"/>
        <v>#N/A</v>
      </c>
      <c r="P446">
        <f t="shared" si="122"/>
        <v>0.20250072652464954</v>
      </c>
      <c r="Q446" t="e">
        <f t="shared" si="123"/>
        <v>#N/A</v>
      </c>
      <c r="R446" t="e">
        <f t="shared" si="124"/>
        <v>#N/A</v>
      </c>
      <c r="S446" t="e">
        <f t="shared" si="125"/>
        <v>#N/A</v>
      </c>
      <c r="T446" t="e">
        <f t="shared" si="126"/>
        <v>#N/A</v>
      </c>
      <c r="U446" t="e">
        <f t="shared" si="127"/>
        <v>#N/A</v>
      </c>
      <c r="W446" t="e">
        <f t="shared" si="128"/>
        <v>#N/A</v>
      </c>
      <c r="X446">
        <f t="shared" si="129"/>
        <v>0.30367218348308445</v>
      </c>
      <c r="Y446" t="e">
        <f t="shared" si="130"/>
        <v>#N/A</v>
      </c>
      <c r="Z446" t="e">
        <f t="shared" si="131"/>
        <v>#N/A</v>
      </c>
      <c r="AA446" t="e">
        <f t="shared" si="132"/>
        <v>#N/A</v>
      </c>
      <c r="AB446" t="e">
        <f t="shared" si="133"/>
        <v>#N/A</v>
      </c>
      <c r="AC446" t="e">
        <f t="shared" si="134"/>
        <v>#N/A</v>
      </c>
    </row>
    <row r="447" spans="2:29">
      <c r="B447">
        <v>433</v>
      </c>
      <c r="C447">
        <f>'Lab test'!Q436</f>
        <v>460.78431372549016</v>
      </c>
      <c r="D447">
        <f>IF('Lab test'!AQ436&gt;0,'Lab test'!AQ436,NA())</f>
        <v>1.2245857832908482</v>
      </c>
      <c r="E447">
        <f>IF('Lab test'!AU436&gt;0,'Lab test'!AU436,NA())</f>
        <v>0.21807770548808414</v>
      </c>
      <c r="F447">
        <f>IF('Lab test'!AT436&gt;0,'Lab test'!AT436,NA())</f>
        <v>0.32703158221255252</v>
      </c>
      <c r="G447">
        <f t="shared" si="116"/>
        <v>1</v>
      </c>
      <c r="H447">
        <f t="shared" si="117"/>
        <v>1</v>
      </c>
      <c r="I447">
        <f t="shared" si="118"/>
        <v>1</v>
      </c>
      <c r="J447">
        <f t="shared" si="119"/>
        <v>1</v>
      </c>
      <c r="K447">
        <f t="shared" si="120"/>
        <v>1</v>
      </c>
      <c r="L447" t="str">
        <f>'Lab test'!AC436</f>
        <v>LTWb</v>
      </c>
      <c r="O447" t="e">
        <f t="shared" si="121"/>
        <v>#N/A</v>
      </c>
      <c r="P447">
        <f t="shared" si="122"/>
        <v>0.21807770548808414</v>
      </c>
      <c r="Q447" t="e">
        <f t="shared" si="123"/>
        <v>#N/A</v>
      </c>
      <c r="R447" t="e">
        <f t="shared" si="124"/>
        <v>#N/A</v>
      </c>
      <c r="S447" t="e">
        <f t="shared" si="125"/>
        <v>#N/A</v>
      </c>
      <c r="T447" t="e">
        <f t="shared" si="126"/>
        <v>#N/A</v>
      </c>
      <c r="U447" t="e">
        <f t="shared" si="127"/>
        <v>#N/A</v>
      </c>
      <c r="W447" t="e">
        <f t="shared" si="128"/>
        <v>#N/A</v>
      </c>
      <c r="X447">
        <f t="shared" si="129"/>
        <v>0.32703158221255252</v>
      </c>
      <c r="Y447" t="e">
        <f t="shared" si="130"/>
        <v>#N/A</v>
      </c>
      <c r="Z447" t="e">
        <f t="shared" si="131"/>
        <v>#N/A</v>
      </c>
      <c r="AA447" t="e">
        <f t="shared" si="132"/>
        <v>#N/A</v>
      </c>
      <c r="AB447" t="e">
        <f t="shared" si="133"/>
        <v>#N/A</v>
      </c>
      <c r="AC447" t="e">
        <f t="shared" si="134"/>
        <v>#N/A</v>
      </c>
    </row>
    <row r="448" spans="2:29">
      <c r="B448">
        <v>434</v>
      </c>
      <c r="C448">
        <f>'Lab test'!Q437</f>
        <v>318.64406779661022</v>
      </c>
      <c r="D448">
        <f>IF('Lab test'!AQ437&gt;0,'Lab test'!AQ437,NA())</f>
        <v>0.91443112921122494</v>
      </c>
      <c r="E448">
        <f>IF('Lab test'!AU437&gt;0,'Lab test'!AU437,NA())</f>
        <v>0.57886648361551429</v>
      </c>
      <c r="F448">
        <f>IF('Lab test'!AT437&gt;0,'Lab test'!AT437,NA())</f>
        <v>0.48403905964765487</v>
      </c>
      <c r="G448">
        <f t="shared" si="116"/>
        <v>1</v>
      </c>
      <c r="H448">
        <f t="shared" si="117"/>
        <v>1</v>
      </c>
      <c r="I448">
        <f t="shared" si="118"/>
        <v>1</v>
      </c>
      <c r="J448">
        <f t="shared" si="119"/>
        <v>1</v>
      </c>
      <c r="K448">
        <f t="shared" si="120"/>
        <v>1</v>
      </c>
      <c r="L448" t="str">
        <f>'Lab test'!AC437</f>
        <v>LTWb</v>
      </c>
      <c r="O448" t="e">
        <f t="shared" si="121"/>
        <v>#N/A</v>
      </c>
      <c r="P448">
        <f t="shared" si="122"/>
        <v>0.57886648361551429</v>
      </c>
      <c r="Q448" t="e">
        <f t="shared" si="123"/>
        <v>#N/A</v>
      </c>
      <c r="R448" t="e">
        <f t="shared" si="124"/>
        <v>#N/A</v>
      </c>
      <c r="S448" t="e">
        <f t="shared" si="125"/>
        <v>#N/A</v>
      </c>
      <c r="T448" t="e">
        <f t="shared" si="126"/>
        <v>#N/A</v>
      </c>
      <c r="U448" t="e">
        <f t="shared" si="127"/>
        <v>#N/A</v>
      </c>
      <c r="W448" t="e">
        <f t="shared" si="128"/>
        <v>#N/A</v>
      </c>
      <c r="X448">
        <f t="shared" si="129"/>
        <v>0.48403905964765487</v>
      </c>
      <c r="Y448" t="e">
        <f t="shared" si="130"/>
        <v>#N/A</v>
      </c>
      <c r="Z448" t="e">
        <f t="shared" si="131"/>
        <v>#N/A</v>
      </c>
      <c r="AA448" t="e">
        <f t="shared" si="132"/>
        <v>#N/A</v>
      </c>
      <c r="AB448" t="e">
        <f t="shared" si="133"/>
        <v>#N/A</v>
      </c>
      <c r="AC448" t="e">
        <f t="shared" si="134"/>
        <v>#N/A</v>
      </c>
    </row>
    <row r="449" spans="2:29">
      <c r="B449">
        <v>435</v>
      </c>
      <c r="C449">
        <f>'Lab test'!Q438</f>
        <v>318.64406779661022</v>
      </c>
      <c r="D449">
        <f>IF('Lab test'!AQ438&gt;0,'Lab test'!AQ438,NA())</f>
        <v>0.91443112921122494</v>
      </c>
      <c r="E449">
        <f>IF('Lab test'!AU438&gt;0,'Lab test'!AU438,NA())</f>
        <v>0.61430728873483142</v>
      </c>
      <c r="F449">
        <f>IF('Lab test'!AT438&gt;0,'Lab test'!AT438,NA())</f>
        <v>0.51367410411587855</v>
      </c>
      <c r="G449">
        <f t="shared" si="116"/>
        <v>1</v>
      </c>
      <c r="H449">
        <f t="shared" si="117"/>
        <v>1</v>
      </c>
      <c r="I449">
        <f t="shared" si="118"/>
        <v>1</v>
      </c>
      <c r="J449">
        <f t="shared" si="119"/>
        <v>1</v>
      </c>
      <c r="K449">
        <f t="shared" si="120"/>
        <v>1</v>
      </c>
      <c r="L449" t="str">
        <f>'Lab test'!AC438</f>
        <v>LTWb</v>
      </c>
      <c r="O449" t="e">
        <f t="shared" si="121"/>
        <v>#N/A</v>
      </c>
      <c r="P449">
        <f t="shared" si="122"/>
        <v>0.61430728873483142</v>
      </c>
      <c r="Q449" t="e">
        <f t="shared" si="123"/>
        <v>#N/A</v>
      </c>
      <c r="R449" t="e">
        <f t="shared" si="124"/>
        <v>#N/A</v>
      </c>
      <c r="S449" t="e">
        <f t="shared" si="125"/>
        <v>#N/A</v>
      </c>
      <c r="T449" t="e">
        <f t="shared" si="126"/>
        <v>#N/A</v>
      </c>
      <c r="U449" t="e">
        <f t="shared" si="127"/>
        <v>#N/A</v>
      </c>
      <c r="W449" t="e">
        <f t="shared" si="128"/>
        <v>#N/A</v>
      </c>
      <c r="X449">
        <f t="shared" si="129"/>
        <v>0.51367410411587855</v>
      </c>
      <c r="Y449" t="e">
        <f t="shared" si="130"/>
        <v>#N/A</v>
      </c>
      <c r="Z449" t="e">
        <f t="shared" si="131"/>
        <v>#N/A</v>
      </c>
      <c r="AA449" t="e">
        <f t="shared" si="132"/>
        <v>#N/A</v>
      </c>
      <c r="AB449" t="e">
        <f t="shared" si="133"/>
        <v>#N/A</v>
      </c>
      <c r="AC449" t="e">
        <f t="shared" si="134"/>
        <v>#N/A</v>
      </c>
    </row>
    <row r="450" spans="2:29">
      <c r="B450">
        <v>436</v>
      </c>
      <c r="C450">
        <f>'Lab test'!Q439</f>
        <v>919.11764705882342</v>
      </c>
      <c r="D450">
        <f>IF('Lab test'!AQ439&gt;0,'Lab test'!AQ439,NA())</f>
        <v>1.6705108341757928</v>
      </c>
      <c r="E450">
        <f>IF('Lab test'!AU439&gt;0,'Lab test'!AU439,NA())</f>
        <v>9.5221527074229373E-2</v>
      </c>
      <c r="F450">
        <f>IF('Lab test'!AT439&gt;0,'Lab test'!AT439,NA())</f>
        <v>0.26572580735592816</v>
      </c>
      <c r="G450">
        <f t="shared" si="116"/>
        <v>1</v>
      </c>
      <c r="H450">
        <f t="shared" si="117"/>
        <v>1</v>
      </c>
      <c r="I450">
        <f t="shared" si="118"/>
        <v>1</v>
      </c>
      <c r="J450">
        <f t="shared" si="119"/>
        <v>1</v>
      </c>
      <c r="K450">
        <f t="shared" si="120"/>
        <v>1</v>
      </c>
      <c r="L450" t="str">
        <f>'Lab test'!AC439</f>
        <v>LTWb</v>
      </c>
      <c r="O450" t="e">
        <f t="shared" si="121"/>
        <v>#N/A</v>
      </c>
      <c r="P450">
        <f t="shared" si="122"/>
        <v>9.5221527074229373E-2</v>
      </c>
      <c r="Q450" t="e">
        <f t="shared" si="123"/>
        <v>#N/A</v>
      </c>
      <c r="R450" t="e">
        <f t="shared" si="124"/>
        <v>#N/A</v>
      </c>
      <c r="S450" t="e">
        <f t="shared" si="125"/>
        <v>#N/A</v>
      </c>
      <c r="T450" t="e">
        <f t="shared" si="126"/>
        <v>#N/A</v>
      </c>
      <c r="U450" t="e">
        <f t="shared" si="127"/>
        <v>#N/A</v>
      </c>
      <c r="W450" t="e">
        <f t="shared" si="128"/>
        <v>#N/A</v>
      </c>
      <c r="X450">
        <f t="shared" si="129"/>
        <v>0.26572580735592816</v>
      </c>
      <c r="Y450" t="e">
        <f t="shared" si="130"/>
        <v>#N/A</v>
      </c>
      <c r="Z450" t="e">
        <f t="shared" si="131"/>
        <v>#N/A</v>
      </c>
      <c r="AA450" t="e">
        <f t="shared" si="132"/>
        <v>#N/A</v>
      </c>
      <c r="AB450" t="e">
        <f t="shared" si="133"/>
        <v>#N/A</v>
      </c>
      <c r="AC450" t="e">
        <f t="shared" si="134"/>
        <v>#N/A</v>
      </c>
    </row>
    <row r="451" spans="2:29">
      <c r="B451">
        <v>437</v>
      </c>
      <c r="C451">
        <f>'Lab test'!Q440</f>
        <v>237.97468354430376</v>
      </c>
      <c r="D451">
        <f>IF('Lab test'!AQ440&gt;0,'Lab test'!AQ440,NA())</f>
        <v>0.69153065309309791</v>
      </c>
      <c r="E451">
        <f>IF('Lab test'!AU440&gt;0,'Lab test'!AU440,NA())</f>
        <v>0.59554011134042495</v>
      </c>
      <c r="F451">
        <f>IF('Lab test'!AT440&gt;0,'Lab test'!AT440,NA())</f>
        <v>0.28479600243205516</v>
      </c>
      <c r="G451">
        <f t="shared" si="116"/>
        <v>1</v>
      </c>
      <c r="H451">
        <f t="shared" si="117"/>
        <v>1</v>
      </c>
      <c r="I451">
        <f t="shared" si="118"/>
        <v>1</v>
      </c>
      <c r="J451">
        <f t="shared" si="119"/>
        <v>1</v>
      </c>
      <c r="K451">
        <f t="shared" si="120"/>
        <v>1</v>
      </c>
      <c r="L451" t="str">
        <f>'Lab test'!AC440</f>
        <v>LTWb</v>
      </c>
      <c r="O451" t="e">
        <f t="shared" si="121"/>
        <v>#N/A</v>
      </c>
      <c r="P451">
        <f t="shared" si="122"/>
        <v>0.59554011134042495</v>
      </c>
      <c r="Q451" t="e">
        <f t="shared" si="123"/>
        <v>#N/A</v>
      </c>
      <c r="R451" t="e">
        <f t="shared" si="124"/>
        <v>#N/A</v>
      </c>
      <c r="S451" t="e">
        <f t="shared" si="125"/>
        <v>#N/A</v>
      </c>
      <c r="T451" t="e">
        <f t="shared" si="126"/>
        <v>#N/A</v>
      </c>
      <c r="U451" t="e">
        <f t="shared" si="127"/>
        <v>#N/A</v>
      </c>
      <c r="W451" t="e">
        <f t="shared" si="128"/>
        <v>#N/A</v>
      </c>
      <c r="X451">
        <f t="shared" si="129"/>
        <v>0.28479600243205516</v>
      </c>
      <c r="Y451" t="e">
        <f t="shared" si="130"/>
        <v>#N/A</v>
      </c>
      <c r="Z451" t="e">
        <f t="shared" si="131"/>
        <v>#N/A</v>
      </c>
      <c r="AA451" t="e">
        <f t="shared" si="132"/>
        <v>#N/A</v>
      </c>
      <c r="AB451" t="e">
        <f t="shared" si="133"/>
        <v>#N/A</v>
      </c>
      <c r="AC451" t="e">
        <f t="shared" si="134"/>
        <v>#N/A</v>
      </c>
    </row>
    <row r="452" spans="2:29">
      <c r="B452">
        <v>438</v>
      </c>
      <c r="C452">
        <f>'Lab test'!Q441</f>
        <v>237.97468354430376</v>
      </c>
      <c r="D452">
        <f>IF('Lab test'!AQ441&gt;0,'Lab test'!AQ441,NA())</f>
        <v>0.69153065309309791</v>
      </c>
      <c r="E452">
        <f>IF('Lab test'!AU441&gt;0,'Lab test'!AU441,NA())</f>
        <v>0.73013217650336104</v>
      </c>
      <c r="F452">
        <f>IF('Lab test'!AT441&gt;0,'Lab test'!AT441,NA())</f>
        <v>0.34915989898169963</v>
      </c>
      <c r="G452">
        <f t="shared" si="116"/>
        <v>1</v>
      </c>
      <c r="H452">
        <f t="shared" si="117"/>
        <v>1</v>
      </c>
      <c r="I452">
        <f t="shared" si="118"/>
        <v>1</v>
      </c>
      <c r="J452">
        <f t="shared" si="119"/>
        <v>1</v>
      </c>
      <c r="K452">
        <f t="shared" si="120"/>
        <v>1</v>
      </c>
      <c r="L452" t="str">
        <f>'Lab test'!AC441</f>
        <v>LTWb</v>
      </c>
      <c r="O452" t="e">
        <f t="shared" si="121"/>
        <v>#N/A</v>
      </c>
      <c r="P452">
        <f t="shared" si="122"/>
        <v>0.73013217650336104</v>
      </c>
      <c r="Q452" t="e">
        <f t="shared" si="123"/>
        <v>#N/A</v>
      </c>
      <c r="R452" t="e">
        <f t="shared" si="124"/>
        <v>#N/A</v>
      </c>
      <c r="S452" t="e">
        <f t="shared" si="125"/>
        <v>#N/A</v>
      </c>
      <c r="T452" t="e">
        <f t="shared" si="126"/>
        <v>#N/A</v>
      </c>
      <c r="U452" t="e">
        <f t="shared" si="127"/>
        <v>#N/A</v>
      </c>
      <c r="W452" t="e">
        <f t="shared" si="128"/>
        <v>#N/A</v>
      </c>
      <c r="X452">
        <f t="shared" si="129"/>
        <v>0.34915989898169963</v>
      </c>
      <c r="Y452" t="e">
        <f t="shared" si="130"/>
        <v>#N/A</v>
      </c>
      <c r="Z452" t="e">
        <f t="shared" si="131"/>
        <v>#N/A</v>
      </c>
      <c r="AA452" t="e">
        <f t="shared" si="132"/>
        <v>#N/A</v>
      </c>
      <c r="AB452" t="e">
        <f t="shared" si="133"/>
        <v>#N/A</v>
      </c>
      <c r="AC452" t="e">
        <f t="shared" si="134"/>
        <v>#N/A</v>
      </c>
    </row>
    <row r="453" spans="2:29">
      <c r="B453">
        <v>439</v>
      </c>
      <c r="C453">
        <f>'Lab test'!Q442</f>
        <v>237.97468354430376</v>
      </c>
      <c r="D453">
        <f>IF('Lab test'!AQ442&gt;0,'Lab test'!AQ442,NA())</f>
        <v>0.69153065309309791</v>
      </c>
      <c r="E453">
        <f>IF('Lab test'!AU442&gt;0,'Lab test'!AU442,NA())</f>
        <v>0.72655893583531839</v>
      </c>
      <c r="F453">
        <f>IF('Lab test'!AT442&gt;0,'Lab test'!AT442,NA())</f>
        <v>0.34745112296710728</v>
      </c>
      <c r="G453">
        <f t="shared" si="116"/>
        <v>1</v>
      </c>
      <c r="H453">
        <f t="shared" si="117"/>
        <v>1</v>
      </c>
      <c r="I453">
        <f t="shared" si="118"/>
        <v>1</v>
      </c>
      <c r="J453">
        <f t="shared" si="119"/>
        <v>1</v>
      </c>
      <c r="K453">
        <f t="shared" si="120"/>
        <v>1</v>
      </c>
      <c r="L453" t="str">
        <f>'Lab test'!AC442</f>
        <v>LTWb</v>
      </c>
      <c r="O453" t="e">
        <f t="shared" si="121"/>
        <v>#N/A</v>
      </c>
      <c r="P453">
        <f t="shared" si="122"/>
        <v>0.72655893583531839</v>
      </c>
      <c r="Q453" t="e">
        <f t="shared" si="123"/>
        <v>#N/A</v>
      </c>
      <c r="R453" t="e">
        <f t="shared" si="124"/>
        <v>#N/A</v>
      </c>
      <c r="S453" t="e">
        <f t="shared" si="125"/>
        <v>#N/A</v>
      </c>
      <c r="T453" t="e">
        <f t="shared" si="126"/>
        <v>#N/A</v>
      </c>
      <c r="U453" t="e">
        <f t="shared" si="127"/>
        <v>#N/A</v>
      </c>
      <c r="W453" t="e">
        <f t="shared" si="128"/>
        <v>#N/A</v>
      </c>
      <c r="X453">
        <f t="shared" si="129"/>
        <v>0.34745112296710728</v>
      </c>
      <c r="Y453" t="e">
        <f t="shared" si="130"/>
        <v>#N/A</v>
      </c>
      <c r="Z453" t="e">
        <f t="shared" si="131"/>
        <v>#N/A</v>
      </c>
      <c r="AA453" t="e">
        <f t="shared" si="132"/>
        <v>#N/A</v>
      </c>
      <c r="AB453" t="e">
        <f t="shared" si="133"/>
        <v>#N/A</v>
      </c>
      <c r="AC453" t="e">
        <f t="shared" si="134"/>
        <v>#N/A</v>
      </c>
    </row>
    <row r="454" spans="2:29">
      <c r="B454">
        <v>440</v>
      </c>
      <c r="C454">
        <f>'Lab test'!Q443</f>
        <v>237.97468354430376</v>
      </c>
      <c r="D454">
        <f>IF('Lab test'!AQ443&gt;0,'Lab test'!AQ443,NA())</f>
        <v>0.69153065309309791</v>
      </c>
      <c r="E454">
        <f>IF('Lab test'!AU443&gt;0,'Lab test'!AU443,NA())</f>
        <v>0.78611294696936096</v>
      </c>
      <c r="F454">
        <f>IF('Lab test'!AT443&gt;0,'Lab test'!AT443,NA())</f>
        <v>0.37593072321031284</v>
      </c>
      <c r="G454">
        <f t="shared" si="116"/>
        <v>1</v>
      </c>
      <c r="H454">
        <f t="shared" si="117"/>
        <v>1</v>
      </c>
      <c r="I454">
        <f t="shared" si="118"/>
        <v>1</v>
      </c>
      <c r="J454">
        <f t="shared" si="119"/>
        <v>1</v>
      </c>
      <c r="K454">
        <f t="shared" si="120"/>
        <v>1</v>
      </c>
      <c r="L454" t="str">
        <f>'Lab test'!AC443</f>
        <v>LTWb</v>
      </c>
      <c r="O454" t="e">
        <f t="shared" si="121"/>
        <v>#N/A</v>
      </c>
      <c r="P454">
        <f t="shared" si="122"/>
        <v>0.78611294696936096</v>
      </c>
      <c r="Q454" t="e">
        <f t="shared" si="123"/>
        <v>#N/A</v>
      </c>
      <c r="R454" t="e">
        <f t="shared" si="124"/>
        <v>#N/A</v>
      </c>
      <c r="S454" t="e">
        <f t="shared" si="125"/>
        <v>#N/A</v>
      </c>
      <c r="T454" t="e">
        <f t="shared" si="126"/>
        <v>#N/A</v>
      </c>
      <c r="U454" t="e">
        <f t="shared" si="127"/>
        <v>#N/A</v>
      </c>
      <c r="W454" t="e">
        <f t="shared" si="128"/>
        <v>#N/A</v>
      </c>
      <c r="X454">
        <f t="shared" si="129"/>
        <v>0.37593072321031284</v>
      </c>
      <c r="Y454" t="e">
        <f t="shared" si="130"/>
        <v>#N/A</v>
      </c>
      <c r="Z454" t="e">
        <f t="shared" si="131"/>
        <v>#N/A</v>
      </c>
      <c r="AA454" t="e">
        <f t="shared" si="132"/>
        <v>#N/A</v>
      </c>
      <c r="AB454" t="e">
        <f t="shared" si="133"/>
        <v>#N/A</v>
      </c>
      <c r="AC454" t="e">
        <f t="shared" si="134"/>
        <v>#N/A</v>
      </c>
    </row>
    <row r="455" spans="2:29">
      <c r="B455">
        <v>441</v>
      </c>
      <c r="C455">
        <f>'Lab test'!Q444</f>
        <v>119</v>
      </c>
      <c r="D455">
        <f>IF('Lab test'!AQ444&gt;0,'Lab test'!AQ444,NA())</f>
        <v>0.87351472926276308</v>
      </c>
      <c r="E455">
        <f>IF('Lab test'!AU444&gt;0,'Lab test'!AU444,NA())</f>
        <v>0.42442100934506605</v>
      </c>
      <c r="F455">
        <f>IF('Lab test'!AT444&gt;0,'Lab test'!AT444,NA())</f>
        <v>0.32384510638040481</v>
      </c>
      <c r="G455">
        <f t="shared" si="116"/>
        <v>1</v>
      </c>
      <c r="H455">
        <f t="shared" si="117"/>
        <v>1</v>
      </c>
      <c r="I455">
        <f t="shared" si="118"/>
        <v>1</v>
      </c>
      <c r="J455">
        <f t="shared" si="119"/>
        <v>1</v>
      </c>
      <c r="K455">
        <f t="shared" si="120"/>
        <v>1</v>
      </c>
      <c r="L455" t="str">
        <f>'Lab test'!AC444</f>
        <v>LTWb</v>
      </c>
      <c r="O455" t="e">
        <f t="shared" si="121"/>
        <v>#N/A</v>
      </c>
      <c r="P455">
        <f t="shared" si="122"/>
        <v>0.42442100934506605</v>
      </c>
      <c r="Q455" t="e">
        <f t="shared" si="123"/>
        <v>#N/A</v>
      </c>
      <c r="R455" t="e">
        <f t="shared" si="124"/>
        <v>#N/A</v>
      </c>
      <c r="S455" t="e">
        <f t="shared" si="125"/>
        <v>#N/A</v>
      </c>
      <c r="T455" t="e">
        <f t="shared" si="126"/>
        <v>#N/A</v>
      </c>
      <c r="U455" t="e">
        <f t="shared" si="127"/>
        <v>#N/A</v>
      </c>
      <c r="W455" t="e">
        <f t="shared" si="128"/>
        <v>#N/A</v>
      </c>
      <c r="X455">
        <f t="shared" si="129"/>
        <v>0.32384510638040481</v>
      </c>
      <c r="Y455" t="e">
        <f t="shared" si="130"/>
        <v>#N/A</v>
      </c>
      <c r="Z455" t="e">
        <f t="shared" si="131"/>
        <v>#N/A</v>
      </c>
      <c r="AA455" t="e">
        <f t="shared" si="132"/>
        <v>#N/A</v>
      </c>
      <c r="AB455" t="e">
        <f t="shared" si="133"/>
        <v>#N/A</v>
      </c>
      <c r="AC455" t="e">
        <f t="shared" si="134"/>
        <v>#N/A</v>
      </c>
    </row>
    <row r="456" spans="2:29">
      <c r="B456">
        <v>442</v>
      </c>
      <c r="C456">
        <f>'Lab test'!Q445</f>
        <v>119</v>
      </c>
      <c r="D456">
        <f>IF('Lab test'!AQ445&gt;0,'Lab test'!AQ445,NA())</f>
        <v>0.87351472926276308</v>
      </c>
      <c r="E456">
        <f>IF('Lab test'!AU445&gt;0,'Lab test'!AU445,NA())</f>
        <v>0.48721799542163191</v>
      </c>
      <c r="F456">
        <f>IF('Lab test'!AT445&gt;0,'Lab test'!AT445,NA())</f>
        <v>0.37176096395709735</v>
      </c>
      <c r="G456">
        <f t="shared" si="116"/>
        <v>1</v>
      </c>
      <c r="H456">
        <f t="shared" si="117"/>
        <v>1</v>
      </c>
      <c r="I456">
        <f t="shared" si="118"/>
        <v>1</v>
      </c>
      <c r="J456">
        <f t="shared" si="119"/>
        <v>1</v>
      </c>
      <c r="K456">
        <f t="shared" si="120"/>
        <v>1</v>
      </c>
      <c r="L456" t="str">
        <f>'Lab test'!AC445</f>
        <v>LTWb</v>
      </c>
      <c r="O456" t="e">
        <f t="shared" si="121"/>
        <v>#N/A</v>
      </c>
      <c r="P456">
        <f t="shared" si="122"/>
        <v>0.48721799542163191</v>
      </c>
      <c r="Q456" t="e">
        <f t="shared" si="123"/>
        <v>#N/A</v>
      </c>
      <c r="R456" t="e">
        <f t="shared" si="124"/>
        <v>#N/A</v>
      </c>
      <c r="S456" t="e">
        <f t="shared" si="125"/>
        <v>#N/A</v>
      </c>
      <c r="T456" t="e">
        <f t="shared" si="126"/>
        <v>#N/A</v>
      </c>
      <c r="U456" t="e">
        <f t="shared" si="127"/>
        <v>#N/A</v>
      </c>
      <c r="W456" t="e">
        <f t="shared" si="128"/>
        <v>#N/A</v>
      </c>
      <c r="X456">
        <f t="shared" si="129"/>
        <v>0.37176096395709735</v>
      </c>
      <c r="Y456" t="e">
        <f t="shared" si="130"/>
        <v>#N/A</v>
      </c>
      <c r="Z456" t="e">
        <f t="shared" si="131"/>
        <v>#N/A</v>
      </c>
      <c r="AA456" t="e">
        <f t="shared" si="132"/>
        <v>#N/A</v>
      </c>
      <c r="AB456" t="e">
        <f t="shared" si="133"/>
        <v>#N/A</v>
      </c>
      <c r="AC456" t="e">
        <f t="shared" si="134"/>
        <v>#N/A</v>
      </c>
    </row>
    <row r="457" spans="2:29">
      <c r="B457">
        <v>443</v>
      </c>
      <c r="C457">
        <f>'Lab test'!Q446</f>
        <v>263</v>
      </c>
      <c r="D457">
        <f>IF('Lab test'!AQ446&gt;0,'Lab test'!AQ446,NA())</f>
        <v>1.3021588759859088</v>
      </c>
      <c r="E457">
        <f>IF('Lab test'!AU446&gt;0,'Lab test'!AU446,NA())</f>
        <v>0.33130823688670968</v>
      </c>
      <c r="F457">
        <f>IF('Lab test'!AT446&gt;0,'Lab test'!AT446,NA())</f>
        <v>0.56177212331294712</v>
      </c>
      <c r="G457">
        <f t="shared" si="116"/>
        <v>1</v>
      </c>
      <c r="H457">
        <f t="shared" si="117"/>
        <v>1</v>
      </c>
      <c r="I457">
        <f t="shared" si="118"/>
        <v>1</v>
      </c>
      <c r="J457">
        <f t="shared" si="119"/>
        <v>1</v>
      </c>
      <c r="K457">
        <f t="shared" si="120"/>
        <v>1</v>
      </c>
      <c r="L457" t="str">
        <f>'Lab test'!AC446</f>
        <v>LTWb</v>
      </c>
      <c r="O457" t="e">
        <f t="shared" si="121"/>
        <v>#N/A</v>
      </c>
      <c r="P457">
        <f t="shared" si="122"/>
        <v>0.33130823688670968</v>
      </c>
      <c r="Q457" t="e">
        <f t="shared" si="123"/>
        <v>#N/A</v>
      </c>
      <c r="R457" t="e">
        <f t="shared" si="124"/>
        <v>#N/A</v>
      </c>
      <c r="S457" t="e">
        <f t="shared" si="125"/>
        <v>#N/A</v>
      </c>
      <c r="T457" t="e">
        <f t="shared" si="126"/>
        <v>#N/A</v>
      </c>
      <c r="U457" t="e">
        <f t="shared" si="127"/>
        <v>#N/A</v>
      </c>
      <c r="W457" t="e">
        <f t="shared" si="128"/>
        <v>#N/A</v>
      </c>
      <c r="X457">
        <f t="shared" si="129"/>
        <v>0.56177212331294712</v>
      </c>
      <c r="Y457" t="e">
        <f t="shared" si="130"/>
        <v>#N/A</v>
      </c>
      <c r="Z457" t="e">
        <f t="shared" si="131"/>
        <v>#N/A</v>
      </c>
      <c r="AA457" t="e">
        <f t="shared" si="132"/>
        <v>#N/A</v>
      </c>
      <c r="AB457" t="e">
        <f t="shared" si="133"/>
        <v>#N/A</v>
      </c>
      <c r="AC457" t="e">
        <f t="shared" si="134"/>
        <v>#N/A</v>
      </c>
    </row>
    <row r="458" spans="2:29">
      <c r="B458">
        <v>444</v>
      </c>
      <c r="C458">
        <f>'Lab test'!Q447</f>
        <v>263</v>
      </c>
      <c r="D458">
        <f>IF('Lab test'!AQ447&gt;0,'Lab test'!AQ447,NA())</f>
        <v>1.3021588759859088</v>
      </c>
      <c r="E458">
        <f>IF('Lab test'!AU447&gt;0,'Lab test'!AU447,NA())</f>
        <v>0.24848117766503225</v>
      </c>
      <c r="F458">
        <f>IF('Lab test'!AT447&gt;0,'Lab test'!AT447,NA())</f>
        <v>0.42132909248471029</v>
      </c>
      <c r="G458">
        <f t="shared" si="116"/>
        <v>1</v>
      </c>
      <c r="H458">
        <f t="shared" si="117"/>
        <v>1</v>
      </c>
      <c r="I458">
        <f t="shared" si="118"/>
        <v>1</v>
      </c>
      <c r="J458">
        <f t="shared" si="119"/>
        <v>1</v>
      </c>
      <c r="K458">
        <f t="shared" si="120"/>
        <v>1</v>
      </c>
      <c r="L458" t="str">
        <f>'Lab test'!AC447</f>
        <v>LTWb</v>
      </c>
      <c r="O458" t="e">
        <f t="shared" si="121"/>
        <v>#N/A</v>
      </c>
      <c r="P458">
        <f t="shared" si="122"/>
        <v>0.24848117766503225</v>
      </c>
      <c r="Q458" t="e">
        <f t="shared" si="123"/>
        <v>#N/A</v>
      </c>
      <c r="R458" t="e">
        <f t="shared" si="124"/>
        <v>#N/A</v>
      </c>
      <c r="S458" t="e">
        <f t="shared" si="125"/>
        <v>#N/A</v>
      </c>
      <c r="T458" t="e">
        <f t="shared" si="126"/>
        <v>#N/A</v>
      </c>
      <c r="U458" t="e">
        <f t="shared" si="127"/>
        <v>#N/A</v>
      </c>
      <c r="W458" t="e">
        <f t="shared" si="128"/>
        <v>#N/A</v>
      </c>
      <c r="X458">
        <f t="shared" si="129"/>
        <v>0.42132909248471029</v>
      </c>
      <c r="Y458" t="e">
        <f t="shared" si="130"/>
        <v>#N/A</v>
      </c>
      <c r="Z458" t="e">
        <f t="shared" si="131"/>
        <v>#N/A</v>
      </c>
      <c r="AA458" t="e">
        <f t="shared" si="132"/>
        <v>#N/A</v>
      </c>
      <c r="AB458" t="e">
        <f t="shared" si="133"/>
        <v>#N/A</v>
      </c>
      <c r="AC458" t="e">
        <f t="shared" si="134"/>
        <v>#N/A</v>
      </c>
    </row>
    <row r="459" spans="2:29">
      <c r="B459">
        <v>445</v>
      </c>
      <c r="C459">
        <f>'Lab test'!Q448</f>
        <v>475</v>
      </c>
      <c r="D459">
        <f>IF('Lab test'!AQ448&gt;0,'Lab test'!AQ448,NA())</f>
        <v>1.7470294585255262</v>
      </c>
      <c r="E459">
        <f>IF('Lab test'!AU448&gt;0,'Lab test'!AU448,NA())</f>
        <v>0.10285713236678898</v>
      </c>
      <c r="F459">
        <f>IF('Lab test'!AT448&gt;0,'Lab test'!AT448,NA())</f>
        <v>0.31393148067488225</v>
      </c>
      <c r="G459">
        <f t="shared" si="116"/>
        <v>1</v>
      </c>
      <c r="H459">
        <f t="shared" si="117"/>
        <v>1</v>
      </c>
      <c r="I459">
        <f t="shared" si="118"/>
        <v>1</v>
      </c>
      <c r="J459">
        <f t="shared" si="119"/>
        <v>1</v>
      </c>
      <c r="K459">
        <f t="shared" si="120"/>
        <v>1</v>
      </c>
      <c r="L459" t="str">
        <f>'Lab test'!AC448</f>
        <v>LTWb</v>
      </c>
      <c r="O459" t="e">
        <f t="shared" si="121"/>
        <v>#N/A</v>
      </c>
      <c r="P459">
        <f t="shared" si="122"/>
        <v>0.10285713236678898</v>
      </c>
      <c r="Q459" t="e">
        <f t="shared" si="123"/>
        <v>#N/A</v>
      </c>
      <c r="R459" t="e">
        <f t="shared" si="124"/>
        <v>#N/A</v>
      </c>
      <c r="S459" t="e">
        <f t="shared" si="125"/>
        <v>#N/A</v>
      </c>
      <c r="T459" t="e">
        <f t="shared" si="126"/>
        <v>#N/A</v>
      </c>
      <c r="U459" t="e">
        <f t="shared" si="127"/>
        <v>#N/A</v>
      </c>
      <c r="W459" t="e">
        <f t="shared" si="128"/>
        <v>#N/A</v>
      </c>
      <c r="X459">
        <f t="shared" si="129"/>
        <v>0.31393148067488225</v>
      </c>
      <c r="Y459" t="e">
        <f t="shared" si="130"/>
        <v>#N/A</v>
      </c>
      <c r="Z459" t="e">
        <f t="shared" si="131"/>
        <v>#N/A</v>
      </c>
      <c r="AA459" t="e">
        <f t="shared" si="132"/>
        <v>#N/A</v>
      </c>
      <c r="AB459" t="e">
        <f t="shared" si="133"/>
        <v>#N/A</v>
      </c>
      <c r="AC459" t="e">
        <f t="shared" si="134"/>
        <v>#N/A</v>
      </c>
    </row>
    <row r="460" spans="2:29">
      <c r="B460">
        <v>446</v>
      </c>
      <c r="C460">
        <f>'Lab test'!Q449</f>
        <v>475</v>
      </c>
      <c r="D460">
        <f>IF('Lab test'!AQ449&gt;0,'Lab test'!AQ449,NA())</f>
        <v>1.7470294585255262</v>
      </c>
      <c r="E460">
        <f>IF('Lab test'!AU449&gt;0,'Lab test'!AU449,NA())</f>
        <v>0.18947366488619016</v>
      </c>
      <c r="F460">
        <f>IF('Lab test'!AT449&gt;0,'Lab test'!AT449,NA())</f>
        <v>0.57829483282215133</v>
      </c>
      <c r="G460">
        <f t="shared" si="116"/>
        <v>1</v>
      </c>
      <c r="H460">
        <f t="shared" si="117"/>
        <v>1</v>
      </c>
      <c r="I460">
        <f t="shared" si="118"/>
        <v>1</v>
      </c>
      <c r="J460">
        <f t="shared" si="119"/>
        <v>1</v>
      </c>
      <c r="K460">
        <f t="shared" si="120"/>
        <v>1</v>
      </c>
      <c r="L460" t="str">
        <f>'Lab test'!AC449</f>
        <v>LTWb</v>
      </c>
      <c r="O460" t="e">
        <f t="shared" si="121"/>
        <v>#N/A</v>
      </c>
      <c r="P460">
        <f t="shared" si="122"/>
        <v>0.18947366488619016</v>
      </c>
      <c r="Q460" t="e">
        <f t="shared" si="123"/>
        <v>#N/A</v>
      </c>
      <c r="R460" t="e">
        <f t="shared" si="124"/>
        <v>#N/A</v>
      </c>
      <c r="S460" t="e">
        <f t="shared" si="125"/>
        <v>#N/A</v>
      </c>
      <c r="T460" t="e">
        <f t="shared" si="126"/>
        <v>#N/A</v>
      </c>
      <c r="U460" t="e">
        <f t="shared" si="127"/>
        <v>#N/A</v>
      </c>
      <c r="W460" t="e">
        <f t="shared" si="128"/>
        <v>#N/A</v>
      </c>
      <c r="X460">
        <f t="shared" si="129"/>
        <v>0.57829483282215133</v>
      </c>
      <c r="Y460" t="e">
        <f t="shared" si="130"/>
        <v>#N/A</v>
      </c>
      <c r="Z460" t="e">
        <f t="shared" si="131"/>
        <v>#N/A</v>
      </c>
      <c r="AA460" t="e">
        <f t="shared" si="132"/>
        <v>#N/A</v>
      </c>
      <c r="AB460" t="e">
        <f t="shared" si="133"/>
        <v>#N/A</v>
      </c>
      <c r="AC460" t="e">
        <f t="shared" si="134"/>
        <v>#N/A</v>
      </c>
    </row>
    <row r="461" spans="2:29">
      <c r="B461">
        <v>447</v>
      </c>
      <c r="C461">
        <f>'Lab test'!Q450</f>
        <v>594</v>
      </c>
      <c r="D461">
        <f>IF('Lab test'!AQ450&gt;0,'Lab test'!AQ450,NA())</f>
        <v>1.9532383139788632</v>
      </c>
      <c r="E461">
        <f>IF('Lab test'!AU450&gt;0,'Lab test'!AU450,NA())</f>
        <v>7.7088713942267087E-2</v>
      </c>
      <c r="F461">
        <f>IF('Lab test'!AT450&gt;0,'Lab test'!AT450,NA())</f>
        <v>0.29410422926383706</v>
      </c>
      <c r="G461">
        <f t="shared" si="116"/>
        <v>1</v>
      </c>
      <c r="H461">
        <f t="shared" si="117"/>
        <v>1</v>
      </c>
      <c r="I461">
        <f t="shared" si="118"/>
        <v>1</v>
      </c>
      <c r="J461">
        <f t="shared" si="119"/>
        <v>1</v>
      </c>
      <c r="K461">
        <f t="shared" si="120"/>
        <v>1</v>
      </c>
      <c r="L461" t="str">
        <f>'Lab test'!AC450</f>
        <v>LTWb</v>
      </c>
      <c r="O461" t="e">
        <f t="shared" si="121"/>
        <v>#N/A</v>
      </c>
      <c r="P461">
        <f t="shared" si="122"/>
        <v>7.7088713942267087E-2</v>
      </c>
      <c r="Q461" t="e">
        <f t="shared" si="123"/>
        <v>#N/A</v>
      </c>
      <c r="R461" t="e">
        <f t="shared" si="124"/>
        <v>#N/A</v>
      </c>
      <c r="S461" t="e">
        <f t="shared" si="125"/>
        <v>#N/A</v>
      </c>
      <c r="T461" t="e">
        <f t="shared" si="126"/>
        <v>#N/A</v>
      </c>
      <c r="U461" t="e">
        <f t="shared" si="127"/>
        <v>#N/A</v>
      </c>
      <c r="W461" t="e">
        <f t="shared" si="128"/>
        <v>#N/A</v>
      </c>
      <c r="X461">
        <f t="shared" si="129"/>
        <v>0.29410422926383706</v>
      </c>
      <c r="Y461" t="e">
        <f t="shared" si="130"/>
        <v>#N/A</v>
      </c>
      <c r="Z461" t="e">
        <f t="shared" si="131"/>
        <v>#N/A</v>
      </c>
      <c r="AA461" t="e">
        <f t="shared" si="132"/>
        <v>#N/A</v>
      </c>
      <c r="AB461" t="e">
        <f t="shared" si="133"/>
        <v>#N/A</v>
      </c>
      <c r="AC461" t="e">
        <f t="shared" si="134"/>
        <v>#N/A</v>
      </c>
    </row>
    <row r="462" spans="2:29">
      <c r="B462">
        <v>448</v>
      </c>
      <c r="C462">
        <f>'Lab test'!Q451</f>
        <v>594</v>
      </c>
      <c r="D462">
        <f>IF('Lab test'!AQ451&gt;0,'Lab test'!AQ451,NA())</f>
        <v>1.9532383139788632</v>
      </c>
      <c r="E462">
        <f>IF('Lab test'!AU451&gt;0,'Lab test'!AU451,NA())</f>
        <v>0.12342855884014675</v>
      </c>
      <c r="F462">
        <f>IF('Lab test'!AT451&gt;0,'Lab test'!AT451,NA())</f>
        <v>0.4708972210123234</v>
      </c>
      <c r="G462">
        <f t="shared" si="116"/>
        <v>1</v>
      </c>
      <c r="H462">
        <f t="shared" si="117"/>
        <v>1</v>
      </c>
      <c r="I462">
        <f t="shared" si="118"/>
        <v>1</v>
      </c>
      <c r="J462">
        <f t="shared" si="119"/>
        <v>1</v>
      </c>
      <c r="K462">
        <f t="shared" si="120"/>
        <v>1</v>
      </c>
      <c r="L462" t="str">
        <f>'Lab test'!AC451</f>
        <v>LTWb</v>
      </c>
      <c r="O462" t="e">
        <f t="shared" si="121"/>
        <v>#N/A</v>
      </c>
      <c r="P462">
        <f t="shared" si="122"/>
        <v>0.12342855884014675</v>
      </c>
      <c r="Q462" t="e">
        <f t="shared" si="123"/>
        <v>#N/A</v>
      </c>
      <c r="R462" t="e">
        <f t="shared" si="124"/>
        <v>#N/A</v>
      </c>
      <c r="S462" t="e">
        <f t="shared" si="125"/>
        <v>#N/A</v>
      </c>
      <c r="T462" t="e">
        <f t="shared" si="126"/>
        <v>#N/A</v>
      </c>
      <c r="U462" t="e">
        <f t="shared" si="127"/>
        <v>#N/A</v>
      </c>
      <c r="W462" t="e">
        <f t="shared" si="128"/>
        <v>#N/A</v>
      </c>
      <c r="X462">
        <f t="shared" si="129"/>
        <v>0.4708972210123234</v>
      </c>
      <c r="Y462" t="e">
        <f t="shared" si="130"/>
        <v>#N/A</v>
      </c>
      <c r="Z462" t="e">
        <f t="shared" si="131"/>
        <v>#N/A</v>
      </c>
      <c r="AA462" t="e">
        <f t="shared" si="132"/>
        <v>#N/A</v>
      </c>
      <c r="AB462" t="e">
        <f t="shared" si="133"/>
        <v>#N/A</v>
      </c>
      <c r="AC462" t="e">
        <f t="shared" si="134"/>
        <v>#N/A</v>
      </c>
    </row>
    <row r="463" spans="2:29">
      <c r="B463">
        <v>449</v>
      </c>
      <c r="C463">
        <f>'Lab test'!Q452</f>
        <v>135</v>
      </c>
      <c r="D463">
        <f>IF('Lab test'!AQ452&gt;0,'Lab test'!AQ452,NA())</f>
        <v>0.66791697647315873</v>
      </c>
      <c r="E463">
        <f>IF('Lab test'!AU452&gt;0,'Lab test'!AU452,NA())</f>
        <v>0.88888919547159806</v>
      </c>
      <c r="F463">
        <f>IF('Lab test'!AT452&gt;0,'Lab test'!AT452,NA())</f>
        <v>0.3965451034025998</v>
      </c>
      <c r="G463">
        <f t="shared" si="116"/>
        <v>1</v>
      </c>
      <c r="H463">
        <f t="shared" si="117"/>
        <v>1</v>
      </c>
      <c r="I463">
        <f t="shared" si="118"/>
        <v>1</v>
      </c>
      <c r="J463">
        <f t="shared" si="119"/>
        <v>1</v>
      </c>
      <c r="K463">
        <f t="shared" si="120"/>
        <v>1</v>
      </c>
      <c r="L463" t="str">
        <f>'Lab test'!AC452</f>
        <v>LTWb</v>
      </c>
      <c r="O463" t="e">
        <f t="shared" si="121"/>
        <v>#N/A</v>
      </c>
      <c r="P463">
        <f t="shared" si="122"/>
        <v>0.88888919547159806</v>
      </c>
      <c r="Q463" t="e">
        <f t="shared" si="123"/>
        <v>#N/A</v>
      </c>
      <c r="R463" t="e">
        <f t="shared" si="124"/>
        <v>#N/A</v>
      </c>
      <c r="S463" t="e">
        <f t="shared" si="125"/>
        <v>#N/A</v>
      </c>
      <c r="T463" t="e">
        <f t="shared" si="126"/>
        <v>#N/A</v>
      </c>
      <c r="U463" t="e">
        <f t="shared" si="127"/>
        <v>#N/A</v>
      </c>
      <c r="W463" t="e">
        <f t="shared" si="128"/>
        <v>#N/A</v>
      </c>
      <c r="X463">
        <f t="shared" si="129"/>
        <v>0.3965451034025998</v>
      </c>
      <c r="Y463" t="e">
        <f t="shared" si="130"/>
        <v>#N/A</v>
      </c>
      <c r="Z463" t="e">
        <f t="shared" si="131"/>
        <v>#N/A</v>
      </c>
      <c r="AA463" t="e">
        <f t="shared" si="132"/>
        <v>#N/A</v>
      </c>
      <c r="AB463" t="e">
        <f t="shared" si="133"/>
        <v>#N/A</v>
      </c>
      <c r="AC463" t="e">
        <f t="shared" si="134"/>
        <v>#N/A</v>
      </c>
    </row>
    <row r="464" spans="2:29">
      <c r="B464">
        <v>450</v>
      </c>
      <c r="C464">
        <f>'Lab test'!Q453</f>
        <v>135</v>
      </c>
      <c r="D464">
        <f>IF('Lab test'!AQ453&gt;0,'Lab test'!AQ453,NA())</f>
        <v>0.98406917019690632</v>
      </c>
      <c r="E464">
        <f>IF('Lab test'!AU453&gt;0,'Lab test'!AU453,NA())</f>
        <v>0.40948813843719867</v>
      </c>
      <c r="F464">
        <f>IF('Lab test'!AT453&gt;0,'Lab test'!AT453,NA())</f>
        <v>0.39654509130017851</v>
      </c>
      <c r="G464">
        <f t="shared" ref="G464:G527" si="135">IF(AND(ISNUMBER(D464),ISNUMBER(E464)),1,NA())</f>
        <v>1</v>
      </c>
      <c r="H464">
        <f t="shared" ref="H464:H527" si="136">IF(AND(ISNUMBER(D464),ISNUMBER(F464)),1,NA())</f>
        <v>1</v>
      </c>
      <c r="I464">
        <f t="shared" ref="I464:I527" si="137">IF(AND(ISNUMBER(C464),ISNUMBER(E464)),1,NA())</f>
        <v>1</v>
      </c>
      <c r="J464">
        <f t="shared" ref="J464:J527" si="138">IF(AND(ISNUMBER(C464),ISNUMBER(F464)),1,NA())</f>
        <v>1</v>
      </c>
      <c r="K464">
        <f t="shared" ref="K464:K527" si="139">IF(OR(ISNUMBER(E464),ISNUMBER(F464)),1,NA())</f>
        <v>1</v>
      </c>
      <c r="L464" t="str">
        <f>'Lab test'!AC453</f>
        <v>LTWb</v>
      </c>
      <c r="O464" t="e">
        <f t="shared" ref="O464:O527" si="140">IF(EXACT($O$14,L464),E464,NA())</f>
        <v>#N/A</v>
      </c>
      <c r="P464">
        <f t="shared" ref="P464:P527" si="141">IF(EXACT($P$14,L464),E464,NA())</f>
        <v>0.40948813843719867</v>
      </c>
      <c r="Q464" t="e">
        <f t="shared" ref="Q464:Q527" si="142">IF(EXACT($Q$14,L464),E464,NA())</f>
        <v>#N/A</v>
      </c>
      <c r="R464" t="e">
        <f t="shared" ref="R464:R527" si="143">IF(EXACT($R$14,L464),E464,NA())</f>
        <v>#N/A</v>
      </c>
      <c r="S464" t="e">
        <f t="shared" ref="S464:S527" si="144">IF(EXACT($S$14,L464),E464,NA())</f>
        <v>#N/A</v>
      </c>
      <c r="T464" t="e">
        <f t="shared" ref="T464:T527" si="145">IF(EXACT($T$14,L464),E464,NA())</f>
        <v>#N/A</v>
      </c>
      <c r="U464" t="e">
        <f t="shared" ref="U464:U527" si="146">IF(EXACT($U$14,L464),E464,NA())</f>
        <v>#N/A</v>
      </c>
      <c r="W464" t="e">
        <f t="shared" ref="W464:W527" si="147">IF(EXACT($W$14,L464),F464,NA())</f>
        <v>#N/A</v>
      </c>
      <c r="X464">
        <f t="shared" ref="X464:X527" si="148">IF(EXACT($X$14,L464),F464,NA())</f>
        <v>0.39654509130017851</v>
      </c>
      <c r="Y464" t="e">
        <f t="shared" ref="Y464:Y527" si="149">IF(EXACT($Y$14,L464),F464,NA())</f>
        <v>#N/A</v>
      </c>
      <c r="Z464" t="e">
        <f t="shared" ref="Z464:Z527" si="150">IF(EXACT($Z$14,L464),F464,NA())</f>
        <v>#N/A</v>
      </c>
      <c r="AA464" t="e">
        <f t="shared" ref="AA464:AA527" si="151">IF(EXACT($AA$14,L464),F464,NA())</f>
        <v>#N/A</v>
      </c>
      <c r="AB464" t="e">
        <f t="shared" ref="AB464:AB527" si="152">IF(EXACT($AB$14,L464),F464,NA())</f>
        <v>#N/A</v>
      </c>
      <c r="AC464" t="e">
        <f t="shared" ref="AC464:AC527" si="153">IF(EXACT($AC$14,L464),F464,NA())</f>
        <v>#N/A</v>
      </c>
    </row>
    <row r="465" spans="2:29">
      <c r="B465">
        <v>451</v>
      </c>
      <c r="C465">
        <f>'Lab test'!Q454</f>
        <v>169</v>
      </c>
      <c r="D465">
        <f>IF('Lab test'!AQ454&gt;0,'Lab test'!AQ454,NA())</f>
        <v>0.74675388136005527</v>
      </c>
      <c r="E465">
        <f>IF('Lab test'!AU454&gt;0,'Lab test'!AU454,NA())</f>
        <v>0.6962965364527518</v>
      </c>
      <c r="F465">
        <f>IF('Lab test'!AT454&gt;0,'Lab test'!AT454,NA())</f>
        <v>0.38828374708171226</v>
      </c>
      <c r="G465">
        <f t="shared" si="135"/>
        <v>1</v>
      </c>
      <c r="H465">
        <f t="shared" si="136"/>
        <v>1</v>
      </c>
      <c r="I465">
        <f t="shared" si="137"/>
        <v>1</v>
      </c>
      <c r="J465">
        <f t="shared" si="138"/>
        <v>1</v>
      </c>
      <c r="K465">
        <f t="shared" si="139"/>
        <v>1</v>
      </c>
      <c r="L465" t="str">
        <f>'Lab test'!AC454</f>
        <v>LTWb</v>
      </c>
      <c r="O465" t="e">
        <f t="shared" si="140"/>
        <v>#N/A</v>
      </c>
      <c r="P465">
        <f t="shared" si="141"/>
        <v>0.6962965364527518</v>
      </c>
      <c r="Q465" t="e">
        <f t="shared" si="142"/>
        <v>#N/A</v>
      </c>
      <c r="R465" t="e">
        <f t="shared" si="143"/>
        <v>#N/A</v>
      </c>
      <c r="S465" t="e">
        <f t="shared" si="144"/>
        <v>#N/A</v>
      </c>
      <c r="T465" t="e">
        <f t="shared" si="145"/>
        <v>#N/A</v>
      </c>
      <c r="U465" t="e">
        <f t="shared" si="146"/>
        <v>#N/A</v>
      </c>
      <c r="W465" t="e">
        <f t="shared" si="147"/>
        <v>#N/A</v>
      </c>
      <c r="X465">
        <f t="shared" si="148"/>
        <v>0.38828374708171226</v>
      </c>
      <c r="Y465" t="e">
        <f t="shared" si="149"/>
        <v>#N/A</v>
      </c>
      <c r="Z465" t="e">
        <f t="shared" si="150"/>
        <v>#N/A</v>
      </c>
      <c r="AA465" t="e">
        <f t="shared" si="151"/>
        <v>#N/A</v>
      </c>
      <c r="AB465" t="e">
        <f t="shared" si="152"/>
        <v>#N/A</v>
      </c>
      <c r="AC465" t="e">
        <f t="shared" si="153"/>
        <v>#N/A</v>
      </c>
    </row>
    <row r="466" spans="2:29">
      <c r="B466">
        <v>452</v>
      </c>
      <c r="C466">
        <f>'Lab test'!Q455</f>
        <v>169</v>
      </c>
      <c r="D466">
        <f>IF('Lab test'!AQ455&gt;0,'Lab test'!AQ455,NA())</f>
        <v>1.1002227795610464</v>
      </c>
      <c r="E466">
        <f>IF('Lab test'!AU455&gt;0,'Lab test'!AU455,NA())</f>
        <v>0.49138576612463836</v>
      </c>
      <c r="F466">
        <f>IF('Lab test'!AT455&gt;0,'Lab test'!AT455,NA())</f>
        <v>0.59481763695026779</v>
      </c>
      <c r="G466">
        <f t="shared" si="135"/>
        <v>1</v>
      </c>
      <c r="H466">
        <f t="shared" si="136"/>
        <v>1</v>
      </c>
      <c r="I466">
        <f t="shared" si="137"/>
        <v>1</v>
      </c>
      <c r="J466">
        <f t="shared" si="138"/>
        <v>1</v>
      </c>
      <c r="K466">
        <f t="shared" si="139"/>
        <v>1</v>
      </c>
      <c r="L466" t="str">
        <f>'Lab test'!AC455</f>
        <v>LTWb</v>
      </c>
      <c r="O466" t="e">
        <f t="shared" si="140"/>
        <v>#N/A</v>
      </c>
      <c r="P466">
        <f t="shared" si="141"/>
        <v>0.49138576612463836</v>
      </c>
      <c r="Q466" t="e">
        <f t="shared" si="142"/>
        <v>#N/A</v>
      </c>
      <c r="R466" t="e">
        <f t="shared" si="143"/>
        <v>#N/A</v>
      </c>
      <c r="S466" t="e">
        <f t="shared" si="144"/>
        <v>#N/A</v>
      </c>
      <c r="T466" t="e">
        <f t="shared" si="145"/>
        <v>#N/A</v>
      </c>
      <c r="U466" t="e">
        <f t="shared" si="146"/>
        <v>#N/A</v>
      </c>
      <c r="W466" t="e">
        <f t="shared" si="147"/>
        <v>#N/A</v>
      </c>
      <c r="X466">
        <f t="shared" si="148"/>
        <v>0.59481763695026779</v>
      </c>
      <c r="Y466" t="e">
        <f t="shared" si="149"/>
        <v>#N/A</v>
      </c>
      <c r="Z466" t="e">
        <f t="shared" si="150"/>
        <v>#N/A</v>
      </c>
      <c r="AA466" t="e">
        <f t="shared" si="151"/>
        <v>#N/A</v>
      </c>
      <c r="AB466" t="e">
        <f t="shared" si="152"/>
        <v>#N/A</v>
      </c>
      <c r="AC466" t="e">
        <f t="shared" si="153"/>
        <v>#N/A</v>
      </c>
    </row>
    <row r="467" spans="2:29">
      <c r="B467">
        <v>453</v>
      </c>
      <c r="C467">
        <f>'Lab test'!Q456</f>
        <v>270</v>
      </c>
      <c r="D467">
        <f>IF('Lab test'!AQ456&gt;0,'Lab test'!AQ456,NA())</f>
        <v>1.3916839668057024</v>
      </c>
      <c r="E467">
        <f>IF('Lab test'!AU456&gt;0,'Lab test'!AU456,NA())</f>
        <v>0.25593008652324917</v>
      </c>
      <c r="F467">
        <f>IF('Lab test'!AT456&gt;0,'Lab test'!AT456,NA())</f>
        <v>0.49568136412522307</v>
      </c>
      <c r="G467">
        <f t="shared" si="135"/>
        <v>1</v>
      </c>
      <c r="H467">
        <f t="shared" si="136"/>
        <v>1</v>
      </c>
      <c r="I467">
        <f t="shared" si="137"/>
        <v>1</v>
      </c>
      <c r="J467">
        <f t="shared" si="138"/>
        <v>1</v>
      </c>
      <c r="K467">
        <f t="shared" si="139"/>
        <v>1</v>
      </c>
      <c r="L467" t="str">
        <f>'Lab test'!AC456</f>
        <v>LTWb</v>
      </c>
      <c r="O467" t="e">
        <f t="shared" si="140"/>
        <v>#N/A</v>
      </c>
      <c r="P467">
        <f t="shared" si="141"/>
        <v>0.25593008652324917</v>
      </c>
      <c r="Q467" t="e">
        <f t="shared" si="142"/>
        <v>#N/A</v>
      </c>
      <c r="R467" t="e">
        <f t="shared" si="143"/>
        <v>#N/A</v>
      </c>
      <c r="S467" t="e">
        <f t="shared" si="144"/>
        <v>#N/A</v>
      </c>
      <c r="T467" t="e">
        <f t="shared" si="145"/>
        <v>#N/A</v>
      </c>
      <c r="U467" t="e">
        <f t="shared" si="146"/>
        <v>#N/A</v>
      </c>
      <c r="W467" t="e">
        <f t="shared" si="147"/>
        <v>#N/A</v>
      </c>
      <c r="X467">
        <f t="shared" si="148"/>
        <v>0.49568136412522307</v>
      </c>
      <c r="Y467" t="e">
        <f t="shared" si="149"/>
        <v>#N/A</v>
      </c>
      <c r="Z467" t="e">
        <f t="shared" si="150"/>
        <v>#N/A</v>
      </c>
      <c r="AA467" t="e">
        <f t="shared" si="151"/>
        <v>#N/A</v>
      </c>
      <c r="AB467" t="e">
        <f t="shared" si="152"/>
        <v>#N/A</v>
      </c>
      <c r="AC467" t="e">
        <f t="shared" si="153"/>
        <v>#N/A</v>
      </c>
    </row>
    <row r="468" spans="2:29">
      <c r="B468">
        <v>454</v>
      </c>
      <c r="C468">
        <f>'Lab test'!Q457</f>
        <v>270</v>
      </c>
      <c r="D468">
        <f>IF('Lab test'!AQ457&gt;0,'Lab test'!AQ457,NA())</f>
        <v>1.3916839668057024</v>
      </c>
      <c r="E468">
        <f>IF('Lab test'!AU457&gt;0,'Lab test'!AU457,NA())</f>
        <v>0.37536412690076543</v>
      </c>
      <c r="F468">
        <f>IF('Lab test'!AT457&gt;0,'Lab test'!AT457,NA())</f>
        <v>0.72699933405032724</v>
      </c>
      <c r="G468">
        <f t="shared" si="135"/>
        <v>1</v>
      </c>
      <c r="H468">
        <f t="shared" si="136"/>
        <v>1</v>
      </c>
      <c r="I468">
        <f t="shared" si="137"/>
        <v>1</v>
      </c>
      <c r="J468">
        <f t="shared" si="138"/>
        <v>1</v>
      </c>
      <c r="K468">
        <f t="shared" si="139"/>
        <v>1</v>
      </c>
      <c r="L468" t="str">
        <f>'Lab test'!AC457</f>
        <v>LTWb</v>
      </c>
      <c r="O468" t="e">
        <f t="shared" si="140"/>
        <v>#N/A</v>
      </c>
      <c r="P468">
        <f t="shared" si="141"/>
        <v>0.37536412690076543</v>
      </c>
      <c r="Q468" t="e">
        <f t="shared" si="142"/>
        <v>#N/A</v>
      </c>
      <c r="R468" t="e">
        <f t="shared" si="143"/>
        <v>#N/A</v>
      </c>
      <c r="S468" t="e">
        <f t="shared" si="144"/>
        <v>#N/A</v>
      </c>
      <c r="T468" t="e">
        <f t="shared" si="145"/>
        <v>#N/A</v>
      </c>
      <c r="U468" t="e">
        <f t="shared" si="146"/>
        <v>#N/A</v>
      </c>
      <c r="W468" t="e">
        <f t="shared" si="147"/>
        <v>#N/A</v>
      </c>
      <c r="X468">
        <f t="shared" si="148"/>
        <v>0.72699933405032724</v>
      </c>
      <c r="Y468" t="e">
        <f t="shared" si="149"/>
        <v>#N/A</v>
      </c>
      <c r="Z468" t="e">
        <f t="shared" si="150"/>
        <v>#N/A</v>
      </c>
      <c r="AA468" t="e">
        <f t="shared" si="151"/>
        <v>#N/A</v>
      </c>
      <c r="AB468" t="e">
        <f t="shared" si="152"/>
        <v>#N/A</v>
      </c>
      <c r="AC468" t="e">
        <f t="shared" si="153"/>
        <v>#N/A</v>
      </c>
    </row>
    <row r="469" spans="2:29">
      <c r="B469">
        <v>455</v>
      </c>
      <c r="C469">
        <f>'Lab test'!Q458</f>
        <v>1185</v>
      </c>
      <c r="D469">
        <f>IF('Lab test'!AQ458&gt;0,'Lab test'!AQ458,NA())</f>
        <v>2.8014797159771994</v>
      </c>
      <c r="E469">
        <f>IF('Lab test'!AU458&gt;0,'Lab test'!AU458,NA())</f>
        <v>3.6842104087588902E-2</v>
      </c>
      <c r="F469">
        <f>IF('Lab test'!AT458&gt;0,'Lab test'!AT458,NA())</f>
        <v>0.28914746547496278</v>
      </c>
      <c r="G469">
        <f t="shared" si="135"/>
        <v>1</v>
      </c>
      <c r="H469">
        <f t="shared" si="136"/>
        <v>1</v>
      </c>
      <c r="I469">
        <f t="shared" si="137"/>
        <v>1</v>
      </c>
      <c r="J469">
        <f t="shared" si="138"/>
        <v>1</v>
      </c>
      <c r="K469">
        <f t="shared" si="139"/>
        <v>1</v>
      </c>
      <c r="L469" t="str">
        <f>'Lab test'!AC458</f>
        <v>LTWb</v>
      </c>
      <c r="O469" t="e">
        <f t="shared" si="140"/>
        <v>#N/A</v>
      </c>
      <c r="P469">
        <f t="shared" si="141"/>
        <v>3.6842104087588902E-2</v>
      </c>
      <c r="Q469" t="e">
        <f t="shared" si="142"/>
        <v>#N/A</v>
      </c>
      <c r="R469" t="e">
        <f t="shared" si="143"/>
        <v>#N/A</v>
      </c>
      <c r="S469" t="e">
        <f t="shared" si="144"/>
        <v>#N/A</v>
      </c>
      <c r="T469" t="e">
        <f t="shared" si="145"/>
        <v>#N/A</v>
      </c>
      <c r="U469" t="e">
        <f t="shared" si="146"/>
        <v>#N/A</v>
      </c>
      <c r="W469" t="e">
        <f t="shared" si="147"/>
        <v>#N/A</v>
      </c>
      <c r="X469">
        <f t="shared" si="148"/>
        <v>0.28914746547496278</v>
      </c>
      <c r="Y469" t="e">
        <f t="shared" si="149"/>
        <v>#N/A</v>
      </c>
      <c r="Z469" t="e">
        <f t="shared" si="150"/>
        <v>#N/A</v>
      </c>
      <c r="AA469" t="e">
        <f t="shared" si="151"/>
        <v>#N/A</v>
      </c>
      <c r="AB469" t="e">
        <f t="shared" si="152"/>
        <v>#N/A</v>
      </c>
      <c r="AC469" t="e">
        <f t="shared" si="153"/>
        <v>#N/A</v>
      </c>
    </row>
    <row r="470" spans="2:29">
      <c r="B470">
        <v>456</v>
      </c>
      <c r="C470">
        <f>'Lab test'!Q459</f>
        <v>1185</v>
      </c>
      <c r="D470">
        <f>IF('Lab test'!AQ459&gt;0,'Lab test'!AQ459,NA())</f>
        <v>2.8014797159771994</v>
      </c>
      <c r="E470">
        <f>IF('Lab test'!AU459&gt;0,'Lab test'!AU459,NA())</f>
        <v>5.7894734994782565E-2</v>
      </c>
      <c r="F470">
        <f>IF('Lab test'!AT459&gt;0,'Lab test'!AT459,NA())</f>
        <v>0.45437458860351299</v>
      </c>
      <c r="G470">
        <f t="shared" si="135"/>
        <v>1</v>
      </c>
      <c r="H470">
        <f t="shared" si="136"/>
        <v>1</v>
      </c>
      <c r="I470">
        <f t="shared" si="137"/>
        <v>1</v>
      </c>
      <c r="J470">
        <f t="shared" si="138"/>
        <v>1</v>
      </c>
      <c r="K470">
        <f t="shared" si="139"/>
        <v>1</v>
      </c>
      <c r="L470" t="str">
        <f>'Lab test'!AC459</f>
        <v>LTWb</v>
      </c>
      <c r="O470" t="e">
        <f t="shared" si="140"/>
        <v>#N/A</v>
      </c>
      <c r="P470">
        <f t="shared" si="141"/>
        <v>5.7894734994782565E-2</v>
      </c>
      <c r="Q470" t="e">
        <f t="shared" si="142"/>
        <v>#N/A</v>
      </c>
      <c r="R470" t="e">
        <f t="shared" si="143"/>
        <v>#N/A</v>
      </c>
      <c r="S470" t="e">
        <f t="shared" si="144"/>
        <v>#N/A</v>
      </c>
      <c r="T470" t="e">
        <f t="shared" si="145"/>
        <v>#N/A</v>
      </c>
      <c r="U470" t="e">
        <f t="shared" si="146"/>
        <v>#N/A</v>
      </c>
      <c r="W470" t="e">
        <f t="shared" si="147"/>
        <v>#N/A</v>
      </c>
      <c r="X470">
        <f t="shared" si="148"/>
        <v>0.45437458860351299</v>
      </c>
      <c r="Y470" t="e">
        <f t="shared" si="149"/>
        <v>#N/A</v>
      </c>
      <c r="Z470" t="e">
        <f t="shared" si="150"/>
        <v>#N/A</v>
      </c>
      <c r="AA470" t="e">
        <f t="shared" si="151"/>
        <v>#N/A</v>
      </c>
      <c r="AB470" t="e">
        <f t="shared" si="152"/>
        <v>#N/A</v>
      </c>
      <c r="AC470" t="e">
        <f t="shared" si="153"/>
        <v>#N/A</v>
      </c>
    </row>
    <row r="471" spans="2:29">
      <c r="B471">
        <v>457</v>
      </c>
      <c r="C471">
        <f>'Lab test'!Q460</f>
        <v>135</v>
      </c>
      <c r="D471">
        <f>IF('Lab test'!AQ460&gt;0,'Lab test'!AQ460,NA())</f>
        <v>0.98406917019690632</v>
      </c>
      <c r="E471">
        <f>IF('Lab test'!AU460&gt;0,'Lab test'!AU460,NA())</f>
        <v>0.5971702018875813</v>
      </c>
      <c r="F471">
        <f>IF('Lab test'!AT460&gt;0,'Lab test'!AT460,NA())</f>
        <v>0.57829492481276024</v>
      </c>
      <c r="G471">
        <f t="shared" si="135"/>
        <v>1</v>
      </c>
      <c r="H471">
        <f t="shared" si="136"/>
        <v>1</v>
      </c>
      <c r="I471">
        <f t="shared" si="137"/>
        <v>1</v>
      </c>
      <c r="J471">
        <f t="shared" si="138"/>
        <v>1</v>
      </c>
      <c r="K471">
        <f t="shared" si="139"/>
        <v>1</v>
      </c>
      <c r="L471" t="str">
        <f>'Lab test'!AC460</f>
        <v>LTWb</v>
      </c>
      <c r="O471" t="e">
        <f t="shared" si="140"/>
        <v>#N/A</v>
      </c>
      <c r="P471">
        <f t="shared" si="141"/>
        <v>0.5971702018875813</v>
      </c>
      <c r="Q471" t="e">
        <f t="shared" si="142"/>
        <v>#N/A</v>
      </c>
      <c r="R471" t="e">
        <f t="shared" si="143"/>
        <v>#N/A</v>
      </c>
      <c r="S471" t="e">
        <f t="shared" si="144"/>
        <v>#N/A</v>
      </c>
      <c r="T471" t="e">
        <f t="shared" si="145"/>
        <v>#N/A</v>
      </c>
      <c r="U471" t="e">
        <f t="shared" si="146"/>
        <v>#N/A</v>
      </c>
      <c r="W471" t="e">
        <f t="shared" si="147"/>
        <v>#N/A</v>
      </c>
      <c r="X471">
        <f t="shared" si="148"/>
        <v>0.57829492481276024</v>
      </c>
      <c r="Y471" t="e">
        <f t="shared" si="149"/>
        <v>#N/A</v>
      </c>
      <c r="Z471" t="e">
        <f t="shared" si="150"/>
        <v>#N/A</v>
      </c>
      <c r="AA471" t="e">
        <f t="shared" si="151"/>
        <v>#N/A</v>
      </c>
      <c r="AB471" t="e">
        <f t="shared" si="152"/>
        <v>#N/A</v>
      </c>
      <c r="AC471" t="e">
        <f t="shared" si="153"/>
        <v>#N/A</v>
      </c>
    </row>
    <row r="472" spans="2:29">
      <c r="B472">
        <v>458</v>
      </c>
      <c r="C472">
        <f>'Lab test'!Q461</f>
        <v>270</v>
      </c>
      <c r="D472">
        <f>IF('Lab test'!AQ461&gt;0,'Lab test'!AQ461,NA())</f>
        <v>0.94457724666757248</v>
      </c>
      <c r="E472">
        <f>IF('Lab test'!AU461&gt;0,'Lab test'!AU461,NA())</f>
        <v>0.42592607283014072</v>
      </c>
      <c r="F472">
        <f>IF('Lab test'!AT461&gt;0,'Lab test'!AT461,NA())</f>
        <v>0.38002239076082484</v>
      </c>
      <c r="G472">
        <f t="shared" si="135"/>
        <v>1</v>
      </c>
      <c r="H472">
        <f t="shared" si="136"/>
        <v>1</v>
      </c>
      <c r="I472">
        <f t="shared" si="137"/>
        <v>1</v>
      </c>
      <c r="J472">
        <f t="shared" si="138"/>
        <v>1</v>
      </c>
      <c r="K472">
        <f t="shared" si="139"/>
        <v>1</v>
      </c>
      <c r="L472" t="str">
        <f>'Lab test'!AC461</f>
        <v>LTWb</v>
      </c>
      <c r="O472" t="e">
        <f t="shared" si="140"/>
        <v>#N/A</v>
      </c>
      <c r="P472">
        <f t="shared" si="141"/>
        <v>0.42592607283014072</v>
      </c>
      <c r="Q472" t="e">
        <f t="shared" si="142"/>
        <v>#N/A</v>
      </c>
      <c r="R472" t="e">
        <f t="shared" si="143"/>
        <v>#N/A</v>
      </c>
      <c r="S472" t="e">
        <f t="shared" si="144"/>
        <v>#N/A</v>
      </c>
      <c r="T472" t="e">
        <f t="shared" si="145"/>
        <v>#N/A</v>
      </c>
      <c r="U472" t="e">
        <f t="shared" si="146"/>
        <v>#N/A</v>
      </c>
      <c r="W472" t="e">
        <f t="shared" si="147"/>
        <v>#N/A</v>
      </c>
      <c r="X472">
        <f t="shared" si="148"/>
        <v>0.38002239076082484</v>
      </c>
      <c r="Y472" t="e">
        <f t="shared" si="149"/>
        <v>#N/A</v>
      </c>
      <c r="Z472" t="e">
        <f t="shared" si="150"/>
        <v>#N/A</v>
      </c>
      <c r="AA472" t="e">
        <f t="shared" si="151"/>
        <v>#N/A</v>
      </c>
      <c r="AB472" t="e">
        <f t="shared" si="152"/>
        <v>#N/A</v>
      </c>
      <c r="AC472" t="e">
        <f t="shared" si="153"/>
        <v>#N/A</v>
      </c>
    </row>
    <row r="473" spans="2:29">
      <c r="B473">
        <v>459</v>
      </c>
      <c r="C473">
        <f>'Lab test'!Q462</f>
        <v>192</v>
      </c>
      <c r="D473">
        <f>IF('Lab test'!AQ462&gt;0,'Lab test'!AQ462,NA())</f>
        <v>1.0988307805859157</v>
      </c>
      <c r="E473">
        <f>IF('Lab test'!AU462&gt;0,'Lab test'!AU462,NA())</f>
        <v>0.34894733730889366</v>
      </c>
      <c r="F473">
        <f>IF('Lab test'!AT462&gt;0,'Lab test'!AT462,NA())</f>
        <v>0.42132916397780285</v>
      </c>
      <c r="G473">
        <f t="shared" si="135"/>
        <v>1</v>
      </c>
      <c r="H473">
        <f t="shared" si="136"/>
        <v>1</v>
      </c>
      <c r="I473">
        <f t="shared" si="137"/>
        <v>1</v>
      </c>
      <c r="J473">
        <f t="shared" si="138"/>
        <v>1</v>
      </c>
      <c r="K473">
        <f t="shared" si="139"/>
        <v>1</v>
      </c>
      <c r="L473" t="str">
        <f>'Lab test'!AC462</f>
        <v>Miscellaneous</v>
      </c>
      <c r="O473" t="e">
        <f t="shared" si="140"/>
        <v>#N/A</v>
      </c>
      <c r="P473" t="e">
        <f t="shared" si="141"/>
        <v>#N/A</v>
      </c>
      <c r="Q473" t="e">
        <f t="shared" si="142"/>
        <v>#N/A</v>
      </c>
      <c r="R473" t="e">
        <f t="shared" si="143"/>
        <v>#N/A</v>
      </c>
      <c r="S473" t="e">
        <f t="shared" si="144"/>
        <v>#N/A</v>
      </c>
      <c r="T473" t="e">
        <f t="shared" si="145"/>
        <v>#N/A</v>
      </c>
      <c r="U473">
        <f t="shared" si="146"/>
        <v>0.34894733730889366</v>
      </c>
      <c r="W473" t="e">
        <f t="shared" si="147"/>
        <v>#N/A</v>
      </c>
      <c r="X473" t="e">
        <f t="shared" si="148"/>
        <v>#N/A</v>
      </c>
      <c r="Y473" t="e">
        <f t="shared" si="149"/>
        <v>#N/A</v>
      </c>
      <c r="Z473" t="e">
        <f t="shared" si="150"/>
        <v>#N/A</v>
      </c>
      <c r="AA473" t="e">
        <f t="shared" si="151"/>
        <v>#N/A</v>
      </c>
      <c r="AB473" t="e">
        <f t="shared" si="152"/>
        <v>#N/A</v>
      </c>
      <c r="AC473">
        <f t="shared" si="153"/>
        <v>0.42132916397780285</v>
      </c>
    </row>
    <row r="474" spans="2:29">
      <c r="B474">
        <v>460</v>
      </c>
      <c r="C474">
        <f>'Lab test'!Q463</f>
        <v>192</v>
      </c>
      <c r="D474">
        <f>IF('Lab test'!AQ463&gt;0,'Lab test'!AQ463,NA())</f>
        <v>1.0988307805859157</v>
      </c>
      <c r="E474">
        <f>IF('Lab test'!AU463&gt;0,'Lab test'!AU463,NA())</f>
        <v>0.49947363967743619</v>
      </c>
      <c r="F474">
        <f>IF('Lab test'!AT463&gt;0,'Lab test'!AT463,NA())</f>
        <v>0.60307899941920817</v>
      </c>
      <c r="G474">
        <f t="shared" si="135"/>
        <v>1</v>
      </c>
      <c r="H474">
        <f t="shared" si="136"/>
        <v>1</v>
      </c>
      <c r="I474">
        <f t="shared" si="137"/>
        <v>1</v>
      </c>
      <c r="J474">
        <f t="shared" si="138"/>
        <v>1</v>
      </c>
      <c r="K474">
        <f t="shared" si="139"/>
        <v>1</v>
      </c>
      <c r="L474" t="str">
        <f>'Lab test'!AC463</f>
        <v>Miscellaneous</v>
      </c>
      <c r="O474" t="e">
        <f t="shared" si="140"/>
        <v>#N/A</v>
      </c>
      <c r="P474" t="e">
        <f t="shared" si="141"/>
        <v>#N/A</v>
      </c>
      <c r="Q474" t="e">
        <f t="shared" si="142"/>
        <v>#N/A</v>
      </c>
      <c r="R474" t="e">
        <f t="shared" si="143"/>
        <v>#N/A</v>
      </c>
      <c r="S474" t="e">
        <f t="shared" si="144"/>
        <v>#N/A</v>
      </c>
      <c r="T474" t="e">
        <f t="shared" si="145"/>
        <v>#N/A</v>
      </c>
      <c r="U474">
        <f t="shared" si="146"/>
        <v>0.49947363967743619</v>
      </c>
      <c r="W474" t="e">
        <f t="shared" si="147"/>
        <v>#N/A</v>
      </c>
      <c r="X474" t="e">
        <f t="shared" si="148"/>
        <v>#N/A</v>
      </c>
      <c r="Y474" t="e">
        <f t="shared" si="149"/>
        <v>#N/A</v>
      </c>
      <c r="Z474" t="e">
        <f t="shared" si="150"/>
        <v>#N/A</v>
      </c>
      <c r="AA474" t="e">
        <f t="shared" si="151"/>
        <v>#N/A</v>
      </c>
      <c r="AB474" t="e">
        <f t="shared" si="152"/>
        <v>#N/A</v>
      </c>
      <c r="AC474">
        <f t="shared" si="153"/>
        <v>0.60307899941920817</v>
      </c>
    </row>
    <row r="475" spans="2:29">
      <c r="B475">
        <v>461</v>
      </c>
      <c r="C475">
        <f>'Lab test'!Q464</f>
        <v>179</v>
      </c>
      <c r="D475">
        <f>IF('Lab test'!AQ464&gt;0,'Lab test'!AQ464,NA())</f>
        <v>1.0588598348061427</v>
      </c>
      <c r="E475">
        <f>IF('Lab test'!AU464&gt;0,'Lab test'!AU464,NA())</f>
        <v>0.58947363165303313</v>
      </c>
      <c r="F475">
        <f>IF('Lab test'!AT464&gt;0,'Lab test'!AT464,NA())</f>
        <v>0.66090849251420047</v>
      </c>
      <c r="G475">
        <f t="shared" si="135"/>
        <v>1</v>
      </c>
      <c r="H475">
        <f t="shared" si="136"/>
        <v>1</v>
      </c>
      <c r="I475">
        <f t="shared" si="137"/>
        <v>1</v>
      </c>
      <c r="J475">
        <f t="shared" si="138"/>
        <v>1</v>
      </c>
      <c r="K475">
        <f t="shared" si="139"/>
        <v>1</v>
      </c>
      <c r="L475" t="str">
        <f>'Lab test'!AC464</f>
        <v>Miscellaneous</v>
      </c>
      <c r="O475" t="e">
        <f t="shared" si="140"/>
        <v>#N/A</v>
      </c>
      <c r="P475" t="e">
        <f t="shared" si="141"/>
        <v>#N/A</v>
      </c>
      <c r="Q475" t="e">
        <f t="shared" si="142"/>
        <v>#N/A</v>
      </c>
      <c r="R475" t="e">
        <f t="shared" si="143"/>
        <v>#N/A</v>
      </c>
      <c r="S475" t="e">
        <f t="shared" si="144"/>
        <v>#N/A</v>
      </c>
      <c r="T475" t="e">
        <f t="shared" si="145"/>
        <v>#N/A</v>
      </c>
      <c r="U475">
        <f t="shared" si="146"/>
        <v>0.58947363165303313</v>
      </c>
      <c r="W475" t="e">
        <f t="shared" si="147"/>
        <v>#N/A</v>
      </c>
      <c r="X475" t="e">
        <f t="shared" si="148"/>
        <v>#N/A</v>
      </c>
      <c r="Y475" t="e">
        <f t="shared" si="149"/>
        <v>#N/A</v>
      </c>
      <c r="Z475" t="e">
        <f t="shared" si="150"/>
        <v>#N/A</v>
      </c>
      <c r="AA475" t="e">
        <f t="shared" si="151"/>
        <v>#N/A</v>
      </c>
      <c r="AB475" t="e">
        <f t="shared" si="152"/>
        <v>#N/A</v>
      </c>
      <c r="AC475">
        <f t="shared" si="153"/>
        <v>0.66090849251420047</v>
      </c>
    </row>
    <row r="476" spans="2:29">
      <c r="B476">
        <v>462</v>
      </c>
      <c r="C476">
        <f>'Lab test'!Q465</f>
        <v>192</v>
      </c>
      <c r="D476">
        <f>IF('Lab test'!AQ465&gt;0,'Lab test'!AQ465,NA())</f>
        <v>1.0988307805859157</v>
      </c>
      <c r="E476">
        <f>IF('Lab test'!AU465&gt;0,'Lab test'!AU465,NA())</f>
        <v>0.24768418844278331</v>
      </c>
      <c r="F476">
        <f>IF('Lab test'!AT465&gt;0,'Lab test'!AT465,NA())</f>
        <v>0.29906109286267568</v>
      </c>
      <c r="G476">
        <f t="shared" si="135"/>
        <v>1</v>
      </c>
      <c r="H476">
        <f t="shared" si="136"/>
        <v>1</v>
      </c>
      <c r="I476">
        <f t="shared" si="137"/>
        <v>1</v>
      </c>
      <c r="J476">
        <f t="shared" si="138"/>
        <v>1</v>
      </c>
      <c r="K476">
        <f t="shared" si="139"/>
        <v>1</v>
      </c>
      <c r="L476" t="str">
        <f>'Lab test'!AC465</f>
        <v>Miscellaneous</v>
      </c>
      <c r="O476" t="e">
        <f t="shared" si="140"/>
        <v>#N/A</v>
      </c>
      <c r="P476" t="e">
        <f t="shared" si="141"/>
        <v>#N/A</v>
      </c>
      <c r="Q476" t="e">
        <f t="shared" si="142"/>
        <v>#N/A</v>
      </c>
      <c r="R476" t="e">
        <f t="shared" si="143"/>
        <v>#N/A</v>
      </c>
      <c r="S476" t="e">
        <f t="shared" si="144"/>
        <v>#N/A</v>
      </c>
      <c r="T476" t="e">
        <f t="shared" si="145"/>
        <v>#N/A</v>
      </c>
      <c r="U476">
        <f t="shared" si="146"/>
        <v>0.24768418844278331</v>
      </c>
      <c r="W476" t="e">
        <f t="shared" si="147"/>
        <v>#N/A</v>
      </c>
      <c r="X476" t="e">
        <f t="shared" si="148"/>
        <v>#N/A</v>
      </c>
      <c r="Y476" t="e">
        <f t="shared" si="149"/>
        <v>#N/A</v>
      </c>
      <c r="Z476" t="e">
        <f t="shared" si="150"/>
        <v>#N/A</v>
      </c>
      <c r="AA476" t="e">
        <f t="shared" si="151"/>
        <v>#N/A</v>
      </c>
      <c r="AB476" t="e">
        <f t="shared" si="152"/>
        <v>#N/A</v>
      </c>
      <c r="AC476">
        <f t="shared" si="153"/>
        <v>0.29906109286267568</v>
      </c>
    </row>
    <row r="477" spans="2:29">
      <c r="B477">
        <v>463</v>
      </c>
      <c r="C477">
        <f>'Lab test'!Q466</f>
        <v>209</v>
      </c>
      <c r="D477">
        <f>IF('Lab test'!AQ466&gt;0,'Lab test'!AQ466,NA())</f>
        <v>1.1436993375562656</v>
      </c>
      <c r="E477">
        <f>IF('Lab test'!AU466&gt;0,'Lab test'!AU466,NA())</f>
        <v>0.53052626848772988</v>
      </c>
      <c r="F477">
        <f>IF('Lab test'!AT466&gt;0,'Lab test'!AT466,NA())</f>
        <v>0.69395391713991061</v>
      </c>
      <c r="G477">
        <f t="shared" si="135"/>
        <v>1</v>
      </c>
      <c r="H477">
        <f t="shared" si="136"/>
        <v>1</v>
      </c>
      <c r="I477">
        <f t="shared" si="137"/>
        <v>1</v>
      </c>
      <c r="J477">
        <f t="shared" si="138"/>
        <v>1</v>
      </c>
      <c r="K477">
        <f t="shared" si="139"/>
        <v>1</v>
      </c>
      <c r="L477" t="str">
        <f>'Lab test'!AC466</f>
        <v>Miscellaneous</v>
      </c>
      <c r="O477" t="e">
        <f t="shared" si="140"/>
        <v>#N/A</v>
      </c>
      <c r="P477" t="e">
        <f t="shared" si="141"/>
        <v>#N/A</v>
      </c>
      <c r="Q477" t="e">
        <f t="shared" si="142"/>
        <v>#N/A</v>
      </c>
      <c r="R477" t="e">
        <f t="shared" si="143"/>
        <v>#N/A</v>
      </c>
      <c r="S477" t="e">
        <f t="shared" si="144"/>
        <v>#N/A</v>
      </c>
      <c r="T477" t="e">
        <f t="shared" si="145"/>
        <v>#N/A</v>
      </c>
      <c r="U477">
        <f t="shared" si="146"/>
        <v>0.53052626848772988</v>
      </c>
      <c r="W477" t="e">
        <f t="shared" si="147"/>
        <v>#N/A</v>
      </c>
      <c r="X477" t="e">
        <f t="shared" si="148"/>
        <v>#N/A</v>
      </c>
      <c r="Y477" t="e">
        <f t="shared" si="149"/>
        <v>#N/A</v>
      </c>
      <c r="Z477" t="e">
        <f t="shared" si="150"/>
        <v>#N/A</v>
      </c>
      <c r="AA477" t="e">
        <f t="shared" si="151"/>
        <v>#N/A</v>
      </c>
      <c r="AB477" t="e">
        <f t="shared" si="152"/>
        <v>#N/A</v>
      </c>
      <c r="AC477">
        <f t="shared" si="153"/>
        <v>0.69395391713991061</v>
      </c>
    </row>
    <row r="478" spans="2:29">
      <c r="B478">
        <v>464</v>
      </c>
      <c r="C478">
        <f>'Lab test'!Q467</f>
        <v>826.38888888888891</v>
      </c>
      <c r="D478">
        <f>IF('Lab test'!AQ467&gt;0,'Lab test'!AQ467,NA())</f>
        <v>2.7489462732735608</v>
      </c>
      <c r="E478">
        <f>IF('Lab test'!AU467&gt;0,'Lab test'!AU467,NA())</f>
        <v>5.8846795262787806E-2</v>
      </c>
      <c r="F478">
        <f>IF('Lab test'!AT467&gt;0,'Lab test'!AT467,NA())</f>
        <v>0.44468790808964898</v>
      </c>
      <c r="G478">
        <f t="shared" si="135"/>
        <v>1</v>
      </c>
      <c r="H478">
        <f t="shared" si="136"/>
        <v>1</v>
      </c>
      <c r="I478">
        <f t="shared" si="137"/>
        <v>1</v>
      </c>
      <c r="J478">
        <f t="shared" si="138"/>
        <v>1</v>
      </c>
      <c r="K478">
        <f t="shared" si="139"/>
        <v>1</v>
      </c>
      <c r="L478" t="str">
        <f>'Lab test'!AC467</f>
        <v>Electroforming</v>
      </c>
      <c r="O478" t="e">
        <f t="shared" si="140"/>
        <v>#N/A</v>
      </c>
      <c r="P478" t="e">
        <f t="shared" si="141"/>
        <v>#N/A</v>
      </c>
      <c r="Q478">
        <f t="shared" si="142"/>
        <v>5.8846795262787806E-2</v>
      </c>
      <c r="R478" t="e">
        <f t="shared" si="143"/>
        <v>#N/A</v>
      </c>
      <c r="S478" t="e">
        <f t="shared" si="144"/>
        <v>#N/A</v>
      </c>
      <c r="T478" t="e">
        <f t="shared" si="145"/>
        <v>#N/A</v>
      </c>
      <c r="U478" t="e">
        <f t="shared" si="146"/>
        <v>#N/A</v>
      </c>
      <c r="W478" t="e">
        <f t="shared" si="147"/>
        <v>#N/A</v>
      </c>
      <c r="X478" t="e">
        <f t="shared" si="148"/>
        <v>#N/A</v>
      </c>
      <c r="Y478">
        <f t="shared" si="149"/>
        <v>0.44468790808964898</v>
      </c>
      <c r="Z478" t="e">
        <f t="shared" si="150"/>
        <v>#N/A</v>
      </c>
      <c r="AA478" t="e">
        <f t="shared" si="151"/>
        <v>#N/A</v>
      </c>
      <c r="AB478" t="e">
        <f t="shared" si="152"/>
        <v>#N/A</v>
      </c>
      <c r="AC478" t="e">
        <f t="shared" si="153"/>
        <v>#N/A</v>
      </c>
    </row>
    <row r="479" spans="2:29">
      <c r="B479">
        <v>465</v>
      </c>
      <c r="C479">
        <f>'Lab test'!Q468</f>
        <v>804.05405405405406</v>
      </c>
      <c r="D479">
        <f>IF('Lab test'!AQ468&gt;0,'Lab test'!AQ468,NA())</f>
        <v>2.7219529368722433</v>
      </c>
      <c r="E479">
        <f>IF('Lab test'!AU468&gt;0,'Lab test'!AU468,NA())</f>
        <v>0.10403896169729526</v>
      </c>
      <c r="F479">
        <f>IF('Lab test'!AT468&gt;0,'Lab test'!AT468,NA())</f>
        <v>0.77082755851496021</v>
      </c>
      <c r="G479">
        <f t="shared" si="135"/>
        <v>1</v>
      </c>
      <c r="H479">
        <f t="shared" si="136"/>
        <v>1</v>
      </c>
      <c r="I479">
        <f t="shared" si="137"/>
        <v>1</v>
      </c>
      <c r="J479">
        <f t="shared" si="138"/>
        <v>1</v>
      </c>
      <c r="K479">
        <f t="shared" si="139"/>
        <v>1</v>
      </c>
      <c r="L479" t="str">
        <f>'Lab test'!AC468</f>
        <v>Electroforming</v>
      </c>
      <c r="O479" t="e">
        <f t="shared" si="140"/>
        <v>#N/A</v>
      </c>
      <c r="P479" t="e">
        <f t="shared" si="141"/>
        <v>#N/A</v>
      </c>
      <c r="Q479">
        <f t="shared" si="142"/>
        <v>0.10403896169729526</v>
      </c>
      <c r="R479" t="e">
        <f t="shared" si="143"/>
        <v>#N/A</v>
      </c>
      <c r="S479" t="e">
        <f t="shared" si="144"/>
        <v>#N/A</v>
      </c>
      <c r="T479" t="e">
        <f t="shared" si="145"/>
        <v>#N/A</v>
      </c>
      <c r="U479" t="e">
        <f t="shared" si="146"/>
        <v>#N/A</v>
      </c>
      <c r="W479" t="e">
        <f t="shared" si="147"/>
        <v>#N/A</v>
      </c>
      <c r="X479" t="e">
        <f t="shared" si="148"/>
        <v>#N/A</v>
      </c>
      <c r="Y479">
        <f t="shared" si="149"/>
        <v>0.77082755851496021</v>
      </c>
      <c r="Z479" t="e">
        <f t="shared" si="150"/>
        <v>#N/A</v>
      </c>
      <c r="AA479" t="e">
        <f t="shared" si="151"/>
        <v>#N/A</v>
      </c>
      <c r="AB479" t="e">
        <f t="shared" si="152"/>
        <v>#N/A</v>
      </c>
      <c r="AC479" t="e">
        <f t="shared" si="153"/>
        <v>#N/A</v>
      </c>
    </row>
    <row r="480" spans="2:29">
      <c r="B480">
        <v>466</v>
      </c>
      <c r="C480">
        <f>'Lab test'!Q469</f>
        <v>862.31884057971013</v>
      </c>
      <c r="D480">
        <f>IF('Lab test'!AQ469&gt;0,'Lab test'!AQ469,NA())</f>
        <v>2.7114739751962613</v>
      </c>
      <c r="E480">
        <f>IF('Lab test'!AU469&gt;0,'Lab test'!AU469,NA())</f>
        <v>5.7982056717038606E-2</v>
      </c>
      <c r="F480">
        <f>IF('Lab test'!AT469&gt;0,'Lab test'!AT469,NA())</f>
        <v>0.42628936420237257</v>
      </c>
      <c r="G480">
        <f t="shared" si="135"/>
        <v>1</v>
      </c>
      <c r="H480">
        <f t="shared" si="136"/>
        <v>1</v>
      </c>
      <c r="I480">
        <f t="shared" si="137"/>
        <v>1</v>
      </c>
      <c r="J480">
        <f t="shared" si="138"/>
        <v>1</v>
      </c>
      <c r="K480">
        <f t="shared" si="139"/>
        <v>1</v>
      </c>
      <c r="L480" t="str">
        <f>'Lab test'!AC469</f>
        <v>Electroforming</v>
      </c>
      <c r="O480" t="e">
        <f t="shared" si="140"/>
        <v>#N/A</v>
      </c>
      <c r="P480" t="e">
        <f t="shared" si="141"/>
        <v>#N/A</v>
      </c>
      <c r="Q480">
        <f t="shared" si="142"/>
        <v>5.7982056717038606E-2</v>
      </c>
      <c r="R480" t="e">
        <f t="shared" si="143"/>
        <v>#N/A</v>
      </c>
      <c r="S480" t="e">
        <f t="shared" si="144"/>
        <v>#N/A</v>
      </c>
      <c r="T480" t="e">
        <f t="shared" si="145"/>
        <v>#N/A</v>
      </c>
      <c r="U480" t="e">
        <f t="shared" si="146"/>
        <v>#N/A</v>
      </c>
      <c r="W480" t="e">
        <f t="shared" si="147"/>
        <v>#N/A</v>
      </c>
      <c r="X480" t="e">
        <f t="shared" si="148"/>
        <v>#N/A</v>
      </c>
      <c r="Y480">
        <f t="shared" si="149"/>
        <v>0.42628936420237257</v>
      </c>
      <c r="Z480" t="e">
        <f t="shared" si="150"/>
        <v>#N/A</v>
      </c>
      <c r="AA480" t="e">
        <f t="shared" si="151"/>
        <v>#N/A</v>
      </c>
      <c r="AB480" t="e">
        <f t="shared" si="152"/>
        <v>#N/A</v>
      </c>
      <c r="AC480" t="e">
        <f t="shared" si="153"/>
        <v>#N/A</v>
      </c>
    </row>
    <row r="481" spans="2:29">
      <c r="B481">
        <v>467</v>
      </c>
      <c r="C481">
        <f>'Lab test'!Q470</f>
        <v>850</v>
      </c>
      <c r="D481">
        <f>IF('Lab test'!AQ470&gt;0,'Lab test'!AQ470,NA())</f>
        <v>2.7565554226210427</v>
      </c>
      <c r="E481">
        <f>IF('Lab test'!AU470&gt;0,'Lab test'!AU470,NA())</f>
        <v>5.7364641036656873E-2</v>
      </c>
      <c r="F481">
        <f>IF('Lab test'!AT470&gt;0,'Lab test'!AT470,NA())</f>
        <v>0.4358908350631388</v>
      </c>
      <c r="G481">
        <f t="shared" si="135"/>
        <v>1</v>
      </c>
      <c r="H481">
        <f t="shared" si="136"/>
        <v>1</v>
      </c>
      <c r="I481">
        <f t="shared" si="137"/>
        <v>1</v>
      </c>
      <c r="J481">
        <f t="shared" si="138"/>
        <v>1</v>
      </c>
      <c r="K481">
        <f t="shared" si="139"/>
        <v>1</v>
      </c>
      <c r="L481" t="str">
        <f>'Lab test'!AC470</f>
        <v>Electroforming</v>
      </c>
      <c r="O481" t="e">
        <f t="shared" si="140"/>
        <v>#N/A</v>
      </c>
      <c r="P481" t="e">
        <f t="shared" si="141"/>
        <v>#N/A</v>
      </c>
      <c r="Q481">
        <f t="shared" si="142"/>
        <v>5.7364641036656873E-2</v>
      </c>
      <c r="R481" t="e">
        <f t="shared" si="143"/>
        <v>#N/A</v>
      </c>
      <c r="S481" t="e">
        <f t="shared" si="144"/>
        <v>#N/A</v>
      </c>
      <c r="T481" t="e">
        <f t="shared" si="145"/>
        <v>#N/A</v>
      </c>
      <c r="U481" t="e">
        <f t="shared" si="146"/>
        <v>#N/A</v>
      </c>
      <c r="W481" t="e">
        <f t="shared" si="147"/>
        <v>#N/A</v>
      </c>
      <c r="X481" t="e">
        <f t="shared" si="148"/>
        <v>#N/A</v>
      </c>
      <c r="Y481">
        <f t="shared" si="149"/>
        <v>0.4358908350631388</v>
      </c>
      <c r="Z481" t="e">
        <f t="shared" si="150"/>
        <v>#N/A</v>
      </c>
      <c r="AA481" t="e">
        <f t="shared" si="151"/>
        <v>#N/A</v>
      </c>
      <c r="AB481" t="e">
        <f t="shared" si="152"/>
        <v>#N/A</v>
      </c>
      <c r="AC481" t="e">
        <f t="shared" si="153"/>
        <v>#N/A</v>
      </c>
    </row>
    <row r="482" spans="2:29">
      <c r="B482">
        <v>468</v>
      </c>
      <c r="C482">
        <f>'Lab test'!Q471</f>
        <v>915.38461538461536</v>
      </c>
      <c r="D482">
        <f>IF('Lab test'!AQ471&gt;0,'Lab test'!AQ471,NA())</f>
        <v>2.926890565569622</v>
      </c>
      <c r="E482">
        <f>IF('Lab test'!AU471&gt;0,'Lab test'!AU471,NA())</f>
        <v>7.9947101535250295E-2</v>
      </c>
      <c r="F482">
        <f>IF('Lab test'!AT471&gt;0,'Lab test'!AT471,NA())</f>
        <v>0.68488190596219656</v>
      </c>
      <c r="G482">
        <f t="shared" si="135"/>
        <v>1</v>
      </c>
      <c r="H482">
        <f t="shared" si="136"/>
        <v>1</v>
      </c>
      <c r="I482">
        <f t="shared" si="137"/>
        <v>1</v>
      </c>
      <c r="J482">
        <f t="shared" si="138"/>
        <v>1</v>
      </c>
      <c r="K482">
        <f t="shared" si="139"/>
        <v>1</v>
      </c>
      <c r="L482" t="str">
        <f>'Lab test'!AC471</f>
        <v>Electroforming</v>
      </c>
      <c r="O482" t="e">
        <f t="shared" si="140"/>
        <v>#N/A</v>
      </c>
      <c r="P482" t="e">
        <f t="shared" si="141"/>
        <v>#N/A</v>
      </c>
      <c r="Q482">
        <f t="shared" si="142"/>
        <v>7.9947101535250295E-2</v>
      </c>
      <c r="R482" t="e">
        <f t="shared" si="143"/>
        <v>#N/A</v>
      </c>
      <c r="S482" t="e">
        <f t="shared" si="144"/>
        <v>#N/A</v>
      </c>
      <c r="T482" t="e">
        <f t="shared" si="145"/>
        <v>#N/A</v>
      </c>
      <c r="U482" t="e">
        <f t="shared" si="146"/>
        <v>#N/A</v>
      </c>
      <c r="W482" t="e">
        <f t="shared" si="147"/>
        <v>#N/A</v>
      </c>
      <c r="X482" t="e">
        <f t="shared" si="148"/>
        <v>#N/A</v>
      </c>
      <c r="Y482">
        <f t="shared" si="149"/>
        <v>0.68488190596219656</v>
      </c>
      <c r="Z482" t="e">
        <f t="shared" si="150"/>
        <v>#N/A</v>
      </c>
      <c r="AA482" t="e">
        <f t="shared" si="151"/>
        <v>#N/A</v>
      </c>
      <c r="AB482" t="e">
        <f t="shared" si="152"/>
        <v>#N/A</v>
      </c>
      <c r="AC482" t="e">
        <f t="shared" si="153"/>
        <v>#N/A</v>
      </c>
    </row>
    <row r="483" spans="2:29">
      <c r="B483">
        <v>469</v>
      </c>
      <c r="C483">
        <f>'Lab test'!Q472</f>
        <v>782.89473684210532</v>
      </c>
      <c r="D483">
        <f>IF('Lab test'!AQ472&gt;0,'Lab test'!AQ472,NA())</f>
        <v>2.6116201014986458</v>
      </c>
      <c r="E483">
        <f>IF('Lab test'!AU472&gt;0,'Lab test'!AU472,NA())</f>
        <v>8.6441010463035081E-2</v>
      </c>
      <c r="F483">
        <f>IF('Lab test'!AT472&gt;0,'Lab test'!AT472,NA())</f>
        <v>0.58957605981876582</v>
      </c>
      <c r="G483">
        <f t="shared" si="135"/>
        <v>1</v>
      </c>
      <c r="H483">
        <f t="shared" si="136"/>
        <v>1</v>
      </c>
      <c r="I483">
        <f t="shared" si="137"/>
        <v>1</v>
      </c>
      <c r="J483">
        <f t="shared" si="138"/>
        <v>1</v>
      </c>
      <c r="K483">
        <f t="shared" si="139"/>
        <v>1</v>
      </c>
      <c r="L483" t="str">
        <f>'Lab test'!AC472</f>
        <v>Electroforming</v>
      </c>
      <c r="O483" t="e">
        <f t="shared" si="140"/>
        <v>#N/A</v>
      </c>
      <c r="P483" t="e">
        <f t="shared" si="141"/>
        <v>#N/A</v>
      </c>
      <c r="Q483">
        <f t="shared" si="142"/>
        <v>8.6441010463035081E-2</v>
      </c>
      <c r="R483" t="e">
        <f t="shared" si="143"/>
        <v>#N/A</v>
      </c>
      <c r="S483" t="e">
        <f t="shared" si="144"/>
        <v>#N/A</v>
      </c>
      <c r="T483" t="e">
        <f t="shared" si="145"/>
        <v>#N/A</v>
      </c>
      <c r="U483" t="e">
        <f t="shared" si="146"/>
        <v>#N/A</v>
      </c>
      <c r="W483" t="e">
        <f t="shared" si="147"/>
        <v>#N/A</v>
      </c>
      <c r="X483" t="e">
        <f t="shared" si="148"/>
        <v>#N/A</v>
      </c>
      <c r="Y483">
        <f t="shared" si="149"/>
        <v>0.58957605981876582</v>
      </c>
      <c r="Z483" t="e">
        <f t="shared" si="150"/>
        <v>#N/A</v>
      </c>
      <c r="AA483" t="e">
        <f t="shared" si="151"/>
        <v>#N/A</v>
      </c>
      <c r="AB483" t="e">
        <f t="shared" si="152"/>
        <v>#N/A</v>
      </c>
      <c r="AC483" t="e">
        <f t="shared" si="153"/>
        <v>#N/A</v>
      </c>
    </row>
    <row r="484" spans="2:29">
      <c r="B484">
        <v>470</v>
      </c>
      <c r="C484">
        <f>'Lab test'!Q473</f>
        <v>826.38888888888891</v>
      </c>
      <c r="D484">
        <f>IF('Lab test'!AQ473&gt;0,'Lab test'!AQ473,NA())</f>
        <v>2.7974133101936434</v>
      </c>
      <c r="E484">
        <f>IF('Lab test'!AU473&gt;0,'Lab test'!AU473,NA())</f>
        <v>7.8223179068827683E-2</v>
      </c>
      <c r="F484">
        <f>IF('Lab test'!AT473&gt;0,'Lab test'!AT473,NA())</f>
        <v>0.6121371483285547</v>
      </c>
      <c r="G484">
        <f t="shared" si="135"/>
        <v>1</v>
      </c>
      <c r="H484">
        <f t="shared" si="136"/>
        <v>1</v>
      </c>
      <c r="I484">
        <f t="shared" si="137"/>
        <v>1</v>
      </c>
      <c r="J484">
        <f t="shared" si="138"/>
        <v>1</v>
      </c>
      <c r="K484">
        <f t="shared" si="139"/>
        <v>1</v>
      </c>
      <c r="L484" t="str">
        <f>'Lab test'!AC473</f>
        <v>Electroforming</v>
      </c>
      <c r="O484" t="e">
        <f t="shared" si="140"/>
        <v>#N/A</v>
      </c>
      <c r="P484" t="e">
        <f t="shared" si="141"/>
        <v>#N/A</v>
      </c>
      <c r="Q484">
        <f t="shared" si="142"/>
        <v>7.8223179068827683E-2</v>
      </c>
      <c r="R484" t="e">
        <f t="shared" si="143"/>
        <v>#N/A</v>
      </c>
      <c r="S484" t="e">
        <f t="shared" si="144"/>
        <v>#N/A</v>
      </c>
      <c r="T484" t="e">
        <f t="shared" si="145"/>
        <v>#N/A</v>
      </c>
      <c r="U484" t="e">
        <f t="shared" si="146"/>
        <v>#N/A</v>
      </c>
      <c r="W484" t="e">
        <f t="shared" si="147"/>
        <v>#N/A</v>
      </c>
      <c r="X484" t="e">
        <f t="shared" si="148"/>
        <v>#N/A</v>
      </c>
      <c r="Y484">
        <f t="shared" si="149"/>
        <v>0.6121371483285547</v>
      </c>
      <c r="Z484" t="e">
        <f t="shared" si="150"/>
        <v>#N/A</v>
      </c>
      <c r="AA484" t="e">
        <f t="shared" si="151"/>
        <v>#N/A</v>
      </c>
      <c r="AB484" t="e">
        <f t="shared" si="152"/>
        <v>#N/A</v>
      </c>
      <c r="AC484" t="e">
        <f t="shared" si="153"/>
        <v>#N/A</v>
      </c>
    </row>
    <row r="485" spans="2:29">
      <c r="B485">
        <v>471</v>
      </c>
      <c r="C485">
        <f>'Lab test'!Q474</f>
        <v>804.05405405405406</v>
      </c>
      <c r="D485">
        <f>IF('Lab test'!AQ474&gt;0,'Lab test'!AQ474,NA())</f>
        <v>2.764820974673293</v>
      </c>
      <c r="E485">
        <f>IF('Lab test'!AU474&gt;0,'Lab test'!AU474,NA())</f>
        <v>7.5610290476078437E-2</v>
      </c>
      <c r="F485">
        <f>IF('Lab test'!AT474&gt;0,'Lab test'!AT474,NA())</f>
        <v>0.57798283048033117</v>
      </c>
      <c r="G485">
        <f t="shared" si="135"/>
        <v>1</v>
      </c>
      <c r="H485">
        <f t="shared" si="136"/>
        <v>1</v>
      </c>
      <c r="I485">
        <f t="shared" si="137"/>
        <v>1</v>
      </c>
      <c r="J485">
        <f t="shared" si="138"/>
        <v>1</v>
      </c>
      <c r="K485">
        <f t="shared" si="139"/>
        <v>1</v>
      </c>
      <c r="L485" t="str">
        <f>'Lab test'!AC474</f>
        <v>Electroforming</v>
      </c>
      <c r="O485" t="e">
        <f t="shared" si="140"/>
        <v>#N/A</v>
      </c>
      <c r="P485" t="e">
        <f t="shared" si="141"/>
        <v>#N/A</v>
      </c>
      <c r="Q485">
        <f t="shared" si="142"/>
        <v>7.5610290476078437E-2</v>
      </c>
      <c r="R485" t="e">
        <f t="shared" si="143"/>
        <v>#N/A</v>
      </c>
      <c r="S485" t="e">
        <f t="shared" si="144"/>
        <v>#N/A</v>
      </c>
      <c r="T485" t="e">
        <f t="shared" si="145"/>
        <v>#N/A</v>
      </c>
      <c r="U485" t="e">
        <f t="shared" si="146"/>
        <v>#N/A</v>
      </c>
      <c r="W485" t="e">
        <f t="shared" si="147"/>
        <v>#N/A</v>
      </c>
      <c r="X485" t="e">
        <f t="shared" si="148"/>
        <v>#N/A</v>
      </c>
      <c r="Y485">
        <f t="shared" si="149"/>
        <v>0.57798283048033117</v>
      </c>
      <c r="Z485" t="e">
        <f t="shared" si="150"/>
        <v>#N/A</v>
      </c>
      <c r="AA485" t="e">
        <f t="shared" si="151"/>
        <v>#N/A</v>
      </c>
      <c r="AB485" t="e">
        <f t="shared" si="152"/>
        <v>#N/A</v>
      </c>
      <c r="AC485" t="e">
        <f t="shared" si="153"/>
        <v>#N/A</v>
      </c>
    </row>
    <row r="486" spans="2:29">
      <c r="B486">
        <v>472</v>
      </c>
      <c r="C486">
        <f>'Lab test'!Q475</f>
        <v>915.38461538461536</v>
      </c>
      <c r="D486">
        <f>IF('Lab test'!AQ475&gt;0,'Lab test'!AQ475,NA())</f>
        <v>2.7887007486023769</v>
      </c>
      <c r="E486">
        <f>IF('Lab test'!AU475&gt;0,'Lab test'!AU475,NA())</f>
        <v>7.8925050521305329E-2</v>
      </c>
      <c r="F486">
        <f>IF('Lab test'!AT475&gt;0,'Lab test'!AT475,NA())</f>
        <v>0.6137884263619946</v>
      </c>
      <c r="G486">
        <f t="shared" si="135"/>
        <v>1</v>
      </c>
      <c r="H486">
        <f t="shared" si="136"/>
        <v>1</v>
      </c>
      <c r="I486">
        <f t="shared" si="137"/>
        <v>1</v>
      </c>
      <c r="J486">
        <f t="shared" si="138"/>
        <v>1</v>
      </c>
      <c r="K486">
        <f t="shared" si="139"/>
        <v>1</v>
      </c>
      <c r="L486" t="str">
        <f>'Lab test'!AC475</f>
        <v>Electroforming</v>
      </c>
      <c r="O486" t="e">
        <f t="shared" si="140"/>
        <v>#N/A</v>
      </c>
      <c r="P486" t="e">
        <f t="shared" si="141"/>
        <v>#N/A</v>
      </c>
      <c r="Q486">
        <f t="shared" si="142"/>
        <v>7.8925050521305329E-2</v>
      </c>
      <c r="R486" t="e">
        <f t="shared" si="143"/>
        <v>#N/A</v>
      </c>
      <c r="S486" t="e">
        <f t="shared" si="144"/>
        <v>#N/A</v>
      </c>
      <c r="T486" t="e">
        <f t="shared" si="145"/>
        <v>#N/A</v>
      </c>
      <c r="U486" t="e">
        <f t="shared" si="146"/>
        <v>#N/A</v>
      </c>
      <c r="W486" t="e">
        <f t="shared" si="147"/>
        <v>#N/A</v>
      </c>
      <c r="X486" t="e">
        <f t="shared" si="148"/>
        <v>#N/A</v>
      </c>
      <c r="Y486">
        <f t="shared" si="149"/>
        <v>0.6137884263619946</v>
      </c>
      <c r="Z486" t="e">
        <f t="shared" si="150"/>
        <v>#N/A</v>
      </c>
      <c r="AA486" t="e">
        <f t="shared" si="151"/>
        <v>#N/A</v>
      </c>
      <c r="AB486" t="e">
        <f t="shared" si="152"/>
        <v>#N/A</v>
      </c>
      <c r="AC486" t="e">
        <f t="shared" si="153"/>
        <v>#N/A</v>
      </c>
    </row>
    <row r="487" spans="2:29">
      <c r="B487">
        <v>473</v>
      </c>
      <c r="C487">
        <f>'Lab test'!Q476</f>
        <v>890.74321317311978</v>
      </c>
      <c r="D487" t="e">
        <f>IF('Lab test'!AQ476&gt;0,'Lab test'!AQ476,NA())</f>
        <v>#N/A</v>
      </c>
      <c r="E487" t="e">
        <f>IF('Lab test'!AU476&gt;0,'Lab test'!AU476,NA())</f>
        <v>#N/A</v>
      </c>
      <c r="F487">
        <f>IF('Lab test'!AT476&gt;0,'Lab test'!AT476,NA())</f>
        <v>0.57499999999999996</v>
      </c>
      <c r="G487" t="e">
        <f t="shared" si="135"/>
        <v>#N/A</v>
      </c>
      <c r="H487" t="e">
        <f t="shared" si="136"/>
        <v>#N/A</v>
      </c>
      <c r="I487" t="e">
        <f t="shared" si="137"/>
        <v>#N/A</v>
      </c>
      <c r="J487">
        <f t="shared" si="138"/>
        <v>1</v>
      </c>
      <c r="K487">
        <f t="shared" si="139"/>
        <v>1</v>
      </c>
      <c r="L487" t="str">
        <f>'Lab test'!AC476</f>
        <v>Electroforming</v>
      </c>
      <c r="O487" t="e">
        <f t="shared" si="140"/>
        <v>#N/A</v>
      </c>
      <c r="P487" t="e">
        <f t="shared" si="141"/>
        <v>#N/A</v>
      </c>
      <c r="Q487" t="e">
        <f t="shared" si="142"/>
        <v>#N/A</v>
      </c>
      <c r="R487" t="e">
        <f t="shared" si="143"/>
        <v>#N/A</v>
      </c>
      <c r="S487" t="e">
        <f t="shared" si="144"/>
        <v>#N/A</v>
      </c>
      <c r="T487" t="e">
        <f t="shared" si="145"/>
        <v>#N/A</v>
      </c>
      <c r="U487" t="e">
        <f t="shared" si="146"/>
        <v>#N/A</v>
      </c>
      <c r="W487" t="e">
        <f t="shared" si="147"/>
        <v>#N/A</v>
      </c>
      <c r="X487" t="e">
        <f t="shared" si="148"/>
        <v>#N/A</v>
      </c>
      <c r="Y487">
        <f t="shared" si="149"/>
        <v>0.57499999999999996</v>
      </c>
      <c r="Z487" t="e">
        <f t="shared" si="150"/>
        <v>#N/A</v>
      </c>
      <c r="AA487" t="e">
        <f t="shared" si="151"/>
        <v>#N/A</v>
      </c>
      <c r="AB487" t="e">
        <f t="shared" si="152"/>
        <v>#N/A</v>
      </c>
      <c r="AC487" t="e">
        <f t="shared" si="153"/>
        <v>#N/A</v>
      </c>
    </row>
    <row r="488" spans="2:29">
      <c r="B488">
        <v>474</v>
      </c>
      <c r="C488">
        <f>'Lab test'!Q477</f>
        <v>862.71551724137942</v>
      </c>
      <c r="D488" t="e">
        <f>IF('Lab test'!AQ477&gt;0,'Lab test'!AQ477,NA())</f>
        <v>#N/A</v>
      </c>
      <c r="E488" t="e">
        <f>IF('Lab test'!AU477&gt;0,'Lab test'!AU477,NA())</f>
        <v>#N/A</v>
      </c>
      <c r="F488">
        <f>IF('Lab test'!AT477&gt;0,'Lab test'!AT477,NA())</f>
        <v>0.65800000000000003</v>
      </c>
      <c r="G488" t="e">
        <f t="shared" si="135"/>
        <v>#N/A</v>
      </c>
      <c r="H488" t="e">
        <f t="shared" si="136"/>
        <v>#N/A</v>
      </c>
      <c r="I488" t="e">
        <f t="shared" si="137"/>
        <v>#N/A</v>
      </c>
      <c r="J488">
        <f t="shared" si="138"/>
        <v>1</v>
      </c>
      <c r="K488">
        <f t="shared" si="139"/>
        <v>1</v>
      </c>
      <c r="L488" t="str">
        <f>'Lab test'!AC477</f>
        <v>Electroforming</v>
      </c>
      <c r="O488" t="e">
        <f t="shared" si="140"/>
        <v>#N/A</v>
      </c>
      <c r="P488" t="e">
        <f t="shared" si="141"/>
        <v>#N/A</v>
      </c>
      <c r="Q488" t="e">
        <f t="shared" si="142"/>
        <v>#N/A</v>
      </c>
      <c r="R488" t="e">
        <f t="shared" si="143"/>
        <v>#N/A</v>
      </c>
      <c r="S488" t="e">
        <f t="shared" si="144"/>
        <v>#N/A</v>
      </c>
      <c r="T488" t="e">
        <f t="shared" si="145"/>
        <v>#N/A</v>
      </c>
      <c r="U488" t="e">
        <f t="shared" si="146"/>
        <v>#N/A</v>
      </c>
      <c r="W488" t="e">
        <f t="shared" si="147"/>
        <v>#N/A</v>
      </c>
      <c r="X488" t="e">
        <f t="shared" si="148"/>
        <v>#N/A</v>
      </c>
      <c r="Y488">
        <f t="shared" si="149"/>
        <v>0.65800000000000003</v>
      </c>
      <c r="Z488" t="e">
        <f t="shared" si="150"/>
        <v>#N/A</v>
      </c>
      <c r="AA488" t="e">
        <f t="shared" si="151"/>
        <v>#N/A</v>
      </c>
      <c r="AB488" t="e">
        <f t="shared" si="152"/>
        <v>#N/A</v>
      </c>
      <c r="AC488" t="e">
        <f t="shared" si="153"/>
        <v>#N/A</v>
      </c>
    </row>
    <row r="489" spans="2:29">
      <c r="B489">
        <v>475</v>
      </c>
      <c r="C489">
        <f>'Lab test'!Q478</f>
        <v>881.71806167400882</v>
      </c>
      <c r="D489" t="e">
        <f>IF('Lab test'!AQ478&gt;0,'Lab test'!AQ478,NA())</f>
        <v>#N/A</v>
      </c>
      <c r="E489" t="e">
        <f>IF('Lab test'!AU478&gt;0,'Lab test'!AU478,NA())</f>
        <v>#N/A</v>
      </c>
      <c r="F489">
        <f>IF('Lab test'!AT478&gt;0,'Lab test'!AT478,NA())</f>
        <v>0.73599999999999999</v>
      </c>
      <c r="G489" t="e">
        <f t="shared" si="135"/>
        <v>#N/A</v>
      </c>
      <c r="H489" t="e">
        <f t="shared" si="136"/>
        <v>#N/A</v>
      </c>
      <c r="I489" t="e">
        <f t="shared" si="137"/>
        <v>#N/A</v>
      </c>
      <c r="J489">
        <f t="shared" si="138"/>
        <v>1</v>
      </c>
      <c r="K489">
        <f t="shared" si="139"/>
        <v>1</v>
      </c>
      <c r="L489" t="str">
        <f>'Lab test'!AC478</f>
        <v>Electroforming</v>
      </c>
      <c r="O489" t="e">
        <f t="shared" si="140"/>
        <v>#N/A</v>
      </c>
      <c r="P489" t="e">
        <f t="shared" si="141"/>
        <v>#N/A</v>
      </c>
      <c r="Q489" t="e">
        <f t="shared" si="142"/>
        <v>#N/A</v>
      </c>
      <c r="R489" t="e">
        <f t="shared" si="143"/>
        <v>#N/A</v>
      </c>
      <c r="S489" t="e">
        <f t="shared" si="144"/>
        <v>#N/A</v>
      </c>
      <c r="T489" t="e">
        <f t="shared" si="145"/>
        <v>#N/A</v>
      </c>
      <c r="U489" t="e">
        <f t="shared" si="146"/>
        <v>#N/A</v>
      </c>
      <c r="W489" t="e">
        <f t="shared" si="147"/>
        <v>#N/A</v>
      </c>
      <c r="X489" t="e">
        <f t="shared" si="148"/>
        <v>#N/A</v>
      </c>
      <c r="Y489">
        <f t="shared" si="149"/>
        <v>0.73599999999999999</v>
      </c>
      <c r="Z489" t="e">
        <f t="shared" si="150"/>
        <v>#N/A</v>
      </c>
      <c r="AA489" t="e">
        <f t="shared" si="151"/>
        <v>#N/A</v>
      </c>
      <c r="AB489" t="e">
        <f t="shared" si="152"/>
        <v>#N/A</v>
      </c>
      <c r="AC489" t="e">
        <f t="shared" si="153"/>
        <v>#N/A</v>
      </c>
    </row>
    <row r="490" spans="2:29">
      <c r="B490">
        <v>476</v>
      </c>
      <c r="C490">
        <f>'Lab test'!Q479</f>
        <v>844.51476793248935</v>
      </c>
      <c r="D490" t="e">
        <f>IF('Lab test'!AQ479&gt;0,'Lab test'!AQ479,NA())</f>
        <v>#N/A</v>
      </c>
      <c r="E490" t="e">
        <f>IF('Lab test'!AU479&gt;0,'Lab test'!AU479,NA())</f>
        <v>#N/A</v>
      </c>
      <c r="F490">
        <f>IF('Lab test'!AT479&gt;0,'Lab test'!AT479,NA())</f>
        <v>0.56100000000000005</v>
      </c>
      <c r="G490" t="e">
        <f t="shared" si="135"/>
        <v>#N/A</v>
      </c>
      <c r="H490" t="e">
        <f t="shared" si="136"/>
        <v>#N/A</v>
      </c>
      <c r="I490" t="e">
        <f t="shared" si="137"/>
        <v>#N/A</v>
      </c>
      <c r="J490">
        <f t="shared" si="138"/>
        <v>1</v>
      </c>
      <c r="K490">
        <f t="shared" si="139"/>
        <v>1</v>
      </c>
      <c r="L490" t="str">
        <f>'Lab test'!AC479</f>
        <v>Electroforming</v>
      </c>
      <c r="O490" t="e">
        <f t="shared" si="140"/>
        <v>#N/A</v>
      </c>
      <c r="P490" t="e">
        <f t="shared" si="141"/>
        <v>#N/A</v>
      </c>
      <c r="Q490" t="e">
        <f t="shared" si="142"/>
        <v>#N/A</v>
      </c>
      <c r="R490" t="e">
        <f t="shared" si="143"/>
        <v>#N/A</v>
      </c>
      <c r="S490" t="e">
        <f t="shared" si="144"/>
        <v>#N/A</v>
      </c>
      <c r="T490" t="e">
        <f t="shared" si="145"/>
        <v>#N/A</v>
      </c>
      <c r="U490" t="e">
        <f t="shared" si="146"/>
        <v>#N/A</v>
      </c>
      <c r="W490" t="e">
        <f t="shared" si="147"/>
        <v>#N/A</v>
      </c>
      <c r="X490" t="e">
        <f t="shared" si="148"/>
        <v>#N/A</v>
      </c>
      <c r="Y490">
        <f t="shared" si="149"/>
        <v>0.56100000000000005</v>
      </c>
      <c r="Z490" t="e">
        <f t="shared" si="150"/>
        <v>#N/A</v>
      </c>
      <c r="AA490" t="e">
        <f t="shared" si="151"/>
        <v>#N/A</v>
      </c>
      <c r="AB490" t="e">
        <f t="shared" si="152"/>
        <v>#N/A</v>
      </c>
      <c r="AC490" t="e">
        <f t="shared" si="153"/>
        <v>#N/A</v>
      </c>
    </row>
    <row r="491" spans="2:29">
      <c r="B491">
        <v>477</v>
      </c>
      <c r="C491">
        <f>'Lab test'!Q480</f>
        <v>844.51476793248935</v>
      </c>
      <c r="D491" t="e">
        <f>IF('Lab test'!AQ480&gt;0,'Lab test'!AQ480,NA())</f>
        <v>#N/A</v>
      </c>
      <c r="E491" t="e">
        <f>IF('Lab test'!AU480&gt;0,'Lab test'!AU480,NA())</f>
        <v>#N/A</v>
      </c>
      <c r="F491">
        <f>IF('Lab test'!AT480&gt;0,'Lab test'!AT480,NA())</f>
        <v>0.67300000000000004</v>
      </c>
      <c r="G491" t="e">
        <f t="shared" si="135"/>
        <v>#N/A</v>
      </c>
      <c r="H491" t="e">
        <f t="shared" si="136"/>
        <v>#N/A</v>
      </c>
      <c r="I491" t="e">
        <f t="shared" si="137"/>
        <v>#N/A</v>
      </c>
      <c r="J491">
        <f t="shared" si="138"/>
        <v>1</v>
      </c>
      <c r="K491">
        <f t="shared" si="139"/>
        <v>1</v>
      </c>
      <c r="L491" t="str">
        <f>'Lab test'!AC480</f>
        <v>Electroforming</v>
      </c>
      <c r="O491" t="e">
        <f t="shared" si="140"/>
        <v>#N/A</v>
      </c>
      <c r="P491" t="e">
        <f t="shared" si="141"/>
        <v>#N/A</v>
      </c>
      <c r="Q491" t="e">
        <f t="shared" si="142"/>
        <v>#N/A</v>
      </c>
      <c r="R491" t="e">
        <f t="shared" si="143"/>
        <v>#N/A</v>
      </c>
      <c r="S491" t="e">
        <f t="shared" si="144"/>
        <v>#N/A</v>
      </c>
      <c r="T491" t="e">
        <f t="shared" si="145"/>
        <v>#N/A</v>
      </c>
      <c r="U491" t="e">
        <f t="shared" si="146"/>
        <v>#N/A</v>
      </c>
      <c r="W491" t="e">
        <f t="shared" si="147"/>
        <v>#N/A</v>
      </c>
      <c r="X491" t="e">
        <f t="shared" si="148"/>
        <v>#N/A</v>
      </c>
      <c r="Y491">
        <f t="shared" si="149"/>
        <v>0.67300000000000004</v>
      </c>
      <c r="Z491" t="e">
        <f t="shared" si="150"/>
        <v>#N/A</v>
      </c>
      <c r="AA491" t="e">
        <f t="shared" si="151"/>
        <v>#N/A</v>
      </c>
      <c r="AB491" t="e">
        <f t="shared" si="152"/>
        <v>#N/A</v>
      </c>
      <c r="AC491" t="e">
        <f t="shared" si="153"/>
        <v>#N/A</v>
      </c>
    </row>
    <row r="492" spans="2:29">
      <c r="B492">
        <v>478</v>
      </c>
      <c r="C492">
        <f>'Lab test'!Q481</f>
        <v>960</v>
      </c>
      <c r="D492" t="e">
        <f>IF('Lab test'!AQ481&gt;0,'Lab test'!AQ481,NA())</f>
        <v>#N/A</v>
      </c>
      <c r="E492" t="e">
        <f>IF('Lab test'!AU481&gt;0,'Lab test'!AU481,NA())</f>
        <v>#N/A</v>
      </c>
      <c r="F492">
        <f>IF('Lab test'!AT481&gt;0,'Lab test'!AT481,NA())</f>
        <v>0.91</v>
      </c>
      <c r="G492" t="e">
        <f t="shared" si="135"/>
        <v>#N/A</v>
      </c>
      <c r="H492" t="e">
        <f t="shared" si="136"/>
        <v>#N/A</v>
      </c>
      <c r="I492" t="e">
        <f t="shared" si="137"/>
        <v>#N/A</v>
      </c>
      <c r="J492">
        <f t="shared" si="138"/>
        <v>1</v>
      </c>
      <c r="K492">
        <f t="shared" si="139"/>
        <v>1</v>
      </c>
      <c r="L492" t="str">
        <f>'Lab test'!AC481</f>
        <v>Electroforming</v>
      </c>
      <c r="O492" t="e">
        <f t="shared" si="140"/>
        <v>#N/A</v>
      </c>
      <c r="P492" t="e">
        <f t="shared" si="141"/>
        <v>#N/A</v>
      </c>
      <c r="Q492" t="e">
        <f t="shared" si="142"/>
        <v>#N/A</v>
      </c>
      <c r="R492" t="e">
        <f t="shared" si="143"/>
        <v>#N/A</v>
      </c>
      <c r="S492" t="e">
        <f t="shared" si="144"/>
        <v>#N/A</v>
      </c>
      <c r="T492" t="e">
        <f t="shared" si="145"/>
        <v>#N/A</v>
      </c>
      <c r="U492" t="e">
        <f t="shared" si="146"/>
        <v>#N/A</v>
      </c>
      <c r="W492" t="e">
        <f t="shared" si="147"/>
        <v>#N/A</v>
      </c>
      <c r="X492" t="e">
        <f t="shared" si="148"/>
        <v>#N/A</v>
      </c>
      <c r="Y492">
        <f t="shared" si="149"/>
        <v>0.91</v>
      </c>
      <c r="Z492" t="e">
        <f t="shared" si="150"/>
        <v>#N/A</v>
      </c>
      <c r="AA492" t="e">
        <f t="shared" si="151"/>
        <v>#N/A</v>
      </c>
      <c r="AB492" t="e">
        <f t="shared" si="152"/>
        <v>#N/A</v>
      </c>
      <c r="AC492" t="e">
        <f t="shared" si="153"/>
        <v>#N/A</v>
      </c>
    </row>
    <row r="493" spans="2:29">
      <c r="B493">
        <v>479</v>
      </c>
      <c r="C493">
        <f>'Lab test'!Q482</f>
        <v>950</v>
      </c>
      <c r="D493" t="e">
        <f>IF('Lab test'!AQ482&gt;0,'Lab test'!AQ482,NA())</f>
        <v>#N/A</v>
      </c>
      <c r="E493" t="e">
        <f>IF('Lab test'!AU482&gt;0,'Lab test'!AU482,NA())</f>
        <v>#N/A</v>
      </c>
      <c r="F493">
        <f>IF('Lab test'!AT482&gt;0,'Lab test'!AT482,NA())</f>
        <v>0.96</v>
      </c>
      <c r="G493" t="e">
        <f t="shared" si="135"/>
        <v>#N/A</v>
      </c>
      <c r="H493" t="e">
        <f t="shared" si="136"/>
        <v>#N/A</v>
      </c>
      <c r="I493" t="e">
        <f t="shared" si="137"/>
        <v>#N/A</v>
      </c>
      <c r="J493">
        <f t="shared" si="138"/>
        <v>1</v>
      </c>
      <c r="K493">
        <f t="shared" si="139"/>
        <v>1</v>
      </c>
      <c r="L493" t="str">
        <f>'Lab test'!AC482</f>
        <v>Electroforming</v>
      </c>
      <c r="O493" t="e">
        <f t="shared" si="140"/>
        <v>#N/A</v>
      </c>
      <c r="P493" t="e">
        <f t="shared" si="141"/>
        <v>#N/A</v>
      </c>
      <c r="Q493" t="e">
        <f t="shared" si="142"/>
        <v>#N/A</v>
      </c>
      <c r="R493" t="e">
        <f t="shared" si="143"/>
        <v>#N/A</v>
      </c>
      <c r="S493" t="e">
        <f t="shared" si="144"/>
        <v>#N/A</v>
      </c>
      <c r="T493" t="e">
        <f t="shared" si="145"/>
        <v>#N/A</v>
      </c>
      <c r="U493" t="e">
        <f t="shared" si="146"/>
        <v>#N/A</v>
      </c>
      <c r="W493" t="e">
        <f t="shared" si="147"/>
        <v>#N/A</v>
      </c>
      <c r="X493" t="e">
        <f t="shared" si="148"/>
        <v>#N/A</v>
      </c>
      <c r="Y493">
        <f t="shared" si="149"/>
        <v>0.96</v>
      </c>
      <c r="Z493" t="e">
        <f t="shared" si="150"/>
        <v>#N/A</v>
      </c>
      <c r="AA493" t="e">
        <f t="shared" si="151"/>
        <v>#N/A</v>
      </c>
      <c r="AB493" t="e">
        <f t="shared" si="152"/>
        <v>#N/A</v>
      </c>
      <c r="AC493" t="e">
        <f t="shared" si="153"/>
        <v>#N/A</v>
      </c>
    </row>
    <row r="494" spans="2:29">
      <c r="B494">
        <v>480</v>
      </c>
      <c r="C494">
        <f>'Lab test'!Q483</f>
        <v>550</v>
      </c>
      <c r="D494" t="e">
        <f>IF('Lab test'!AQ483&gt;0,'Lab test'!AQ483,NA())</f>
        <v>#N/A</v>
      </c>
      <c r="E494" t="e">
        <f>IF('Lab test'!AU483&gt;0,'Lab test'!AU483,NA())</f>
        <v>#N/A</v>
      </c>
      <c r="F494">
        <f>IF('Lab test'!AT483&gt;0,'Lab test'!AT483,NA())</f>
        <v>0.83</v>
      </c>
      <c r="G494" t="e">
        <f t="shared" si="135"/>
        <v>#N/A</v>
      </c>
      <c r="H494" t="e">
        <f t="shared" si="136"/>
        <v>#N/A</v>
      </c>
      <c r="I494" t="e">
        <f t="shared" si="137"/>
        <v>#N/A</v>
      </c>
      <c r="J494">
        <f t="shared" si="138"/>
        <v>1</v>
      </c>
      <c r="K494">
        <f t="shared" si="139"/>
        <v>1</v>
      </c>
      <c r="L494" t="str">
        <f>'Lab test'!AC483</f>
        <v>Electroforming</v>
      </c>
      <c r="O494" t="e">
        <f t="shared" si="140"/>
        <v>#N/A</v>
      </c>
      <c r="P494" t="e">
        <f t="shared" si="141"/>
        <v>#N/A</v>
      </c>
      <c r="Q494" t="e">
        <f t="shared" si="142"/>
        <v>#N/A</v>
      </c>
      <c r="R494" t="e">
        <f t="shared" si="143"/>
        <v>#N/A</v>
      </c>
      <c r="S494" t="e">
        <f t="shared" si="144"/>
        <v>#N/A</v>
      </c>
      <c r="T494" t="e">
        <f t="shared" si="145"/>
        <v>#N/A</v>
      </c>
      <c r="U494" t="e">
        <f t="shared" si="146"/>
        <v>#N/A</v>
      </c>
      <c r="W494" t="e">
        <f t="shared" si="147"/>
        <v>#N/A</v>
      </c>
      <c r="X494" t="e">
        <f t="shared" si="148"/>
        <v>#N/A</v>
      </c>
      <c r="Y494">
        <f t="shared" si="149"/>
        <v>0.83</v>
      </c>
      <c r="Z494" t="e">
        <f t="shared" si="150"/>
        <v>#N/A</v>
      </c>
      <c r="AA494" t="e">
        <f t="shared" si="151"/>
        <v>#N/A</v>
      </c>
      <c r="AB494" t="e">
        <f t="shared" si="152"/>
        <v>#N/A</v>
      </c>
      <c r="AC494" t="e">
        <f t="shared" si="153"/>
        <v>#N/A</v>
      </c>
    </row>
    <row r="495" spans="2:29">
      <c r="B495">
        <v>481</v>
      </c>
      <c r="C495">
        <f>'Lab test'!Q484</f>
        <v>760</v>
      </c>
      <c r="D495" t="e">
        <f>IF('Lab test'!AQ484&gt;0,'Lab test'!AQ484,NA())</f>
        <v>#N/A</v>
      </c>
      <c r="E495" t="e">
        <f>IF('Lab test'!AU484&gt;0,'Lab test'!AU484,NA())</f>
        <v>#N/A</v>
      </c>
      <c r="F495">
        <f>IF('Lab test'!AT484&gt;0,'Lab test'!AT484,NA())</f>
        <v>0.85</v>
      </c>
      <c r="G495" t="e">
        <f t="shared" si="135"/>
        <v>#N/A</v>
      </c>
      <c r="H495" t="e">
        <f t="shared" si="136"/>
        <v>#N/A</v>
      </c>
      <c r="I495" t="e">
        <f t="shared" si="137"/>
        <v>#N/A</v>
      </c>
      <c r="J495">
        <f t="shared" si="138"/>
        <v>1</v>
      </c>
      <c r="K495">
        <f t="shared" si="139"/>
        <v>1</v>
      </c>
      <c r="L495" t="str">
        <f>'Lab test'!AC484</f>
        <v>Electroforming</v>
      </c>
      <c r="O495" t="e">
        <f t="shared" si="140"/>
        <v>#N/A</v>
      </c>
      <c r="P495" t="e">
        <f t="shared" si="141"/>
        <v>#N/A</v>
      </c>
      <c r="Q495" t="e">
        <f t="shared" si="142"/>
        <v>#N/A</v>
      </c>
      <c r="R495" t="e">
        <f t="shared" si="143"/>
        <v>#N/A</v>
      </c>
      <c r="S495" t="e">
        <f t="shared" si="144"/>
        <v>#N/A</v>
      </c>
      <c r="T495" t="e">
        <f t="shared" si="145"/>
        <v>#N/A</v>
      </c>
      <c r="U495" t="e">
        <f t="shared" si="146"/>
        <v>#N/A</v>
      </c>
      <c r="W495" t="e">
        <f t="shared" si="147"/>
        <v>#N/A</v>
      </c>
      <c r="X495" t="e">
        <f t="shared" si="148"/>
        <v>#N/A</v>
      </c>
      <c r="Y495">
        <f t="shared" si="149"/>
        <v>0.85</v>
      </c>
      <c r="Z495" t="e">
        <f t="shared" si="150"/>
        <v>#N/A</v>
      </c>
      <c r="AA495" t="e">
        <f t="shared" si="151"/>
        <v>#N/A</v>
      </c>
      <c r="AB495" t="e">
        <f t="shared" si="152"/>
        <v>#N/A</v>
      </c>
      <c r="AC495" t="e">
        <f t="shared" si="153"/>
        <v>#N/A</v>
      </c>
    </row>
    <row r="496" spans="2:29">
      <c r="B496">
        <v>482</v>
      </c>
      <c r="C496">
        <f>'Lab test'!Q485</f>
        <v>470</v>
      </c>
      <c r="D496" t="e">
        <f>IF('Lab test'!AQ485&gt;0,'Lab test'!AQ485,NA())</f>
        <v>#N/A</v>
      </c>
      <c r="E496" t="e">
        <f>IF('Lab test'!AU485&gt;0,'Lab test'!AU485,NA())</f>
        <v>#N/A</v>
      </c>
      <c r="F496">
        <f>IF('Lab test'!AT485&gt;0,'Lab test'!AT485,NA())</f>
        <v>0.81</v>
      </c>
      <c r="G496" t="e">
        <f t="shared" si="135"/>
        <v>#N/A</v>
      </c>
      <c r="H496" t="e">
        <f t="shared" si="136"/>
        <v>#N/A</v>
      </c>
      <c r="I496" t="e">
        <f t="shared" si="137"/>
        <v>#N/A</v>
      </c>
      <c r="J496">
        <f t="shared" si="138"/>
        <v>1</v>
      </c>
      <c r="K496">
        <f t="shared" si="139"/>
        <v>1</v>
      </c>
      <c r="L496" t="str">
        <f>'Lab test'!AC485</f>
        <v>Electroforming</v>
      </c>
      <c r="O496" t="e">
        <f t="shared" si="140"/>
        <v>#N/A</v>
      </c>
      <c r="P496" t="e">
        <f t="shared" si="141"/>
        <v>#N/A</v>
      </c>
      <c r="Q496" t="e">
        <f t="shared" si="142"/>
        <v>#N/A</v>
      </c>
      <c r="R496" t="e">
        <f t="shared" si="143"/>
        <v>#N/A</v>
      </c>
      <c r="S496" t="e">
        <f t="shared" si="144"/>
        <v>#N/A</v>
      </c>
      <c r="T496" t="e">
        <f t="shared" si="145"/>
        <v>#N/A</v>
      </c>
      <c r="U496" t="e">
        <f t="shared" si="146"/>
        <v>#N/A</v>
      </c>
      <c r="W496" t="e">
        <f t="shared" si="147"/>
        <v>#N/A</v>
      </c>
      <c r="X496" t="e">
        <f t="shared" si="148"/>
        <v>#N/A</v>
      </c>
      <c r="Y496">
        <f t="shared" si="149"/>
        <v>0.81</v>
      </c>
      <c r="Z496" t="e">
        <f t="shared" si="150"/>
        <v>#N/A</v>
      </c>
      <c r="AA496" t="e">
        <f t="shared" si="151"/>
        <v>#N/A</v>
      </c>
      <c r="AB496" t="e">
        <f t="shared" si="152"/>
        <v>#N/A</v>
      </c>
      <c r="AC496" t="e">
        <f t="shared" si="153"/>
        <v>#N/A</v>
      </c>
    </row>
    <row r="497" spans="2:29">
      <c r="B497">
        <v>483</v>
      </c>
      <c r="C497">
        <f>'Lab test'!Q486</f>
        <v>627</v>
      </c>
      <c r="D497" t="e">
        <f>IF('Lab test'!AQ486&gt;0,'Lab test'!AQ486,NA())</f>
        <v>#N/A</v>
      </c>
      <c r="E497" t="e">
        <f>IF('Lab test'!AU486&gt;0,'Lab test'!AU486,NA())</f>
        <v>#N/A</v>
      </c>
      <c r="F497">
        <f>IF('Lab test'!AT486&gt;0,'Lab test'!AT486,NA())</f>
        <v>0.8</v>
      </c>
      <c r="G497" t="e">
        <f t="shared" si="135"/>
        <v>#N/A</v>
      </c>
      <c r="H497" t="e">
        <f t="shared" si="136"/>
        <v>#N/A</v>
      </c>
      <c r="I497" t="e">
        <f t="shared" si="137"/>
        <v>#N/A</v>
      </c>
      <c r="J497">
        <f t="shared" si="138"/>
        <v>1</v>
      </c>
      <c r="K497">
        <f t="shared" si="139"/>
        <v>1</v>
      </c>
      <c r="L497" t="str">
        <f>'Lab test'!AC486</f>
        <v>Electroforming</v>
      </c>
      <c r="O497" t="e">
        <f t="shared" si="140"/>
        <v>#N/A</v>
      </c>
      <c r="P497" t="e">
        <f t="shared" si="141"/>
        <v>#N/A</v>
      </c>
      <c r="Q497" t="e">
        <f t="shared" si="142"/>
        <v>#N/A</v>
      </c>
      <c r="R497" t="e">
        <f t="shared" si="143"/>
        <v>#N/A</v>
      </c>
      <c r="S497" t="e">
        <f t="shared" si="144"/>
        <v>#N/A</v>
      </c>
      <c r="T497" t="e">
        <f t="shared" si="145"/>
        <v>#N/A</v>
      </c>
      <c r="U497" t="e">
        <f t="shared" si="146"/>
        <v>#N/A</v>
      </c>
      <c r="W497" t="e">
        <f t="shared" si="147"/>
        <v>#N/A</v>
      </c>
      <c r="X497" t="e">
        <f t="shared" si="148"/>
        <v>#N/A</v>
      </c>
      <c r="Y497">
        <f t="shared" si="149"/>
        <v>0.8</v>
      </c>
      <c r="Z497" t="e">
        <f t="shared" si="150"/>
        <v>#N/A</v>
      </c>
      <c r="AA497" t="e">
        <f t="shared" si="151"/>
        <v>#N/A</v>
      </c>
      <c r="AB497" t="e">
        <f t="shared" si="152"/>
        <v>#N/A</v>
      </c>
      <c r="AC497" t="e">
        <f t="shared" si="153"/>
        <v>#N/A</v>
      </c>
    </row>
    <row r="498" spans="2:29">
      <c r="B498">
        <v>484</v>
      </c>
      <c r="C498">
        <f>'Lab test'!Q487</f>
        <v>700</v>
      </c>
      <c r="D498" t="e">
        <f>IF('Lab test'!AQ487&gt;0,'Lab test'!AQ487,NA())</f>
        <v>#N/A</v>
      </c>
      <c r="E498" t="e">
        <f>IF('Lab test'!AU487&gt;0,'Lab test'!AU487,NA())</f>
        <v>#N/A</v>
      </c>
      <c r="F498">
        <f>IF('Lab test'!AT487&gt;0,'Lab test'!AT487,NA())</f>
        <v>0.86</v>
      </c>
      <c r="G498" t="e">
        <f t="shared" si="135"/>
        <v>#N/A</v>
      </c>
      <c r="H498" t="e">
        <f t="shared" si="136"/>
        <v>#N/A</v>
      </c>
      <c r="I498" t="e">
        <f t="shared" si="137"/>
        <v>#N/A</v>
      </c>
      <c r="J498">
        <f t="shared" si="138"/>
        <v>1</v>
      </c>
      <c r="K498">
        <f t="shared" si="139"/>
        <v>1</v>
      </c>
      <c r="L498" t="str">
        <f>'Lab test'!AC487</f>
        <v>Electroforming</v>
      </c>
      <c r="O498" t="e">
        <f t="shared" si="140"/>
        <v>#N/A</v>
      </c>
      <c r="P498" t="e">
        <f t="shared" si="141"/>
        <v>#N/A</v>
      </c>
      <c r="Q498" t="e">
        <f t="shared" si="142"/>
        <v>#N/A</v>
      </c>
      <c r="R498" t="e">
        <f t="shared" si="143"/>
        <v>#N/A</v>
      </c>
      <c r="S498" t="e">
        <f t="shared" si="144"/>
        <v>#N/A</v>
      </c>
      <c r="T498" t="e">
        <f t="shared" si="145"/>
        <v>#N/A</v>
      </c>
      <c r="U498" t="e">
        <f t="shared" si="146"/>
        <v>#N/A</v>
      </c>
      <c r="W498" t="e">
        <f t="shared" si="147"/>
        <v>#N/A</v>
      </c>
      <c r="X498" t="e">
        <f t="shared" si="148"/>
        <v>#N/A</v>
      </c>
      <c r="Y498">
        <f t="shared" si="149"/>
        <v>0.86</v>
      </c>
      <c r="Z498" t="e">
        <f t="shared" si="150"/>
        <v>#N/A</v>
      </c>
      <c r="AA498" t="e">
        <f t="shared" si="151"/>
        <v>#N/A</v>
      </c>
      <c r="AB498" t="e">
        <f t="shared" si="152"/>
        <v>#N/A</v>
      </c>
      <c r="AC498" t="e">
        <f t="shared" si="153"/>
        <v>#N/A</v>
      </c>
    </row>
    <row r="499" spans="2:29">
      <c r="B499">
        <v>485</v>
      </c>
      <c r="C499">
        <f>'Lab test'!Q488</f>
        <v>930</v>
      </c>
      <c r="D499" t="e">
        <f>IF('Lab test'!AQ488&gt;0,'Lab test'!AQ488,NA())</f>
        <v>#N/A</v>
      </c>
      <c r="E499" t="e">
        <f>IF('Lab test'!AU488&gt;0,'Lab test'!AU488,NA())</f>
        <v>#N/A</v>
      </c>
      <c r="F499">
        <f>IF('Lab test'!AT488&gt;0,'Lab test'!AT488,NA())</f>
        <v>0.84</v>
      </c>
      <c r="G499" t="e">
        <f t="shared" si="135"/>
        <v>#N/A</v>
      </c>
      <c r="H499" t="e">
        <f t="shared" si="136"/>
        <v>#N/A</v>
      </c>
      <c r="I499" t="e">
        <f t="shared" si="137"/>
        <v>#N/A</v>
      </c>
      <c r="J499">
        <f t="shared" si="138"/>
        <v>1</v>
      </c>
      <c r="K499">
        <f t="shared" si="139"/>
        <v>1</v>
      </c>
      <c r="L499" t="str">
        <f>'Lab test'!AC488</f>
        <v>Electroforming</v>
      </c>
      <c r="O499" t="e">
        <f t="shared" si="140"/>
        <v>#N/A</v>
      </c>
      <c r="P499" t="e">
        <f t="shared" si="141"/>
        <v>#N/A</v>
      </c>
      <c r="Q499" t="e">
        <f t="shared" si="142"/>
        <v>#N/A</v>
      </c>
      <c r="R499" t="e">
        <f t="shared" si="143"/>
        <v>#N/A</v>
      </c>
      <c r="S499" t="e">
        <f t="shared" si="144"/>
        <v>#N/A</v>
      </c>
      <c r="T499" t="e">
        <f t="shared" si="145"/>
        <v>#N/A</v>
      </c>
      <c r="U499" t="e">
        <f t="shared" si="146"/>
        <v>#N/A</v>
      </c>
      <c r="W499" t="e">
        <f t="shared" si="147"/>
        <v>#N/A</v>
      </c>
      <c r="X499" t="e">
        <f t="shared" si="148"/>
        <v>#N/A</v>
      </c>
      <c r="Y499">
        <f t="shared" si="149"/>
        <v>0.84</v>
      </c>
      <c r="Z499" t="e">
        <f t="shared" si="150"/>
        <v>#N/A</v>
      </c>
      <c r="AA499" t="e">
        <f t="shared" si="151"/>
        <v>#N/A</v>
      </c>
      <c r="AB499" t="e">
        <f t="shared" si="152"/>
        <v>#N/A</v>
      </c>
      <c r="AC499" t="e">
        <f t="shared" si="153"/>
        <v>#N/A</v>
      </c>
    </row>
    <row r="500" spans="2:29">
      <c r="B500">
        <v>486</v>
      </c>
      <c r="C500">
        <f>'Lab test'!Q489</f>
        <v>740</v>
      </c>
      <c r="D500" t="e">
        <f>IF('Lab test'!AQ489&gt;0,'Lab test'!AQ489,NA())</f>
        <v>#N/A</v>
      </c>
      <c r="E500" t="e">
        <f>IF('Lab test'!AU489&gt;0,'Lab test'!AU489,NA())</f>
        <v>#N/A</v>
      </c>
      <c r="F500">
        <f>IF('Lab test'!AT489&gt;0,'Lab test'!AT489,NA())</f>
        <v>0.84</v>
      </c>
      <c r="G500" t="e">
        <f t="shared" si="135"/>
        <v>#N/A</v>
      </c>
      <c r="H500" t="e">
        <f t="shared" si="136"/>
        <v>#N/A</v>
      </c>
      <c r="I500" t="e">
        <f t="shared" si="137"/>
        <v>#N/A</v>
      </c>
      <c r="J500">
        <f t="shared" si="138"/>
        <v>1</v>
      </c>
      <c r="K500">
        <f t="shared" si="139"/>
        <v>1</v>
      </c>
      <c r="L500" t="str">
        <f>'Lab test'!AC489</f>
        <v>Electroforming</v>
      </c>
      <c r="O500" t="e">
        <f t="shared" si="140"/>
        <v>#N/A</v>
      </c>
      <c r="P500" t="e">
        <f t="shared" si="141"/>
        <v>#N/A</v>
      </c>
      <c r="Q500" t="e">
        <f t="shared" si="142"/>
        <v>#N/A</v>
      </c>
      <c r="R500" t="e">
        <f t="shared" si="143"/>
        <v>#N/A</v>
      </c>
      <c r="S500" t="e">
        <f t="shared" si="144"/>
        <v>#N/A</v>
      </c>
      <c r="T500" t="e">
        <f t="shared" si="145"/>
        <v>#N/A</v>
      </c>
      <c r="U500" t="e">
        <f t="shared" si="146"/>
        <v>#N/A</v>
      </c>
      <c r="W500" t="e">
        <f t="shared" si="147"/>
        <v>#N/A</v>
      </c>
      <c r="X500" t="e">
        <f t="shared" si="148"/>
        <v>#N/A</v>
      </c>
      <c r="Y500">
        <f t="shared" si="149"/>
        <v>0.84</v>
      </c>
      <c r="Z500" t="e">
        <f t="shared" si="150"/>
        <v>#N/A</v>
      </c>
      <c r="AA500" t="e">
        <f t="shared" si="151"/>
        <v>#N/A</v>
      </c>
      <c r="AB500" t="e">
        <f t="shared" si="152"/>
        <v>#N/A</v>
      </c>
      <c r="AC500" t="e">
        <f t="shared" si="153"/>
        <v>#N/A</v>
      </c>
    </row>
    <row r="501" spans="2:29">
      <c r="B501">
        <v>487</v>
      </c>
      <c r="C501">
        <f>'Lab test'!Q490</f>
        <v>606</v>
      </c>
      <c r="D501" t="e">
        <f>IF('Lab test'!AQ490&gt;0,'Lab test'!AQ490,NA())</f>
        <v>#N/A</v>
      </c>
      <c r="E501" t="e">
        <f>IF('Lab test'!AU490&gt;0,'Lab test'!AU490,NA())</f>
        <v>#N/A</v>
      </c>
      <c r="F501">
        <f>IF('Lab test'!AT490&gt;0,'Lab test'!AT490,NA())</f>
        <v>0.91</v>
      </c>
      <c r="G501" t="e">
        <f t="shared" si="135"/>
        <v>#N/A</v>
      </c>
      <c r="H501" t="e">
        <f t="shared" si="136"/>
        <v>#N/A</v>
      </c>
      <c r="I501" t="e">
        <f t="shared" si="137"/>
        <v>#N/A</v>
      </c>
      <c r="J501">
        <f t="shared" si="138"/>
        <v>1</v>
      </c>
      <c r="K501">
        <f t="shared" si="139"/>
        <v>1</v>
      </c>
      <c r="L501" t="str">
        <f>'Lab test'!AC490</f>
        <v>Electroforming</v>
      </c>
      <c r="O501" t="e">
        <f t="shared" si="140"/>
        <v>#N/A</v>
      </c>
      <c r="P501" t="e">
        <f t="shared" si="141"/>
        <v>#N/A</v>
      </c>
      <c r="Q501" t="e">
        <f t="shared" si="142"/>
        <v>#N/A</v>
      </c>
      <c r="R501" t="e">
        <f t="shared" si="143"/>
        <v>#N/A</v>
      </c>
      <c r="S501" t="e">
        <f t="shared" si="144"/>
        <v>#N/A</v>
      </c>
      <c r="T501" t="e">
        <f t="shared" si="145"/>
        <v>#N/A</v>
      </c>
      <c r="U501" t="e">
        <f t="shared" si="146"/>
        <v>#N/A</v>
      </c>
      <c r="W501" t="e">
        <f t="shared" si="147"/>
        <v>#N/A</v>
      </c>
      <c r="X501" t="e">
        <f t="shared" si="148"/>
        <v>#N/A</v>
      </c>
      <c r="Y501">
        <f t="shared" si="149"/>
        <v>0.91</v>
      </c>
      <c r="Z501" t="e">
        <f t="shared" si="150"/>
        <v>#N/A</v>
      </c>
      <c r="AA501" t="e">
        <f t="shared" si="151"/>
        <v>#N/A</v>
      </c>
      <c r="AB501" t="e">
        <f t="shared" si="152"/>
        <v>#N/A</v>
      </c>
      <c r="AC501" t="e">
        <f t="shared" si="153"/>
        <v>#N/A</v>
      </c>
    </row>
    <row r="502" spans="2:29">
      <c r="B502">
        <v>488</v>
      </c>
      <c r="C502">
        <f>'Lab test'!Q491</f>
        <v>478</v>
      </c>
      <c r="D502" t="e">
        <f>IF('Lab test'!AQ491&gt;0,'Lab test'!AQ491,NA())</f>
        <v>#N/A</v>
      </c>
      <c r="E502" t="e">
        <f>IF('Lab test'!AU491&gt;0,'Lab test'!AU491,NA())</f>
        <v>#N/A</v>
      </c>
      <c r="F502">
        <f>IF('Lab test'!AT491&gt;0,'Lab test'!AT491,NA())</f>
        <v>0.86</v>
      </c>
      <c r="G502" t="e">
        <f t="shared" si="135"/>
        <v>#N/A</v>
      </c>
      <c r="H502" t="e">
        <f t="shared" si="136"/>
        <v>#N/A</v>
      </c>
      <c r="I502" t="e">
        <f t="shared" si="137"/>
        <v>#N/A</v>
      </c>
      <c r="J502">
        <f t="shared" si="138"/>
        <v>1</v>
      </c>
      <c r="K502">
        <f t="shared" si="139"/>
        <v>1</v>
      </c>
      <c r="L502" t="str">
        <f>'Lab test'!AC491</f>
        <v>Electroforming</v>
      </c>
      <c r="O502" t="e">
        <f t="shared" si="140"/>
        <v>#N/A</v>
      </c>
      <c r="P502" t="e">
        <f t="shared" si="141"/>
        <v>#N/A</v>
      </c>
      <c r="Q502" t="e">
        <f t="shared" si="142"/>
        <v>#N/A</v>
      </c>
      <c r="R502" t="e">
        <f t="shared" si="143"/>
        <v>#N/A</v>
      </c>
      <c r="S502" t="e">
        <f t="shared" si="144"/>
        <v>#N/A</v>
      </c>
      <c r="T502" t="e">
        <f t="shared" si="145"/>
        <v>#N/A</v>
      </c>
      <c r="U502" t="e">
        <f t="shared" si="146"/>
        <v>#N/A</v>
      </c>
      <c r="W502" t="e">
        <f t="shared" si="147"/>
        <v>#N/A</v>
      </c>
      <c r="X502" t="e">
        <f t="shared" si="148"/>
        <v>#N/A</v>
      </c>
      <c r="Y502">
        <f t="shared" si="149"/>
        <v>0.86</v>
      </c>
      <c r="Z502" t="e">
        <f t="shared" si="150"/>
        <v>#N/A</v>
      </c>
      <c r="AA502" t="e">
        <f t="shared" si="151"/>
        <v>#N/A</v>
      </c>
      <c r="AB502" t="e">
        <f t="shared" si="152"/>
        <v>#N/A</v>
      </c>
      <c r="AC502" t="e">
        <f t="shared" si="153"/>
        <v>#N/A</v>
      </c>
    </row>
    <row r="503" spans="2:29">
      <c r="B503">
        <v>489</v>
      </c>
      <c r="C503">
        <f>'Lab test'!Q492</f>
        <v>923</v>
      </c>
      <c r="D503" t="e">
        <f>IF('Lab test'!AQ492&gt;0,'Lab test'!AQ492,NA())</f>
        <v>#N/A</v>
      </c>
      <c r="E503" t="e">
        <f>IF('Lab test'!AU492&gt;0,'Lab test'!AU492,NA())</f>
        <v>#N/A</v>
      </c>
      <c r="F503">
        <f>IF('Lab test'!AT492&gt;0,'Lab test'!AT492,NA())</f>
        <v>0.8</v>
      </c>
      <c r="G503" t="e">
        <f t="shared" si="135"/>
        <v>#N/A</v>
      </c>
      <c r="H503" t="e">
        <f t="shared" si="136"/>
        <v>#N/A</v>
      </c>
      <c r="I503" t="e">
        <f t="shared" si="137"/>
        <v>#N/A</v>
      </c>
      <c r="J503">
        <f t="shared" si="138"/>
        <v>1</v>
      </c>
      <c r="K503">
        <f t="shared" si="139"/>
        <v>1</v>
      </c>
      <c r="L503" t="str">
        <f>'Lab test'!AC492</f>
        <v>Electroforming</v>
      </c>
      <c r="O503" t="e">
        <f t="shared" si="140"/>
        <v>#N/A</v>
      </c>
      <c r="P503" t="e">
        <f t="shared" si="141"/>
        <v>#N/A</v>
      </c>
      <c r="Q503" t="e">
        <f t="shared" si="142"/>
        <v>#N/A</v>
      </c>
      <c r="R503" t="e">
        <f t="shared" si="143"/>
        <v>#N/A</v>
      </c>
      <c r="S503" t="e">
        <f t="shared" si="144"/>
        <v>#N/A</v>
      </c>
      <c r="T503" t="e">
        <f t="shared" si="145"/>
        <v>#N/A</v>
      </c>
      <c r="U503" t="e">
        <f t="shared" si="146"/>
        <v>#N/A</v>
      </c>
      <c r="W503" t="e">
        <f t="shared" si="147"/>
        <v>#N/A</v>
      </c>
      <c r="X503" t="e">
        <f t="shared" si="148"/>
        <v>#N/A</v>
      </c>
      <c r="Y503">
        <f t="shared" si="149"/>
        <v>0.8</v>
      </c>
      <c r="Z503" t="e">
        <f t="shared" si="150"/>
        <v>#N/A</v>
      </c>
      <c r="AA503" t="e">
        <f t="shared" si="151"/>
        <v>#N/A</v>
      </c>
      <c r="AB503" t="e">
        <f t="shared" si="152"/>
        <v>#N/A</v>
      </c>
      <c r="AC503" t="e">
        <f t="shared" si="153"/>
        <v>#N/A</v>
      </c>
    </row>
    <row r="504" spans="2:29">
      <c r="B504">
        <v>490</v>
      </c>
      <c r="C504">
        <f>'Lab test'!Q493</f>
        <v>527</v>
      </c>
      <c r="D504" t="e">
        <f>IF('Lab test'!AQ493&gt;0,'Lab test'!AQ493,NA())</f>
        <v>#N/A</v>
      </c>
      <c r="E504" t="e">
        <f>IF('Lab test'!AU493&gt;0,'Lab test'!AU493,NA())</f>
        <v>#N/A</v>
      </c>
      <c r="F504">
        <f>IF('Lab test'!AT493&gt;0,'Lab test'!AT493,NA())</f>
        <v>0.9</v>
      </c>
      <c r="G504" t="e">
        <f t="shared" si="135"/>
        <v>#N/A</v>
      </c>
      <c r="H504" t="e">
        <f t="shared" si="136"/>
        <v>#N/A</v>
      </c>
      <c r="I504" t="e">
        <f t="shared" si="137"/>
        <v>#N/A</v>
      </c>
      <c r="J504">
        <f t="shared" si="138"/>
        <v>1</v>
      </c>
      <c r="K504">
        <f t="shared" si="139"/>
        <v>1</v>
      </c>
      <c r="L504" t="str">
        <f>'Lab test'!AC493</f>
        <v>Electroforming</v>
      </c>
      <c r="O504" t="e">
        <f t="shared" si="140"/>
        <v>#N/A</v>
      </c>
      <c r="P504" t="e">
        <f t="shared" si="141"/>
        <v>#N/A</v>
      </c>
      <c r="Q504" t="e">
        <f t="shared" si="142"/>
        <v>#N/A</v>
      </c>
      <c r="R504" t="e">
        <f t="shared" si="143"/>
        <v>#N/A</v>
      </c>
      <c r="S504" t="e">
        <f t="shared" si="144"/>
        <v>#N/A</v>
      </c>
      <c r="T504" t="e">
        <f t="shared" si="145"/>
        <v>#N/A</v>
      </c>
      <c r="U504" t="e">
        <f t="shared" si="146"/>
        <v>#N/A</v>
      </c>
      <c r="W504" t="e">
        <f t="shared" si="147"/>
        <v>#N/A</v>
      </c>
      <c r="X504" t="e">
        <f t="shared" si="148"/>
        <v>#N/A</v>
      </c>
      <c r="Y504">
        <f t="shared" si="149"/>
        <v>0.9</v>
      </c>
      <c r="Z504" t="e">
        <f t="shared" si="150"/>
        <v>#N/A</v>
      </c>
      <c r="AA504" t="e">
        <f t="shared" si="151"/>
        <v>#N/A</v>
      </c>
      <c r="AB504" t="e">
        <f t="shared" si="152"/>
        <v>#N/A</v>
      </c>
      <c r="AC504" t="e">
        <f t="shared" si="153"/>
        <v>#N/A</v>
      </c>
    </row>
    <row r="505" spans="2:29">
      <c r="B505">
        <v>491</v>
      </c>
      <c r="C505">
        <f>'Lab test'!Q494</f>
        <v>850</v>
      </c>
      <c r="D505" t="e">
        <f>IF('Lab test'!AQ494&gt;0,'Lab test'!AQ494,NA())</f>
        <v>#N/A</v>
      </c>
      <c r="E505" t="e">
        <f>IF('Lab test'!AU494&gt;0,'Lab test'!AU494,NA())</f>
        <v>#N/A</v>
      </c>
      <c r="F505">
        <f>IF('Lab test'!AT494&gt;0,'Lab test'!AT494,NA())</f>
        <v>0.81</v>
      </c>
      <c r="G505" t="e">
        <f t="shared" si="135"/>
        <v>#N/A</v>
      </c>
      <c r="H505" t="e">
        <f t="shared" si="136"/>
        <v>#N/A</v>
      </c>
      <c r="I505" t="e">
        <f t="shared" si="137"/>
        <v>#N/A</v>
      </c>
      <c r="J505">
        <f t="shared" si="138"/>
        <v>1</v>
      </c>
      <c r="K505">
        <f t="shared" si="139"/>
        <v>1</v>
      </c>
      <c r="L505" t="str">
        <f>'Lab test'!AC494</f>
        <v>Electroforming</v>
      </c>
      <c r="O505" t="e">
        <f t="shared" si="140"/>
        <v>#N/A</v>
      </c>
      <c r="P505" t="e">
        <f t="shared" si="141"/>
        <v>#N/A</v>
      </c>
      <c r="Q505" t="e">
        <f t="shared" si="142"/>
        <v>#N/A</v>
      </c>
      <c r="R505" t="e">
        <f t="shared" si="143"/>
        <v>#N/A</v>
      </c>
      <c r="S505" t="e">
        <f t="shared" si="144"/>
        <v>#N/A</v>
      </c>
      <c r="T505" t="e">
        <f t="shared" si="145"/>
        <v>#N/A</v>
      </c>
      <c r="U505" t="e">
        <f t="shared" si="146"/>
        <v>#N/A</v>
      </c>
      <c r="W505" t="e">
        <f t="shared" si="147"/>
        <v>#N/A</v>
      </c>
      <c r="X505" t="e">
        <f t="shared" si="148"/>
        <v>#N/A</v>
      </c>
      <c r="Y505">
        <f t="shared" si="149"/>
        <v>0.81</v>
      </c>
      <c r="Z505" t="e">
        <f t="shared" si="150"/>
        <v>#N/A</v>
      </c>
      <c r="AA505" t="e">
        <f t="shared" si="151"/>
        <v>#N/A</v>
      </c>
      <c r="AB505" t="e">
        <f t="shared" si="152"/>
        <v>#N/A</v>
      </c>
      <c r="AC505" t="e">
        <f t="shared" si="153"/>
        <v>#N/A</v>
      </c>
    </row>
    <row r="506" spans="2:29">
      <c r="B506">
        <v>492</v>
      </c>
      <c r="C506">
        <f>'Lab test'!Q495</f>
        <v>564</v>
      </c>
      <c r="D506" t="e">
        <f>IF('Lab test'!AQ495&gt;0,'Lab test'!AQ495,NA())</f>
        <v>#N/A</v>
      </c>
      <c r="E506" t="e">
        <f>IF('Lab test'!AU495&gt;0,'Lab test'!AU495,NA())</f>
        <v>#N/A</v>
      </c>
      <c r="F506">
        <f>IF('Lab test'!AT495&gt;0,'Lab test'!AT495,NA())</f>
        <v>0.85</v>
      </c>
      <c r="G506" t="e">
        <f t="shared" si="135"/>
        <v>#N/A</v>
      </c>
      <c r="H506" t="e">
        <f t="shared" si="136"/>
        <v>#N/A</v>
      </c>
      <c r="I506" t="e">
        <f t="shared" si="137"/>
        <v>#N/A</v>
      </c>
      <c r="J506">
        <f t="shared" si="138"/>
        <v>1</v>
      </c>
      <c r="K506">
        <f t="shared" si="139"/>
        <v>1</v>
      </c>
      <c r="L506" t="str">
        <f>'Lab test'!AC495</f>
        <v>Electroforming</v>
      </c>
      <c r="O506" t="e">
        <f t="shared" si="140"/>
        <v>#N/A</v>
      </c>
      <c r="P506" t="e">
        <f t="shared" si="141"/>
        <v>#N/A</v>
      </c>
      <c r="Q506" t="e">
        <f t="shared" si="142"/>
        <v>#N/A</v>
      </c>
      <c r="R506" t="e">
        <f t="shared" si="143"/>
        <v>#N/A</v>
      </c>
      <c r="S506" t="e">
        <f t="shared" si="144"/>
        <v>#N/A</v>
      </c>
      <c r="T506" t="e">
        <f t="shared" si="145"/>
        <v>#N/A</v>
      </c>
      <c r="U506" t="e">
        <f t="shared" si="146"/>
        <v>#N/A</v>
      </c>
      <c r="W506" t="e">
        <f t="shared" si="147"/>
        <v>#N/A</v>
      </c>
      <c r="X506" t="e">
        <f t="shared" si="148"/>
        <v>#N/A</v>
      </c>
      <c r="Y506">
        <f t="shared" si="149"/>
        <v>0.85</v>
      </c>
      <c r="Z506" t="e">
        <f t="shared" si="150"/>
        <v>#N/A</v>
      </c>
      <c r="AA506" t="e">
        <f t="shared" si="151"/>
        <v>#N/A</v>
      </c>
      <c r="AB506" t="e">
        <f t="shared" si="152"/>
        <v>#N/A</v>
      </c>
      <c r="AC506" t="e">
        <f t="shared" si="153"/>
        <v>#N/A</v>
      </c>
    </row>
    <row r="507" spans="2:29">
      <c r="B507">
        <v>493</v>
      </c>
      <c r="C507">
        <f>'Lab test'!Q496</f>
        <v>100</v>
      </c>
      <c r="D507">
        <f>IF('Lab test'!AQ496&gt;0,'Lab test'!AQ496,NA())</f>
        <v>0.46423445597154384</v>
      </c>
      <c r="E507">
        <f>IF('Lab test'!AU496&gt;0,'Lab test'!AU496,NA())</f>
        <v>0.82962962962962961</v>
      </c>
      <c r="F507">
        <f>IF('Lab test'!AT496&gt;0,'Lab test'!AT496,NA())</f>
        <v>0.17879649312928794</v>
      </c>
      <c r="G507">
        <f t="shared" si="135"/>
        <v>1</v>
      </c>
      <c r="H507">
        <f t="shared" si="136"/>
        <v>1</v>
      </c>
      <c r="I507">
        <f t="shared" si="137"/>
        <v>1</v>
      </c>
      <c r="J507">
        <f t="shared" si="138"/>
        <v>1</v>
      </c>
      <c r="K507">
        <f t="shared" si="139"/>
        <v>1</v>
      </c>
      <c r="L507" t="str">
        <f>'Lab test'!AC496</f>
        <v>LTWa</v>
      </c>
      <c r="O507">
        <f t="shared" si="140"/>
        <v>0.82962962962962961</v>
      </c>
      <c r="P507" t="e">
        <f t="shared" si="141"/>
        <v>#N/A</v>
      </c>
      <c r="Q507" t="e">
        <f t="shared" si="142"/>
        <v>#N/A</v>
      </c>
      <c r="R507" t="e">
        <f t="shared" si="143"/>
        <v>#N/A</v>
      </c>
      <c r="S507" t="e">
        <f t="shared" si="144"/>
        <v>#N/A</v>
      </c>
      <c r="T507" t="e">
        <f t="shared" si="145"/>
        <v>#N/A</v>
      </c>
      <c r="U507" t="e">
        <f t="shared" si="146"/>
        <v>#N/A</v>
      </c>
      <c r="W507">
        <f t="shared" si="147"/>
        <v>0.17879649312928794</v>
      </c>
      <c r="X507" t="e">
        <f t="shared" si="148"/>
        <v>#N/A</v>
      </c>
      <c r="Y507" t="e">
        <f t="shared" si="149"/>
        <v>#N/A</v>
      </c>
      <c r="Z507" t="e">
        <f t="shared" si="150"/>
        <v>#N/A</v>
      </c>
      <c r="AA507" t="e">
        <f t="shared" si="151"/>
        <v>#N/A</v>
      </c>
      <c r="AB507" t="e">
        <f t="shared" si="152"/>
        <v>#N/A</v>
      </c>
      <c r="AC507" t="e">
        <f t="shared" si="153"/>
        <v>#N/A</v>
      </c>
    </row>
    <row r="508" spans="2:29">
      <c r="B508">
        <v>494</v>
      </c>
      <c r="C508">
        <f>'Lab test'!Q497</f>
        <v>95</v>
      </c>
      <c r="D508">
        <f>IF('Lab test'!AQ497&gt;0,'Lab test'!AQ497,NA())</f>
        <v>0.55074084596637307</v>
      </c>
      <c r="E508">
        <f>IF('Lab test'!AU497&gt;0,'Lab test'!AU497,NA())</f>
        <v>0.9</v>
      </c>
      <c r="F508">
        <f>IF('Lab test'!AT497&gt;0,'Lab test'!AT497,NA())</f>
        <v>0.27298393147418071</v>
      </c>
      <c r="G508">
        <f t="shared" si="135"/>
        <v>1</v>
      </c>
      <c r="H508">
        <f t="shared" si="136"/>
        <v>1</v>
      </c>
      <c r="I508">
        <f t="shared" si="137"/>
        <v>1</v>
      </c>
      <c r="J508">
        <f t="shared" si="138"/>
        <v>1</v>
      </c>
      <c r="K508">
        <f t="shared" si="139"/>
        <v>1</v>
      </c>
      <c r="L508" t="str">
        <f>'Lab test'!AC497</f>
        <v>LTWa</v>
      </c>
      <c r="O508">
        <f t="shared" si="140"/>
        <v>0.9</v>
      </c>
      <c r="P508" t="e">
        <f t="shared" si="141"/>
        <v>#N/A</v>
      </c>
      <c r="Q508" t="e">
        <f t="shared" si="142"/>
        <v>#N/A</v>
      </c>
      <c r="R508" t="e">
        <f t="shared" si="143"/>
        <v>#N/A</v>
      </c>
      <c r="S508" t="e">
        <f t="shared" si="144"/>
        <v>#N/A</v>
      </c>
      <c r="T508" t="e">
        <f t="shared" si="145"/>
        <v>#N/A</v>
      </c>
      <c r="U508" t="e">
        <f t="shared" si="146"/>
        <v>#N/A</v>
      </c>
      <c r="W508">
        <f t="shared" si="147"/>
        <v>0.27298393147418071</v>
      </c>
      <c r="X508" t="e">
        <f t="shared" si="148"/>
        <v>#N/A</v>
      </c>
      <c r="Y508" t="e">
        <f t="shared" si="149"/>
        <v>#N/A</v>
      </c>
      <c r="Z508" t="e">
        <f t="shared" si="150"/>
        <v>#N/A</v>
      </c>
      <c r="AA508" t="e">
        <f t="shared" si="151"/>
        <v>#N/A</v>
      </c>
      <c r="AB508" t="e">
        <f t="shared" si="152"/>
        <v>#N/A</v>
      </c>
      <c r="AC508" t="e">
        <f t="shared" si="153"/>
        <v>#N/A</v>
      </c>
    </row>
    <row r="509" spans="2:29">
      <c r="B509">
        <v>495</v>
      </c>
      <c r="C509">
        <f>'Lab test'!Q498</f>
        <v>100</v>
      </c>
      <c r="D509">
        <f>IF('Lab test'!AQ498&gt;0,'Lab test'!AQ498,NA())</f>
        <v>0.46423445597154384</v>
      </c>
      <c r="E509">
        <f>IF('Lab test'!AU498&gt;0,'Lab test'!AU498,NA())</f>
        <v>0.81481481481481477</v>
      </c>
      <c r="F509">
        <f>IF('Lab test'!AT498&gt;0,'Lab test'!AT498,NA())</f>
        <v>0.17560369860912209</v>
      </c>
      <c r="G509">
        <f t="shared" si="135"/>
        <v>1</v>
      </c>
      <c r="H509">
        <f t="shared" si="136"/>
        <v>1</v>
      </c>
      <c r="I509">
        <f t="shared" si="137"/>
        <v>1</v>
      </c>
      <c r="J509">
        <f t="shared" si="138"/>
        <v>1</v>
      </c>
      <c r="K509">
        <f t="shared" si="139"/>
        <v>1</v>
      </c>
      <c r="L509" t="str">
        <f>'Lab test'!AC498</f>
        <v>LTWa</v>
      </c>
      <c r="O509">
        <f t="shared" si="140"/>
        <v>0.81481481481481477</v>
      </c>
      <c r="P509" t="e">
        <f t="shared" si="141"/>
        <v>#N/A</v>
      </c>
      <c r="Q509" t="e">
        <f t="shared" si="142"/>
        <v>#N/A</v>
      </c>
      <c r="R509" t="e">
        <f t="shared" si="143"/>
        <v>#N/A</v>
      </c>
      <c r="S509" t="e">
        <f t="shared" si="144"/>
        <v>#N/A</v>
      </c>
      <c r="T509" t="e">
        <f t="shared" si="145"/>
        <v>#N/A</v>
      </c>
      <c r="U509" t="e">
        <f t="shared" si="146"/>
        <v>#N/A</v>
      </c>
      <c r="W509">
        <f t="shared" si="147"/>
        <v>0.17560369860912209</v>
      </c>
      <c r="X509" t="e">
        <f t="shared" si="148"/>
        <v>#N/A</v>
      </c>
      <c r="Y509" t="e">
        <f t="shared" si="149"/>
        <v>#N/A</v>
      </c>
      <c r="Z509" t="e">
        <f t="shared" si="150"/>
        <v>#N/A</v>
      </c>
      <c r="AA509" t="e">
        <f t="shared" si="151"/>
        <v>#N/A</v>
      </c>
      <c r="AB509" t="e">
        <f t="shared" si="152"/>
        <v>#N/A</v>
      </c>
      <c r="AC509" t="e">
        <f t="shared" si="153"/>
        <v>#N/A</v>
      </c>
    </row>
    <row r="510" spans="2:29">
      <c r="B510">
        <v>496</v>
      </c>
      <c r="C510">
        <f>'Lab test'!Q499</f>
        <v>95</v>
      </c>
      <c r="D510">
        <f>IF('Lab test'!AQ499&gt;0,'Lab test'!AQ499,NA())</f>
        <v>0.55074084596637307</v>
      </c>
      <c r="E510">
        <f>IF('Lab test'!AU499&gt;0,'Lab test'!AU499,NA())</f>
        <v>0.88500000000000001</v>
      </c>
      <c r="F510">
        <f>IF('Lab test'!AT499&gt;0,'Lab test'!AT499,NA())</f>
        <v>0.26843419928294437</v>
      </c>
      <c r="G510">
        <f t="shared" si="135"/>
        <v>1</v>
      </c>
      <c r="H510">
        <f t="shared" si="136"/>
        <v>1</v>
      </c>
      <c r="I510">
        <f t="shared" si="137"/>
        <v>1</v>
      </c>
      <c r="J510">
        <f t="shared" si="138"/>
        <v>1</v>
      </c>
      <c r="K510">
        <f t="shared" si="139"/>
        <v>1</v>
      </c>
      <c r="L510" t="str">
        <f>'Lab test'!AC499</f>
        <v>LTWa</v>
      </c>
      <c r="O510">
        <f t="shared" si="140"/>
        <v>0.88500000000000001</v>
      </c>
      <c r="P510" t="e">
        <f t="shared" si="141"/>
        <v>#N/A</v>
      </c>
      <c r="Q510" t="e">
        <f t="shared" si="142"/>
        <v>#N/A</v>
      </c>
      <c r="R510" t="e">
        <f t="shared" si="143"/>
        <v>#N/A</v>
      </c>
      <c r="S510" t="e">
        <f t="shared" si="144"/>
        <v>#N/A</v>
      </c>
      <c r="T510" t="e">
        <f t="shared" si="145"/>
        <v>#N/A</v>
      </c>
      <c r="U510" t="e">
        <f t="shared" si="146"/>
        <v>#N/A</v>
      </c>
      <c r="W510">
        <f t="shared" si="147"/>
        <v>0.26843419928294437</v>
      </c>
      <c r="X510" t="e">
        <f t="shared" si="148"/>
        <v>#N/A</v>
      </c>
      <c r="Y510" t="e">
        <f t="shared" si="149"/>
        <v>#N/A</v>
      </c>
      <c r="Z510" t="e">
        <f t="shared" si="150"/>
        <v>#N/A</v>
      </c>
      <c r="AA510" t="e">
        <f t="shared" si="151"/>
        <v>#N/A</v>
      </c>
      <c r="AB510" t="e">
        <f t="shared" si="152"/>
        <v>#N/A</v>
      </c>
      <c r="AC510" t="e">
        <f t="shared" si="153"/>
        <v>#N/A</v>
      </c>
    </row>
    <row r="511" spans="2:29">
      <c r="B511">
        <v>497</v>
      </c>
      <c r="C511">
        <f>'Lab test'!Q500</f>
        <v>100</v>
      </c>
      <c r="D511">
        <f>IF('Lab test'!AQ500&gt;0,'Lab test'!AQ500,NA())</f>
        <v>0.42378613917792241</v>
      </c>
      <c r="E511">
        <f>IF('Lab test'!AU500&gt;0,'Lab test'!AU500,NA())</f>
        <v>0.80888888888888888</v>
      </c>
      <c r="F511">
        <f>IF('Lab test'!AT500&gt;0,'Lab test'!AT500,NA())</f>
        <v>0.14527215066754645</v>
      </c>
      <c r="G511">
        <f t="shared" si="135"/>
        <v>1</v>
      </c>
      <c r="H511">
        <f t="shared" si="136"/>
        <v>1</v>
      </c>
      <c r="I511">
        <f t="shared" si="137"/>
        <v>1</v>
      </c>
      <c r="J511">
        <f t="shared" si="138"/>
        <v>1</v>
      </c>
      <c r="K511">
        <f t="shared" si="139"/>
        <v>1</v>
      </c>
      <c r="L511" t="str">
        <f>'Lab test'!AC500</f>
        <v>LTWa</v>
      </c>
      <c r="O511">
        <f t="shared" si="140"/>
        <v>0.80888888888888888</v>
      </c>
      <c r="P511" t="e">
        <f t="shared" si="141"/>
        <v>#N/A</v>
      </c>
      <c r="Q511" t="e">
        <f t="shared" si="142"/>
        <v>#N/A</v>
      </c>
      <c r="R511" t="e">
        <f t="shared" si="143"/>
        <v>#N/A</v>
      </c>
      <c r="S511" t="e">
        <f t="shared" si="144"/>
        <v>#N/A</v>
      </c>
      <c r="T511" t="e">
        <f t="shared" si="145"/>
        <v>#N/A</v>
      </c>
      <c r="U511" t="e">
        <f t="shared" si="146"/>
        <v>#N/A</v>
      </c>
      <c r="W511">
        <f t="shared" si="147"/>
        <v>0.14527215066754645</v>
      </c>
      <c r="X511" t="e">
        <f t="shared" si="148"/>
        <v>#N/A</v>
      </c>
      <c r="Y511" t="e">
        <f t="shared" si="149"/>
        <v>#N/A</v>
      </c>
      <c r="Z511" t="e">
        <f t="shared" si="150"/>
        <v>#N/A</v>
      </c>
      <c r="AA511" t="e">
        <f t="shared" si="151"/>
        <v>#N/A</v>
      </c>
      <c r="AB511" t="e">
        <f t="shared" si="152"/>
        <v>#N/A</v>
      </c>
      <c r="AC511" t="e">
        <f t="shared" si="153"/>
        <v>#N/A</v>
      </c>
    </row>
    <row r="512" spans="2:29">
      <c r="B512">
        <v>498</v>
      </c>
      <c r="C512">
        <f>'Lab test'!Q501</f>
        <v>94</v>
      </c>
      <c r="D512">
        <f>IF('Lab test'!AQ501&gt;0,'Lab test'!AQ501,NA())</f>
        <v>0.54783454153201261</v>
      </c>
      <c r="E512">
        <f>IF('Lab test'!AU501&gt;0,'Lab test'!AU501,NA())</f>
        <v>0.91249999999999998</v>
      </c>
      <c r="F512">
        <f>IF('Lab test'!AT501&gt;0,'Lab test'!AT501,NA())</f>
        <v>0.27386194996722629</v>
      </c>
      <c r="G512">
        <f t="shared" si="135"/>
        <v>1</v>
      </c>
      <c r="H512">
        <f t="shared" si="136"/>
        <v>1</v>
      </c>
      <c r="I512">
        <f t="shared" si="137"/>
        <v>1</v>
      </c>
      <c r="J512">
        <f t="shared" si="138"/>
        <v>1</v>
      </c>
      <c r="K512">
        <f t="shared" si="139"/>
        <v>1</v>
      </c>
      <c r="L512" t="str">
        <f>'Lab test'!AC501</f>
        <v>LTWa</v>
      </c>
      <c r="O512">
        <f t="shared" si="140"/>
        <v>0.91249999999999998</v>
      </c>
      <c r="P512" t="e">
        <f t="shared" si="141"/>
        <v>#N/A</v>
      </c>
      <c r="Q512" t="e">
        <f t="shared" si="142"/>
        <v>#N/A</v>
      </c>
      <c r="R512" t="e">
        <f t="shared" si="143"/>
        <v>#N/A</v>
      </c>
      <c r="S512" t="e">
        <f t="shared" si="144"/>
        <v>#N/A</v>
      </c>
      <c r="T512" t="e">
        <f t="shared" si="145"/>
        <v>#N/A</v>
      </c>
      <c r="U512" t="e">
        <f t="shared" si="146"/>
        <v>#N/A</v>
      </c>
      <c r="W512">
        <f t="shared" si="147"/>
        <v>0.27386194996722629</v>
      </c>
      <c r="X512" t="e">
        <f t="shared" si="148"/>
        <v>#N/A</v>
      </c>
      <c r="Y512" t="e">
        <f t="shared" si="149"/>
        <v>#N/A</v>
      </c>
      <c r="Z512" t="e">
        <f t="shared" si="150"/>
        <v>#N/A</v>
      </c>
      <c r="AA512" t="e">
        <f t="shared" si="151"/>
        <v>#N/A</v>
      </c>
      <c r="AB512" t="e">
        <f t="shared" si="152"/>
        <v>#N/A</v>
      </c>
      <c r="AC512" t="e">
        <f t="shared" si="153"/>
        <v>#N/A</v>
      </c>
    </row>
    <row r="513" spans="2:29">
      <c r="B513">
        <v>499</v>
      </c>
      <c r="C513">
        <f>'Lab test'!Q502</f>
        <v>100</v>
      </c>
      <c r="D513">
        <f>IF('Lab test'!AQ502&gt;0,'Lab test'!AQ502,NA())</f>
        <v>0.58243833816776025</v>
      </c>
      <c r="E513">
        <f>IF('Lab test'!AU502&gt;0,'Lab test'!AU502,NA())</f>
        <v>0.87058823529411766</v>
      </c>
      <c r="F513">
        <f>IF('Lab test'!AT502&gt;0,'Lab test'!AT502,NA())</f>
        <v>0.29533349311534168</v>
      </c>
      <c r="G513">
        <f t="shared" si="135"/>
        <v>1</v>
      </c>
      <c r="H513">
        <f t="shared" si="136"/>
        <v>1</v>
      </c>
      <c r="I513">
        <f t="shared" si="137"/>
        <v>1</v>
      </c>
      <c r="J513">
        <f t="shared" si="138"/>
        <v>1</v>
      </c>
      <c r="K513">
        <f t="shared" si="139"/>
        <v>1</v>
      </c>
      <c r="L513" t="str">
        <f>'Lab test'!AC502</f>
        <v>Machined</v>
      </c>
      <c r="O513" t="e">
        <f t="shared" si="140"/>
        <v>#N/A</v>
      </c>
      <c r="P513" t="e">
        <f t="shared" si="141"/>
        <v>#N/A</v>
      </c>
      <c r="Q513" t="e">
        <f t="shared" si="142"/>
        <v>#N/A</v>
      </c>
      <c r="R513">
        <f t="shared" si="143"/>
        <v>0.87058823529411766</v>
      </c>
      <c r="S513" t="e">
        <f t="shared" si="144"/>
        <v>#N/A</v>
      </c>
      <c r="T513" t="e">
        <f t="shared" si="145"/>
        <v>#N/A</v>
      </c>
      <c r="U513" t="e">
        <f t="shared" si="146"/>
        <v>#N/A</v>
      </c>
      <c r="W513" t="e">
        <f t="shared" si="147"/>
        <v>#N/A</v>
      </c>
      <c r="X513" t="e">
        <f t="shared" si="148"/>
        <v>#N/A</v>
      </c>
      <c r="Y513" t="e">
        <f t="shared" si="149"/>
        <v>#N/A</v>
      </c>
      <c r="Z513">
        <f t="shared" si="150"/>
        <v>0.29533349311534168</v>
      </c>
      <c r="AA513" t="e">
        <f t="shared" si="151"/>
        <v>#N/A</v>
      </c>
      <c r="AB513" t="e">
        <f t="shared" si="152"/>
        <v>#N/A</v>
      </c>
      <c r="AC513" t="e">
        <f t="shared" si="153"/>
        <v>#N/A</v>
      </c>
    </row>
    <row r="514" spans="2:29">
      <c r="B514">
        <v>500</v>
      </c>
      <c r="C514">
        <f>'Lab test'!Q503</f>
        <v>118</v>
      </c>
      <c r="D514">
        <f>IF('Lab test'!AQ503&gt;0,'Lab test'!AQ503,NA())</f>
        <v>0.56589512312144497</v>
      </c>
      <c r="E514">
        <f>IF('Lab test'!AU503&gt;0,'Lab test'!AU503,NA())</f>
        <v>0.91176470588235292</v>
      </c>
      <c r="F514">
        <f>IF('Lab test'!AT503&gt;0,'Lab test'!AT503,NA())</f>
        <v>0.29198105886916753</v>
      </c>
      <c r="G514">
        <f t="shared" si="135"/>
        <v>1</v>
      </c>
      <c r="H514">
        <f t="shared" si="136"/>
        <v>1</v>
      </c>
      <c r="I514">
        <f t="shared" si="137"/>
        <v>1</v>
      </c>
      <c r="J514">
        <f t="shared" si="138"/>
        <v>1</v>
      </c>
      <c r="K514">
        <f t="shared" si="139"/>
        <v>1</v>
      </c>
      <c r="L514" t="str">
        <f>'Lab test'!AC503</f>
        <v>Machined</v>
      </c>
      <c r="O514" t="e">
        <f t="shared" si="140"/>
        <v>#N/A</v>
      </c>
      <c r="P514" t="e">
        <f t="shared" si="141"/>
        <v>#N/A</v>
      </c>
      <c r="Q514" t="e">
        <f t="shared" si="142"/>
        <v>#N/A</v>
      </c>
      <c r="R514">
        <f t="shared" si="143"/>
        <v>0.91176470588235292</v>
      </c>
      <c r="S514" t="e">
        <f t="shared" si="144"/>
        <v>#N/A</v>
      </c>
      <c r="T514" t="e">
        <f t="shared" si="145"/>
        <v>#N/A</v>
      </c>
      <c r="U514" t="e">
        <f t="shared" si="146"/>
        <v>#N/A</v>
      </c>
      <c r="W514" t="e">
        <f t="shared" si="147"/>
        <v>#N/A</v>
      </c>
      <c r="X514" t="e">
        <f t="shared" si="148"/>
        <v>#N/A</v>
      </c>
      <c r="Y514" t="e">
        <f t="shared" si="149"/>
        <v>#N/A</v>
      </c>
      <c r="Z514">
        <f t="shared" si="150"/>
        <v>0.29198105886916753</v>
      </c>
      <c r="AA514" t="e">
        <f t="shared" si="151"/>
        <v>#N/A</v>
      </c>
      <c r="AB514" t="e">
        <f t="shared" si="152"/>
        <v>#N/A</v>
      </c>
      <c r="AC514" t="e">
        <f t="shared" si="153"/>
        <v>#N/A</v>
      </c>
    </row>
    <row r="515" spans="2:29">
      <c r="B515">
        <v>501</v>
      </c>
      <c r="C515">
        <f>'Lab test'!Q504</f>
        <v>100</v>
      </c>
      <c r="D515">
        <f>IF('Lab test'!AQ504&gt;0,'Lab test'!AQ504,NA())</f>
        <v>0.58243833816776025</v>
      </c>
      <c r="E515">
        <f>IF('Lab test'!AU504&gt;0,'Lab test'!AU504,NA())</f>
        <v>0.90352941176470591</v>
      </c>
      <c r="F515">
        <f>IF('Lab test'!AT504&gt;0,'Lab test'!AT504,NA())</f>
        <v>0.30650827393592217</v>
      </c>
      <c r="G515">
        <f t="shared" si="135"/>
        <v>1</v>
      </c>
      <c r="H515">
        <f t="shared" si="136"/>
        <v>1</v>
      </c>
      <c r="I515">
        <f t="shared" si="137"/>
        <v>1</v>
      </c>
      <c r="J515">
        <f t="shared" si="138"/>
        <v>1</v>
      </c>
      <c r="K515">
        <f t="shared" si="139"/>
        <v>1</v>
      </c>
      <c r="L515" t="str">
        <f>'Lab test'!AC504</f>
        <v>Machined</v>
      </c>
      <c r="O515" t="e">
        <f t="shared" si="140"/>
        <v>#N/A</v>
      </c>
      <c r="P515" t="e">
        <f t="shared" si="141"/>
        <v>#N/A</v>
      </c>
      <c r="Q515" t="e">
        <f t="shared" si="142"/>
        <v>#N/A</v>
      </c>
      <c r="R515">
        <f t="shared" si="143"/>
        <v>0.90352941176470591</v>
      </c>
      <c r="S515" t="e">
        <f t="shared" si="144"/>
        <v>#N/A</v>
      </c>
      <c r="T515" t="e">
        <f t="shared" si="145"/>
        <v>#N/A</v>
      </c>
      <c r="U515" t="e">
        <f t="shared" si="146"/>
        <v>#N/A</v>
      </c>
      <c r="W515" t="e">
        <f t="shared" si="147"/>
        <v>#N/A</v>
      </c>
      <c r="X515" t="e">
        <f t="shared" si="148"/>
        <v>#N/A</v>
      </c>
      <c r="Y515" t="e">
        <f t="shared" si="149"/>
        <v>#N/A</v>
      </c>
      <c r="Z515">
        <f t="shared" si="150"/>
        <v>0.30650827393592217</v>
      </c>
      <c r="AA515" t="e">
        <f t="shared" si="151"/>
        <v>#N/A</v>
      </c>
      <c r="AB515" t="e">
        <f t="shared" si="152"/>
        <v>#N/A</v>
      </c>
      <c r="AC515" t="e">
        <f t="shared" si="153"/>
        <v>#N/A</v>
      </c>
    </row>
    <row r="516" spans="2:29">
      <c r="B516">
        <v>502</v>
      </c>
      <c r="C516">
        <f>'Lab test'!Q505</f>
        <v>95</v>
      </c>
      <c r="D516">
        <f>IF('Lab test'!AQ505&gt;0,'Lab test'!AQ505,NA())</f>
        <v>0.50775797138340706</v>
      </c>
      <c r="E516">
        <f>IF('Lab test'!AU505&gt;0,'Lab test'!AU505,NA())</f>
        <v>0.88823529411764701</v>
      </c>
      <c r="F516">
        <f>IF('Lab test'!AT505&gt;0,'Lab test'!AT505,NA())</f>
        <v>0.22900318695889604</v>
      </c>
      <c r="G516">
        <f t="shared" si="135"/>
        <v>1</v>
      </c>
      <c r="H516">
        <f t="shared" si="136"/>
        <v>1</v>
      </c>
      <c r="I516">
        <f t="shared" si="137"/>
        <v>1</v>
      </c>
      <c r="J516">
        <f t="shared" si="138"/>
        <v>1</v>
      </c>
      <c r="K516">
        <f t="shared" si="139"/>
        <v>1</v>
      </c>
      <c r="L516" t="str">
        <f>'Lab test'!AC505</f>
        <v>Machined</v>
      </c>
      <c r="O516" t="e">
        <f t="shared" si="140"/>
        <v>#N/A</v>
      </c>
      <c r="P516" t="e">
        <f t="shared" si="141"/>
        <v>#N/A</v>
      </c>
      <c r="Q516" t="e">
        <f t="shared" si="142"/>
        <v>#N/A</v>
      </c>
      <c r="R516">
        <f t="shared" si="143"/>
        <v>0.88823529411764701</v>
      </c>
      <c r="S516" t="e">
        <f t="shared" si="144"/>
        <v>#N/A</v>
      </c>
      <c r="T516" t="e">
        <f t="shared" si="145"/>
        <v>#N/A</v>
      </c>
      <c r="U516" t="e">
        <f t="shared" si="146"/>
        <v>#N/A</v>
      </c>
      <c r="W516" t="e">
        <f t="shared" si="147"/>
        <v>#N/A</v>
      </c>
      <c r="X516" t="e">
        <f t="shared" si="148"/>
        <v>#N/A</v>
      </c>
      <c r="Y516" t="e">
        <f t="shared" si="149"/>
        <v>#N/A</v>
      </c>
      <c r="Z516">
        <f t="shared" si="150"/>
        <v>0.22900318695889604</v>
      </c>
      <c r="AA516" t="e">
        <f t="shared" si="151"/>
        <v>#N/A</v>
      </c>
      <c r="AB516" t="e">
        <f t="shared" si="152"/>
        <v>#N/A</v>
      </c>
      <c r="AC516" t="e">
        <f t="shared" si="153"/>
        <v>#N/A</v>
      </c>
    </row>
    <row r="517" spans="2:29">
      <c r="B517">
        <v>503</v>
      </c>
      <c r="C517">
        <f>'Lab test'!Q506</f>
        <v>100</v>
      </c>
      <c r="D517">
        <f>IF('Lab test'!AQ506&gt;0,'Lab test'!AQ506,NA())</f>
        <v>0.52094868673804884</v>
      </c>
      <c r="E517">
        <f>IF('Lab test'!AU506&gt;0,'Lab test'!AU506,NA())</f>
        <v>0.8529411764705882</v>
      </c>
      <c r="F517">
        <f>IF('Lab test'!AT506&gt;0,'Lab test'!AT506,NA())</f>
        <v>0.23147760271202458</v>
      </c>
      <c r="G517">
        <f t="shared" si="135"/>
        <v>1</v>
      </c>
      <c r="H517">
        <f t="shared" si="136"/>
        <v>1</v>
      </c>
      <c r="I517">
        <f t="shared" si="137"/>
        <v>1</v>
      </c>
      <c r="J517">
        <f t="shared" si="138"/>
        <v>1</v>
      </c>
      <c r="K517">
        <f t="shared" si="139"/>
        <v>1</v>
      </c>
      <c r="L517" t="str">
        <f>'Lab test'!AC506</f>
        <v>Machined</v>
      </c>
      <c r="O517" t="e">
        <f t="shared" si="140"/>
        <v>#N/A</v>
      </c>
      <c r="P517" t="e">
        <f t="shared" si="141"/>
        <v>#N/A</v>
      </c>
      <c r="Q517" t="e">
        <f t="shared" si="142"/>
        <v>#N/A</v>
      </c>
      <c r="R517">
        <f t="shared" si="143"/>
        <v>0.8529411764705882</v>
      </c>
      <c r="S517" t="e">
        <f t="shared" si="144"/>
        <v>#N/A</v>
      </c>
      <c r="T517" t="e">
        <f t="shared" si="145"/>
        <v>#N/A</v>
      </c>
      <c r="U517" t="e">
        <f t="shared" si="146"/>
        <v>#N/A</v>
      </c>
      <c r="W517" t="e">
        <f t="shared" si="147"/>
        <v>#N/A</v>
      </c>
      <c r="X517" t="e">
        <f t="shared" si="148"/>
        <v>#N/A</v>
      </c>
      <c r="Y517" t="e">
        <f t="shared" si="149"/>
        <v>#N/A</v>
      </c>
      <c r="Z517">
        <f t="shared" si="150"/>
        <v>0.23147760271202458</v>
      </c>
      <c r="AA517" t="e">
        <f t="shared" si="151"/>
        <v>#N/A</v>
      </c>
      <c r="AB517" t="e">
        <f t="shared" si="152"/>
        <v>#N/A</v>
      </c>
      <c r="AC517" t="e">
        <f t="shared" si="153"/>
        <v>#N/A</v>
      </c>
    </row>
    <row r="518" spans="2:29">
      <c r="B518">
        <v>504</v>
      </c>
      <c r="C518">
        <f>'Lab test'!Q507</f>
        <v>37.5</v>
      </c>
      <c r="D518">
        <f>IF('Lab test'!AQ507&gt;0,'Lab test'!AQ507,NA())</f>
        <v>0.24129977859268206</v>
      </c>
      <c r="E518">
        <f>IF('Lab test'!AU507&gt;0,'Lab test'!AU507,NA())</f>
        <v>1.3702623906705538</v>
      </c>
      <c r="F518">
        <f>IF('Lab test'!AT507&gt;0,'Lab test'!AT507,NA())</f>
        <v>7.9784326763767843E-2</v>
      </c>
      <c r="G518">
        <f t="shared" si="135"/>
        <v>1</v>
      </c>
      <c r="H518">
        <f t="shared" si="136"/>
        <v>1</v>
      </c>
      <c r="I518">
        <f t="shared" si="137"/>
        <v>1</v>
      </c>
      <c r="J518">
        <f t="shared" si="138"/>
        <v>1</v>
      </c>
      <c r="K518">
        <f t="shared" si="139"/>
        <v>1</v>
      </c>
      <c r="L518" t="str">
        <f>'Lab test'!AC507</f>
        <v>Tubes</v>
      </c>
      <c r="O518" t="e">
        <f t="shared" si="140"/>
        <v>#N/A</v>
      </c>
      <c r="P518" t="e">
        <f t="shared" si="141"/>
        <v>#N/A</v>
      </c>
      <c r="Q518" t="e">
        <f t="shared" si="142"/>
        <v>#N/A</v>
      </c>
      <c r="R518" t="e">
        <f t="shared" si="143"/>
        <v>#N/A</v>
      </c>
      <c r="S518">
        <f t="shared" si="144"/>
        <v>1.3702623906705538</v>
      </c>
      <c r="T518" t="e">
        <f t="shared" si="145"/>
        <v>#N/A</v>
      </c>
      <c r="U518" t="e">
        <f t="shared" si="146"/>
        <v>#N/A</v>
      </c>
      <c r="W518" t="e">
        <f t="shared" si="147"/>
        <v>#N/A</v>
      </c>
      <c r="X518" t="e">
        <f t="shared" si="148"/>
        <v>#N/A</v>
      </c>
      <c r="Y518" t="e">
        <f t="shared" si="149"/>
        <v>#N/A</v>
      </c>
      <c r="Z518" t="e">
        <f t="shared" si="150"/>
        <v>#N/A</v>
      </c>
      <c r="AA518">
        <f t="shared" si="151"/>
        <v>7.9784326763767843E-2</v>
      </c>
      <c r="AB518" t="e">
        <f t="shared" si="152"/>
        <v>#N/A</v>
      </c>
      <c r="AC518" t="e">
        <f t="shared" si="153"/>
        <v>#N/A</v>
      </c>
    </row>
    <row r="519" spans="2:29">
      <c r="B519">
        <v>505</v>
      </c>
      <c r="C519">
        <f>'Lab test'!Q508</f>
        <v>37.5</v>
      </c>
      <c r="D519">
        <f>IF('Lab test'!AQ508&gt;0,'Lab test'!AQ508,NA())</f>
        <v>0.25647540059121776</v>
      </c>
      <c r="E519">
        <f>IF('Lab test'!AU508&gt;0,'Lab test'!AU508,NA())</f>
        <v>1.296774193548387</v>
      </c>
      <c r="F519">
        <f>IF('Lab test'!AT508&gt;0,'Lab test'!AT508,NA())</f>
        <v>8.5301328082539027E-2</v>
      </c>
      <c r="G519">
        <f t="shared" si="135"/>
        <v>1</v>
      </c>
      <c r="H519">
        <f t="shared" si="136"/>
        <v>1</v>
      </c>
      <c r="I519">
        <f t="shared" si="137"/>
        <v>1</v>
      </c>
      <c r="J519">
        <f t="shared" si="138"/>
        <v>1</v>
      </c>
      <c r="K519">
        <f t="shared" si="139"/>
        <v>1</v>
      </c>
      <c r="L519" t="str">
        <f>'Lab test'!AC508</f>
        <v>Tubes</v>
      </c>
      <c r="O519" t="e">
        <f t="shared" si="140"/>
        <v>#N/A</v>
      </c>
      <c r="P519" t="e">
        <f t="shared" si="141"/>
        <v>#N/A</v>
      </c>
      <c r="Q519" t="e">
        <f t="shared" si="142"/>
        <v>#N/A</v>
      </c>
      <c r="R519" t="e">
        <f t="shared" si="143"/>
        <v>#N/A</v>
      </c>
      <c r="S519">
        <f t="shared" si="144"/>
        <v>1.296774193548387</v>
      </c>
      <c r="T519" t="e">
        <f t="shared" si="145"/>
        <v>#N/A</v>
      </c>
      <c r="U519" t="e">
        <f t="shared" si="146"/>
        <v>#N/A</v>
      </c>
      <c r="W519" t="e">
        <f t="shared" si="147"/>
        <v>#N/A</v>
      </c>
      <c r="X519" t="e">
        <f t="shared" si="148"/>
        <v>#N/A</v>
      </c>
      <c r="Y519" t="e">
        <f t="shared" si="149"/>
        <v>#N/A</v>
      </c>
      <c r="Z519" t="e">
        <f t="shared" si="150"/>
        <v>#N/A</v>
      </c>
      <c r="AA519">
        <f t="shared" si="151"/>
        <v>8.5301328082539027E-2</v>
      </c>
      <c r="AB519" t="e">
        <f t="shared" si="152"/>
        <v>#N/A</v>
      </c>
      <c r="AC519" t="e">
        <f t="shared" si="153"/>
        <v>#N/A</v>
      </c>
    </row>
    <row r="520" spans="2:29">
      <c r="B520">
        <v>506</v>
      </c>
      <c r="C520">
        <f>'Lab test'!Q509</f>
        <v>37.5</v>
      </c>
      <c r="D520">
        <f>IF('Lab test'!AQ509&gt;0,'Lab test'!AQ509,NA())</f>
        <v>0.26341393509354877</v>
      </c>
      <c r="E520">
        <f>IF('Lab test'!AU509&gt;0,'Lab test'!AU509,NA())</f>
        <v>1.1559633027522933</v>
      </c>
      <c r="F520">
        <f>IF('Lab test'!AT509&gt;0,'Lab test'!AT509,NA())</f>
        <v>8.0208711480596384E-2</v>
      </c>
      <c r="G520">
        <f t="shared" si="135"/>
        <v>1</v>
      </c>
      <c r="H520">
        <f t="shared" si="136"/>
        <v>1</v>
      </c>
      <c r="I520">
        <f t="shared" si="137"/>
        <v>1</v>
      </c>
      <c r="J520">
        <f t="shared" si="138"/>
        <v>1</v>
      </c>
      <c r="K520">
        <f t="shared" si="139"/>
        <v>1</v>
      </c>
      <c r="L520" t="str">
        <f>'Lab test'!AC509</f>
        <v>Tubes</v>
      </c>
      <c r="O520" t="e">
        <f t="shared" si="140"/>
        <v>#N/A</v>
      </c>
      <c r="P520" t="e">
        <f t="shared" si="141"/>
        <v>#N/A</v>
      </c>
      <c r="Q520" t="e">
        <f t="shared" si="142"/>
        <v>#N/A</v>
      </c>
      <c r="R520" t="e">
        <f t="shared" si="143"/>
        <v>#N/A</v>
      </c>
      <c r="S520">
        <f t="shared" si="144"/>
        <v>1.1559633027522933</v>
      </c>
      <c r="T520" t="e">
        <f t="shared" si="145"/>
        <v>#N/A</v>
      </c>
      <c r="U520" t="e">
        <f t="shared" si="146"/>
        <v>#N/A</v>
      </c>
      <c r="W520" t="e">
        <f t="shared" si="147"/>
        <v>#N/A</v>
      </c>
      <c r="X520" t="e">
        <f t="shared" si="148"/>
        <v>#N/A</v>
      </c>
      <c r="Y520" t="e">
        <f t="shared" si="149"/>
        <v>#N/A</v>
      </c>
      <c r="Z520" t="e">
        <f t="shared" si="150"/>
        <v>#N/A</v>
      </c>
      <c r="AA520">
        <f t="shared" si="151"/>
        <v>8.0208711480596384E-2</v>
      </c>
      <c r="AB520" t="e">
        <f t="shared" si="152"/>
        <v>#N/A</v>
      </c>
      <c r="AC520" t="e">
        <f t="shared" si="153"/>
        <v>#N/A</v>
      </c>
    </row>
    <row r="521" spans="2:29">
      <c r="B521">
        <v>507</v>
      </c>
      <c r="C521">
        <f>'Lab test'!Q510</f>
        <v>37.5</v>
      </c>
      <c r="D521">
        <f>IF('Lab test'!AQ510&gt;0,'Lab test'!AQ510,NA())</f>
        <v>0.22800685913256571</v>
      </c>
      <c r="E521">
        <f>IF('Lab test'!AU510&gt;0,'Lab test'!AU510,NA())</f>
        <v>1.546938775510204</v>
      </c>
      <c r="F521">
        <f>IF('Lab test'!AT510&gt;0,'Lab test'!AT510,NA())</f>
        <v>8.0420903839010655E-2</v>
      </c>
      <c r="G521">
        <f t="shared" si="135"/>
        <v>1</v>
      </c>
      <c r="H521">
        <f t="shared" si="136"/>
        <v>1</v>
      </c>
      <c r="I521">
        <f t="shared" si="137"/>
        <v>1</v>
      </c>
      <c r="J521">
        <f t="shared" si="138"/>
        <v>1</v>
      </c>
      <c r="K521">
        <f t="shared" si="139"/>
        <v>1</v>
      </c>
      <c r="L521" t="str">
        <f>'Lab test'!AC510</f>
        <v>Tubes</v>
      </c>
      <c r="O521" t="e">
        <f t="shared" si="140"/>
        <v>#N/A</v>
      </c>
      <c r="P521" t="e">
        <f t="shared" si="141"/>
        <v>#N/A</v>
      </c>
      <c r="Q521" t="e">
        <f t="shared" si="142"/>
        <v>#N/A</v>
      </c>
      <c r="R521" t="e">
        <f t="shared" si="143"/>
        <v>#N/A</v>
      </c>
      <c r="S521">
        <f t="shared" si="144"/>
        <v>1.546938775510204</v>
      </c>
      <c r="T521" t="e">
        <f t="shared" si="145"/>
        <v>#N/A</v>
      </c>
      <c r="U521" t="e">
        <f t="shared" si="146"/>
        <v>#N/A</v>
      </c>
      <c r="W521" t="e">
        <f t="shared" si="147"/>
        <v>#N/A</v>
      </c>
      <c r="X521" t="e">
        <f t="shared" si="148"/>
        <v>#N/A</v>
      </c>
      <c r="Y521" t="e">
        <f t="shared" si="149"/>
        <v>#N/A</v>
      </c>
      <c r="Z521" t="e">
        <f t="shared" si="150"/>
        <v>#N/A</v>
      </c>
      <c r="AA521">
        <f t="shared" si="151"/>
        <v>8.0420903839010655E-2</v>
      </c>
      <c r="AB521" t="e">
        <f t="shared" si="152"/>
        <v>#N/A</v>
      </c>
      <c r="AC521" t="e">
        <f t="shared" si="153"/>
        <v>#N/A</v>
      </c>
    </row>
    <row r="522" spans="2:29">
      <c r="B522">
        <v>508</v>
      </c>
      <c r="C522">
        <f>'Lab test'!Q511</f>
        <v>37.5</v>
      </c>
      <c r="D522">
        <f>IF('Lab test'!AQ511&gt;0,'Lab test'!AQ511,NA())</f>
        <v>0.25894552565918427</v>
      </c>
      <c r="E522">
        <f>IF('Lab test'!AU511&gt;0,'Lab test'!AU511,NA())</f>
        <v>1.221518987341772</v>
      </c>
      <c r="F522">
        <f>IF('Lab test'!AT511&gt;0,'Lab test'!AT511,NA())</f>
        <v>8.1906250347910603E-2</v>
      </c>
      <c r="G522">
        <f t="shared" si="135"/>
        <v>1</v>
      </c>
      <c r="H522">
        <f t="shared" si="136"/>
        <v>1</v>
      </c>
      <c r="I522">
        <f t="shared" si="137"/>
        <v>1</v>
      </c>
      <c r="J522">
        <f t="shared" si="138"/>
        <v>1</v>
      </c>
      <c r="K522">
        <f t="shared" si="139"/>
        <v>1</v>
      </c>
      <c r="L522" t="str">
        <f>'Lab test'!AC511</f>
        <v>Tubes</v>
      </c>
      <c r="O522" t="e">
        <f t="shared" si="140"/>
        <v>#N/A</v>
      </c>
      <c r="P522" t="e">
        <f t="shared" si="141"/>
        <v>#N/A</v>
      </c>
      <c r="Q522" t="e">
        <f t="shared" si="142"/>
        <v>#N/A</v>
      </c>
      <c r="R522" t="e">
        <f t="shared" si="143"/>
        <v>#N/A</v>
      </c>
      <c r="S522">
        <f t="shared" si="144"/>
        <v>1.221518987341772</v>
      </c>
      <c r="T522" t="e">
        <f t="shared" si="145"/>
        <v>#N/A</v>
      </c>
      <c r="U522" t="e">
        <f t="shared" si="146"/>
        <v>#N/A</v>
      </c>
      <c r="W522" t="e">
        <f t="shared" si="147"/>
        <v>#N/A</v>
      </c>
      <c r="X522" t="e">
        <f t="shared" si="148"/>
        <v>#N/A</v>
      </c>
      <c r="Y522" t="e">
        <f t="shared" si="149"/>
        <v>#N/A</v>
      </c>
      <c r="Z522" t="e">
        <f t="shared" si="150"/>
        <v>#N/A</v>
      </c>
      <c r="AA522">
        <f t="shared" si="151"/>
        <v>8.1906250347910603E-2</v>
      </c>
      <c r="AB522" t="e">
        <f t="shared" si="152"/>
        <v>#N/A</v>
      </c>
      <c r="AC522" t="e">
        <f t="shared" si="153"/>
        <v>#N/A</v>
      </c>
    </row>
    <row r="523" spans="2:29">
      <c r="B523">
        <v>509</v>
      </c>
      <c r="C523">
        <f>'Lab test'!Q512</f>
        <v>37.5</v>
      </c>
      <c r="D523">
        <f>IF('Lab test'!AQ512&gt;0,'Lab test'!AQ512,NA())</f>
        <v>0.21635534258758049</v>
      </c>
      <c r="E523">
        <f>IF('Lab test'!AU512&gt;0,'Lab test'!AU512,NA())</f>
        <v>1.4732547597461469</v>
      </c>
      <c r="F523">
        <f>IF('Lab test'!AT512&gt;0,'Lab test'!AT512,NA())</f>
        <v>6.8962516484639746E-2</v>
      </c>
      <c r="G523">
        <f t="shared" si="135"/>
        <v>1</v>
      </c>
      <c r="H523">
        <f t="shared" si="136"/>
        <v>1</v>
      </c>
      <c r="I523">
        <f t="shared" si="137"/>
        <v>1</v>
      </c>
      <c r="J523">
        <f t="shared" si="138"/>
        <v>1</v>
      </c>
      <c r="K523">
        <f t="shared" si="139"/>
        <v>1</v>
      </c>
      <c r="L523" t="str">
        <f>'Lab test'!AC512</f>
        <v>Tubes</v>
      </c>
      <c r="O523" t="e">
        <f t="shared" si="140"/>
        <v>#N/A</v>
      </c>
      <c r="P523" t="e">
        <f t="shared" si="141"/>
        <v>#N/A</v>
      </c>
      <c r="Q523" t="e">
        <f t="shared" si="142"/>
        <v>#N/A</v>
      </c>
      <c r="R523" t="e">
        <f t="shared" si="143"/>
        <v>#N/A</v>
      </c>
      <c r="S523">
        <f t="shared" si="144"/>
        <v>1.4732547597461469</v>
      </c>
      <c r="T523" t="e">
        <f t="shared" si="145"/>
        <v>#N/A</v>
      </c>
      <c r="U523" t="e">
        <f t="shared" si="146"/>
        <v>#N/A</v>
      </c>
      <c r="W523" t="e">
        <f t="shared" si="147"/>
        <v>#N/A</v>
      </c>
      <c r="X523" t="e">
        <f t="shared" si="148"/>
        <v>#N/A</v>
      </c>
      <c r="Y523" t="e">
        <f t="shared" si="149"/>
        <v>#N/A</v>
      </c>
      <c r="Z523" t="e">
        <f t="shared" si="150"/>
        <v>#N/A</v>
      </c>
      <c r="AA523">
        <f t="shared" si="151"/>
        <v>6.8962516484639746E-2</v>
      </c>
      <c r="AB523" t="e">
        <f t="shared" si="152"/>
        <v>#N/A</v>
      </c>
      <c r="AC523" t="e">
        <f t="shared" si="153"/>
        <v>#N/A</v>
      </c>
    </row>
    <row r="524" spans="2:29">
      <c r="B524">
        <v>510</v>
      </c>
      <c r="C524">
        <f>'Lab test'!Q513</f>
        <v>37.5</v>
      </c>
      <c r="D524">
        <f>IF('Lab test'!AQ513&gt;0,'Lab test'!AQ513,NA())</f>
        <v>0.21655140546658899</v>
      </c>
      <c r="E524">
        <f>IF('Lab test'!AU513&gt;0,'Lab test'!AU513,NA())</f>
        <v>1.5882352941176472</v>
      </c>
      <c r="F524">
        <f>IF('Lab test'!AT513&gt;0,'Lab test'!AT513,NA())</f>
        <v>7.447951780341093E-2</v>
      </c>
      <c r="G524">
        <f t="shared" si="135"/>
        <v>1</v>
      </c>
      <c r="H524">
        <f t="shared" si="136"/>
        <v>1</v>
      </c>
      <c r="I524">
        <f t="shared" si="137"/>
        <v>1</v>
      </c>
      <c r="J524">
        <f t="shared" si="138"/>
        <v>1</v>
      </c>
      <c r="K524">
        <f t="shared" si="139"/>
        <v>1</v>
      </c>
      <c r="L524" t="str">
        <f>'Lab test'!AC513</f>
        <v>Tubes</v>
      </c>
      <c r="O524" t="e">
        <f t="shared" si="140"/>
        <v>#N/A</v>
      </c>
      <c r="P524" t="e">
        <f t="shared" si="141"/>
        <v>#N/A</v>
      </c>
      <c r="Q524" t="e">
        <f t="shared" si="142"/>
        <v>#N/A</v>
      </c>
      <c r="R524" t="e">
        <f t="shared" si="143"/>
        <v>#N/A</v>
      </c>
      <c r="S524">
        <f t="shared" si="144"/>
        <v>1.5882352941176472</v>
      </c>
      <c r="T524" t="e">
        <f t="shared" si="145"/>
        <v>#N/A</v>
      </c>
      <c r="U524" t="e">
        <f t="shared" si="146"/>
        <v>#N/A</v>
      </c>
      <c r="W524" t="e">
        <f t="shared" si="147"/>
        <v>#N/A</v>
      </c>
      <c r="X524" t="e">
        <f t="shared" si="148"/>
        <v>#N/A</v>
      </c>
      <c r="Y524" t="e">
        <f t="shared" si="149"/>
        <v>#N/A</v>
      </c>
      <c r="Z524" t="e">
        <f t="shared" si="150"/>
        <v>#N/A</v>
      </c>
      <c r="AA524">
        <f t="shared" si="151"/>
        <v>7.447951780341093E-2</v>
      </c>
      <c r="AB524" t="e">
        <f t="shared" si="152"/>
        <v>#N/A</v>
      </c>
      <c r="AC524" t="e">
        <f t="shared" si="153"/>
        <v>#N/A</v>
      </c>
    </row>
    <row r="525" spans="2:29">
      <c r="B525">
        <v>511</v>
      </c>
      <c r="C525">
        <f>'Lab test'!Q514</f>
        <v>21.653543307086611</v>
      </c>
      <c r="D525">
        <f>IF('Lab test'!AQ514&gt;0,'Lab test'!AQ514,NA())</f>
        <v>0.1998584534906761</v>
      </c>
      <c r="E525">
        <f>IF('Lab test'!AU514&gt;0,'Lab test'!AU514,NA())</f>
        <v>1.5214723926380367</v>
      </c>
      <c r="F525">
        <f>IF('Lab test'!AT514&gt;0,'Lab test'!AT514,NA())</f>
        <v>6.077278254636697E-2</v>
      </c>
      <c r="G525">
        <f t="shared" si="135"/>
        <v>1</v>
      </c>
      <c r="H525">
        <f t="shared" si="136"/>
        <v>1</v>
      </c>
      <c r="I525">
        <f t="shared" si="137"/>
        <v>1</v>
      </c>
      <c r="J525">
        <f t="shared" si="138"/>
        <v>1</v>
      </c>
      <c r="K525">
        <f t="shared" si="139"/>
        <v>1</v>
      </c>
      <c r="L525" t="str">
        <f>'Lab test'!AC514</f>
        <v>Tubes</v>
      </c>
      <c r="O525" t="e">
        <f t="shared" si="140"/>
        <v>#N/A</v>
      </c>
      <c r="P525" t="e">
        <f t="shared" si="141"/>
        <v>#N/A</v>
      </c>
      <c r="Q525" t="e">
        <f t="shared" si="142"/>
        <v>#N/A</v>
      </c>
      <c r="R525" t="e">
        <f t="shared" si="143"/>
        <v>#N/A</v>
      </c>
      <c r="S525">
        <f t="shared" si="144"/>
        <v>1.5214723926380367</v>
      </c>
      <c r="T525" t="e">
        <f t="shared" si="145"/>
        <v>#N/A</v>
      </c>
      <c r="U525" t="e">
        <f t="shared" si="146"/>
        <v>#N/A</v>
      </c>
      <c r="W525" t="e">
        <f t="shared" si="147"/>
        <v>#N/A</v>
      </c>
      <c r="X525" t="e">
        <f t="shared" si="148"/>
        <v>#N/A</v>
      </c>
      <c r="Y525" t="e">
        <f t="shared" si="149"/>
        <v>#N/A</v>
      </c>
      <c r="Z525" t="e">
        <f t="shared" si="150"/>
        <v>#N/A</v>
      </c>
      <c r="AA525">
        <f t="shared" si="151"/>
        <v>6.077278254636697E-2</v>
      </c>
      <c r="AB525" t="e">
        <f t="shared" si="152"/>
        <v>#N/A</v>
      </c>
      <c r="AC525" t="e">
        <f t="shared" si="153"/>
        <v>#N/A</v>
      </c>
    </row>
    <row r="526" spans="2:29">
      <c r="B526">
        <v>512</v>
      </c>
      <c r="C526">
        <f>'Lab test'!Q515</f>
        <v>37.5</v>
      </c>
      <c r="D526">
        <f>IF('Lab test'!AQ515&gt;0,'Lab test'!AQ515,NA())</f>
        <v>0.28470595517876596</v>
      </c>
      <c r="E526">
        <f>IF('Lab test'!AU515&gt;0,'Lab test'!AU515,NA())</f>
        <v>1.2041884816753927</v>
      </c>
      <c r="F526">
        <f>IF('Lab test'!AT515&gt;0,'Lab test'!AT515,NA())</f>
        <v>9.7608484870567044E-2</v>
      </c>
      <c r="G526">
        <f t="shared" si="135"/>
        <v>1</v>
      </c>
      <c r="H526">
        <f t="shared" si="136"/>
        <v>1</v>
      </c>
      <c r="I526">
        <f t="shared" si="137"/>
        <v>1</v>
      </c>
      <c r="J526">
        <f t="shared" si="138"/>
        <v>1</v>
      </c>
      <c r="K526">
        <f t="shared" si="139"/>
        <v>1</v>
      </c>
      <c r="L526" t="str">
        <f>'Lab test'!AC515</f>
        <v>Tubes</v>
      </c>
      <c r="O526" t="e">
        <f t="shared" si="140"/>
        <v>#N/A</v>
      </c>
      <c r="P526" t="e">
        <f t="shared" si="141"/>
        <v>#N/A</v>
      </c>
      <c r="Q526" t="e">
        <f t="shared" si="142"/>
        <v>#N/A</v>
      </c>
      <c r="R526" t="e">
        <f t="shared" si="143"/>
        <v>#N/A</v>
      </c>
      <c r="S526">
        <f t="shared" si="144"/>
        <v>1.2041884816753927</v>
      </c>
      <c r="T526" t="e">
        <f t="shared" si="145"/>
        <v>#N/A</v>
      </c>
      <c r="U526" t="e">
        <f t="shared" si="146"/>
        <v>#N/A</v>
      </c>
      <c r="W526" t="e">
        <f t="shared" si="147"/>
        <v>#N/A</v>
      </c>
      <c r="X526" t="e">
        <f t="shared" si="148"/>
        <v>#N/A</v>
      </c>
      <c r="Y526" t="e">
        <f t="shared" si="149"/>
        <v>#N/A</v>
      </c>
      <c r="Z526" t="e">
        <f t="shared" si="150"/>
        <v>#N/A</v>
      </c>
      <c r="AA526">
        <f t="shared" si="151"/>
        <v>9.7608484870567044E-2</v>
      </c>
      <c r="AB526" t="e">
        <f t="shared" si="152"/>
        <v>#N/A</v>
      </c>
      <c r="AC526" t="e">
        <f t="shared" si="153"/>
        <v>#N/A</v>
      </c>
    </row>
    <row r="527" spans="2:29">
      <c r="B527">
        <v>513</v>
      </c>
      <c r="C527">
        <f>'Lab test'!Q516</f>
        <v>37.5</v>
      </c>
      <c r="D527">
        <f>IF('Lab test'!AQ516&gt;0,'Lab test'!AQ516,NA())</f>
        <v>0.27095858726259175</v>
      </c>
      <c r="E527">
        <f>IF('Lab test'!AU516&gt;0,'Lab test'!AU516,NA())</f>
        <v>1.3179190751445087</v>
      </c>
      <c r="F527">
        <f>IF('Lab test'!AT516&gt;0,'Lab test'!AT516,NA())</f>
        <v>9.6759715436909935E-2</v>
      </c>
      <c r="G527">
        <f t="shared" si="135"/>
        <v>1</v>
      </c>
      <c r="H527">
        <f t="shared" si="136"/>
        <v>1</v>
      </c>
      <c r="I527">
        <f t="shared" si="137"/>
        <v>1</v>
      </c>
      <c r="J527">
        <f t="shared" si="138"/>
        <v>1</v>
      </c>
      <c r="K527">
        <f t="shared" si="139"/>
        <v>1</v>
      </c>
      <c r="L527" t="str">
        <f>'Lab test'!AC516</f>
        <v>Tubes</v>
      </c>
      <c r="O527" t="e">
        <f t="shared" si="140"/>
        <v>#N/A</v>
      </c>
      <c r="P527" t="e">
        <f t="shared" si="141"/>
        <v>#N/A</v>
      </c>
      <c r="Q527" t="e">
        <f t="shared" si="142"/>
        <v>#N/A</v>
      </c>
      <c r="R527" t="e">
        <f t="shared" si="143"/>
        <v>#N/A</v>
      </c>
      <c r="S527">
        <f t="shared" si="144"/>
        <v>1.3179190751445087</v>
      </c>
      <c r="T527" t="e">
        <f t="shared" si="145"/>
        <v>#N/A</v>
      </c>
      <c r="U527" t="e">
        <f t="shared" si="146"/>
        <v>#N/A</v>
      </c>
      <c r="W527" t="e">
        <f t="shared" si="147"/>
        <v>#N/A</v>
      </c>
      <c r="X527" t="e">
        <f t="shared" si="148"/>
        <v>#N/A</v>
      </c>
      <c r="Y527" t="e">
        <f t="shared" si="149"/>
        <v>#N/A</v>
      </c>
      <c r="Z527" t="e">
        <f t="shared" si="150"/>
        <v>#N/A</v>
      </c>
      <c r="AA527">
        <f t="shared" si="151"/>
        <v>9.6759715436909935E-2</v>
      </c>
      <c r="AB527" t="e">
        <f t="shared" si="152"/>
        <v>#N/A</v>
      </c>
      <c r="AC527" t="e">
        <f t="shared" si="153"/>
        <v>#N/A</v>
      </c>
    </row>
    <row r="528" spans="2:29">
      <c r="B528">
        <v>514</v>
      </c>
      <c r="C528">
        <f>'Lab test'!Q517</f>
        <v>37.5</v>
      </c>
      <c r="D528">
        <f>IF('Lab test'!AQ517&gt;0,'Lab test'!AQ517,NA())</f>
        <v>0.26661665377238258</v>
      </c>
      <c r="E528">
        <f>IF('Lab test'!AU517&gt;0,'Lab test'!AU517,NA())</f>
        <v>1.3134328358208955</v>
      </c>
      <c r="F528">
        <f>IF('Lab test'!AT517&gt;0,'Lab test'!AT517,NA())</f>
        <v>9.3364637702281511E-2</v>
      </c>
      <c r="G528">
        <f t="shared" ref="G528:G591" si="154">IF(AND(ISNUMBER(D528),ISNUMBER(E528)),1,NA())</f>
        <v>1</v>
      </c>
      <c r="H528">
        <f t="shared" ref="H528:H591" si="155">IF(AND(ISNUMBER(D528),ISNUMBER(F528)),1,NA())</f>
        <v>1</v>
      </c>
      <c r="I528">
        <f t="shared" ref="I528:I591" si="156">IF(AND(ISNUMBER(C528),ISNUMBER(E528)),1,NA())</f>
        <v>1</v>
      </c>
      <c r="J528">
        <f t="shared" ref="J528:J591" si="157">IF(AND(ISNUMBER(C528),ISNUMBER(F528)),1,NA())</f>
        <v>1</v>
      </c>
      <c r="K528">
        <f t="shared" ref="K528:K591" si="158">IF(OR(ISNUMBER(E528),ISNUMBER(F528)),1,NA())</f>
        <v>1</v>
      </c>
      <c r="L528" t="str">
        <f>'Lab test'!AC517</f>
        <v>Tubes</v>
      </c>
      <c r="O528" t="e">
        <f t="shared" ref="O528:O591" si="159">IF(EXACT($O$14,L528),E528,NA())</f>
        <v>#N/A</v>
      </c>
      <c r="P528" t="e">
        <f t="shared" ref="P528:P591" si="160">IF(EXACT($P$14,L528),E528,NA())</f>
        <v>#N/A</v>
      </c>
      <c r="Q528" t="e">
        <f t="shared" ref="Q528:Q591" si="161">IF(EXACT($Q$14,L528),E528,NA())</f>
        <v>#N/A</v>
      </c>
      <c r="R528" t="e">
        <f t="shared" ref="R528:R591" si="162">IF(EXACT($R$14,L528),E528,NA())</f>
        <v>#N/A</v>
      </c>
      <c r="S528">
        <f t="shared" ref="S528:S591" si="163">IF(EXACT($S$14,L528),E528,NA())</f>
        <v>1.3134328358208955</v>
      </c>
      <c r="T528" t="e">
        <f t="shared" ref="T528:T591" si="164">IF(EXACT($T$14,L528),E528,NA())</f>
        <v>#N/A</v>
      </c>
      <c r="U528" t="e">
        <f t="shared" ref="U528:U591" si="165">IF(EXACT($U$14,L528),E528,NA())</f>
        <v>#N/A</v>
      </c>
      <c r="W528" t="e">
        <f t="shared" ref="W528:W591" si="166">IF(EXACT($W$14,L528),F528,NA())</f>
        <v>#N/A</v>
      </c>
      <c r="X528" t="e">
        <f t="shared" ref="X528:X591" si="167">IF(EXACT($X$14,L528),F528,NA())</f>
        <v>#N/A</v>
      </c>
      <c r="Y528" t="e">
        <f t="shared" ref="Y528:Y591" si="168">IF(EXACT($Y$14,L528),F528,NA())</f>
        <v>#N/A</v>
      </c>
      <c r="Z528" t="e">
        <f t="shared" ref="Z528:Z591" si="169">IF(EXACT($Z$14,L528),F528,NA())</f>
        <v>#N/A</v>
      </c>
      <c r="AA528">
        <f t="shared" ref="AA528:AA591" si="170">IF(EXACT($AA$14,L528),F528,NA())</f>
        <v>9.3364637702281511E-2</v>
      </c>
      <c r="AB528" t="e">
        <f t="shared" ref="AB528:AB591" si="171">IF(EXACT($AB$14,L528),F528,NA())</f>
        <v>#N/A</v>
      </c>
      <c r="AC528" t="e">
        <f t="shared" ref="AC528:AC591" si="172">IF(EXACT($AC$14,L528),F528,NA())</f>
        <v>#N/A</v>
      </c>
    </row>
    <row r="529" spans="2:29">
      <c r="B529">
        <v>515</v>
      </c>
      <c r="C529">
        <f>'Lab test'!Q518</f>
        <v>37.5</v>
      </c>
      <c r="D529">
        <f>IF('Lab test'!AQ518&gt;0,'Lab test'!AQ518,NA())</f>
        <v>0.29495570336891813</v>
      </c>
      <c r="E529">
        <f>IF('Lab test'!AU518&gt;0,'Lab test'!AU518,NA())</f>
        <v>1.0780487804878049</v>
      </c>
      <c r="F529">
        <f>IF('Lab test'!AT518&gt;0,'Lab test'!AT518,NA())</f>
        <v>9.3789022419110066E-2</v>
      </c>
      <c r="G529">
        <f t="shared" si="154"/>
        <v>1</v>
      </c>
      <c r="H529">
        <f t="shared" si="155"/>
        <v>1</v>
      </c>
      <c r="I529">
        <f t="shared" si="156"/>
        <v>1</v>
      </c>
      <c r="J529">
        <f t="shared" si="157"/>
        <v>1</v>
      </c>
      <c r="K529">
        <f t="shared" si="158"/>
        <v>1</v>
      </c>
      <c r="L529" t="str">
        <f>'Lab test'!AC518</f>
        <v>Tubes</v>
      </c>
      <c r="O529" t="e">
        <f t="shared" si="159"/>
        <v>#N/A</v>
      </c>
      <c r="P529" t="e">
        <f t="shared" si="160"/>
        <v>#N/A</v>
      </c>
      <c r="Q529" t="e">
        <f t="shared" si="161"/>
        <v>#N/A</v>
      </c>
      <c r="R529" t="e">
        <f t="shared" si="162"/>
        <v>#N/A</v>
      </c>
      <c r="S529">
        <f t="shared" si="163"/>
        <v>1.0780487804878049</v>
      </c>
      <c r="T529" t="e">
        <f t="shared" si="164"/>
        <v>#N/A</v>
      </c>
      <c r="U529" t="e">
        <f t="shared" si="165"/>
        <v>#N/A</v>
      </c>
      <c r="W529" t="e">
        <f t="shared" si="166"/>
        <v>#N/A</v>
      </c>
      <c r="X529" t="e">
        <f t="shared" si="167"/>
        <v>#N/A</v>
      </c>
      <c r="Y529" t="e">
        <f t="shared" si="168"/>
        <v>#N/A</v>
      </c>
      <c r="Z529" t="e">
        <f t="shared" si="169"/>
        <v>#N/A</v>
      </c>
      <c r="AA529">
        <f t="shared" si="170"/>
        <v>9.3789022419110066E-2</v>
      </c>
      <c r="AB529" t="e">
        <f t="shared" si="171"/>
        <v>#N/A</v>
      </c>
      <c r="AC529" t="e">
        <f t="shared" si="172"/>
        <v>#N/A</v>
      </c>
    </row>
    <row r="530" spans="2:29">
      <c r="B530">
        <v>516</v>
      </c>
      <c r="C530">
        <f>'Lab test'!Q519</f>
        <v>37.5</v>
      </c>
      <c r="D530">
        <f>IF('Lab test'!AQ519&gt;0,'Lab test'!AQ519,NA())</f>
        <v>0.29495570336891813</v>
      </c>
      <c r="E530">
        <f>IF('Lab test'!AU519&gt;0,'Lab test'!AU519,NA())</f>
        <v>1.1219512195121952</v>
      </c>
      <c r="F530">
        <f>IF('Lab test'!AT519&gt;0,'Lab test'!AT519,NA())</f>
        <v>9.7608484870567044E-2</v>
      </c>
      <c r="G530">
        <f t="shared" si="154"/>
        <v>1</v>
      </c>
      <c r="H530">
        <f t="shared" si="155"/>
        <v>1</v>
      </c>
      <c r="I530">
        <f t="shared" si="156"/>
        <v>1</v>
      </c>
      <c r="J530">
        <f t="shared" si="157"/>
        <v>1</v>
      </c>
      <c r="K530">
        <f t="shared" si="158"/>
        <v>1</v>
      </c>
      <c r="L530" t="str">
        <f>'Lab test'!AC519</f>
        <v>Tubes</v>
      </c>
      <c r="O530" t="e">
        <f t="shared" si="159"/>
        <v>#N/A</v>
      </c>
      <c r="P530" t="e">
        <f t="shared" si="160"/>
        <v>#N/A</v>
      </c>
      <c r="Q530" t="e">
        <f t="shared" si="161"/>
        <v>#N/A</v>
      </c>
      <c r="R530" t="e">
        <f t="shared" si="162"/>
        <v>#N/A</v>
      </c>
      <c r="S530">
        <f t="shared" si="163"/>
        <v>1.1219512195121952</v>
      </c>
      <c r="T530" t="e">
        <f t="shared" si="164"/>
        <v>#N/A</v>
      </c>
      <c r="U530" t="e">
        <f t="shared" si="165"/>
        <v>#N/A</v>
      </c>
      <c r="W530" t="e">
        <f t="shared" si="166"/>
        <v>#N/A</v>
      </c>
      <c r="X530" t="e">
        <f t="shared" si="167"/>
        <v>#N/A</v>
      </c>
      <c r="Y530" t="e">
        <f t="shared" si="168"/>
        <v>#N/A</v>
      </c>
      <c r="Z530" t="e">
        <f t="shared" si="169"/>
        <v>#N/A</v>
      </c>
      <c r="AA530">
        <f t="shared" si="170"/>
        <v>9.7608484870567044E-2</v>
      </c>
      <c r="AB530" t="e">
        <f t="shared" si="171"/>
        <v>#N/A</v>
      </c>
      <c r="AC530" t="e">
        <f t="shared" si="172"/>
        <v>#N/A</v>
      </c>
    </row>
    <row r="531" spans="2:29">
      <c r="B531">
        <v>517</v>
      </c>
      <c r="C531">
        <f>'Lab test'!Q520</f>
        <v>37.5</v>
      </c>
      <c r="D531">
        <f>IF('Lab test'!AQ520&gt;0,'Lab test'!AQ520,NA())</f>
        <v>0.27561724240749319</v>
      </c>
      <c r="E531">
        <f>IF('Lab test'!AU520&gt;0,'Lab test'!AU520,NA())</f>
        <v>1.240223463687151</v>
      </c>
      <c r="F531">
        <f>IF('Lab test'!AT520&gt;0,'Lab test'!AT520,NA())</f>
        <v>9.421340713593862E-2</v>
      </c>
      <c r="G531">
        <f t="shared" si="154"/>
        <v>1</v>
      </c>
      <c r="H531">
        <f t="shared" si="155"/>
        <v>1</v>
      </c>
      <c r="I531">
        <f t="shared" si="156"/>
        <v>1</v>
      </c>
      <c r="J531">
        <f t="shared" si="157"/>
        <v>1</v>
      </c>
      <c r="K531">
        <f t="shared" si="158"/>
        <v>1</v>
      </c>
      <c r="L531" t="str">
        <f>'Lab test'!AC520</f>
        <v>Tubes</v>
      </c>
      <c r="O531" t="e">
        <f t="shared" si="159"/>
        <v>#N/A</v>
      </c>
      <c r="P531" t="e">
        <f t="shared" si="160"/>
        <v>#N/A</v>
      </c>
      <c r="Q531" t="e">
        <f t="shared" si="161"/>
        <v>#N/A</v>
      </c>
      <c r="R531" t="e">
        <f t="shared" si="162"/>
        <v>#N/A</v>
      </c>
      <c r="S531">
        <f t="shared" si="163"/>
        <v>1.240223463687151</v>
      </c>
      <c r="T531" t="e">
        <f t="shared" si="164"/>
        <v>#N/A</v>
      </c>
      <c r="U531" t="e">
        <f t="shared" si="165"/>
        <v>#N/A</v>
      </c>
      <c r="W531" t="e">
        <f t="shared" si="166"/>
        <v>#N/A</v>
      </c>
      <c r="X531" t="e">
        <f t="shared" si="167"/>
        <v>#N/A</v>
      </c>
      <c r="Y531" t="e">
        <f t="shared" si="168"/>
        <v>#N/A</v>
      </c>
      <c r="Z531" t="e">
        <f t="shared" si="169"/>
        <v>#N/A</v>
      </c>
      <c r="AA531">
        <f t="shared" si="170"/>
        <v>9.421340713593862E-2</v>
      </c>
      <c r="AB531" t="e">
        <f t="shared" si="171"/>
        <v>#N/A</v>
      </c>
      <c r="AC531" t="e">
        <f t="shared" si="172"/>
        <v>#N/A</v>
      </c>
    </row>
    <row r="532" spans="2:29">
      <c r="B532">
        <v>518</v>
      </c>
      <c r="C532">
        <f>'Lab test'!Q521</f>
        <v>7.75</v>
      </c>
      <c r="D532">
        <f>IF('Lab test'!AQ521&gt;0,'Lab test'!AQ521,NA())</f>
        <v>0.19641927636115525</v>
      </c>
      <c r="E532">
        <f>IF('Lab test'!AU521&gt;0,'Lab test'!AU521,NA())</f>
        <v>1.2529999999999999</v>
      </c>
      <c r="F532">
        <f>IF('Lab test'!AT521&gt;0,'Lab test'!AT521,NA())</f>
        <v>4.8341406754178563E-2</v>
      </c>
      <c r="G532">
        <f t="shared" si="154"/>
        <v>1</v>
      </c>
      <c r="H532">
        <f t="shared" si="155"/>
        <v>1</v>
      </c>
      <c r="I532">
        <f t="shared" si="156"/>
        <v>1</v>
      </c>
      <c r="J532">
        <f t="shared" si="157"/>
        <v>1</v>
      </c>
      <c r="K532">
        <f t="shared" si="158"/>
        <v>1</v>
      </c>
      <c r="L532" t="str">
        <f>'Lab test'!AC521</f>
        <v>Tubes</v>
      </c>
      <c r="O532" t="e">
        <f t="shared" si="159"/>
        <v>#N/A</v>
      </c>
      <c r="P532" t="e">
        <f t="shared" si="160"/>
        <v>#N/A</v>
      </c>
      <c r="Q532" t="e">
        <f t="shared" si="161"/>
        <v>#N/A</v>
      </c>
      <c r="R532" t="e">
        <f t="shared" si="162"/>
        <v>#N/A</v>
      </c>
      <c r="S532">
        <f t="shared" si="163"/>
        <v>1.2529999999999999</v>
      </c>
      <c r="T532" t="e">
        <f t="shared" si="164"/>
        <v>#N/A</v>
      </c>
      <c r="U532" t="e">
        <f t="shared" si="165"/>
        <v>#N/A</v>
      </c>
      <c r="W532" t="e">
        <f t="shared" si="166"/>
        <v>#N/A</v>
      </c>
      <c r="X532" t="e">
        <f t="shared" si="167"/>
        <v>#N/A</v>
      </c>
      <c r="Y532" t="e">
        <f t="shared" si="168"/>
        <v>#N/A</v>
      </c>
      <c r="Z532" t="e">
        <f t="shared" si="169"/>
        <v>#N/A</v>
      </c>
      <c r="AA532">
        <f t="shared" si="170"/>
        <v>4.8341406754178563E-2</v>
      </c>
      <c r="AB532" t="e">
        <f t="shared" si="171"/>
        <v>#N/A</v>
      </c>
      <c r="AC532" t="e">
        <f t="shared" si="172"/>
        <v>#N/A</v>
      </c>
    </row>
    <row r="533" spans="2:29">
      <c r="B533">
        <v>519</v>
      </c>
      <c r="C533">
        <f>'Lab test'!Q522</f>
        <v>7.8</v>
      </c>
      <c r="D533">
        <f>IF('Lab test'!AQ522&gt;0,'Lab test'!AQ522,NA())</f>
        <v>0.19708753746486549</v>
      </c>
      <c r="E533">
        <f>IF('Lab test'!AU522&gt;0,'Lab test'!AU522,NA())</f>
        <v>1.2569999999999999</v>
      </c>
      <c r="F533">
        <f>IF('Lab test'!AT522&gt;0,'Lab test'!AT522,NA())</f>
        <v>4.8826276261923693E-2</v>
      </c>
      <c r="G533">
        <f t="shared" si="154"/>
        <v>1</v>
      </c>
      <c r="H533">
        <f t="shared" si="155"/>
        <v>1</v>
      </c>
      <c r="I533">
        <f t="shared" si="156"/>
        <v>1</v>
      </c>
      <c r="J533">
        <f t="shared" si="157"/>
        <v>1</v>
      </c>
      <c r="K533">
        <f t="shared" si="158"/>
        <v>1</v>
      </c>
      <c r="L533" t="str">
        <f>'Lab test'!AC522</f>
        <v>Tubes</v>
      </c>
      <c r="O533" t="e">
        <f t="shared" si="159"/>
        <v>#N/A</v>
      </c>
      <c r="P533" t="e">
        <f t="shared" si="160"/>
        <v>#N/A</v>
      </c>
      <c r="Q533" t="e">
        <f t="shared" si="161"/>
        <v>#N/A</v>
      </c>
      <c r="R533" t="e">
        <f t="shared" si="162"/>
        <v>#N/A</v>
      </c>
      <c r="S533">
        <f t="shared" si="163"/>
        <v>1.2569999999999999</v>
      </c>
      <c r="T533" t="e">
        <f t="shared" si="164"/>
        <v>#N/A</v>
      </c>
      <c r="U533" t="e">
        <f t="shared" si="165"/>
        <v>#N/A</v>
      </c>
      <c r="W533" t="e">
        <f t="shared" si="166"/>
        <v>#N/A</v>
      </c>
      <c r="X533" t="e">
        <f t="shared" si="167"/>
        <v>#N/A</v>
      </c>
      <c r="Y533" t="e">
        <f t="shared" si="168"/>
        <v>#N/A</v>
      </c>
      <c r="Z533" t="e">
        <f t="shared" si="169"/>
        <v>#N/A</v>
      </c>
      <c r="AA533">
        <f t="shared" si="170"/>
        <v>4.8826276261923693E-2</v>
      </c>
      <c r="AB533" t="e">
        <f t="shared" si="171"/>
        <v>#N/A</v>
      </c>
      <c r="AC533" t="e">
        <f t="shared" si="172"/>
        <v>#N/A</v>
      </c>
    </row>
    <row r="534" spans="2:29">
      <c r="B534">
        <v>520</v>
      </c>
      <c r="C534">
        <f>'Lab test'!Q523</f>
        <v>12</v>
      </c>
      <c r="D534">
        <f>IF('Lab test'!AQ523&gt;0,'Lab test'!AQ523,NA())</f>
        <v>0.25347229616623929</v>
      </c>
      <c r="E534">
        <f>IF('Lab test'!AU523&gt;0,'Lab test'!AU523,NA())</f>
        <v>1.135</v>
      </c>
      <c r="F534">
        <f>IF('Lab test'!AT523&gt;0,'Lab test'!AT523,NA())</f>
        <v>7.2921712588496793E-2</v>
      </c>
      <c r="G534">
        <f t="shared" si="154"/>
        <v>1</v>
      </c>
      <c r="H534">
        <f t="shared" si="155"/>
        <v>1</v>
      </c>
      <c r="I534">
        <f t="shared" si="156"/>
        <v>1</v>
      </c>
      <c r="J534">
        <f t="shared" si="157"/>
        <v>1</v>
      </c>
      <c r="K534">
        <f t="shared" si="158"/>
        <v>1</v>
      </c>
      <c r="L534" t="str">
        <f>'Lab test'!AC523</f>
        <v>Tubes</v>
      </c>
      <c r="O534" t="e">
        <f t="shared" si="159"/>
        <v>#N/A</v>
      </c>
      <c r="P534" t="e">
        <f t="shared" si="160"/>
        <v>#N/A</v>
      </c>
      <c r="Q534" t="e">
        <f t="shared" si="161"/>
        <v>#N/A</v>
      </c>
      <c r="R534" t="e">
        <f t="shared" si="162"/>
        <v>#N/A</v>
      </c>
      <c r="S534">
        <f t="shared" si="163"/>
        <v>1.135</v>
      </c>
      <c r="T534" t="e">
        <f t="shared" si="164"/>
        <v>#N/A</v>
      </c>
      <c r="U534" t="e">
        <f t="shared" si="165"/>
        <v>#N/A</v>
      </c>
      <c r="W534" t="e">
        <f t="shared" si="166"/>
        <v>#N/A</v>
      </c>
      <c r="X534" t="e">
        <f t="shared" si="167"/>
        <v>#N/A</v>
      </c>
      <c r="Y534" t="e">
        <f t="shared" si="168"/>
        <v>#N/A</v>
      </c>
      <c r="Z534" t="e">
        <f t="shared" si="169"/>
        <v>#N/A</v>
      </c>
      <c r="AA534">
        <f t="shared" si="170"/>
        <v>7.2921712588496793E-2</v>
      </c>
      <c r="AB534" t="e">
        <f t="shared" si="171"/>
        <v>#N/A</v>
      </c>
      <c r="AC534" t="e">
        <f t="shared" si="172"/>
        <v>#N/A</v>
      </c>
    </row>
    <row r="535" spans="2:29">
      <c r="B535">
        <v>521</v>
      </c>
      <c r="C535">
        <f>'Lab test'!Q524</f>
        <v>12</v>
      </c>
      <c r="D535">
        <f>IF('Lab test'!AQ524&gt;0,'Lab test'!AQ524,NA())</f>
        <v>0.25355672553545666</v>
      </c>
      <c r="E535">
        <f>IF('Lab test'!AU524&gt;0,'Lab test'!AU524,NA())</f>
        <v>1.127</v>
      </c>
      <c r="F535">
        <f>IF('Lab test'!AT524&gt;0,'Lab test'!AT524,NA())</f>
        <v>7.2455971723424287E-2</v>
      </c>
      <c r="G535">
        <f t="shared" si="154"/>
        <v>1</v>
      </c>
      <c r="H535">
        <f t="shared" si="155"/>
        <v>1</v>
      </c>
      <c r="I535">
        <f t="shared" si="156"/>
        <v>1</v>
      </c>
      <c r="J535">
        <f t="shared" si="157"/>
        <v>1</v>
      </c>
      <c r="K535">
        <f t="shared" si="158"/>
        <v>1</v>
      </c>
      <c r="L535" t="str">
        <f>'Lab test'!AC524</f>
        <v>Tubes</v>
      </c>
      <c r="O535" t="e">
        <f t="shared" si="159"/>
        <v>#N/A</v>
      </c>
      <c r="P535" t="e">
        <f t="shared" si="160"/>
        <v>#N/A</v>
      </c>
      <c r="Q535" t="e">
        <f t="shared" si="161"/>
        <v>#N/A</v>
      </c>
      <c r="R535" t="e">
        <f t="shared" si="162"/>
        <v>#N/A</v>
      </c>
      <c r="S535">
        <f t="shared" si="163"/>
        <v>1.127</v>
      </c>
      <c r="T535" t="e">
        <f t="shared" si="164"/>
        <v>#N/A</v>
      </c>
      <c r="U535" t="e">
        <f t="shared" si="165"/>
        <v>#N/A</v>
      </c>
      <c r="W535" t="e">
        <f t="shared" si="166"/>
        <v>#N/A</v>
      </c>
      <c r="X535" t="e">
        <f t="shared" si="167"/>
        <v>#N/A</v>
      </c>
      <c r="Y535" t="e">
        <f t="shared" si="168"/>
        <v>#N/A</v>
      </c>
      <c r="Z535" t="e">
        <f t="shared" si="169"/>
        <v>#N/A</v>
      </c>
      <c r="AA535">
        <f t="shared" si="170"/>
        <v>7.2455971723424287E-2</v>
      </c>
      <c r="AB535" t="e">
        <f t="shared" si="171"/>
        <v>#N/A</v>
      </c>
      <c r="AC535" t="e">
        <f t="shared" si="172"/>
        <v>#N/A</v>
      </c>
    </row>
    <row r="536" spans="2:29">
      <c r="B536">
        <v>522</v>
      </c>
      <c r="C536">
        <f>'Lab test'!Q525</f>
        <v>12.3</v>
      </c>
      <c r="D536">
        <f>IF('Lab test'!AQ525&gt;0,'Lab test'!AQ525,NA())</f>
        <v>0.24994717144247963</v>
      </c>
      <c r="E536">
        <f>IF('Lab test'!AU525&gt;0,'Lab test'!AU525,NA())</f>
        <v>1.1080000000000001</v>
      </c>
      <c r="F536">
        <f>IF('Lab test'!AT525&gt;0,'Lab test'!AT525,NA())</f>
        <v>6.9220736071402708E-2</v>
      </c>
      <c r="G536">
        <f t="shared" si="154"/>
        <v>1</v>
      </c>
      <c r="H536">
        <f t="shared" si="155"/>
        <v>1</v>
      </c>
      <c r="I536">
        <f t="shared" si="156"/>
        <v>1</v>
      </c>
      <c r="J536">
        <f t="shared" si="157"/>
        <v>1</v>
      </c>
      <c r="K536">
        <f t="shared" si="158"/>
        <v>1</v>
      </c>
      <c r="L536" t="str">
        <f>'Lab test'!AC525</f>
        <v>Tubes</v>
      </c>
      <c r="O536" t="e">
        <f t="shared" si="159"/>
        <v>#N/A</v>
      </c>
      <c r="P536" t="e">
        <f t="shared" si="160"/>
        <v>#N/A</v>
      </c>
      <c r="Q536" t="e">
        <f t="shared" si="161"/>
        <v>#N/A</v>
      </c>
      <c r="R536" t="e">
        <f t="shared" si="162"/>
        <v>#N/A</v>
      </c>
      <c r="S536">
        <f t="shared" si="163"/>
        <v>1.1080000000000001</v>
      </c>
      <c r="T536" t="e">
        <f t="shared" si="164"/>
        <v>#N/A</v>
      </c>
      <c r="U536" t="e">
        <f t="shared" si="165"/>
        <v>#N/A</v>
      </c>
      <c r="W536" t="e">
        <f t="shared" si="166"/>
        <v>#N/A</v>
      </c>
      <c r="X536" t="e">
        <f t="shared" si="167"/>
        <v>#N/A</v>
      </c>
      <c r="Y536" t="e">
        <f t="shared" si="168"/>
        <v>#N/A</v>
      </c>
      <c r="Z536" t="e">
        <f t="shared" si="169"/>
        <v>#N/A</v>
      </c>
      <c r="AA536">
        <f t="shared" si="170"/>
        <v>6.9220736071402708E-2</v>
      </c>
      <c r="AB536" t="e">
        <f t="shared" si="171"/>
        <v>#N/A</v>
      </c>
      <c r="AC536" t="e">
        <f t="shared" si="172"/>
        <v>#N/A</v>
      </c>
    </row>
    <row r="537" spans="2:29">
      <c r="B537">
        <v>523</v>
      </c>
      <c r="C537">
        <f>'Lab test'!Q526</f>
        <v>17</v>
      </c>
      <c r="D537">
        <f>IF('Lab test'!AQ526&gt;0,'Lab test'!AQ526,NA())</f>
        <v>0.29835528985461507</v>
      </c>
      <c r="E537">
        <f>IF('Lab test'!AU526&gt;0,'Lab test'!AU526,NA())</f>
        <v>1.115</v>
      </c>
      <c r="F537">
        <f>IF('Lab test'!AT526&gt;0,'Lab test'!AT526,NA())</f>
        <v>9.9252705067417971E-2</v>
      </c>
      <c r="G537">
        <f t="shared" si="154"/>
        <v>1</v>
      </c>
      <c r="H537">
        <f t="shared" si="155"/>
        <v>1</v>
      </c>
      <c r="I537">
        <f t="shared" si="156"/>
        <v>1</v>
      </c>
      <c r="J537">
        <f t="shared" si="157"/>
        <v>1</v>
      </c>
      <c r="K537">
        <f t="shared" si="158"/>
        <v>1</v>
      </c>
      <c r="L537" t="str">
        <f>'Lab test'!AC526</f>
        <v>Tubes</v>
      </c>
      <c r="O537" t="e">
        <f t="shared" si="159"/>
        <v>#N/A</v>
      </c>
      <c r="P537" t="e">
        <f t="shared" si="160"/>
        <v>#N/A</v>
      </c>
      <c r="Q537" t="e">
        <f t="shared" si="161"/>
        <v>#N/A</v>
      </c>
      <c r="R537" t="e">
        <f t="shared" si="162"/>
        <v>#N/A</v>
      </c>
      <c r="S537">
        <f t="shared" si="163"/>
        <v>1.115</v>
      </c>
      <c r="T537" t="e">
        <f t="shared" si="164"/>
        <v>#N/A</v>
      </c>
      <c r="U537" t="e">
        <f t="shared" si="165"/>
        <v>#N/A</v>
      </c>
      <c r="W537" t="e">
        <f t="shared" si="166"/>
        <v>#N/A</v>
      </c>
      <c r="X537" t="e">
        <f t="shared" si="167"/>
        <v>#N/A</v>
      </c>
      <c r="Y537" t="e">
        <f t="shared" si="168"/>
        <v>#N/A</v>
      </c>
      <c r="Z537" t="e">
        <f t="shared" si="169"/>
        <v>#N/A</v>
      </c>
      <c r="AA537">
        <f t="shared" si="170"/>
        <v>9.9252705067417971E-2</v>
      </c>
      <c r="AB537" t="e">
        <f t="shared" si="171"/>
        <v>#N/A</v>
      </c>
      <c r="AC537" t="e">
        <f t="shared" si="172"/>
        <v>#N/A</v>
      </c>
    </row>
    <row r="538" spans="2:29">
      <c r="B538">
        <v>524</v>
      </c>
      <c r="C538">
        <f>'Lab test'!Q527</f>
        <v>17</v>
      </c>
      <c r="D538">
        <f>IF('Lab test'!AQ527&gt;0,'Lab test'!AQ527,NA())</f>
        <v>0.29831572196480871</v>
      </c>
      <c r="E538">
        <f>IF('Lab test'!AU527&gt;0,'Lab test'!AU527,NA())</f>
        <v>1.1100000000000001</v>
      </c>
      <c r="F538">
        <f>IF('Lab test'!AT527&gt;0,'Lab test'!AT527,NA())</f>
        <v>9.8781419668237447E-2</v>
      </c>
      <c r="G538">
        <f t="shared" si="154"/>
        <v>1</v>
      </c>
      <c r="H538">
        <f t="shared" si="155"/>
        <v>1</v>
      </c>
      <c r="I538">
        <f t="shared" si="156"/>
        <v>1</v>
      </c>
      <c r="J538">
        <f t="shared" si="157"/>
        <v>1</v>
      </c>
      <c r="K538">
        <f t="shared" si="158"/>
        <v>1</v>
      </c>
      <c r="L538" t="str">
        <f>'Lab test'!AC527</f>
        <v>Tubes</v>
      </c>
      <c r="O538" t="e">
        <f t="shared" si="159"/>
        <v>#N/A</v>
      </c>
      <c r="P538" t="e">
        <f t="shared" si="160"/>
        <v>#N/A</v>
      </c>
      <c r="Q538" t="e">
        <f t="shared" si="161"/>
        <v>#N/A</v>
      </c>
      <c r="R538" t="e">
        <f t="shared" si="162"/>
        <v>#N/A</v>
      </c>
      <c r="S538">
        <f t="shared" si="163"/>
        <v>1.1100000000000001</v>
      </c>
      <c r="T538" t="e">
        <f t="shared" si="164"/>
        <v>#N/A</v>
      </c>
      <c r="U538" t="e">
        <f t="shared" si="165"/>
        <v>#N/A</v>
      </c>
      <c r="W538" t="e">
        <f t="shared" si="166"/>
        <v>#N/A</v>
      </c>
      <c r="X538" t="e">
        <f t="shared" si="167"/>
        <v>#N/A</v>
      </c>
      <c r="Y538" t="e">
        <f t="shared" si="168"/>
        <v>#N/A</v>
      </c>
      <c r="Z538" t="e">
        <f t="shared" si="169"/>
        <v>#N/A</v>
      </c>
      <c r="AA538">
        <f t="shared" si="170"/>
        <v>9.8781419668237447E-2</v>
      </c>
      <c r="AB538" t="e">
        <f t="shared" si="171"/>
        <v>#N/A</v>
      </c>
      <c r="AC538" t="e">
        <f t="shared" si="172"/>
        <v>#N/A</v>
      </c>
    </row>
    <row r="539" spans="2:29">
      <c r="B539">
        <v>525</v>
      </c>
      <c r="C539">
        <f>'Lab test'!Q528</f>
        <v>21.35</v>
      </c>
      <c r="D539">
        <f>IF('Lab test'!AQ528&gt;0,'Lab test'!AQ528,NA())</f>
        <v>0.33020640121242489</v>
      </c>
      <c r="E539">
        <f>IF('Lab test'!AU528&gt;0,'Lab test'!AU528,NA())</f>
        <v>1.052</v>
      </c>
      <c r="F539">
        <f>IF('Lab test'!AT528&gt;0,'Lab test'!AT528,NA())</f>
        <v>0.11470615330654728</v>
      </c>
      <c r="G539">
        <f t="shared" si="154"/>
        <v>1</v>
      </c>
      <c r="H539">
        <f t="shared" si="155"/>
        <v>1</v>
      </c>
      <c r="I539">
        <f t="shared" si="156"/>
        <v>1</v>
      </c>
      <c r="J539">
        <f t="shared" si="157"/>
        <v>1</v>
      </c>
      <c r="K539">
        <f t="shared" si="158"/>
        <v>1</v>
      </c>
      <c r="L539" t="str">
        <f>'Lab test'!AC528</f>
        <v>Tubes</v>
      </c>
      <c r="O539" t="e">
        <f t="shared" si="159"/>
        <v>#N/A</v>
      </c>
      <c r="P539" t="e">
        <f t="shared" si="160"/>
        <v>#N/A</v>
      </c>
      <c r="Q539" t="e">
        <f t="shared" si="161"/>
        <v>#N/A</v>
      </c>
      <c r="R539" t="e">
        <f t="shared" si="162"/>
        <v>#N/A</v>
      </c>
      <c r="S539">
        <f t="shared" si="163"/>
        <v>1.052</v>
      </c>
      <c r="T539" t="e">
        <f t="shared" si="164"/>
        <v>#N/A</v>
      </c>
      <c r="U539" t="e">
        <f t="shared" si="165"/>
        <v>#N/A</v>
      </c>
      <c r="W539" t="e">
        <f t="shared" si="166"/>
        <v>#N/A</v>
      </c>
      <c r="X539" t="e">
        <f t="shared" si="167"/>
        <v>#N/A</v>
      </c>
      <c r="Y539" t="e">
        <f t="shared" si="168"/>
        <v>#N/A</v>
      </c>
      <c r="Z539" t="e">
        <f t="shared" si="169"/>
        <v>#N/A</v>
      </c>
      <c r="AA539">
        <f t="shared" si="170"/>
        <v>0.11470615330654728</v>
      </c>
      <c r="AB539" t="e">
        <f t="shared" si="171"/>
        <v>#N/A</v>
      </c>
      <c r="AC539" t="e">
        <f t="shared" si="172"/>
        <v>#N/A</v>
      </c>
    </row>
    <row r="540" spans="2:29">
      <c r="B540">
        <v>526</v>
      </c>
      <c r="C540">
        <f>'Lab test'!Q529</f>
        <v>22.6</v>
      </c>
      <c r="D540">
        <f>IF('Lab test'!AQ529&gt;0,'Lab test'!AQ529,NA())</f>
        <v>0.3427884630065019</v>
      </c>
      <c r="E540">
        <f>IF('Lab test'!AU529&gt;0,'Lab test'!AU529,NA())</f>
        <v>1.0760000000000001</v>
      </c>
      <c r="F540">
        <f>IF('Lab test'!AT529&gt;0,'Lab test'!AT529,NA())</f>
        <v>0.12643422907850727</v>
      </c>
      <c r="G540">
        <f t="shared" si="154"/>
        <v>1</v>
      </c>
      <c r="H540">
        <f t="shared" si="155"/>
        <v>1</v>
      </c>
      <c r="I540">
        <f t="shared" si="156"/>
        <v>1</v>
      </c>
      <c r="J540">
        <f t="shared" si="157"/>
        <v>1</v>
      </c>
      <c r="K540">
        <f t="shared" si="158"/>
        <v>1</v>
      </c>
      <c r="L540" t="str">
        <f>'Lab test'!AC529</f>
        <v>Tubes</v>
      </c>
      <c r="O540" t="e">
        <f t="shared" si="159"/>
        <v>#N/A</v>
      </c>
      <c r="P540" t="e">
        <f t="shared" si="160"/>
        <v>#N/A</v>
      </c>
      <c r="Q540" t="e">
        <f t="shared" si="161"/>
        <v>#N/A</v>
      </c>
      <c r="R540" t="e">
        <f t="shared" si="162"/>
        <v>#N/A</v>
      </c>
      <c r="S540">
        <f t="shared" si="163"/>
        <v>1.0760000000000001</v>
      </c>
      <c r="T540" t="e">
        <f t="shared" si="164"/>
        <v>#N/A</v>
      </c>
      <c r="U540" t="e">
        <f t="shared" si="165"/>
        <v>#N/A</v>
      </c>
      <c r="W540" t="e">
        <f t="shared" si="166"/>
        <v>#N/A</v>
      </c>
      <c r="X540" t="e">
        <f t="shared" si="167"/>
        <v>#N/A</v>
      </c>
      <c r="Y540" t="e">
        <f t="shared" si="168"/>
        <v>#N/A</v>
      </c>
      <c r="Z540" t="e">
        <f t="shared" si="169"/>
        <v>#N/A</v>
      </c>
      <c r="AA540">
        <f t="shared" si="170"/>
        <v>0.12643422907850727</v>
      </c>
      <c r="AB540" t="e">
        <f t="shared" si="171"/>
        <v>#N/A</v>
      </c>
      <c r="AC540" t="e">
        <f t="shared" si="172"/>
        <v>#N/A</v>
      </c>
    </row>
    <row r="541" spans="2:29">
      <c r="B541">
        <v>527</v>
      </c>
      <c r="C541">
        <f>'Lab test'!Q530</f>
        <v>22.6</v>
      </c>
      <c r="D541">
        <f>IF('Lab test'!AQ530&gt;0,'Lab test'!AQ530,NA())</f>
        <v>0.34288490250275433</v>
      </c>
      <c r="E541">
        <f>IF('Lab test'!AU530&gt;0,'Lab test'!AU530,NA())</f>
        <v>1.069</v>
      </c>
      <c r="F541">
        <f>IF('Lab test'!AT530&gt;0,'Lab test'!AT530,NA())</f>
        <v>0.12568239025346165</v>
      </c>
      <c r="G541">
        <f t="shared" si="154"/>
        <v>1</v>
      </c>
      <c r="H541">
        <f t="shared" si="155"/>
        <v>1</v>
      </c>
      <c r="I541">
        <f t="shared" si="156"/>
        <v>1</v>
      </c>
      <c r="J541">
        <f t="shared" si="157"/>
        <v>1</v>
      </c>
      <c r="K541">
        <f t="shared" si="158"/>
        <v>1</v>
      </c>
      <c r="L541" t="str">
        <f>'Lab test'!AC530</f>
        <v>Tubes</v>
      </c>
      <c r="O541" t="e">
        <f t="shared" si="159"/>
        <v>#N/A</v>
      </c>
      <c r="P541" t="e">
        <f t="shared" si="160"/>
        <v>#N/A</v>
      </c>
      <c r="Q541" t="e">
        <f t="shared" si="161"/>
        <v>#N/A</v>
      </c>
      <c r="R541" t="e">
        <f t="shared" si="162"/>
        <v>#N/A</v>
      </c>
      <c r="S541">
        <f t="shared" si="163"/>
        <v>1.069</v>
      </c>
      <c r="T541" t="e">
        <f t="shared" si="164"/>
        <v>#N/A</v>
      </c>
      <c r="U541" t="e">
        <f t="shared" si="165"/>
        <v>#N/A</v>
      </c>
      <c r="W541" t="e">
        <f t="shared" si="166"/>
        <v>#N/A</v>
      </c>
      <c r="X541" t="e">
        <f t="shared" si="167"/>
        <v>#N/A</v>
      </c>
      <c r="Y541" t="e">
        <f t="shared" si="168"/>
        <v>#N/A</v>
      </c>
      <c r="Z541" t="e">
        <f t="shared" si="169"/>
        <v>#N/A</v>
      </c>
      <c r="AA541">
        <f t="shared" si="170"/>
        <v>0.12568239025346165</v>
      </c>
      <c r="AB541" t="e">
        <f t="shared" si="171"/>
        <v>#N/A</v>
      </c>
      <c r="AC541" t="e">
        <f t="shared" si="172"/>
        <v>#N/A</v>
      </c>
    </row>
    <row r="542" spans="2:29">
      <c r="B542">
        <v>528</v>
      </c>
      <c r="C542">
        <f>'Lab test'!Q531</f>
        <v>26.35</v>
      </c>
      <c r="D542">
        <f>IF('Lab test'!AQ531&gt;0,'Lab test'!AQ531,NA())</f>
        <v>0.35500149749190096</v>
      </c>
      <c r="E542">
        <f>IF('Lab test'!AU531&gt;0,'Lab test'!AU531,NA())</f>
        <v>1.0189999999999999</v>
      </c>
      <c r="F542">
        <f>IF('Lab test'!AT531&gt;0,'Lab test'!AT531,NA())</f>
        <v>0.1284205584227005</v>
      </c>
      <c r="G542">
        <f t="shared" si="154"/>
        <v>1</v>
      </c>
      <c r="H542">
        <f t="shared" si="155"/>
        <v>1</v>
      </c>
      <c r="I542">
        <f t="shared" si="156"/>
        <v>1</v>
      </c>
      <c r="J542">
        <f t="shared" si="157"/>
        <v>1</v>
      </c>
      <c r="K542">
        <f t="shared" si="158"/>
        <v>1</v>
      </c>
      <c r="L542" t="str">
        <f>'Lab test'!AC531</f>
        <v>Tubes</v>
      </c>
      <c r="O542" t="e">
        <f t="shared" si="159"/>
        <v>#N/A</v>
      </c>
      <c r="P542" t="e">
        <f t="shared" si="160"/>
        <v>#N/A</v>
      </c>
      <c r="Q542" t="e">
        <f t="shared" si="161"/>
        <v>#N/A</v>
      </c>
      <c r="R542" t="e">
        <f t="shared" si="162"/>
        <v>#N/A</v>
      </c>
      <c r="S542">
        <f t="shared" si="163"/>
        <v>1.0189999999999999</v>
      </c>
      <c r="T542" t="e">
        <f t="shared" si="164"/>
        <v>#N/A</v>
      </c>
      <c r="U542" t="e">
        <f t="shared" si="165"/>
        <v>#N/A</v>
      </c>
      <c r="W542" t="e">
        <f t="shared" si="166"/>
        <v>#N/A</v>
      </c>
      <c r="X542" t="e">
        <f t="shared" si="167"/>
        <v>#N/A</v>
      </c>
      <c r="Y542" t="e">
        <f t="shared" si="168"/>
        <v>#N/A</v>
      </c>
      <c r="Z542" t="e">
        <f t="shared" si="169"/>
        <v>#N/A</v>
      </c>
      <c r="AA542">
        <f t="shared" si="170"/>
        <v>0.1284205584227005</v>
      </c>
      <c r="AB542" t="e">
        <f t="shared" si="171"/>
        <v>#N/A</v>
      </c>
      <c r="AC542" t="e">
        <f t="shared" si="172"/>
        <v>#N/A</v>
      </c>
    </row>
    <row r="543" spans="2:29">
      <c r="B543">
        <v>529</v>
      </c>
      <c r="C543">
        <f>'Lab test'!Q532</f>
        <v>27.05</v>
      </c>
      <c r="D543">
        <f>IF('Lab test'!AQ532&gt;0,'Lab test'!AQ532,NA())</f>
        <v>0.37213987056682507</v>
      </c>
      <c r="E543">
        <f>IF('Lab test'!AU532&gt;0,'Lab test'!AU532,NA())</f>
        <v>1.018</v>
      </c>
      <c r="F543">
        <f>IF('Lab test'!AT532&gt;0,'Lab test'!AT532,NA())</f>
        <v>0.14098086876427218</v>
      </c>
      <c r="G543">
        <f t="shared" si="154"/>
        <v>1</v>
      </c>
      <c r="H543">
        <f t="shared" si="155"/>
        <v>1</v>
      </c>
      <c r="I543">
        <f t="shared" si="156"/>
        <v>1</v>
      </c>
      <c r="J543">
        <f t="shared" si="157"/>
        <v>1</v>
      </c>
      <c r="K543">
        <f t="shared" si="158"/>
        <v>1</v>
      </c>
      <c r="L543" t="str">
        <f>'Lab test'!AC532</f>
        <v>Tubes</v>
      </c>
      <c r="O543" t="e">
        <f t="shared" si="159"/>
        <v>#N/A</v>
      </c>
      <c r="P543" t="e">
        <f t="shared" si="160"/>
        <v>#N/A</v>
      </c>
      <c r="Q543" t="e">
        <f t="shared" si="161"/>
        <v>#N/A</v>
      </c>
      <c r="R543" t="e">
        <f t="shared" si="162"/>
        <v>#N/A</v>
      </c>
      <c r="S543">
        <f t="shared" si="163"/>
        <v>1.018</v>
      </c>
      <c r="T543" t="e">
        <f t="shared" si="164"/>
        <v>#N/A</v>
      </c>
      <c r="U543" t="e">
        <f t="shared" si="165"/>
        <v>#N/A</v>
      </c>
      <c r="W543" t="e">
        <f t="shared" si="166"/>
        <v>#N/A</v>
      </c>
      <c r="X543" t="e">
        <f t="shared" si="167"/>
        <v>#N/A</v>
      </c>
      <c r="Y543" t="e">
        <f t="shared" si="168"/>
        <v>#N/A</v>
      </c>
      <c r="Z543" t="e">
        <f t="shared" si="169"/>
        <v>#N/A</v>
      </c>
      <c r="AA543">
        <f t="shared" si="170"/>
        <v>0.14098086876427218</v>
      </c>
      <c r="AB543" t="e">
        <f t="shared" si="171"/>
        <v>#N/A</v>
      </c>
      <c r="AC543" t="e">
        <f t="shared" si="172"/>
        <v>#N/A</v>
      </c>
    </row>
    <row r="544" spans="2:29">
      <c r="B544">
        <v>530</v>
      </c>
      <c r="C544">
        <f>'Lab test'!Q533</f>
        <v>28.35</v>
      </c>
      <c r="D544">
        <f>IF('Lab test'!AQ533&gt;0,'Lab test'!AQ533,NA())</f>
        <v>0.38302528963221549</v>
      </c>
      <c r="E544">
        <f>IF('Lab test'!AU533&gt;0,'Lab test'!AU533,NA())</f>
        <v>0.94499999999999995</v>
      </c>
      <c r="F544">
        <f>IF('Lab test'!AT533&gt;0,'Lab test'!AT533,NA())</f>
        <v>0.1386394120104612</v>
      </c>
      <c r="G544">
        <f t="shared" si="154"/>
        <v>1</v>
      </c>
      <c r="H544">
        <f t="shared" si="155"/>
        <v>1</v>
      </c>
      <c r="I544">
        <f t="shared" si="156"/>
        <v>1</v>
      </c>
      <c r="J544">
        <f t="shared" si="157"/>
        <v>1</v>
      </c>
      <c r="K544">
        <f t="shared" si="158"/>
        <v>1</v>
      </c>
      <c r="L544" t="str">
        <f>'Lab test'!AC533</f>
        <v>Tubes</v>
      </c>
      <c r="O544" t="e">
        <f t="shared" si="159"/>
        <v>#N/A</v>
      </c>
      <c r="P544" t="e">
        <f t="shared" si="160"/>
        <v>#N/A</v>
      </c>
      <c r="Q544" t="e">
        <f t="shared" si="161"/>
        <v>#N/A</v>
      </c>
      <c r="R544" t="e">
        <f t="shared" si="162"/>
        <v>#N/A</v>
      </c>
      <c r="S544">
        <f t="shared" si="163"/>
        <v>0.94499999999999995</v>
      </c>
      <c r="T544" t="e">
        <f t="shared" si="164"/>
        <v>#N/A</v>
      </c>
      <c r="U544" t="e">
        <f t="shared" si="165"/>
        <v>#N/A</v>
      </c>
      <c r="W544" t="e">
        <f t="shared" si="166"/>
        <v>#N/A</v>
      </c>
      <c r="X544" t="e">
        <f t="shared" si="167"/>
        <v>#N/A</v>
      </c>
      <c r="Y544" t="e">
        <f t="shared" si="168"/>
        <v>#N/A</v>
      </c>
      <c r="Z544" t="e">
        <f t="shared" si="169"/>
        <v>#N/A</v>
      </c>
      <c r="AA544">
        <f t="shared" si="170"/>
        <v>0.1386394120104612</v>
      </c>
      <c r="AB544" t="e">
        <f t="shared" si="171"/>
        <v>#N/A</v>
      </c>
      <c r="AC544" t="e">
        <f t="shared" si="172"/>
        <v>#N/A</v>
      </c>
    </row>
    <row r="545" spans="2:29">
      <c r="B545">
        <v>531</v>
      </c>
      <c r="C545">
        <f>'Lab test'!Q534</f>
        <v>28.45</v>
      </c>
      <c r="D545">
        <f>IF('Lab test'!AQ534&gt;0,'Lab test'!AQ534,NA())</f>
        <v>0.38368593487389618</v>
      </c>
      <c r="E545">
        <f>IF('Lab test'!AU534&gt;0,'Lab test'!AU534,NA())</f>
        <v>0.95899999999999996</v>
      </c>
      <c r="F545">
        <f>IF('Lab test'!AT534&gt;0,'Lab test'!AT534,NA())</f>
        <v>0.1411790858586334</v>
      </c>
      <c r="G545">
        <f t="shared" si="154"/>
        <v>1</v>
      </c>
      <c r="H545">
        <f t="shared" si="155"/>
        <v>1</v>
      </c>
      <c r="I545">
        <f t="shared" si="156"/>
        <v>1</v>
      </c>
      <c r="J545">
        <f t="shared" si="157"/>
        <v>1</v>
      </c>
      <c r="K545">
        <f t="shared" si="158"/>
        <v>1</v>
      </c>
      <c r="L545" t="str">
        <f>'Lab test'!AC534</f>
        <v>Tubes</v>
      </c>
      <c r="O545" t="e">
        <f t="shared" si="159"/>
        <v>#N/A</v>
      </c>
      <c r="P545" t="e">
        <f t="shared" si="160"/>
        <v>#N/A</v>
      </c>
      <c r="Q545" t="e">
        <f t="shared" si="161"/>
        <v>#N/A</v>
      </c>
      <c r="R545" t="e">
        <f t="shared" si="162"/>
        <v>#N/A</v>
      </c>
      <c r="S545">
        <f t="shared" si="163"/>
        <v>0.95899999999999996</v>
      </c>
      <c r="T545" t="e">
        <f t="shared" si="164"/>
        <v>#N/A</v>
      </c>
      <c r="U545" t="e">
        <f t="shared" si="165"/>
        <v>#N/A</v>
      </c>
      <c r="W545" t="e">
        <f t="shared" si="166"/>
        <v>#N/A</v>
      </c>
      <c r="X545" t="e">
        <f t="shared" si="167"/>
        <v>#N/A</v>
      </c>
      <c r="Y545" t="e">
        <f t="shared" si="168"/>
        <v>#N/A</v>
      </c>
      <c r="Z545" t="e">
        <f t="shared" si="169"/>
        <v>#N/A</v>
      </c>
      <c r="AA545">
        <f t="shared" si="170"/>
        <v>0.1411790858586334</v>
      </c>
      <c r="AB545" t="e">
        <f t="shared" si="171"/>
        <v>#N/A</v>
      </c>
      <c r="AC545" t="e">
        <f t="shared" si="172"/>
        <v>#N/A</v>
      </c>
    </row>
    <row r="546" spans="2:29">
      <c r="B546">
        <v>532</v>
      </c>
      <c r="C546">
        <f>'Lab test'!Q535</f>
        <v>30.9</v>
      </c>
      <c r="D546">
        <f>IF('Lab test'!AQ535&gt;0,'Lab test'!AQ535,NA())</f>
        <v>0.40707717152378514</v>
      </c>
      <c r="E546">
        <f>IF('Lab test'!AU535&gt;0,'Lab test'!AU535,NA())</f>
        <v>0.94599999999999995</v>
      </c>
      <c r="F546">
        <f>IF('Lab test'!AT535&gt;0,'Lab test'!AT535,NA())</f>
        <v>0.15676338510271168</v>
      </c>
      <c r="G546">
        <f t="shared" si="154"/>
        <v>1</v>
      </c>
      <c r="H546">
        <f t="shared" si="155"/>
        <v>1</v>
      </c>
      <c r="I546">
        <f t="shared" si="156"/>
        <v>1</v>
      </c>
      <c r="J546">
        <f t="shared" si="157"/>
        <v>1</v>
      </c>
      <c r="K546">
        <f t="shared" si="158"/>
        <v>1</v>
      </c>
      <c r="L546" t="str">
        <f>'Lab test'!AC535</f>
        <v>Tubes</v>
      </c>
      <c r="O546" t="e">
        <f t="shared" si="159"/>
        <v>#N/A</v>
      </c>
      <c r="P546" t="e">
        <f t="shared" si="160"/>
        <v>#N/A</v>
      </c>
      <c r="Q546" t="e">
        <f t="shared" si="161"/>
        <v>#N/A</v>
      </c>
      <c r="R546" t="e">
        <f t="shared" si="162"/>
        <v>#N/A</v>
      </c>
      <c r="S546">
        <f t="shared" si="163"/>
        <v>0.94599999999999995</v>
      </c>
      <c r="T546" t="e">
        <f t="shared" si="164"/>
        <v>#N/A</v>
      </c>
      <c r="U546" t="e">
        <f t="shared" si="165"/>
        <v>#N/A</v>
      </c>
      <c r="W546" t="e">
        <f t="shared" si="166"/>
        <v>#N/A</v>
      </c>
      <c r="X546" t="e">
        <f t="shared" si="167"/>
        <v>#N/A</v>
      </c>
      <c r="Y546" t="e">
        <f t="shared" si="168"/>
        <v>#N/A</v>
      </c>
      <c r="Z546" t="e">
        <f t="shared" si="169"/>
        <v>#N/A</v>
      </c>
      <c r="AA546">
        <f t="shared" si="170"/>
        <v>0.15676338510271168</v>
      </c>
      <c r="AB546" t="e">
        <f t="shared" si="171"/>
        <v>#N/A</v>
      </c>
      <c r="AC546" t="e">
        <f t="shared" si="172"/>
        <v>#N/A</v>
      </c>
    </row>
    <row r="547" spans="2:29">
      <c r="B547">
        <v>533</v>
      </c>
      <c r="C547">
        <f>'Lab test'!Q536</f>
        <v>30.9</v>
      </c>
      <c r="D547">
        <f>IF('Lab test'!AQ536&gt;0,'Lab test'!AQ536,NA())</f>
        <v>0.40363177156377028</v>
      </c>
      <c r="E547">
        <f>IF('Lab test'!AU536&gt;0,'Lab test'!AU536,NA())</f>
        <v>0.91700000000000004</v>
      </c>
      <c r="F547">
        <f>IF('Lab test'!AT536&gt;0,'Lab test'!AT536,NA())</f>
        <v>0.14939636263340392</v>
      </c>
      <c r="G547">
        <f t="shared" si="154"/>
        <v>1</v>
      </c>
      <c r="H547">
        <f t="shared" si="155"/>
        <v>1</v>
      </c>
      <c r="I547">
        <f t="shared" si="156"/>
        <v>1</v>
      </c>
      <c r="J547">
        <f t="shared" si="157"/>
        <v>1</v>
      </c>
      <c r="K547">
        <f t="shared" si="158"/>
        <v>1</v>
      </c>
      <c r="L547" t="str">
        <f>'Lab test'!AC536</f>
        <v>Tubes</v>
      </c>
      <c r="O547" t="e">
        <f t="shared" si="159"/>
        <v>#N/A</v>
      </c>
      <c r="P547" t="e">
        <f t="shared" si="160"/>
        <v>#N/A</v>
      </c>
      <c r="Q547" t="e">
        <f t="shared" si="161"/>
        <v>#N/A</v>
      </c>
      <c r="R547" t="e">
        <f t="shared" si="162"/>
        <v>#N/A</v>
      </c>
      <c r="S547">
        <f t="shared" si="163"/>
        <v>0.91700000000000004</v>
      </c>
      <c r="T547" t="e">
        <f t="shared" si="164"/>
        <v>#N/A</v>
      </c>
      <c r="U547" t="e">
        <f t="shared" si="165"/>
        <v>#N/A</v>
      </c>
      <c r="W547" t="e">
        <f t="shared" si="166"/>
        <v>#N/A</v>
      </c>
      <c r="X547" t="e">
        <f t="shared" si="167"/>
        <v>#N/A</v>
      </c>
      <c r="Y547" t="e">
        <f t="shared" si="168"/>
        <v>#N/A</v>
      </c>
      <c r="Z547" t="e">
        <f t="shared" si="169"/>
        <v>#N/A</v>
      </c>
      <c r="AA547">
        <f t="shared" si="170"/>
        <v>0.14939636263340392</v>
      </c>
      <c r="AB547" t="e">
        <f t="shared" si="171"/>
        <v>#N/A</v>
      </c>
      <c r="AC547" t="e">
        <f t="shared" si="172"/>
        <v>#N/A</v>
      </c>
    </row>
    <row r="548" spans="2:29">
      <c r="B548">
        <v>534</v>
      </c>
      <c r="C548">
        <f>'Lab test'!Q537</f>
        <v>39.200000000000003</v>
      </c>
      <c r="D548">
        <f>IF('Lab test'!AQ537&gt;0,'Lab test'!AQ537,NA())</f>
        <v>0.38134422624060965</v>
      </c>
      <c r="E548">
        <f>IF('Lab test'!AU537&gt;0,'Lab test'!AU537,NA())</f>
        <v>1.2390000000000001</v>
      </c>
      <c r="F548">
        <f>IF('Lab test'!AT537&gt;0,'Lab test'!AT537,NA())</f>
        <v>0.18017961600105406</v>
      </c>
      <c r="G548">
        <f t="shared" si="154"/>
        <v>1</v>
      </c>
      <c r="H548">
        <f t="shared" si="155"/>
        <v>1</v>
      </c>
      <c r="I548">
        <f t="shared" si="156"/>
        <v>1</v>
      </c>
      <c r="J548">
        <f t="shared" si="157"/>
        <v>1</v>
      </c>
      <c r="K548">
        <f t="shared" si="158"/>
        <v>1</v>
      </c>
      <c r="L548" t="str">
        <f>'Lab test'!AC537</f>
        <v>Tubes</v>
      </c>
      <c r="O548" t="e">
        <f t="shared" si="159"/>
        <v>#N/A</v>
      </c>
      <c r="P548" t="e">
        <f t="shared" si="160"/>
        <v>#N/A</v>
      </c>
      <c r="Q548" t="e">
        <f t="shared" si="161"/>
        <v>#N/A</v>
      </c>
      <c r="R548" t="e">
        <f t="shared" si="162"/>
        <v>#N/A</v>
      </c>
      <c r="S548">
        <f t="shared" si="163"/>
        <v>1.2390000000000001</v>
      </c>
      <c r="T548" t="e">
        <f t="shared" si="164"/>
        <v>#N/A</v>
      </c>
      <c r="U548" t="e">
        <f t="shared" si="165"/>
        <v>#N/A</v>
      </c>
      <c r="W548" t="e">
        <f t="shared" si="166"/>
        <v>#N/A</v>
      </c>
      <c r="X548" t="e">
        <f t="shared" si="167"/>
        <v>#N/A</v>
      </c>
      <c r="Y548" t="e">
        <f t="shared" si="168"/>
        <v>#N/A</v>
      </c>
      <c r="Z548" t="e">
        <f t="shared" si="169"/>
        <v>#N/A</v>
      </c>
      <c r="AA548">
        <f t="shared" si="170"/>
        <v>0.18017961600105406</v>
      </c>
      <c r="AB548" t="e">
        <f t="shared" si="171"/>
        <v>#N/A</v>
      </c>
      <c r="AC548" t="e">
        <f t="shared" si="172"/>
        <v>#N/A</v>
      </c>
    </row>
    <row r="549" spans="2:29">
      <c r="B549">
        <v>535</v>
      </c>
      <c r="C549">
        <f>'Lab test'!Q538</f>
        <v>39.549999999999997</v>
      </c>
      <c r="D549">
        <f>IF('Lab test'!AQ538&gt;0,'Lab test'!AQ538,NA())</f>
        <v>0.38312299356921936</v>
      </c>
      <c r="E549">
        <f>IF('Lab test'!AU538&gt;0,'Lab test'!AU538,NA())</f>
        <v>1.234</v>
      </c>
      <c r="F549">
        <f>IF('Lab test'!AT538&gt;0,'Lab test'!AT538,NA())</f>
        <v>0.18113050360057709</v>
      </c>
      <c r="G549">
        <f t="shared" si="154"/>
        <v>1</v>
      </c>
      <c r="H549">
        <f t="shared" si="155"/>
        <v>1</v>
      </c>
      <c r="I549">
        <f t="shared" si="156"/>
        <v>1</v>
      </c>
      <c r="J549">
        <f t="shared" si="157"/>
        <v>1</v>
      </c>
      <c r="K549">
        <f t="shared" si="158"/>
        <v>1</v>
      </c>
      <c r="L549" t="str">
        <f>'Lab test'!AC538</f>
        <v>Tubes</v>
      </c>
      <c r="O549" t="e">
        <f t="shared" si="159"/>
        <v>#N/A</v>
      </c>
      <c r="P549" t="e">
        <f t="shared" si="160"/>
        <v>#N/A</v>
      </c>
      <c r="Q549" t="e">
        <f t="shared" si="161"/>
        <v>#N/A</v>
      </c>
      <c r="R549" t="e">
        <f t="shared" si="162"/>
        <v>#N/A</v>
      </c>
      <c r="S549">
        <f t="shared" si="163"/>
        <v>1.234</v>
      </c>
      <c r="T549" t="e">
        <f t="shared" si="164"/>
        <v>#N/A</v>
      </c>
      <c r="U549" t="e">
        <f t="shared" si="165"/>
        <v>#N/A</v>
      </c>
      <c r="W549" t="e">
        <f t="shared" si="166"/>
        <v>#N/A</v>
      </c>
      <c r="X549" t="e">
        <f t="shared" si="167"/>
        <v>#N/A</v>
      </c>
      <c r="Y549" t="e">
        <f t="shared" si="168"/>
        <v>#N/A</v>
      </c>
      <c r="Z549" t="e">
        <f t="shared" si="169"/>
        <v>#N/A</v>
      </c>
      <c r="AA549">
        <f t="shared" si="170"/>
        <v>0.18113050360057709</v>
      </c>
      <c r="AB549" t="e">
        <f t="shared" si="171"/>
        <v>#N/A</v>
      </c>
      <c r="AC549" t="e">
        <f t="shared" si="172"/>
        <v>#N/A</v>
      </c>
    </row>
    <row r="550" spans="2:29">
      <c r="B550">
        <v>536</v>
      </c>
      <c r="C550">
        <f>'Lab test'!Q539</f>
        <v>44.9</v>
      </c>
      <c r="D550">
        <f>IF('Lab test'!AQ539&gt;0,'Lab test'!AQ539,NA())</f>
        <v>0.43752387395572567</v>
      </c>
      <c r="E550">
        <f>IF('Lab test'!AU539&gt;0,'Lab test'!AU539,NA())</f>
        <v>1.056</v>
      </c>
      <c r="F550">
        <f>IF('Lab test'!AT539&gt;0,'Lab test'!AT539,NA())</f>
        <v>0.20214706013697437</v>
      </c>
      <c r="G550">
        <f t="shared" si="154"/>
        <v>1</v>
      </c>
      <c r="H550">
        <f t="shared" si="155"/>
        <v>1</v>
      </c>
      <c r="I550">
        <f t="shared" si="156"/>
        <v>1</v>
      </c>
      <c r="J550">
        <f t="shared" si="157"/>
        <v>1</v>
      </c>
      <c r="K550">
        <f t="shared" si="158"/>
        <v>1</v>
      </c>
      <c r="L550" t="str">
        <f>'Lab test'!AC539</f>
        <v>Tubes</v>
      </c>
      <c r="O550" t="e">
        <f t="shared" si="159"/>
        <v>#N/A</v>
      </c>
      <c r="P550" t="e">
        <f t="shared" si="160"/>
        <v>#N/A</v>
      </c>
      <c r="Q550" t="e">
        <f t="shared" si="161"/>
        <v>#N/A</v>
      </c>
      <c r="R550" t="e">
        <f t="shared" si="162"/>
        <v>#N/A</v>
      </c>
      <c r="S550">
        <f t="shared" si="163"/>
        <v>1.056</v>
      </c>
      <c r="T550" t="e">
        <f t="shared" si="164"/>
        <v>#N/A</v>
      </c>
      <c r="U550" t="e">
        <f t="shared" si="165"/>
        <v>#N/A</v>
      </c>
      <c r="W550" t="e">
        <f t="shared" si="166"/>
        <v>#N/A</v>
      </c>
      <c r="X550" t="e">
        <f t="shared" si="167"/>
        <v>#N/A</v>
      </c>
      <c r="Y550" t="e">
        <f t="shared" si="168"/>
        <v>#N/A</v>
      </c>
      <c r="Z550" t="e">
        <f t="shared" si="169"/>
        <v>#N/A</v>
      </c>
      <c r="AA550">
        <f t="shared" si="170"/>
        <v>0.20214706013697437</v>
      </c>
      <c r="AB550" t="e">
        <f t="shared" si="171"/>
        <v>#N/A</v>
      </c>
      <c r="AC550" t="e">
        <f t="shared" si="172"/>
        <v>#N/A</v>
      </c>
    </row>
    <row r="551" spans="2:29">
      <c r="B551">
        <v>537</v>
      </c>
      <c r="C551">
        <f>'Lab test'!Q540</f>
        <v>44.9</v>
      </c>
      <c r="D551">
        <f>IF('Lab test'!AQ540&gt;0,'Lab test'!AQ540,NA())</f>
        <v>0.43766903544548874</v>
      </c>
      <c r="E551">
        <f>IF('Lab test'!AU540&gt;0,'Lab test'!AU540,NA())</f>
        <v>1.054</v>
      </c>
      <c r="F551">
        <f>IF('Lab test'!AT540&gt;0,'Lab test'!AT540,NA())</f>
        <v>0.20189811055552487</v>
      </c>
      <c r="G551">
        <f t="shared" si="154"/>
        <v>1</v>
      </c>
      <c r="H551">
        <f t="shared" si="155"/>
        <v>1</v>
      </c>
      <c r="I551">
        <f t="shared" si="156"/>
        <v>1</v>
      </c>
      <c r="J551">
        <f t="shared" si="157"/>
        <v>1</v>
      </c>
      <c r="K551">
        <f t="shared" si="158"/>
        <v>1</v>
      </c>
      <c r="L551" t="str">
        <f>'Lab test'!AC540</f>
        <v>Tubes</v>
      </c>
      <c r="O551" t="e">
        <f t="shared" si="159"/>
        <v>#N/A</v>
      </c>
      <c r="P551" t="e">
        <f t="shared" si="160"/>
        <v>#N/A</v>
      </c>
      <c r="Q551" t="e">
        <f t="shared" si="161"/>
        <v>#N/A</v>
      </c>
      <c r="R551" t="e">
        <f t="shared" si="162"/>
        <v>#N/A</v>
      </c>
      <c r="S551">
        <f t="shared" si="163"/>
        <v>1.054</v>
      </c>
      <c r="T551" t="e">
        <f t="shared" si="164"/>
        <v>#N/A</v>
      </c>
      <c r="U551" t="e">
        <f t="shared" si="165"/>
        <v>#N/A</v>
      </c>
      <c r="W551" t="e">
        <f t="shared" si="166"/>
        <v>#N/A</v>
      </c>
      <c r="X551" t="e">
        <f t="shared" si="167"/>
        <v>#N/A</v>
      </c>
      <c r="Y551" t="e">
        <f t="shared" si="168"/>
        <v>#N/A</v>
      </c>
      <c r="Z551" t="e">
        <f t="shared" si="169"/>
        <v>#N/A</v>
      </c>
      <c r="AA551">
        <f t="shared" si="170"/>
        <v>0.20189811055552487</v>
      </c>
      <c r="AB551" t="e">
        <f t="shared" si="171"/>
        <v>#N/A</v>
      </c>
      <c r="AC551" t="e">
        <f t="shared" si="172"/>
        <v>#N/A</v>
      </c>
    </row>
    <row r="552" spans="2:29">
      <c r="B552">
        <v>538</v>
      </c>
      <c r="C552">
        <f>'Lab test'!Q541</f>
        <v>49.65</v>
      </c>
      <c r="D552">
        <f>IF('Lab test'!AQ541&gt;0,'Lab test'!AQ541,NA())</f>
        <v>0.45089153443557384</v>
      </c>
      <c r="E552">
        <f>IF('Lab test'!AU541&gt;0,'Lab test'!AU541,NA())</f>
        <v>1.1319999999999999</v>
      </c>
      <c r="F552">
        <f>IF('Lab test'!AT541&gt;0,'Lab test'!AT541,NA())</f>
        <v>0.23013919503465416</v>
      </c>
      <c r="G552">
        <f t="shared" si="154"/>
        <v>1</v>
      </c>
      <c r="H552">
        <f t="shared" si="155"/>
        <v>1</v>
      </c>
      <c r="I552">
        <f t="shared" si="156"/>
        <v>1</v>
      </c>
      <c r="J552">
        <f t="shared" si="157"/>
        <v>1</v>
      </c>
      <c r="K552">
        <f t="shared" si="158"/>
        <v>1</v>
      </c>
      <c r="L552" t="str">
        <f>'Lab test'!AC541</f>
        <v>Tubes</v>
      </c>
      <c r="O552" t="e">
        <f t="shared" si="159"/>
        <v>#N/A</v>
      </c>
      <c r="P552" t="e">
        <f t="shared" si="160"/>
        <v>#N/A</v>
      </c>
      <c r="Q552" t="e">
        <f t="shared" si="161"/>
        <v>#N/A</v>
      </c>
      <c r="R552" t="e">
        <f t="shared" si="162"/>
        <v>#N/A</v>
      </c>
      <c r="S552">
        <f t="shared" si="163"/>
        <v>1.1319999999999999</v>
      </c>
      <c r="T552" t="e">
        <f t="shared" si="164"/>
        <v>#N/A</v>
      </c>
      <c r="U552" t="e">
        <f t="shared" si="165"/>
        <v>#N/A</v>
      </c>
      <c r="W552" t="e">
        <f t="shared" si="166"/>
        <v>#N/A</v>
      </c>
      <c r="X552" t="e">
        <f t="shared" si="167"/>
        <v>#N/A</v>
      </c>
      <c r="Y552" t="e">
        <f t="shared" si="168"/>
        <v>#N/A</v>
      </c>
      <c r="Z552" t="e">
        <f t="shared" si="169"/>
        <v>#N/A</v>
      </c>
      <c r="AA552">
        <f t="shared" si="170"/>
        <v>0.23013919503465416</v>
      </c>
      <c r="AB552" t="e">
        <f t="shared" si="171"/>
        <v>#N/A</v>
      </c>
      <c r="AC552" t="e">
        <f t="shared" si="172"/>
        <v>#N/A</v>
      </c>
    </row>
    <row r="553" spans="2:29">
      <c r="B553">
        <v>539</v>
      </c>
      <c r="C553">
        <f>'Lab test'!Q542</f>
        <v>49.7</v>
      </c>
      <c r="D553">
        <f>IF('Lab test'!AQ542&gt;0,'Lab test'!AQ542,NA())</f>
        <v>0.45138823940454592</v>
      </c>
      <c r="E553">
        <f>IF('Lab test'!AU542&gt;0,'Lab test'!AU542,NA())</f>
        <v>1.1319999999999999</v>
      </c>
      <c r="F553">
        <f>IF('Lab test'!AT542&gt;0,'Lab test'!AT542,NA())</f>
        <v>0.23064651990553675</v>
      </c>
      <c r="G553">
        <f t="shared" si="154"/>
        <v>1</v>
      </c>
      <c r="H553">
        <f t="shared" si="155"/>
        <v>1</v>
      </c>
      <c r="I553">
        <f t="shared" si="156"/>
        <v>1</v>
      </c>
      <c r="J553">
        <f t="shared" si="157"/>
        <v>1</v>
      </c>
      <c r="K553">
        <f t="shared" si="158"/>
        <v>1</v>
      </c>
      <c r="L553" t="str">
        <f>'Lab test'!AC542</f>
        <v>Tubes</v>
      </c>
      <c r="O553" t="e">
        <f t="shared" si="159"/>
        <v>#N/A</v>
      </c>
      <c r="P553" t="e">
        <f t="shared" si="160"/>
        <v>#N/A</v>
      </c>
      <c r="Q553" t="e">
        <f t="shared" si="161"/>
        <v>#N/A</v>
      </c>
      <c r="R553" t="e">
        <f t="shared" si="162"/>
        <v>#N/A</v>
      </c>
      <c r="S553">
        <f t="shared" si="163"/>
        <v>1.1319999999999999</v>
      </c>
      <c r="T553" t="e">
        <f t="shared" si="164"/>
        <v>#N/A</v>
      </c>
      <c r="U553" t="e">
        <f t="shared" si="165"/>
        <v>#N/A</v>
      </c>
      <c r="W553" t="e">
        <f t="shared" si="166"/>
        <v>#N/A</v>
      </c>
      <c r="X553" t="e">
        <f t="shared" si="167"/>
        <v>#N/A</v>
      </c>
      <c r="Y553" t="e">
        <f t="shared" si="168"/>
        <v>#N/A</v>
      </c>
      <c r="Z553" t="e">
        <f t="shared" si="169"/>
        <v>#N/A</v>
      </c>
      <c r="AA553">
        <f t="shared" si="170"/>
        <v>0.23064651990553675</v>
      </c>
      <c r="AB553" t="e">
        <f t="shared" si="171"/>
        <v>#N/A</v>
      </c>
      <c r="AC553" t="e">
        <f t="shared" si="172"/>
        <v>#N/A</v>
      </c>
    </row>
    <row r="554" spans="2:29">
      <c r="B554">
        <v>540</v>
      </c>
      <c r="C554">
        <f>'Lab test'!Q543</f>
        <v>6.75</v>
      </c>
      <c r="D554">
        <f>IF('Lab test'!AQ543&gt;0,'Lab test'!AQ543,NA())</f>
        <v>0.20832510228242127</v>
      </c>
      <c r="E554">
        <f>IF('Lab test'!AU543&gt;0,'Lab test'!AU543,NA())</f>
        <v>1.756</v>
      </c>
      <c r="F554">
        <f>IF('Lab test'!AT543&gt;0,'Lab test'!AT543,NA())</f>
        <v>7.6209255511163129E-2</v>
      </c>
      <c r="G554">
        <f t="shared" si="154"/>
        <v>1</v>
      </c>
      <c r="H554">
        <f t="shared" si="155"/>
        <v>1</v>
      </c>
      <c r="I554">
        <f t="shared" si="156"/>
        <v>1</v>
      </c>
      <c r="J554">
        <f t="shared" si="157"/>
        <v>1</v>
      </c>
      <c r="K554">
        <f t="shared" si="158"/>
        <v>1</v>
      </c>
      <c r="L554" t="str">
        <f>'Lab test'!AC543</f>
        <v>Tubes</v>
      </c>
      <c r="O554" t="e">
        <f t="shared" si="159"/>
        <v>#N/A</v>
      </c>
      <c r="P554" t="e">
        <f t="shared" si="160"/>
        <v>#N/A</v>
      </c>
      <c r="Q554" t="e">
        <f t="shared" si="161"/>
        <v>#N/A</v>
      </c>
      <c r="R554" t="e">
        <f t="shared" si="162"/>
        <v>#N/A</v>
      </c>
      <c r="S554">
        <f t="shared" si="163"/>
        <v>1.756</v>
      </c>
      <c r="T554" t="e">
        <f t="shared" si="164"/>
        <v>#N/A</v>
      </c>
      <c r="U554" t="e">
        <f t="shared" si="165"/>
        <v>#N/A</v>
      </c>
      <c r="W554" t="e">
        <f t="shared" si="166"/>
        <v>#N/A</v>
      </c>
      <c r="X554" t="e">
        <f t="shared" si="167"/>
        <v>#N/A</v>
      </c>
      <c r="Y554" t="e">
        <f t="shared" si="168"/>
        <v>#N/A</v>
      </c>
      <c r="Z554" t="e">
        <f t="shared" si="169"/>
        <v>#N/A</v>
      </c>
      <c r="AA554">
        <f t="shared" si="170"/>
        <v>7.6209255511163129E-2</v>
      </c>
      <c r="AB554" t="e">
        <f t="shared" si="171"/>
        <v>#N/A</v>
      </c>
      <c r="AC554" t="e">
        <f t="shared" si="172"/>
        <v>#N/A</v>
      </c>
    </row>
    <row r="555" spans="2:29">
      <c r="B555">
        <v>541</v>
      </c>
      <c r="C555">
        <f>'Lab test'!Q544</f>
        <v>6.75</v>
      </c>
      <c r="D555">
        <f>IF('Lab test'!AQ544&gt;0,'Lab test'!AQ544,NA())</f>
        <v>0.20714343166888258</v>
      </c>
      <c r="E555">
        <f>IF('Lab test'!AU544&gt;0,'Lab test'!AU544,NA())</f>
        <v>1.6830000000000001</v>
      </c>
      <c r="F555">
        <f>IF('Lab test'!AT544&gt;0,'Lab test'!AT544,NA())</f>
        <v>7.2214839360233207E-2</v>
      </c>
      <c r="G555">
        <f t="shared" si="154"/>
        <v>1</v>
      </c>
      <c r="H555">
        <f t="shared" si="155"/>
        <v>1</v>
      </c>
      <c r="I555">
        <f t="shared" si="156"/>
        <v>1</v>
      </c>
      <c r="J555">
        <f t="shared" si="157"/>
        <v>1</v>
      </c>
      <c r="K555">
        <f t="shared" si="158"/>
        <v>1</v>
      </c>
      <c r="L555" t="str">
        <f>'Lab test'!AC544</f>
        <v>Tubes</v>
      </c>
      <c r="O555" t="e">
        <f t="shared" si="159"/>
        <v>#N/A</v>
      </c>
      <c r="P555" t="e">
        <f t="shared" si="160"/>
        <v>#N/A</v>
      </c>
      <c r="Q555" t="e">
        <f t="shared" si="161"/>
        <v>#N/A</v>
      </c>
      <c r="R555" t="e">
        <f t="shared" si="162"/>
        <v>#N/A</v>
      </c>
      <c r="S555">
        <f t="shared" si="163"/>
        <v>1.6830000000000001</v>
      </c>
      <c r="T555" t="e">
        <f t="shared" si="164"/>
        <v>#N/A</v>
      </c>
      <c r="U555" t="e">
        <f t="shared" si="165"/>
        <v>#N/A</v>
      </c>
      <c r="W555" t="e">
        <f t="shared" si="166"/>
        <v>#N/A</v>
      </c>
      <c r="X555" t="e">
        <f t="shared" si="167"/>
        <v>#N/A</v>
      </c>
      <c r="Y555" t="e">
        <f t="shared" si="168"/>
        <v>#N/A</v>
      </c>
      <c r="Z555" t="e">
        <f t="shared" si="169"/>
        <v>#N/A</v>
      </c>
      <c r="AA555">
        <f t="shared" si="170"/>
        <v>7.2214839360233207E-2</v>
      </c>
      <c r="AB555" t="e">
        <f t="shared" si="171"/>
        <v>#N/A</v>
      </c>
      <c r="AC555" t="e">
        <f t="shared" si="172"/>
        <v>#N/A</v>
      </c>
    </row>
    <row r="556" spans="2:29">
      <c r="B556">
        <v>542</v>
      </c>
      <c r="C556">
        <f>'Lab test'!Q545</f>
        <v>7.85</v>
      </c>
      <c r="D556">
        <f>IF('Lab test'!AQ545&gt;0,'Lab test'!AQ545,NA())</f>
        <v>0.23132968880070068</v>
      </c>
      <c r="E556">
        <f>IF('Lab test'!AU545&gt;0,'Lab test'!AU545,NA())</f>
        <v>1.494</v>
      </c>
      <c r="F556">
        <f>IF('Lab test'!AT545&gt;0,'Lab test'!AT545,NA())</f>
        <v>7.9949056831419743E-2</v>
      </c>
      <c r="G556">
        <f t="shared" si="154"/>
        <v>1</v>
      </c>
      <c r="H556">
        <f t="shared" si="155"/>
        <v>1</v>
      </c>
      <c r="I556">
        <f t="shared" si="156"/>
        <v>1</v>
      </c>
      <c r="J556">
        <f t="shared" si="157"/>
        <v>1</v>
      </c>
      <c r="K556">
        <f t="shared" si="158"/>
        <v>1</v>
      </c>
      <c r="L556" t="str">
        <f>'Lab test'!AC545</f>
        <v>Tubes</v>
      </c>
      <c r="O556" t="e">
        <f t="shared" si="159"/>
        <v>#N/A</v>
      </c>
      <c r="P556" t="e">
        <f t="shared" si="160"/>
        <v>#N/A</v>
      </c>
      <c r="Q556" t="e">
        <f t="shared" si="161"/>
        <v>#N/A</v>
      </c>
      <c r="R556" t="e">
        <f t="shared" si="162"/>
        <v>#N/A</v>
      </c>
      <c r="S556">
        <f t="shared" si="163"/>
        <v>1.494</v>
      </c>
      <c r="T556" t="e">
        <f t="shared" si="164"/>
        <v>#N/A</v>
      </c>
      <c r="U556" t="e">
        <f t="shared" si="165"/>
        <v>#N/A</v>
      </c>
      <c r="W556" t="e">
        <f t="shared" si="166"/>
        <v>#N/A</v>
      </c>
      <c r="X556" t="e">
        <f t="shared" si="167"/>
        <v>#N/A</v>
      </c>
      <c r="Y556" t="e">
        <f t="shared" si="168"/>
        <v>#N/A</v>
      </c>
      <c r="Z556" t="e">
        <f t="shared" si="169"/>
        <v>#N/A</v>
      </c>
      <c r="AA556">
        <f t="shared" si="170"/>
        <v>7.9949056831419743E-2</v>
      </c>
      <c r="AB556" t="e">
        <f t="shared" si="171"/>
        <v>#N/A</v>
      </c>
      <c r="AC556" t="e">
        <f t="shared" si="172"/>
        <v>#N/A</v>
      </c>
    </row>
    <row r="557" spans="2:29">
      <c r="B557">
        <v>543</v>
      </c>
      <c r="C557">
        <f>'Lab test'!Q546</f>
        <v>10.050000000000001</v>
      </c>
      <c r="D557">
        <f>IF('Lab test'!AQ546&gt;0,'Lab test'!AQ546,NA())</f>
        <v>0.25965655543785615</v>
      </c>
      <c r="E557">
        <f>IF('Lab test'!AU546&gt;0,'Lab test'!AU546,NA())</f>
        <v>1.4159999999999999</v>
      </c>
      <c r="F557">
        <f>IF('Lab test'!AT546&gt;0,'Lab test'!AT546,NA())</f>
        <v>9.5468881923103058E-2</v>
      </c>
      <c r="G557">
        <f t="shared" si="154"/>
        <v>1</v>
      </c>
      <c r="H557">
        <f t="shared" si="155"/>
        <v>1</v>
      </c>
      <c r="I557">
        <f t="shared" si="156"/>
        <v>1</v>
      </c>
      <c r="J557">
        <f t="shared" si="157"/>
        <v>1</v>
      </c>
      <c r="K557">
        <f t="shared" si="158"/>
        <v>1</v>
      </c>
      <c r="L557" t="str">
        <f>'Lab test'!AC546</f>
        <v>Tubes</v>
      </c>
      <c r="O557" t="e">
        <f t="shared" si="159"/>
        <v>#N/A</v>
      </c>
      <c r="P557" t="e">
        <f t="shared" si="160"/>
        <v>#N/A</v>
      </c>
      <c r="Q557" t="e">
        <f t="shared" si="161"/>
        <v>#N/A</v>
      </c>
      <c r="R557" t="e">
        <f t="shared" si="162"/>
        <v>#N/A</v>
      </c>
      <c r="S557">
        <f t="shared" si="163"/>
        <v>1.4159999999999999</v>
      </c>
      <c r="T557" t="e">
        <f t="shared" si="164"/>
        <v>#N/A</v>
      </c>
      <c r="U557" t="e">
        <f t="shared" si="165"/>
        <v>#N/A</v>
      </c>
      <c r="W557" t="e">
        <f t="shared" si="166"/>
        <v>#N/A</v>
      </c>
      <c r="X557" t="e">
        <f t="shared" si="167"/>
        <v>#N/A</v>
      </c>
      <c r="Y557" t="e">
        <f t="shared" si="168"/>
        <v>#N/A</v>
      </c>
      <c r="Z557" t="e">
        <f t="shared" si="169"/>
        <v>#N/A</v>
      </c>
      <c r="AA557">
        <f t="shared" si="170"/>
        <v>9.5468881923103058E-2</v>
      </c>
      <c r="AB557" t="e">
        <f t="shared" si="171"/>
        <v>#N/A</v>
      </c>
      <c r="AC557" t="e">
        <f t="shared" si="172"/>
        <v>#N/A</v>
      </c>
    </row>
    <row r="558" spans="2:29">
      <c r="B558">
        <v>544</v>
      </c>
      <c r="C558">
        <f>'Lab test'!Q547</f>
        <v>10.1</v>
      </c>
      <c r="D558">
        <f>IF('Lab test'!AQ547&gt;0,'Lab test'!AQ547,NA())</f>
        <v>0.26029836722590582</v>
      </c>
      <c r="E558">
        <f>IF('Lab test'!AU547&gt;0,'Lab test'!AU547,NA())</f>
        <v>1.423</v>
      </c>
      <c r="F558">
        <f>IF('Lab test'!AT547&gt;0,'Lab test'!AT547,NA())</f>
        <v>9.6415706492212386E-2</v>
      </c>
      <c r="G558">
        <f t="shared" si="154"/>
        <v>1</v>
      </c>
      <c r="H558">
        <f t="shared" si="155"/>
        <v>1</v>
      </c>
      <c r="I558">
        <f t="shared" si="156"/>
        <v>1</v>
      </c>
      <c r="J558">
        <f t="shared" si="157"/>
        <v>1</v>
      </c>
      <c r="K558">
        <f t="shared" si="158"/>
        <v>1</v>
      </c>
      <c r="L558" t="str">
        <f>'Lab test'!AC547</f>
        <v>Tubes</v>
      </c>
      <c r="O558" t="e">
        <f t="shared" si="159"/>
        <v>#N/A</v>
      </c>
      <c r="P558" t="e">
        <f t="shared" si="160"/>
        <v>#N/A</v>
      </c>
      <c r="Q558" t="e">
        <f t="shared" si="161"/>
        <v>#N/A</v>
      </c>
      <c r="R558" t="e">
        <f t="shared" si="162"/>
        <v>#N/A</v>
      </c>
      <c r="S558">
        <f t="shared" si="163"/>
        <v>1.423</v>
      </c>
      <c r="T558" t="e">
        <f t="shared" si="164"/>
        <v>#N/A</v>
      </c>
      <c r="U558" t="e">
        <f t="shared" si="165"/>
        <v>#N/A</v>
      </c>
      <c r="W558" t="e">
        <f t="shared" si="166"/>
        <v>#N/A</v>
      </c>
      <c r="X558" t="e">
        <f t="shared" si="167"/>
        <v>#N/A</v>
      </c>
      <c r="Y558" t="e">
        <f t="shared" si="168"/>
        <v>#N/A</v>
      </c>
      <c r="Z558" t="e">
        <f t="shared" si="169"/>
        <v>#N/A</v>
      </c>
      <c r="AA558">
        <f t="shared" si="170"/>
        <v>9.6415706492212386E-2</v>
      </c>
      <c r="AB558" t="e">
        <f t="shared" si="171"/>
        <v>#N/A</v>
      </c>
      <c r="AC558" t="e">
        <f t="shared" si="172"/>
        <v>#N/A</v>
      </c>
    </row>
    <row r="559" spans="2:29">
      <c r="B559">
        <v>545</v>
      </c>
      <c r="C559">
        <f>'Lab test'!Q548</f>
        <v>12.8</v>
      </c>
      <c r="D559">
        <f>IF('Lab test'!AQ548&gt;0,'Lab test'!AQ548,NA())</f>
        <v>0.28801808700427434</v>
      </c>
      <c r="E559">
        <f>IF('Lab test'!AU548&gt;0,'Lab test'!AU548,NA())</f>
        <v>1.3240000000000001</v>
      </c>
      <c r="F559">
        <f>IF('Lab test'!AT548&gt;0,'Lab test'!AT548,NA())</f>
        <v>0.10983165001668073</v>
      </c>
      <c r="G559">
        <f t="shared" si="154"/>
        <v>1</v>
      </c>
      <c r="H559">
        <f t="shared" si="155"/>
        <v>1</v>
      </c>
      <c r="I559">
        <f t="shared" si="156"/>
        <v>1</v>
      </c>
      <c r="J559">
        <f t="shared" si="157"/>
        <v>1</v>
      </c>
      <c r="K559">
        <f t="shared" si="158"/>
        <v>1</v>
      </c>
      <c r="L559" t="str">
        <f>'Lab test'!AC548</f>
        <v>Tubes</v>
      </c>
      <c r="O559" t="e">
        <f t="shared" si="159"/>
        <v>#N/A</v>
      </c>
      <c r="P559" t="e">
        <f t="shared" si="160"/>
        <v>#N/A</v>
      </c>
      <c r="Q559" t="e">
        <f t="shared" si="161"/>
        <v>#N/A</v>
      </c>
      <c r="R559" t="e">
        <f t="shared" si="162"/>
        <v>#N/A</v>
      </c>
      <c r="S559">
        <f t="shared" si="163"/>
        <v>1.3240000000000001</v>
      </c>
      <c r="T559" t="e">
        <f t="shared" si="164"/>
        <v>#N/A</v>
      </c>
      <c r="U559" t="e">
        <f t="shared" si="165"/>
        <v>#N/A</v>
      </c>
      <c r="W559" t="e">
        <f t="shared" si="166"/>
        <v>#N/A</v>
      </c>
      <c r="X559" t="e">
        <f t="shared" si="167"/>
        <v>#N/A</v>
      </c>
      <c r="Y559" t="e">
        <f t="shared" si="168"/>
        <v>#N/A</v>
      </c>
      <c r="Z559" t="e">
        <f t="shared" si="169"/>
        <v>#N/A</v>
      </c>
      <c r="AA559">
        <f t="shared" si="170"/>
        <v>0.10983165001668073</v>
      </c>
      <c r="AB559" t="e">
        <f t="shared" si="171"/>
        <v>#N/A</v>
      </c>
      <c r="AC559" t="e">
        <f t="shared" si="172"/>
        <v>#N/A</v>
      </c>
    </row>
    <row r="560" spans="2:29">
      <c r="B560">
        <v>546</v>
      </c>
      <c r="C560">
        <f>'Lab test'!Q549</f>
        <v>12.9</v>
      </c>
      <c r="D560">
        <f>IF('Lab test'!AQ549&gt;0,'Lab test'!AQ549,NA())</f>
        <v>0.27812101617518964</v>
      </c>
      <c r="E560">
        <f>IF('Lab test'!AU549&gt;0,'Lab test'!AU549,NA())</f>
        <v>1.431</v>
      </c>
      <c r="F560">
        <f>IF('Lab test'!AT549&gt;0,'Lab test'!AT549,NA())</f>
        <v>0.11068970978243604</v>
      </c>
      <c r="G560">
        <f t="shared" si="154"/>
        <v>1</v>
      </c>
      <c r="H560">
        <f t="shared" si="155"/>
        <v>1</v>
      </c>
      <c r="I560">
        <f t="shared" si="156"/>
        <v>1</v>
      </c>
      <c r="J560">
        <f t="shared" si="157"/>
        <v>1</v>
      </c>
      <c r="K560">
        <f t="shared" si="158"/>
        <v>1</v>
      </c>
      <c r="L560" t="str">
        <f>'Lab test'!AC549</f>
        <v>Tubes</v>
      </c>
      <c r="O560" t="e">
        <f t="shared" si="159"/>
        <v>#N/A</v>
      </c>
      <c r="P560" t="e">
        <f t="shared" si="160"/>
        <v>#N/A</v>
      </c>
      <c r="Q560" t="e">
        <f t="shared" si="161"/>
        <v>#N/A</v>
      </c>
      <c r="R560" t="e">
        <f t="shared" si="162"/>
        <v>#N/A</v>
      </c>
      <c r="S560">
        <f t="shared" si="163"/>
        <v>1.431</v>
      </c>
      <c r="T560" t="e">
        <f t="shared" si="164"/>
        <v>#N/A</v>
      </c>
      <c r="U560" t="e">
        <f t="shared" si="165"/>
        <v>#N/A</v>
      </c>
      <c r="W560" t="e">
        <f t="shared" si="166"/>
        <v>#N/A</v>
      </c>
      <c r="X560" t="e">
        <f t="shared" si="167"/>
        <v>#N/A</v>
      </c>
      <c r="Y560" t="e">
        <f t="shared" si="168"/>
        <v>#N/A</v>
      </c>
      <c r="Z560" t="e">
        <f t="shared" si="169"/>
        <v>#N/A</v>
      </c>
      <c r="AA560">
        <f t="shared" si="170"/>
        <v>0.11068970978243604</v>
      </c>
      <c r="AB560" t="e">
        <f t="shared" si="171"/>
        <v>#N/A</v>
      </c>
      <c r="AC560" t="e">
        <f t="shared" si="172"/>
        <v>#N/A</v>
      </c>
    </row>
    <row r="561" spans="2:29">
      <c r="B561">
        <v>547</v>
      </c>
      <c r="C561">
        <f>'Lab test'!Q550</f>
        <v>12.95</v>
      </c>
      <c r="D561">
        <f>IF('Lab test'!AQ550&gt;0,'Lab test'!AQ550,NA())</f>
        <v>0.28948922286141932</v>
      </c>
      <c r="E561">
        <f>IF('Lab test'!AU550&gt;0,'Lab test'!AU550,NA())</f>
        <v>1.35</v>
      </c>
      <c r="F561">
        <f>IF('Lab test'!AT550&gt;0,'Lab test'!AT550,NA())</f>
        <v>0.11313541370642648</v>
      </c>
      <c r="G561">
        <f t="shared" si="154"/>
        <v>1</v>
      </c>
      <c r="H561">
        <f t="shared" si="155"/>
        <v>1</v>
      </c>
      <c r="I561">
        <f t="shared" si="156"/>
        <v>1</v>
      </c>
      <c r="J561">
        <f t="shared" si="157"/>
        <v>1</v>
      </c>
      <c r="K561">
        <f t="shared" si="158"/>
        <v>1</v>
      </c>
      <c r="L561" t="str">
        <f>'Lab test'!AC550</f>
        <v>Tubes</v>
      </c>
      <c r="O561" t="e">
        <f t="shared" si="159"/>
        <v>#N/A</v>
      </c>
      <c r="P561" t="e">
        <f t="shared" si="160"/>
        <v>#N/A</v>
      </c>
      <c r="Q561" t="e">
        <f t="shared" si="161"/>
        <v>#N/A</v>
      </c>
      <c r="R561" t="e">
        <f t="shared" si="162"/>
        <v>#N/A</v>
      </c>
      <c r="S561">
        <f t="shared" si="163"/>
        <v>1.35</v>
      </c>
      <c r="T561" t="e">
        <f t="shared" si="164"/>
        <v>#N/A</v>
      </c>
      <c r="U561" t="e">
        <f t="shared" si="165"/>
        <v>#N/A</v>
      </c>
      <c r="W561" t="e">
        <f t="shared" si="166"/>
        <v>#N/A</v>
      </c>
      <c r="X561" t="e">
        <f t="shared" si="167"/>
        <v>#N/A</v>
      </c>
      <c r="Y561" t="e">
        <f t="shared" si="168"/>
        <v>#N/A</v>
      </c>
      <c r="Z561" t="e">
        <f t="shared" si="169"/>
        <v>#N/A</v>
      </c>
      <c r="AA561">
        <f t="shared" si="170"/>
        <v>0.11313541370642648</v>
      </c>
      <c r="AB561" t="e">
        <f t="shared" si="171"/>
        <v>#N/A</v>
      </c>
      <c r="AC561" t="e">
        <f t="shared" si="172"/>
        <v>#N/A</v>
      </c>
    </row>
    <row r="562" spans="2:29">
      <c r="B562">
        <v>548</v>
      </c>
      <c r="C562">
        <f>'Lab test'!Q551</f>
        <v>12.95</v>
      </c>
      <c r="D562">
        <f>IF('Lab test'!AQ551&gt;0,'Lab test'!AQ551,NA())</f>
        <v>0.27864177175816857</v>
      </c>
      <c r="E562">
        <f>IF('Lab test'!AU551&gt;0,'Lab test'!AU551,NA())</f>
        <v>1.413</v>
      </c>
      <c r="F562">
        <f>IF('Lab test'!AT551&gt;0,'Lab test'!AT551,NA())</f>
        <v>0.10970706783653476</v>
      </c>
      <c r="G562">
        <f t="shared" si="154"/>
        <v>1</v>
      </c>
      <c r="H562">
        <f t="shared" si="155"/>
        <v>1</v>
      </c>
      <c r="I562">
        <f t="shared" si="156"/>
        <v>1</v>
      </c>
      <c r="J562">
        <f t="shared" si="157"/>
        <v>1</v>
      </c>
      <c r="K562">
        <f t="shared" si="158"/>
        <v>1</v>
      </c>
      <c r="L562" t="str">
        <f>'Lab test'!AC551</f>
        <v>Tubes</v>
      </c>
      <c r="O562" t="e">
        <f t="shared" si="159"/>
        <v>#N/A</v>
      </c>
      <c r="P562" t="e">
        <f t="shared" si="160"/>
        <v>#N/A</v>
      </c>
      <c r="Q562" t="e">
        <f t="shared" si="161"/>
        <v>#N/A</v>
      </c>
      <c r="R562" t="e">
        <f t="shared" si="162"/>
        <v>#N/A</v>
      </c>
      <c r="S562">
        <f t="shared" si="163"/>
        <v>1.413</v>
      </c>
      <c r="T562" t="e">
        <f t="shared" si="164"/>
        <v>#N/A</v>
      </c>
      <c r="U562" t="e">
        <f t="shared" si="165"/>
        <v>#N/A</v>
      </c>
      <c r="W562" t="e">
        <f t="shared" si="166"/>
        <v>#N/A</v>
      </c>
      <c r="X562" t="e">
        <f t="shared" si="167"/>
        <v>#N/A</v>
      </c>
      <c r="Y562" t="e">
        <f t="shared" si="168"/>
        <v>#N/A</v>
      </c>
      <c r="Z562" t="e">
        <f t="shared" si="169"/>
        <v>#N/A</v>
      </c>
      <c r="AA562">
        <f t="shared" si="170"/>
        <v>0.10970706783653476</v>
      </c>
      <c r="AB562" t="e">
        <f t="shared" si="171"/>
        <v>#N/A</v>
      </c>
      <c r="AC562" t="e">
        <f t="shared" si="172"/>
        <v>#N/A</v>
      </c>
    </row>
    <row r="563" spans="2:29">
      <c r="B563">
        <v>549</v>
      </c>
      <c r="C563">
        <f>'Lab test'!Q552</f>
        <v>17.649999999999999</v>
      </c>
      <c r="D563">
        <f>IF('Lab test'!AQ552&gt;0,'Lab test'!AQ552,NA())</f>
        <v>0.32329722449730114</v>
      </c>
      <c r="E563">
        <f>IF('Lab test'!AU552&gt;0,'Lab test'!AU552,NA())</f>
        <v>1.3280000000000001</v>
      </c>
      <c r="F563">
        <f>IF('Lab test'!AT552&gt;0,'Lab test'!AT552,NA())</f>
        <v>0.13880401464825026</v>
      </c>
      <c r="G563">
        <f t="shared" si="154"/>
        <v>1</v>
      </c>
      <c r="H563">
        <f t="shared" si="155"/>
        <v>1</v>
      </c>
      <c r="I563">
        <f t="shared" si="156"/>
        <v>1</v>
      </c>
      <c r="J563">
        <f t="shared" si="157"/>
        <v>1</v>
      </c>
      <c r="K563">
        <f t="shared" si="158"/>
        <v>1</v>
      </c>
      <c r="L563" t="str">
        <f>'Lab test'!AC552</f>
        <v>Tubes</v>
      </c>
      <c r="O563" t="e">
        <f t="shared" si="159"/>
        <v>#N/A</v>
      </c>
      <c r="P563" t="e">
        <f t="shared" si="160"/>
        <v>#N/A</v>
      </c>
      <c r="Q563" t="e">
        <f t="shared" si="161"/>
        <v>#N/A</v>
      </c>
      <c r="R563" t="e">
        <f t="shared" si="162"/>
        <v>#N/A</v>
      </c>
      <c r="S563">
        <f t="shared" si="163"/>
        <v>1.3280000000000001</v>
      </c>
      <c r="T563" t="e">
        <f t="shared" si="164"/>
        <v>#N/A</v>
      </c>
      <c r="U563" t="e">
        <f t="shared" si="165"/>
        <v>#N/A</v>
      </c>
      <c r="W563" t="e">
        <f t="shared" si="166"/>
        <v>#N/A</v>
      </c>
      <c r="X563" t="e">
        <f t="shared" si="167"/>
        <v>#N/A</v>
      </c>
      <c r="Y563" t="e">
        <f t="shared" si="168"/>
        <v>#N/A</v>
      </c>
      <c r="Z563" t="e">
        <f t="shared" si="169"/>
        <v>#N/A</v>
      </c>
      <c r="AA563">
        <f t="shared" si="170"/>
        <v>0.13880401464825026</v>
      </c>
      <c r="AB563" t="e">
        <f t="shared" si="171"/>
        <v>#N/A</v>
      </c>
      <c r="AC563" t="e">
        <f t="shared" si="172"/>
        <v>#N/A</v>
      </c>
    </row>
    <row r="564" spans="2:29">
      <c r="B564">
        <v>550</v>
      </c>
      <c r="C564">
        <f>'Lab test'!Q553</f>
        <v>17.649999999999999</v>
      </c>
      <c r="D564">
        <f>IF('Lab test'!AQ553&gt;0,'Lab test'!AQ553,NA())</f>
        <v>0.32329722449730114</v>
      </c>
      <c r="E564">
        <f>IF('Lab test'!AU553&gt;0,'Lab test'!AU553,NA())</f>
        <v>1.3280000000000001</v>
      </c>
      <c r="F564">
        <f>IF('Lab test'!AT553&gt;0,'Lab test'!AT553,NA())</f>
        <v>0.13880401464825026</v>
      </c>
      <c r="G564">
        <f t="shared" si="154"/>
        <v>1</v>
      </c>
      <c r="H564">
        <f t="shared" si="155"/>
        <v>1</v>
      </c>
      <c r="I564">
        <f t="shared" si="156"/>
        <v>1</v>
      </c>
      <c r="J564">
        <f t="shared" si="157"/>
        <v>1</v>
      </c>
      <c r="K564">
        <f t="shared" si="158"/>
        <v>1</v>
      </c>
      <c r="L564" t="str">
        <f>'Lab test'!AC553</f>
        <v>Tubes</v>
      </c>
      <c r="O564" t="e">
        <f t="shared" si="159"/>
        <v>#N/A</v>
      </c>
      <c r="P564" t="e">
        <f t="shared" si="160"/>
        <v>#N/A</v>
      </c>
      <c r="Q564" t="e">
        <f t="shared" si="161"/>
        <v>#N/A</v>
      </c>
      <c r="R564" t="e">
        <f t="shared" si="162"/>
        <v>#N/A</v>
      </c>
      <c r="S564">
        <f t="shared" si="163"/>
        <v>1.3280000000000001</v>
      </c>
      <c r="T564" t="e">
        <f t="shared" si="164"/>
        <v>#N/A</v>
      </c>
      <c r="U564" t="e">
        <f t="shared" si="165"/>
        <v>#N/A</v>
      </c>
      <c r="W564" t="e">
        <f t="shared" si="166"/>
        <v>#N/A</v>
      </c>
      <c r="X564" t="e">
        <f t="shared" si="167"/>
        <v>#N/A</v>
      </c>
      <c r="Y564" t="e">
        <f t="shared" si="168"/>
        <v>#N/A</v>
      </c>
      <c r="Z564" t="e">
        <f t="shared" si="169"/>
        <v>#N/A</v>
      </c>
      <c r="AA564">
        <f t="shared" si="170"/>
        <v>0.13880401464825026</v>
      </c>
      <c r="AB564" t="e">
        <f t="shared" si="171"/>
        <v>#N/A</v>
      </c>
      <c r="AC564" t="e">
        <f t="shared" si="172"/>
        <v>#N/A</v>
      </c>
    </row>
    <row r="565" spans="2:29">
      <c r="B565">
        <v>551</v>
      </c>
      <c r="C565">
        <f>'Lab test'!Q554</f>
        <v>22.95</v>
      </c>
      <c r="D565">
        <f>IF('Lab test'!AQ554&gt;0,'Lab test'!AQ554,NA())</f>
        <v>0.37636024351929254</v>
      </c>
      <c r="E565">
        <f>IF('Lab test'!AU554&gt;0,'Lab test'!AU554,NA())</f>
        <v>1.254</v>
      </c>
      <c r="F565">
        <f>IF('Lab test'!AT554&gt;0,'Lab test'!AT554,NA())</f>
        <v>0.17762537925898408</v>
      </c>
      <c r="G565">
        <f t="shared" si="154"/>
        <v>1</v>
      </c>
      <c r="H565">
        <f t="shared" si="155"/>
        <v>1</v>
      </c>
      <c r="I565">
        <f t="shared" si="156"/>
        <v>1</v>
      </c>
      <c r="J565">
        <f t="shared" si="157"/>
        <v>1</v>
      </c>
      <c r="K565">
        <f t="shared" si="158"/>
        <v>1</v>
      </c>
      <c r="L565" t="str">
        <f>'Lab test'!AC554</f>
        <v>Tubes</v>
      </c>
      <c r="O565" t="e">
        <f t="shared" si="159"/>
        <v>#N/A</v>
      </c>
      <c r="P565" t="e">
        <f t="shared" si="160"/>
        <v>#N/A</v>
      </c>
      <c r="Q565" t="e">
        <f t="shared" si="161"/>
        <v>#N/A</v>
      </c>
      <c r="R565" t="e">
        <f t="shared" si="162"/>
        <v>#N/A</v>
      </c>
      <c r="S565">
        <f t="shared" si="163"/>
        <v>1.254</v>
      </c>
      <c r="T565" t="e">
        <f t="shared" si="164"/>
        <v>#N/A</v>
      </c>
      <c r="U565" t="e">
        <f t="shared" si="165"/>
        <v>#N/A</v>
      </c>
      <c r="W565" t="e">
        <f t="shared" si="166"/>
        <v>#N/A</v>
      </c>
      <c r="X565" t="e">
        <f t="shared" si="167"/>
        <v>#N/A</v>
      </c>
      <c r="Y565" t="e">
        <f t="shared" si="168"/>
        <v>#N/A</v>
      </c>
      <c r="Z565" t="e">
        <f t="shared" si="169"/>
        <v>#N/A</v>
      </c>
      <c r="AA565">
        <f t="shared" si="170"/>
        <v>0.17762537925898408</v>
      </c>
      <c r="AB565" t="e">
        <f t="shared" si="171"/>
        <v>#N/A</v>
      </c>
      <c r="AC565" t="e">
        <f t="shared" si="172"/>
        <v>#N/A</v>
      </c>
    </row>
    <row r="566" spans="2:29">
      <c r="B566">
        <v>552</v>
      </c>
      <c r="C566">
        <f>'Lab test'!Q555</f>
        <v>22.95</v>
      </c>
      <c r="D566">
        <f>IF('Lab test'!AQ555&gt;0,'Lab test'!AQ555,NA())</f>
        <v>0.37916969104399589</v>
      </c>
      <c r="E566">
        <f>IF('Lab test'!AU555&gt;0,'Lab test'!AU555,NA())</f>
        <v>1.2330000000000001</v>
      </c>
      <c r="F566">
        <f>IF('Lab test'!AT555&gt;0,'Lab test'!AT555,NA())</f>
        <v>0.17726798412969036</v>
      </c>
      <c r="G566">
        <f t="shared" si="154"/>
        <v>1</v>
      </c>
      <c r="H566">
        <f t="shared" si="155"/>
        <v>1</v>
      </c>
      <c r="I566">
        <f t="shared" si="156"/>
        <v>1</v>
      </c>
      <c r="J566">
        <f t="shared" si="157"/>
        <v>1</v>
      </c>
      <c r="K566">
        <f t="shared" si="158"/>
        <v>1</v>
      </c>
      <c r="L566" t="str">
        <f>'Lab test'!AC555</f>
        <v>Tubes</v>
      </c>
      <c r="O566" t="e">
        <f t="shared" si="159"/>
        <v>#N/A</v>
      </c>
      <c r="P566" t="e">
        <f t="shared" si="160"/>
        <v>#N/A</v>
      </c>
      <c r="Q566" t="e">
        <f t="shared" si="161"/>
        <v>#N/A</v>
      </c>
      <c r="R566" t="e">
        <f t="shared" si="162"/>
        <v>#N/A</v>
      </c>
      <c r="S566">
        <f t="shared" si="163"/>
        <v>1.2330000000000001</v>
      </c>
      <c r="T566" t="e">
        <f t="shared" si="164"/>
        <v>#N/A</v>
      </c>
      <c r="U566" t="e">
        <f t="shared" si="165"/>
        <v>#N/A</v>
      </c>
      <c r="W566" t="e">
        <f t="shared" si="166"/>
        <v>#N/A</v>
      </c>
      <c r="X566" t="e">
        <f t="shared" si="167"/>
        <v>#N/A</v>
      </c>
      <c r="Y566" t="e">
        <f t="shared" si="168"/>
        <v>#N/A</v>
      </c>
      <c r="Z566" t="e">
        <f t="shared" si="169"/>
        <v>#N/A</v>
      </c>
      <c r="AA566">
        <f t="shared" si="170"/>
        <v>0.17726798412969036</v>
      </c>
      <c r="AB566" t="e">
        <f t="shared" si="171"/>
        <v>#N/A</v>
      </c>
      <c r="AC566" t="e">
        <f t="shared" si="172"/>
        <v>#N/A</v>
      </c>
    </row>
    <row r="567" spans="2:29">
      <c r="B567">
        <v>553</v>
      </c>
      <c r="C567">
        <f>'Lab test'!Q556</f>
        <v>23.65</v>
      </c>
      <c r="D567">
        <f>IF('Lab test'!AQ556&gt;0,'Lab test'!AQ556,NA())</f>
        <v>0.39088439044414336</v>
      </c>
      <c r="E567">
        <f>IF('Lab test'!AU556&gt;0,'Lab test'!AU556,NA())</f>
        <v>1.198</v>
      </c>
      <c r="F567">
        <f>IF('Lab test'!AT556&gt;0,'Lab test'!AT556,NA())</f>
        <v>0.18304314681808162</v>
      </c>
      <c r="G567">
        <f t="shared" si="154"/>
        <v>1</v>
      </c>
      <c r="H567">
        <f t="shared" si="155"/>
        <v>1</v>
      </c>
      <c r="I567">
        <f t="shared" si="156"/>
        <v>1</v>
      </c>
      <c r="J567">
        <f t="shared" si="157"/>
        <v>1</v>
      </c>
      <c r="K567">
        <f t="shared" si="158"/>
        <v>1</v>
      </c>
      <c r="L567" t="str">
        <f>'Lab test'!AC556</f>
        <v>Tubes</v>
      </c>
      <c r="O567" t="e">
        <f t="shared" si="159"/>
        <v>#N/A</v>
      </c>
      <c r="P567" t="e">
        <f t="shared" si="160"/>
        <v>#N/A</v>
      </c>
      <c r="Q567" t="e">
        <f t="shared" si="161"/>
        <v>#N/A</v>
      </c>
      <c r="R567" t="e">
        <f t="shared" si="162"/>
        <v>#N/A</v>
      </c>
      <c r="S567">
        <f t="shared" si="163"/>
        <v>1.198</v>
      </c>
      <c r="T567" t="e">
        <f t="shared" si="164"/>
        <v>#N/A</v>
      </c>
      <c r="U567" t="e">
        <f t="shared" si="165"/>
        <v>#N/A</v>
      </c>
      <c r="W567" t="e">
        <f t="shared" si="166"/>
        <v>#N/A</v>
      </c>
      <c r="X567" t="e">
        <f t="shared" si="167"/>
        <v>#N/A</v>
      </c>
      <c r="Y567" t="e">
        <f t="shared" si="168"/>
        <v>#N/A</v>
      </c>
      <c r="Z567" t="e">
        <f t="shared" si="169"/>
        <v>#N/A</v>
      </c>
      <c r="AA567">
        <f t="shared" si="170"/>
        <v>0.18304314681808162</v>
      </c>
      <c r="AB567" t="e">
        <f t="shared" si="171"/>
        <v>#N/A</v>
      </c>
      <c r="AC567" t="e">
        <f t="shared" si="172"/>
        <v>#N/A</v>
      </c>
    </row>
    <row r="568" spans="2:29">
      <c r="B568">
        <v>554</v>
      </c>
      <c r="C568">
        <f>'Lab test'!Q557</f>
        <v>23.7</v>
      </c>
      <c r="D568">
        <f>IF('Lab test'!AQ557&gt;0,'Lab test'!AQ557,NA())</f>
        <v>0.38997372249711054</v>
      </c>
      <c r="E568">
        <f>IF('Lab test'!AU557&gt;0,'Lab test'!AU557,NA())</f>
        <v>1.2110000000000001</v>
      </c>
      <c r="F568">
        <f>IF('Lab test'!AT557&gt;0,'Lab test'!AT557,NA())</f>
        <v>0.18416827963252486</v>
      </c>
      <c r="G568">
        <f t="shared" si="154"/>
        <v>1</v>
      </c>
      <c r="H568">
        <f t="shared" si="155"/>
        <v>1</v>
      </c>
      <c r="I568">
        <f t="shared" si="156"/>
        <v>1</v>
      </c>
      <c r="J568">
        <f t="shared" si="157"/>
        <v>1</v>
      </c>
      <c r="K568">
        <f t="shared" si="158"/>
        <v>1</v>
      </c>
      <c r="L568" t="str">
        <f>'Lab test'!AC557</f>
        <v>Tubes</v>
      </c>
      <c r="O568" t="e">
        <f t="shared" si="159"/>
        <v>#N/A</v>
      </c>
      <c r="P568" t="e">
        <f t="shared" si="160"/>
        <v>#N/A</v>
      </c>
      <c r="Q568" t="e">
        <f t="shared" si="161"/>
        <v>#N/A</v>
      </c>
      <c r="R568" t="e">
        <f t="shared" si="162"/>
        <v>#N/A</v>
      </c>
      <c r="S568">
        <f t="shared" si="163"/>
        <v>1.2110000000000001</v>
      </c>
      <c r="T568" t="e">
        <f t="shared" si="164"/>
        <v>#N/A</v>
      </c>
      <c r="U568" t="e">
        <f t="shared" si="165"/>
        <v>#N/A</v>
      </c>
      <c r="W568" t="e">
        <f t="shared" si="166"/>
        <v>#N/A</v>
      </c>
      <c r="X568" t="e">
        <f t="shared" si="167"/>
        <v>#N/A</v>
      </c>
      <c r="Y568" t="e">
        <f t="shared" si="168"/>
        <v>#N/A</v>
      </c>
      <c r="Z568" t="e">
        <f t="shared" si="169"/>
        <v>#N/A</v>
      </c>
      <c r="AA568">
        <f t="shared" si="170"/>
        <v>0.18416827963252486</v>
      </c>
      <c r="AB568" t="e">
        <f t="shared" si="171"/>
        <v>#N/A</v>
      </c>
      <c r="AC568" t="e">
        <f t="shared" si="172"/>
        <v>#N/A</v>
      </c>
    </row>
    <row r="569" spans="2:29">
      <c r="B569">
        <v>555</v>
      </c>
      <c r="C569">
        <f>'Lab test'!Q558</f>
        <v>27.9</v>
      </c>
      <c r="D569">
        <f>IF('Lab test'!AQ558&gt;0,'Lab test'!AQ558,NA())</f>
        <v>0.42425047498696711</v>
      </c>
      <c r="E569">
        <f>IF('Lab test'!AU558&gt;0,'Lab test'!AU558,NA())</f>
        <v>1.1779999999999999</v>
      </c>
      <c r="F569">
        <f>IF('Lab test'!AT558&gt;0,'Lab test'!AT558,NA())</f>
        <v>0.21202641239041395</v>
      </c>
      <c r="G569">
        <f t="shared" si="154"/>
        <v>1</v>
      </c>
      <c r="H569">
        <f t="shared" si="155"/>
        <v>1</v>
      </c>
      <c r="I569">
        <f t="shared" si="156"/>
        <v>1</v>
      </c>
      <c r="J569">
        <f t="shared" si="157"/>
        <v>1</v>
      </c>
      <c r="K569">
        <f t="shared" si="158"/>
        <v>1</v>
      </c>
      <c r="L569" t="str">
        <f>'Lab test'!AC558</f>
        <v>Tubes</v>
      </c>
      <c r="O569" t="e">
        <f t="shared" si="159"/>
        <v>#N/A</v>
      </c>
      <c r="P569" t="e">
        <f t="shared" si="160"/>
        <v>#N/A</v>
      </c>
      <c r="Q569" t="e">
        <f t="shared" si="161"/>
        <v>#N/A</v>
      </c>
      <c r="R569" t="e">
        <f t="shared" si="162"/>
        <v>#N/A</v>
      </c>
      <c r="S569">
        <f t="shared" si="163"/>
        <v>1.1779999999999999</v>
      </c>
      <c r="T569" t="e">
        <f t="shared" si="164"/>
        <v>#N/A</v>
      </c>
      <c r="U569" t="e">
        <f t="shared" si="165"/>
        <v>#N/A</v>
      </c>
      <c r="W569" t="e">
        <f t="shared" si="166"/>
        <v>#N/A</v>
      </c>
      <c r="X569" t="e">
        <f t="shared" si="167"/>
        <v>#N/A</v>
      </c>
      <c r="Y569" t="e">
        <f t="shared" si="168"/>
        <v>#N/A</v>
      </c>
      <c r="Z569" t="e">
        <f t="shared" si="169"/>
        <v>#N/A</v>
      </c>
      <c r="AA569">
        <f t="shared" si="170"/>
        <v>0.21202641239041395</v>
      </c>
      <c r="AB569" t="e">
        <f t="shared" si="171"/>
        <v>#N/A</v>
      </c>
      <c r="AC569" t="e">
        <f t="shared" si="172"/>
        <v>#N/A</v>
      </c>
    </row>
    <row r="570" spans="2:29">
      <c r="B570">
        <v>556</v>
      </c>
      <c r="C570">
        <f>'Lab test'!Q559</f>
        <v>27.95</v>
      </c>
      <c r="D570">
        <f>IF('Lab test'!AQ559&gt;0,'Lab test'!AQ559,NA())</f>
        <v>0.42342609902808787</v>
      </c>
      <c r="E570">
        <f>IF('Lab test'!AU559&gt;0,'Lab test'!AU559,NA())</f>
        <v>1.175</v>
      </c>
      <c r="F570">
        <f>IF('Lab test'!AT559&gt;0,'Lab test'!AT559,NA())</f>
        <v>0.21066535207231932</v>
      </c>
      <c r="G570">
        <f t="shared" si="154"/>
        <v>1</v>
      </c>
      <c r="H570">
        <f t="shared" si="155"/>
        <v>1</v>
      </c>
      <c r="I570">
        <f t="shared" si="156"/>
        <v>1</v>
      </c>
      <c r="J570">
        <f t="shared" si="157"/>
        <v>1</v>
      </c>
      <c r="K570">
        <f t="shared" si="158"/>
        <v>1</v>
      </c>
      <c r="L570" t="str">
        <f>'Lab test'!AC559</f>
        <v>Tubes</v>
      </c>
      <c r="O570" t="e">
        <f t="shared" si="159"/>
        <v>#N/A</v>
      </c>
      <c r="P570" t="e">
        <f t="shared" si="160"/>
        <v>#N/A</v>
      </c>
      <c r="Q570" t="e">
        <f t="shared" si="161"/>
        <v>#N/A</v>
      </c>
      <c r="R570" t="e">
        <f t="shared" si="162"/>
        <v>#N/A</v>
      </c>
      <c r="S570">
        <f t="shared" si="163"/>
        <v>1.175</v>
      </c>
      <c r="T570" t="e">
        <f t="shared" si="164"/>
        <v>#N/A</v>
      </c>
      <c r="U570" t="e">
        <f t="shared" si="165"/>
        <v>#N/A</v>
      </c>
      <c r="W570" t="e">
        <f t="shared" si="166"/>
        <v>#N/A</v>
      </c>
      <c r="X570" t="e">
        <f t="shared" si="167"/>
        <v>#N/A</v>
      </c>
      <c r="Y570" t="e">
        <f t="shared" si="168"/>
        <v>#N/A</v>
      </c>
      <c r="Z570" t="e">
        <f t="shared" si="169"/>
        <v>#N/A</v>
      </c>
      <c r="AA570">
        <f t="shared" si="170"/>
        <v>0.21066535207231932</v>
      </c>
      <c r="AB570" t="e">
        <f t="shared" si="171"/>
        <v>#N/A</v>
      </c>
      <c r="AC570" t="e">
        <f t="shared" si="172"/>
        <v>#N/A</v>
      </c>
    </row>
    <row r="571" spans="2:29">
      <c r="B571">
        <v>557</v>
      </c>
      <c r="C571">
        <f>'Lab test'!Q560</f>
        <v>30.7</v>
      </c>
      <c r="D571">
        <f>IF('Lab test'!AQ560&gt;0,'Lab test'!AQ560,NA())</f>
        <v>0.43079623415356721</v>
      </c>
      <c r="E571">
        <f>IF('Lab test'!AU560&gt;0,'Lab test'!AU560,NA())</f>
        <v>1.1850000000000001</v>
      </c>
      <c r="F571">
        <f>IF('Lab test'!AT560&gt;0,'Lab test'!AT560,NA())</f>
        <v>0.21991869350266069</v>
      </c>
      <c r="G571">
        <f t="shared" si="154"/>
        <v>1</v>
      </c>
      <c r="H571">
        <f t="shared" si="155"/>
        <v>1</v>
      </c>
      <c r="I571">
        <f t="shared" si="156"/>
        <v>1</v>
      </c>
      <c r="J571">
        <f t="shared" si="157"/>
        <v>1</v>
      </c>
      <c r="K571">
        <f t="shared" si="158"/>
        <v>1</v>
      </c>
      <c r="L571" t="str">
        <f>'Lab test'!AC560</f>
        <v>Tubes</v>
      </c>
      <c r="O571" t="e">
        <f t="shared" si="159"/>
        <v>#N/A</v>
      </c>
      <c r="P571" t="e">
        <f t="shared" si="160"/>
        <v>#N/A</v>
      </c>
      <c r="Q571" t="e">
        <f t="shared" si="161"/>
        <v>#N/A</v>
      </c>
      <c r="R571" t="e">
        <f t="shared" si="162"/>
        <v>#N/A</v>
      </c>
      <c r="S571">
        <f t="shared" si="163"/>
        <v>1.1850000000000001</v>
      </c>
      <c r="T571" t="e">
        <f t="shared" si="164"/>
        <v>#N/A</v>
      </c>
      <c r="U571" t="e">
        <f t="shared" si="165"/>
        <v>#N/A</v>
      </c>
      <c r="W571" t="e">
        <f t="shared" si="166"/>
        <v>#N/A</v>
      </c>
      <c r="X571" t="e">
        <f t="shared" si="167"/>
        <v>#N/A</v>
      </c>
      <c r="Y571" t="e">
        <f t="shared" si="168"/>
        <v>#N/A</v>
      </c>
      <c r="Z571" t="e">
        <f t="shared" si="169"/>
        <v>#N/A</v>
      </c>
      <c r="AA571">
        <f t="shared" si="170"/>
        <v>0.21991869350266069</v>
      </c>
      <c r="AB571" t="e">
        <f t="shared" si="171"/>
        <v>#N/A</v>
      </c>
      <c r="AC571" t="e">
        <f t="shared" si="172"/>
        <v>#N/A</v>
      </c>
    </row>
    <row r="572" spans="2:29">
      <c r="B572">
        <v>558</v>
      </c>
      <c r="C572">
        <f>'Lab test'!Q561</f>
        <v>30.75</v>
      </c>
      <c r="D572">
        <f>IF('Lab test'!AQ561&gt;0,'Lab test'!AQ561,NA())</f>
        <v>0.43027148458141312</v>
      </c>
      <c r="E572">
        <f>IF('Lab test'!AU561&gt;0,'Lab test'!AU561,NA())</f>
        <v>1.1950000000000001</v>
      </c>
      <c r="F572">
        <f>IF('Lab test'!AT561&gt;0,'Lab test'!AT561,NA())</f>
        <v>0.2212345927804524</v>
      </c>
      <c r="G572">
        <f t="shared" si="154"/>
        <v>1</v>
      </c>
      <c r="H572">
        <f t="shared" si="155"/>
        <v>1</v>
      </c>
      <c r="I572">
        <f t="shared" si="156"/>
        <v>1</v>
      </c>
      <c r="J572">
        <f t="shared" si="157"/>
        <v>1</v>
      </c>
      <c r="K572">
        <f t="shared" si="158"/>
        <v>1</v>
      </c>
      <c r="L572" t="str">
        <f>'Lab test'!AC561</f>
        <v>Tubes</v>
      </c>
      <c r="O572" t="e">
        <f t="shared" si="159"/>
        <v>#N/A</v>
      </c>
      <c r="P572" t="e">
        <f t="shared" si="160"/>
        <v>#N/A</v>
      </c>
      <c r="Q572" t="e">
        <f t="shared" si="161"/>
        <v>#N/A</v>
      </c>
      <c r="R572" t="e">
        <f t="shared" si="162"/>
        <v>#N/A</v>
      </c>
      <c r="S572">
        <f t="shared" si="163"/>
        <v>1.1950000000000001</v>
      </c>
      <c r="T572" t="e">
        <f t="shared" si="164"/>
        <v>#N/A</v>
      </c>
      <c r="U572" t="e">
        <f t="shared" si="165"/>
        <v>#N/A</v>
      </c>
      <c r="W572" t="e">
        <f t="shared" si="166"/>
        <v>#N/A</v>
      </c>
      <c r="X572" t="e">
        <f t="shared" si="167"/>
        <v>#N/A</v>
      </c>
      <c r="Y572" t="e">
        <f t="shared" si="168"/>
        <v>#N/A</v>
      </c>
      <c r="Z572" t="e">
        <f t="shared" si="169"/>
        <v>#N/A</v>
      </c>
      <c r="AA572">
        <f t="shared" si="170"/>
        <v>0.2212345927804524</v>
      </c>
      <c r="AB572" t="e">
        <f t="shared" si="171"/>
        <v>#N/A</v>
      </c>
      <c r="AC572" t="e">
        <f t="shared" si="172"/>
        <v>#N/A</v>
      </c>
    </row>
    <row r="573" spans="2:29">
      <c r="B573">
        <v>559</v>
      </c>
      <c r="C573">
        <f>'Lab test'!Q562</f>
        <v>30.75</v>
      </c>
      <c r="D573">
        <f>IF('Lab test'!AQ562&gt;0,'Lab test'!AQ562,NA())</f>
        <v>0.43114690269690109</v>
      </c>
      <c r="E573">
        <f>IF('Lab test'!AU562&gt;0,'Lab test'!AU562,NA())</f>
        <v>1.1850000000000001</v>
      </c>
      <c r="F573">
        <f>IF('Lab test'!AT562&gt;0,'Lab test'!AT562,NA())</f>
        <v>0.22027686727058032</v>
      </c>
      <c r="G573">
        <f t="shared" si="154"/>
        <v>1</v>
      </c>
      <c r="H573">
        <f t="shared" si="155"/>
        <v>1</v>
      </c>
      <c r="I573">
        <f t="shared" si="156"/>
        <v>1</v>
      </c>
      <c r="J573">
        <f t="shared" si="157"/>
        <v>1</v>
      </c>
      <c r="K573">
        <f t="shared" si="158"/>
        <v>1</v>
      </c>
      <c r="L573" t="str">
        <f>'Lab test'!AC562</f>
        <v>Tubes</v>
      </c>
      <c r="O573" t="e">
        <f t="shared" si="159"/>
        <v>#N/A</v>
      </c>
      <c r="P573" t="e">
        <f t="shared" si="160"/>
        <v>#N/A</v>
      </c>
      <c r="Q573" t="e">
        <f t="shared" si="161"/>
        <v>#N/A</v>
      </c>
      <c r="R573" t="e">
        <f t="shared" si="162"/>
        <v>#N/A</v>
      </c>
      <c r="S573">
        <f t="shared" si="163"/>
        <v>1.1850000000000001</v>
      </c>
      <c r="T573" t="e">
        <f t="shared" si="164"/>
        <v>#N/A</v>
      </c>
      <c r="U573" t="e">
        <f t="shared" si="165"/>
        <v>#N/A</v>
      </c>
      <c r="W573" t="e">
        <f t="shared" si="166"/>
        <v>#N/A</v>
      </c>
      <c r="X573" t="e">
        <f t="shared" si="167"/>
        <v>#N/A</v>
      </c>
      <c r="Y573" t="e">
        <f t="shared" si="168"/>
        <v>#N/A</v>
      </c>
      <c r="Z573" t="e">
        <f t="shared" si="169"/>
        <v>#N/A</v>
      </c>
      <c r="AA573">
        <f t="shared" si="170"/>
        <v>0.22027686727058032</v>
      </c>
      <c r="AB573" t="e">
        <f t="shared" si="171"/>
        <v>#N/A</v>
      </c>
      <c r="AC573" t="e">
        <f t="shared" si="172"/>
        <v>#N/A</v>
      </c>
    </row>
    <row r="574" spans="2:29">
      <c r="B574">
        <v>560</v>
      </c>
      <c r="C574">
        <f>'Lab test'!Q563</f>
        <v>31.1</v>
      </c>
      <c r="D574">
        <f>IF('Lab test'!AQ563&gt;0,'Lab test'!AQ563,NA())</f>
        <v>0.43741115462777957</v>
      </c>
      <c r="E574">
        <f>IF('Lab test'!AU563&gt;0,'Lab test'!AU563,NA())</f>
        <v>1.1719999999999999</v>
      </c>
      <c r="F574">
        <f>IF('Lab test'!AT563&gt;0,'Lab test'!AT563,NA())</f>
        <v>0.22423702332197012</v>
      </c>
      <c r="G574">
        <f t="shared" si="154"/>
        <v>1</v>
      </c>
      <c r="H574">
        <f t="shared" si="155"/>
        <v>1</v>
      </c>
      <c r="I574">
        <f t="shared" si="156"/>
        <v>1</v>
      </c>
      <c r="J574">
        <f t="shared" si="157"/>
        <v>1</v>
      </c>
      <c r="K574">
        <f t="shared" si="158"/>
        <v>1</v>
      </c>
      <c r="L574" t="str">
        <f>'Lab test'!AC563</f>
        <v>Tubes</v>
      </c>
      <c r="O574" t="e">
        <f t="shared" si="159"/>
        <v>#N/A</v>
      </c>
      <c r="P574" t="e">
        <f t="shared" si="160"/>
        <v>#N/A</v>
      </c>
      <c r="Q574" t="e">
        <f t="shared" si="161"/>
        <v>#N/A</v>
      </c>
      <c r="R574" t="e">
        <f t="shared" si="162"/>
        <v>#N/A</v>
      </c>
      <c r="S574">
        <f t="shared" si="163"/>
        <v>1.1719999999999999</v>
      </c>
      <c r="T574" t="e">
        <f t="shared" si="164"/>
        <v>#N/A</v>
      </c>
      <c r="U574" t="e">
        <f t="shared" si="165"/>
        <v>#N/A</v>
      </c>
      <c r="W574" t="e">
        <f t="shared" si="166"/>
        <v>#N/A</v>
      </c>
      <c r="X574" t="e">
        <f t="shared" si="167"/>
        <v>#N/A</v>
      </c>
      <c r="Y574" t="e">
        <f t="shared" si="168"/>
        <v>#N/A</v>
      </c>
      <c r="Z574" t="e">
        <f t="shared" si="169"/>
        <v>#N/A</v>
      </c>
      <c r="AA574">
        <f t="shared" si="170"/>
        <v>0.22423702332197012</v>
      </c>
      <c r="AB574" t="e">
        <f t="shared" si="171"/>
        <v>#N/A</v>
      </c>
      <c r="AC574" t="e">
        <f t="shared" si="172"/>
        <v>#N/A</v>
      </c>
    </row>
    <row r="575" spans="2:29">
      <c r="B575">
        <v>561</v>
      </c>
      <c r="C575">
        <f>'Lab test'!Q564</f>
        <v>31.85</v>
      </c>
      <c r="D575">
        <f>IF('Lab test'!AQ564&gt;0,'Lab test'!AQ564,NA())</f>
        <v>0.45313135590429676</v>
      </c>
      <c r="E575">
        <f>IF('Lab test'!AU564&gt;0,'Lab test'!AU564,NA())</f>
        <v>1.145</v>
      </c>
      <c r="F575">
        <f>IF('Lab test'!AT564&gt;0,'Lab test'!AT564,NA())</f>
        <v>0.23510058943069806</v>
      </c>
      <c r="G575">
        <f t="shared" si="154"/>
        <v>1</v>
      </c>
      <c r="H575">
        <f t="shared" si="155"/>
        <v>1</v>
      </c>
      <c r="I575">
        <f t="shared" si="156"/>
        <v>1</v>
      </c>
      <c r="J575">
        <f t="shared" si="157"/>
        <v>1</v>
      </c>
      <c r="K575">
        <f t="shared" si="158"/>
        <v>1</v>
      </c>
      <c r="L575" t="str">
        <f>'Lab test'!AC564</f>
        <v>Tubes</v>
      </c>
      <c r="O575" t="e">
        <f t="shared" si="159"/>
        <v>#N/A</v>
      </c>
      <c r="P575" t="e">
        <f t="shared" si="160"/>
        <v>#N/A</v>
      </c>
      <c r="Q575" t="e">
        <f t="shared" si="161"/>
        <v>#N/A</v>
      </c>
      <c r="R575" t="e">
        <f t="shared" si="162"/>
        <v>#N/A</v>
      </c>
      <c r="S575">
        <f t="shared" si="163"/>
        <v>1.145</v>
      </c>
      <c r="T575" t="e">
        <f t="shared" si="164"/>
        <v>#N/A</v>
      </c>
      <c r="U575" t="e">
        <f t="shared" si="165"/>
        <v>#N/A</v>
      </c>
      <c r="W575" t="e">
        <f t="shared" si="166"/>
        <v>#N/A</v>
      </c>
      <c r="X575" t="e">
        <f t="shared" si="167"/>
        <v>#N/A</v>
      </c>
      <c r="Y575" t="e">
        <f t="shared" si="168"/>
        <v>#N/A</v>
      </c>
      <c r="Z575" t="e">
        <f t="shared" si="169"/>
        <v>#N/A</v>
      </c>
      <c r="AA575">
        <f t="shared" si="170"/>
        <v>0.23510058943069806</v>
      </c>
      <c r="AB575" t="e">
        <f t="shared" si="171"/>
        <v>#N/A</v>
      </c>
      <c r="AC575" t="e">
        <f t="shared" si="172"/>
        <v>#N/A</v>
      </c>
    </row>
    <row r="576" spans="2:29">
      <c r="B576">
        <v>562</v>
      </c>
      <c r="C576">
        <f>'Lab test'!Q565</f>
        <v>31.85</v>
      </c>
      <c r="D576">
        <f>IF('Lab test'!AQ565&gt;0,'Lab test'!AQ565,NA())</f>
        <v>0.45200557864972907</v>
      </c>
      <c r="E576">
        <f>IF('Lab test'!AU565&gt;0,'Lab test'!AU565,NA())</f>
        <v>1.141</v>
      </c>
      <c r="F576">
        <f>IF('Lab test'!AT565&gt;0,'Lab test'!AT565,NA())</f>
        <v>0.2331166182118736</v>
      </c>
      <c r="G576">
        <f t="shared" si="154"/>
        <v>1</v>
      </c>
      <c r="H576">
        <f t="shared" si="155"/>
        <v>1</v>
      </c>
      <c r="I576">
        <f t="shared" si="156"/>
        <v>1</v>
      </c>
      <c r="J576">
        <f t="shared" si="157"/>
        <v>1</v>
      </c>
      <c r="K576">
        <f t="shared" si="158"/>
        <v>1</v>
      </c>
      <c r="L576" t="str">
        <f>'Lab test'!AC565</f>
        <v>Tubes</v>
      </c>
      <c r="O576" t="e">
        <f t="shared" si="159"/>
        <v>#N/A</v>
      </c>
      <c r="P576" t="e">
        <f t="shared" si="160"/>
        <v>#N/A</v>
      </c>
      <c r="Q576" t="e">
        <f t="shared" si="161"/>
        <v>#N/A</v>
      </c>
      <c r="R576" t="e">
        <f t="shared" si="162"/>
        <v>#N/A</v>
      </c>
      <c r="S576">
        <f t="shared" si="163"/>
        <v>1.141</v>
      </c>
      <c r="T576" t="e">
        <f t="shared" si="164"/>
        <v>#N/A</v>
      </c>
      <c r="U576" t="e">
        <f t="shared" si="165"/>
        <v>#N/A</v>
      </c>
      <c r="W576" t="e">
        <f t="shared" si="166"/>
        <v>#N/A</v>
      </c>
      <c r="X576" t="e">
        <f t="shared" si="167"/>
        <v>#N/A</v>
      </c>
      <c r="Y576" t="e">
        <f t="shared" si="168"/>
        <v>#N/A</v>
      </c>
      <c r="Z576" t="e">
        <f t="shared" si="169"/>
        <v>#N/A</v>
      </c>
      <c r="AA576">
        <f t="shared" si="170"/>
        <v>0.2331166182118736</v>
      </c>
      <c r="AB576" t="e">
        <f t="shared" si="171"/>
        <v>#N/A</v>
      </c>
      <c r="AC576" t="e">
        <f t="shared" si="172"/>
        <v>#N/A</v>
      </c>
    </row>
    <row r="577" spans="2:29">
      <c r="B577">
        <v>563</v>
      </c>
      <c r="C577">
        <f>'Lab test'!Q566</f>
        <v>39.049999999999997</v>
      </c>
      <c r="D577">
        <f>IF('Lab test'!AQ566&gt;0,'Lab test'!AQ566,NA())</f>
        <v>0.50540328080046559</v>
      </c>
      <c r="E577">
        <f>IF('Lab test'!AU566&gt;0,'Lab test'!AU566,NA())</f>
        <v>1.038</v>
      </c>
      <c r="F577">
        <f>IF('Lab test'!AT566&gt;0,'Lab test'!AT566,NA())</f>
        <v>0.26513891034114151</v>
      </c>
      <c r="G577">
        <f t="shared" si="154"/>
        <v>1</v>
      </c>
      <c r="H577">
        <f t="shared" si="155"/>
        <v>1</v>
      </c>
      <c r="I577">
        <f t="shared" si="156"/>
        <v>1</v>
      </c>
      <c r="J577">
        <f t="shared" si="157"/>
        <v>1</v>
      </c>
      <c r="K577">
        <f t="shared" si="158"/>
        <v>1</v>
      </c>
      <c r="L577" t="str">
        <f>'Lab test'!AC566</f>
        <v>Tubes</v>
      </c>
      <c r="O577" t="e">
        <f t="shared" si="159"/>
        <v>#N/A</v>
      </c>
      <c r="P577" t="e">
        <f t="shared" si="160"/>
        <v>#N/A</v>
      </c>
      <c r="Q577" t="e">
        <f t="shared" si="161"/>
        <v>#N/A</v>
      </c>
      <c r="R577" t="e">
        <f t="shared" si="162"/>
        <v>#N/A</v>
      </c>
      <c r="S577">
        <f t="shared" si="163"/>
        <v>1.038</v>
      </c>
      <c r="T577" t="e">
        <f t="shared" si="164"/>
        <v>#N/A</v>
      </c>
      <c r="U577" t="e">
        <f t="shared" si="165"/>
        <v>#N/A</v>
      </c>
      <c r="W577" t="e">
        <f t="shared" si="166"/>
        <v>#N/A</v>
      </c>
      <c r="X577" t="e">
        <f t="shared" si="167"/>
        <v>#N/A</v>
      </c>
      <c r="Y577" t="e">
        <f t="shared" si="168"/>
        <v>#N/A</v>
      </c>
      <c r="Z577" t="e">
        <f t="shared" si="169"/>
        <v>#N/A</v>
      </c>
      <c r="AA577">
        <f t="shared" si="170"/>
        <v>0.26513891034114151</v>
      </c>
      <c r="AB577" t="e">
        <f t="shared" si="171"/>
        <v>#N/A</v>
      </c>
      <c r="AC577" t="e">
        <f t="shared" si="172"/>
        <v>#N/A</v>
      </c>
    </row>
    <row r="578" spans="2:29">
      <c r="B578">
        <v>564</v>
      </c>
      <c r="C578">
        <f>'Lab test'!Q567</f>
        <v>39.200000000000003</v>
      </c>
      <c r="D578">
        <f>IF('Lab test'!AQ567&gt;0,'Lab test'!AQ567,NA())</f>
        <v>0.50745271177557061</v>
      </c>
      <c r="E578">
        <f>IF('Lab test'!AU567&gt;0,'Lab test'!AU567,NA())</f>
        <v>1.081</v>
      </c>
      <c r="F578">
        <f>IF('Lab test'!AT567&gt;0,'Lab test'!AT567,NA())</f>
        <v>0.2783664233181391</v>
      </c>
      <c r="G578">
        <f t="shared" si="154"/>
        <v>1</v>
      </c>
      <c r="H578">
        <f t="shared" si="155"/>
        <v>1</v>
      </c>
      <c r="I578">
        <f t="shared" si="156"/>
        <v>1</v>
      </c>
      <c r="J578">
        <f t="shared" si="157"/>
        <v>1</v>
      </c>
      <c r="K578">
        <f t="shared" si="158"/>
        <v>1</v>
      </c>
      <c r="L578" t="str">
        <f>'Lab test'!AC567</f>
        <v>Tubes</v>
      </c>
      <c r="O578" t="e">
        <f t="shared" si="159"/>
        <v>#N/A</v>
      </c>
      <c r="P578" t="e">
        <f t="shared" si="160"/>
        <v>#N/A</v>
      </c>
      <c r="Q578" t="e">
        <f t="shared" si="161"/>
        <v>#N/A</v>
      </c>
      <c r="R578" t="e">
        <f t="shared" si="162"/>
        <v>#N/A</v>
      </c>
      <c r="S578">
        <f t="shared" si="163"/>
        <v>1.081</v>
      </c>
      <c r="T578" t="e">
        <f t="shared" si="164"/>
        <v>#N/A</v>
      </c>
      <c r="U578" t="e">
        <f t="shared" si="165"/>
        <v>#N/A</v>
      </c>
      <c r="W578" t="e">
        <f t="shared" si="166"/>
        <v>#N/A</v>
      </c>
      <c r="X578" t="e">
        <f t="shared" si="167"/>
        <v>#N/A</v>
      </c>
      <c r="Y578" t="e">
        <f t="shared" si="168"/>
        <v>#N/A</v>
      </c>
      <c r="Z578" t="e">
        <f t="shared" si="169"/>
        <v>#N/A</v>
      </c>
      <c r="AA578">
        <f t="shared" si="170"/>
        <v>0.2783664233181391</v>
      </c>
      <c r="AB578" t="e">
        <f t="shared" si="171"/>
        <v>#N/A</v>
      </c>
      <c r="AC578" t="e">
        <f t="shared" si="172"/>
        <v>#N/A</v>
      </c>
    </row>
    <row r="579" spans="2:29">
      <c r="B579">
        <v>565</v>
      </c>
      <c r="C579">
        <f>'Lab test'!Q568</f>
        <v>39.6</v>
      </c>
      <c r="D579">
        <f>IF('Lab test'!AQ568&gt;0,'Lab test'!AQ568,NA())</f>
        <v>0.50134190520437827</v>
      </c>
      <c r="E579">
        <f>IF('Lab test'!AU568&gt;0,'Lab test'!AU568,NA())</f>
        <v>1.109</v>
      </c>
      <c r="F579">
        <f>IF('Lab test'!AT568&gt;0,'Lab test'!AT568,NA())</f>
        <v>0.27874016985857697</v>
      </c>
      <c r="G579">
        <f t="shared" si="154"/>
        <v>1</v>
      </c>
      <c r="H579">
        <f t="shared" si="155"/>
        <v>1</v>
      </c>
      <c r="I579">
        <f t="shared" si="156"/>
        <v>1</v>
      </c>
      <c r="J579">
        <f t="shared" si="157"/>
        <v>1</v>
      </c>
      <c r="K579">
        <f t="shared" si="158"/>
        <v>1</v>
      </c>
      <c r="L579" t="str">
        <f>'Lab test'!AC568</f>
        <v>Tubes</v>
      </c>
      <c r="O579" t="e">
        <f t="shared" si="159"/>
        <v>#N/A</v>
      </c>
      <c r="P579" t="e">
        <f t="shared" si="160"/>
        <v>#N/A</v>
      </c>
      <c r="Q579" t="e">
        <f t="shared" si="161"/>
        <v>#N/A</v>
      </c>
      <c r="R579" t="e">
        <f t="shared" si="162"/>
        <v>#N/A</v>
      </c>
      <c r="S579">
        <f t="shared" si="163"/>
        <v>1.109</v>
      </c>
      <c r="T579" t="e">
        <f t="shared" si="164"/>
        <v>#N/A</v>
      </c>
      <c r="U579" t="e">
        <f t="shared" si="165"/>
        <v>#N/A</v>
      </c>
      <c r="W579" t="e">
        <f t="shared" si="166"/>
        <v>#N/A</v>
      </c>
      <c r="X579" t="e">
        <f t="shared" si="167"/>
        <v>#N/A</v>
      </c>
      <c r="Y579" t="e">
        <f t="shared" si="168"/>
        <v>#N/A</v>
      </c>
      <c r="Z579" t="e">
        <f t="shared" si="169"/>
        <v>#N/A</v>
      </c>
      <c r="AA579">
        <f t="shared" si="170"/>
        <v>0.27874016985857697</v>
      </c>
      <c r="AB579" t="e">
        <f t="shared" si="171"/>
        <v>#N/A</v>
      </c>
      <c r="AC579" t="e">
        <f t="shared" si="172"/>
        <v>#N/A</v>
      </c>
    </row>
    <row r="580" spans="2:29">
      <c r="B580">
        <v>566</v>
      </c>
      <c r="C580">
        <f>'Lab test'!Q569</f>
        <v>48.95</v>
      </c>
      <c r="D580">
        <f>IF('Lab test'!AQ569&gt;0,'Lab test'!AQ569,NA())</f>
        <v>0.56685650811523136</v>
      </c>
      <c r="E580">
        <f>IF('Lab test'!AU569&gt;0,'Lab test'!AU569,NA())</f>
        <v>0.99399999999999999</v>
      </c>
      <c r="F580">
        <f>IF('Lab test'!AT569&gt;0,'Lab test'!AT569,NA())</f>
        <v>0.31939834298783781</v>
      </c>
      <c r="G580">
        <f t="shared" si="154"/>
        <v>1</v>
      </c>
      <c r="H580">
        <f t="shared" si="155"/>
        <v>1</v>
      </c>
      <c r="I580">
        <f t="shared" si="156"/>
        <v>1</v>
      </c>
      <c r="J580">
        <f t="shared" si="157"/>
        <v>1</v>
      </c>
      <c r="K580">
        <f t="shared" si="158"/>
        <v>1</v>
      </c>
      <c r="L580" t="str">
        <f>'Lab test'!AC569</f>
        <v>Tubes</v>
      </c>
      <c r="O580" t="e">
        <f t="shared" si="159"/>
        <v>#N/A</v>
      </c>
      <c r="P580" t="e">
        <f t="shared" si="160"/>
        <v>#N/A</v>
      </c>
      <c r="Q580" t="e">
        <f t="shared" si="161"/>
        <v>#N/A</v>
      </c>
      <c r="R580" t="e">
        <f t="shared" si="162"/>
        <v>#N/A</v>
      </c>
      <c r="S580">
        <f t="shared" si="163"/>
        <v>0.99399999999999999</v>
      </c>
      <c r="T580" t="e">
        <f t="shared" si="164"/>
        <v>#N/A</v>
      </c>
      <c r="U580" t="e">
        <f t="shared" si="165"/>
        <v>#N/A</v>
      </c>
      <c r="W580" t="e">
        <f t="shared" si="166"/>
        <v>#N/A</v>
      </c>
      <c r="X580" t="e">
        <f t="shared" si="167"/>
        <v>#N/A</v>
      </c>
      <c r="Y580" t="e">
        <f t="shared" si="168"/>
        <v>#N/A</v>
      </c>
      <c r="Z580" t="e">
        <f t="shared" si="169"/>
        <v>#N/A</v>
      </c>
      <c r="AA580">
        <f t="shared" si="170"/>
        <v>0.31939834298783781</v>
      </c>
      <c r="AB580" t="e">
        <f t="shared" si="171"/>
        <v>#N/A</v>
      </c>
      <c r="AC580" t="e">
        <f t="shared" si="172"/>
        <v>#N/A</v>
      </c>
    </row>
    <row r="581" spans="2:29">
      <c r="B581">
        <v>567</v>
      </c>
      <c r="C581">
        <f>'Lab test'!Q570</f>
        <v>49.2</v>
      </c>
      <c r="D581">
        <f>IF('Lab test'!AQ570&gt;0,'Lab test'!AQ570,NA())</f>
        <v>0.56733832443533361</v>
      </c>
      <c r="E581">
        <f>IF('Lab test'!AU570&gt;0,'Lab test'!AU570,NA())</f>
        <v>0.995</v>
      </c>
      <c r="F581">
        <f>IF('Lab test'!AT570&gt;0,'Lab test'!AT570,NA())</f>
        <v>0.32026341050122636</v>
      </c>
      <c r="G581">
        <f t="shared" si="154"/>
        <v>1</v>
      </c>
      <c r="H581">
        <f t="shared" si="155"/>
        <v>1</v>
      </c>
      <c r="I581">
        <f t="shared" si="156"/>
        <v>1</v>
      </c>
      <c r="J581">
        <f t="shared" si="157"/>
        <v>1</v>
      </c>
      <c r="K581">
        <f t="shared" si="158"/>
        <v>1</v>
      </c>
      <c r="L581" t="str">
        <f>'Lab test'!AC570</f>
        <v>Tubes</v>
      </c>
      <c r="O581" t="e">
        <f t="shared" si="159"/>
        <v>#N/A</v>
      </c>
      <c r="P581" t="e">
        <f t="shared" si="160"/>
        <v>#N/A</v>
      </c>
      <c r="Q581" t="e">
        <f t="shared" si="161"/>
        <v>#N/A</v>
      </c>
      <c r="R581" t="e">
        <f t="shared" si="162"/>
        <v>#N/A</v>
      </c>
      <c r="S581">
        <f t="shared" si="163"/>
        <v>0.995</v>
      </c>
      <c r="T581" t="e">
        <f t="shared" si="164"/>
        <v>#N/A</v>
      </c>
      <c r="U581" t="e">
        <f t="shared" si="165"/>
        <v>#N/A</v>
      </c>
      <c r="W581" t="e">
        <f t="shared" si="166"/>
        <v>#N/A</v>
      </c>
      <c r="X581" t="e">
        <f t="shared" si="167"/>
        <v>#N/A</v>
      </c>
      <c r="Y581" t="e">
        <f t="shared" si="168"/>
        <v>#N/A</v>
      </c>
      <c r="Z581" t="e">
        <f t="shared" si="169"/>
        <v>#N/A</v>
      </c>
      <c r="AA581">
        <f t="shared" si="170"/>
        <v>0.32026341050122636</v>
      </c>
      <c r="AB581" t="e">
        <f t="shared" si="171"/>
        <v>#N/A</v>
      </c>
      <c r="AC581" t="e">
        <f t="shared" si="172"/>
        <v>#N/A</v>
      </c>
    </row>
    <row r="582" spans="2:29">
      <c r="B582">
        <v>568</v>
      </c>
      <c r="C582">
        <f>'Lab test'!Q571</f>
        <v>214.3</v>
      </c>
      <c r="D582" t="e">
        <f>IF('Lab test'!AQ571&gt;0,'Lab test'!AQ571,NA())</f>
        <v>#N/A</v>
      </c>
      <c r="E582" t="e">
        <f>IF('Lab test'!AU571&gt;0,'Lab test'!AU571,NA())</f>
        <v>#N/A</v>
      </c>
      <c r="F582" t="e">
        <f>IF('Lab test'!AT571&gt;0,'Lab test'!AT571,NA())</f>
        <v>#N/A</v>
      </c>
      <c r="G582" t="e">
        <f t="shared" si="154"/>
        <v>#N/A</v>
      </c>
      <c r="H582" t="e">
        <f t="shared" si="155"/>
        <v>#N/A</v>
      </c>
      <c r="I582" t="e">
        <f t="shared" si="156"/>
        <v>#N/A</v>
      </c>
      <c r="J582" t="e">
        <f t="shared" si="157"/>
        <v>#N/A</v>
      </c>
      <c r="K582" t="e">
        <f t="shared" si="158"/>
        <v>#N/A</v>
      </c>
      <c r="L582" t="str">
        <f>'Lab test'!AC571</f>
        <v>LTWa</v>
      </c>
      <c r="O582" t="e">
        <f t="shared" si="159"/>
        <v>#N/A</v>
      </c>
      <c r="P582" t="e">
        <f t="shared" si="160"/>
        <v>#N/A</v>
      </c>
      <c r="Q582" t="e">
        <f t="shared" si="161"/>
        <v>#N/A</v>
      </c>
      <c r="R582" t="e">
        <f t="shared" si="162"/>
        <v>#N/A</v>
      </c>
      <c r="S582" t="e">
        <f t="shared" si="163"/>
        <v>#N/A</v>
      </c>
      <c r="T582" t="e">
        <f t="shared" si="164"/>
        <v>#N/A</v>
      </c>
      <c r="U582" t="e">
        <f t="shared" si="165"/>
        <v>#N/A</v>
      </c>
      <c r="W582" t="e">
        <f t="shared" si="166"/>
        <v>#N/A</v>
      </c>
      <c r="X582" t="e">
        <f t="shared" si="167"/>
        <v>#N/A</v>
      </c>
      <c r="Y582" t="e">
        <f t="shared" si="168"/>
        <v>#N/A</v>
      </c>
      <c r="Z582" t="e">
        <f t="shared" si="169"/>
        <v>#N/A</v>
      </c>
      <c r="AA582" t="e">
        <f t="shared" si="170"/>
        <v>#N/A</v>
      </c>
      <c r="AB582" t="e">
        <f t="shared" si="171"/>
        <v>#N/A</v>
      </c>
      <c r="AC582" t="e">
        <f t="shared" si="172"/>
        <v>#N/A</v>
      </c>
    </row>
    <row r="583" spans="2:29">
      <c r="B583">
        <v>569</v>
      </c>
      <c r="C583">
        <f>'Lab test'!Q572</f>
        <v>214.3</v>
      </c>
      <c r="D583" t="e">
        <f>IF('Lab test'!AQ572&gt;0,'Lab test'!AQ572,NA())</f>
        <v>#N/A</v>
      </c>
      <c r="E583" t="e">
        <f>IF('Lab test'!AU572&gt;0,'Lab test'!AU572,NA())</f>
        <v>#N/A</v>
      </c>
      <c r="F583" t="e">
        <f>IF('Lab test'!AT572&gt;0,'Lab test'!AT572,NA())</f>
        <v>#N/A</v>
      </c>
      <c r="G583" t="e">
        <f t="shared" si="154"/>
        <v>#N/A</v>
      </c>
      <c r="H583" t="e">
        <f t="shared" si="155"/>
        <v>#N/A</v>
      </c>
      <c r="I583" t="e">
        <f t="shared" si="156"/>
        <v>#N/A</v>
      </c>
      <c r="J583" t="e">
        <f t="shared" si="157"/>
        <v>#N/A</v>
      </c>
      <c r="K583" t="e">
        <f t="shared" si="158"/>
        <v>#N/A</v>
      </c>
      <c r="L583" t="str">
        <f>'Lab test'!AC572</f>
        <v>LTWa</v>
      </c>
      <c r="O583" t="e">
        <f t="shared" si="159"/>
        <v>#N/A</v>
      </c>
      <c r="P583" t="e">
        <f t="shared" si="160"/>
        <v>#N/A</v>
      </c>
      <c r="Q583" t="e">
        <f t="shared" si="161"/>
        <v>#N/A</v>
      </c>
      <c r="R583" t="e">
        <f t="shared" si="162"/>
        <v>#N/A</v>
      </c>
      <c r="S583" t="e">
        <f t="shared" si="163"/>
        <v>#N/A</v>
      </c>
      <c r="T583" t="e">
        <f t="shared" si="164"/>
        <v>#N/A</v>
      </c>
      <c r="U583" t="e">
        <f t="shared" si="165"/>
        <v>#N/A</v>
      </c>
      <c r="W583" t="e">
        <f t="shared" si="166"/>
        <v>#N/A</v>
      </c>
      <c r="X583" t="e">
        <f t="shared" si="167"/>
        <v>#N/A</v>
      </c>
      <c r="Y583" t="e">
        <f t="shared" si="168"/>
        <v>#N/A</v>
      </c>
      <c r="Z583" t="e">
        <f t="shared" si="169"/>
        <v>#N/A</v>
      </c>
      <c r="AA583" t="e">
        <f t="shared" si="170"/>
        <v>#N/A</v>
      </c>
      <c r="AB583" t="e">
        <f t="shared" si="171"/>
        <v>#N/A</v>
      </c>
      <c r="AC583" t="e">
        <f t="shared" si="172"/>
        <v>#N/A</v>
      </c>
    </row>
    <row r="584" spans="2:29">
      <c r="B584">
        <v>570</v>
      </c>
      <c r="C584">
        <f>'Lab test'!Q573</f>
        <v>214.3</v>
      </c>
      <c r="D584">
        <f>IF('Lab test'!AQ573&gt;0,'Lab test'!AQ573,NA())</f>
        <v>0.65703084006372336</v>
      </c>
      <c r="E584">
        <f>IF('Lab test'!AU573&gt;0,'Lab test'!AU573,NA())</f>
        <v>0.61087866108786615</v>
      </c>
      <c r="F584">
        <f>IF('Lab test'!AT573&gt;0,'Lab test'!AT573,NA())</f>
        <v>0.26370991891233025</v>
      </c>
      <c r="G584">
        <f t="shared" si="154"/>
        <v>1</v>
      </c>
      <c r="H584">
        <f t="shared" si="155"/>
        <v>1</v>
      </c>
      <c r="I584">
        <f t="shared" si="156"/>
        <v>1</v>
      </c>
      <c r="J584">
        <f t="shared" si="157"/>
        <v>1</v>
      </c>
      <c r="K584">
        <f t="shared" si="158"/>
        <v>1</v>
      </c>
      <c r="L584" t="str">
        <f>'Lab test'!AC573</f>
        <v>LTWa</v>
      </c>
      <c r="O584">
        <f t="shared" si="159"/>
        <v>0.61087866108786615</v>
      </c>
      <c r="P584" t="e">
        <f t="shared" si="160"/>
        <v>#N/A</v>
      </c>
      <c r="Q584" t="e">
        <f t="shared" si="161"/>
        <v>#N/A</v>
      </c>
      <c r="R584" t="e">
        <f t="shared" si="162"/>
        <v>#N/A</v>
      </c>
      <c r="S584" t="e">
        <f t="shared" si="163"/>
        <v>#N/A</v>
      </c>
      <c r="T584" t="e">
        <f t="shared" si="164"/>
        <v>#N/A</v>
      </c>
      <c r="U584" t="e">
        <f t="shared" si="165"/>
        <v>#N/A</v>
      </c>
      <c r="W584">
        <f t="shared" si="166"/>
        <v>0.26370991891233025</v>
      </c>
      <c r="X584" t="e">
        <f t="shared" si="167"/>
        <v>#N/A</v>
      </c>
      <c r="Y584" t="e">
        <f t="shared" si="168"/>
        <v>#N/A</v>
      </c>
      <c r="Z584" t="e">
        <f t="shared" si="169"/>
        <v>#N/A</v>
      </c>
      <c r="AA584" t="e">
        <f t="shared" si="170"/>
        <v>#N/A</v>
      </c>
      <c r="AB584" t="e">
        <f t="shared" si="171"/>
        <v>#N/A</v>
      </c>
      <c r="AC584" t="e">
        <f t="shared" si="172"/>
        <v>#N/A</v>
      </c>
    </row>
    <row r="585" spans="2:29">
      <c r="B585">
        <v>571</v>
      </c>
      <c r="C585">
        <f>'Lab test'!Q574</f>
        <v>215.6</v>
      </c>
      <c r="D585">
        <f>IF('Lab test'!AQ574&gt;0,'Lab test'!AQ574,NA())</f>
        <v>0.59472075764221999</v>
      </c>
      <c r="E585">
        <f>IF('Lab test'!AU574&gt;0,'Lab test'!AU574,NA())</f>
        <v>0.60591133004926112</v>
      </c>
      <c r="F585">
        <f>IF('Lab test'!AT574&gt;0,'Lab test'!AT574,NA())</f>
        <v>0.21430646249840371</v>
      </c>
      <c r="G585">
        <f t="shared" si="154"/>
        <v>1</v>
      </c>
      <c r="H585">
        <f t="shared" si="155"/>
        <v>1</v>
      </c>
      <c r="I585">
        <f t="shared" si="156"/>
        <v>1</v>
      </c>
      <c r="J585">
        <f t="shared" si="157"/>
        <v>1</v>
      </c>
      <c r="K585">
        <f t="shared" si="158"/>
        <v>1</v>
      </c>
      <c r="L585" t="str">
        <f>'Lab test'!AC574</f>
        <v>LTWa</v>
      </c>
      <c r="O585">
        <f t="shared" si="159"/>
        <v>0.60591133004926112</v>
      </c>
      <c r="P585" t="e">
        <f t="shared" si="160"/>
        <v>#N/A</v>
      </c>
      <c r="Q585" t="e">
        <f t="shared" si="161"/>
        <v>#N/A</v>
      </c>
      <c r="R585" t="e">
        <f t="shared" si="162"/>
        <v>#N/A</v>
      </c>
      <c r="S585" t="e">
        <f t="shared" si="163"/>
        <v>#N/A</v>
      </c>
      <c r="T585" t="e">
        <f t="shared" si="164"/>
        <v>#N/A</v>
      </c>
      <c r="U585" t="e">
        <f t="shared" si="165"/>
        <v>#N/A</v>
      </c>
      <c r="W585">
        <f t="shared" si="166"/>
        <v>0.21430646249840371</v>
      </c>
      <c r="X585" t="e">
        <f t="shared" si="167"/>
        <v>#N/A</v>
      </c>
      <c r="Y585" t="e">
        <f t="shared" si="168"/>
        <v>#N/A</v>
      </c>
      <c r="Z585" t="e">
        <f t="shared" si="169"/>
        <v>#N/A</v>
      </c>
      <c r="AA585" t="e">
        <f t="shared" si="170"/>
        <v>#N/A</v>
      </c>
      <c r="AB585" t="e">
        <f t="shared" si="171"/>
        <v>#N/A</v>
      </c>
      <c r="AC585" t="e">
        <f t="shared" si="172"/>
        <v>#N/A</v>
      </c>
    </row>
    <row r="586" spans="2:29">
      <c r="B586">
        <v>572</v>
      </c>
      <c r="C586">
        <f>'Lab test'!Q575</f>
        <v>215.6</v>
      </c>
      <c r="D586">
        <f>IF('Lab test'!AQ575&gt;0,'Lab test'!AQ575,NA())</f>
        <v>0.59472075764221999</v>
      </c>
      <c r="E586">
        <f>IF('Lab test'!AU575&gt;0,'Lab test'!AU575,NA())</f>
        <v>0.5714285714285714</v>
      </c>
      <c r="F586">
        <f>IF('Lab test'!AT575&gt;0,'Lab test'!AT575,NA())</f>
        <v>0.20211015975459209</v>
      </c>
      <c r="G586">
        <f t="shared" si="154"/>
        <v>1</v>
      </c>
      <c r="H586">
        <f t="shared" si="155"/>
        <v>1</v>
      </c>
      <c r="I586">
        <f t="shared" si="156"/>
        <v>1</v>
      </c>
      <c r="J586">
        <f t="shared" si="157"/>
        <v>1</v>
      </c>
      <c r="K586">
        <f t="shared" si="158"/>
        <v>1</v>
      </c>
      <c r="L586" t="str">
        <f>'Lab test'!AC575</f>
        <v>LTWa</v>
      </c>
      <c r="O586">
        <f t="shared" si="159"/>
        <v>0.5714285714285714</v>
      </c>
      <c r="P586" t="e">
        <f t="shared" si="160"/>
        <v>#N/A</v>
      </c>
      <c r="Q586" t="e">
        <f t="shared" si="161"/>
        <v>#N/A</v>
      </c>
      <c r="R586" t="e">
        <f t="shared" si="162"/>
        <v>#N/A</v>
      </c>
      <c r="S586" t="e">
        <f t="shared" si="163"/>
        <v>#N/A</v>
      </c>
      <c r="T586" t="e">
        <f t="shared" si="164"/>
        <v>#N/A</v>
      </c>
      <c r="U586" t="e">
        <f t="shared" si="165"/>
        <v>#N/A</v>
      </c>
      <c r="W586">
        <f t="shared" si="166"/>
        <v>0.20211015975459209</v>
      </c>
      <c r="X586" t="e">
        <f t="shared" si="167"/>
        <v>#N/A</v>
      </c>
      <c r="Y586" t="e">
        <f t="shared" si="168"/>
        <v>#N/A</v>
      </c>
      <c r="Z586" t="e">
        <f t="shared" si="169"/>
        <v>#N/A</v>
      </c>
      <c r="AA586" t="e">
        <f t="shared" si="170"/>
        <v>#N/A</v>
      </c>
      <c r="AB586" t="e">
        <f t="shared" si="171"/>
        <v>#N/A</v>
      </c>
      <c r="AC586" t="e">
        <f t="shared" si="172"/>
        <v>#N/A</v>
      </c>
    </row>
    <row r="587" spans="2:29">
      <c r="B587">
        <v>573</v>
      </c>
      <c r="C587">
        <f>'Lab test'!Q576</f>
        <v>149</v>
      </c>
      <c r="D587">
        <f>IF('Lab test'!AQ576&gt;0,'Lab test'!AQ576,NA())</f>
        <v>0.67700045695184841</v>
      </c>
      <c r="E587">
        <f>IF('Lab test'!AU576&gt;0,'Lab test'!AU576,NA())</f>
        <v>0.60904255319148937</v>
      </c>
      <c r="F587">
        <f>IF('Lab test'!AT576&gt;0,'Lab test'!AT576,NA())</f>
        <v>0.2791422411842544</v>
      </c>
      <c r="G587">
        <f t="shared" si="154"/>
        <v>1</v>
      </c>
      <c r="H587">
        <f t="shared" si="155"/>
        <v>1</v>
      </c>
      <c r="I587">
        <f t="shared" si="156"/>
        <v>1</v>
      </c>
      <c r="J587">
        <f t="shared" si="157"/>
        <v>1</v>
      </c>
      <c r="K587">
        <f t="shared" si="158"/>
        <v>1</v>
      </c>
      <c r="L587" t="str">
        <f>'Lab test'!AC576</f>
        <v>LTWa</v>
      </c>
      <c r="O587">
        <f t="shared" si="159"/>
        <v>0.60904255319148937</v>
      </c>
      <c r="P587" t="e">
        <f t="shared" si="160"/>
        <v>#N/A</v>
      </c>
      <c r="Q587" t="e">
        <f t="shared" si="161"/>
        <v>#N/A</v>
      </c>
      <c r="R587" t="e">
        <f t="shared" si="162"/>
        <v>#N/A</v>
      </c>
      <c r="S587" t="e">
        <f t="shared" si="163"/>
        <v>#N/A</v>
      </c>
      <c r="T587" t="e">
        <f t="shared" si="164"/>
        <v>#N/A</v>
      </c>
      <c r="U587" t="e">
        <f t="shared" si="165"/>
        <v>#N/A</v>
      </c>
      <c r="W587">
        <f t="shared" si="166"/>
        <v>0.2791422411842544</v>
      </c>
      <c r="X587" t="e">
        <f t="shared" si="167"/>
        <v>#N/A</v>
      </c>
      <c r="Y587" t="e">
        <f t="shared" si="168"/>
        <v>#N/A</v>
      </c>
      <c r="Z587" t="e">
        <f t="shared" si="169"/>
        <v>#N/A</v>
      </c>
      <c r="AA587" t="e">
        <f t="shared" si="170"/>
        <v>#N/A</v>
      </c>
      <c r="AB587" t="e">
        <f t="shared" si="171"/>
        <v>#N/A</v>
      </c>
      <c r="AC587" t="e">
        <f t="shared" si="172"/>
        <v>#N/A</v>
      </c>
    </row>
    <row r="588" spans="2:29">
      <c r="B588">
        <v>574</v>
      </c>
      <c r="C588">
        <f>'Lab test'!Q577</f>
        <v>222.2</v>
      </c>
      <c r="D588">
        <f>IF('Lab test'!AQ577&gt;0,'Lab test'!AQ577,NA())</f>
        <v>0.74187580759138161</v>
      </c>
      <c r="E588">
        <f>IF('Lab test'!AU577&gt;0,'Lab test'!AU577,NA())</f>
        <v>0.57843137254901966</v>
      </c>
      <c r="F588">
        <f>IF('Lab test'!AT577&gt;0,'Lab test'!AT577,NA())</f>
        <v>0.31835689332816192</v>
      </c>
      <c r="G588">
        <f t="shared" si="154"/>
        <v>1</v>
      </c>
      <c r="H588">
        <f t="shared" si="155"/>
        <v>1</v>
      </c>
      <c r="I588">
        <f t="shared" si="156"/>
        <v>1</v>
      </c>
      <c r="J588">
        <f t="shared" si="157"/>
        <v>1</v>
      </c>
      <c r="K588">
        <f t="shared" si="158"/>
        <v>1</v>
      </c>
      <c r="L588" t="str">
        <f>'Lab test'!AC577</f>
        <v>LTWa</v>
      </c>
      <c r="O588">
        <f t="shared" si="159"/>
        <v>0.57843137254901966</v>
      </c>
      <c r="P588" t="e">
        <f t="shared" si="160"/>
        <v>#N/A</v>
      </c>
      <c r="Q588" t="e">
        <f t="shared" si="161"/>
        <v>#N/A</v>
      </c>
      <c r="R588" t="e">
        <f t="shared" si="162"/>
        <v>#N/A</v>
      </c>
      <c r="S588" t="e">
        <f t="shared" si="163"/>
        <v>#N/A</v>
      </c>
      <c r="T588" t="e">
        <f t="shared" si="164"/>
        <v>#N/A</v>
      </c>
      <c r="U588" t="e">
        <f t="shared" si="165"/>
        <v>#N/A</v>
      </c>
      <c r="W588">
        <f t="shared" si="166"/>
        <v>0.31835689332816192</v>
      </c>
      <c r="X588" t="e">
        <f t="shared" si="167"/>
        <v>#N/A</v>
      </c>
      <c r="Y588" t="e">
        <f t="shared" si="168"/>
        <v>#N/A</v>
      </c>
      <c r="Z588" t="e">
        <f t="shared" si="169"/>
        <v>#N/A</v>
      </c>
      <c r="AA588" t="e">
        <f t="shared" si="170"/>
        <v>#N/A</v>
      </c>
      <c r="AB588" t="e">
        <f t="shared" si="171"/>
        <v>#N/A</v>
      </c>
      <c r="AC588" t="e">
        <f t="shared" si="172"/>
        <v>#N/A</v>
      </c>
    </row>
    <row r="589" spans="2:29">
      <c r="B589">
        <v>575</v>
      </c>
      <c r="C589">
        <f>'Lab test'!Q578</f>
        <v>363.24999999999994</v>
      </c>
      <c r="D589" t="e">
        <f>IF('Lab test'!AQ578&gt;0,'Lab test'!AQ578,NA())</f>
        <v>#N/A</v>
      </c>
      <c r="E589" t="e">
        <f>IF('Lab test'!AU578&gt;0,'Lab test'!AU578,NA())</f>
        <v>#N/A</v>
      </c>
      <c r="F589">
        <f>IF('Lab test'!AT578&gt;0,'Lab test'!AT578,NA())</f>
        <v>0.68161893022015496</v>
      </c>
      <c r="G589" t="e">
        <f t="shared" si="154"/>
        <v>#N/A</v>
      </c>
      <c r="H589" t="e">
        <f t="shared" si="155"/>
        <v>#N/A</v>
      </c>
      <c r="I589" t="e">
        <f t="shared" si="156"/>
        <v>#N/A</v>
      </c>
      <c r="J589">
        <f t="shared" si="157"/>
        <v>1</v>
      </c>
      <c r="K589">
        <f t="shared" si="158"/>
        <v>1</v>
      </c>
      <c r="L589" t="str">
        <f>'Lab test'!AC578</f>
        <v>Electroforming</v>
      </c>
      <c r="O589" t="e">
        <f t="shared" si="159"/>
        <v>#N/A</v>
      </c>
      <c r="P589" t="e">
        <f t="shared" si="160"/>
        <v>#N/A</v>
      </c>
      <c r="Q589" t="e">
        <f t="shared" si="161"/>
        <v>#N/A</v>
      </c>
      <c r="R589" t="e">
        <f t="shared" si="162"/>
        <v>#N/A</v>
      </c>
      <c r="S589" t="e">
        <f t="shared" si="163"/>
        <v>#N/A</v>
      </c>
      <c r="T589" t="e">
        <f t="shared" si="164"/>
        <v>#N/A</v>
      </c>
      <c r="U589" t="e">
        <f t="shared" si="165"/>
        <v>#N/A</v>
      </c>
      <c r="W589" t="e">
        <f t="shared" si="166"/>
        <v>#N/A</v>
      </c>
      <c r="X589" t="e">
        <f t="shared" si="167"/>
        <v>#N/A</v>
      </c>
      <c r="Y589">
        <f t="shared" si="168"/>
        <v>0.68161893022015496</v>
      </c>
      <c r="Z589" t="e">
        <f t="shared" si="169"/>
        <v>#N/A</v>
      </c>
      <c r="AA589" t="e">
        <f t="shared" si="170"/>
        <v>#N/A</v>
      </c>
      <c r="AB589" t="e">
        <f t="shared" si="171"/>
        <v>#N/A</v>
      </c>
      <c r="AC589" t="e">
        <f t="shared" si="172"/>
        <v>#N/A</v>
      </c>
    </row>
    <row r="590" spans="2:29">
      <c r="B590">
        <v>576</v>
      </c>
      <c r="C590">
        <f>'Lab test'!Q579</f>
        <v>363.24999999999994</v>
      </c>
      <c r="D590" t="e">
        <f>IF('Lab test'!AQ579&gt;0,'Lab test'!AQ579,NA())</f>
        <v>#N/A</v>
      </c>
      <c r="E590" t="e">
        <f>IF('Lab test'!AU579&gt;0,'Lab test'!AU579,NA())</f>
        <v>#N/A</v>
      </c>
      <c r="F590">
        <f>IF('Lab test'!AT579&gt;0,'Lab test'!AT579,NA())</f>
        <v>0.83917908494441196</v>
      </c>
      <c r="G590" t="e">
        <f t="shared" si="154"/>
        <v>#N/A</v>
      </c>
      <c r="H590" t="e">
        <f t="shared" si="155"/>
        <v>#N/A</v>
      </c>
      <c r="I590" t="e">
        <f t="shared" si="156"/>
        <v>#N/A</v>
      </c>
      <c r="J590">
        <f t="shared" si="157"/>
        <v>1</v>
      </c>
      <c r="K590">
        <f t="shared" si="158"/>
        <v>1</v>
      </c>
      <c r="L590" t="str">
        <f>'Lab test'!AC579</f>
        <v>Electroforming</v>
      </c>
      <c r="O590" t="e">
        <f t="shared" si="159"/>
        <v>#N/A</v>
      </c>
      <c r="P590" t="e">
        <f t="shared" si="160"/>
        <v>#N/A</v>
      </c>
      <c r="Q590" t="e">
        <f t="shared" si="161"/>
        <v>#N/A</v>
      </c>
      <c r="R590" t="e">
        <f t="shared" si="162"/>
        <v>#N/A</v>
      </c>
      <c r="S590" t="e">
        <f t="shared" si="163"/>
        <v>#N/A</v>
      </c>
      <c r="T590" t="e">
        <f t="shared" si="164"/>
        <v>#N/A</v>
      </c>
      <c r="U590" t="e">
        <f t="shared" si="165"/>
        <v>#N/A</v>
      </c>
      <c r="W590" t="e">
        <f t="shared" si="166"/>
        <v>#N/A</v>
      </c>
      <c r="X590" t="e">
        <f t="shared" si="167"/>
        <v>#N/A</v>
      </c>
      <c r="Y590">
        <f t="shared" si="168"/>
        <v>0.83917908494441196</v>
      </c>
      <c r="Z590" t="e">
        <f t="shared" si="169"/>
        <v>#N/A</v>
      </c>
      <c r="AA590" t="e">
        <f t="shared" si="170"/>
        <v>#N/A</v>
      </c>
      <c r="AB590" t="e">
        <f t="shared" si="171"/>
        <v>#N/A</v>
      </c>
      <c r="AC590" t="e">
        <f t="shared" si="172"/>
        <v>#N/A</v>
      </c>
    </row>
    <row r="591" spans="2:29">
      <c r="B591">
        <v>577</v>
      </c>
      <c r="C591">
        <f>'Lab test'!Q580</f>
        <v>363.24999999999994</v>
      </c>
      <c r="D591" t="e">
        <f>IF('Lab test'!AQ580&gt;0,'Lab test'!AQ580,NA())</f>
        <v>#N/A</v>
      </c>
      <c r="E591" t="e">
        <f>IF('Lab test'!AU580&gt;0,'Lab test'!AU580,NA())</f>
        <v>#N/A</v>
      </c>
      <c r="F591">
        <f>IF('Lab test'!AT580&gt;0,'Lab test'!AT580,NA())</f>
        <v>0.81040723060346065</v>
      </c>
      <c r="G591" t="e">
        <f t="shared" si="154"/>
        <v>#N/A</v>
      </c>
      <c r="H591" t="e">
        <f t="shared" si="155"/>
        <v>#N/A</v>
      </c>
      <c r="I591" t="e">
        <f t="shared" si="156"/>
        <v>#N/A</v>
      </c>
      <c r="J591">
        <f t="shared" si="157"/>
        <v>1</v>
      </c>
      <c r="K591">
        <f t="shared" si="158"/>
        <v>1</v>
      </c>
      <c r="L591" t="str">
        <f>'Lab test'!AC580</f>
        <v>Electroforming</v>
      </c>
      <c r="O591" t="e">
        <f t="shared" si="159"/>
        <v>#N/A</v>
      </c>
      <c r="P591" t="e">
        <f t="shared" si="160"/>
        <v>#N/A</v>
      </c>
      <c r="Q591" t="e">
        <f t="shared" si="161"/>
        <v>#N/A</v>
      </c>
      <c r="R591" t="e">
        <f t="shared" si="162"/>
        <v>#N/A</v>
      </c>
      <c r="S591" t="e">
        <f t="shared" si="163"/>
        <v>#N/A</v>
      </c>
      <c r="T591" t="e">
        <f t="shared" si="164"/>
        <v>#N/A</v>
      </c>
      <c r="U591" t="e">
        <f t="shared" si="165"/>
        <v>#N/A</v>
      </c>
      <c r="W591" t="e">
        <f t="shared" si="166"/>
        <v>#N/A</v>
      </c>
      <c r="X591" t="e">
        <f t="shared" si="167"/>
        <v>#N/A</v>
      </c>
      <c r="Y591">
        <f t="shared" si="168"/>
        <v>0.81040723060346065</v>
      </c>
      <c r="Z591" t="e">
        <f t="shared" si="169"/>
        <v>#N/A</v>
      </c>
      <c r="AA591" t="e">
        <f t="shared" si="170"/>
        <v>#N/A</v>
      </c>
      <c r="AB591" t="e">
        <f t="shared" si="171"/>
        <v>#N/A</v>
      </c>
      <c r="AC591" t="e">
        <f t="shared" si="172"/>
        <v>#N/A</v>
      </c>
    </row>
    <row r="592" spans="2:29">
      <c r="B592">
        <v>578</v>
      </c>
      <c r="C592">
        <f>'Lab test'!Q581</f>
        <v>760</v>
      </c>
      <c r="D592" t="e">
        <f>IF('Lab test'!AQ581&gt;0,'Lab test'!AQ581,NA())</f>
        <v>#N/A</v>
      </c>
      <c r="E592" t="e">
        <f>IF('Lab test'!AU581&gt;0,'Lab test'!AU581,NA())</f>
        <v>#N/A</v>
      </c>
      <c r="F592">
        <f>IF('Lab test'!AT581&gt;0,'Lab test'!AT581,NA())</f>
        <v>0.61799999999999999</v>
      </c>
      <c r="G592" t="e">
        <f t="shared" ref="G592:G655" si="173">IF(AND(ISNUMBER(D592),ISNUMBER(E592)),1,NA())</f>
        <v>#N/A</v>
      </c>
      <c r="H592" t="e">
        <f t="shared" ref="H592:H655" si="174">IF(AND(ISNUMBER(D592),ISNUMBER(F592)),1,NA())</f>
        <v>#N/A</v>
      </c>
      <c r="I592" t="e">
        <f t="shared" ref="I592:I655" si="175">IF(AND(ISNUMBER(C592),ISNUMBER(E592)),1,NA())</f>
        <v>#N/A</v>
      </c>
      <c r="J592">
        <f t="shared" ref="J592:J655" si="176">IF(AND(ISNUMBER(C592),ISNUMBER(F592)),1,NA())</f>
        <v>1</v>
      </c>
      <c r="K592">
        <f t="shared" ref="K592:K655" si="177">IF(OR(ISNUMBER(E592),ISNUMBER(F592)),1,NA())</f>
        <v>1</v>
      </c>
      <c r="L592" t="str">
        <f>'Lab test'!AC581</f>
        <v>Electroforming</v>
      </c>
      <c r="O592" t="e">
        <f t="shared" ref="O592:O655" si="178">IF(EXACT($O$14,L592),E592,NA())</f>
        <v>#N/A</v>
      </c>
      <c r="P592" t="e">
        <f t="shared" ref="P592:P655" si="179">IF(EXACT($P$14,L592),E592,NA())</f>
        <v>#N/A</v>
      </c>
      <c r="Q592" t="e">
        <f t="shared" ref="Q592:Q655" si="180">IF(EXACT($Q$14,L592),E592,NA())</f>
        <v>#N/A</v>
      </c>
      <c r="R592" t="e">
        <f t="shared" ref="R592:R655" si="181">IF(EXACT($R$14,L592),E592,NA())</f>
        <v>#N/A</v>
      </c>
      <c r="S592" t="e">
        <f t="shared" ref="S592:S655" si="182">IF(EXACT($S$14,L592),E592,NA())</f>
        <v>#N/A</v>
      </c>
      <c r="T592" t="e">
        <f t="shared" ref="T592:T655" si="183">IF(EXACT($T$14,L592),E592,NA())</f>
        <v>#N/A</v>
      </c>
      <c r="U592" t="e">
        <f t="shared" ref="U592:U655" si="184">IF(EXACT($U$14,L592),E592,NA())</f>
        <v>#N/A</v>
      </c>
      <c r="W592" t="e">
        <f t="shared" ref="W592:W655" si="185">IF(EXACT($W$14,L592),F592,NA())</f>
        <v>#N/A</v>
      </c>
      <c r="X592" t="e">
        <f t="shared" ref="X592:X655" si="186">IF(EXACT($X$14,L592),F592,NA())</f>
        <v>#N/A</v>
      </c>
      <c r="Y592">
        <f t="shared" ref="Y592:Y655" si="187">IF(EXACT($Y$14,L592),F592,NA())</f>
        <v>0.61799999999999999</v>
      </c>
      <c r="Z592" t="e">
        <f t="shared" ref="Z592:Z655" si="188">IF(EXACT($Z$14,L592),F592,NA())</f>
        <v>#N/A</v>
      </c>
      <c r="AA592" t="e">
        <f t="shared" ref="AA592:AA655" si="189">IF(EXACT($AA$14,L592),F592,NA())</f>
        <v>#N/A</v>
      </c>
      <c r="AB592" t="e">
        <f t="shared" ref="AB592:AB655" si="190">IF(EXACT($AB$14,L592),F592,NA())</f>
        <v>#N/A</v>
      </c>
      <c r="AC592" t="e">
        <f t="shared" ref="AC592:AC655" si="191">IF(EXACT($AC$14,L592),F592,NA())</f>
        <v>#N/A</v>
      </c>
    </row>
    <row r="593" spans="2:29">
      <c r="B593">
        <v>579</v>
      </c>
      <c r="C593">
        <f>'Lab test'!Q582</f>
        <v>910</v>
      </c>
      <c r="D593" t="e">
        <f>IF('Lab test'!AQ582&gt;0,'Lab test'!AQ582,NA())</f>
        <v>#N/A</v>
      </c>
      <c r="E593" t="e">
        <f>IF('Lab test'!AU582&gt;0,'Lab test'!AU582,NA())</f>
        <v>#N/A</v>
      </c>
      <c r="F593">
        <f>IF('Lab test'!AT582&gt;0,'Lab test'!AT582,NA())</f>
        <v>0.65600000000000003</v>
      </c>
      <c r="G593" t="e">
        <f t="shared" si="173"/>
        <v>#N/A</v>
      </c>
      <c r="H593" t="e">
        <f t="shared" si="174"/>
        <v>#N/A</v>
      </c>
      <c r="I593" t="e">
        <f t="shared" si="175"/>
        <v>#N/A</v>
      </c>
      <c r="J593">
        <f t="shared" si="176"/>
        <v>1</v>
      </c>
      <c r="K593">
        <f t="shared" si="177"/>
        <v>1</v>
      </c>
      <c r="L593" t="str">
        <f>'Lab test'!AC582</f>
        <v>Electroforming</v>
      </c>
      <c r="O593" t="e">
        <f t="shared" si="178"/>
        <v>#N/A</v>
      </c>
      <c r="P593" t="e">
        <f t="shared" si="179"/>
        <v>#N/A</v>
      </c>
      <c r="Q593" t="e">
        <f t="shared" si="180"/>
        <v>#N/A</v>
      </c>
      <c r="R593" t="e">
        <f t="shared" si="181"/>
        <v>#N/A</v>
      </c>
      <c r="S593" t="e">
        <f t="shared" si="182"/>
        <v>#N/A</v>
      </c>
      <c r="T593" t="e">
        <f t="shared" si="183"/>
        <v>#N/A</v>
      </c>
      <c r="U593" t="e">
        <f t="shared" si="184"/>
        <v>#N/A</v>
      </c>
      <c r="W593" t="e">
        <f t="shared" si="185"/>
        <v>#N/A</v>
      </c>
      <c r="X593" t="e">
        <f t="shared" si="186"/>
        <v>#N/A</v>
      </c>
      <c r="Y593">
        <f t="shared" si="187"/>
        <v>0.65600000000000003</v>
      </c>
      <c r="Z593" t="e">
        <f t="shared" si="188"/>
        <v>#N/A</v>
      </c>
      <c r="AA593" t="e">
        <f t="shared" si="189"/>
        <v>#N/A</v>
      </c>
      <c r="AB593" t="e">
        <f t="shared" si="190"/>
        <v>#N/A</v>
      </c>
      <c r="AC593" t="e">
        <f t="shared" si="191"/>
        <v>#N/A</v>
      </c>
    </row>
    <row r="594" spans="2:29">
      <c r="B594">
        <v>580</v>
      </c>
      <c r="C594">
        <f>'Lab test'!Q583</f>
        <v>850</v>
      </c>
      <c r="D594" t="e">
        <f>IF('Lab test'!AQ583&gt;0,'Lab test'!AQ583,NA())</f>
        <v>#N/A</v>
      </c>
      <c r="E594" t="e">
        <f>IF('Lab test'!AU583&gt;0,'Lab test'!AU583,NA())</f>
        <v>#N/A</v>
      </c>
      <c r="F594">
        <f>IF('Lab test'!AT583&gt;0,'Lab test'!AT583,NA())</f>
        <v>0.68700000000000006</v>
      </c>
      <c r="G594" t="e">
        <f t="shared" si="173"/>
        <v>#N/A</v>
      </c>
      <c r="H594" t="e">
        <f t="shared" si="174"/>
        <v>#N/A</v>
      </c>
      <c r="I594" t="e">
        <f t="shared" si="175"/>
        <v>#N/A</v>
      </c>
      <c r="J594">
        <f t="shared" si="176"/>
        <v>1</v>
      </c>
      <c r="K594">
        <f t="shared" si="177"/>
        <v>1</v>
      </c>
      <c r="L594" t="str">
        <f>'Lab test'!AC583</f>
        <v>Electroforming</v>
      </c>
      <c r="O594" t="e">
        <f t="shared" si="178"/>
        <v>#N/A</v>
      </c>
      <c r="P594" t="e">
        <f t="shared" si="179"/>
        <v>#N/A</v>
      </c>
      <c r="Q594" t="e">
        <f t="shared" si="180"/>
        <v>#N/A</v>
      </c>
      <c r="R594" t="e">
        <f t="shared" si="181"/>
        <v>#N/A</v>
      </c>
      <c r="S594" t="e">
        <f t="shared" si="182"/>
        <v>#N/A</v>
      </c>
      <c r="T594" t="e">
        <f t="shared" si="183"/>
        <v>#N/A</v>
      </c>
      <c r="U594" t="e">
        <f t="shared" si="184"/>
        <v>#N/A</v>
      </c>
      <c r="W594" t="e">
        <f t="shared" si="185"/>
        <v>#N/A</v>
      </c>
      <c r="X594" t="e">
        <f t="shared" si="186"/>
        <v>#N/A</v>
      </c>
      <c r="Y594">
        <f t="shared" si="187"/>
        <v>0.68700000000000006</v>
      </c>
      <c r="Z594" t="e">
        <f t="shared" si="188"/>
        <v>#N/A</v>
      </c>
      <c r="AA594" t="e">
        <f t="shared" si="189"/>
        <v>#N/A</v>
      </c>
      <c r="AB594" t="e">
        <f t="shared" si="190"/>
        <v>#N/A</v>
      </c>
      <c r="AC594" t="e">
        <f t="shared" si="191"/>
        <v>#N/A</v>
      </c>
    </row>
    <row r="595" spans="2:29">
      <c r="B595">
        <v>581</v>
      </c>
      <c r="C595">
        <f>'Lab test'!Q584</f>
        <v>790</v>
      </c>
      <c r="D595" t="e">
        <f>IF('Lab test'!AQ584&gt;0,'Lab test'!AQ584,NA())</f>
        <v>#N/A</v>
      </c>
      <c r="E595" t="e">
        <f>IF('Lab test'!AU584&gt;0,'Lab test'!AU584,NA())</f>
        <v>#N/A</v>
      </c>
      <c r="F595">
        <f>IF('Lab test'!AT584&gt;0,'Lab test'!AT584,NA())</f>
        <v>0.68400000000000005</v>
      </c>
      <c r="G595" t="e">
        <f t="shared" si="173"/>
        <v>#N/A</v>
      </c>
      <c r="H595" t="e">
        <f t="shared" si="174"/>
        <v>#N/A</v>
      </c>
      <c r="I595" t="e">
        <f t="shared" si="175"/>
        <v>#N/A</v>
      </c>
      <c r="J595">
        <f t="shared" si="176"/>
        <v>1</v>
      </c>
      <c r="K595">
        <f t="shared" si="177"/>
        <v>1</v>
      </c>
      <c r="L595" t="str">
        <f>'Lab test'!AC584</f>
        <v>Electroforming</v>
      </c>
      <c r="O595" t="e">
        <f t="shared" si="178"/>
        <v>#N/A</v>
      </c>
      <c r="P595" t="e">
        <f t="shared" si="179"/>
        <v>#N/A</v>
      </c>
      <c r="Q595" t="e">
        <f t="shared" si="180"/>
        <v>#N/A</v>
      </c>
      <c r="R595" t="e">
        <f t="shared" si="181"/>
        <v>#N/A</v>
      </c>
      <c r="S595" t="e">
        <f t="shared" si="182"/>
        <v>#N/A</v>
      </c>
      <c r="T595" t="e">
        <f t="shared" si="183"/>
        <v>#N/A</v>
      </c>
      <c r="U595" t="e">
        <f t="shared" si="184"/>
        <v>#N/A</v>
      </c>
      <c r="W595" t="e">
        <f t="shared" si="185"/>
        <v>#N/A</v>
      </c>
      <c r="X595" t="e">
        <f t="shared" si="186"/>
        <v>#N/A</v>
      </c>
      <c r="Y595">
        <f t="shared" si="187"/>
        <v>0.68400000000000005</v>
      </c>
      <c r="Z595" t="e">
        <f t="shared" si="188"/>
        <v>#N/A</v>
      </c>
      <c r="AA595" t="e">
        <f t="shared" si="189"/>
        <v>#N/A</v>
      </c>
      <c r="AB595" t="e">
        <f t="shared" si="190"/>
        <v>#N/A</v>
      </c>
      <c r="AC595" t="e">
        <f t="shared" si="191"/>
        <v>#N/A</v>
      </c>
    </row>
    <row r="596" spans="2:29">
      <c r="B596">
        <v>582</v>
      </c>
      <c r="C596">
        <f>'Lab test'!Q585</f>
        <v>1020</v>
      </c>
      <c r="D596" t="e">
        <f>IF('Lab test'!AQ585&gt;0,'Lab test'!AQ585,NA())</f>
        <v>#N/A</v>
      </c>
      <c r="E596" t="e">
        <f>IF('Lab test'!AU585&gt;0,'Lab test'!AU585,NA())</f>
        <v>#N/A</v>
      </c>
      <c r="F596">
        <f>IF('Lab test'!AT585&gt;0,'Lab test'!AT585,NA())</f>
        <v>0.68799999999999994</v>
      </c>
      <c r="G596" t="e">
        <f t="shared" si="173"/>
        <v>#N/A</v>
      </c>
      <c r="H596" t="e">
        <f t="shared" si="174"/>
        <v>#N/A</v>
      </c>
      <c r="I596" t="e">
        <f t="shared" si="175"/>
        <v>#N/A</v>
      </c>
      <c r="J596">
        <f t="shared" si="176"/>
        <v>1</v>
      </c>
      <c r="K596">
        <f t="shared" si="177"/>
        <v>1</v>
      </c>
      <c r="L596" t="str">
        <f>'Lab test'!AC585</f>
        <v>Electroforming</v>
      </c>
      <c r="O596" t="e">
        <f t="shared" si="178"/>
        <v>#N/A</v>
      </c>
      <c r="P596" t="e">
        <f t="shared" si="179"/>
        <v>#N/A</v>
      </c>
      <c r="Q596" t="e">
        <f t="shared" si="180"/>
        <v>#N/A</v>
      </c>
      <c r="R596" t="e">
        <f t="shared" si="181"/>
        <v>#N/A</v>
      </c>
      <c r="S596" t="e">
        <f t="shared" si="182"/>
        <v>#N/A</v>
      </c>
      <c r="T596" t="e">
        <f t="shared" si="183"/>
        <v>#N/A</v>
      </c>
      <c r="U596" t="e">
        <f t="shared" si="184"/>
        <v>#N/A</v>
      </c>
      <c r="W596" t="e">
        <f t="shared" si="185"/>
        <v>#N/A</v>
      </c>
      <c r="X596" t="e">
        <f t="shared" si="186"/>
        <v>#N/A</v>
      </c>
      <c r="Y596">
        <f t="shared" si="187"/>
        <v>0.68799999999999994</v>
      </c>
      <c r="Z596" t="e">
        <f t="shared" si="188"/>
        <v>#N/A</v>
      </c>
      <c r="AA596" t="e">
        <f t="shared" si="189"/>
        <v>#N/A</v>
      </c>
      <c r="AB596" t="e">
        <f t="shared" si="190"/>
        <v>#N/A</v>
      </c>
      <c r="AC596" t="e">
        <f t="shared" si="191"/>
        <v>#N/A</v>
      </c>
    </row>
    <row r="597" spans="2:29">
      <c r="B597">
        <v>583</v>
      </c>
      <c r="C597">
        <f>'Lab test'!Q586</f>
        <v>1160</v>
      </c>
      <c r="D597" t="e">
        <f>IF('Lab test'!AQ586&gt;0,'Lab test'!AQ586,NA())</f>
        <v>#N/A</v>
      </c>
      <c r="E597" t="e">
        <f>IF('Lab test'!AU586&gt;0,'Lab test'!AU586,NA())</f>
        <v>#N/A</v>
      </c>
      <c r="F597">
        <f>IF('Lab test'!AT586&gt;0,'Lab test'!AT586,NA())</f>
        <v>0.67400000000000004</v>
      </c>
      <c r="G597" t="e">
        <f t="shared" si="173"/>
        <v>#N/A</v>
      </c>
      <c r="H597" t="e">
        <f t="shared" si="174"/>
        <v>#N/A</v>
      </c>
      <c r="I597" t="e">
        <f t="shared" si="175"/>
        <v>#N/A</v>
      </c>
      <c r="J597">
        <f t="shared" si="176"/>
        <v>1</v>
      </c>
      <c r="K597">
        <f t="shared" si="177"/>
        <v>1</v>
      </c>
      <c r="L597" t="str">
        <f>'Lab test'!AC586</f>
        <v>Electroforming</v>
      </c>
      <c r="O597" t="e">
        <f t="shared" si="178"/>
        <v>#N/A</v>
      </c>
      <c r="P597" t="e">
        <f t="shared" si="179"/>
        <v>#N/A</v>
      </c>
      <c r="Q597" t="e">
        <f t="shared" si="180"/>
        <v>#N/A</v>
      </c>
      <c r="R597" t="e">
        <f t="shared" si="181"/>
        <v>#N/A</v>
      </c>
      <c r="S597" t="e">
        <f t="shared" si="182"/>
        <v>#N/A</v>
      </c>
      <c r="T597" t="e">
        <f t="shared" si="183"/>
        <v>#N/A</v>
      </c>
      <c r="U597" t="e">
        <f t="shared" si="184"/>
        <v>#N/A</v>
      </c>
      <c r="W597" t="e">
        <f t="shared" si="185"/>
        <v>#N/A</v>
      </c>
      <c r="X597" t="e">
        <f t="shared" si="186"/>
        <v>#N/A</v>
      </c>
      <c r="Y597">
        <f t="shared" si="187"/>
        <v>0.67400000000000004</v>
      </c>
      <c r="Z597" t="e">
        <f t="shared" si="188"/>
        <v>#N/A</v>
      </c>
      <c r="AA597" t="e">
        <f t="shared" si="189"/>
        <v>#N/A</v>
      </c>
      <c r="AB597" t="e">
        <f t="shared" si="190"/>
        <v>#N/A</v>
      </c>
      <c r="AC597" t="e">
        <f t="shared" si="191"/>
        <v>#N/A</v>
      </c>
    </row>
    <row r="598" spans="2:29">
      <c r="B598">
        <v>584</v>
      </c>
      <c r="C598">
        <f>'Lab test'!Q587</f>
        <v>960</v>
      </c>
      <c r="D598" t="e">
        <f>IF('Lab test'!AQ587&gt;0,'Lab test'!AQ587,NA())</f>
        <v>#N/A</v>
      </c>
      <c r="E598" t="e">
        <f>IF('Lab test'!AU587&gt;0,'Lab test'!AU587,NA())</f>
        <v>#N/A</v>
      </c>
      <c r="F598">
        <f>IF('Lab test'!AT587&gt;0,'Lab test'!AT587,NA())</f>
        <v>0.61199999999999999</v>
      </c>
      <c r="G598" t="e">
        <f t="shared" si="173"/>
        <v>#N/A</v>
      </c>
      <c r="H598" t="e">
        <f t="shared" si="174"/>
        <v>#N/A</v>
      </c>
      <c r="I598" t="e">
        <f t="shared" si="175"/>
        <v>#N/A</v>
      </c>
      <c r="J598">
        <f t="shared" si="176"/>
        <v>1</v>
      </c>
      <c r="K598">
        <f t="shared" si="177"/>
        <v>1</v>
      </c>
      <c r="L598" t="str">
        <f>'Lab test'!AC587</f>
        <v>Electroforming</v>
      </c>
      <c r="O598" t="e">
        <f t="shared" si="178"/>
        <v>#N/A</v>
      </c>
      <c r="P598" t="e">
        <f t="shared" si="179"/>
        <v>#N/A</v>
      </c>
      <c r="Q598" t="e">
        <f t="shared" si="180"/>
        <v>#N/A</v>
      </c>
      <c r="R598" t="e">
        <f t="shared" si="181"/>
        <v>#N/A</v>
      </c>
      <c r="S598" t="e">
        <f t="shared" si="182"/>
        <v>#N/A</v>
      </c>
      <c r="T598" t="e">
        <f t="shared" si="183"/>
        <v>#N/A</v>
      </c>
      <c r="U598" t="e">
        <f t="shared" si="184"/>
        <v>#N/A</v>
      </c>
      <c r="W598" t="e">
        <f t="shared" si="185"/>
        <v>#N/A</v>
      </c>
      <c r="X598" t="e">
        <f t="shared" si="186"/>
        <v>#N/A</v>
      </c>
      <c r="Y598">
        <f t="shared" si="187"/>
        <v>0.61199999999999999</v>
      </c>
      <c r="Z598" t="e">
        <f t="shared" si="188"/>
        <v>#N/A</v>
      </c>
      <c r="AA598" t="e">
        <f t="shared" si="189"/>
        <v>#N/A</v>
      </c>
      <c r="AB598" t="e">
        <f t="shared" si="190"/>
        <v>#N/A</v>
      </c>
      <c r="AC598" t="e">
        <f t="shared" si="191"/>
        <v>#N/A</v>
      </c>
    </row>
    <row r="599" spans="2:29">
      <c r="B599">
        <v>585</v>
      </c>
      <c r="C599">
        <f>'Lab test'!Q588</f>
        <v>960</v>
      </c>
      <c r="D599" t="e">
        <f>IF('Lab test'!AQ588&gt;0,'Lab test'!AQ588,NA())</f>
        <v>#N/A</v>
      </c>
      <c r="E599" t="e">
        <f>IF('Lab test'!AU588&gt;0,'Lab test'!AU588,NA())</f>
        <v>#N/A</v>
      </c>
      <c r="F599">
        <f>IF('Lab test'!AT588&gt;0,'Lab test'!AT588,NA())</f>
        <v>0.65500000000000003</v>
      </c>
      <c r="G599" t="e">
        <f t="shared" si="173"/>
        <v>#N/A</v>
      </c>
      <c r="H599" t="e">
        <f t="shared" si="174"/>
        <v>#N/A</v>
      </c>
      <c r="I599" t="e">
        <f t="shared" si="175"/>
        <v>#N/A</v>
      </c>
      <c r="J599">
        <f t="shared" si="176"/>
        <v>1</v>
      </c>
      <c r="K599">
        <f t="shared" si="177"/>
        <v>1</v>
      </c>
      <c r="L599" t="str">
        <f>'Lab test'!AC588</f>
        <v>Electroforming</v>
      </c>
      <c r="O599" t="e">
        <f t="shared" si="178"/>
        <v>#N/A</v>
      </c>
      <c r="P599" t="e">
        <f t="shared" si="179"/>
        <v>#N/A</v>
      </c>
      <c r="Q599" t="e">
        <f t="shared" si="180"/>
        <v>#N/A</v>
      </c>
      <c r="R599" t="e">
        <f t="shared" si="181"/>
        <v>#N/A</v>
      </c>
      <c r="S599" t="e">
        <f t="shared" si="182"/>
        <v>#N/A</v>
      </c>
      <c r="T599" t="e">
        <f t="shared" si="183"/>
        <v>#N/A</v>
      </c>
      <c r="U599" t="e">
        <f t="shared" si="184"/>
        <v>#N/A</v>
      </c>
      <c r="W599" t="e">
        <f t="shared" si="185"/>
        <v>#N/A</v>
      </c>
      <c r="X599" t="e">
        <f t="shared" si="186"/>
        <v>#N/A</v>
      </c>
      <c r="Y599">
        <f t="shared" si="187"/>
        <v>0.65500000000000003</v>
      </c>
      <c r="Z599" t="e">
        <f t="shared" si="188"/>
        <v>#N/A</v>
      </c>
      <c r="AA599" t="e">
        <f t="shared" si="189"/>
        <v>#N/A</v>
      </c>
      <c r="AB599" t="e">
        <f t="shared" si="190"/>
        <v>#N/A</v>
      </c>
      <c r="AC599" t="e">
        <f t="shared" si="191"/>
        <v>#N/A</v>
      </c>
    </row>
    <row r="600" spans="2:29">
      <c r="B600">
        <v>586</v>
      </c>
      <c r="C600">
        <f>'Lab test'!Q589</f>
        <v>1071.4285714285716</v>
      </c>
      <c r="D600">
        <f>IF('Lab test'!AQ589&gt;0,'Lab test'!AQ589,NA())</f>
        <v>1.6979927069158915</v>
      </c>
      <c r="E600">
        <f>IF('Lab test'!AU589&gt;0,'Lab test'!AU589,NA())</f>
        <v>6.8049186129352304E-2</v>
      </c>
      <c r="F600">
        <f>IF('Lab test'!AT589&gt;0,'Lab test'!AT589,NA())</f>
        <v>0.19619800025297726</v>
      </c>
      <c r="G600">
        <f t="shared" si="173"/>
        <v>1</v>
      </c>
      <c r="H600">
        <f t="shared" si="174"/>
        <v>1</v>
      </c>
      <c r="I600">
        <f t="shared" si="175"/>
        <v>1</v>
      </c>
      <c r="J600">
        <f t="shared" si="176"/>
        <v>1</v>
      </c>
      <c r="K600">
        <f t="shared" si="177"/>
        <v>1</v>
      </c>
      <c r="L600" t="str">
        <f>'Lab test'!AC589</f>
        <v>LTWb</v>
      </c>
      <c r="O600" t="e">
        <f t="shared" si="178"/>
        <v>#N/A</v>
      </c>
      <c r="P600">
        <f t="shared" si="179"/>
        <v>6.8049186129352304E-2</v>
      </c>
      <c r="Q600" t="e">
        <f t="shared" si="180"/>
        <v>#N/A</v>
      </c>
      <c r="R600" t="e">
        <f t="shared" si="181"/>
        <v>#N/A</v>
      </c>
      <c r="S600" t="e">
        <f t="shared" si="182"/>
        <v>#N/A</v>
      </c>
      <c r="T600" t="e">
        <f t="shared" si="183"/>
        <v>#N/A</v>
      </c>
      <c r="U600" t="e">
        <f t="shared" si="184"/>
        <v>#N/A</v>
      </c>
      <c r="W600" t="e">
        <f t="shared" si="185"/>
        <v>#N/A</v>
      </c>
      <c r="X600">
        <f t="shared" si="186"/>
        <v>0.19619800025297726</v>
      </c>
      <c r="Y600" t="e">
        <f t="shared" si="187"/>
        <v>#N/A</v>
      </c>
      <c r="Z600" t="e">
        <f t="shared" si="188"/>
        <v>#N/A</v>
      </c>
      <c r="AA600" t="e">
        <f t="shared" si="189"/>
        <v>#N/A</v>
      </c>
      <c r="AB600" t="e">
        <f t="shared" si="190"/>
        <v>#N/A</v>
      </c>
      <c r="AC600" t="e">
        <f t="shared" si="191"/>
        <v>#N/A</v>
      </c>
    </row>
    <row r="601" spans="2:29">
      <c r="B601">
        <v>587</v>
      </c>
      <c r="C601">
        <f>'Lab test'!Q590</f>
        <v>1071.4285714285716</v>
      </c>
      <c r="D601">
        <f>IF('Lab test'!AQ590&gt;0,'Lab test'!AQ590,NA())</f>
        <v>1.7160330855221739</v>
      </c>
      <c r="E601">
        <f>IF('Lab test'!AU590&gt;0,'Lab test'!AU590,NA())</f>
        <v>8.8463586674812938E-2</v>
      </c>
      <c r="F601">
        <f>IF('Lab test'!AT590&gt;0,'Lab test'!AT590,NA())</f>
        <v>0.2605048763774504</v>
      </c>
      <c r="G601">
        <f t="shared" si="173"/>
        <v>1</v>
      </c>
      <c r="H601">
        <f t="shared" si="174"/>
        <v>1</v>
      </c>
      <c r="I601">
        <f t="shared" si="175"/>
        <v>1</v>
      </c>
      <c r="J601">
        <f t="shared" si="176"/>
        <v>1</v>
      </c>
      <c r="K601">
        <f t="shared" si="177"/>
        <v>1</v>
      </c>
      <c r="L601" t="str">
        <f>'Lab test'!AC590</f>
        <v>LTWb</v>
      </c>
      <c r="O601" t="e">
        <f t="shared" si="178"/>
        <v>#N/A</v>
      </c>
      <c r="P601">
        <f t="shared" si="179"/>
        <v>8.8463586674812938E-2</v>
      </c>
      <c r="Q601" t="e">
        <f t="shared" si="180"/>
        <v>#N/A</v>
      </c>
      <c r="R601" t="e">
        <f t="shared" si="181"/>
        <v>#N/A</v>
      </c>
      <c r="S601" t="e">
        <f t="shared" si="182"/>
        <v>#N/A</v>
      </c>
      <c r="T601" t="e">
        <f t="shared" si="183"/>
        <v>#N/A</v>
      </c>
      <c r="U601" t="e">
        <f t="shared" si="184"/>
        <v>#N/A</v>
      </c>
      <c r="W601" t="e">
        <f t="shared" si="185"/>
        <v>#N/A</v>
      </c>
      <c r="X601">
        <f t="shared" si="186"/>
        <v>0.2605048763774504</v>
      </c>
      <c r="Y601" t="e">
        <f t="shared" si="187"/>
        <v>#N/A</v>
      </c>
      <c r="Z601" t="e">
        <f t="shared" si="188"/>
        <v>#N/A</v>
      </c>
      <c r="AA601" t="e">
        <f t="shared" si="189"/>
        <v>#N/A</v>
      </c>
      <c r="AB601" t="e">
        <f t="shared" si="190"/>
        <v>#N/A</v>
      </c>
      <c r="AC601" t="e">
        <f t="shared" si="191"/>
        <v>#N/A</v>
      </c>
    </row>
    <row r="602" spans="2:29">
      <c r="B602">
        <v>588</v>
      </c>
      <c r="C602">
        <f>'Lab test'!Q591</f>
        <v>1071.4285714285716</v>
      </c>
      <c r="D602">
        <f>IF('Lab test'!AQ591&gt;0,'Lab test'!AQ591,NA())</f>
        <v>1.7827465266850737</v>
      </c>
      <c r="E602">
        <f>IF('Lab test'!AU591&gt;0,'Lab test'!AU591,NA())</f>
        <v>8.6859004296075348E-2</v>
      </c>
      <c r="F602">
        <f>IF('Lab test'!AT591&gt;0,'Lab test'!AT591,NA())</f>
        <v>0.27605400006503689</v>
      </c>
      <c r="G602">
        <f t="shared" si="173"/>
        <v>1</v>
      </c>
      <c r="H602">
        <f t="shared" si="174"/>
        <v>1</v>
      </c>
      <c r="I602">
        <f t="shared" si="175"/>
        <v>1</v>
      </c>
      <c r="J602">
        <f t="shared" si="176"/>
        <v>1</v>
      </c>
      <c r="K602">
        <f t="shared" si="177"/>
        <v>1</v>
      </c>
      <c r="L602" t="str">
        <f>'Lab test'!AC591</f>
        <v>LTWb</v>
      </c>
      <c r="O602" t="e">
        <f t="shared" si="178"/>
        <v>#N/A</v>
      </c>
      <c r="P602">
        <f t="shared" si="179"/>
        <v>8.6859004296075348E-2</v>
      </c>
      <c r="Q602" t="e">
        <f t="shared" si="180"/>
        <v>#N/A</v>
      </c>
      <c r="R602" t="e">
        <f t="shared" si="181"/>
        <v>#N/A</v>
      </c>
      <c r="S602" t="e">
        <f t="shared" si="182"/>
        <v>#N/A</v>
      </c>
      <c r="T602" t="e">
        <f t="shared" si="183"/>
        <v>#N/A</v>
      </c>
      <c r="U602" t="e">
        <f t="shared" si="184"/>
        <v>#N/A</v>
      </c>
      <c r="W602" t="e">
        <f t="shared" si="185"/>
        <v>#N/A</v>
      </c>
      <c r="X602">
        <f t="shared" si="186"/>
        <v>0.27605400006503689</v>
      </c>
      <c r="Y602" t="e">
        <f t="shared" si="187"/>
        <v>#N/A</v>
      </c>
      <c r="Z602" t="e">
        <f t="shared" si="188"/>
        <v>#N/A</v>
      </c>
      <c r="AA602" t="e">
        <f t="shared" si="189"/>
        <v>#N/A</v>
      </c>
      <c r="AB602" t="e">
        <f t="shared" si="190"/>
        <v>#N/A</v>
      </c>
      <c r="AC602" t="e">
        <f t="shared" si="191"/>
        <v>#N/A</v>
      </c>
    </row>
    <row r="603" spans="2:29">
      <c r="B603">
        <v>589</v>
      </c>
      <c r="C603">
        <f>'Lab test'!Q592</f>
        <v>562.5</v>
      </c>
      <c r="D603">
        <f>IF('Lab test'!AQ592&gt;0,'Lab test'!AQ592,NA())</f>
        <v>1.1699262352480448</v>
      </c>
      <c r="E603">
        <f>IF('Lab test'!AU592&gt;0,'Lab test'!AU592,NA())</f>
        <v>0.16166453715688101</v>
      </c>
      <c r="F603">
        <f>IF('Lab test'!AT592&gt;0,'Lab test'!AT592,NA())</f>
        <v>0.22127468095561878</v>
      </c>
      <c r="G603">
        <f t="shared" si="173"/>
        <v>1</v>
      </c>
      <c r="H603">
        <f t="shared" si="174"/>
        <v>1</v>
      </c>
      <c r="I603">
        <f t="shared" si="175"/>
        <v>1</v>
      </c>
      <c r="J603">
        <f t="shared" si="176"/>
        <v>1</v>
      </c>
      <c r="K603">
        <f t="shared" si="177"/>
        <v>1</v>
      </c>
      <c r="L603" t="str">
        <f>'Lab test'!AC592</f>
        <v>LTWb</v>
      </c>
      <c r="O603" t="e">
        <f t="shared" si="178"/>
        <v>#N/A</v>
      </c>
      <c r="P603">
        <f t="shared" si="179"/>
        <v>0.16166453715688101</v>
      </c>
      <c r="Q603" t="e">
        <f t="shared" si="180"/>
        <v>#N/A</v>
      </c>
      <c r="R603" t="e">
        <f t="shared" si="181"/>
        <v>#N/A</v>
      </c>
      <c r="S603" t="e">
        <f t="shared" si="182"/>
        <v>#N/A</v>
      </c>
      <c r="T603" t="e">
        <f t="shared" si="183"/>
        <v>#N/A</v>
      </c>
      <c r="U603" t="e">
        <f t="shared" si="184"/>
        <v>#N/A</v>
      </c>
      <c r="W603" t="e">
        <f t="shared" si="185"/>
        <v>#N/A</v>
      </c>
      <c r="X603">
        <f t="shared" si="186"/>
        <v>0.22127468095561878</v>
      </c>
      <c r="Y603" t="e">
        <f t="shared" si="187"/>
        <v>#N/A</v>
      </c>
      <c r="Z603" t="e">
        <f t="shared" si="188"/>
        <v>#N/A</v>
      </c>
      <c r="AA603" t="e">
        <f t="shared" si="189"/>
        <v>#N/A</v>
      </c>
      <c r="AB603" t="e">
        <f t="shared" si="190"/>
        <v>#N/A</v>
      </c>
      <c r="AC603" t="e">
        <f t="shared" si="191"/>
        <v>#N/A</v>
      </c>
    </row>
    <row r="604" spans="2:29">
      <c r="B604">
        <v>590</v>
      </c>
      <c r="C604">
        <f>'Lab test'!Q593</f>
        <v>562.5</v>
      </c>
      <c r="D604">
        <f>IF('Lab test'!AQ593&gt;0,'Lab test'!AQ593,NA())</f>
        <v>1.1071927501539178</v>
      </c>
      <c r="E604">
        <f>IF('Lab test'!AU593&gt;0,'Lab test'!AU593,NA())</f>
        <v>0.20237507600746862</v>
      </c>
      <c r="F604">
        <f>IF('Lab test'!AT593&gt;0,'Lab test'!AT593,NA())</f>
        <v>0.24808670536612881</v>
      </c>
      <c r="G604">
        <f t="shared" si="173"/>
        <v>1</v>
      </c>
      <c r="H604">
        <f t="shared" si="174"/>
        <v>1</v>
      </c>
      <c r="I604">
        <f t="shared" si="175"/>
        <v>1</v>
      </c>
      <c r="J604">
        <f t="shared" si="176"/>
        <v>1</v>
      </c>
      <c r="K604">
        <f t="shared" si="177"/>
        <v>1</v>
      </c>
      <c r="L604" t="str">
        <f>'Lab test'!AC593</f>
        <v>LTWb</v>
      </c>
      <c r="O604" t="e">
        <f t="shared" si="178"/>
        <v>#N/A</v>
      </c>
      <c r="P604">
        <f t="shared" si="179"/>
        <v>0.20237507600746862</v>
      </c>
      <c r="Q604" t="e">
        <f t="shared" si="180"/>
        <v>#N/A</v>
      </c>
      <c r="R604" t="e">
        <f t="shared" si="181"/>
        <v>#N/A</v>
      </c>
      <c r="S604" t="e">
        <f t="shared" si="182"/>
        <v>#N/A</v>
      </c>
      <c r="T604" t="e">
        <f t="shared" si="183"/>
        <v>#N/A</v>
      </c>
      <c r="U604" t="e">
        <f t="shared" si="184"/>
        <v>#N/A</v>
      </c>
      <c r="W604" t="e">
        <f t="shared" si="185"/>
        <v>#N/A</v>
      </c>
      <c r="X604">
        <f t="shared" si="186"/>
        <v>0.24808670536612881</v>
      </c>
      <c r="Y604" t="e">
        <f t="shared" si="187"/>
        <v>#N/A</v>
      </c>
      <c r="Z604" t="e">
        <f t="shared" si="188"/>
        <v>#N/A</v>
      </c>
      <c r="AA604" t="e">
        <f t="shared" si="189"/>
        <v>#N/A</v>
      </c>
      <c r="AB604" t="e">
        <f t="shared" si="190"/>
        <v>#N/A</v>
      </c>
      <c r="AC604" t="e">
        <f t="shared" si="191"/>
        <v>#N/A</v>
      </c>
    </row>
    <row r="605" spans="2:29">
      <c r="B605">
        <v>591</v>
      </c>
      <c r="C605">
        <f>'Lab test'!Q594</f>
        <v>562.5</v>
      </c>
      <c r="D605">
        <f>IF('Lab test'!AQ594&gt;0,'Lab test'!AQ594,NA())</f>
        <v>1.1027808496916107</v>
      </c>
      <c r="E605">
        <f>IF('Lab test'!AU594&gt;0,'Lab test'!AU594,NA())</f>
        <v>0.21007635078011105</v>
      </c>
      <c r="F605">
        <f>IF('Lab test'!AT594&gt;0,'Lab test'!AT594,NA())</f>
        <v>0.25547922865223549</v>
      </c>
      <c r="G605">
        <f t="shared" si="173"/>
        <v>1</v>
      </c>
      <c r="H605">
        <f t="shared" si="174"/>
        <v>1</v>
      </c>
      <c r="I605">
        <f t="shared" si="175"/>
        <v>1</v>
      </c>
      <c r="J605">
        <f t="shared" si="176"/>
        <v>1</v>
      </c>
      <c r="K605">
        <f t="shared" si="177"/>
        <v>1</v>
      </c>
      <c r="L605" t="str">
        <f>'Lab test'!AC594</f>
        <v>LTWb</v>
      </c>
      <c r="O605" t="e">
        <f t="shared" si="178"/>
        <v>#N/A</v>
      </c>
      <c r="P605">
        <f t="shared" si="179"/>
        <v>0.21007635078011105</v>
      </c>
      <c r="Q605" t="e">
        <f t="shared" si="180"/>
        <v>#N/A</v>
      </c>
      <c r="R605" t="e">
        <f t="shared" si="181"/>
        <v>#N/A</v>
      </c>
      <c r="S605" t="e">
        <f t="shared" si="182"/>
        <v>#N/A</v>
      </c>
      <c r="T605" t="e">
        <f t="shared" si="183"/>
        <v>#N/A</v>
      </c>
      <c r="U605" t="e">
        <f t="shared" si="184"/>
        <v>#N/A</v>
      </c>
      <c r="W605" t="e">
        <f t="shared" si="185"/>
        <v>#N/A</v>
      </c>
      <c r="X605">
        <f t="shared" si="186"/>
        <v>0.25547922865223549</v>
      </c>
      <c r="Y605" t="e">
        <f t="shared" si="187"/>
        <v>#N/A</v>
      </c>
      <c r="Z605" t="e">
        <f t="shared" si="188"/>
        <v>#N/A</v>
      </c>
      <c r="AA605" t="e">
        <f t="shared" si="189"/>
        <v>#N/A</v>
      </c>
      <c r="AB605" t="e">
        <f t="shared" si="190"/>
        <v>#N/A</v>
      </c>
      <c r="AC605" t="e">
        <f t="shared" si="191"/>
        <v>#N/A</v>
      </c>
    </row>
    <row r="606" spans="2:29">
      <c r="B606">
        <v>592</v>
      </c>
      <c r="C606">
        <f>'Lab test'!Q595</f>
        <v>562.5</v>
      </c>
      <c r="D606">
        <f>IF('Lab test'!AQ595&gt;0,'Lab test'!AQ595,NA())</f>
        <v>1.044830987952263</v>
      </c>
      <c r="E606">
        <f>IF('Lab test'!AU595&gt;0,'Lab test'!AU595,NA())</f>
        <v>0.21744061368289605</v>
      </c>
      <c r="F606">
        <f>IF('Lab test'!AT595&gt;0,'Lab test'!AT595,NA())</f>
        <v>0.23737378469400774</v>
      </c>
      <c r="G606">
        <f t="shared" si="173"/>
        <v>1</v>
      </c>
      <c r="H606">
        <f t="shared" si="174"/>
        <v>1</v>
      </c>
      <c r="I606">
        <f t="shared" si="175"/>
        <v>1</v>
      </c>
      <c r="J606">
        <f t="shared" si="176"/>
        <v>1</v>
      </c>
      <c r="K606">
        <f t="shared" si="177"/>
        <v>1</v>
      </c>
      <c r="L606" t="str">
        <f>'Lab test'!AC595</f>
        <v>LTWb</v>
      </c>
      <c r="O606" t="e">
        <f t="shared" si="178"/>
        <v>#N/A</v>
      </c>
      <c r="P606">
        <f t="shared" si="179"/>
        <v>0.21744061368289605</v>
      </c>
      <c r="Q606" t="e">
        <f t="shared" si="180"/>
        <v>#N/A</v>
      </c>
      <c r="R606" t="e">
        <f t="shared" si="181"/>
        <v>#N/A</v>
      </c>
      <c r="S606" t="e">
        <f t="shared" si="182"/>
        <v>#N/A</v>
      </c>
      <c r="T606" t="e">
        <f t="shared" si="183"/>
        <v>#N/A</v>
      </c>
      <c r="U606" t="e">
        <f t="shared" si="184"/>
        <v>#N/A</v>
      </c>
      <c r="W606" t="e">
        <f t="shared" si="185"/>
        <v>#N/A</v>
      </c>
      <c r="X606">
        <f t="shared" si="186"/>
        <v>0.23737378469400774</v>
      </c>
      <c r="Y606" t="e">
        <f t="shared" si="187"/>
        <v>#N/A</v>
      </c>
      <c r="Z606" t="e">
        <f t="shared" si="188"/>
        <v>#N/A</v>
      </c>
      <c r="AA606" t="e">
        <f t="shared" si="189"/>
        <v>#N/A</v>
      </c>
      <c r="AB606" t="e">
        <f t="shared" si="190"/>
        <v>#N/A</v>
      </c>
      <c r="AC606" t="e">
        <f t="shared" si="191"/>
        <v>#N/A</v>
      </c>
    </row>
    <row r="607" spans="2:29">
      <c r="B607">
        <v>593</v>
      </c>
      <c r="C607">
        <f>'Lab test'!Q596</f>
        <v>562.5</v>
      </c>
      <c r="D607">
        <f>IF('Lab test'!AQ596&gt;0,'Lab test'!AQ596,NA())</f>
        <v>1.0286412473130768</v>
      </c>
      <c r="E607">
        <f>IF('Lab test'!AU596&gt;0,'Lab test'!AU596,NA())</f>
        <v>0.21289086906615384</v>
      </c>
      <c r="F607">
        <f>IF('Lab test'!AT596&gt;0,'Lab test'!AT596,NA())</f>
        <v>0.22526042799014018</v>
      </c>
      <c r="G607">
        <f t="shared" si="173"/>
        <v>1</v>
      </c>
      <c r="H607">
        <f t="shared" si="174"/>
        <v>1</v>
      </c>
      <c r="I607">
        <f t="shared" si="175"/>
        <v>1</v>
      </c>
      <c r="J607">
        <f t="shared" si="176"/>
        <v>1</v>
      </c>
      <c r="K607">
        <f t="shared" si="177"/>
        <v>1</v>
      </c>
      <c r="L607" t="str">
        <f>'Lab test'!AC596</f>
        <v>LTWb</v>
      </c>
      <c r="O607" t="e">
        <f t="shared" si="178"/>
        <v>#N/A</v>
      </c>
      <c r="P607">
        <f t="shared" si="179"/>
        <v>0.21289086906615384</v>
      </c>
      <c r="Q607" t="e">
        <f t="shared" si="180"/>
        <v>#N/A</v>
      </c>
      <c r="R607" t="e">
        <f t="shared" si="181"/>
        <v>#N/A</v>
      </c>
      <c r="S607" t="e">
        <f t="shared" si="182"/>
        <v>#N/A</v>
      </c>
      <c r="T607" t="e">
        <f t="shared" si="183"/>
        <v>#N/A</v>
      </c>
      <c r="U607" t="e">
        <f t="shared" si="184"/>
        <v>#N/A</v>
      </c>
      <c r="W607" t="e">
        <f t="shared" si="185"/>
        <v>#N/A</v>
      </c>
      <c r="X607">
        <f t="shared" si="186"/>
        <v>0.22526042799014018</v>
      </c>
      <c r="Y607" t="e">
        <f t="shared" si="187"/>
        <v>#N/A</v>
      </c>
      <c r="Z607" t="e">
        <f t="shared" si="188"/>
        <v>#N/A</v>
      </c>
      <c r="AA607" t="e">
        <f t="shared" si="189"/>
        <v>#N/A</v>
      </c>
      <c r="AB607" t="e">
        <f t="shared" si="190"/>
        <v>#N/A</v>
      </c>
      <c r="AC607" t="e">
        <f t="shared" si="191"/>
        <v>#N/A</v>
      </c>
    </row>
    <row r="608" spans="2:29">
      <c r="B608">
        <v>594</v>
      </c>
      <c r="C608">
        <f>'Lab test'!Q597</f>
        <v>300.00000000000006</v>
      </c>
      <c r="D608">
        <f>IF('Lab test'!AQ597&gt;0,'Lab test'!AQ597,NA())</f>
        <v>0.88612731391844146</v>
      </c>
      <c r="E608">
        <f>IF('Lab test'!AU597&gt;0,'Lab test'!AU597,NA())</f>
        <v>0.43365045052971174</v>
      </c>
      <c r="F608">
        <f>IF('Lab test'!AT597&gt;0,'Lab test'!AT597,NA())</f>
        <v>0.34051170774888662</v>
      </c>
      <c r="G608">
        <f t="shared" si="173"/>
        <v>1</v>
      </c>
      <c r="H608">
        <f t="shared" si="174"/>
        <v>1</v>
      </c>
      <c r="I608">
        <f t="shared" si="175"/>
        <v>1</v>
      </c>
      <c r="J608">
        <f t="shared" si="176"/>
        <v>1</v>
      </c>
      <c r="K608">
        <f t="shared" si="177"/>
        <v>1</v>
      </c>
      <c r="L608" t="str">
        <f>'Lab test'!AC597</f>
        <v>LTWb</v>
      </c>
      <c r="O608" t="e">
        <f t="shared" si="178"/>
        <v>#N/A</v>
      </c>
      <c r="P608">
        <f t="shared" si="179"/>
        <v>0.43365045052971174</v>
      </c>
      <c r="Q608" t="e">
        <f t="shared" si="180"/>
        <v>#N/A</v>
      </c>
      <c r="R608" t="e">
        <f t="shared" si="181"/>
        <v>#N/A</v>
      </c>
      <c r="S608" t="e">
        <f t="shared" si="182"/>
        <v>#N/A</v>
      </c>
      <c r="T608" t="e">
        <f t="shared" si="183"/>
        <v>#N/A</v>
      </c>
      <c r="U608" t="e">
        <f t="shared" si="184"/>
        <v>#N/A</v>
      </c>
      <c r="W608" t="e">
        <f t="shared" si="185"/>
        <v>#N/A</v>
      </c>
      <c r="X608">
        <f t="shared" si="186"/>
        <v>0.34051170774888662</v>
      </c>
      <c r="Y608" t="e">
        <f t="shared" si="187"/>
        <v>#N/A</v>
      </c>
      <c r="Z608" t="e">
        <f t="shared" si="188"/>
        <v>#N/A</v>
      </c>
      <c r="AA608" t="e">
        <f t="shared" si="189"/>
        <v>#N/A</v>
      </c>
      <c r="AB608" t="e">
        <f t="shared" si="190"/>
        <v>#N/A</v>
      </c>
      <c r="AC608" t="e">
        <f t="shared" si="191"/>
        <v>#N/A</v>
      </c>
    </row>
    <row r="609" spans="2:29">
      <c r="B609">
        <v>595</v>
      </c>
      <c r="C609">
        <f>'Lab test'!Q598</f>
        <v>300.00000000000006</v>
      </c>
      <c r="D609">
        <f>IF('Lab test'!AQ598&gt;0,'Lab test'!AQ598,NA())</f>
        <v>0.78720599259469148</v>
      </c>
      <c r="E609">
        <f>IF('Lab test'!AU598&gt;0,'Lab test'!AU598,NA())</f>
        <v>0.49875947891637451</v>
      </c>
      <c r="F609">
        <f>IF('Lab test'!AT598&gt;0,'Lab test'!AT598,NA())</f>
        <v>0.30907789481575498</v>
      </c>
      <c r="G609">
        <f t="shared" si="173"/>
        <v>1</v>
      </c>
      <c r="H609">
        <f t="shared" si="174"/>
        <v>1</v>
      </c>
      <c r="I609">
        <f t="shared" si="175"/>
        <v>1</v>
      </c>
      <c r="J609">
        <f t="shared" si="176"/>
        <v>1</v>
      </c>
      <c r="K609">
        <f t="shared" si="177"/>
        <v>1</v>
      </c>
      <c r="L609" t="str">
        <f>'Lab test'!AC598</f>
        <v>LTWb</v>
      </c>
      <c r="O609" t="e">
        <f t="shared" si="178"/>
        <v>#N/A</v>
      </c>
      <c r="P609">
        <f t="shared" si="179"/>
        <v>0.49875947891637451</v>
      </c>
      <c r="Q609" t="e">
        <f t="shared" si="180"/>
        <v>#N/A</v>
      </c>
      <c r="R609" t="e">
        <f t="shared" si="181"/>
        <v>#N/A</v>
      </c>
      <c r="S609" t="e">
        <f t="shared" si="182"/>
        <v>#N/A</v>
      </c>
      <c r="T609" t="e">
        <f t="shared" si="183"/>
        <v>#N/A</v>
      </c>
      <c r="U609" t="e">
        <f t="shared" si="184"/>
        <v>#N/A</v>
      </c>
      <c r="W609" t="e">
        <f t="shared" si="185"/>
        <v>#N/A</v>
      </c>
      <c r="X609">
        <f t="shared" si="186"/>
        <v>0.30907789481575498</v>
      </c>
      <c r="Y609" t="e">
        <f t="shared" si="187"/>
        <v>#N/A</v>
      </c>
      <c r="Z609" t="e">
        <f t="shared" si="188"/>
        <v>#N/A</v>
      </c>
      <c r="AA609" t="e">
        <f t="shared" si="189"/>
        <v>#N/A</v>
      </c>
      <c r="AB609" t="e">
        <f t="shared" si="190"/>
        <v>#N/A</v>
      </c>
      <c r="AC609" t="e">
        <f t="shared" si="191"/>
        <v>#N/A</v>
      </c>
    </row>
    <row r="610" spans="2:29">
      <c r="B610">
        <v>596</v>
      </c>
      <c r="C610">
        <f>'Lab test'!Q599</f>
        <v>300</v>
      </c>
      <c r="D610">
        <f>IF('Lab test'!AQ599&gt;0,'Lab test'!AQ599,NA())</f>
        <v>0.7509519609161065</v>
      </c>
      <c r="E610">
        <f>IF('Lab test'!AU599&gt;0,'Lab test'!AU599,NA())</f>
        <v>0.53859593333860656</v>
      </c>
      <c r="F610">
        <f>IF('Lab test'!AT599&gt;0,'Lab test'!AT599,NA())</f>
        <v>0.30372978401170414</v>
      </c>
      <c r="G610">
        <f t="shared" si="173"/>
        <v>1</v>
      </c>
      <c r="H610">
        <f t="shared" si="174"/>
        <v>1</v>
      </c>
      <c r="I610">
        <f t="shared" si="175"/>
        <v>1</v>
      </c>
      <c r="J610">
        <f t="shared" si="176"/>
        <v>1</v>
      </c>
      <c r="K610">
        <f t="shared" si="177"/>
        <v>1</v>
      </c>
      <c r="L610" t="str">
        <f>'Lab test'!AC599</f>
        <v>LTWb</v>
      </c>
      <c r="O610" t="e">
        <f t="shared" si="178"/>
        <v>#N/A</v>
      </c>
      <c r="P610">
        <f t="shared" si="179"/>
        <v>0.53859593333860656</v>
      </c>
      <c r="Q610" t="e">
        <f t="shared" si="180"/>
        <v>#N/A</v>
      </c>
      <c r="R610" t="e">
        <f t="shared" si="181"/>
        <v>#N/A</v>
      </c>
      <c r="S610" t="e">
        <f t="shared" si="182"/>
        <v>#N/A</v>
      </c>
      <c r="T610" t="e">
        <f t="shared" si="183"/>
        <v>#N/A</v>
      </c>
      <c r="U610" t="e">
        <f t="shared" si="184"/>
        <v>#N/A</v>
      </c>
      <c r="W610" t="e">
        <f t="shared" si="185"/>
        <v>#N/A</v>
      </c>
      <c r="X610">
        <f t="shared" si="186"/>
        <v>0.30372978401170414</v>
      </c>
      <c r="Y610" t="e">
        <f t="shared" si="187"/>
        <v>#N/A</v>
      </c>
      <c r="Z610" t="e">
        <f t="shared" si="188"/>
        <v>#N/A</v>
      </c>
      <c r="AA610" t="e">
        <f t="shared" si="189"/>
        <v>#N/A</v>
      </c>
      <c r="AB610" t="e">
        <f t="shared" si="190"/>
        <v>#N/A</v>
      </c>
      <c r="AC610" t="e">
        <f t="shared" si="191"/>
        <v>#N/A</v>
      </c>
    </row>
    <row r="611" spans="2:29">
      <c r="B611">
        <v>597</v>
      </c>
      <c r="C611">
        <f>'Lab test'!Q600</f>
        <v>300</v>
      </c>
      <c r="D611">
        <f>IF('Lab test'!AQ600&gt;0,'Lab test'!AQ600,NA())</f>
        <v>0.69996069716312881</v>
      </c>
      <c r="E611">
        <f>IF('Lab test'!AU600&gt;0,'Lab test'!AU600,NA())</f>
        <v>0.57302113020946721</v>
      </c>
      <c r="F611">
        <f>IF('Lab test'!AT600&gt;0,'Lab test'!AT600,NA())</f>
        <v>0.28074882478938595</v>
      </c>
      <c r="G611">
        <f t="shared" si="173"/>
        <v>1</v>
      </c>
      <c r="H611">
        <f t="shared" si="174"/>
        <v>1</v>
      </c>
      <c r="I611">
        <f t="shared" si="175"/>
        <v>1</v>
      </c>
      <c r="J611">
        <f t="shared" si="176"/>
        <v>1</v>
      </c>
      <c r="K611">
        <f t="shared" si="177"/>
        <v>1</v>
      </c>
      <c r="L611" t="str">
        <f>'Lab test'!AC600</f>
        <v>LTWb</v>
      </c>
      <c r="O611" t="e">
        <f t="shared" si="178"/>
        <v>#N/A</v>
      </c>
      <c r="P611">
        <f t="shared" si="179"/>
        <v>0.57302113020946721</v>
      </c>
      <c r="Q611" t="e">
        <f t="shared" si="180"/>
        <v>#N/A</v>
      </c>
      <c r="R611" t="e">
        <f t="shared" si="181"/>
        <v>#N/A</v>
      </c>
      <c r="S611" t="e">
        <f t="shared" si="182"/>
        <v>#N/A</v>
      </c>
      <c r="T611" t="e">
        <f t="shared" si="183"/>
        <v>#N/A</v>
      </c>
      <c r="U611" t="e">
        <f t="shared" si="184"/>
        <v>#N/A</v>
      </c>
      <c r="W611" t="e">
        <f t="shared" si="185"/>
        <v>#N/A</v>
      </c>
      <c r="X611">
        <f t="shared" si="186"/>
        <v>0.28074882478938595</v>
      </c>
      <c r="Y611" t="e">
        <f t="shared" si="187"/>
        <v>#N/A</v>
      </c>
      <c r="Z611" t="e">
        <f t="shared" si="188"/>
        <v>#N/A</v>
      </c>
      <c r="AA611" t="e">
        <f t="shared" si="189"/>
        <v>#N/A</v>
      </c>
      <c r="AB611" t="e">
        <f t="shared" si="190"/>
        <v>#N/A</v>
      </c>
      <c r="AC611" t="e">
        <f t="shared" si="191"/>
        <v>#N/A</v>
      </c>
    </row>
    <row r="612" spans="2:29">
      <c r="B612">
        <v>598</v>
      </c>
      <c r="C612">
        <f>'Lab test'!Q601</f>
        <v>300</v>
      </c>
      <c r="D612">
        <f>IF('Lab test'!AQ601&gt;0,'Lab test'!AQ601,NA())</f>
        <v>0.64802419711259707</v>
      </c>
      <c r="E612">
        <f>IF('Lab test'!AU601&gt;0,'Lab test'!AU601,NA())</f>
        <v>0.67599178306953278</v>
      </c>
      <c r="F612">
        <f>IF('Lab test'!AT601&gt;0,'Lab test'!AT601,NA())</f>
        <v>0.28387285280970181</v>
      </c>
      <c r="G612">
        <f t="shared" si="173"/>
        <v>1</v>
      </c>
      <c r="H612">
        <f t="shared" si="174"/>
        <v>1</v>
      </c>
      <c r="I612">
        <f t="shared" si="175"/>
        <v>1</v>
      </c>
      <c r="J612">
        <f t="shared" si="176"/>
        <v>1</v>
      </c>
      <c r="K612">
        <f t="shared" si="177"/>
        <v>1</v>
      </c>
      <c r="L612" t="str">
        <f>'Lab test'!AC601</f>
        <v>LTWb</v>
      </c>
      <c r="O612" t="e">
        <f t="shared" si="178"/>
        <v>#N/A</v>
      </c>
      <c r="P612">
        <f t="shared" si="179"/>
        <v>0.67599178306953278</v>
      </c>
      <c r="Q612" t="e">
        <f t="shared" si="180"/>
        <v>#N/A</v>
      </c>
      <c r="R612" t="e">
        <f t="shared" si="181"/>
        <v>#N/A</v>
      </c>
      <c r="S612" t="e">
        <f t="shared" si="182"/>
        <v>#N/A</v>
      </c>
      <c r="T612" t="e">
        <f t="shared" si="183"/>
        <v>#N/A</v>
      </c>
      <c r="U612" t="e">
        <f t="shared" si="184"/>
        <v>#N/A</v>
      </c>
      <c r="W612" t="e">
        <f t="shared" si="185"/>
        <v>#N/A</v>
      </c>
      <c r="X612">
        <f t="shared" si="186"/>
        <v>0.28387285280970181</v>
      </c>
      <c r="Y612" t="e">
        <f t="shared" si="187"/>
        <v>#N/A</v>
      </c>
      <c r="Z612" t="e">
        <f t="shared" si="188"/>
        <v>#N/A</v>
      </c>
      <c r="AA612" t="e">
        <f t="shared" si="189"/>
        <v>#N/A</v>
      </c>
      <c r="AB612" t="e">
        <f t="shared" si="190"/>
        <v>#N/A</v>
      </c>
      <c r="AC612" t="e">
        <f t="shared" si="191"/>
        <v>#N/A</v>
      </c>
    </row>
    <row r="613" spans="2:29">
      <c r="B613">
        <v>599</v>
      </c>
      <c r="C613">
        <f>'Lab test'!Q602</f>
        <v>300</v>
      </c>
      <c r="D613">
        <f>IF('Lab test'!AQ602&gt;0,'Lab test'!AQ602,NA())</f>
        <v>0.63635091959803869</v>
      </c>
      <c r="E613">
        <f>IF('Lab test'!AU602&gt;0,'Lab test'!AU602,NA())</f>
        <v>0.71555018775255785</v>
      </c>
      <c r="F613">
        <f>IF('Lab test'!AT602&gt;0,'Lab test'!AT602,NA())</f>
        <v>0.28975667680445677</v>
      </c>
      <c r="G613">
        <f t="shared" si="173"/>
        <v>1</v>
      </c>
      <c r="H613">
        <f t="shared" si="174"/>
        <v>1</v>
      </c>
      <c r="I613">
        <f t="shared" si="175"/>
        <v>1</v>
      </c>
      <c r="J613">
        <f t="shared" si="176"/>
        <v>1</v>
      </c>
      <c r="K613">
        <f t="shared" si="177"/>
        <v>1</v>
      </c>
      <c r="L613" t="str">
        <f>'Lab test'!AC602</f>
        <v>LTWb</v>
      </c>
      <c r="O613" t="e">
        <f t="shared" si="178"/>
        <v>#N/A</v>
      </c>
      <c r="P613">
        <f t="shared" si="179"/>
        <v>0.71555018775255785</v>
      </c>
      <c r="Q613" t="e">
        <f t="shared" si="180"/>
        <v>#N/A</v>
      </c>
      <c r="R613" t="e">
        <f t="shared" si="181"/>
        <v>#N/A</v>
      </c>
      <c r="S613" t="e">
        <f t="shared" si="182"/>
        <v>#N/A</v>
      </c>
      <c r="T613" t="e">
        <f t="shared" si="183"/>
        <v>#N/A</v>
      </c>
      <c r="U613" t="e">
        <f t="shared" si="184"/>
        <v>#N/A</v>
      </c>
      <c r="W613" t="e">
        <f t="shared" si="185"/>
        <v>#N/A</v>
      </c>
      <c r="X613">
        <f t="shared" si="186"/>
        <v>0.28975667680445677</v>
      </c>
      <c r="Y613" t="e">
        <f t="shared" si="187"/>
        <v>#N/A</v>
      </c>
      <c r="Z613" t="e">
        <f t="shared" si="188"/>
        <v>#N/A</v>
      </c>
      <c r="AA613" t="e">
        <f t="shared" si="189"/>
        <v>#N/A</v>
      </c>
      <c r="AB613" t="e">
        <f t="shared" si="190"/>
        <v>#N/A</v>
      </c>
      <c r="AC613" t="e">
        <f t="shared" si="191"/>
        <v>#N/A</v>
      </c>
    </row>
    <row r="614" spans="2:29">
      <c r="B614">
        <v>600</v>
      </c>
      <c r="C614">
        <f>'Lab test'!Q603</f>
        <v>300</v>
      </c>
      <c r="D614">
        <f>IF('Lab test'!AQ603&gt;0,'Lab test'!AQ603,NA())</f>
        <v>0.62072394133270858</v>
      </c>
      <c r="E614">
        <f>IF('Lab test'!AU603&gt;0,'Lab test'!AU603,NA())</f>
        <v>0.69463068194469424</v>
      </c>
      <c r="F614">
        <f>IF('Lab test'!AT603&gt;0,'Lab test'!AT603,NA())</f>
        <v>0.26763995929768397</v>
      </c>
      <c r="G614">
        <f t="shared" si="173"/>
        <v>1</v>
      </c>
      <c r="H614">
        <f t="shared" si="174"/>
        <v>1</v>
      </c>
      <c r="I614">
        <f t="shared" si="175"/>
        <v>1</v>
      </c>
      <c r="J614">
        <f t="shared" si="176"/>
        <v>1</v>
      </c>
      <c r="K614">
        <f t="shared" si="177"/>
        <v>1</v>
      </c>
      <c r="L614" t="str">
        <f>'Lab test'!AC603</f>
        <v>LTWb</v>
      </c>
      <c r="O614" t="e">
        <f t="shared" si="178"/>
        <v>#N/A</v>
      </c>
      <c r="P614">
        <f t="shared" si="179"/>
        <v>0.69463068194469424</v>
      </c>
      <c r="Q614" t="e">
        <f t="shared" si="180"/>
        <v>#N/A</v>
      </c>
      <c r="R614" t="e">
        <f t="shared" si="181"/>
        <v>#N/A</v>
      </c>
      <c r="S614" t="e">
        <f t="shared" si="182"/>
        <v>#N/A</v>
      </c>
      <c r="T614" t="e">
        <f t="shared" si="183"/>
        <v>#N/A</v>
      </c>
      <c r="U614" t="e">
        <f t="shared" si="184"/>
        <v>#N/A</v>
      </c>
      <c r="W614" t="e">
        <f t="shared" si="185"/>
        <v>#N/A</v>
      </c>
      <c r="X614">
        <f t="shared" si="186"/>
        <v>0.26763995929768397</v>
      </c>
      <c r="Y614" t="e">
        <f t="shared" si="187"/>
        <v>#N/A</v>
      </c>
      <c r="Z614" t="e">
        <f t="shared" si="188"/>
        <v>#N/A</v>
      </c>
      <c r="AA614" t="e">
        <f t="shared" si="189"/>
        <v>#N/A</v>
      </c>
      <c r="AB614" t="e">
        <f t="shared" si="190"/>
        <v>#N/A</v>
      </c>
      <c r="AC614" t="e">
        <f t="shared" si="191"/>
        <v>#N/A</v>
      </c>
    </row>
    <row r="615" spans="2:29">
      <c r="B615">
        <v>601</v>
      </c>
      <c r="C615">
        <f>'Lab test'!Q604</f>
        <v>300</v>
      </c>
      <c r="D615">
        <f>IF('Lab test'!AQ604&gt;0,'Lab test'!AQ604,NA())</f>
        <v>0.62446595868682853</v>
      </c>
      <c r="E615">
        <f>IF('Lab test'!AU604&gt;0,'Lab test'!AU604,NA())</f>
        <v>0.62049036917671818</v>
      </c>
      <c r="F615">
        <f>IF('Lab test'!AT604&gt;0,'Lab test'!AT604,NA())</f>
        <v>0.24196501805912921</v>
      </c>
      <c r="G615">
        <f t="shared" si="173"/>
        <v>1</v>
      </c>
      <c r="H615">
        <f t="shared" si="174"/>
        <v>1</v>
      </c>
      <c r="I615">
        <f t="shared" si="175"/>
        <v>1</v>
      </c>
      <c r="J615">
        <f t="shared" si="176"/>
        <v>1</v>
      </c>
      <c r="K615">
        <f t="shared" si="177"/>
        <v>1</v>
      </c>
      <c r="L615" t="str">
        <f>'Lab test'!AC604</f>
        <v>LTWb</v>
      </c>
      <c r="O615" t="e">
        <f t="shared" si="178"/>
        <v>#N/A</v>
      </c>
      <c r="P615">
        <f t="shared" si="179"/>
        <v>0.62049036917671818</v>
      </c>
      <c r="Q615" t="e">
        <f t="shared" si="180"/>
        <v>#N/A</v>
      </c>
      <c r="R615" t="e">
        <f t="shared" si="181"/>
        <v>#N/A</v>
      </c>
      <c r="S615" t="e">
        <f t="shared" si="182"/>
        <v>#N/A</v>
      </c>
      <c r="T615" t="e">
        <f t="shared" si="183"/>
        <v>#N/A</v>
      </c>
      <c r="U615" t="e">
        <f t="shared" si="184"/>
        <v>#N/A</v>
      </c>
      <c r="W615" t="e">
        <f t="shared" si="185"/>
        <v>#N/A</v>
      </c>
      <c r="X615">
        <f t="shared" si="186"/>
        <v>0.24196501805912921</v>
      </c>
      <c r="Y615" t="e">
        <f t="shared" si="187"/>
        <v>#N/A</v>
      </c>
      <c r="Z615" t="e">
        <f t="shared" si="188"/>
        <v>#N/A</v>
      </c>
      <c r="AA615" t="e">
        <f t="shared" si="189"/>
        <v>#N/A</v>
      </c>
      <c r="AB615" t="e">
        <f t="shared" si="190"/>
        <v>#N/A</v>
      </c>
      <c r="AC615" t="e">
        <f t="shared" si="191"/>
        <v>#N/A</v>
      </c>
    </row>
    <row r="616" spans="2:29">
      <c r="B616">
        <v>602</v>
      </c>
      <c r="C616">
        <f>'Lab test'!Q605</f>
        <v>183.95303326810173</v>
      </c>
      <c r="D616" t="e">
        <f>IF('Lab test'!AQ605&gt;0,'Lab test'!AQ605,NA())</f>
        <v>#N/A</v>
      </c>
      <c r="E616" t="e">
        <f>IF('Lab test'!AU605&gt;0,'Lab test'!AU605,NA())</f>
        <v>#N/A</v>
      </c>
      <c r="F616">
        <f>IF('Lab test'!AT605&gt;0,'Lab test'!AT605,NA())</f>
        <v>0.82483838488084604</v>
      </c>
      <c r="G616" t="e">
        <f t="shared" si="173"/>
        <v>#N/A</v>
      </c>
      <c r="H616" t="e">
        <f t="shared" si="174"/>
        <v>#N/A</v>
      </c>
      <c r="I616" t="e">
        <f t="shared" si="175"/>
        <v>#N/A</v>
      </c>
      <c r="J616">
        <f t="shared" si="176"/>
        <v>1</v>
      </c>
      <c r="K616">
        <f t="shared" si="177"/>
        <v>1</v>
      </c>
      <c r="L616" t="str">
        <f>'Lab test'!AC605</f>
        <v>Miscellaneous</v>
      </c>
      <c r="O616" t="e">
        <f t="shared" si="178"/>
        <v>#N/A</v>
      </c>
      <c r="P616" t="e">
        <f t="shared" si="179"/>
        <v>#N/A</v>
      </c>
      <c r="Q616" t="e">
        <f t="shared" si="180"/>
        <v>#N/A</v>
      </c>
      <c r="R616" t="e">
        <f t="shared" si="181"/>
        <v>#N/A</v>
      </c>
      <c r="S616" t="e">
        <f t="shared" si="182"/>
        <v>#N/A</v>
      </c>
      <c r="T616" t="e">
        <f t="shared" si="183"/>
        <v>#N/A</v>
      </c>
      <c r="U616" t="e">
        <f t="shared" si="184"/>
        <v>#N/A</v>
      </c>
      <c r="W616" t="e">
        <f t="shared" si="185"/>
        <v>#N/A</v>
      </c>
      <c r="X616" t="e">
        <f t="shared" si="186"/>
        <v>#N/A</v>
      </c>
      <c r="Y616" t="e">
        <f t="shared" si="187"/>
        <v>#N/A</v>
      </c>
      <c r="Z616" t="e">
        <f t="shared" si="188"/>
        <v>#N/A</v>
      </c>
      <c r="AA616" t="e">
        <f t="shared" si="189"/>
        <v>#N/A</v>
      </c>
      <c r="AB616" t="e">
        <f t="shared" si="190"/>
        <v>#N/A</v>
      </c>
      <c r="AC616">
        <f t="shared" si="191"/>
        <v>0.82483838488084604</v>
      </c>
    </row>
    <row r="617" spans="2:29">
      <c r="B617">
        <v>603</v>
      </c>
      <c r="C617">
        <f>'Lab test'!Q606</f>
        <v>182.87937743190659</v>
      </c>
      <c r="D617" t="e">
        <f>IF('Lab test'!AQ606&gt;0,'Lab test'!AQ606,NA())</f>
        <v>#N/A</v>
      </c>
      <c r="E617" t="e">
        <f>IF('Lab test'!AU606&gt;0,'Lab test'!AU606,NA())</f>
        <v>#N/A</v>
      </c>
      <c r="F617">
        <f>IF('Lab test'!AT606&gt;0,'Lab test'!AT606,NA())</f>
        <v>0.86642738539875586</v>
      </c>
      <c r="G617" t="e">
        <f t="shared" si="173"/>
        <v>#N/A</v>
      </c>
      <c r="H617" t="e">
        <f t="shared" si="174"/>
        <v>#N/A</v>
      </c>
      <c r="I617" t="e">
        <f t="shared" si="175"/>
        <v>#N/A</v>
      </c>
      <c r="J617">
        <f t="shared" si="176"/>
        <v>1</v>
      </c>
      <c r="K617">
        <f t="shared" si="177"/>
        <v>1</v>
      </c>
      <c r="L617" t="str">
        <f>'Lab test'!AC606</f>
        <v>Miscellaneous</v>
      </c>
      <c r="O617" t="e">
        <f t="shared" si="178"/>
        <v>#N/A</v>
      </c>
      <c r="P617" t="e">
        <f t="shared" si="179"/>
        <v>#N/A</v>
      </c>
      <c r="Q617" t="e">
        <f t="shared" si="180"/>
        <v>#N/A</v>
      </c>
      <c r="R617" t="e">
        <f t="shared" si="181"/>
        <v>#N/A</v>
      </c>
      <c r="S617" t="e">
        <f t="shared" si="182"/>
        <v>#N/A</v>
      </c>
      <c r="T617" t="e">
        <f t="shared" si="183"/>
        <v>#N/A</v>
      </c>
      <c r="U617" t="e">
        <f t="shared" si="184"/>
        <v>#N/A</v>
      </c>
      <c r="W617" t="e">
        <f t="shared" si="185"/>
        <v>#N/A</v>
      </c>
      <c r="X617" t="e">
        <f t="shared" si="186"/>
        <v>#N/A</v>
      </c>
      <c r="Y617" t="e">
        <f t="shared" si="187"/>
        <v>#N/A</v>
      </c>
      <c r="Z617" t="e">
        <f t="shared" si="188"/>
        <v>#N/A</v>
      </c>
      <c r="AA617" t="e">
        <f t="shared" si="189"/>
        <v>#N/A</v>
      </c>
      <c r="AB617" t="e">
        <f t="shared" si="190"/>
        <v>#N/A</v>
      </c>
      <c r="AC617">
        <f t="shared" si="191"/>
        <v>0.86642738539875586</v>
      </c>
    </row>
    <row r="618" spans="2:29">
      <c r="B618">
        <v>604</v>
      </c>
      <c r="C618">
        <f>'Lab test'!Q607</f>
        <v>178.36812144212522</v>
      </c>
      <c r="D618" t="e">
        <f>IF('Lab test'!AQ607&gt;0,'Lab test'!AQ607,NA())</f>
        <v>#N/A</v>
      </c>
      <c r="E618" t="e">
        <f>IF('Lab test'!AU607&gt;0,'Lab test'!AU607,NA())</f>
        <v>#N/A</v>
      </c>
      <c r="F618">
        <f>IF('Lab test'!AT607&gt;0,'Lab test'!AT607,NA())</f>
        <v>0.83683328755722586</v>
      </c>
      <c r="G618" t="e">
        <f t="shared" si="173"/>
        <v>#N/A</v>
      </c>
      <c r="H618" t="e">
        <f t="shared" si="174"/>
        <v>#N/A</v>
      </c>
      <c r="I618" t="e">
        <f t="shared" si="175"/>
        <v>#N/A</v>
      </c>
      <c r="J618">
        <f t="shared" si="176"/>
        <v>1</v>
      </c>
      <c r="K618">
        <f t="shared" si="177"/>
        <v>1</v>
      </c>
      <c r="L618" t="str">
        <f>'Lab test'!AC607</f>
        <v>Miscellaneous</v>
      </c>
      <c r="O618" t="e">
        <f t="shared" si="178"/>
        <v>#N/A</v>
      </c>
      <c r="P618" t="e">
        <f t="shared" si="179"/>
        <v>#N/A</v>
      </c>
      <c r="Q618" t="e">
        <f t="shared" si="180"/>
        <v>#N/A</v>
      </c>
      <c r="R618" t="e">
        <f t="shared" si="181"/>
        <v>#N/A</v>
      </c>
      <c r="S618" t="e">
        <f t="shared" si="182"/>
        <v>#N/A</v>
      </c>
      <c r="T618" t="e">
        <f t="shared" si="183"/>
        <v>#N/A</v>
      </c>
      <c r="U618" t="e">
        <f t="shared" si="184"/>
        <v>#N/A</v>
      </c>
      <c r="W618" t="e">
        <f t="shared" si="185"/>
        <v>#N/A</v>
      </c>
      <c r="X618" t="e">
        <f t="shared" si="186"/>
        <v>#N/A</v>
      </c>
      <c r="Y618" t="e">
        <f t="shared" si="187"/>
        <v>#N/A</v>
      </c>
      <c r="Z618" t="e">
        <f t="shared" si="188"/>
        <v>#N/A</v>
      </c>
      <c r="AA618" t="e">
        <f t="shared" si="189"/>
        <v>#N/A</v>
      </c>
      <c r="AB618" t="e">
        <f t="shared" si="190"/>
        <v>#N/A</v>
      </c>
      <c r="AC618">
        <f t="shared" si="191"/>
        <v>0.83683328755722586</v>
      </c>
    </row>
    <row r="619" spans="2:29">
      <c r="B619">
        <v>605</v>
      </c>
      <c r="C619">
        <f>'Lab test'!Q608</f>
        <v>540</v>
      </c>
      <c r="D619" t="e">
        <f>IF('Lab test'!AQ608&gt;0,'Lab test'!AQ608,NA())</f>
        <v>#N/A</v>
      </c>
      <c r="E619" t="e">
        <f>IF('Lab test'!AU608&gt;0,'Lab test'!AU608,NA())</f>
        <v>#N/A</v>
      </c>
      <c r="F619" t="e">
        <f>IF('Lab test'!AT608&gt;0,'Lab test'!AT608,NA())</f>
        <v>#N/A</v>
      </c>
      <c r="G619" t="e">
        <f t="shared" si="173"/>
        <v>#N/A</v>
      </c>
      <c r="H619" t="e">
        <f t="shared" si="174"/>
        <v>#N/A</v>
      </c>
      <c r="I619" t="e">
        <f t="shared" si="175"/>
        <v>#N/A</v>
      </c>
      <c r="J619" t="e">
        <f t="shared" si="176"/>
        <v>#N/A</v>
      </c>
      <c r="K619" t="e">
        <f t="shared" si="177"/>
        <v>#N/A</v>
      </c>
      <c r="L619" t="str">
        <f>'Lab test'!AC608</f>
        <v>Electroforming</v>
      </c>
      <c r="O619" t="e">
        <f t="shared" si="178"/>
        <v>#N/A</v>
      </c>
      <c r="P619" t="e">
        <f t="shared" si="179"/>
        <v>#N/A</v>
      </c>
      <c r="Q619" t="e">
        <f t="shared" si="180"/>
        <v>#N/A</v>
      </c>
      <c r="R619" t="e">
        <f t="shared" si="181"/>
        <v>#N/A</v>
      </c>
      <c r="S619" t="e">
        <f t="shared" si="182"/>
        <v>#N/A</v>
      </c>
      <c r="T619" t="e">
        <f t="shared" si="183"/>
        <v>#N/A</v>
      </c>
      <c r="U619" t="e">
        <f t="shared" si="184"/>
        <v>#N/A</v>
      </c>
      <c r="W619" t="e">
        <f t="shared" si="185"/>
        <v>#N/A</v>
      </c>
      <c r="X619" t="e">
        <f t="shared" si="186"/>
        <v>#N/A</v>
      </c>
      <c r="Y619" t="e">
        <f t="shared" si="187"/>
        <v>#N/A</v>
      </c>
      <c r="Z619" t="e">
        <f t="shared" si="188"/>
        <v>#N/A</v>
      </c>
      <c r="AA619" t="e">
        <f t="shared" si="189"/>
        <v>#N/A</v>
      </c>
      <c r="AB619" t="e">
        <f t="shared" si="190"/>
        <v>#N/A</v>
      </c>
      <c r="AC619" t="e">
        <f t="shared" si="191"/>
        <v>#N/A</v>
      </c>
    </row>
    <row r="620" spans="2:29">
      <c r="B620">
        <v>606</v>
      </c>
      <c r="C620">
        <f>'Lab test'!Q609</f>
        <v>645</v>
      </c>
      <c r="D620" t="e">
        <f>IF('Lab test'!AQ609&gt;0,'Lab test'!AQ609,NA())</f>
        <v>#N/A</v>
      </c>
      <c r="E620" t="e">
        <f>IF('Lab test'!AU609&gt;0,'Lab test'!AU609,NA())</f>
        <v>#N/A</v>
      </c>
      <c r="F620" t="e">
        <f>IF('Lab test'!AT609&gt;0,'Lab test'!AT609,NA())</f>
        <v>#N/A</v>
      </c>
      <c r="G620" t="e">
        <f t="shared" si="173"/>
        <v>#N/A</v>
      </c>
      <c r="H620" t="e">
        <f t="shared" si="174"/>
        <v>#N/A</v>
      </c>
      <c r="I620" t="e">
        <f t="shared" si="175"/>
        <v>#N/A</v>
      </c>
      <c r="J620" t="e">
        <f t="shared" si="176"/>
        <v>#N/A</v>
      </c>
      <c r="K620" t="e">
        <f t="shared" si="177"/>
        <v>#N/A</v>
      </c>
      <c r="L620" t="str">
        <f>'Lab test'!AC609</f>
        <v>Electroforming</v>
      </c>
      <c r="O620" t="e">
        <f t="shared" si="178"/>
        <v>#N/A</v>
      </c>
      <c r="P620" t="e">
        <f t="shared" si="179"/>
        <v>#N/A</v>
      </c>
      <c r="Q620" t="e">
        <f t="shared" si="180"/>
        <v>#N/A</v>
      </c>
      <c r="R620" t="e">
        <f t="shared" si="181"/>
        <v>#N/A</v>
      </c>
      <c r="S620" t="e">
        <f t="shared" si="182"/>
        <v>#N/A</v>
      </c>
      <c r="T620" t="e">
        <f t="shared" si="183"/>
        <v>#N/A</v>
      </c>
      <c r="U620" t="e">
        <f t="shared" si="184"/>
        <v>#N/A</v>
      </c>
      <c r="W620" t="e">
        <f t="shared" si="185"/>
        <v>#N/A</v>
      </c>
      <c r="X620" t="e">
        <f t="shared" si="186"/>
        <v>#N/A</v>
      </c>
      <c r="Y620" t="e">
        <f t="shared" si="187"/>
        <v>#N/A</v>
      </c>
      <c r="Z620" t="e">
        <f t="shared" si="188"/>
        <v>#N/A</v>
      </c>
      <c r="AA620" t="e">
        <f t="shared" si="189"/>
        <v>#N/A</v>
      </c>
      <c r="AB620" t="e">
        <f t="shared" si="190"/>
        <v>#N/A</v>
      </c>
      <c r="AC620" t="e">
        <f t="shared" si="191"/>
        <v>#N/A</v>
      </c>
    </row>
    <row r="621" spans="2:29">
      <c r="B621">
        <v>607</v>
      </c>
      <c r="C621">
        <f>'Lab test'!Q610</f>
        <v>760</v>
      </c>
      <c r="D621" t="e">
        <f>IF('Lab test'!AQ610&gt;0,'Lab test'!AQ610,NA())</f>
        <v>#N/A</v>
      </c>
      <c r="E621" t="e">
        <f>IF('Lab test'!AU610&gt;0,'Lab test'!AU610,NA())</f>
        <v>#N/A</v>
      </c>
      <c r="F621" t="e">
        <f>IF('Lab test'!AT610&gt;0,'Lab test'!AT610,NA())</f>
        <v>#N/A</v>
      </c>
      <c r="G621" t="e">
        <f t="shared" si="173"/>
        <v>#N/A</v>
      </c>
      <c r="H621" t="e">
        <f t="shared" si="174"/>
        <v>#N/A</v>
      </c>
      <c r="I621" t="e">
        <f t="shared" si="175"/>
        <v>#N/A</v>
      </c>
      <c r="J621" t="e">
        <f t="shared" si="176"/>
        <v>#N/A</v>
      </c>
      <c r="K621" t="e">
        <f t="shared" si="177"/>
        <v>#N/A</v>
      </c>
      <c r="L621" t="str">
        <f>'Lab test'!AC610</f>
        <v>Electroforming</v>
      </c>
      <c r="O621" t="e">
        <f t="shared" si="178"/>
        <v>#N/A</v>
      </c>
      <c r="P621" t="e">
        <f t="shared" si="179"/>
        <v>#N/A</v>
      </c>
      <c r="Q621" t="e">
        <f t="shared" si="180"/>
        <v>#N/A</v>
      </c>
      <c r="R621" t="e">
        <f t="shared" si="181"/>
        <v>#N/A</v>
      </c>
      <c r="S621" t="e">
        <f t="shared" si="182"/>
        <v>#N/A</v>
      </c>
      <c r="T621" t="e">
        <f t="shared" si="183"/>
        <v>#N/A</v>
      </c>
      <c r="U621" t="e">
        <f t="shared" si="184"/>
        <v>#N/A</v>
      </c>
      <c r="W621" t="e">
        <f t="shared" si="185"/>
        <v>#N/A</v>
      </c>
      <c r="X621" t="e">
        <f t="shared" si="186"/>
        <v>#N/A</v>
      </c>
      <c r="Y621" t="e">
        <f t="shared" si="187"/>
        <v>#N/A</v>
      </c>
      <c r="Z621" t="e">
        <f t="shared" si="188"/>
        <v>#N/A</v>
      </c>
      <c r="AA621" t="e">
        <f t="shared" si="189"/>
        <v>#N/A</v>
      </c>
      <c r="AB621" t="e">
        <f t="shared" si="190"/>
        <v>#N/A</v>
      </c>
      <c r="AC621" t="e">
        <f t="shared" si="191"/>
        <v>#N/A</v>
      </c>
    </row>
    <row r="622" spans="2:29">
      <c r="B622">
        <v>608</v>
      </c>
      <c r="C622">
        <f>'Lab test'!Q611</f>
        <v>645</v>
      </c>
      <c r="D622" t="e">
        <f>IF('Lab test'!AQ611&gt;0,'Lab test'!AQ611,NA())</f>
        <v>#N/A</v>
      </c>
      <c r="E622" t="e">
        <f>IF('Lab test'!AU611&gt;0,'Lab test'!AU611,NA())</f>
        <v>#N/A</v>
      </c>
      <c r="F622" t="e">
        <f>IF('Lab test'!AT611&gt;0,'Lab test'!AT611,NA())</f>
        <v>#N/A</v>
      </c>
      <c r="G622" t="e">
        <f t="shared" si="173"/>
        <v>#N/A</v>
      </c>
      <c r="H622" t="e">
        <f t="shared" si="174"/>
        <v>#N/A</v>
      </c>
      <c r="I622" t="e">
        <f t="shared" si="175"/>
        <v>#N/A</v>
      </c>
      <c r="J622" t="e">
        <f t="shared" si="176"/>
        <v>#N/A</v>
      </c>
      <c r="K622" t="e">
        <f t="shared" si="177"/>
        <v>#N/A</v>
      </c>
      <c r="L622" t="str">
        <f>'Lab test'!AC611</f>
        <v>Electroforming</v>
      </c>
      <c r="O622" t="e">
        <f t="shared" si="178"/>
        <v>#N/A</v>
      </c>
      <c r="P622" t="e">
        <f t="shared" si="179"/>
        <v>#N/A</v>
      </c>
      <c r="Q622" t="e">
        <f t="shared" si="180"/>
        <v>#N/A</v>
      </c>
      <c r="R622" t="e">
        <f t="shared" si="181"/>
        <v>#N/A</v>
      </c>
      <c r="S622" t="e">
        <f t="shared" si="182"/>
        <v>#N/A</v>
      </c>
      <c r="T622" t="e">
        <f t="shared" si="183"/>
        <v>#N/A</v>
      </c>
      <c r="U622" t="e">
        <f t="shared" si="184"/>
        <v>#N/A</v>
      </c>
      <c r="W622" t="e">
        <f t="shared" si="185"/>
        <v>#N/A</v>
      </c>
      <c r="X622" t="e">
        <f t="shared" si="186"/>
        <v>#N/A</v>
      </c>
      <c r="Y622" t="e">
        <f t="shared" si="187"/>
        <v>#N/A</v>
      </c>
      <c r="Z622" t="e">
        <f t="shared" si="188"/>
        <v>#N/A</v>
      </c>
      <c r="AA622" t="e">
        <f t="shared" si="189"/>
        <v>#N/A</v>
      </c>
      <c r="AB622" t="e">
        <f t="shared" si="190"/>
        <v>#N/A</v>
      </c>
      <c r="AC622" t="e">
        <f t="shared" si="191"/>
        <v>#N/A</v>
      </c>
    </row>
    <row r="623" spans="2:29">
      <c r="B623">
        <v>609</v>
      </c>
      <c r="C623">
        <f>'Lab test'!Q612</f>
        <v>700</v>
      </c>
      <c r="D623" t="e">
        <f>IF('Lab test'!AQ612&gt;0,'Lab test'!AQ612,NA())</f>
        <v>#N/A</v>
      </c>
      <c r="E623" t="e">
        <f>IF('Lab test'!AU612&gt;0,'Lab test'!AU612,NA())</f>
        <v>#N/A</v>
      </c>
      <c r="F623">
        <f>IF('Lab test'!AT612&gt;0,'Lab test'!AT612,NA())</f>
        <v>0.66666666666666663</v>
      </c>
      <c r="G623" t="e">
        <f t="shared" si="173"/>
        <v>#N/A</v>
      </c>
      <c r="H623" t="e">
        <f t="shared" si="174"/>
        <v>#N/A</v>
      </c>
      <c r="I623" t="e">
        <f t="shared" si="175"/>
        <v>#N/A</v>
      </c>
      <c r="J623">
        <f t="shared" si="176"/>
        <v>1</v>
      </c>
      <c r="K623">
        <f t="shared" si="177"/>
        <v>1</v>
      </c>
      <c r="L623" t="str">
        <f>'Lab test'!AC612</f>
        <v>Electroforming</v>
      </c>
      <c r="O623" t="e">
        <f t="shared" si="178"/>
        <v>#N/A</v>
      </c>
      <c r="P623" t="e">
        <f t="shared" si="179"/>
        <v>#N/A</v>
      </c>
      <c r="Q623" t="e">
        <f t="shared" si="180"/>
        <v>#N/A</v>
      </c>
      <c r="R623" t="e">
        <f t="shared" si="181"/>
        <v>#N/A</v>
      </c>
      <c r="S623" t="e">
        <f t="shared" si="182"/>
        <v>#N/A</v>
      </c>
      <c r="T623" t="e">
        <f t="shared" si="183"/>
        <v>#N/A</v>
      </c>
      <c r="U623" t="e">
        <f t="shared" si="184"/>
        <v>#N/A</v>
      </c>
      <c r="W623" t="e">
        <f t="shared" si="185"/>
        <v>#N/A</v>
      </c>
      <c r="X623" t="e">
        <f t="shared" si="186"/>
        <v>#N/A</v>
      </c>
      <c r="Y623">
        <f t="shared" si="187"/>
        <v>0.66666666666666663</v>
      </c>
      <c r="Z623" t="e">
        <f t="shared" si="188"/>
        <v>#N/A</v>
      </c>
      <c r="AA623" t="e">
        <f t="shared" si="189"/>
        <v>#N/A</v>
      </c>
      <c r="AB623" t="e">
        <f t="shared" si="190"/>
        <v>#N/A</v>
      </c>
      <c r="AC623" t="e">
        <f t="shared" si="191"/>
        <v>#N/A</v>
      </c>
    </row>
    <row r="624" spans="2:29">
      <c r="B624">
        <v>610</v>
      </c>
      <c r="C624">
        <f>'Lab test'!Q613</f>
        <v>525</v>
      </c>
      <c r="D624" t="e">
        <f>IF('Lab test'!AQ613&gt;0,'Lab test'!AQ613,NA())</f>
        <v>#N/A</v>
      </c>
      <c r="E624" t="e">
        <f>IF('Lab test'!AU613&gt;0,'Lab test'!AU613,NA())</f>
        <v>#N/A</v>
      </c>
      <c r="F624" t="e">
        <f>IF('Lab test'!AT613&gt;0,'Lab test'!AT613,NA())</f>
        <v>#N/A</v>
      </c>
      <c r="G624" t="e">
        <f t="shared" si="173"/>
        <v>#N/A</v>
      </c>
      <c r="H624" t="e">
        <f t="shared" si="174"/>
        <v>#N/A</v>
      </c>
      <c r="I624" t="e">
        <f t="shared" si="175"/>
        <v>#N/A</v>
      </c>
      <c r="J624" t="e">
        <f t="shared" si="176"/>
        <v>#N/A</v>
      </c>
      <c r="K624" t="e">
        <f t="shared" si="177"/>
        <v>#N/A</v>
      </c>
      <c r="L624" t="str">
        <f>'Lab test'!AC613</f>
        <v>Electroforming</v>
      </c>
      <c r="O624" t="e">
        <f t="shared" si="178"/>
        <v>#N/A</v>
      </c>
      <c r="P624" t="e">
        <f t="shared" si="179"/>
        <v>#N/A</v>
      </c>
      <c r="Q624" t="e">
        <f t="shared" si="180"/>
        <v>#N/A</v>
      </c>
      <c r="R624" t="e">
        <f t="shared" si="181"/>
        <v>#N/A</v>
      </c>
      <c r="S624" t="e">
        <f t="shared" si="182"/>
        <v>#N/A</v>
      </c>
      <c r="T624" t="e">
        <f t="shared" si="183"/>
        <v>#N/A</v>
      </c>
      <c r="U624" t="e">
        <f t="shared" si="184"/>
        <v>#N/A</v>
      </c>
      <c r="W624" t="e">
        <f t="shared" si="185"/>
        <v>#N/A</v>
      </c>
      <c r="X624" t="e">
        <f t="shared" si="186"/>
        <v>#N/A</v>
      </c>
      <c r="Y624" t="e">
        <f t="shared" si="187"/>
        <v>#N/A</v>
      </c>
      <c r="Z624" t="e">
        <f t="shared" si="188"/>
        <v>#N/A</v>
      </c>
      <c r="AA624" t="e">
        <f t="shared" si="189"/>
        <v>#N/A</v>
      </c>
      <c r="AB624" t="e">
        <f t="shared" si="190"/>
        <v>#N/A</v>
      </c>
      <c r="AC624" t="e">
        <f t="shared" si="191"/>
        <v>#N/A</v>
      </c>
    </row>
    <row r="625" spans="2:29">
      <c r="B625">
        <v>611</v>
      </c>
      <c r="C625">
        <f>'Lab test'!Q614</f>
        <v>840</v>
      </c>
      <c r="D625" t="e">
        <f>IF('Lab test'!AQ614&gt;0,'Lab test'!AQ614,NA())</f>
        <v>#N/A</v>
      </c>
      <c r="E625" t="e">
        <f>IF('Lab test'!AU614&gt;0,'Lab test'!AU614,NA())</f>
        <v>#N/A</v>
      </c>
      <c r="F625">
        <f>IF('Lab test'!AT614&gt;0,'Lab test'!AT614,NA())</f>
        <v>0.60810810810810823</v>
      </c>
      <c r="G625" t="e">
        <f t="shared" si="173"/>
        <v>#N/A</v>
      </c>
      <c r="H625" t="e">
        <f t="shared" si="174"/>
        <v>#N/A</v>
      </c>
      <c r="I625" t="e">
        <f t="shared" si="175"/>
        <v>#N/A</v>
      </c>
      <c r="J625">
        <f t="shared" si="176"/>
        <v>1</v>
      </c>
      <c r="K625">
        <f t="shared" si="177"/>
        <v>1</v>
      </c>
      <c r="L625" t="str">
        <f>'Lab test'!AC614</f>
        <v>Electroforming</v>
      </c>
      <c r="O625" t="e">
        <f t="shared" si="178"/>
        <v>#N/A</v>
      </c>
      <c r="P625" t="e">
        <f t="shared" si="179"/>
        <v>#N/A</v>
      </c>
      <c r="Q625" t="e">
        <f t="shared" si="180"/>
        <v>#N/A</v>
      </c>
      <c r="R625" t="e">
        <f t="shared" si="181"/>
        <v>#N/A</v>
      </c>
      <c r="S625" t="e">
        <f t="shared" si="182"/>
        <v>#N/A</v>
      </c>
      <c r="T625" t="e">
        <f t="shared" si="183"/>
        <v>#N/A</v>
      </c>
      <c r="U625" t="e">
        <f t="shared" si="184"/>
        <v>#N/A</v>
      </c>
      <c r="W625" t="e">
        <f t="shared" si="185"/>
        <v>#N/A</v>
      </c>
      <c r="X625" t="e">
        <f t="shared" si="186"/>
        <v>#N/A</v>
      </c>
      <c r="Y625">
        <f t="shared" si="187"/>
        <v>0.60810810810810823</v>
      </c>
      <c r="Z625" t="e">
        <f t="shared" si="188"/>
        <v>#N/A</v>
      </c>
      <c r="AA625" t="e">
        <f t="shared" si="189"/>
        <v>#N/A</v>
      </c>
      <c r="AB625" t="e">
        <f t="shared" si="190"/>
        <v>#N/A</v>
      </c>
      <c r="AC625" t="e">
        <f t="shared" si="191"/>
        <v>#N/A</v>
      </c>
    </row>
    <row r="626" spans="2:29">
      <c r="B626">
        <v>612</v>
      </c>
      <c r="C626">
        <f>'Lab test'!Q615</f>
        <v>985</v>
      </c>
      <c r="D626" t="e">
        <f>IF('Lab test'!AQ615&gt;0,'Lab test'!AQ615,NA())</f>
        <v>#N/A</v>
      </c>
      <c r="E626" t="e">
        <f>IF('Lab test'!AU615&gt;0,'Lab test'!AU615,NA())</f>
        <v>#N/A</v>
      </c>
      <c r="F626">
        <f>IF('Lab test'!AT615&gt;0,'Lab test'!AT615,NA())</f>
        <v>0.62857142857142845</v>
      </c>
      <c r="G626" t="e">
        <f t="shared" si="173"/>
        <v>#N/A</v>
      </c>
      <c r="H626" t="e">
        <f t="shared" si="174"/>
        <v>#N/A</v>
      </c>
      <c r="I626" t="e">
        <f t="shared" si="175"/>
        <v>#N/A</v>
      </c>
      <c r="J626">
        <f t="shared" si="176"/>
        <v>1</v>
      </c>
      <c r="K626">
        <f t="shared" si="177"/>
        <v>1</v>
      </c>
      <c r="L626" t="str">
        <f>'Lab test'!AC615</f>
        <v>Electroforming</v>
      </c>
      <c r="O626" t="e">
        <f t="shared" si="178"/>
        <v>#N/A</v>
      </c>
      <c r="P626" t="e">
        <f t="shared" si="179"/>
        <v>#N/A</v>
      </c>
      <c r="Q626" t="e">
        <f t="shared" si="180"/>
        <v>#N/A</v>
      </c>
      <c r="R626" t="e">
        <f t="shared" si="181"/>
        <v>#N/A</v>
      </c>
      <c r="S626" t="e">
        <f t="shared" si="182"/>
        <v>#N/A</v>
      </c>
      <c r="T626" t="e">
        <f t="shared" si="183"/>
        <v>#N/A</v>
      </c>
      <c r="U626" t="e">
        <f t="shared" si="184"/>
        <v>#N/A</v>
      </c>
      <c r="W626" t="e">
        <f t="shared" si="185"/>
        <v>#N/A</v>
      </c>
      <c r="X626" t="e">
        <f t="shared" si="186"/>
        <v>#N/A</v>
      </c>
      <c r="Y626">
        <f t="shared" si="187"/>
        <v>0.62857142857142845</v>
      </c>
      <c r="Z626" t="e">
        <f t="shared" si="188"/>
        <v>#N/A</v>
      </c>
      <c r="AA626" t="e">
        <f t="shared" si="189"/>
        <v>#N/A</v>
      </c>
      <c r="AB626" t="e">
        <f t="shared" si="190"/>
        <v>#N/A</v>
      </c>
      <c r="AC626" t="e">
        <f t="shared" si="191"/>
        <v>#N/A</v>
      </c>
    </row>
    <row r="627" spans="2:29">
      <c r="B627">
        <v>613</v>
      </c>
      <c r="C627">
        <f>'Lab test'!Q616</f>
        <v>670</v>
      </c>
      <c r="D627" t="e">
        <f>IF('Lab test'!AQ616&gt;0,'Lab test'!AQ616,NA())</f>
        <v>#N/A</v>
      </c>
      <c r="E627" t="e">
        <f>IF('Lab test'!AU616&gt;0,'Lab test'!AU616,NA())</f>
        <v>#N/A</v>
      </c>
      <c r="F627" t="e">
        <f>IF('Lab test'!AT616&gt;0,'Lab test'!AT616,NA())</f>
        <v>#N/A</v>
      </c>
      <c r="G627" t="e">
        <f t="shared" si="173"/>
        <v>#N/A</v>
      </c>
      <c r="H627" t="e">
        <f t="shared" si="174"/>
        <v>#N/A</v>
      </c>
      <c r="I627" t="e">
        <f t="shared" si="175"/>
        <v>#N/A</v>
      </c>
      <c r="J627" t="e">
        <f t="shared" si="176"/>
        <v>#N/A</v>
      </c>
      <c r="K627" t="e">
        <f t="shared" si="177"/>
        <v>#N/A</v>
      </c>
      <c r="L627" t="str">
        <f>'Lab test'!AC616</f>
        <v>Electroforming</v>
      </c>
      <c r="O627" t="e">
        <f t="shared" si="178"/>
        <v>#N/A</v>
      </c>
      <c r="P627" t="e">
        <f t="shared" si="179"/>
        <v>#N/A</v>
      </c>
      <c r="Q627" t="e">
        <f t="shared" si="180"/>
        <v>#N/A</v>
      </c>
      <c r="R627" t="e">
        <f t="shared" si="181"/>
        <v>#N/A</v>
      </c>
      <c r="S627" t="e">
        <f t="shared" si="182"/>
        <v>#N/A</v>
      </c>
      <c r="T627" t="e">
        <f t="shared" si="183"/>
        <v>#N/A</v>
      </c>
      <c r="U627" t="e">
        <f t="shared" si="184"/>
        <v>#N/A</v>
      </c>
      <c r="W627" t="e">
        <f t="shared" si="185"/>
        <v>#N/A</v>
      </c>
      <c r="X627" t="e">
        <f t="shared" si="186"/>
        <v>#N/A</v>
      </c>
      <c r="Y627" t="e">
        <f t="shared" si="187"/>
        <v>#N/A</v>
      </c>
      <c r="Z627" t="e">
        <f t="shared" si="188"/>
        <v>#N/A</v>
      </c>
      <c r="AA627" t="e">
        <f t="shared" si="189"/>
        <v>#N/A</v>
      </c>
      <c r="AB627" t="e">
        <f t="shared" si="190"/>
        <v>#N/A</v>
      </c>
      <c r="AC627" t="e">
        <f t="shared" si="191"/>
        <v>#N/A</v>
      </c>
    </row>
    <row r="628" spans="2:29">
      <c r="B628">
        <v>614</v>
      </c>
      <c r="C628">
        <f>'Lab test'!Q617</f>
        <v>602.90963855421683</v>
      </c>
      <c r="D628" t="e">
        <f>IF('Lab test'!AQ617&gt;0,'Lab test'!AQ617,NA())</f>
        <v>#N/A</v>
      </c>
      <c r="E628" t="e">
        <f>IF('Lab test'!AU617&gt;0,'Lab test'!AU617,NA())</f>
        <v>#N/A</v>
      </c>
      <c r="F628">
        <f>IF('Lab test'!AT617&gt;0,'Lab test'!AT617,NA())</f>
        <v>0.31987969738637678</v>
      </c>
      <c r="G628" t="e">
        <f t="shared" si="173"/>
        <v>#N/A</v>
      </c>
      <c r="H628" t="e">
        <f t="shared" si="174"/>
        <v>#N/A</v>
      </c>
      <c r="I628" t="e">
        <f t="shared" si="175"/>
        <v>#N/A</v>
      </c>
      <c r="J628">
        <f t="shared" si="176"/>
        <v>1</v>
      </c>
      <c r="K628">
        <f t="shared" si="177"/>
        <v>1</v>
      </c>
      <c r="L628" t="str">
        <f>'Lab test'!AC617</f>
        <v>LTWb</v>
      </c>
      <c r="O628" t="e">
        <f t="shared" si="178"/>
        <v>#N/A</v>
      </c>
      <c r="P628" t="e">
        <f t="shared" si="179"/>
        <v>#N/A</v>
      </c>
      <c r="Q628" t="e">
        <f t="shared" si="180"/>
        <v>#N/A</v>
      </c>
      <c r="R628" t="e">
        <f t="shared" si="181"/>
        <v>#N/A</v>
      </c>
      <c r="S628" t="e">
        <f t="shared" si="182"/>
        <v>#N/A</v>
      </c>
      <c r="T628" t="e">
        <f t="shared" si="183"/>
        <v>#N/A</v>
      </c>
      <c r="U628" t="e">
        <f t="shared" si="184"/>
        <v>#N/A</v>
      </c>
      <c r="W628" t="e">
        <f t="shared" si="185"/>
        <v>#N/A</v>
      </c>
      <c r="X628">
        <f t="shared" si="186"/>
        <v>0.31987969738637678</v>
      </c>
      <c r="Y628" t="e">
        <f t="shared" si="187"/>
        <v>#N/A</v>
      </c>
      <c r="Z628" t="e">
        <f t="shared" si="188"/>
        <v>#N/A</v>
      </c>
      <c r="AA628" t="e">
        <f t="shared" si="189"/>
        <v>#N/A</v>
      </c>
      <c r="AB628" t="e">
        <f t="shared" si="190"/>
        <v>#N/A</v>
      </c>
      <c r="AC628" t="e">
        <f t="shared" si="191"/>
        <v>#N/A</v>
      </c>
    </row>
    <row r="629" spans="2:29">
      <c r="B629">
        <v>615</v>
      </c>
      <c r="C629">
        <f>'Lab test'!Q618</f>
        <v>1750</v>
      </c>
      <c r="D629" t="e">
        <f>IF('Lab test'!AQ618&gt;0,'Lab test'!AQ618,NA())</f>
        <v>#N/A</v>
      </c>
      <c r="E629" t="e">
        <f>IF('Lab test'!AU618&gt;0,'Lab test'!AU618,NA())</f>
        <v>#N/A</v>
      </c>
      <c r="F629">
        <f>IF('Lab test'!AT618&gt;0,'Lab test'!AT618,NA())</f>
        <v>0.2354486408964809</v>
      </c>
      <c r="G629" t="e">
        <f t="shared" si="173"/>
        <v>#N/A</v>
      </c>
      <c r="H629" t="e">
        <f t="shared" si="174"/>
        <v>#N/A</v>
      </c>
      <c r="I629" t="e">
        <f t="shared" si="175"/>
        <v>#N/A</v>
      </c>
      <c r="J629">
        <f t="shared" si="176"/>
        <v>1</v>
      </c>
      <c r="K629">
        <f t="shared" si="177"/>
        <v>1</v>
      </c>
      <c r="L629" t="str">
        <f>'Lab test'!AC618</f>
        <v>LTWb</v>
      </c>
      <c r="O629" t="e">
        <f t="shared" si="178"/>
        <v>#N/A</v>
      </c>
      <c r="P629" t="e">
        <f t="shared" si="179"/>
        <v>#N/A</v>
      </c>
      <c r="Q629" t="e">
        <f t="shared" si="180"/>
        <v>#N/A</v>
      </c>
      <c r="R629" t="e">
        <f t="shared" si="181"/>
        <v>#N/A</v>
      </c>
      <c r="S629" t="e">
        <f t="shared" si="182"/>
        <v>#N/A</v>
      </c>
      <c r="T629" t="e">
        <f t="shared" si="183"/>
        <v>#N/A</v>
      </c>
      <c r="U629" t="e">
        <f t="shared" si="184"/>
        <v>#N/A</v>
      </c>
      <c r="W629" t="e">
        <f t="shared" si="185"/>
        <v>#N/A</v>
      </c>
      <c r="X629">
        <f t="shared" si="186"/>
        <v>0.2354486408964809</v>
      </c>
      <c r="Y629" t="e">
        <f t="shared" si="187"/>
        <v>#N/A</v>
      </c>
      <c r="Z629" t="e">
        <f t="shared" si="188"/>
        <v>#N/A</v>
      </c>
      <c r="AA629" t="e">
        <f t="shared" si="189"/>
        <v>#N/A</v>
      </c>
      <c r="AB629" t="e">
        <f t="shared" si="190"/>
        <v>#N/A</v>
      </c>
      <c r="AC629" t="e">
        <f t="shared" si="191"/>
        <v>#N/A</v>
      </c>
    </row>
    <row r="630" spans="2:29">
      <c r="B630">
        <v>616</v>
      </c>
      <c r="C630">
        <f>'Lab test'!Q619</f>
        <v>1750</v>
      </c>
      <c r="D630" t="e">
        <f>IF('Lab test'!AQ619&gt;0,'Lab test'!AQ619,NA())</f>
        <v>#N/A</v>
      </c>
      <c r="E630" t="e">
        <f>IF('Lab test'!AU619&gt;0,'Lab test'!AU619,NA())</f>
        <v>#N/A</v>
      </c>
      <c r="F630">
        <f>IF('Lab test'!AT619&gt;0,'Lab test'!AT619,NA())</f>
        <v>0.22525963538400162</v>
      </c>
      <c r="G630" t="e">
        <f t="shared" si="173"/>
        <v>#N/A</v>
      </c>
      <c r="H630" t="e">
        <f t="shared" si="174"/>
        <v>#N/A</v>
      </c>
      <c r="I630" t="e">
        <f t="shared" si="175"/>
        <v>#N/A</v>
      </c>
      <c r="J630">
        <f t="shared" si="176"/>
        <v>1</v>
      </c>
      <c r="K630">
        <f t="shared" si="177"/>
        <v>1</v>
      </c>
      <c r="L630" t="str">
        <f>'Lab test'!AC619</f>
        <v>LTWb</v>
      </c>
      <c r="O630" t="e">
        <f t="shared" si="178"/>
        <v>#N/A</v>
      </c>
      <c r="P630" t="e">
        <f t="shared" si="179"/>
        <v>#N/A</v>
      </c>
      <c r="Q630" t="e">
        <f t="shared" si="180"/>
        <v>#N/A</v>
      </c>
      <c r="R630" t="e">
        <f t="shared" si="181"/>
        <v>#N/A</v>
      </c>
      <c r="S630" t="e">
        <f t="shared" si="182"/>
        <v>#N/A</v>
      </c>
      <c r="T630" t="e">
        <f t="shared" si="183"/>
        <v>#N/A</v>
      </c>
      <c r="U630" t="e">
        <f t="shared" si="184"/>
        <v>#N/A</v>
      </c>
      <c r="W630" t="e">
        <f t="shared" si="185"/>
        <v>#N/A</v>
      </c>
      <c r="X630">
        <f t="shared" si="186"/>
        <v>0.22525963538400162</v>
      </c>
      <c r="Y630" t="e">
        <f t="shared" si="187"/>
        <v>#N/A</v>
      </c>
      <c r="Z630" t="e">
        <f t="shared" si="188"/>
        <v>#N/A</v>
      </c>
      <c r="AA630" t="e">
        <f t="shared" si="189"/>
        <v>#N/A</v>
      </c>
      <c r="AB630" t="e">
        <f t="shared" si="190"/>
        <v>#N/A</v>
      </c>
      <c r="AC630" t="e">
        <f t="shared" si="191"/>
        <v>#N/A</v>
      </c>
    </row>
    <row r="631" spans="2:29">
      <c r="B631">
        <v>617</v>
      </c>
      <c r="C631">
        <f>'Lab test'!Q620</f>
        <v>1005.7471264367817</v>
      </c>
      <c r="D631" t="e">
        <f>IF('Lab test'!AQ620&gt;0,'Lab test'!AQ620,NA())</f>
        <v>#N/A</v>
      </c>
      <c r="E631" t="e">
        <f>IF('Lab test'!AU620&gt;0,'Lab test'!AU620,NA())</f>
        <v>#N/A</v>
      </c>
      <c r="F631">
        <f>IF('Lab test'!AT620&gt;0,'Lab test'!AT620,NA())</f>
        <v>0.35758763435205265</v>
      </c>
      <c r="G631" t="e">
        <f t="shared" si="173"/>
        <v>#N/A</v>
      </c>
      <c r="H631" t="e">
        <f t="shared" si="174"/>
        <v>#N/A</v>
      </c>
      <c r="I631" t="e">
        <f t="shared" si="175"/>
        <v>#N/A</v>
      </c>
      <c r="J631">
        <f t="shared" si="176"/>
        <v>1</v>
      </c>
      <c r="K631">
        <f t="shared" si="177"/>
        <v>1</v>
      </c>
      <c r="L631" t="str">
        <f>'Lab test'!AC620</f>
        <v>LTWb</v>
      </c>
      <c r="O631" t="e">
        <f t="shared" si="178"/>
        <v>#N/A</v>
      </c>
      <c r="P631" t="e">
        <f t="shared" si="179"/>
        <v>#N/A</v>
      </c>
      <c r="Q631" t="e">
        <f t="shared" si="180"/>
        <v>#N/A</v>
      </c>
      <c r="R631" t="e">
        <f t="shared" si="181"/>
        <v>#N/A</v>
      </c>
      <c r="S631" t="e">
        <f t="shared" si="182"/>
        <v>#N/A</v>
      </c>
      <c r="T631" t="e">
        <f t="shared" si="183"/>
        <v>#N/A</v>
      </c>
      <c r="U631" t="e">
        <f t="shared" si="184"/>
        <v>#N/A</v>
      </c>
      <c r="W631" t="e">
        <f t="shared" si="185"/>
        <v>#N/A</v>
      </c>
      <c r="X631">
        <f t="shared" si="186"/>
        <v>0.35758763435205265</v>
      </c>
      <c r="Y631" t="e">
        <f t="shared" si="187"/>
        <v>#N/A</v>
      </c>
      <c r="Z631" t="e">
        <f t="shared" si="188"/>
        <v>#N/A</v>
      </c>
      <c r="AA631" t="e">
        <f t="shared" si="189"/>
        <v>#N/A</v>
      </c>
      <c r="AB631" t="e">
        <f t="shared" si="190"/>
        <v>#N/A</v>
      </c>
      <c r="AC631" t="e">
        <f t="shared" si="191"/>
        <v>#N/A</v>
      </c>
    </row>
    <row r="632" spans="2:29">
      <c r="B632">
        <v>618</v>
      </c>
      <c r="C632">
        <f>'Lab test'!Q621</f>
        <v>1005.7471264367817</v>
      </c>
      <c r="D632" t="e">
        <f>IF('Lab test'!AQ621&gt;0,'Lab test'!AQ621,NA())</f>
        <v>#N/A</v>
      </c>
      <c r="E632" t="e">
        <f>IF('Lab test'!AU621&gt;0,'Lab test'!AU621,NA())</f>
        <v>#N/A</v>
      </c>
      <c r="F632">
        <f>IF('Lab test'!AT621&gt;0,'Lab test'!AT621,NA())</f>
        <v>0.404363297365402</v>
      </c>
      <c r="G632" t="e">
        <f t="shared" si="173"/>
        <v>#N/A</v>
      </c>
      <c r="H632" t="e">
        <f t="shared" si="174"/>
        <v>#N/A</v>
      </c>
      <c r="I632" t="e">
        <f t="shared" si="175"/>
        <v>#N/A</v>
      </c>
      <c r="J632">
        <f t="shared" si="176"/>
        <v>1</v>
      </c>
      <c r="K632">
        <f t="shared" si="177"/>
        <v>1</v>
      </c>
      <c r="L632" t="str">
        <f>'Lab test'!AC621</f>
        <v>LTWb</v>
      </c>
      <c r="O632" t="e">
        <f t="shared" si="178"/>
        <v>#N/A</v>
      </c>
      <c r="P632" t="e">
        <f t="shared" si="179"/>
        <v>#N/A</v>
      </c>
      <c r="Q632" t="e">
        <f t="shared" si="180"/>
        <v>#N/A</v>
      </c>
      <c r="R632" t="e">
        <f t="shared" si="181"/>
        <v>#N/A</v>
      </c>
      <c r="S632" t="e">
        <f t="shared" si="182"/>
        <v>#N/A</v>
      </c>
      <c r="T632" t="e">
        <f t="shared" si="183"/>
        <v>#N/A</v>
      </c>
      <c r="U632" t="e">
        <f t="shared" si="184"/>
        <v>#N/A</v>
      </c>
      <c r="W632" t="e">
        <f t="shared" si="185"/>
        <v>#N/A</v>
      </c>
      <c r="X632">
        <f t="shared" si="186"/>
        <v>0.404363297365402</v>
      </c>
      <c r="Y632" t="e">
        <f t="shared" si="187"/>
        <v>#N/A</v>
      </c>
      <c r="Z632" t="e">
        <f t="shared" si="188"/>
        <v>#N/A</v>
      </c>
      <c r="AA632" t="e">
        <f t="shared" si="189"/>
        <v>#N/A</v>
      </c>
      <c r="AB632" t="e">
        <f t="shared" si="190"/>
        <v>#N/A</v>
      </c>
      <c r="AC632" t="e">
        <f t="shared" si="191"/>
        <v>#N/A</v>
      </c>
    </row>
    <row r="633" spans="2:29">
      <c r="B633">
        <v>619</v>
      </c>
      <c r="C633">
        <f>'Lab test'!Q622</f>
        <v>1005.7471264367817</v>
      </c>
      <c r="D633" t="e">
        <f>IF('Lab test'!AQ622&gt;0,'Lab test'!AQ622,NA())</f>
        <v>#N/A</v>
      </c>
      <c r="E633" t="e">
        <f>IF('Lab test'!AU622&gt;0,'Lab test'!AU622,NA())</f>
        <v>#N/A</v>
      </c>
      <c r="F633">
        <f>IF('Lab test'!AT622&gt;0,'Lab test'!AT622,NA())</f>
        <v>0.35697216510187701</v>
      </c>
      <c r="G633" t="e">
        <f t="shared" si="173"/>
        <v>#N/A</v>
      </c>
      <c r="H633" t="e">
        <f t="shared" si="174"/>
        <v>#N/A</v>
      </c>
      <c r="I633" t="e">
        <f t="shared" si="175"/>
        <v>#N/A</v>
      </c>
      <c r="J633">
        <f t="shared" si="176"/>
        <v>1</v>
      </c>
      <c r="K633">
        <f t="shared" si="177"/>
        <v>1</v>
      </c>
      <c r="L633" t="str">
        <f>'Lab test'!AC622</f>
        <v>LTWb</v>
      </c>
      <c r="O633" t="e">
        <f t="shared" si="178"/>
        <v>#N/A</v>
      </c>
      <c r="P633" t="e">
        <f t="shared" si="179"/>
        <v>#N/A</v>
      </c>
      <c r="Q633" t="e">
        <f t="shared" si="180"/>
        <v>#N/A</v>
      </c>
      <c r="R633" t="e">
        <f t="shared" si="181"/>
        <v>#N/A</v>
      </c>
      <c r="S633" t="e">
        <f t="shared" si="182"/>
        <v>#N/A</v>
      </c>
      <c r="T633" t="e">
        <f t="shared" si="183"/>
        <v>#N/A</v>
      </c>
      <c r="U633" t="e">
        <f t="shared" si="184"/>
        <v>#N/A</v>
      </c>
      <c r="W633" t="e">
        <f t="shared" si="185"/>
        <v>#N/A</v>
      </c>
      <c r="X633">
        <f t="shared" si="186"/>
        <v>0.35697216510187701</v>
      </c>
      <c r="Y633" t="e">
        <f t="shared" si="187"/>
        <v>#N/A</v>
      </c>
      <c r="Z633" t="e">
        <f t="shared" si="188"/>
        <v>#N/A</v>
      </c>
      <c r="AA633" t="e">
        <f t="shared" si="189"/>
        <v>#N/A</v>
      </c>
      <c r="AB633" t="e">
        <f t="shared" si="190"/>
        <v>#N/A</v>
      </c>
      <c r="AC633" t="e">
        <f t="shared" si="191"/>
        <v>#N/A</v>
      </c>
    </row>
    <row r="634" spans="2:29">
      <c r="B634">
        <v>620</v>
      </c>
      <c r="C634">
        <f>'Lab test'!Q623</f>
        <v>1005.7471264367817</v>
      </c>
      <c r="D634" t="e">
        <f>IF('Lab test'!AQ623&gt;0,'Lab test'!AQ623,NA())</f>
        <v>#N/A</v>
      </c>
      <c r="E634" t="e">
        <f>IF('Lab test'!AU623&gt;0,'Lab test'!AU623,NA())</f>
        <v>#N/A</v>
      </c>
      <c r="F634">
        <f>IF('Lab test'!AT623&gt;0,'Lab test'!AT623,NA())</f>
        <v>0.41728815161909072</v>
      </c>
      <c r="G634" t="e">
        <f t="shared" si="173"/>
        <v>#N/A</v>
      </c>
      <c r="H634" t="e">
        <f t="shared" si="174"/>
        <v>#N/A</v>
      </c>
      <c r="I634" t="e">
        <f t="shared" si="175"/>
        <v>#N/A</v>
      </c>
      <c r="J634">
        <f t="shared" si="176"/>
        <v>1</v>
      </c>
      <c r="K634">
        <f t="shared" si="177"/>
        <v>1</v>
      </c>
      <c r="L634" t="str">
        <f>'Lab test'!AC623</f>
        <v>LTWb</v>
      </c>
      <c r="O634" t="e">
        <f t="shared" si="178"/>
        <v>#N/A</v>
      </c>
      <c r="P634" t="e">
        <f t="shared" si="179"/>
        <v>#N/A</v>
      </c>
      <c r="Q634" t="e">
        <f t="shared" si="180"/>
        <v>#N/A</v>
      </c>
      <c r="R634" t="e">
        <f t="shared" si="181"/>
        <v>#N/A</v>
      </c>
      <c r="S634" t="e">
        <f t="shared" si="182"/>
        <v>#N/A</v>
      </c>
      <c r="T634" t="e">
        <f t="shared" si="183"/>
        <v>#N/A</v>
      </c>
      <c r="U634" t="e">
        <f t="shared" si="184"/>
        <v>#N/A</v>
      </c>
      <c r="W634" t="e">
        <f t="shared" si="185"/>
        <v>#N/A</v>
      </c>
      <c r="X634">
        <f t="shared" si="186"/>
        <v>0.41728815161909072</v>
      </c>
      <c r="Y634" t="e">
        <f t="shared" si="187"/>
        <v>#N/A</v>
      </c>
      <c r="Z634" t="e">
        <f t="shared" si="188"/>
        <v>#N/A</v>
      </c>
      <c r="AA634" t="e">
        <f t="shared" si="189"/>
        <v>#N/A</v>
      </c>
      <c r="AB634" t="e">
        <f t="shared" si="190"/>
        <v>#N/A</v>
      </c>
      <c r="AC634" t="e">
        <f t="shared" si="191"/>
        <v>#N/A</v>
      </c>
    </row>
    <row r="635" spans="2:29">
      <c r="B635">
        <v>621</v>
      </c>
      <c r="C635">
        <f>'Lab test'!Q624</f>
        <v>2734.3750000000005</v>
      </c>
      <c r="D635" t="e">
        <f>IF('Lab test'!AQ624&gt;0,'Lab test'!AQ624,NA())</f>
        <v>#N/A</v>
      </c>
      <c r="E635" t="e">
        <f>IF('Lab test'!AU624&gt;0,'Lab test'!AU624,NA())</f>
        <v>#N/A</v>
      </c>
      <c r="F635">
        <f>IF('Lab test'!AT624&gt;0,'Lab test'!AT624,NA())</f>
        <v>0.29098809145882698</v>
      </c>
      <c r="G635" t="e">
        <f t="shared" si="173"/>
        <v>#N/A</v>
      </c>
      <c r="H635" t="e">
        <f t="shared" si="174"/>
        <v>#N/A</v>
      </c>
      <c r="I635" t="e">
        <f t="shared" si="175"/>
        <v>#N/A</v>
      </c>
      <c r="J635">
        <f t="shared" si="176"/>
        <v>1</v>
      </c>
      <c r="K635">
        <f t="shared" si="177"/>
        <v>1</v>
      </c>
      <c r="L635" t="str">
        <f>'Lab test'!AC624</f>
        <v>LTWb</v>
      </c>
      <c r="O635" t="e">
        <f t="shared" si="178"/>
        <v>#N/A</v>
      </c>
      <c r="P635" t="e">
        <f t="shared" si="179"/>
        <v>#N/A</v>
      </c>
      <c r="Q635" t="e">
        <f t="shared" si="180"/>
        <v>#N/A</v>
      </c>
      <c r="R635" t="e">
        <f t="shared" si="181"/>
        <v>#N/A</v>
      </c>
      <c r="S635" t="e">
        <f t="shared" si="182"/>
        <v>#N/A</v>
      </c>
      <c r="T635" t="e">
        <f t="shared" si="183"/>
        <v>#N/A</v>
      </c>
      <c r="U635" t="e">
        <f t="shared" si="184"/>
        <v>#N/A</v>
      </c>
      <c r="W635" t="e">
        <f t="shared" si="185"/>
        <v>#N/A</v>
      </c>
      <c r="X635">
        <f t="shared" si="186"/>
        <v>0.29098809145882698</v>
      </c>
      <c r="Y635" t="e">
        <f t="shared" si="187"/>
        <v>#N/A</v>
      </c>
      <c r="Z635" t="e">
        <f t="shared" si="188"/>
        <v>#N/A</v>
      </c>
      <c r="AA635" t="e">
        <f t="shared" si="189"/>
        <v>#N/A</v>
      </c>
      <c r="AB635" t="e">
        <f t="shared" si="190"/>
        <v>#N/A</v>
      </c>
      <c r="AC635" t="e">
        <f t="shared" si="191"/>
        <v>#N/A</v>
      </c>
    </row>
    <row r="636" spans="2:29">
      <c r="B636">
        <v>622</v>
      </c>
      <c r="C636">
        <f>'Lab test'!Q625</f>
        <v>2734.3750000000005</v>
      </c>
      <c r="D636" t="e">
        <f>IF('Lab test'!AQ625&gt;0,'Lab test'!AQ625,NA())</f>
        <v>#N/A</v>
      </c>
      <c r="E636" t="e">
        <f>IF('Lab test'!AU625&gt;0,'Lab test'!AU625,NA())</f>
        <v>#N/A</v>
      </c>
      <c r="F636">
        <f>IF('Lab test'!AT625&gt;0,'Lab test'!AT625,NA())</f>
        <v>0.27576099754119998</v>
      </c>
      <c r="G636" t="e">
        <f t="shared" si="173"/>
        <v>#N/A</v>
      </c>
      <c r="H636" t="e">
        <f t="shared" si="174"/>
        <v>#N/A</v>
      </c>
      <c r="I636" t="e">
        <f t="shared" si="175"/>
        <v>#N/A</v>
      </c>
      <c r="J636">
        <f t="shared" si="176"/>
        <v>1</v>
      </c>
      <c r="K636">
        <f t="shared" si="177"/>
        <v>1</v>
      </c>
      <c r="L636" t="str">
        <f>'Lab test'!AC625</f>
        <v>LTWb</v>
      </c>
      <c r="O636" t="e">
        <f t="shared" si="178"/>
        <v>#N/A</v>
      </c>
      <c r="P636" t="e">
        <f t="shared" si="179"/>
        <v>#N/A</v>
      </c>
      <c r="Q636" t="e">
        <f t="shared" si="180"/>
        <v>#N/A</v>
      </c>
      <c r="R636" t="e">
        <f t="shared" si="181"/>
        <v>#N/A</v>
      </c>
      <c r="S636" t="e">
        <f t="shared" si="182"/>
        <v>#N/A</v>
      </c>
      <c r="T636" t="e">
        <f t="shared" si="183"/>
        <v>#N/A</v>
      </c>
      <c r="U636" t="e">
        <f t="shared" si="184"/>
        <v>#N/A</v>
      </c>
      <c r="W636" t="e">
        <f t="shared" si="185"/>
        <v>#N/A</v>
      </c>
      <c r="X636">
        <f t="shared" si="186"/>
        <v>0.27576099754119998</v>
      </c>
      <c r="Y636" t="e">
        <f t="shared" si="187"/>
        <v>#N/A</v>
      </c>
      <c r="Z636" t="e">
        <f t="shared" si="188"/>
        <v>#N/A</v>
      </c>
      <c r="AA636" t="e">
        <f t="shared" si="189"/>
        <v>#N/A</v>
      </c>
      <c r="AB636" t="e">
        <f t="shared" si="190"/>
        <v>#N/A</v>
      </c>
      <c r="AC636" t="e">
        <f t="shared" si="191"/>
        <v>#N/A</v>
      </c>
    </row>
    <row r="637" spans="2:29">
      <c r="B637">
        <v>623</v>
      </c>
      <c r="C637">
        <f>'Lab test'!Q626</f>
        <v>2734.3750000000005</v>
      </c>
      <c r="D637" t="e">
        <f>IF('Lab test'!AQ626&gt;0,'Lab test'!AQ626,NA())</f>
        <v>#N/A</v>
      </c>
      <c r="E637" t="e">
        <f>IF('Lab test'!AU626&gt;0,'Lab test'!AU626,NA())</f>
        <v>#N/A</v>
      </c>
      <c r="F637">
        <f>IF('Lab test'!AT626&gt;0,'Lab test'!AT626,NA())</f>
        <v>0.19678090601240975</v>
      </c>
      <c r="G637" t="e">
        <f t="shared" si="173"/>
        <v>#N/A</v>
      </c>
      <c r="H637" t="e">
        <f t="shared" si="174"/>
        <v>#N/A</v>
      </c>
      <c r="I637" t="e">
        <f t="shared" si="175"/>
        <v>#N/A</v>
      </c>
      <c r="J637">
        <f t="shared" si="176"/>
        <v>1</v>
      </c>
      <c r="K637">
        <f t="shared" si="177"/>
        <v>1</v>
      </c>
      <c r="L637" t="str">
        <f>'Lab test'!AC626</f>
        <v>LTWb</v>
      </c>
      <c r="O637" t="e">
        <f t="shared" si="178"/>
        <v>#N/A</v>
      </c>
      <c r="P637" t="e">
        <f t="shared" si="179"/>
        <v>#N/A</v>
      </c>
      <c r="Q637" t="e">
        <f t="shared" si="180"/>
        <v>#N/A</v>
      </c>
      <c r="R637" t="e">
        <f t="shared" si="181"/>
        <v>#N/A</v>
      </c>
      <c r="S637" t="e">
        <f t="shared" si="182"/>
        <v>#N/A</v>
      </c>
      <c r="T637" t="e">
        <f t="shared" si="183"/>
        <v>#N/A</v>
      </c>
      <c r="U637" t="e">
        <f t="shared" si="184"/>
        <v>#N/A</v>
      </c>
      <c r="W637" t="e">
        <f t="shared" si="185"/>
        <v>#N/A</v>
      </c>
      <c r="X637">
        <f t="shared" si="186"/>
        <v>0.19678090601240975</v>
      </c>
      <c r="Y637" t="e">
        <f t="shared" si="187"/>
        <v>#N/A</v>
      </c>
      <c r="Z637" t="e">
        <f t="shared" si="188"/>
        <v>#N/A</v>
      </c>
      <c r="AA637" t="e">
        <f t="shared" si="189"/>
        <v>#N/A</v>
      </c>
      <c r="AB637" t="e">
        <f t="shared" si="190"/>
        <v>#N/A</v>
      </c>
      <c r="AC637" t="e">
        <f t="shared" si="191"/>
        <v>#N/A</v>
      </c>
    </row>
    <row r="638" spans="2:29">
      <c r="B638">
        <v>624</v>
      </c>
      <c r="C638">
        <f>'Lab test'!Q627</f>
        <v>2734.3750000000005</v>
      </c>
      <c r="D638" t="e">
        <f>IF('Lab test'!AQ627&gt;0,'Lab test'!AQ627,NA())</f>
        <v>#N/A</v>
      </c>
      <c r="E638" t="e">
        <f>IF('Lab test'!AU627&gt;0,'Lab test'!AU627,NA())</f>
        <v>#N/A</v>
      </c>
      <c r="F638">
        <f>IF('Lab test'!AT627&gt;0,'Lab test'!AT627,NA())</f>
        <v>0.19209564634544757</v>
      </c>
      <c r="G638" t="e">
        <f t="shared" si="173"/>
        <v>#N/A</v>
      </c>
      <c r="H638" t="e">
        <f t="shared" si="174"/>
        <v>#N/A</v>
      </c>
      <c r="I638" t="e">
        <f t="shared" si="175"/>
        <v>#N/A</v>
      </c>
      <c r="J638">
        <f t="shared" si="176"/>
        <v>1</v>
      </c>
      <c r="K638">
        <f t="shared" si="177"/>
        <v>1</v>
      </c>
      <c r="L638" t="str">
        <f>'Lab test'!AC627</f>
        <v>LTWb</v>
      </c>
      <c r="O638" t="e">
        <f t="shared" si="178"/>
        <v>#N/A</v>
      </c>
      <c r="P638" t="e">
        <f t="shared" si="179"/>
        <v>#N/A</v>
      </c>
      <c r="Q638" t="e">
        <f t="shared" si="180"/>
        <v>#N/A</v>
      </c>
      <c r="R638" t="e">
        <f t="shared" si="181"/>
        <v>#N/A</v>
      </c>
      <c r="S638" t="e">
        <f t="shared" si="182"/>
        <v>#N/A</v>
      </c>
      <c r="T638" t="e">
        <f t="shared" si="183"/>
        <v>#N/A</v>
      </c>
      <c r="U638" t="e">
        <f t="shared" si="184"/>
        <v>#N/A</v>
      </c>
      <c r="W638" t="e">
        <f t="shared" si="185"/>
        <v>#N/A</v>
      </c>
      <c r="X638">
        <f t="shared" si="186"/>
        <v>0.19209564634544757</v>
      </c>
      <c r="Y638" t="e">
        <f t="shared" si="187"/>
        <v>#N/A</v>
      </c>
      <c r="Z638" t="e">
        <f t="shared" si="188"/>
        <v>#N/A</v>
      </c>
      <c r="AA638" t="e">
        <f t="shared" si="189"/>
        <v>#N/A</v>
      </c>
      <c r="AB638" t="e">
        <f t="shared" si="190"/>
        <v>#N/A</v>
      </c>
      <c r="AC638" t="e">
        <f t="shared" si="191"/>
        <v>#N/A</v>
      </c>
    </row>
    <row r="639" spans="2:29">
      <c r="B639">
        <v>625</v>
      </c>
      <c r="C639">
        <f>'Lab test'!Q628</f>
        <v>2734.3750000000005</v>
      </c>
      <c r="D639" t="e">
        <f>IF('Lab test'!AQ628&gt;0,'Lab test'!AQ628,NA())</f>
        <v>#N/A</v>
      </c>
      <c r="E639" t="e">
        <f>IF('Lab test'!AU628&gt;0,'Lab test'!AU628,NA())</f>
        <v>#N/A</v>
      </c>
      <c r="F639">
        <f>IF('Lab test'!AT628&gt;0,'Lab test'!AT628,NA())</f>
        <v>0.18356178052348082</v>
      </c>
      <c r="G639" t="e">
        <f t="shared" si="173"/>
        <v>#N/A</v>
      </c>
      <c r="H639" t="e">
        <f t="shared" si="174"/>
        <v>#N/A</v>
      </c>
      <c r="I639" t="e">
        <f t="shared" si="175"/>
        <v>#N/A</v>
      </c>
      <c r="J639">
        <f t="shared" si="176"/>
        <v>1</v>
      </c>
      <c r="K639">
        <f t="shared" si="177"/>
        <v>1</v>
      </c>
      <c r="L639" t="str">
        <f>'Lab test'!AC628</f>
        <v>LTWb</v>
      </c>
      <c r="O639" t="e">
        <f t="shared" si="178"/>
        <v>#N/A</v>
      </c>
      <c r="P639" t="e">
        <f t="shared" si="179"/>
        <v>#N/A</v>
      </c>
      <c r="Q639" t="e">
        <f t="shared" si="180"/>
        <v>#N/A</v>
      </c>
      <c r="R639" t="e">
        <f t="shared" si="181"/>
        <v>#N/A</v>
      </c>
      <c r="S639" t="e">
        <f t="shared" si="182"/>
        <v>#N/A</v>
      </c>
      <c r="T639" t="e">
        <f t="shared" si="183"/>
        <v>#N/A</v>
      </c>
      <c r="U639" t="e">
        <f t="shared" si="184"/>
        <v>#N/A</v>
      </c>
      <c r="W639" t="e">
        <f t="shared" si="185"/>
        <v>#N/A</v>
      </c>
      <c r="X639">
        <f t="shared" si="186"/>
        <v>0.18356178052348082</v>
      </c>
      <c r="Y639" t="e">
        <f t="shared" si="187"/>
        <v>#N/A</v>
      </c>
      <c r="Z639" t="e">
        <f t="shared" si="188"/>
        <v>#N/A</v>
      </c>
      <c r="AA639" t="e">
        <f t="shared" si="189"/>
        <v>#N/A</v>
      </c>
      <c r="AB639" t="e">
        <f t="shared" si="190"/>
        <v>#N/A</v>
      </c>
      <c r="AC639" t="e">
        <f t="shared" si="191"/>
        <v>#N/A</v>
      </c>
    </row>
    <row r="640" spans="2:29">
      <c r="B640">
        <v>626</v>
      </c>
      <c r="C640">
        <f>'Lab test'!Q629</f>
        <v>2734.3750000000005</v>
      </c>
      <c r="D640" t="e">
        <f>IF('Lab test'!AQ629&gt;0,'Lab test'!AQ629,NA())</f>
        <v>#N/A</v>
      </c>
      <c r="E640" t="e">
        <f>IF('Lab test'!AU629&gt;0,'Lab test'!AU629,NA())</f>
        <v>#N/A</v>
      </c>
      <c r="F640">
        <f>IF('Lab test'!AT629&gt;0,'Lab test'!AT629,NA())</f>
        <v>0.18724305597609392</v>
      </c>
      <c r="G640" t="e">
        <f t="shared" si="173"/>
        <v>#N/A</v>
      </c>
      <c r="H640" t="e">
        <f t="shared" si="174"/>
        <v>#N/A</v>
      </c>
      <c r="I640" t="e">
        <f t="shared" si="175"/>
        <v>#N/A</v>
      </c>
      <c r="J640">
        <f t="shared" si="176"/>
        <v>1</v>
      </c>
      <c r="K640">
        <f t="shared" si="177"/>
        <v>1</v>
      </c>
      <c r="L640" t="str">
        <f>'Lab test'!AC629</f>
        <v>LTWb</v>
      </c>
      <c r="O640" t="e">
        <f t="shared" si="178"/>
        <v>#N/A</v>
      </c>
      <c r="P640" t="e">
        <f t="shared" si="179"/>
        <v>#N/A</v>
      </c>
      <c r="Q640" t="e">
        <f t="shared" si="180"/>
        <v>#N/A</v>
      </c>
      <c r="R640" t="e">
        <f t="shared" si="181"/>
        <v>#N/A</v>
      </c>
      <c r="S640" t="e">
        <f t="shared" si="182"/>
        <v>#N/A</v>
      </c>
      <c r="T640" t="e">
        <f t="shared" si="183"/>
        <v>#N/A</v>
      </c>
      <c r="U640" t="e">
        <f t="shared" si="184"/>
        <v>#N/A</v>
      </c>
      <c r="W640" t="e">
        <f t="shared" si="185"/>
        <v>#N/A</v>
      </c>
      <c r="X640">
        <f t="shared" si="186"/>
        <v>0.18724305597609392</v>
      </c>
      <c r="Y640" t="e">
        <f t="shared" si="187"/>
        <v>#N/A</v>
      </c>
      <c r="Z640" t="e">
        <f t="shared" si="188"/>
        <v>#N/A</v>
      </c>
      <c r="AA640" t="e">
        <f t="shared" si="189"/>
        <v>#N/A</v>
      </c>
      <c r="AB640" t="e">
        <f t="shared" si="190"/>
        <v>#N/A</v>
      </c>
      <c r="AC640" t="e">
        <f t="shared" si="191"/>
        <v>#N/A</v>
      </c>
    </row>
    <row r="641" spans="2:29">
      <c r="B641">
        <v>627</v>
      </c>
      <c r="C641">
        <f>'Lab test'!Q630</f>
        <v>2734.3750000000005</v>
      </c>
      <c r="D641" t="e">
        <f>IF('Lab test'!AQ630&gt;0,'Lab test'!AQ630,NA())</f>
        <v>#N/A</v>
      </c>
      <c r="E641" t="e">
        <f>IF('Lab test'!AU630&gt;0,'Lab test'!AU630,NA())</f>
        <v>#N/A</v>
      </c>
      <c r="F641">
        <f>IF('Lab test'!AT630&gt;0,'Lab test'!AT630,NA())</f>
        <v>0.20916337798938103</v>
      </c>
      <c r="G641" t="e">
        <f t="shared" si="173"/>
        <v>#N/A</v>
      </c>
      <c r="H641" t="e">
        <f t="shared" si="174"/>
        <v>#N/A</v>
      </c>
      <c r="I641" t="e">
        <f t="shared" si="175"/>
        <v>#N/A</v>
      </c>
      <c r="J641">
        <f t="shared" si="176"/>
        <v>1</v>
      </c>
      <c r="K641">
        <f t="shared" si="177"/>
        <v>1</v>
      </c>
      <c r="L641" t="str">
        <f>'Lab test'!AC630</f>
        <v>LTWb</v>
      </c>
      <c r="O641" t="e">
        <f t="shared" si="178"/>
        <v>#N/A</v>
      </c>
      <c r="P641" t="e">
        <f t="shared" si="179"/>
        <v>#N/A</v>
      </c>
      <c r="Q641" t="e">
        <f t="shared" si="180"/>
        <v>#N/A</v>
      </c>
      <c r="R641" t="e">
        <f t="shared" si="181"/>
        <v>#N/A</v>
      </c>
      <c r="S641" t="e">
        <f t="shared" si="182"/>
        <v>#N/A</v>
      </c>
      <c r="T641" t="e">
        <f t="shared" si="183"/>
        <v>#N/A</v>
      </c>
      <c r="U641" t="e">
        <f t="shared" si="184"/>
        <v>#N/A</v>
      </c>
      <c r="W641" t="e">
        <f t="shared" si="185"/>
        <v>#N/A</v>
      </c>
      <c r="X641">
        <f t="shared" si="186"/>
        <v>0.20916337798938103</v>
      </c>
      <c r="Y641" t="e">
        <f t="shared" si="187"/>
        <v>#N/A</v>
      </c>
      <c r="Z641" t="e">
        <f t="shared" si="188"/>
        <v>#N/A</v>
      </c>
      <c r="AA641" t="e">
        <f t="shared" si="189"/>
        <v>#N/A</v>
      </c>
      <c r="AB641" t="e">
        <f t="shared" si="190"/>
        <v>#N/A</v>
      </c>
      <c r="AC641" t="e">
        <f t="shared" si="191"/>
        <v>#N/A</v>
      </c>
    </row>
    <row r="642" spans="2:29">
      <c r="B642">
        <v>628</v>
      </c>
      <c r="C642">
        <f>'Lab test'!Q631</f>
        <v>2734.3750000000005</v>
      </c>
      <c r="D642" t="e">
        <f>IF('Lab test'!AQ631&gt;0,'Lab test'!AQ631,NA())</f>
        <v>#N/A</v>
      </c>
      <c r="E642" t="e">
        <f>IF('Lab test'!AU631&gt;0,'Lab test'!AU631,NA())</f>
        <v>#N/A</v>
      </c>
      <c r="F642">
        <f>IF('Lab test'!AT631&gt;0,'Lab test'!AT631,NA())</f>
        <v>0.20447811832241894</v>
      </c>
      <c r="G642" t="e">
        <f t="shared" si="173"/>
        <v>#N/A</v>
      </c>
      <c r="H642" t="e">
        <f t="shared" si="174"/>
        <v>#N/A</v>
      </c>
      <c r="I642" t="e">
        <f t="shared" si="175"/>
        <v>#N/A</v>
      </c>
      <c r="J642">
        <f t="shared" si="176"/>
        <v>1</v>
      </c>
      <c r="K642">
        <f t="shared" si="177"/>
        <v>1</v>
      </c>
      <c r="L642" t="str">
        <f>'Lab test'!AC631</f>
        <v>LTWb</v>
      </c>
      <c r="O642" t="e">
        <f t="shared" si="178"/>
        <v>#N/A</v>
      </c>
      <c r="P642" t="e">
        <f t="shared" si="179"/>
        <v>#N/A</v>
      </c>
      <c r="Q642" t="e">
        <f t="shared" si="180"/>
        <v>#N/A</v>
      </c>
      <c r="R642" t="e">
        <f t="shared" si="181"/>
        <v>#N/A</v>
      </c>
      <c r="S642" t="e">
        <f t="shared" si="182"/>
        <v>#N/A</v>
      </c>
      <c r="T642" t="e">
        <f t="shared" si="183"/>
        <v>#N/A</v>
      </c>
      <c r="U642" t="e">
        <f t="shared" si="184"/>
        <v>#N/A</v>
      </c>
      <c r="W642" t="e">
        <f t="shared" si="185"/>
        <v>#N/A</v>
      </c>
      <c r="X642">
        <f t="shared" si="186"/>
        <v>0.20447811832241894</v>
      </c>
      <c r="Y642" t="e">
        <f t="shared" si="187"/>
        <v>#N/A</v>
      </c>
      <c r="Z642" t="e">
        <f t="shared" si="188"/>
        <v>#N/A</v>
      </c>
      <c r="AA642" t="e">
        <f t="shared" si="189"/>
        <v>#N/A</v>
      </c>
      <c r="AB642" t="e">
        <f t="shared" si="190"/>
        <v>#N/A</v>
      </c>
      <c r="AC642" t="e">
        <f t="shared" si="191"/>
        <v>#N/A</v>
      </c>
    </row>
    <row r="643" spans="2:29">
      <c r="B643">
        <v>629</v>
      </c>
      <c r="C643">
        <f>'Lab test'!Q632</f>
        <v>100.62820512820515</v>
      </c>
      <c r="D643">
        <f>IF('Lab test'!AQ632&gt;0,'Lab test'!AQ632,NA())</f>
        <v>0.78168035347984766</v>
      </c>
      <c r="E643">
        <f>IF('Lab test'!AU632&gt;0,'Lab test'!AU632,NA())</f>
        <v>0.65910423448974254</v>
      </c>
      <c r="F643">
        <f>IF('Lab test'!AT632&gt;0,'Lab test'!AT632,NA())</f>
        <v>0.40272862112889729</v>
      </c>
      <c r="G643">
        <f t="shared" si="173"/>
        <v>1</v>
      </c>
      <c r="H643">
        <f t="shared" si="174"/>
        <v>1</v>
      </c>
      <c r="I643">
        <f t="shared" si="175"/>
        <v>1</v>
      </c>
      <c r="J643">
        <f t="shared" si="176"/>
        <v>1</v>
      </c>
      <c r="K643">
        <f t="shared" si="177"/>
        <v>1</v>
      </c>
      <c r="L643" t="str">
        <f>'Lab test'!AC632</f>
        <v>Machined</v>
      </c>
      <c r="O643" t="e">
        <f t="shared" si="178"/>
        <v>#N/A</v>
      </c>
      <c r="P643" t="e">
        <f t="shared" si="179"/>
        <v>#N/A</v>
      </c>
      <c r="Q643" t="e">
        <f t="shared" si="180"/>
        <v>#N/A</v>
      </c>
      <c r="R643">
        <f t="shared" si="181"/>
        <v>0.65910423448974254</v>
      </c>
      <c r="S643" t="e">
        <f t="shared" si="182"/>
        <v>#N/A</v>
      </c>
      <c r="T643" t="e">
        <f t="shared" si="183"/>
        <v>#N/A</v>
      </c>
      <c r="U643" t="e">
        <f t="shared" si="184"/>
        <v>#N/A</v>
      </c>
      <c r="W643" t="e">
        <f t="shared" si="185"/>
        <v>#N/A</v>
      </c>
      <c r="X643" t="e">
        <f t="shared" si="186"/>
        <v>#N/A</v>
      </c>
      <c r="Y643" t="e">
        <f t="shared" si="187"/>
        <v>#N/A</v>
      </c>
      <c r="Z643">
        <f t="shared" si="188"/>
        <v>0.40272862112889729</v>
      </c>
      <c r="AA643" t="e">
        <f t="shared" si="189"/>
        <v>#N/A</v>
      </c>
      <c r="AB643" t="e">
        <f t="shared" si="190"/>
        <v>#N/A</v>
      </c>
      <c r="AC643" t="e">
        <f t="shared" si="191"/>
        <v>#N/A</v>
      </c>
    </row>
    <row r="644" spans="2:29">
      <c r="B644">
        <v>630</v>
      </c>
      <c r="C644">
        <f>'Lab test'!Q633</f>
        <v>100.65384615384616</v>
      </c>
      <c r="D644">
        <f>IF('Lab test'!AQ633&gt;0,'Lab test'!AQ633,NA())</f>
        <v>0.78177993693823999</v>
      </c>
      <c r="E644">
        <f>IF('Lab test'!AU633&gt;0,'Lab test'!AU633,NA())</f>
        <v>0.73164020018185083</v>
      </c>
      <c r="F644">
        <f>IF('Lab test'!AT633&gt;0,'Lab test'!AT633,NA())</f>
        <v>0.44716376228697385</v>
      </c>
      <c r="G644">
        <f t="shared" si="173"/>
        <v>1</v>
      </c>
      <c r="H644">
        <f t="shared" si="174"/>
        <v>1</v>
      </c>
      <c r="I644">
        <f t="shared" si="175"/>
        <v>1</v>
      </c>
      <c r="J644">
        <f t="shared" si="176"/>
        <v>1</v>
      </c>
      <c r="K644">
        <f t="shared" si="177"/>
        <v>1</v>
      </c>
      <c r="L644" t="str">
        <f>'Lab test'!AC633</f>
        <v>Machined</v>
      </c>
      <c r="O644" t="e">
        <f t="shared" si="178"/>
        <v>#N/A</v>
      </c>
      <c r="P644" t="e">
        <f t="shared" si="179"/>
        <v>#N/A</v>
      </c>
      <c r="Q644" t="e">
        <f t="shared" si="180"/>
        <v>#N/A</v>
      </c>
      <c r="R644">
        <f t="shared" si="181"/>
        <v>0.73164020018185083</v>
      </c>
      <c r="S644" t="e">
        <f t="shared" si="182"/>
        <v>#N/A</v>
      </c>
      <c r="T644" t="e">
        <f t="shared" si="183"/>
        <v>#N/A</v>
      </c>
      <c r="U644" t="e">
        <f t="shared" si="184"/>
        <v>#N/A</v>
      </c>
      <c r="W644" t="e">
        <f t="shared" si="185"/>
        <v>#N/A</v>
      </c>
      <c r="X644" t="e">
        <f t="shared" si="186"/>
        <v>#N/A</v>
      </c>
      <c r="Y644" t="e">
        <f t="shared" si="187"/>
        <v>#N/A</v>
      </c>
      <c r="Z644">
        <f t="shared" si="188"/>
        <v>0.44716376228697385</v>
      </c>
      <c r="AA644" t="e">
        <f t="shared" si="189"/>
        <v>#N/A</v>
      </c>
      <c r="AB644" t="e">
        <f t="shared" si="190"/>
        <v>#N/A</v>
      </c>
      <c r="AC644" t="e">
        <f t="shared" si="191"/>
        <v>#N/A</v>
      </c>
    </row>
    <row r="645" spans="2:29">
      <c r="B645">
        <v>631</v>
      </c>
      <c r="C645">
        <f>'Lab test'!Q634</f>
        <v>101.70207253886012</v>
      </c>
      <c r="D645">
        <f>IF('Lab test'!AQ634&gt;0,'Lab test'!AQ634,NA())</f>
        <v>0.78584018832874736</v>
      </c>
      <c r="E645">
        <f>IF('Lab test'!AU634&gt;0,'Lab test'!AU634,NA())</f>
        <v>0.74197367799895397</v>
      </c>
      <c r="F645">
        <f>IF('Lab test'!AT634&gt;0,'Lab test'!AT634,NA())</f>
        <v>0.45820198776676696</v>
      </c>
      <c r="G645">
        <f t="shared" si="173"/>
        <v>1</v>
      </c>
      <c r="H645">
        <f t="shared" si="174"/>
        <v>1</v>
      </c>
      <c r="I645">
        <f t="shared" si="175"/>
        <v>1</v>
      </c>
      <c r="J645">
        <f t="shared" si="176"/>
        <v>1</v>
      </c>
      <c r="K645">
        <f t="shared" si="177"/>
        <v>1</v>
      </c>
      <c r="L645" t="str">
        <f>'Lab test'!AC634</f>
        <v>Machined</v>
      </c>
      <c r="O645" t="e">
        <f t="shared" si="178"/>
        <v>#N/A</v>
      </c>
      <c r="P645" t="e">
        <f t="shared" si="179"/>
        <v>#N/A</v>
      </c>
      <c r="Q645" t="e">
        <f t="shared" si="180"/>
        <v>#N/A</v>
      </c>
      <c r="R645">
        <f t="shared" si="181"/>
        <v>0.74197367799895397</v>
      </c>
      <c r="S645" t="e">
        <f t="shared" si="182"/>
        <v>#N/A</v>
      </c>
      <c r="T645" t="e">
        <f t="shared" si="183"/>
        <v>#N/A</v>
      </c>
      <c r="U645" t="e">
        <f t="shared" si="184"/>
        <v>#N/A</v>
      </c>
      <c r="W645" t="e">
        <f t="shared" si="185"/>
        <v>#N/A</v>
      </c>
      <c r="X645" t="e">
        <f t="shared" si="186"/>
        <v>#N/A</v>
      </c>
      <c r="Y645" t="e">
        <f t="shared" si="187"/>
        <v>#N/A</v>
      </c>
      <c r="Z645">
        <f t="shared" si="188"/>
        <v>0.45820198776676696</v>
      </c>
      <c r="AA645" t="e">
        <f t="shared" si="189"/>
        <v>#N/A</v>
      </c>
      <c r="AB645" t="e">
        <f t="shared" si="190"/>
        <v>#N/A</v>
      </c>
      <c r="AC645" t="e">
        <f t="shared" si="191"/>
        <v>#N/A</v>
      </c>
    </row>
    <row r="646" spans="2:29">
      <c r="B646">
        <v>632</v>
      </c>
      <c r="C646">
        <f>'Lab test'!Q635</f>
        <v>155.45238095238093</v>
      </c>
      <c r="D646">
        <f>IF('Lab test'!AQ635&gt;0,'Lab test'!AQ635,NA())</f>
        <v>0.97155641252055591</v>
      </c>
      <c r="E646">
        <f>IF('Lab test'!AU635&gt;0,'Lab test'!AU635,NA())</f>
        <v>0.59943327954300518</v>
      </c>
      <c r="F646">
        <f>IF('Lab test'!AT635&gt;0,'Lab test'!AT635,NA())</f>
        <v>0.56581817779648536</v>
      </c>
      <c r="G646">
        <f t="shared" si="173"/>
        <v>1</v>
      </c>
      <c r="H646">
        <f t="shared" si="174"/>
        <v>1</v>
      </c>
      <c r="I646">
        <f t="shared" si="175"/>
        <v>1</v>
      </c>
      <c r="J646">
        <f t="shared" si="176"/>
        <v>1</v>
      </c>
      <c r="K646">
        <f t="shared" si="177"/>
        <v>1</v>
      </c>
      <c r="L646" t="str">
        <f>'Lab test'!AC635</f>
        <v>Machined</v>
      </c>
      <c r="O646" t="e">
        <f t="shared" si="178"/>
        <v>#N/A</v>
      </c>
      <c r="P646" t="e">
        <f t="shared" si="179"/>
        <v>#N/A</v>
      </c>
      <c r="Q646" t="e">
        <f t="shared" si="180"/>
        <v>#N/A</v>
      </c>
      <c r="R646">
        <f t="shared" si="181"/>
        <v>0.59943327954300518</v>
      </c>
      <c r="S646" t="e">
        <f t="shared" si="182"/>
        <v>#N/A</v>
      </c>
      <c r="T646" t="e">
        <f t="shared" si="183"/>
        <v>#N/A</v>
      </c>
      <c r="U646" t="e">
        <f t="shared" si="184"/>
        <v>#N/A</v>
      </c>
      <c r="W646" t="e">
        <f t="shared" si="185"/>
        <v>#N/A</v>
      </c>
      <c r="X646" t="e">
        <f t="shared" si="186"/>
        <v>#N/A</v>
      </c>
      <c r="Y646" t="e">
        <f t="shared" si="187"/>
        <v>#N/A</v>
      </c>
      <c r="Z646">
        <f t="shared" si="188"/>
        <v>0.56581817779648536</v>
      </c>
      <c r="AA646" t="e">
        <f t="shared" si="189"/>
        <v>#N/A</v>
      </c>
      <c r="AB646" t="e">
        <f t="shared" si="190"/>
        <v>#N/A</v>
      </c>
      <c r="AC646" t="e">
        <f t="shared" si="191"/>
        <v>#N/A</v>
      </c>
    </row>
    <row r="647" spans="2:29">
      <c r="B647">
        <v>633</v>
      </c>
      <c r="C647">
        <f>'Lab test'!Q636</f>
        <v>199.40816326530611</v>
      </c>
      <c r="D647">
        <f>IF('Lab test'!AQ636&gt;0,'Lab test'!AQ636,NA())</f>
        <v>1.1003752159579392</v>
      </c>
      <c r="E647">
        <f>IF('Lab test'!AU636&gt;0,'Lab test'!AU636,NA())</f>
        <v>0.47452014010224142</v>
      </c>
      <c r="F647">
        <f>IF('Lab test'!AT636&gt;0,'Lab test'!AT636,NA())</f>
        <v>0.57456114089363219</v>
      </c>
      <c r="G647">
        <f t="shared" si="173"/>
        <v>1</v>
      </c>
      <c r="H647">
        <f t="shared" si="174"/>
        <v>1</v>
      </c>
      <c r="I647">
        <f t="shared" si="175"/>
        <v>1</v>
      </c>
      <c r="J647">
        <f t="shared" si="176"/>
        <v>1</v>
      </c>
      <c r="K647">
        <f t="shared" si="177"/>
        <v>1</v>
      </c>
      <c r="L647" t="str">
        <f>'Lab test'!AC636</f>
        <v>Machined</v>
      </c>
      <c r="O647" t="e">
        <f t="shared" si="178"/>
        <v>#N/A</v>
      </c>
      <c r="P647" t="e">
        <f t="shared" si="179"/>
        <v>#N/A</v>
      </c>
      <c r="Q647" t="e">
        <f t="shared" si="180"/>
        <v>#N/A</v>
      </c>
      <c r="R647">
        <f t="shared" si="181"/>
        <v>0.47452014010224142</v>
      </c>
      <c r="S647" t="e">
        <f t="shared" si="182"/>
        <v>#N/A</v>
      </c>
      <c r="T647" t="e">
        <f t="shared" si="183"/>
        <v>#N/A</v>
      </c>
      <c r="U647" t="e">
        <f t="shared" si="184"/>
        <v>#N/A</v>
      </c>
      <c r="W647" t="e">
        <f t="shared" si="185"/>
        <v>#N/A</v>
      </c>
      <c r="X647" t="e">
        <f t="shared" si="186"/>
        <v>#N/A</v>
      </c>
      <c r="Y647" t="e">
        <f t="shared" si="187"/>
        <v>#N/A</v>
      </c>
      <c r="Z647">
        <f t="shared" si="188"/>
        <v>0.57456114089363219</v>
      </c>
      <c r="AA647" t="e">
        <f t="shared" si="189"/>
        <v>#N/A</v>
      </c>
      <c r="AB647" t="e">
        <f t="shared" si="190"/>
        <v>#N/A</v>
      </c>
      <c r="AC647" t="e">
        <f t="shared" si="191"/>
        <v>#N/A</v>
      </c>
    </row>
    <row r="648" spans="2:29">
      <c r="B648">
        <v>634</v>
      </c>
      <c r="C648">
        <f>'Lab test'!Q637</f>
        <v>244.49999999999997</v>
      </c>
      <c r="D648">
        <f>IF('Lab test'!AQ637&gt;0,'Lab test'!AQ637,NA())</f>
        <v>1.2184529540321307</v>
      </c>
      <c r="E648">
        <f>IF('Lab test'!AU637&gt;0,'Lab test'!AU637,NA())</f>
        <v>0.41147872227061655</v>
      </c>
      <c r="F648">
        <f>IF('Lab test'!AT637&gt;0,'Lab test'!AT637,NA())</f>
        <v>0.61089266838519762</v>
      </c>
      <c r="G648">
        <f t="shared" si="173"/>
        <v>1</v>
      </c>
      <c r="H648">
        <f t="shared" si="174"/>
        <v>1</v>
      </c>
      <c r="I648">
        <f t="shared" si="175"/>
        <v>1</v>
      </c>
      <c r="J648">
        <f t="shared" si="176"/>
        <v>1</v>
      </c>
      <c r="K648">
        <f t="shared" si="177"/>
        <v>1</v>
      </c>
      <c r="L648" t="str">
        <f>'Lab test'!AC637</f>
        <v>Machined</v>
      </c>
      <c r="O648" t="e">
        <f t="shared" si="178"/>
        <v>#N/A</v>
      </c>
      <c r="P648" t="e">
        <f t="shared" si="179"/>
        <v>#N/A</v>
      </c>
      <c r="Q648" t="e">
        <f t="shared" si="180"/>
        <v>#N/A</v>
      </c>
      <c r="R648">
        <f t="shared" si="181"/>
        <v>0.41147872227061655</v>
      </c>
      <c r="S648" t="e">
        <f t="shared" si="182"/>
        <v>#N/A</v>
      </c>
      <c r="T648" t="e">
        <f t="shared" si="183"/>
        <v>#N/A</v>
      </c>
      <c r="U648" t="e">
        <f t="shared" si="184"/>
        <v>#N/A</v>
      </c>
      <c r="W648" t="e">
        <f t="shared" si="185"/>
        <v>#N/A</v>
      </c>
      <c r="X648" t="e">
        <f t="shared" si="186"/>
        <v>#N/A</v>
      </c>
      <c r="Y648" t="e">
        <f t="shared" si="187"/>
        <v>#N/A</v>
      </c>
      <c r="Z648">
        <f t="shared" si="188"/>
        <v>0.61089266838519762</v>
      </c>
      <c r="AA648" t="e">
        <f t="shared" si="189"/>
        <v>#N/A</v>
      </c>
      <c r="AB648" t="e">
        <f t="shared" si="190"/>
        <v>#N/A</v>
      </c>
      <c r="AC648" t="e">
        <f t="shared" si="191"/>
        <v>#N/A</v>
      </c>
    </row>
    <row r="649" spans="2:29">
      <c r="B649">
        <v>635</v>
      </c>
      <c r="C649">
        <f>'Lab test'!Q638</f>
        <v>261.10000000000002</v>
      </c>
      <c r="D649">
        <f>IF('Lab test'!AQ638&gt;0,'Lab test'!AQ638,NA())</f>
        <v>1.2591363721062079</v>
      </c>
      <c r="E649">
        <f>IF('Lab test'!AU638&gt;0,'Lab test'!AU638,NA())</f>
        <v>0.43648770803450215</v>
      </c>
      <c r="F649">
        <f>IF('Lab test'!AT638&gt;0,'Lab test'!AT638,NA())</f>
        <v>0.69201826417221346</v>
      </c>
      <c r="G649">
        <f t="shared" si="173"/>
        <v>1</v>
      </c>
      <c r="H649">
        <f t="shared" si="174"/>
        <v>1</v>
      </c>
      <c r="I649">
        <f t="shared" si="175"/>
        <v>1</v>
      </c>
      <c r="J649">
        <f t="shared" si="176"/>
        <v>1</v>
      </c>
      <c r="K649">
        <f t="shared" si="177"/>
        <v>1</v>
      </c>
      <c r="L649" t="str">
        <f>'Lab test'!AC638</f>
        <v>Machined</v>
      </c>
      <c r="O649" t="e">
        <f t="shared" si="178"/>
        <v>#N/A</v>
      </c>
      <c r="P649" t="e">
        <f t="shared" si="179"/>
        <v>#N/A</v>
      </c>
      <c r="Q649" t="e">
        <f t="shared" si="180"/>
        <v>#N/A</v>
      </c>
      <c r="R649">
        <f t="shared" si="181"/>
        <v>0.43648770803450215</v>
      </c>
      <c r="S649" t="e">
        <f t="shared" si="182"/>
        <v>#N/A</v>
      </c>
      <c r="T649" t="e">
        <f t="shared" si="183"/>
        <v>#N/A</v>
      </c>
      <c r="U649" t="e">
        <f t="shared" si="184"/>
        <v>#N/A</v>
      </c>
      <c r="W649" t="e">
        <f t="shared" si="185"/>
        <v>#N/A</v>
      </c>
      <c r="X649" t="e">
        <f t="shared" si="186"/>
        <v>#N/A</v>
      </c>
      <c r="Y649" t="e">
        <f t="shared" si="187"/>
        <v>#N/A</v>
      </c>
      <c r="Z649">
        <f t="shared" si="188"/>
        <v>0.69201826417221346</v>
      </c>
      <c r="AA649" t="e">
        <f t="shared" si="189"/>
        <v>#N/A</v>
      </c>
      <c r="AB649" t="e">
        <f t="shared" si="190"/>
        <v>#N/A</v>
      </c>
      <c r="AC649" t="e">
        <f t="shared" si="191"/>
        <v>#N/A</v>
      </c>
    </row>
    <row r="650" spans="2:29">
      <c r="B650">
        <v>636</v>
      </c>
      <c r="C650">
        <f>'Lab test'!Q639</f>
        <v>244.49999999999997</v>
      </c>
      <c r="D650">
        <f>IF('Lab test'!AQ639&gt;0,'Lab test'!AQ639,NA())</f>
        <v>1.2184529540321307</v>
      </c>
      <c r="E650">
        <f>IF('Lab test'!AU639&gt;0,'Lab test'!AU639,NA())</f>
        <v>0.42205831742746502</v>
      </c>
      <c r="F650">
        <f>IF('Lab test'!AT639&gt;0,'Lab test'!AT639,NA())</f>
        <v>0.62659942736446694</v>
      </c>
      <c r="G650">
        <f t="shared" si="173"/>
        <v>1</v>
      </c>
      <c r="H650">
        <f t="shared" si="174"/>
        <v>1</v>
      </c>
      <c r="I650">
        <f t="shared" si="175"/>
        <v>1</v>
      </c>
      <c r="J650">
        <f t="shared" si="176"/>
        <v>1</v>
      </c>
      <c r="K650">
        <f t="shared" si="177"/>
        <v>1</v>
      </c>
      <c r="L650" t="str">
        <f>'Lab test'!AC639</f>
        <v>Machined</v>
      </c>
      <c r="O650" t="e">
        <f t="shared" si="178"/>
        <v>#N/A</v>
      </c>
      <c r="P650" t="e">
        <f t="shared" si="179"/>
        <v>#N/A</v>
      </c>
      <c r="Q650" t="e">
        <f t="shared" si="180"/>
        <v>#N/A</v>
      </c>
      <c r="R650">
        <f t="shared" si="181"/>
        <v>0.42205831742746502</v>
      </c>
      <c r="S650" t="e">
        <f t="shared" si="182"/>
        <v>#N/A</v>
      </c>
      <c r="T650" t="e">
        <f t="shared" si="183"/>
        <v>#N/A</v>
      </c>
      <c r="U650" t="e">
        <f t="shared" si="184"/>
        <v>#N/A</v>
      </c>
      <c r="W650" t="e">
        <f t="shared" si="185"/>
        <v>#N/A</v>
      </c>
      <c r="X650" t="e">
        <f t="shared" si="186"/>
        <v>#N/A</v>
      </c>
      <c r="Y650" t="e">
        <f t="shared" si="187"/>
        <v>#N/A</v>
      </c>
      <c r="Z650">
        <f t="shared" si="188"/>
        <v>0.62659942736446694</v>
      </c>
      <c r="AA650" t="e">
        <f t="shared" si="189"/>
        <v>#N/A</v>
      </c>
      <c r="AB650" t="e">
        <f t="shared" si="190"/>
        <v>#N/A</v>
      </c>
      <c r="AC650" t="e">
        <f t="shared" si="191"/>
        <v>#N/A</v>
      </c>
    </row>
    <row r="651" spans="2:29">
      <c r="B651">
        <v>637</v>
      </c>
      <c r="C651">
        <f>'Lab test'!Q640</f>
        <v>475.47560975609747</v>
      </c>
      <c r="D651">
        <f>IF('Lab test'!AQ640&gt;0,'Lab test'!AQ640,NA())</f>
        <v>1.699156790684943</v>
      </c>
      <c r="E651">
        <f>IF('Lab test'!AU640&gt;0,'Lab test'!AU640,NA())</f>
        <v>0.13837693892294989</v>
      </c>
      <c r="F651">
        <f>IF('Lab test'!AT640&gt;0,'Lab test'!AT640,NA())</f>
        <v>0.3995127374123762</v>
      </c>
      <c r="G651">
        <f t="shared" si="173"/>
        <v>1</v>
      </c>
      <c r="H651">
        <f t="shared" si="174"/>
        <v>1</v>
      </c>
      <c r="I651">
        <f t="shared" si="175"/>
        <v>1</v>
      </c>
      <c r="J651">
        <f t="shared" si="176"/>
        <v>1</v>
      </c>
      <c r="K651">
        <f t="shared" si="177"/>
        <v>1</v>
      </c>
      <c r="L651" t="str">
        <f>'Lab test'!AC640</f>
        <v>Machined</v>
      </c>
      <c r="O651" t="e">
        <f t="shared" si="178"/>
        <v>#N/A</v>
      </c>
      <c r="P651" t="e">
        <f t="shared" si="179"/>
        <v>#N/A</v>
      </c>
      <c r="Q651" t="e">
        <f t="shared" si="180"/>
        <v>#N/A</v>
      </c>
      <c r="R651">
        <f t="shared" si="181"/>
        <v>0.13837693892294989</v>
      </c>
      <c r="S651" t="e">
        <f t="shared" si="182"/>
        <v>#N/A</v>
      </c>
      <c r="T651" t="e">
        <f t="shared" si="183"/>
        <v>#N/A</v>
      </c>
      <c r="U651" t="e">
        <f t="shared" si="184"/>
        <v>#N/A</v>
      </c>
      <c r="W651" t="e">
        <f t="shared" si="185"/>
        <v>#N/A</v>
      </c>
      <c r="X651" t="e">
        <f t="shared" si="186"/>
        <v>#N/A</v>
      </c>
      <c r="Y651" t="e">
        <f t="shared" si="187"/>
        <v>#N/A</v>
      </c>
      <c r="Z651">
        <f t="shared" si="188"/>
        <v>0.3995127374123762</v>
      </c>
      <c r="AA651" t="e">
        <f t="shared" si="189"/>
        <v>#N/A</v>
      </c>
      <c r="AB651" t="e">
        <f t="shared" si="190"/>
        <v>#N/A</v>
      </c>
      <c r="AC651" t="e">
        <f t="shared" si="191"/>
        <v>#N/A</v>
      </c>
    </row>
    <row r="652" spans="2:29">
      <c r="B652">
        <v>638</v>
      </c>
      <c r="C652">
        <f>'Lab test'!Q641</f>
        <v>591.01515151515162</v>
      </c>
      <c r="D652">
        <f>IF('Lab test'!AQ641&gt;0,'Lab test'!AQ641,NA())</f>
        <v>1.894386721273368</v>
      </c>
      <c r="E652">
        <f>IF('Lab test'!AU641&gt;0,'Lab test'!AU641,NA())</f>
        <v>7.4429044293290128E-2</v>
      </c>
      <c r="F652">
        <f>IF('Lab test'!AT641&gt;0,'Lab test'!AT641,NA())</f>
        <v>0.26710358938624168</v>
      </c>
      <c r="G652">
        <f t="shared" si="173"/>
        <v>1</v>
      </c>
      <c r="H652">
        <f t="shared" si="174"/>
        <v>1</v>
      </c>
      <c r="I652">
        <f t="shared" si="175"/>
        <v>1</v>
      </c>
      <c r="J652">
        <f t="shared" si="176"/>
        <v>1</v>
      </c>
      <c r="K652">
        <f t="shared" si="177"/>
        <v>1</v>
      </c>
      <c r="L652" t="str">
        <f>'Lab test'!AC641</f>
        <v>Machined</v>
      </c>
      <c r="O652" t="e">
        <f t="shared" si="178"/>
        <v>#N/A</v>
      </c>
      <c r="P652" t="e">
        <f t="shared" si="179"/>
        <v>#N/A</v>
      </c>
      <c r="Q652" t="e">
        <f t="shared" si="180"/>
        <v>#N/A</v>
      </c>
      <c r="R652">
        <f t="shared" si="181"/>
        <v>7.4429044293290128E-2</v>
      </c>
      <c r="S652" t="e">
        <f t="shared" si="182"/>
        <v>#N/A</v>
      </c>
      <c r="T652" t="e">
        <f t="shared" si="183"/>
        <v>#N/A</v>
      </c>
      <c r="U652" t="e">
        <f t="shared" si="184"/>
        <v>#N/A</v>
      </c>
      <c r="W652" t="e">
        <f t="shared" si="185"/>
        <v>#N/A</v>
      </c>
      <c r="X652" t="e">
        <f t="shared" si="186"/>
        <v>#N/A</v>
      </c>
      <c r="Y652" t="e">
        <f t="shared" si="187"/>
        <v>#N/A</v>
      </c>
      <c r="Z652">
        <f t="shared" si="188"/>
        <v>0.26710358938624168</v>
      </c>
      <c r="AA652" t="e">
        <f t="shared" si="189"/>
        <v>#N/A</v>
      </c>
      <c r="AB652" t="e">
        <f t="shared" si="190"/>
        <v>#N/A</v>
      </c>
      <c r="AC652" t="e">
        <f t="shared" si="191"/>
        <v>#N/A</v>
      </c>
    </row>
    <row r="653" spans="2:29">
      <c r="B653">
        <v>639</v>
      </c>
      <c r="C653">
        <f>'Lab test'!Q642</f>
        <v>629.17741935483889</v>
      </c>
      <c r="D653">
        <f>IF('Lab test'!AQ642&gt;0,'Lab test'!AQ642,NA())</f>
        <v>1.9545910119003018</v>
      </c>
      <c r="E653">
        <f>IF('Lab test'!AU642&gt;0,'Lab test'!AU642,NA())</f>
        <v>4.648752281897358E-2</v>
      </c>
      <c r="F653">
        <f>IF('Lab test'!AT642&gt;0,'Lab test'!AT642,NA())</f>
        <v>0.17760214195967022</v>
      </c>
      <c r="G653">
        <f t="shared" si="173"/>
        <v>1</v>
      </c>
      <c r="H653">
        <f t="shared" si="174"/>
        <v>1</v>
      </c>
      <c r="I653">
        <f t="shared" si="175"/>
        <v>1</v>
      </c>
      <c r="J653">
        <f t="shared" si="176"/>
        <v>1</v>
      </c>
      <c r="K653">
        <f t="shared" si="177"/>
        <v>1</v>
      </c>
      <c r="L653" t="str">
        <f>'Lab test'!AC642</f>
        <v>Machined</v>
      </c>
      <c r="O653" t="e">
        <f t="shared" si="178"/>
        <v>#N/A</v>
      </c>
      <c r="P653" t="e">
        <f t="shared" si="179"/>
        <v>#N/A</v>
      </c>
      <c r="Q653" t="e">
        <f t="shared" si="180"/>
        <v>#N/A</v>
      </c>
      <c r="R653">
        <f t="shared" si="181"/>
        <v>4.648752281897358E-2</v>
      </c>
      <c r="S653" t="e">
        <f t="shared" si="182"/>
        <v>#N/A</v>
      </c>
      <c r="T653" t="e">
        <f t="shared" si="183"/>
        <v>#N/A</v>
      </c>
      <c r="U653" t="e">
        <f t="shared" si="184"/>
        <v>#N/A</v>
      </c>
      <c r="W653" t="e">
        <f t="shared" si="185"/>
        <v>#N/A</v>
      </c>
      <c r="X653" t="e">
        <f t="shared" si="186"/>
        <v>#N/A</v>
      </c>
      <c r="Y653" t="e">
        <f t="shared" si="187"/>
        <v>#N/A</v>
      </c>
      <c r="Z653">
        <f t="shared" si="188"/>
        <v>0.17760214195967022</v>
      </c>
      <c r="AA653" t="e">
        <f t="shared" si="189"/>
        <v>#N/A</v>
      </c>
      <c r="AB653" t="e">
        <f t="shared" si="190"/>
        <v>#N/A</v>
      </c>
      <c r="AC653" t="e">
        <f t="shared" si="191"/>
        <v>#N/A</v>
      </c>
    </row>
    <row r="654" spans="2:29">
      <c r="B654">
        <v>640</v>
      </c>
      <c r="C654">
        <f>'Lab test'!Q643</f>
        <v>19.354961832061065</v>
      </c>
      <c r="D654">
        <f>IF('Lab test'!AQ643&gt;0,'Lab test'!AQ643,NA())</f>
        <v>0.34281948099173432</v>
      </c>
      <c r="E654">
        <f>IF('Lab test'!AU643&gt;0,'Lab test'!AU643,NA())</f>
        <v>1.1842241731176193</v>
      </c>
      <c r="F654">
        <f>IF('Lab test'!AT643&gt;0,'Lab test'!AT643,NA())</f>
        <v>0.13917617870188029</v>
      </c>
      <c r="G654">
        <f t="shared" si="173"/>
        <v>1</v>
      </c>
      <c r="H654">
        <f t="shared" si="174"/>
        <v>1</v>
      </c>
      <c r="I654">
        <f t="shared" si="175"/>
        <v>1</v>
      </c>
      <c r="J654">
        <f t="shared" si="176"/>
        <v>1</v>
      </c>
      <c r="K654">
        <f t="shared" si="177"/>
        <v>1</v>
      </c>
      <c r="L654" t="str">
        <f>'Lab test'!AC643</f>
        <v>Machined</v>
      </c>
      <c r="O654" t="e">
        <f t="shared" si="178"/>
        <v>#N/A</v>
      </c>
      <c r="P654" t="e">
        <f t="shared" si="179"/>
        <v>#N/A</v>
      </c>
      <c r="Q654" t="e">
        <f t="shared" si="180"/>
        <v>#N/A</v>
      </c>
      <c r="R654">
        <f t="shared" si="181"/>
        <v>1.1842241731176193</v>
      </c>
      <c r="S654" t="e">
        <f t="shared" si="182"/>
        <v>#N/A</v>
      </c>
      <c r="T654" t="e">
        <f t="shared" si="183"/>
        <v>#N/A</v>
      </c>
      <c r="U654" t="e">
        <f t="shared" si="184"/>
        <v>#N/A</v>
      </c>
      <c r="W654" t="e">
        <f t="shared" si="185"/>
        <v>#N/A</v>
      </c>
      <c r="X654" t="e">
        <f t="shared" si="186"/>
        <v>#N/A</v>
      </c>
      <c r="Y654" t="e">
        <f t="shared" si="187"/>
        <v>#N/A</v>
      </c>
      <c r="Z654">
        <f t="shared" si="188"/>
        <v>0.13917617870188029</v>
      </c>
      <c r="AA654" t="e">
        <f t="shared" si="189"/>
        <v>#N/A</v>
      </c>
      <c r="AB654" t="e">
        <f t="shared" si="190"/>
        <v>#N/A</v>
      </c>
      <c r="AC654" t="e">
        <f t="shared" si="191"/>
        <v>#N/A</v>
      </c>
    </row>
    <row r="655" spans="2:29">
      <c r="B655">
        <v>641</v>
      </c>
      <c r="C655">
        <f>'Lab test'!Q644</f>
        <v>19.354961832061065</v>
      </c>
      <c r="D655">
        <f>IF('Lab test'!AQ644&gt;0,'Lab test'!AQ644,NA())</f>
        <v>0.34281948099173432</v>
      </c>
      <c r="E655">
        <f>IF('Lab test'!AU644&gt;0,'Lab test'!AU644,NA())</f>
        <v>1.163077312883376</v>
      </c>
      <c r="F655">
        <f>IF('Lab test'!AT644&gt;0,'Lab test'!AT644,NA())</f>
        <v>0.13669088979648955</v>
      </c>
      <c r="G655">
        <f t="shared" si="173"/>
        <v>1</v>
      </c>
      <c r="H655">
        <f t="shared" si="174"/>
        <v>1</v>
      </c>
      <c r="I655">
        <f t="shared" si="175"/>
        <v>1</v>
      </c>
      <c r="J655">
        <f t="shared" si="176"/>
        <v>1</v>
      </c>
      <c r="K655">
        <f t="shared" si="177"/>
        <v>1</v>
      </c>
      <c r="L655" t="str">
        <f>'Lab test'!AC644</f>
        <v>Machined</v>
      </c>
      <c r="O655" t="e">
        <f t="shared" si="178"/>
        <v>#N/A</v>
      </c>
      <c r="P655" t="e">
        <f t="shared" si="179"/>
        <v>#N/A</v>
      </c>
      <c r="Q655" t="e">
        <f t="shared" si="180"/>
        <v>#N/A</v>
      </c>
      <c r="R655">
        <f t="shared" si="181"/>
        <v>1.163077312883376</v>
      </c>
      <c r="S655" t="e">
        <f t="shared" si="182"/>
        <v>#N/A</v>
      </c>
      <c r="T655" t="e">
        <f t="shared" si="183"/>
        <v>#N/A</v>
      </c>
      <c r="U655" t="e">
        <f t="shared" si="184"/>
        <v>#N/A</v>
      </c>
      <c r="W655" t="e">
        <f t="shared" si="185"/>
        <v>#N/A</v>
      </c>
      <c r="X655" t="e">
        <f t="shared" si="186"/>
        <v>#N/A</v>
      </c>
      <c r="Y655" t="e">
        <f t="shared" si="187"/>
        <v>#N/A</v>
      </c>
      <c r="Z655">
        <f t="shared" si="188"/>
        <v>0.13669088979648955</v>
      </c>
      <c r="AA655" t="e">
        <f t="shared" si="189"/>
        <v>#N/A</v>
      </c>
      <c r="AB655" t="e">
        <f t="shared" si="190"/>
        <v>#N/A</v>
      </c>
      <c r="AC655" t="e">
        <f t="shared" si="191"/>
        <v>#N/A</v>
      </c>
    </row>
    <row r="656" spans="2:29">
      <c r="B656">
        <v>642</v>
      </c>
      <c r="C656">
        <f>'Lab test'!Q645</f>
        <v>19.354961832061065</v>
      </c>
      <c r="D656">
        <f>IF('Lab test'!AQ645&gt;0,'Lab test'!AQ645,NA())</f>
        <v>0.34281948099173432</v>
      </c>
      <c r="E656">
        <f>IF('Lab test'!AU645&gt;0,'Lab test'!AU645,NA())</f>
        <v>1.1654269640205142</v>
      </c>
      <c r="F656">
        <f>IF('Lab test'!AT645&gt;0,'Lab test'!AT645,NA())</f>
        <v>0.13696703300819965</v>
      </c>
      <c r="G656">
        <f t="shared" ref="G656:G684" si="192">IF(AND(ISNUMBER(D656),ISNUMBER(E656)),1,NA())</f>
        <v>1</v>
      </c>
      <c r="H656">
        <f t="shared" ref="H656:H684" si="193">IF(AND(ISNUMBER(D656),ISNUMBER(F656)),1,NA())</f>
        <v>1</v>
      </c>
      <c r="I656">
        <f t="shared" ref="I656:I684" si="194">IF(AND(ISNUMBER(C656),ISNUMBER(E656)),1,NA())</f>
        <v>1</v>
      </c>
      <c r="J656">
        <f t="shared" ref="J656:J684" si="195">IF(AND(ISNUMBER(C656),ISNUMBER(F656)),1,NA())</f>
        <v>1</v>
      </c>
      <c r="K656">
        <f t="shared" ref="K656:K684" si="196">IF(OR(ISNUMBER(E656),ISNUMBER(F656)),1,NA())</f>
        <v>1</v>
      </c>
      <c r="L656" t="str">
        <f>'Lab test'!AC645</f>
        <v>Machined</v>
      </c>
      <c r="O656" t="e">
        <f t="shared" ref="O656:O684" si="197">IF(EXACT($O$14,L656),E656,NA())</f>
        <v>#N/A</v>
      </c>
      <c r="P656" t="e">
        <f t="shared" ref="P656:P684" si="198">IF(EXACT($P$14,L656),E656,NA())</f>
        <v>#N/A</v>
      </c>
      <c r="Q656" t="e">
        <f t="shared" ref="Q656:Q684" si="199">IF(EXACT($Q$14,L656),E656,NA())</f>
        <v>#N/A</v>
      </c>
      <c r="R656">
        <f t="shared" ref="R656:R684" si="200">IF(EXACT($R$14,L656),E656,NA())</f>
        <v>1.1654269640205142</v>
      </c>
      <c r="S656" t="e">
        <f t="shared" ref="S656:S684" si="201">IF(EXACT($S$14,L656),E656,NA())</f>
        <v>#N/A</v>
      </c>
      <c r="T656" t="e">
        <f t="shared" ref="T656:T684" si="202">IF(EXACT($T$14,L656),E656,NA())</f>
        <v>#N/A</v>
      </c>
      <c r="U656" t="e">
        <f t="shared" ref="U656:U684" si="203">IF(EXACT($U$14,L656),E656,NA())</f>
        <v>#N/A</v>
      </c>
      <c r="W656" t="e">
        <f t="shared" ref="W656:W684" si="204">IF(EXACT($W$14,L656),F656,NA())</f>
        <v>#N/A</v>
      </c>
      <c r="X656" t="e">
        <f t="shared" ref="X656:X684" si="205">IF(EXACT($X$14,L656),F656,NA())</f>
        <v>#N/A</v>
      </c>
      <c r="Y656" t="e">
        <f t="shared" ref="Y656:Y684" si="206">IF(EXACT($Y$14,L656),F656,NA())</f>
        <v>#N/A</v>
      </c>
      <c r="Z656">
        <f t="shared" ref="Z656:Z684" si="207">IF(EXACT($Z$14,L656),F656,NA())</f>
        <v>0.13696703300819965</v>
      </c>
      <c r="AA656" t="e">
        <f t="shared" ref="AA656:AA684" si="208">IF(EXACT($AA$14,L656),F656,NA())</f>
        <v>#N/A</v>
      </c>
      <c r="AB656" t="e">
        <f t="shared" ref="AB656:AB684" si="209">IF(EXACT($AB$14,L656),F656,NA())</f>
        <v>#N/A</v>
      </c>
      <c r="AC656" t="e">
        <f t="shared" ref="AC656:AC684" si="210">IF(EXACT($AC$14,L656),F656,NA())</f>
        <v>#N/A</v>
      </c>
    </row>
    <row r="657" spans="2:29">
      <c r="B657">
        <v>643</v>
      </c>
      <c r="C657">
        <f>'Lab test'!Q646</f>
        <v>25.220000000000002</v>
      </c>
      <c r="D657">
        <f>IF('Lab test'!AQ646&gt;0,'Lab test'!AQ646,NA())</f>
        <v>0.39132885715957288</v>
      </c>
      <c r="E657">
        <f>IF('Lab test'!AU646&gt;0,'Lab test'!AU646,NA())</f>
        <v>1.1202160333442182</v>
      </c>
      <c r="F657">
        <f>IF('Lab test'!AT646&gt;0,'Lab test'!AT646,NA())</f>
        <v>0.17154795035287182</v>
      </c>
      <c r="G657">
        <f t="shared" si="192"/>
        <v>1</v>
      </c>
      <c r="H657">
        <f t="shared" si="193"/>
        <v>1</v>
      </c>
      <c r="I657">
        <f t="shared" si="194"/>
        <v>1</v>
      </c>
      <c r="J657">
        <f t="shared" si="195"/>
        <v>1</v>
      </c>
      <c r="K657">
        <f t="shared" si="196"/>
        <v>1</v>
      </c>
      <c r="L657" t="str">
        <f>'Lab test'!AC646</f>
        <v>Machined</v>
      </c>
      <c r="O657" t="e">
        <f t="shared" si="197"/>
        <v>#N/A</v>
      </c>
      <c r="P657" t="e">
        <f t="shared" si="198"/>
        <v>#N/A</v>
      </c>
      <c r="Q657" t="e">
        <f t="shared" si="199"/>
        <v>#N/A</v>
      </c>
      <c r="R657">
        <f t="shared" si="200"/>
        <v>1.1202160333442182</v>
      </c>
      <c r="S657" t="e">
        <f t="shared" si="201"/>
        <v>#N/A</v>
      </c>
      <c r="T657" t="e">
        <f t="shared" si="202"/>
        <v>#N/A</v>
      </c>
      <c r="U657" t="e">
        <f t="shared" si="203"/>
        <v>#N/A</v>
      </c>
      <c r="W657" t="e">
        <f t="shared" si="204"/>
        <v>#N/A</v>
      </c>
      <c r="X657" t="e">
        <f t="shared" si="205"/>
        <v>#N/A</v>
      </c>
      <c r="Y657" t="e">
        <f t="shared" si="206"/>
        <v>#N/A</v>
      </c>
      <c r="Z657">
        <f t="shared" si="207"/>
        <v>0.17154795035287182</v>
      </c>
      <c r="AA657" t="e">
        <f t="shared" si="208"/>
        <v>#N/A</v>
      </c>
      <c r="AB657" t="e">
        <f t="shared" si="209"/>
        <v>#N/A</v>
      </c>
      <c r="AC657" t="e">
        <f t="shared" si="210"/>
        <v>#N/A</v>
      </c>
    </row>
    <row r="658" spans="2:29">
      <c r="B658">
        <v>644</v>
      </c>
      <c r="C658">
        <f>'Lab test'!Q647</f>
        <v>30.271084337349397</v>
      </c>
      <c r="D658">
        <f>IF('Lab test'!AQ647&gt;0,'Lab test'!AQ647,NA())</f>
        <v>0.42872945561881576</v>
      </c>
      <c r="E658">
        <f>IF('Lab test'!AU647&gt;0,'Lab test'!AU647,NA())</f>
        <v>1.1227301564840846</v>
      </c>
      <c r="F658">
        <f>IF('Lab test'!AT647&gt;0,'Lab test'!AT647,NA())</f>
        <v>0.20636784683510007</v>
      </c>
      <c r="G658">
        <f t="shared" si="192"/>
        <v>1</v>
      </c>
      <c r="H658">
        <f t="shared" si="193"/>
        <v>1</v>
      </c>
      <c r="I658">
        <f t="shared" si="194"/>
        <v>1</v>
      </c>
      <c r="J658">
        <f t="shared" si="195"/>
        <v>1</v>
      </c>
      <c r="K658">
        <f t="shared" si="196"/>
        <v>1</v>
      </c>
      <c r="L658" t="str">
        <f>'Lab test'!AC647</f>
        <v>Machined</v>
      </c>
      <c r="O658" t="e">
        <f t="shared" si="197"/>
        <v>#N/A</v>
      </c>
      <c r="P658" t="e">
        <f t="shared" si="198"/>
        <v>#N/A</v>
      </c>
      <c r="Q658" t="e">
        <f t="shared" si="199"/>
        <v>#N/A</v>
      </c>
      <c r="R658">
        <f t="shared" si="200"/>
        <v>1.1227301564840846</v>
      </c>
      <c r="S658" t="e">
        <f t="shared" si="201"/>
        <v>#N/A</v>
      </c>
      <c r="T658" t="e">
        <f t="shared" si="202"/>
        <v>#N/A</v>
      </c>
      <c r="U658" t="e">
        <f t="shared" si="203"/>
        <v>#N/A</v>
      </c>
      <c r="W658" t="e">
        <f t="shared" si="204"/>
        <v>#N/A</v>
      </c>
      <c r="X658" t="e">
        <f t="shared" si="205"/>
        <v>#N/A</v>
      </c>
      <c r="Y658" t="e">
        <f t="shared" si="206"/>
        <v>#N/A</v>
      </c>
      <c r="Z658">
        <f t="shared" si="207"/>
        <v>0.20636784683510007</v>
      </c>
      <c r="AA658" t="e">
        <f t="shared" si="208"/>
        <v>#N/A</v>
      </c>
      <c r="AB658" t="e">
        <f t="shared" si="209"/>
        <v>#N/A</v>
      </c>
      <c r="AC658" t="e">
        <f t="shared" si="210"/>
        <v>#N/A</v>
      </c>
    </row>
    <row r="659" spans="2:29">
      <c r="B659">
        <v>645</v>
      </c>
      <c r="C659">
        <f>'Lab test'!Q648</f>
        <v>48.990196078431374</v>
      </c>
      <c r="D659">
        <f>IF('Lab test'!AQ648&gt;0,'Lab test'!AQ648,NA())</f>
        <v>0.54541103723030948</v>
      </c>
      <c r="E659">
        <f>IF('Lab test'!AU648&gt;0,'Lab test'!AU648,NA())</f>
        <v>0.96771139078826063</v>
      </c>
      <c r="F659">
        <f>IF('Lab test'!AT648&gt;0,'Lab test'!AT648,NA())</f>
        <v>0.2878682036419668</v>
      </c>
      <c r="G659">
        <f t="shared" si="192"/>
        <v>1</v>
      </c>
      <c r="H659">
        <f t="shared" si="193"/>
        <v>1</v>
      </c>
      <c r="I659">
        <f t="shared" si="194"/>
        <v>1</v>
      </c>
      <c r="J659">
        <f t="shared" si="195"/>
        <v>1</v>
      </c>
      <c r="K659">
        <f t="shared" si="196"/>
        <v>1</v>
      </c>
      <c r="L659" t="str">
        <f>'Lab test'!AC648</f>
        <v>Machined</v>
      </c>
      <c r="O659" t="e">
        <f t="shared" si="197"/>
        <v>#N/A</v>
      </c>
      <c r="P659" t="e">
        <f t="shared" si="198"/>
        <v>#N/A</v>
      </c>
      <c r="Q659" t="e">
        <f t="shared" si="199"/>
        <v>#N/A</v>
      </c>
      <c r="R659">
        <f t="shared" si="200"/>
        <v>0.96771139078826063</v>
      </c>
      <c r="S659" t="e">
        <f t="shared" si="201"/>
        <v>#N/A</v>
      </c>
      <c r="T659" t="e">
        <f t="shared" si="202"/>
        <v>#N/A</v>
      </c>
      <c r="U659" t="e">
        <f t="shared" si="203"/>
        <v>#N/A</v>
      </c>
      <c r="W659" t="e">
        <f t="shared" si="204"/>
        <v>#N/A</v>
      </c>
      <c r="X659" t="e">
        <f t="shared" si="205"/>
        <v>#N/A</v>
      </c>
      <c r="Y659" t="e">
        <f t="shared" si="206"/>
        <v>#N/A</v>
      </c>
      <c r="Z659">
        <f t="shared" si="207"/>
        <v>0.2878682036419668</v>
      </c>
      <c r="AA659" t="e">
        <f t="shared" si="208"/>
        <v>#N/A</v>
      </c>
      <c r="AB659" t="e">
        <f t="shared" si="209"/>
        <v>#N/A</v>
      </c>
      <c r="AC659" t="e">
        <f t="shared" si="210"/>
        <v>#N/A</v>
      </c>
    </row>
    <row r="660" spans="2:29">
      <c r="B660">
        <v>646</v>
      </c>
      <c r="C660">
        <f>'Lab test'!Q649</f>
        <v>29.267441860465116</v>
      </c>
      <c r="D660">
        <f>IF('Lab test'!AQ649&gt;0,'Lab test'!AQ649,NA())</f>
        <v>0.42156225176784912</v>
      </c>
      <c r="E660">
        <f>IF('Lab test'!AU649&gt;0,'Lab test'!AU649,NA())</f>
        <v>1.1176821705798701</v>
      </c>
      <c r="F660">
        <f>IF('Lab test'!AT649&gt;0,'Lab test'!AT649,NA())</f>
        <v>0.19862858753496088</v>
      </c>
      <c r="G660">
        <f t="shared" si="192"/>
        <v>1</v>
      </c>
      <c r="H660">
        <f t="shared" si="193"/>
        <v>1</v>
      </c>
      <c r="I660">
        <f t="shared" si="194"/>
        <v>1</v>
      </c>
      <c r="J660">
        <f t="shared" si="195"/>
        <v>1</v>
      </c>
      <c r="K660">
        <f t="shared" si="196"/>
        <v>1</v>
      </c>
      <c r="L660" t="str">
        <f>'Lab test'!AC649</f>
        <v>Machined</v>
      </c>
      <c r="O660" t="e">
        <f t="shared" si="197"/>
        <v>#N/A</v>
      </c>
      <c r="P660" t="e">
        <f t="shared" si="198"/>
        <v>#N/A</v>
      </c>
      <c r="Q660" t="e">
        <f t="shared" si="199"/>
        <v>#N/A</v>
      </c>
      <c r="R660">
        <f t="shared" si="200"/>
        <v>1.1176821705798701</v>
      </c>
      <c r="S660" t="e">
        <f t="shared" si="201"/>
        <v>#N/A</v>
      </c>
      <c r="T660" t="e">
        <f t="shared" si="202"/>
        <v>#N/A</v>
      </c>
      <c r="U660" t="e">
        <f t="shared" si="203"/>
        <v>#N/A</v>
      </c>
      <c r="W660" t="e">
        <f t="shared" si="204"/>
        <v>#N/A</v>
      </c>
      <c r="X660" t="e">
        <f t="shared" si="205"/>
        <v>#N/A</v>
      </c>
      <c r="Y660" t="e">
        <f t="shared" si="206"/>
        <v>#N/A</v>
      </c>
      <c r="Z660">
        <f t="shared" si="207"/>
        <v>0.19862858753496088</v>
      </c>
      <c r="AA660" t="e">
        <f t="shared" si="208"/>
        <v>#N/A</v>
      </c>
      <c r="AB660" t="e">
        <f t="shared" si="209"/>
        <v>#N/A</v>
      </c>
      <c r="AC660" t="e">
        <f t="shared" si="210"/>
        <v>#N/A</v>
      </c>
    </row>
    <row r="661" spans="2:29">
      <c r="B661">
        <v>647</v>
      </c>
      <c r="C661">
        <f>'Lab test'!Q650</f>
        <v>39.769841269841272</v>
      </c>
      <c r="D661">
        <f>IF('Lab test'!AQ650&gt;0,'Lab test'!AQ650,NA())</f>
        <v>0.49141257117512094</v>
      </c>
      <c r="E661">
        <f>IF('Lab test'!AU650&gt;0,'Lab test'!AU650,NA())</f>
        <v>0.96413522634375726</v>
      </c>
      <c r="F661">
        <f>IF('Lab test'!AT650&gt;0,'Lab test'!AT650,NA())</f>
        <v>0.23282546307648086</v>
      </c>
      <c r="G661">
        <f t="shared" si="192"/>
        <v>1</v>
      </c>
      <c r="H661">
        <f t="shared" si="193"/>
        <v>1</v>
      </c>
      <c r="I661">
        <f t="shared" si="194"/>
        <v>1</v>
      </c>
      <c r="J661">
        <f t="shared" si="195"/>
        <v>1</v>
      </c>
      <c r="K661">
        <f t="shared" si="196"/>
        <v>1</v>
      </c>
      <c r="L661" t="str">
        <f>'Lab test'!AC650</f>
        <v>Machined</v>
      </c>
      <c r="O661" t="e">
        <f t="shared" si="197"/>
        <v>#N/A</v>
      </c>
      <c r="P661" t="e">
        <f t="shared" si="198"/>
        <v>#N/A</v>
      </c>
      <c r="Q661" t="e">
        <f t="shared" si="199"/>
        <v>#N/A</v>
      </c>
      <c r="R661">
        <f t="shared" si="200"/>
        <v>0.96413522634375726</v>
      </c>
      <c r="S661" t="e">
        <f t="shared" si="201"/>
        <v>#N/A</v>
      </c>
      <c r="T661" t="e">
        <f t="shared" si="202"/>
        <v>#N/A</v>
      </c>
      <c r="U661" t="e">
        <f t="shared" si="203"/>
        <v>#N/A</v>
      </c>
      <c r="W661" t="e">
        <f t="shared" si="204"/>
        <v>#N/A</v>
      </c>
      <c r="X661" t="e">
        <f t="shared" si="205"/>
        <v>#N/A</v>
      </c>
      <c r="Y661" t="e">
        <f t="shared" si="206"/>
        <v>#N/A</v>
      </c>
      <c r="Z661">
        <f t="shared" si="207"/>
        <v>0.23282546307648086</v>
      </c>
      <c r="AA661" t="e">
        <f t="shared" si="208"/>
        <v>#N/A</v>
      </c>
      <c r="AB661" t="e">
        <f t="shared" si="209"/>
        <v>#N/A</v>
      </c>
      <c r="AC661" t="e">
        <f t="shared" si="210"/>
        <v>#N/A</v>
      </c>
    </row>
    <row r="662" spans="2:29">
      <c r="B662">
        <v>648</v>
      </c>
      <c r="C662">
        <f>'Lab test'!Q651</f>
        <v>4.5</v>
      </c>
      <c r="D662">
        <f>IF('Lab test'!AQ651&gt;0,'Lab test'!AQ651,NA())</f>
        <v>0.241975947938706</v>
      </c>
      <c r="E662">
        <f>IF('Lab test'!AU651&gt;0,'Lab test'!AU651,NA())</f>
        <v>1.305863045228943</v>
      </c>
      <c r="F662">
        <f>IF('Lab test'!AT651&gt;0,'Lab test'!AT651,NA())</f>
        <v>7.6461362326397136E-2</v>
      </c>
      <c r="G662">
        <f t="shared" si="192"/>
        <v>1</v>
      </c>
      <c r="H662">
        <f t="shared" si="193"/>
        <v>1</v>
      </c>
      <c r="I662">
        <f t="shared" si="194"/>
        <v>1</v>
      </c>
      <c r="J662">
        <f t="shared" si="195"/>
        <v>1</v>
      </c>
      <c r="K662">
        <f t="shared" si="196"/>
        <v>1</v>
      </c>
      <c r="L662" t="str">
        <f>'Lab test'!AC651</f>
        <v>Machined</v>
      </c>
      <c r="O662" t="e">
        <f t="shared" si="197"/>
        <v>#N/A</v>
      </c>
      <c r="P662" t="e">
        <f t="shared" si="198"/>
        <v>#N/A</v>
      </c>
      <c r="Q662" t="e">
        <f t="shared" si="199"/>
        <v>#N/A</v>
      </c>
      <c r="R662">
        <f t="shared" si="200"/>
        <v>1.305863045228943</v>
      </c>
      <c r="S662" t="e">
        <f t="shared" si="201"/>
        <v>#N/A</v>
      </c>
      <c r="T662" t="e">
        <f t="shared" si="202"/>
        <v>#N/A</v>
      </c>
      <c r="U662" t="e">
        <f t="shared" si="203"/>
        <v>#N/A</v>
      </c>
      <c r="W662" t="e">
        <f t="shared" si="204"/>
        <v>#N/A</v>
      </c>
      <c r="X662" t="e">
        <f t="shared" si="205"/>
        <v>#N/A</v>
      </c>
      <c r="Y662" t="e">
        <f t="shared" si="206"/>
        <v>#N/A</v>
      </c>
      <c r="Z662">
        <f t="shared" si="207"/>
        <v>7.6461362326397136E-2</v>
      </c>
      <c r="AA662" t="e">
        <f t="shared" si="208"/>
        <v>#N/A</v>
      </c>
      <c r="AB662" t="e">
        <f t="shared" si="209"/>
        <v>#N/A</v>
      </c>
      <c r="AC662" t="e">
        <f t="shared" si="210"/>
        <v>#N/A</v>
      </c>
    </row>
    <row r="663" spans="2:29">
      <c r="B663">
        <v>649</v>
      </c>
      <c r="C663">
        <f>'Lab test'!Q652</f>
        <v>13.849514563106792</v>
      </c>
      <c r="D663">
        <f>IF('Lab test'!AQ652&gt;0,'Lab test'!AQ652,NA())</f>
        <v>0.4245053995073802</v>
      </c>
      <c r="E663">
        <f>IF('Lab test'!AU652&gt;0,'Lab test'!AU652,NA())</f>
        <v>1.082152328475152</v>
      </c>
      <c r="F663">
        <f>IF('Lab test'!AT652&gt;0,'Lab test'!AT652,NA())</f>
        <v>0.1950090809438263</v>
      </c>
      <c r="G663">
        <f t="shared" si="192"/>
        <v>1</v>
      </c>
      <c r="H663">
        <f t="shared" si="193"/>
        <v>1</v>
      </c>
      <c r="I663">
        <f t="shared" si="194"/>
        <v>1</v>
      </c>
      <c r="J663">
        <f t="shared" si="195"/>
        <v>1</v>
      </c>
      <c r="K663">
        <f t="shared" si="196"/>
        <v>1</v>
      </c>
      <c r="L663" t="str">
        <f>'Lab test'!AC652</f>
        <v>Machined</v>
      </c>
      <c r="O663" t="e">
        <f t="shared" si="197"/>
        <v>#N/A</v>
      </c>
      <c r="P663" t="e">
        <f t="shared" si="198"/>
        <v>#N/A</v>
      </c>
      <c r="Q663" t="e">
        <f t="shared" si="199"/>
        <v>#N/A</v>
      </c>
      <c r="R663">
        <f t="shared" si="200"/>
        <v>1.082152328475152</v>
      </c>
      <c r="S663" t="e">
        <f t="shared" si="201"/>
        <v>#N/A</v>
      </c>
      <c r="T663" t="e">
        <f t="shared" si="202"/>
        <v>#N/A</v>
      </c>
      <c r="U663" t="e">
        <f t="shared" si="203"/>
        <v>#N/A</v>
      </c>
      <c r="W663" t="e">
        <f t="shared" si="204"/>
        <v>#N/A</v>
      </c>
      <c r="X663" t="e">
        <f t="shared" si="205"/>
        <v>#N/A</v>
      </c>
      <c r="Y663" t="e">
        <f t="shared" si="206"/>
        <v>#N/A</v>
      </c>
      <c r="Z663">
        <f t="shared" si="207"/>
        <v>0.1950090809438263</v>
      </c>
      <c r="AA663" t="e">
        <f t="shared" si="208"/>
        <v>#N/A</v>
      </c>
      <c r="AB663" t="e">
        <f t="shared" si="209"/>
        <v>#N/A</v>
      </c>
      <c r="AC663" t="e">
        <f t="shared" si="210"/>
        <v>#N/A</v>
      </c>
    </row>
    <row r="664" spans="2:29">
      <c r="B664">
        <v>650</v>
      </c>
      <c r="C664">
        <f>'Lab test'!Q653</f>
        <v>24.378472222222214</v>
      </c>
      <c r="D664">
        <f>IF('Lab test'!AQ653&gt;0,'Lab test'!AQ653,NA())</f>
        <v>0.56320848058467998</v>
      </c>
      <c r="E664">
        <f>IF('Lab test'!AU653&gt;0,'Lab test'!AU653,NA())</f>
        <v>1.039820577489436</v>
      </c>
      <c r="F664">
        <f>IF('Lab test'!AT653&gt;0,'Lab test'!AT653,NA())</f>
        <v>0.32983503080577481</v>
      </c>
      <c r="G664">
        <f t="shared" si="192"/>
        <v>1</v>
      </c>
      <c r="H664">
        <f t="shared" si="193"/>
        <v>1</v>
      </c>
      <c r="I664">
        <f t="shared" si="194"/>
        <v>1</v>
      </c>
      <c r="J664">
        <f t="shared" si="195"/>
        <v>1</v>
      </c>
      <c r="K664">
        <f t="shared" si="196"/>
        <v>1</v>
      </c>
      <c r="L664" t="str">
        <f>'Lab test'!AC653</f>
        <v>Machined</v>
      </c>
      <c r="O664" t="e">
        <f t="shared" si="197"/>
        <v>#N/A</v>
      </c>
      <c r="P664" t="e">
        <f t="shared" si="198"/>
        <v>#N/A</v>
      </c>
      <c r="Q664" t="e">
        <f t="shared" si="199"/>
        <v>#N/A</v>
      </c>
      <c r="R664">
        <f t="shared" si="200"/>
        <v>1.039820577489436</v>
      </c>
      <c r="S664" t="e">
        <f t="shared" si="201"/>
        <v>#N/A</v>
      </c>
      <c r="T664" t="e">
        <f t="shared" si="202"/>
        <v>#N/A</v>
      </c>
      <c r="U664" t="e">
        <f t="shared" si="203"/>
        <v>#N/A</v>
      </c>
      <c r="W664" t="e">
        <f t="shared" si="204"/>
        <v>#N/A</v>
      </c>
      <c r="X664" t="e">
        <f t="shared" si="205"/>
        <v>#N/A</v>
      </c>
      <c r="Y664" t="e">
        <f t="shared" si="206"/>
        <v>#N/A</v>
      </c>
      <c r="Z664">
        <f t="shared" si="207"/>
        <v>0.32983503080577481</v>
      </c>
      <c r="AA664" t="e">
        <f t="shared" si="208"/>
        <v>#N/A</v>
      </c>
      <c r="AB664" t="e">
        <f t="shared" si="209"/>
        <v>#N/A</v>
      </c>
      <c r="AC664" t="e">
        <f t="shared" si="210"/>
        <v>#N/A</v>
      </c>
    </row>
    <row r="665" spans="2:29">
      <c r="B665">
        <v>651</v>
      </c>
      <c r="C665">
        <f>'Lab test'!Q654</f>
        <v>39.55681818181818</v>
      </c>
      <c r="D665">
        <f>IF('Lab test'!AQ654&gt;0,'Lab test'!AQ654,NA())</f>
        <v>0.71742518528170218</v>
      </c>
      <c r="E665">
        <f>IF('Lab test'!AU654&gt;0,'Lab test'!AU654,NA())</f>
        <v>0.93907398472989767</v>
      </c>
      <c r="F665">
        <f>IF('Lab test'!AT654&gt;0,'Lab test'!AT654,NA())</f>
        <v>0.48334034365025358</v>
      </c>
      <c r="G665">
        <f t="shared" si="192"/>
        <v>1</v>
      </c>
      <c r="H665">
        <f t="shared" si="193"/>
        <v>1</v>
      </c>
      <c r="I665">
        <f t="shared" si="194"/>
        <v>1</v>
      </c>
      <c r="J665">
        <f t="shared" si="195"/>
        <v>1</v>
      </c>
      <c r="K665">
        <f t="shared" si="196"/>
        <v>1</v>
      </c>
      <c r="L665" t="str">
        <f>'Lab test'!AC654</f>
        <v>Machined</v>
      </c>
      <c r="O665" t="e">
        <f t="shared" si="197"/>
        <v>#N/A</v>
      </c>
      <c r="P665" t="e">
        <f t="shared" si="198"/>
        <v>#N/A</v>
      </c>
      <c r="Q665" t="e">
        <f t="shared" si="199"/>
        <v>#N/A</v>
      </c>
      <c r="R665">
        <f t="shared" si="200"/>
        <v>0.93907398472989767</v>
      </c>
      <c r="S665" t="e">
        <f t="shared" si="201"/>
        <v>#N/A</v>
      </c>
      <c r="T665" t="e">
        <f t="shared" si="202"/>
        <v>#N/A</v>
      </c>
      <c r="U665" t="e">
        <f t="shared" si="203"/>
        <v>#N/A</v>
      </c>
      <c r="W665" t="e">
        <f t="shared" si="204"/>
        <v>#N/A</v>
      </c>
      <c r="X665" t="e">
        <f t="shared" si="205"/>
        <v>#N/A</v>
      </c>
      <c r="Y665" t="e">
        <f t="shared" si="206"/>
        <v>#N/A</v>
      </c>
      <c r="Z665">
        <f t="shared" si="207"/>
        <v>0.48334034365025358</v>
      </c>
      <c r="AA665" t="e">
        <f t="shared" si="208"/>
        <v>#N/A</v>
      </c>
      <c r="AB665" t="e">
        <f t="shared" si="209"/>
        <v>#N/A</v>
      </c>
      <c r="AC665" t="e">
        <f t="shared" si="210"/>
        <v>#N/A</v>
      </c>
    </row>
    <row r="666" spans="2:29">
      <c r="B666">
        <v>652</v>
      </c>
      <c r="C666">
        <f>'Lab test'!Q655</f>
        <v>57.392561983471069</v>
      </c>
      <c r="D666">
        <f>IF('Lab test'!AQ655&gt;0,'Lab test'!AQ655,NA())</f>
        <v>0.86415918222963573</v>
      </c>
      <c r="E666">
        <f>IF('Lab test'!AU655&gt;0,'Lab test'!AU655,NA())</f>
        <v>0.83406953996785571</v>
      </c>
      <c r="F666">
        <f>IF('Lab test'!AT655&gt;0,'Lab test'!AT655,NA())</f>
        <v>0.62285902135906457</v>
      </c>
      <c r="G666">
        <f t="shared" si="192"/>
        <v>1</v>
      </c>
      <c r="H666">
        <f t="shared" si="193"/>
        <v>1</v>
      </c>
      <c r="I666">
        <f t="shared" si="194"/>
        <v>1</v>
      </c>
      <c r="J666">
        <f t="shared" si="195"/>
        <v>1</v>
      </c>
      <c r="K666">
        <f t="shared" si="196"/>
        <v>1</v>
      </c>
      <c r="L666" t="str">
        <f>'Lab test'!AC655</f>
        <v>Machined</v>
      </c>
      <c r="O666" t="e">
        <f t="shared" si="197"/>
        <v>#N/A</v>
      </c>
      <c r="P666" t="e">
        <f t="shared" si="198"/>
        <v>#N/A</v>
      </c>
      <c r="Q666" t="e">
        <f t="shared" si="199"/>
        <v>#N/A</v>
      </c>
      <c r="R666">
        <f t="shared" si="200"/>
        <v>0.83406953996785571</v>
      </c>
      <c r="S666" t="e">
        <f t="shared" si="201"/>
        <v>#N/A</v>
      </c>
      <c r="T666" t="e">
        <f t="shared" si="202"/>
        <v>#N/A</v>
      </c>
      <c r="U666" t="e">
        <f t="shared" si="203"/>
        <v>#N/A</v>
      </c>
      <c r="W666" t="e">
        <f t="shared" si="204"/>
        <v>#N/A</v>
      </c>
      <c r="X666" t="e">
        <f t="shared" si="205"/>
        <v>#N/A</v>
      </c>
      <c r="Y666" t="e">
        <f t="shared" si="206"/>
        <v>#N/A</v>
      </c>
      <c r="Z666">
        <f t="shared" si="207"/>
        <v>0.62285902135906457</v>
      </c>
      <c r="AA666" t="e">
        <f t="shared" si="208"/>
        <v>#N/A</v>
      </c>
      <c r="AB666" t="e">
        <f t="shared" si="209"/>
        <v>#N/A</v>
      </c>
      <c r="AC666" t="e">
        <f t="shared" si="210"/>
        <v>#N/A</v>
      </c>
    </row>
    <row r="667" spans="2:29">
      <c r="B667">
        <v>653</v>
      </c>
      <c r="C667">
        <f>'Lab test'!Q656</f>
        <v>74.446236559139763</v>
      </c>
      <c r="D667">
        <f>IF('Lab test'!AQ656&gt;0,'Lab test'!AQ656,NA())</f>
        <v>0.9842089657928268</v>
      </c>
      <c r="E667">
        <f>IF('Lab test'!AU656&gt;0,'Lab test'!AU656,NA())</f>
        <v>0.76843352990906788</v>
      </c>
      <c r="F667">
        <f>IF('Lab test'!AT656&gt;0,'Lab test'!AT656,NA())</f>
        <v>0.74435642369191912</v>
      </c>
      <c r="G667">
        <f t="shared" si="192"/>
        <v>1</v>
      </c>
      <c r="H667">
        <f t="shared" si="193"/>
        <v>1</v>
      </c>
      <c r="I667">
        <f t="shared" si="194"/>
        <v>1</v>
      </c>
      <c r="J667">
        <f t="shared" si="195"/>
        <v>1</v>
      </c>
      <c r="K667">
        <f t="shared" si="196"/>
        <v>1</v>
      </c>
      <c r="L667" t="str">
        <f>'Lab test'!AC656</f>
        <v>Machined</v>
      </c>
      <c r="O667" t="e">
        <f t="shared" si="197"/>
        <v>#N/A</v>
      </c>
      <c r="P667" t="e">
        <f t="shared" si="198"/>
        <v>#N/A</v>
      </c>
      <c r="Q667" t="e">
        <f t="shared" si="199"/>
        <v>#N/A</v>
      </c>
      <c r="R667">
        <f t="shared" si="200"/>
        <v>0.76843352990906788</v>
      </c>
      <c r="S667" t="e">
        <f t="shared" si="201"/>
        <v>#N/A</v>
      </c>
      <c r="T667" t="e">
        <f t="shared" si="202"/>
        <v>#N/A</v>
      </c>
      <c r="U667" t="e">
        <f t="shared" si="203"/>
        <v>#N/A</v>
      </c>
      <c r="W667" t="e">
        <f t="shared" si="204"/>
        <v>#N/A</v>
      </c>
      <c r="X667" t="e">
        <f t="shared" si="205"/>
        <v>#N/A</v>
      </c>
      <c r="Y667" t="e">
        <f t="shared" si="206"/>
        <v>#N/A</v>
      </c>
      <c r="Z667">
        <f t="shared" si="207"/>
        <v>0.74435642369191912</v>
      </c>
      <c r="AA667" t="e">
        <f t="shared" si="208"/>
        <v>#N/A</v>
      </c>
      <c r="AB667" t="e">
        <f t="shared" si="209"/>
        <v>#N/A</v>
      </c>
      <c r="AC667" t="e">
        <f t="shared" si="210"/>
        <v>#N/A</v>
      </c>
    </row>
    <row r="668" spans="2:29">
      <c r="B668">
        <v>654</v>
      </c>
      <c r="C668">
        <f>'Lab test'!Q657</f>
        <v>4.5000000000000009</v>
      </c>
      <c r="D668">
        <f>IF('Lab test'!AQ657&gt;0,'Lab test'!AQ657,NA())</f>
        <v>0.24123225295325118</v>
      </c>
      <c r="E668">
        <f>IF('Lab test'!AU657&gt;0,'Lab test'!AU657,NA())</f>
        <v>1.2109756097560975</v>
      </c>
      <c r="F668">
        <f>IF('Lab test'!AT657&gt;0,'Lab test'!AT657,NA())</f>
        <v>7.0470303494935424E-2</v>
      </c>
      <c r="G668">
        <f t="shared" si="192"/>
        <v>1</v>
      </c>
      <c r="H668">
        <f t="shared" si="193"/>
        <v>1</v>
      </c>
      <c r="I668">
        <f t="shared" si="194"/>
        <v>1</v>
      </c>
      <c r="J668">
        <f t="shared" si="195"/>
        <v>1</v>
      </c>
      <c r="K668">
        <f t="shared" si="196"/>
        <v>1</v>
      </c>
      <c r="L668" t="str">
        <f>'Lab test'!AC657</f>
        <v>Machined</v>
      </c>
      <c r="O668" t="e">
        <f t="shared" si="197"/>
        <v>#N/A</v>
      </c>
      <c r="P668" t="e">
        <f t="shared" si="198"/>
        <v>#N/A</v>
      </c>
      <c r="Q668" t="e">
        <f t="shared" si="199"/>
        <v>#N/A</v>
      </c>
      <c r="R668">
        <f t="shared" si="200"/>
        <v>1.2109756097560975</v>
      </c>
      <c r="S668" t="e">
        <f t="shared" si="201"/>
        <v>#N/A</v>
      </c>
      <c r="T668" t="e">
        <f t="shared" si="202"/>
        <v>#N/A</v>
      </c>
      <c r="U668" t="e">
        <f t="shared" si="203"/>
        <v>#N/A</v>
      </c>
      <c r="W668" t="e">
        <f t="shared" si="204"/>
        <v>#N/A</v>
      </c>
      <c r="X668" t="e">
        <f t="shared" si="205"/>
        <v>#N/A</v>
      </c>
      <c r="Y668" t="e">
        <f t="shared" si="206"/>
        <v>#N/A</v>
      </c>
      <c r="Z668">
        <f t="shared" si="207"/>
        <v>7.0470303494935424E-2</v>
      </c>
      <c r="AA668" t="e">
        <f t="shared" si="208"/>
        <v>#N/A</v>
      </c>
      <c r="AB668" t="e">
        <f t="shared" si="209"/>
        <v>#N/A</v>
      </c>
      <c r="AC668" t="e">
        <f t="shared" si="210"/>
        <v>#N/A</v>
      </c>
    </row>
    <row r="669" spans="2:29">
      <c r="B669">
        <v>655</v>
      </c>
      <c r="C669">
        <f>'Lab test'!Q658</f>
        <v>13.849514563106796</v>
      </c>
      <c r="D669">
        <f>IF('Lab test'!AQ658&gt;0,'Lab test'!AQ658,NA())</f>
        <v>0.42320071389874231</v>
      </c>
      <c r="E669">
        <f>IF('Lab test'!AU658&gt;0,'Lab test'!AU658,NA())</f>
        <v>1.0219512195121949</v>
      </c>
      <c r="F669">
        <f>IF('Lab test'!AT658&gt;0,'Lab test'!AT658,NA())</f>
        <v>0.1830302822887945</v>
      </c>
      <c r="G669">
        <f t="shared" si="192"/>
        <v>1</v>
      </c>
      <c r="H669">
        <f t="shared" si="193"/>
        <v>1</v>
      </c>
      <c r="I669">
        <f t="shared" si="194"/>
        <v>1</v>
      </c>
      <c r="J669">
        <f t="shared" si="195"/>
        <v>1</v>
      </c>
      <c r="K669">
        <f t="shared" si="196"/>
        <v>1</v>
      </c>
      <c r="L669" t="str">
        <f>'Lab test'!AC658</f>
        <v>Machined</v>
      </c>
      <c r="O669" t="e">
        <f t="shared" si="197"/>
        <v>#N/A</v>
      </c>
      <c r="P669" t="e">
        <f t="shared" si="198"/>
        <v>#N/A</v>
      </c>
      <c r="Q669" t="e">
        <f t="shared" si="199"/>
        <v>#N/A</v>
      </c>
      <c r="R669">
        <f t="shared" si="200"/>
        <v>1.0219512195121949</v>
      </c>
      <c r="S669" t="e">
        <f t="shared" si="201"/>
        <v>#N/A</v>
      </c>
      <c r="T669" t="e">
        <f t="shared" si="202"/>
        <v>#N/A</v>
      </c>
      <c r="U669" t="e">
        <f t="shared" si="203"/>
        <v>#N/A</v>
      </c>
      <c r="W669" t="e">
        <f t="shared" si="204"/>
        <v>#N/A</v>
      </c>
      <c r="X669" t="e">
        <f t="shared" si="205"/>
        <v>#N/A</v>
      </c>
      <c r="Y669" t="e">
        <f t="shared" si="206"/>
        <v>#N/A</v>
      </c>
      <c r="Z669">
        <f t="shared" si="207"/>
        <v>0.1830302822887945</v>
      </c>
      <c r="AA669" t="e">
        <f t="shared" si="208"/>
        <v>#N/A</v>
      </c>
      <c r="AB669" t="e">
        <f t="shared" si="209"/>
        <v>#N/A</v>
      </c>
      <c r="AC669" t="e">
        <f t="shared" si="210"/>
        <v>#N/A</v>
      </c>
    </row>
    <row r="670" spans="2:29">
      <c r="B670">
        <v>656</v>
      </c>
      <c r="C670">
        <f>'Lab test'!Q659</f>
        <v>24.378472222222225</v>
      </c>
      <c r="D670">
        <f>IF('Lab test'!AQ659&gt;0,'Lab test'!AQ659,NA())</f>
        <v>0.56147750142603015</v>
      </c>
      <c r="E670">
        <f>IF('Lab test'!AU659&gt;0,'Lab test'!AU659,NA())</f>
        <v>0.97926829268292681</v>
      </c>
      <c r="F670">
        <f>IF('Lab test'!AT659&gt;0,'Lab test'!AT659,NA())</f>
        <v>0.30872116907306951</v>
      </c>
      <c r="G670">
        <f t="shared" si="192"/>
        <v>1</v>
      </c>
      <c r="H670">
        <f t="shared" si="193"/>
        <v>1</v>
      </c>
      <c r="I670">
        <f t="shared" si="194"/>
        <v>1</v>
      </c>
      <c r="J670">
        <f t="shared" si="195"/>
        <v>1</v>
      </c>
      <c r="K670">
        <f t="shared" si="196"/>
        <v>1</v>
      </c>
      <c r="L670" t="str">
        <f>'Lab test'!AC659</f>
        <v>Machined</v>
      </c>
      <c r="O670" t="e">
        <f t="shared" si="197"/>
        <v>#N/A</v>
      </c>
      <c r="P670" t="e">
        <f t="shared" si="198"/>
        <v>#N/A</v>
      </c>
      <c r="Q670" t="e">
        <f t="shared" si="199"/>
        <v>#N/A</v>
      </c>
      <c r="R670">
        <f t="shared" si="200"/>
        <v>0.97926829268292681</v>
      </c>
      <c r="S670" t="e">
        <f t="shared" si="201"/>
        <v>#N/A</v>
      </c>
      <c r="T670" t="e">
        <f t="shared" si="202"/>
        <v>#N/A</v>
      </c>
      <c r="U670" t="e">
        <f t="shared" si="203"/>
        <v>#N/A</v>
      </c>
      <c r="W670" t="e">
        <f t="shared" si="204"/>
        <v>#N/A</v>
      </c>
      <c r="X670" t="e">
        <f t="shared" si="205"/>
        <v>#N/A</v>
      </c>
      <c r="Y670" t="e">
        <f t="shared" si="206"/>
        <v>#N/A</v>
      </c>
      <c r="Z670">
        <f t="shared" si="207"/>
        <v>0.30872116907306951</v>
      </c>
      <c r="AA670" t="e">
        <f t="shared" si="208"/>
        <v>#N/A</v>
      </c>
      <c r="AB670" t="e">
        <f t="shared" si="209"/>
        <v>#N/A</v>
      </c>
      <c r="AC670" t="e">
        <f t="shared" si="210"/>
        <v>#N/A</v>
      </c>
    </row>
    <row r="671" spans="2:29">
      <c r="B671">
        <v>657</v>
      </c>
      <c r="C671">
        <f>'Lab test'!Q660</f>
        <v>39.556818181818173</v>
      </c>
      <c r="D671">
        <f>IF('Lab test'!AQ660&gt;0,'Lab test'!AQ660,NA())</f>
        <v>0.71522023261066969</v>
      </c>
      <c r="E671">
        <f>IF('Lab test'!AU660&gt;0,'Lab test'!AU660,NA())</f>
        <v>0.89390243902439015</v>
      </c>
      <c r="F671">
        <f>IF('Lab test'!AT660&gt;0,'Lab test'!AT660,NA())</f>
        <v>0.45726683679565744</v>
      </c>
      <c r="G671">
        <f t="shared" si="192"/>
        <v>1</v>
      </c>
      <c r="H671">
        <f t="shared" si="193"/>
        <v>1</v>
      </c>
      <c r="I671">
        <f t="shared" si="194"/>
        <v>1</v>
      </c>
      <c r="J671">
        <f t="shared" si="195"/>
        <v>1</v>
      </c>
      <c r="K671">
        <f t="shared" si="196"/>
        <v>1</v>
      </c>
      <c r="L671" t="str">
        <f>'Lab test'!AC660</f>
        <v>Machined</v>
      </c>
      <c r="O671" t="e">
        <f t="shared" si="197"/>
        <v>#N/A</v>
      </c>
      <c r="P671" t="e">
        <f t="shared" si="198"/>
        <v>#N/A</v>
      </c>
      <c r="Q671" t="e">
        <f t="shared" si="199"/>
        <v>#N/A</v>
      </c>
      <c r="R671">
        <f t="shared" si="200"/>
        <v>0.89390243902439015</v>
      </c>
      <c r="S671" t="e">
        <f t="shared" si="201"/>
        <v>#N/A</v>
      </c>
      <c r="T671" t="e">
        <f t="shared" si="202"/>
        <v>#N/A</v>
      </c>
      <c r="U671" t="e">
        <f t="shared" si="203"/>
        <v>#N/A</v>
      </c>
      <c r="W671" t="e">
        <f t="shared" si="204"/>
        <v>#N/A</v>
      </c>
      <c r="X671" t="e">
        <f t="shared" si="205"/>
        <v>#N/A</v>
      </c>
      <c r="Y671" t="e">
        <f t="shared" si="206"/>
        <v>#N/A</v>
      </c>
      <c r="Z671">
        <f t="shared" si="207"/>
        <v>0.45726683679565744</v>
      </c>
      <c r="AA671" t="e">
        <f t="shared" si="208"/>
        <v>#N/A</v>
      </c>
      <c r="AB671" t="e">
        <f t="shared" si="209"/>
        <v>#N/A</v>
      </c>
      <c r="AC671" t="e">
        <f t="shared" si="210"/>
        <v>#N/A</v>
      </c>
    </row>
    <row r="672" spans="2:29">
      <c r="B672">
        <v>658</v>
      </c>
      <c r="C672">
        <f>'Lab test'!Q661</f>
        <v>57.392561983471076</v>
      </c>
      <c r="D672">
        <f>IF('Lab test'!AQ661&gt;0,'Lab test'!AQ661,NA())</f>
        <v>0.86150325358906799</v>
      </c>
      <c r="E672">
        <f>IF('Lab test'!AU661&gt;0,'Lab test'!AU661,NA())</f>
        <v>0.83048780487804874</v>
      </c>
      <c r="F672">
        <f>IF('Lab test'!AT661&gt;0,'Lab test'!AT661,NA())</f>
        <v>0.61637796329053485</v>
      </c>
      <c r="G672">
        <f t="shared" si="192"/>
        <v>1</v>
      </c>
      <c r="H672">
        <f t="shared" si="193"/>
        <v>1</v>
      </c>
      <c r="I672">
        <f t="shared" si="194"/>
        <v>1</v>
      </c>
      <c r="J672">
        <f t="shared" si="195"/>
        <v>1</v>
      </c>
      <c r="K672">
        <f t="shared" si="196"/>
        <v>1</v>
      </c>
      <c r="L672" t="str">
        <f>'Lab test'!AC661</f>
        <v>Machined</v>
      </c>
      <c r="O672" t="e">
        <f t="shared" si="197"/>
        <v>#N/A</v>
      </c>
      <c r="P672" t="e">
        <f t="shared" si="198"/>
        <v>#N/A</v>
      </c>
      <c r="Q672" t="e">
        <f t="shared" si="199"/>
        <v>#N/A</v>
      </c>
      <c r="R672">
        <f t="shared" si="200"/>
        <v>0.83048780487804874</v>
      </c>
      <c r="S672" t="e">
        <f t="shared" si="201"/>
        <v>#N/A</v>
      </c>
      <c r="T672" t="e">
        <f t="shared" si="202"/>
        <v>#N/A</v>
      </c>
      <c r="U672" t="e">
        <f t="shared" si="203"/>
        <v>#N/A</v>
      </c>
      <c r="W672" t="e">
        <f t="shared" si="204"/>
        <v>#N/A</v>
      </c>
      <c r="X672" t="e">
        <f t="shared" si="205"/>
        <v>#N/A</v>
      </c>
      <c r="Y672" t="e">
        <f t="shared" si="206"/>
        <v>#N/A</v>
      </c>
      <c r="Z672">
        <f t="shared" si="207"/>
        <v>0.61637796329053485</v>
      </c>
      <c r="AA672" t="e">
        <f t="shared" si="208"/>
        <v>#N/A</v>
      </c>
      <c r="AB672" t="e">
        <f t="shared" si="209"/>
        <v>#N/A</v>
      </c>
      <c r="AC672" t="e">
        <f t="shared" si="210"/>
        <v>#N/A</v>
      </c>
    </row>
    <row r="673" spans="2:29">
      <c r="B673">
        <v>659</v>
      </c>
      <c r="C673">
        <f>'Lab test'!Q662</f>
        <v>74.446236559139777</v>
      </c>
      <c r="D673">
        <f>IF('Lab test'!AQ662&gt;0,'Lab test'!AQ662,NA())</f>
        <v>0.98118407311760436</v>
      </c>
      <c r="E673">
        <f>IF('Lab test'!AU662&gt;0,'Lab test'!AU662,NA())</f>
        <v>0.73780487804878037</v>
      </c>
      <c r="F673">
        <f>IF('Lab test'!AT662&gt;0,'Lab test'!AT662,NA())</f>
        <v>0.71030112454937766</v>
      </c>
      <c r="G673">
        <f t="shared" si="192"/>
        <v>1</v>
      </c>
      <c r="H673">
        <f t="shared" si="193"/>
        <v>1</v>
      </c>
      <c r="I673">
        <f t="shared" si="194"/>
        <v>1</v>
      </c>
      <c r="J673">
        <f t="shared" si="195"/>
        <v>1</v>
      </c>
      <c r="K673">
        <f t="shared" si="196"/>
        <v>1</v>
      </c>
      <c r="L673" t="str">
        <f>'Lab test'!AC662</f>
        <v>Machined</v>
      </c>
      <c r="O673" t="e">
        <f t="shared" si="197"/>
        <v>#N/A</v>
      </c>
      <c r="P673" t="e">
        <f t="shared" si="198"/>
        <v>#N/A</v>
      </c>
      <c r="Q673" t="e">
        <f t="shared" si="199"/>
        <v>#N/A</v>
      </c>
      <c r="R673">
        <f t="shared" si="200"/>
        <v>0.73780487804878037</v>
      </c>
      <c r="S673" t="e">
        <f t="shared" si="201"/>
        <v>#N/A</v>
      </c>
      <c r="T673" t="e">
        <f t="shared" si="202"/>
        <v>#N/A</v>
      </c>
      <c r="U673" t="e">
        <f t="shared" si="203"/>
        <v>#N/A</v>
      </c>
      <c r="W673" t="e">
        <f t="shared" si="204"/>
        <v>#N/A</v>
      </c>
      <c r="X673" t="e">
        <f t="shared" si="205"/>
        <v>#N/A</v>
      </c>
      <c r="Y673" t="e">
        <f t="shared" si="206"/>
        <v>#N/A</v>
      </c>
      <c r="Z673">
        <f t="shared" si="207"/>
        <v>0.71030112454937766</v>
      </c>
      <c r="AA673" t="e">
        <f t="shared" si="208"/>
        <v>#N/A</v>
      </c>
      <c r="AB673" t="e">
        <f t="shared" si="209"/>
        <v>#N/A</v>
      </c>
      <c r="AC673" t="e">
        <f t="shared" si="210"/>
        <v>#N/A</v>
      </c>
    </row>
    <row r="674" spans="2:29">
      <c r="B674">
        <v>660</v>
      </c>
      <c r="C674">
        <f>'Lab test'!Q663</f>
        <v>500.00000000000006</v>
      </c>
      <c r="D674" t="e">
        <f>IF('Lab test'!AQ663&gt;0,'Lab test'!AQ663,NA())</f>
        <v>#N/A</v>
      </c>
      <c r="E674" t="e">
        <f>IF('Lab test'!AU663&gt;0,'Lab test'!AU663,NA())</f>
        <v>#N/A</v>
      </c>
      <c r="F674">
        <f>IF('Lab test'!AT663&gt;0,'Lab test'!AT663,NA())</f>
        <v>0.33957021167405349</v>
      </c>
      <c r="G674" t="e">
        <f t="shared" si="192"/>
        <v>#N/A</v>
      </c>
      <c r="H674" t="e">
        <f t="shared" si="193"/>
        <v>#N/A</v>
      </c>
      <c r="I674" t="e">
        <f t="shared" si="194"/>
        <v>#N/A</v>
      </c>
      <c r="J674">
        <f t="shared" si="195"/>
        <v>1</v>
      </c>
      <c r="K674">
        <f t="shared" si="196"/>
        <v>1</v>
      </c>
      <c r="L674" t="str">
        <f>'Lab test'!AC663</f>
        <v>LTWa</v>
      </c>
      <c r="O674" t="e">
        <f t="shared" si="197"/>
        <v>#N/A</v>
      </c>
      <c r="P674" t="e">
        <f t="shared" si="198"/>
        <v>#N/A</v>
      </c>
      <c r="Q674" t="e">
        <f t="shared" si="199"/>
        <v>#N/A</v>
      </c>
      <c r="R674" t="e">
        <f t="shared" si="200"/>
        <v>#N/A</v>
      </c>
      <c r="S674" t="e">
        <f t="shared" si="201"/>
        <v>#N/A</v>
      </c>
      <c r="T674" t="e">
        <f t="shared" si="202"/>
        <v>#N/A</v>
      </c>
      <c r="U674" t="e">
        <f t="shared" si="203"/>
        <v>#N/A</v>
      </c>
      <c r="W674">
        <f t="shared" si="204"/>
        <v>0.33957021167405349</v>
      </c>
      <c r="X674" t="e">
        <f t="shared" si="205"/>
        <v>#N/A</v>
      </c>
      <c r="Y674" t="e">
        <f t="shared" si="206"/>
        <v>#N/A</v>
      </c>
      <c r="Z674" t="e">
        <f t="shared" si="207"/>
        <v>#N/A</v>
      </c>
      <c r="AA674" t="e">
        <f t="shared" si="208"/>
        <v>#N/A</v>
      </c>
      <c r="AB674" t="e">
        <f t="shared" si="209"/>
        <v>#N/A</v>
      </c>
      <c r="AC674" t="e">
        <f t="shared" si="210"/>
        <v>#N/A</v>
      </c>
    </row>
    <row r="675" spans="2:29">
      <c r="B675">
        <v>661</v>
      </c>
      <c r="C675">
        <f>'Lab test'!Q664</f>
        <v>500.00000000000006</v>
      </c>
      <c r="D675" t="e">
        <f>IF('Lab test'!AQ664&gt;0,'Lab test'!AQ664,NA())</f>
        <v>#N/A</v>
      </c>
      <c r="E675" t="e">
        <f>IF('Lab test'!AU664&gt;0,'Lab test'!AU664,NA())</f>
        <v>#N/A</v>
      </c>
      <c r="F675">
        <f>IF('Lab test'!AT664&gt;0,'Lab test'!AT664,NA())</f>
        <v>0.33330297622369343</v>
      </c>
      <c r="G675" t="e">
        <f t="shared" si="192"/>
        <v>#N/A</v>
      </c>
      <c r="H675" t="e">
        <f t="shared" si="193"/>
        <v>#N/A</v>
      </c>
      <c r="I675" t="e">
        <f t="shared" si="194"/>
        <v>#N/A</v>
      </c>
      <c r="J675">
        <f t="shared" si="195"/>
        <v>1</v>
      </c>
      <c r="K675">
        <f t="shared" si="196"/>
        <v>1</v>
      </c>
      <c r="L675" t="str">
        <f>'Lab test'!AC664</f>
        <v>LTWa</v>
      </c>
      <c r="O675" t="e">
        <f t="shared" si="197"/>
        <v>#N/A</v>
      </c>
      <c r="P675" t="e">
        <f t="shared" si="198"/>
        <v>#N/A</v>
      </c>
      <c r="Q675" t="e">
        <f t="shared" si="199"/>
        <v>#N/A</v>
      </c>
      <c r="R675" t="e">
        <f t="shared" si="200"/>
        <v>#N/A</v>
      </c>
      <c r="S675" t="e">
        <f t="shared" si="201"/>
        <v>#N/A</v>
      </c>
      <c r="T675" t="e">
        <f t="shared" si="202"/>
        <v>#N/A</v>
      </c>
      <c r="U675" t="e">
        <f t="shared" si="203"/>
        <v>#N/A</v>
      </c>
      <c r="W675">
        <f t="shared" si="204"/>
        <v>0.33330297622369343</v>
      </c>
      <c r="X675" t="e">
        <f t="shared" si="205"/>
        <v>#N/A</v>
      </c>
      <c r="Y675" t="e">
        <f t="shared" si="206"/>
        <v>#N/A</v>
      </c>
      <c r="Z675" t="e">
        <f t="shared" si="207"/>
        <v>#N/A</v>
      </c>
      <c r="AA675" t="e">
        <f t="shared" si="208"/>
        <v>#N/A</v>
      </c>
      <c r="AB675" t="e">
        <f t="shared" si="209"/>
        <v>#N/A</v>
      </c>
      <c r="AC675" t="e">
        <f t="shared" si="210"/>
        <v>#N/A</v>
      </c>
    </row>
    <row r="676" spans="2:29">
      <c r="B676">
        <v>662</v>
      </c>
      <c r="C676">
        <f>'Lab test'!Q665</f>
        <v>500.00000000000006</v>
      </c>
      <c r="D676" t="e">
        <f>IF('Lab test'!AQ665&gt;0,'Lab test'!AQ665,NA())</f>
        <v>#N/A</v>
      </c>
      <c r="E676" t="e">
        <f>IF('Lab test'!AU665&gt;0,'Lab test'!AU665,NA())</f>
        <v>#N/A</v>
      </c>
      <c r="F676">
        <f>IF('Lab test'!AT665&gt;0,'Lab test'!AT665,NA())</f>
        <v>0.27177011907470389</v>
      </c>
      <c r="G676" t="e">
        <f t="shared" si="192"/>
        <v>#N/A</v>
      </c>
      <c r="H676" t="e">
        <f t="shared" si="193"/>
        <v>#N/A</v>
      </c>
      <c r="I676" t="e">
        <f t="shared" si="194"/>
        <v>#N/A</v>
      </c>
      <c r="J676">
        <f t="shared" si="195"/>
        <v>1</v>
      </c>
      <c r="K676">
        <f t="shared" si="196"/>
        <v>1</v>
      </c>
      <c r="L676" t="str">
        <f>'Lab test'!AC665</f>
        <v>LTWa</v>
      </c>
      <c r="O676" t="e">
        <f t="shared" si="197"/>
        <v>#N/A</v>
      </c>
      <c r="P676" t="e">
        <f t="shared" si="198"/>
        <v>#N/A</v>
      </c>
      <c r="Q676" t="e">
        <f t="shared" si="199"/>
        <v>#N/A</v>
      </c>
      <c r="R676" t="e">
        <f t="shared" si="200"/>
        <v>#N/A</v>
      </c>
      <c r="S676" t="e">
        <f t="shared" si="201"/>
        <v>#N/A</v>
      </c>
      <c r="T676" t="e">
        <f t="shared" si="202"/>
        <v>#N/A</v>
      </c>
      <c r="U676" t="e">
        <f t="shared" si="203"/>
        <v>#N/A</v>
      </c>
      <c r="W676">
        <f t="shared" si="204"/>
        <v>0.27177011907470389</v>
      </c>
      <c r="X676" t="e">
        <f t="shared" si="205"/>
        <v>#N/A</v>
      </c>
      <c r="Y676" t="e">
        <f t="shared" si="206"/>
        <v>#N/A</v>
      </c>
      <c r="Z676" t="e">
        <f t="shared" si="207"/>
        <v>#N/A</v>
      </c>
      <c r="AA676" t="e">
        <f t="shared" si="208"/>
        <v>#N/A</v>
      </c>
      <c r="AB676" t="e">
        <f t="shared" si="209"/>
        <v>#N/A</v>
      </c>
      <c r="AC676" t="e">
        <f t="shared" si="210"/>
        <v>#N/A</v>
      </c>
    </row>
    <row r="677" spans="2:29">
      <c r="B677">
        <v>663</v>
      </c>
      <c r="C677">
        <f>'Lab test'!Q666</f>
        <v>500.00000000000006</v>
      </c>
      <c r="D677" t="e">
        <f>IF('Lab test'!AQ666&gt;0,'Lab test'!AQ666,NA())</f>
        <v>#N/A</v>
      </c>
      <c r="E677" t="e">
        <f>IF('Lab test'!AU666&gt;0,'Lab test'!AU666,NA())</f>
        <v>#N/A</v>
      </c>
      <c r="F677">
        <f>IF('Lab test'!AT666&gt;0,'Lab test'!AT666,NA())</f>
        <v>0.31678026458183517</v>
      </c>
      <c r="G677" t="e">
        <f t="shared" si="192"/>
        <v>#N/A</v>
      </c>
      <c r="H677" t="e">
        <f t="shared" si="193"/>
        <v>#N/A</v>
      </c>
      <c r="I677" t="e">
        <f t="shared" si="194"/>
        <v>#N/A</v>
      </c>
      <c r="J677">
        <f t="shared" si="195"/>
        <v>1</v>
      </c>
      <c r="K677">
        <f t="shared" si="196"/>
        <v>1</v>
      </c>
      <c r="L677" t="str">
        <f>'Lab test'!AC666</f>
        <v>LTWa</v>
      </c>
      <c r="O677" t="e">
        <f t="shared" si="197"/>
        <v>#N/A</v>
      </c>
      <c r="P677" t="e">
        <f t="shared" si="198"/>
        <v>#N/A</v>
      </c>
      <c r="Q677" t="e">
        <f t="shared" si="199"/>
        <v>#N/A</v>
      </c>
      <c r="R677" t="e">
        <f t="shared" si="200"/>
        <v>#N/A</v>
      </c>
      <c r="S677" t="e">
        <f t="shared" si="201"/>
        <v>#N/A</v>
      </c>
      <c r="T677" t="e">
        <f t="shared" si="202"/>
        <v>#N/A</v>
      </c>
      <c r="U677" t="e">
        <f t="shared" si="203"/>
        <v>#N/A</v>
      </c>
      <c r="W677">
        <f t="shared" si="204"/>
        <v>0.31678026458183517</v>
      </c>
      <c r="X677" t="e">
        <f t="shared" si="205"/>
        <v>#N/A</v>
      </c>
      <c r="Y677" t="e">
        <f t="shared" si="206"/>
        <v>#N/A</v>
      </c>
      <c r="Z677" t="e">
        <f t="shared" si="207"/>
        <v>#N/A</v>
      </c>
      <c r="AA677" t="e">
        <f t="shared" si="208"/>
        <v>#N/A</v>
      </c>
      <c r="AB677" t="e">
        <f t="shared" si="209"/>
        <v>#N/A</v>
      </c>
      <c r="AC677" t="e">
        <f t="shared" si="210"/>
        <v>#N/A</v>
      </c>
    </row>
    <row r="678" spans="2:29">
      <c r="B678">
        <v>664</v>
      </c>
      <c r="C678">
        <f>'Lab test'!Q667</f>
        <v>533.33333333333326</v>
      </c>
      <c r="D678" t="e">
        <f>IF('Lab test'!AQ667&gt;0,'Lab test'!AQ667,NA())</f>
        <v>#N/A</v>
      </c>
      <c r="E678" t="e">
        <f>IF('Lab test'!AU667&gt;0,'Lab test'!AU667,NA())</f>
        <v>#N/A</v>
      </c>
      <c r="F678">
        <f>IF('Lab test'!AT667&gt;0,'Lab test'!AT667,NA())</f>
        <v>0.2889765291293287</v>
      </c>
      <c r="G678" t="e">
        <f t="shared" si="192"/>
        <v>#N/A</v>
      </c>
      <c r="H678" t="e">
        <f t="shared" si="193"/>
        <v>#N/A</v>
      </c>
      <c r="I678" t="e">
        <f t="shared" si="194"/>
        <v>#N/A</v>
      </c>
      <c r="J678">
        <f t="shared" si="195"/>
        <v>1</v>
      </c>
      <c r="K678">
        <f t="shared" si="196"/>
        <v>1</v>
      </c>
      <c r="L678" t="str">
        <f>'Lab test'!AC667</f>
        <v>LTWa</v>
      </c>
      <c r="O678" t="e">
        <f t="shared" si="197"/>
        <v>#N/A</v>
      </c>
      <c r="P678" t="e">
        <f t="shared" si="198"/>
        <v>#N/A</v>
      </c>
      <c r="Q678" t="e">
        <f t="shared" si="199"/>
        <v>#N/A</v>
      </c>
      <c r="R678" t="e">
        <f t="shared" si="200"/>
        <v>#N/A</v>
      </c>
      <c r="S678" t="e">
        <f t="shared" si="201"/>
        <v>#N/A</v>
      </c>
      <c r="T678" t="e">
        <f t="shared" si="202"/>
        <v>#N/A</v>
      </c>
      <c r="U678" t="e">
        <f t="shared" si="203"/>
        <v>#N/A</v>
      </c>
      <c r="W678">
        <f t="shared" si="204"/>
        <v>0.2889765291293287</v>
      </c>
      <c r="X678" t="e">
        <f t="shared" si="205"/>
        <v>#N/A</v>
      </c>
      <c r="Y678" t="e">
        <f t="shared" si="206"/>
        <v>#N/A</v>
      </c>
      <c r="Z678" t="e">
        <f t="shared" si="207"/>
        <v>#N/A</v>
      </c>
      <c r="AA678" t="e">
        <f t="shared" si="208"/>
        <v>#N/A</v>
      </c>
      <c r="AB678" t="e">
        <f t="shared" si="209"/>
        <v>#N/A</v>
      </c>
      <c r="AC678" t="e">
        <f t="shared" si="210"/>
        <v>#N/A</v>
      </c>
    </row>
    <row r="679" spans="2:29">
      <c r="B679">
        <v>665</v>
      </c>
      <c r="C679">
        <f>'Lab test'!Q668</f>
        <v>400</v>
      </c>
      <c r="D679" t="e">
        <f>IF('Lab test'!AQ668&gt;0,'Lab test'!AQ668,NA())</f>
        <v>#N/A</v>
      </c>
      <c r="E679" t="e">
        <f>IF('Lab test'!AU668&gt;0,'Lab test'!AU668,NA())</f>
        <v>#N/A</v>
      </c>
      <c r="F679">
        <f>IF('Lab test'!AT668&gt;0,'Lab test'!AT668,NA())</f>
        <v>0.41021904765993039</v>
      </c>
      <c r="G679" t="e">
        <f t="shared" si="192"/>
        <v>#N/A</v>
      </c>
      <c r="H679" t="e">
        <f t="shared" si="193"/>
        <v>#N/A</v>
      </c>
      <c r="I679" t="e">
        <f t="shared" si="194"/>
        <v>#N/A</v>
      </c>
      <c r="J679">
        <f t="shared" si="195"/>
        <v>1</v>
      </c>
      <c r="K679">
        <f t="shared" si="196"/>
        <v>1</v>
      </c>
      <c r="L679" t="str">
        <f>'Lab test'!AC668</f>
        <v>LTWa</v>
      </c>
      <c r="O679" t="e">
        <f t="shared" si="197"/>
        <v>#N/A</v>
      </c>
      <c r="P679" t="e">
        <f t="shared" si="198"/>
        <v>#N/A</v>
      </c>
      <c r="Q679" t="e">
        <f t="shared" si="199"/>
        <v>#N/A</v>
      </c>
      <c r="R679" t="e">
        <f t="shared" si="200"/>
        <v>#N/A</v>
      </c>
      <c r="S679" t="e">
        <f t="shared" si="201"/>
        <v>#N/A</v>
      </c>
      <c r="T679" t="e">
        <f t="shared" si="202"/>
        <v>#N/A</v>
      </c>
      <c r="U679" t="e">
        <f t="shared" si="203"/>
        <v>#N/A</v>
      </c>
      <c r="W679">
        <f t="shared" si="204"/>
        <v>0.41021904765993039</v>
      </c>
      <c r="X679" t="e">
        <f t="shared" si="205"/>
        <v>#N/A</v>
      </c>
      <c r="Y679" t="e">
        <f t="shared" si="206"/>
        <v>#N/A</v>
      </c>
      <c r="Z679" t="e">
        <f t="shared" si="207"/>
        <v>#N/A</v>
      </c>
      <c r="AA679" t="e">
        <f t="shared" si="208"/>
        <v>#N/A</v>
      </c>
      <c r="AB679" t="e">
        <f t="shared" si="209"/>
        <v>#N/A</v>
      </c>
      <c r="AC679" t="e">
        <f t="shared" si="210"/>
        <v>#N/A</v>
      </c>
    </row>
    <row r="680" spans="2:29">
      <c r="B680">
        <v>666</v>
      </c>
      <c r="C680">
        <f>'Lab test'!Q669</f>
        <v>400</v>
      </c>
      <c r="D680" t="e">
        <f>IF('Lab test'!AQ669&gt;0,'Lab test'!AQ669,NA())</f>
        <v>#N/A</v>
      </c>
      <c r="E680" t="e">
        <f>IF('Lab test'!AU669&gt;0,'Lab test'!AU669,NA())</f>
        <v>#N/A</v>
      </c>
      <c r="F680">
        <f>IF('Lab test'!AT669&gt;0,'Lab test'!AT669,NA())</f>
        <v>0.45921743390819986</v>
      </c>
      <c r="G680" t="e">
        <f t="shared" si="192"/>
        <v>#N/A</v>
      </c>
      <c r="H680" t="e">
        <f t="shared" si="193"/>
        <v>#N/A</v>
      </c>
      <c r="I680" t="e">
        <f t="shared" si="194"/>
        <v>#N/A</v>
      </c>
      <c r="J680">
        <f t="shared" si="195"/>
        <v>1</v>
      </c>
      <c r="K680">
        <f t="shared" si="196"/>
        <v>1</v>
      </c>
      <c r="L680" t="str">
        <f>'Lab test'!AC669</f>
        <v>LTWa</v>
      </c>
      <c r="O680" t="e">
        <f t="shared" si="197"/>
        <v>#N/A</v>
      </c>
      <c r="P680" t="e">
        <f t="shared" si="198"/>
        <v>#N/A</v>
      </c>
      <c r="Q680" t="e">
        <f t="shared" si="199"/>
        <v>#N/A</v>
      </c>
      <c r="R680" t="e">
        <f t="shared" si="200"/>
        <v>#N/A</v>
      </c>
      <c r="S680" t="e">
        <f t="shared" si="201"/>
        <v>#N/A</v>
      </c>
      <c r="T680" t="e">
        <f t="shared" si="202"/>
        <v>#N/A</v>
      </c>
      <c r="U680" t="e">
        <f t="shared" si="203"/>
        <v>#N/A</v>
      </c>
      <c r="W680">
        <f t="shared" si="204"/>
        <v>0.45921743390819986</v>
      </c>
      <c r="X680" t="e">
        <f t="shared" si="205"/>
        <v>#N/A</v>
      </c>
      <c r="Y680" t="e">
        <f t="shared" si="206"/>
        <v>#N/A</v>
      </c>
      <c r="Z680" t="e">
        <f t="shared" si="207"/>
        <v>#N/A</v>
      </c>
      <c r="AA680" t="e">
        <f t="shared" si="208"/>
        <v>#N/A</v>
      </c>
      <c r="AB680" t="e">
        <f t="shared" si="209"/>
        <v>#N/A</v>
      </c>
      <c r="AC680" t="e">
        <f t="shared" si="210"/>
        <v>#N/A</v>
      </c>
    </row>
    <row r="681" spans="2:29">
      <c r="B681">
        <v>667</v>
      </c>
      <c r="C681">
        <f>'Lab test'!Q670</f>
        <v>333.33333333333337</v>
      </c>
      <c r="D681" t="e">
        <f>IF('Lab test'!AQ670&gt;0,'Lab test'!AQ670,NA())</f>
        <v>#N/A</v>
      </c>
      <c r="E681" t="e">
        <f>IF('Lab test'!AU670&gt;0,'Lab test'!AU670,NA())</f>
        <v>#N/A</v>
      </c>
      <c r="F681">
        <f>IF('Lab test'!AT670&gt;0,'Lab test'!AT670,NA())</f>
        <v>0.42921067023677906</v>
      </c>
      <c r="G681" t="e">
        <f t="shared" si="192"/>
        <v>#N/A</v>
      </c>
      <c r="H681" t="e">
        <f t="shared" si="193"/>
        <v>#N/A</v>
      </c>
      <c r="I681" t="e">
        <f t="shared" si="194"/>
        <v>#N/A</v>
      </c>
      <c r="J681">
        <f t="shared" si="195"/>
        <v>1</v>
      </c>
      <c r="K681">
        <f t="shared" si="196"/>
        <v>1</v>
      </c>
      <c r="L681" t="str">
        <f>'Lab test'!AC670</f>
        <v>LTWa</v>
      </c>
      <c r="O681" t="e">
        <f t="shared" si="197"/>
        <v>#N/A</v>
      </c>
      <c r="P681" t="e">
        <f t="shared" si="198"/>
        <v>#N/A</v>
      </c>
      <c r="Q681" t="e">
        <f t="shared" si="199"/>
        <v>#N/A</v>
      </c>
      <c r="R681" t="e">
        <f t="shared" si="200"/>
        <v>#N/A</v>
      </c>
      <c r="S681" t="e">
        <f t="shared" si="201"/>
        <v>#N/A</v>
      </c>
      <c r="T681" t="e">
        <f t="shared" si="202"/>
        <v>#N/A</v>
      </c>
      <c r="U681" t="e">
        <f t="shared" si="203"/>
        <v>#N/A</v>
      </c>
      <c r="W681">
        <f t="shared" si="204"/>
        <v>0.42921067023677906</v>
      </c>
      <c r="X681" t="e">
        <f t="shared" si="205"/>
        <v>#N/A</v>
      </c>
      <c r="Y681" t="e">
        <f t="shared" si="206"/>
        <v>#N/A</v>
      </c>
      <c r="Z681" t="e">
        <f t="shared" si="207"/>
        <v>#N/A</v>
      </c>
      <c r="AA681" t="e">
        <f t="shared" si="208"/>
        <v>#N/A</v>
      </c>
      <c r="AB681" t="e">
        <f t="shared" si="209"/>
        <v>#N/A</v>
      </c>
      <c r="AC681" t="e">
        <f t="shared" si="210"/>
        <v>#N/A</v>
      </c>
    </row>
    <row r="682" spans="2:29">
      <c r="B682">
        <v>668</v>
      </c>
      <c r="C682">
        <f>'Lab test'!Q671</f>
        <v>666.66666666666663</v>
      </c>
      <c r="D682" t="e">
        <f>IF('Lab test'!AQ671&gt;0,'Lab test'!AQ671,NA())</f>
        <v>#N/A</v>
      </c>
      <c r="E682" t="e">
        <f>IF('Lab test'!AU671&gt;0,'Lab test'!AU671,NA())</f>
        <v>#N/A</v>
      </c>
      <c r="F682">
        <f>IF('Lab test'!AT671&gt;0,'Lab test'!AT671,NA())</f>
        <v>0.30386596122957804</v>
      </c>
      <c r="G682" t="e">
        <f t="shared" si="192"/>
        <v>#N/A</v>
      </c>
      <c r="H682" t="e">
        <f t="shared" si="193"/>
        <v>#N/A</v>
      </c>
      <c r="I682" t="e">
        <f t="shared" si="194"/>
        <v>#N/A</v>
      </c>
      <c r="J682">
        <f t="shared" si="195"/>
        <v>1</v>
      </c>
      <c r="K682">
        <f t="shared" si="196"/>
        <v>1</v>
      </c>
      <c r="L682" t="str">
        <f>'Lab test'!AC671</f>
        <v>LTWa</v>
      </c>
      <c r="O682" t="e">
        <f t="shared" si="197"/>
        <v>#N/A</v>
      </c>
      <c r="P682" t="e">
        <f t="shared" si="198"/>
        <v>#N/A</v>
      </c>
      <c r="Q682" t="e">
        <f t="shared" si="199"/>
        <v>#N/A</v>
      </c>
      <c r="R682" t="e">
        <f t="shared" si="200"/>
        <v>#N/A</v>
      </c>
      <c r="S682" t="e">
        <f t="shared" si="201"/>
        <v>#N/A</v>
      </c>
      <c r="T682" t="e">
        <f t="shared" si="202"/>
        <v>#N/A</v>
      </c>
      <c r="U682" t="e">
        <f t="shared" si="203"/>
        <v>#N/A</v>
      </c>
      <c r="W682">
        <f t="shared" si="204"/>
        <v>0.30386596122957804</v>
      </c>
      <c r="X682" t="e">
        <f t="shared" si="205"/>
        <v>#N/A</v>
      </c>
      <c r="Y682" t="e">
        <f t="shared" si="206"/>
        <v>#N/A</v>
      </c>
      <c r="Z682" t="e">
        <f t="shared" si="207"/>
        <v>#N/A</v>
      </c>
      <c r="AA682" t="e">
        <f t="shared" si="208"/>
        <v>#N/A</v>
      </c>
      <c r="AB682" t="e">
        <f t="shared" si="209"/>
        <v>#N/A</v>
      </c>
      <c r="AC682" t="e">
        <f t="shared" si="210"/>
        <v>#N/A</v>
      </c>
    </row>
    <row r="683" spans="2:29">
      <c r="B683">
        <v>669</v>
      </c>
      <c r="C683">
        <f>'Lab test'!Q672</f>
        <v>666.66666666666663</v>
      </c>
      <c r="D683" t="e">
        <f>IF('Lab test'!AQ672&gt;0,'Lab test'!AQ672,NA())</f>
        <v>#N/A</v>
      </c>
      <c r="E683" t="e">
        <f>IF('Lab test'!AU672&gt;0,'Lab test'!AU672,NA())</f>
        <v>#N/A</v>
      </c>
      <c r="F683">
        <f>IF('Lab test'!AT672&gt;0,'Lab test'!AT672,NA())</f>
        <v>0.35324417992938445</v>
      </c>
      <c r="G683" t="e">
        <f t="shared" si="192"/>
        <v>#N/A</v>
      </c>
      <c r="H683" t="e">
        <f t="shared" si="193"/>
        <v>#N/A</v>
      </c>
      <c r="I683" t="e">
        <f t="shared" si="194"/>
        <v>#N/A</v>
      </c>
      <c r="J683">
        <f t="shared" si="195"/>
        <v>1</v>
      </c>
      <c r="K683">
        <f t="shared" si="196"/>
        <v>1</v>
      </c>
      <c r="L683" t="str">
        <f>'Lab test'!AC672</f>
        <v>LTWa</v>
      </c>
      <c r="O683" t="e">
        <f t="shared" si="197"/>
        <v>#N/A</v>
      </c>
      <c r="P683" t="e">
        <f t="shared" si="198"/>
        <v>#N/A</v>
      </c>
      <c r="Q683" t="e">
        <f t="shared" si="199"/>
        <v>#N/A</v>
      </c>
      <c r="R683" t="e">
        <f t="shared" si="200"/>
        <v>#N/A</v>
      </c>
      <c r="S683" t="e">
        <f t="shared" si="201"/>
        <v>#N/A</v>
      </c>
      <c r="T683" t="e">
        <f t="shared" si="202"/>
        <v>#N/A</v>
      </c>
      <c r="U683" t="e">
        <f t="shared" si="203"/>
        <v>#N/A</v>
      </c>
      <c r="W683">
        <f t="shared" si="204"/>
        <v>0.35324417992938445</v>
      </c>
      <c r="X683" t="e">
        <f t="shared" si="205"/>
        <v>#N/A</v>
      </c>
      <c r="Y683" t="e">
        <f t="shared" si="206"/>
        <v>#N/A</v>
      </c>
      <c r="Z683" t="e">
        <f t="shared" si="207"/>
        <v>#N/A</v>
      </c>
      <c r="AA683" t="e">
        <f t="shared" si="208"/>
        <v>#N/A</v>
      </c>
      <c r="AB683" t="e">
        <f t="shared" si="209"/>
        <v>#N/A</v>
      </c>
      <c r="AC683" t="e">
        <f t="shared" si="210"/>
        <v>#N/A</v>
      </c>
    </row>
    <row r="684" spans="2:29">
      <c r="B684">
        <v>670</v>
      </c>
      <c r="C684">
        <f>'Lab test'!Q673</f>
        <v>400</v>
      </c>
      <c r="D684" t="e">
        <f>IF('Lab test'!AQ673&gt;0,'Lab test'!AQ673,NA())</f>
        <v>#N/A</v>
      </c>
      <c r="E684" t="e">
        <f>IF('Lab test'!AU673&gt;0,'Lab test'!AU673,NA())</f>
        <v>#N/A</v>
      </c>
      <c r="F684">
        <f>IF('Lab test'!AT673&gt;0,'Lab test'!AT673,NA())</f>
        <v>0.43984597887981425</v>
      </c>
      <c r="G684" t="e">
        <f t="shared" si="192"/>
        <v>#N/A</v>
      </c>
      <c r="H684" t="e">
        <f t="shared" si="193"/>
        <v>#N/A</v>
      </c>
      <c r="I684" t="e">
        <f t="shared" si="194"/>
        <v>#N/A</v>
      </c>
      <c r="J684">
        <f t="shared" si="195"/>
        <v>1</v>
      </c>
      <c r="K684">
        <f t="shared" si="196"/>
        <v>1</v>
      </c>
      <c r="L684" t="str">
        <f>'Lab test'!AC673</f>
        <v>LTWa</v>
      </c>
      <c r="O684" t="e">
        <f t="shared" si="197"/>
        <v>#N/A</v>
      </c>
      <c r="P684" t="e">
        <f t="shared" si="198"/>
        <v>#N/A</v>
      </c>
      <c r="Q684" t="e">
        <f t="shared" si="199"/>
        <v>#N/A</v>
      </c>
      <c r="R684" t="e">
        <f t="shared" si="200"/>
        <v>#N/A</v>
      </c>
      <c r="S684" t="e">
        <f t="shared" si="201"/>
        <v>#N/A</v>
      </c>
      <c r="T684" t="e">
        <f t="shared" si="202"/>
        <v>#N/A</v>
      </c>
      <c r="U684" t="e">
        <f t="shared" si="203"/>
        <v>#N/A</v>
      </c>
      <c r="W684">
        <f t="shared" si="204"/>
        <v>0.43984597887981425</v>
      </c>
      <c r="X684" t="e">
        <f t="shared" si="205"/>
        <v>#N/A</v>
      </c>
      <c r="Y684" t="e">
        <f t="shared" si="206"/>
        <v>#N/A</v>
      </c>
      <c r="Z684" t="e">
        <f t="shared" si="207"/>
        <v>#N/A</v>
      </c>
      <c r="AA684" t="e">
        <f t="shared" si="208"/>
        <v>#N/A</v>
      </c>
      <c r="AB684" t="e">
        <f t="shared" si="209"/>
        <v>#N/A</v>
      </c>
      <c r="AC684" t="e">
        <f t="shared" si="210"/>
        <v>#N/A</v>
      </c>
    </row>
  </sheetData>
  <mergeCells count="5">
    <mergeCell ref="C13:L13"/>
    <mergeCell ref="O13:U13"/>
    <mergeCell ref="W13:AC13"/>
    <mergeCell ref="AE13:AG13"/>
    <mergeCell ref="AI13:AK1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C3773-9211-4660-B4F0-1AD6BE6C8D2A}">
  <sheetPr>
    <tabColor theme="0" tint="-0.249977111117893"/>
  </sheetPr>
  <dimension ref="B9:AQ680"/>
  <sheetViews>
    <sheetView zoomScale="60" zoomScaleNormal="60" workbookViewId="0"/>
  </sheetViews>
  <sheetFormatPr defaultRowHeight="15.75"/>
  <sheetData>
    <row r="9" spans="2:43">
      <c r="B9" s="1067" t="s">
        <v>1065</v>
      </c>
      <c r="C9" s="1067"/>
      <c r="D9" s="1067"/>
      <c r="E9" s="1067"/>
      <c r="I9" s="145"/>
      <c r="J9" s="145"/>
      <c r="K9" s="145"/>
      <c r="L9" s="145"/>
      <c r="M9" s="145"/>
      <c r="N9" s="145"/>
      <c r="O9" s="145"/>
      <c r="P9" s="145"/>
      <c r="Q9" s="145"/>
      <c r="R9" s="145"/>
      <c r="S9" s="145"/>
      <c r="T9" s="145"/>
      <c r="W9" s="1067" t="s">
        <v>1068</v>
      </c>
      <c r="X9" s="1067"/>
      <c r="Y9" s="1067"/>
      <c r="Z9" s="1067"/>
      <c r="AO9" s="1067" t="s">
        <v>879</v>
      </c>
      <c r="AP9" s="1067"/>
      <c r="AQ9" s="1067"/>
    </row>
    <row r="10" spans="2:43">
      <c r="C10" t="s">
        <v>872</v>
      </c>
      <c r="D10" t="s">
        <v>873</v>
      </c>
      <c r="G10" s="1067" t="s">
        <v>1070</v>
      </c>
      <c r="H10" s="1067"/>
      <c r="I10" s="1067"/>
      <c r="J10" s="1067"/>
      <c r="K10" s="1067"/>
      <c r="L10" s="1067"/>
      <c r="M10" s="1067"/>
      <c r="N10" s="1067"/>
      <c r="O10" s="1067"/>
      <c r="P10" s="1067"/>
      <c r="Q10" s="1067"/>
      <c r="R10" s="1067"/>
      <c r="S10" s="1067"/>
      <c r="T10" s="1067"/>
      <c r="X10" t="s">
        <v>872</v>
      </c>
      <c r="Y10" t="s">
        <v>873</v>
      </c>
      <c r="AB10" s="1067" t="s">
        <v>1071</v>
      </c>
      <c r="AC10" s="1067"/>
      <c r="AD10" s="1067"/>
      <c r="AE10" s="1067"/>
      <c r="AF10" s="1067"/>
      <c r="AG10" s="1067"/>
      <c r="AH10" s="1067"/>
      <c r="AI10" s="1067"/>
      <c r="AJ10" s="1067"/>
      <c r="AK10" s="1067"/>
      <c r="AL10" s="1067"/>
      <c r="AM10" s="1067"/>
      <c r="AO10" t="s">
        <v>916</v>
      </c>
      <c r="AP10" t="s">
        <v>876</v>
      </c>
      <c r="AQ10" t="s">
        <v>916</v>
      </c>
    </row>
    <row r="11" spans="2:43">
      <c r="B11">
        <v>1</v>
      </c>
      <c r="C11">
        <f>IF('Lab test'!AQ4&gt;0,'Lab test'!AQ4,NA())</f>
        <v>0.47570278474289773</v>
      </c>
      <c r="D11">
        <f>IF('Lab test'!AU4&gt;0,'Lab test'!AU4,NA())</f>
        <v>1.0371782312925171</v>
      </c>
      <c r="E11">
        <f>C11*4+1</f>
        <v>2.9028111389715909</v>
      </c>
      <c r="W11">
        <v>1</v>
      </c>
      <c r="X11">
        <v>1.8809176984705001</v>
      </c>
      <c r="Y11">
        <v>0.136485697606538</v>
      </c>
      <c r="Z11">
        <f>X11*4+1</f>
        <v>8.5236707938820011</v>
      </c>
      <c r="AO11">
        <v>0</v>
      </c>
      <c r="AP11">
        <v>1</v>
      </c>
      <c r="AQ11">
        <f>AO11*4+1</f>
        <v>1</v>
      </c>
    </row>
    <row r="12" spans="2:43">
      <c r="B12">
        <v>2</v>
      </c>
      <c r="C12">
        <f>IF('Lab test'!AQ5&gt;0,'Lab test'!AQ5,NA())</f>
        <v>0.47805914917453252</v>
      </c>
      <c r="D12">
        <f>IF('Lab test'!AU5&gt;0,'Lab test'!AU5,NA())</f>
        <v>1.0106292902066485</v>
      </c>
      <c r="E12">
        <f t="shared" ref="E12:E75" si="0">C12*4+1</f>
        <v>2.9122365966981301</v>
      </c>
      <c r="G12" t="s">
        <v>881</v>
      </c>
      <c r="I12">
        <v>0.25</v>
      </c>
      <c r="J12">
        <v>0.5</v>
      </c>
      <c r="K12">
        <v>0.75</v>
      </c>
      <c r="L12">
        <v>1</v>
      </c>
      <c r="M12">
        <v>1.25</v>
      </c>
      <c r="N12">
        <v>1.5</v>
      </c>
      <c r="O12">
        <v>1.75</v>
      </c>
      <c r="P12">
        <v>2</v>
      </c>
      <c r="Q12">
        <v>2.25</v>
      </c>
      <c r="R12">
        <v>2.5</v>
      </c>
      <c r="S12">
        <v>2.75</v>
      </c>
      <c r="T12">
        <v>3</v>
      </c>
      <c r="W12">
        <v>2</v>
      </c>
      <c r="X12">
        <v>2.4903394836934498</v>
      </c>
      <c r="Y12">
        <v>0.129194503902618</v>
      </c>
      <c r="Z12">
        <f t="shared" ref="Z12:Z75" si="1">X12*4+1</f>
        <v>10.961357934773799</v>
      </c>
      <c r="AB12" t="s">
        <v>881</v>
      </c>
      <c r="AD12">
        <v>0.25</v>
      </c>
      <c r="AE12">
        <v>0.5</v>
      </c>
      <c r="AF12">
        <v>0.75</v>
      </c>
      <c r="AG12">
        <v>1</v>
      </c>
      <c r="AH12">
        <v>1.25</v>
      </c>
      <c r="AI12">
        <v>1.5</v>
      </c>
      <c r="AJ12">
        <v>1.75</v>
      </c>
      <c r="AK12">
        <v>2</v>
      </c>
      <c r="AL12">
        <v>2.25</v>
      </c>
      <c r="AM12">
        <v>2.5</v>
      </c>
      <c r="AO12">
        <v>0.1</v>
      </c>
      <c r="AP12">
        <v>1</v>
      </c>
      <c r="AQ12">
        <f t="shared" ref="AQ12:AQ41" si="2">AO12*4+1</f>
        <v>1.4</v>
      </c>
    </row>
    <row r="13" spans="2:43">
      <c r="B13">
        <v>3</v>
      </c>
      <c r="C13">
        <f>IF('Lab test'!AQ6&gt;0,'Lab test'!AQ6,NA())</f>
        <v>0.47570278474289773</v>
      </c>
      <c r="D13">
        <f>IF('Lab test'!AU6&gt;0,'Lab test'!AU6,NA())</f>
        <v>1.0292135541008856</v>
      </c>
      <c r="E13">
        <f t="shared" si="0"/>
        <v>2.9028111389715909</v>
      </c>
      <c r="G13" t="s">
        <v>882</v>
      </c>
      <c r="I13" cm="1">
        <f t="array" ref="I13">MIN(IF(ISNUMBER(C11:C712),C11:C712))</f>
        <v>0.17757017871410097</v>
      </c>
      <c r="J13">
        <v>0.375</v>
      </c>
      <c r="K13">
        <v>0.625</v>
      </c>
      <c r="L13">
        <v>0.875</v>
      </c>
      <c r="M13">
        <v>1.125</v>
      </c>
      <c r="N13">
        <v>1.375</v>
      </c>
      <c r="O13">
        <v>1.625</v>
      </c>
      <c r="P13">
        <v>1.875</v>
      </c>
      <c r="Q13">
        <v>2.125</v>
      </c>
      <c r="R13">
        <v>2.375</v>
      </c>
      <c r="S13">
        <v>2.625</v>
      </c>
      <c r="T13">
        <v>2.875</v>
      </c>
      <c r="W13">
        <v>3</v>
      </c>
      <c r="X13">
        <v>2.4924469261687001</v>
      </c>
      <c r="Y13">
        <v>9.5614148883267094E-2</v>
      </c>
      <c r="Z13">
        <f t="shared" si="1"/>
        <v>10.9697877046748</v>
      </c>
      <c r="AB13" t="s">
        <v>882</v>
      </c>
      <c r="AD13" cm="1">
        <f t="array" ref="AD13">MIN(IF(ISNUMBER(X11:X712),X11:X712))</f>
        <v>0.102080298616169</v>
      </c>
      <c r="AE13">
        <v>0.375</v>
      </c>
      <c r="AF13">
        <v>0.625</v>
      </c>
      <c r="AG13">
        <v>0.875</v>
      </c>
      <c r="AH13">
        <v>1.125</v>
      </c>
      <c r="AI13">
        <v>1.375</v>
      </c>
      <c r="AJ13">
        <v>1.625</v>
      </c>
      <c r="AK13">
        <v>1.875</v>
      </c>
      <c r="AL13">
        <v>2.125</v>
      </c>
      <c r="AM13">
        <v>2.375</v>
      </c>
      <c r="AO13">
        <v>0.2</v>
      </c>
      <c r="AP13">
        <v>1</v>
      </c>
      <c r="AQ13">
        <f t="shared" si="2"/>
        <v>1.8</v>
      </c>
    </row>
    <row r="14" spans="2:43">
      <c r="B14">
        <v>4</v>
      </c>
      <c r="C14">
        <f>IF('Lab test'!AQ7&gt;0,'Lab test'!AQ7,NA())</f>
        <v>0.47805914917453252</v>
      </c>
      <c r="D14">
        <f>IF('Lab test'!AU7&gt;0,'Lab test'!AU7,NA())</f>
        <v>1.0548774996791168</v>
      </c>
      <c r="E14">
        <f t="shared" si="0"/>
        <v>2.9122365966981301</v>
      </c>
      <c r="G14" t="s">
        <v>883</v>
      </c>
      <c r="I14">
        <v>0.375</v>
      </c>
      <c r="J14">
        <v>0.625</v>
      </c>
      <c r="K14">
        <v>0.875</v>
      </c>
      <c r="L14">
        <v>1.125</v>
      </c>
      <c r="M14">
        <v>1.375</v>
      </c>
      <c r="N14">
        <v>1.625</v>
      </c>
      <c r="O14">
        <v>1.875</v>
      </c>
      <c r="P14">
        <v>2.125</v>
      </c>
      <c r="Q14">
        <v>2.375</v>
      </c>
      <c r="R14">
        <v>2.625</v>
      </c>
      <c r="S14">
        <v>2.875</v>
      </c>
      <c r="T14">
        <v>3.125</v>
      </c>
      <c r="W14">
        <v>4</v>
      </c>
      <c r="X14">
        <v>2.44608319171319</v>
      </c>
      <c r="Y14">
        <v>4.7371948714621998E-2</v>
      </c>
      <c r="Z14">
        <f t="shared" si="1"/>
        <v>10.78433276685276</v>
      </c>
      <c r="AB14" t="s">
        <v>883</v>
      </c>
      <c r="AD14">
        <v>0.375</v>
      </c>
      <c r="AE14">
        <v>0.625</v>
      </c>
      <c r="AF14">
        <v>0.875</v>
      </c>
      <c r="AG14">
        <v>1.125</v>
      </c>
      <c r="AH14">
        <v>1.375</v>
      </c>
      <c r="AI14">
        <v>1.625</v>
      </c>
      <c r="AJ14">
        <v>1.875</v>
      </c>
      <c r="AK14">
        <v>2.125</v>
      </c>
      <c r="AL14">
        <v>2.375</v>
      </c>
      <c r="AM14">
        <v>2.625</v>
      </c>
      <c r="AO14">
        <v>0.3</v>
      </c>
      <c r="AP14">
        <v>1</v>
      </c>
      <c r="AQ14">
        <f t="shared" si="2"/>
        <v>2.2000000000000002</v>
      </c>
    </row>
    <row r="15" spans="2:43">
      <c r="B15">
        <v>5</v>
      </c>
      <c r="C15">
        <f>IF('Lab test'!AQ8&gt;0,'Lab test'!AQ8,NA())</f>
        <v>0.47805914917453252</v>
      </c>
      <c r="D15">
        <f>IF('Lab test'!AU8&gt;0,'Lab test'!AU8,NA())</f>
        <v>1.0283285842638943</v>
      </c>
      <c r="E15">
        <f t="shared" si="0"/>
        <v>2.9122365966981301</v>
      </c>
      <c r="G15" t="s">
        <v>884</v>
      </c>
      <c r="H15">
        <v>0</v>
      </c>
      <c r="I15" s="145" cm="1">
        <f t="array" ref="I15">COUNT(IF(ISNUMBER($C$11:$C$712),IF($C$11:$C$712&gt;=I13,IF($C$11:$C$712&lt;=I14,$D$11:$D$712))))</f>
        <v>103</v>
      </c>
      <c r="J15" s="145" cm="1">
        <f t="array" ref="J15">COUNT(IF(ISNUMBER($C$11:$C$712),IF($C$11:$C$712&gt;J13,IF($C$11:$C$712&lt;=J14,$D$11:$D$712))))</f>
        <v>122</v>
      </c>
      <c r="K15" s="145" cm="1">
        <f t="array" ref="K15">COUNT(IF(ISNUMBER($C$11:$C$712),IF($C$11:$C$712&gt;K13,IF($C$11:$C$712&lt;=K14,$D$11:$D$712))))</f>
        <v>54</v>
      </c>
      <c r="L15" s="145" cm="1">
        <f t="array" ref="L15">COUNT(IF(ISNUMBER($C$11:$C$712),IF($C$11:$C$712&gt;L13,IF($C$11:$C$712&lt;=L14,$D$11:$D$712))))</f>
        <v>68</v>
      </c>
      <c r="M15" s="145" cm="1">
        <f t="array" ref="M15">COUNT(IF(ISNUMBER($C$11:$C$712),IF($C$11:$C$712&gt;M13,IF($C$11:$C$712&lt;=M14,$D$11:$D$712))))</f>
        <v>36</v>
      </c>
      <c r="N15" s="145" cm="1">
        <f t="array" ref="N15">COUNT(IF(ISNUMBER($C$11:$C$712),IF($C$11:$C$712&gt;N13,IF($C$11:$C$712&lt;=N14,$D$11:$D$712))))</f>
        <v>25</v>
      </c>
      <c r="O15" s="145" cm="1">
        <f t="array" ref="O15">COUNT(IF(ISNUMBER($C$11:$C$712),IF($C$11:$C$712&gt;O13,IF($C$11:$C$712&lt;=O14,$D$11:$D$712))))</f>
        <v>19</v>
      </c>
      <c r="P15" s="145" cm="1">
        <f t="array" ref="P15">COUNT(IF(ISNUMBER($C$11:$C$712),IF($C$11:$C$712&gt;P13,IF($C$11:$C$712&lt;=P14,$D$11:$D$712))))</f>
        <v>36</v>
      </c>
      <c r="Q15" s="145" cm="1">
        <f t="array" ref="Q15">COUNT(IF(ISNUMBER($C$11:$C$712),IF($C$11:$C$712&gt;Q13,IF($C$11:$C$712&lt;=Q14,$D$11:$D$712))))</f>
        <v>4</v>
      </c>
      <c r="R15" s="145" cm="1">
        <f t="array" ref="R15">COUNT(IF(ISNUMBER($C$11:$C$712),IF($C$11:$C$712&gt;R13,IF($C$11:$C$712&lt;=R14,$D$11:$D$712))))</f>
        <v>1</v>
      </c>
      <c r="S15" s="145" cm="1">
        <f t="array" ref="S15">COUNT(IF(ISNUMBER($C$11:$C$712),IF($C$11:$C$712&gt;S13,IF($C$11:$C$712&lt;=S14,$D$11:$D$712))))</f>
        <v>13</v>
      </c>
      <c r="T15" s="145" cm="1">
        <f t="array" ref="T15">COUNT(IF(ISNUMBER($C$11:$C$712),IF($C$11:$C$712&gt;T13,IF($C$11:$C$712&lt;=T14,$D$11:$D$712))))</f>
        <v>3</v>
      </c>
      <c r="W15">
        <v>5</v>
      </c>
      <c r="X15">
        <v>2.4181595789161299</v>
      </c>
      <c r="Y15">
        <v>5.1155650688633397E-2</v>
      </c>
      <c r="Z15">
        <f t="shared" si="1"/>
        <v>10.672638315664519</v>
      </c>
      <c r="AB15" t="s">
        <v>884</v>
      </c>
      <c r="AC15">
        <v>0</v>
      </c>
      <c r="AD15" s="145" cm="1">
        <f t="array" ref="AD15">COUNT(IF(ISNUMBER($X$11:$X$712),IF($X$11:$X$712&gt;=AD13,IF($X$11:$X$712&lt;=AD14,$Y$11:$Y$712))))</f>
        <v>99</v>
      </c>
      <c r="AE15" s="145" cm="1">
        <f t="array" ref="AE15">COUNT(IF(ISNUMBER($X$11:$X$712),IF($X$11:$X$712&gt;AE13,IF($X$11:$X$712&lt;=AE14,$Y$11:$Y$712))))</f>
        <v>75</v>
      </c>
      <c r="AF15" s="145" cm="1">
        <f t="array" ref="AF15">COUNT(IF(ISNUMBER($X$11:$X$712),IF($X$11:$X$712&gt;AF13,IF($X$11:$X$712&lt;=AF14,$Y$11:$Y$712))))</f>
        <v>35</v>
      </c>
      <c r="AG15" s="145" cm="1">
        <f t="array" ref="AG15">COUNT(IF(ISNUMBER($X$11:$X$712),IF($X$11:$X$712&gt;AG13,IF($X$11:$X$712&lt;=AG14,$Y$11:$Y$712))))</f>
        <v>40</v>
      </c>
      <c r="AH15" s="145" cm="1">
        <f t="array" ref="AH15">COUNT(IF(ISNUMBER($X$11:$X$712),IF($X$11:$X$712&gt;AH13,IF($X$11:$X$712&lt;=AH14,$Y$11:$Y$712))))</f>
        <v>24</v>
      </c>
      <c r="AI15" s="145" cm="1">
        <f t="array" ref="AI15">COUNT(IF(ISNUMBER($X$11:$X$712),IF($X$11:$X$712&gt;AI13,IF($X$11:$X$712&lt;=AI14,$Y$11:$Y$712))))</f>
        <v>18</v>
      </c>
      <c r="AJ15" s="145" cm="1">
        <f t="array" ref="AJ15">COUNT(IF(ISNUMBER($X$11:$X$712),IF($X$11:$X$712&gt;AJ13,IF($X$11:$X$712&lt;=AJ14,$Y$11:$Y$712))))</f>
        <v>23</v>
      </c>
      <c r="AK15" s="145" cm="1">
        <f t="array" ref="AK15">COUNT(IF(ISNUMBER($X$11:$X$712),IF($X$11:$X$712&gt;AK13,IF($X$11:$X$712&lt;=AK14,$Y$11:$Y$712))))</f>
        <v>30</v>
      </c>
      <c r="AL15" s="145" cm="1">
        <f t="array" ref="AL15">COUNT(IF(ISNUMBER($X$11:$X$712),IF($X$11:$X$712&gt;AL13,IF($X$11:$X$712&lt;=AL14,$Y$11:$Y$712))))</f>
        <v>16</v>
      </c>
      <c r="AM15" s="145" cm="1">
        <f t="array" ref="AM15">COUNT(IF(ISNUMBER($X$11:$X$712),IF($X$11:$X$712&gt;AM13,IF($X$11:$X$712&lt;=AM14,$Y$11:$Y$712))))</f>
        <v>6</v>
      </c>
      <c r="AO15">
        <v>0.4</v>
      </c>
      <c r="AP15">
        <v>1</v>
      </c>
      <c r="AQ15">
        <f t="shared" si="2"/>
        <v>2.6</v>
      </c>
    </row>
    <row r="16" spans="2:43">
      <c r="B16">
        <v>6</v>
      </c>
      <c r="C16">
        <f>IF('Lab test'!AQ9&gt;0,'Lab test'!AQ9,NA())</f>
        <v>0.47914277537453276</v>
      </c>
      <c r="D16">
        <f>IF('Lab test'!AU9&gt;0,'Lab test'!AU9,NA())</f>
        <v>1.0300984982672314</v>
      </c>
      <c r="E16">
        <f t="shared" si="0"/>
        <v>2.916571101498131</v>
      </c>
      <c r="G16" t="s">
        <v>885</v>
      </c>
      <c r="H16">
        <v>0</v>
      </c>
      <c r="I16" s="145" cm="1">
        <f t="array" ref="I16">MIN(IF(ISNUMBER($C$11:$C$712),IF($C$11:$C$712&gt;=I13,IF($C$11:$C$712&lt;=I14,$D$11:$D$712))))</f>
        <v>0.70263144234674091</v>
      </c>
      <c r="J16" s="145" cm="1">
        <f t="array" ref="J16">MIN(IF(ISNUMBER($C$11:$C$712),IF($C$11:$C$712&gt;J13,IF($C$11:$C$712&lt;=J14,$D$11:$D$712))))</f>
        <v>0.40704500978473579</v>
      </c>
      <c r="K16" s="145" cm="1">
        <f t="array" ref="K16">MIN(IF(ISNUMBER($C$11:$C$712),IF($C$11:$C$712&gt;K13,IF($C$11:$C$712&lt;=K14,$D$11:$D$712))))</f>
        <v>0.33493530499075785</v>
      </c>
      <c r="L16" s="145" cm="1">
        <f t="array" ref="L16">MIN(IF(ISNUMBER($C$11:$C$712),IF($C$11:$C$712&gt;L13,IF($C$11:$C$712&lt;=L14,$D$11:$D$712))))</f>
        <v>0.16800785083415112</v>
      </c>
      <c r="M16" s="145" cm="1">
        <f t="array" ref="M16">MIN(IF(ISNUMBER($C$11:$C$712),IF($C$11:$C$712&gt;M13,IF($C$11:$C$712&lt;=M14,$D$11:$D$712))))</f>
        <v>0.13135459425323651</v>
      </c>
      <c r="N16" s="145" cm="1">
        <f t="array" ref="N16">MIN(IF(ISNUMBER($C$11:$C$712),IF($C$11:$C$712&gt;N13,IF($C$11:$C$712&lt;=N14,$D$11:$D$712))))</f>
        <v>8.4590163934426227E-2</v>
      </c>
      <c r="O16" s="145" cm="1">
        <f t="array" ref="O16">MIN(IF(ISNUMBER($C$11:$C$712),IF($C$11:$C$712&gt;O13,IF($C$11:$C$712&lt;=O14,$D$11:$D$712))))</f>
        <v>5.7993904801096403E-2</v>
      </c>
      <c r="P16" s="145" cm="1">
        <f t="array" ref="P16">MIN(IF(ISNUMBER($C$11:$C$712),IF($C$11:$C$712&gt;P13,IF($C$11:$C$712&lt;=P14,$D$11:$D$712))))</f>
        <v>3.4505954836150668E-2</v>
      </c>
      <c r="Q16" s="145" cm="1">
        <f t="array" ref="Q16">MIN(IF(ISNUMBER($C$11:$C$712),IF($C$11:$C$712&gt;Q13,IF($C$11:$C$712&lt;=Q14,$D$11:$D$712))))</f>
        <v>5.9557412008281581E-2</v>
      </c>
      <c r="R16" s="145" cm="1">
        <f t="array" ref="R16">MIN(IF(ISNUMBER($C$11:$C$712),IF($C$11:$C$712&gt;R13,IF($C$11:$C$712&lt;=R14,$D$11:$D$712))))</f>
        <v>8.6441010463035081E-2</v>
      </c>
      <c r="S16" s="145" cm="1">
        <f t="array" ref="S16">MIN(IF(ISNUMBER($C$11:$C$712),IF($C$11:$C$712&gt;S13,IF($C$11:$C$712&lt;=S14,$D$11:$D$712))))</f>
        <v>2.8874244497282611E-2</v>
      </c>
      <c r="T16" s="145" cm="1">
        <f t="array" ref="T16">MIN(IF(ISNUMBER($C$11:$C$712),IF($C$11:$C$712&gt;T13,IF($C$11:$C$712&lt;=T14,$D$11:$D$712))))</f>
        <v>2.8872668478260873E-2</v>
      </c>
      <c r="U16" s="145"/>
      <c r="V16" s="145"/>
      <c r="W16">
        <v>6</v>
      </c>
      <c r="X16">
        <v>2.4584936862896698</v>
      </c>
      <c r="Y16">
        <v>7.6524846910216604E-2</v>
      </c>
      <c r="Z16">
        <f t="shared" si="1"/>
        <v>10.833974745158679</v>
      </c>
      <c r="AB16" t="s">
        <v>885</v>
      </c>
      <c r="AC16">
        <v>0</v>
      </c>
      <c r="AD16" s="145" cm="1">
        <f t="array" ref="AD16">MIN(IF(ISNUMBER($X$11:$X$712),IF($X$11:$X$712&gt;=AD13,IF($X$11:$X$712&lt;=AD14,$Y$11:$Y$712))))</f>
        <v>0.74644657491688104</v>
      </c>
      <c r="AE16" s="145" cm="1">
        <f t="array" ref="AE16">MIN(IF(ISNUMBER($X$11:$X$712),IF($X$11:$X$712&gt;AE13,IF($X$11:$X$712&lt;=AE14,$Y$11:$Y$712))))</f>
        <v>0.57486470539599899</v>
      </c>
      <c r="AF16" s="145" cm="1">
        <f t="array" ref="AF16">MIN(IF(ISNUMBER($X$11:$X$712),IF($X$11:$X$712&gt;AF13,IF($X$11:$X$712&lt;=AF14,$Y$11:$Y$712))))</f>
        <v>0.45539479925871901</v>
      </c>
      <c r="AG16" s="145" cm="1">
        <f t="array" ref="AG16">MIN(IF(ISNUMBER($X$11:$X$712),IF($X$11:$X$712&gt;AG13,IF($X$11:$X$712&lt;=AG14,$Y$11:$Y$712))))</f>
        <v>0.19737916910523201</v>
      </c>
      <c r="AH16" s="145" cm="1">
        <f t="array" ref="AH16">MIN(IF(ISNUMBER($X$11:$X$712),IF($X$11:$X$712&gt;AH13,IF($X$11:$X$712&lt;=AH14,$Y$11:$Y$712))))</f>
        <v>0.121861086263409</v>
      </c>
      <c r="AI16" s="145" cm="1">
        <f t="array" ref="AI16">MIN(IF(ISNUMBER($X$11:$X$712),IF($X$11:$X$712&gt;AI13,IF($X$11:$X$712&lt;=AI14,$Y$11:$Y$712))))</f>
        <v>6.4267955626153797E-2</v>
      </c>
      <c r="AJ16" s="145" cm="1">
        <f t="array" ref="AJ16">MIN(IF(ISNUMBER($X$11:$X$712),IF($X$11:$X$712&gt;AJ13,IF($X$11:$X$712&lt;=AJ14,$Y$11:$Y$712))))</f>
        <v>5.4936612320550297E-2</v>
      </c>
      <c r="AK16" s="145" cm="1">
        <f t="array" ref="AK16">MIN(IF(ISNUMBER($X$11:$X$712),IF($X$11:$X$712&gt;AK13,IF($X$11:$X$712&lt;=AK14,$Y$11:$Y$712))))</f>
        <v>3.0213911290806601E-2</v>
      </c>
      <c r="AL16" s="145" cm="1">
        <f t="array" ref="AL16">MIN(IF(ISNUMBER($X$11:$X$712),IF($X$11:$X$712&gt;AL13,IF($X$11:$X$712&lt;=AL14,$Y$11:$Y$712))))</f>
        <v>6.9955919872002503E-2</v>
      </c>
      <c r="AM16" s="145" cm="1">
        <f t="array" ref="AM16">MIN(IF(ISNUMBER($X$11:$X$712),IF($X$11:$X$712&gt;AM13,IF($X$11:$X$712&lt;=AM14,$Y$11:$Y$712))))</f>
        <v>4.7371948714621998E-2</v>
      </c>
      <c r="AO16">
        <v>0.5</v>
      </c>
      <c r="AP16">
        <v>1</v>
      </c>
      <c r="AQ16">
        <f t="shared" si="2"/>
        <v>3</v>
      </c>
    </row>
    <row r="17" spans="2:43">
      <c r="B17">
        <v>7</v>
      </c>
      <c r="C17">
        <f>IF('Lab test'!AQ10&gt;0,'Lab test'!AQ10,NA())</f>
        <v>0.47959353802703941</v>
      </c>
      <c r="D17">
        <f>IF('Lab test'!AU10&gt;0,'Lab test'!AU10,NA())</f>
        <v>1.0300984982672314</v>
      </c>
      <c r="E17">
        <f t="shared" si="0"/>
        <v>2.9183741521081576</v>
      </c>
      <c r="G17" t="s">
        <v>908</v>
      </c>
      <c r="H17">
        <v>0</v>
      </c>
      <c r="I17" s="145" cm="1">
        <f t="array" ref="I17">_xlfn.QUARTILE.INC(IF(ISNUMBER($C$11:$C$712),IF($C$11:$C$712&gt;=I13,IF($C$11:$C$712&lt;=I14,$D$11:$D$712))),1)</f>
        <v>0.99120738810351194</v>
      </c>
      <c r="J17" s="145" cm="1">
        <f t="array" ref="J17">_xlfn.QUARTILE.INC(IF(ISNUMBER($C$11:$C$712),IF($C$11:$C$712&gt;=J13,IF($C$11:$C$712&lt;=J14,$D$11:$D$712))),1)</f>
        <v>0.84314719699551488</v>
      </c>
      <c r="K17" s="145" cm="1">
        <f t="array" ref="K17">_xlfn.QUARTILE.INC(IF(ISNUMBER($C$11:$C$712),IF($C$11:$C$712&gt;=K13,IF($C$11:$C$712&lt;=K14,$D$11:$D$712))),1)</f>
        <v>0.6223039453743725</v>
      </c>
      <c r="L17" s="145" cm="1">
        <f t="array" ref="L17">_xlfn.QUARTILE.INC(IF(ISNUMBER($C$11:$C$712),IF($C$11:$C$712&gt;=L13,IF($C$11:$C$712&lt;=L14,$D$11:$D$712))),1)</f>
        <v>0.28647097076362382</v>
      </c>
      <c r="M17" s="145" cm="1">
        <f t="array" ref="M17">_xlfn.QUARTILE.INC(IF(ISNUMBER($C$11:$C$712),IF($C$11:$C$712&gt;=M13,IF($C$11:$C$712&lt;=M14,$D$11:$D$712))),1)</f>
        <v>0.19882207514253852</v>
      </c>
      <c r="N17" s="145" cm="1">
        <f t="array" ref="N17">_xlfn.QUARTILE.INC(IF(ISNUMBER($C$11:$C$712),IF($C$11:$C$712&gt;=N13,IF($C$11:$C$712&lt;=N14,$D$11:$D$712))),1)</f>
        <v>0.12447982158240503</v>
      </c>
      <c r="O17" s="145" cm="1">
        <f t="array" ref="O17">_xlfn.QUARTILE.INC(IF(ISNUMBER($C$11:$C$712),IF($C$11:$C$712&gt;=O13,IF($C$11:$C$712&lt;=O14,$D$11:$D$712))),1)</f>
        <v>7.2384877882379337E-2</v>
      </c>
      <c r="P17" s="145" cm="1">
        <f t="array" ref="P17">_xlfn.QUARTILE.INC(IF(ISNUMBER($C$11:$C$712),IF($C$11:$C$712&gt;=P13,IF($C$11:$C$712&lt;=P14,$D$11:$D$712))),1)</f>
        <v>8.3423316393175476E-2</v>
      </c>
      <c r="Q17" s="145" cm="1">
        <f t="array" ref="Q17">_xlfn.QUARTILE.INC(IF(ISNUMBER($C$11:$C$712),IF($C$11:$C$712&gt;=Q13,IF($C$11:$C$712&lt;=Q14,$D$11:$D$712))),1)</f>
        <v>6.3680683436853014E-2</v>
      </c>
      <c r="R17" s="145" cm="1">
        <f t="array" ref="R17">_xlfn.QUARTILE.INC(IF(ISNUMBER($C$11:$C$712),IF($C$11:$C$712&gt;=R13,IF($C$11:$C$712&lt;=R14,$D$11:$D$712))),1)</f>
        <v>8.6441010463035081E-2</v>
      </c>
      <c r="S17" s="145" cm="1">
        <f t="array" ref="S17">_xlfn.QUARTILE.INC(IF(ISNUMBER($C$11:$C$712),IF($C$11:$C$712&gt;=S13,IF($C$11:$C$712&lt;=S14,$D$11:$D$712))),1)</f>
        <v>3.6842104087588902E-2</v>
      </c>
      <c r="T17" s="145" cm="1">
        <f t="array" ref="T17">_xlfn.QUARTILE.INC(IF(ISNUMBER($C$11:$C$712),IF($C$11:$C$712&gt;=T13,IF($C$11:$C$712&lt;=T14,$D$11:$D$712))),1)</f>
        <v>3.2001782608695656E-2</v>
      </c>
      <c r="U17" s="145"/>
      <c r="V17" s="145"/>
      <c r="W17">
        <v>7</v>
      </c>
      <c r="X17">
        <v>2.4595913125788602</v>
      </c>
      <c r="Y17">
        <v>8.7363576523269995E-2</v>
      </c>
      <c r="Z17">
        <f t="shared" si="1"/>
        <v>10.838365250315441</v>
      </c>
      <c r="AB17" t="s">
        <v>908</v>
      </c>
      <c r="AC17">
        <v>0</v>
      </c>
      <c r="AD17" s="145" cm="1">
        <f t="array" ref="AD17">_xlfn.QUARTILE.INC(IF(ISNUMBER($X$11:$X$712),IF($X$11:$X$712&gt;=AD13,IF($X$11:$X$712&lt;=AD14,$Y$11:$Y$712))),1)</f>
        <v>0.9362460977528565</v>
      </c>
      <c r="AE17" s="145" cm="1">
        <f t="array" ref="AE17">_xlfn.QUARTILE.INC(IF(ISNUMBER($X$11:$X$712),IF($X$11:$X$712&gt;AE13,IF($X$11:$X$712&lt;=AE14,$Y$11:$Y$712))),1)</f>
        <v>0.8105313695572105</v>
      </c>
      <c r="AF17" s="145" cm="1">
        <f t="array" ref="AF17">_xlfn.QUARTILE.INC(IF(ISNUMBER($X$11:$X$712),IF($X$11:$X$712&gt;AF13,IF($X$11:$X$712&lt;=AF14,$Y$11:$Y$712))),1)</f>
        <v>0.6664267170931365</v>
      </c>
      <c r="AG17" s="145" cm="1">
        <f t="array" ref="AG17">_xlfn.QUARTILE.INC(IF(ISNUMBER($X$11:$X$712),IF($X$11:$X$712&gt;AG13,IF($X$11:$X$712&lt;=AG14,$Y$11:$Y$712))),1)</f>
        <v>0.28183181377449373</v>
      </c>
      <c r="AH17" s="145" cm="1">
        <f t="array" ref="AH17">_xlfn.QUARTILE.INC(IF(ISNUMBER($X$11:$X$712),IF($X$11:$X$712&gt;AH13,IF($X$11:$X$712&lt;=AH14,$Y$11:$Y$712))),1)</f>
        <v>0.189403662006426</v>
      </c>
      <c r="AI17" s="145" cm="1">
        <f t="array" ref="AI17">_xlfn.QUARTILE.INC(IF(ISNUMBER($X$11:$X$712),IF($X$11:$X$712&gt;AI13,IF($X$11:$X$712&lt;=AI14,$Y$11:$Y$712))),1)</f>
        <v>0.16610022720210099</v>
      </c>
      <c r="AJ17" s="145" cm="1">
        <f t="array" ref="AJ17">_xlfn.QUARTILE.INC(IF(ISNUMBER($X$11:$X$712),IF($X$11:$X$712&gt;AJ13,IF($X$11:$X$712&lt;=AJ14,$Y$11:$Y$712))),1)</f>
        <v>7.4460653698428553E-2</v>
      </c>
      <c r="AK17" s="145" cm="1">
        <f t="array" ref="AK17">_xlfn.QUARTILE.INC(IF(ISNUMBER($X$11:$X$712),IF($X$11:$X$712&gt;AK13,IF($X$11:$X$712&lt;=AK14,$Y$11:$Y$712))),1)</f>
        <v>6.1826872662212345E-2</v>
      </c>
      <c r="AL17" s="145" cm="1">
        <f t="array" ref="AL17">_xlfn.QUARTILE.INC(IF(ISNUMBER($X$11:$X$712),IF($X$11:$X$712&gt;AL13,IF($X$11:$X$712&lt;=AL14,$Y$11:$Y$712))),1)</f>
        <v>7.8906082961569257E-2</v>
      </c>
      <c r="AM17" s="145" cm="1">
        <f t="array" ref="AM17">_xlfn.QUARTILE.INC(IF(ISNUMBER($X$11:$X$712),IF($X$11:$X$712&gt;AM13,IF($X$11:$X$712&lt;=AM14,$Y$11:$Y$712))),1)</f>
        <v>5.7497949744029199E-2</v>
      </c>
      <c r="AO17">
        <v>0.6</v>
      </c>
      <c r="AP17">
        <v>1</v>
      </c>
      <c r="AQ17">
        <f t="shared" si="2"/>
        <v>3.4</v>
      </c>
    </row>
    <row r="18" spans="2:43">
      <c r="B18">
        <v>8</v>
      </c>
      <c r="C18">
        <f>IF('Lab test'!AQ11&gt;0,'Lab test'!AQ11,NA())</f>
        <v>0.47351730583085017</v>
      </c>
      <c r="D18">
        <f>IF('Lab test'!AU11&gt;0,'Lab test'!AU11,NA())</f>
        <v>1.0543465280451803</v>
      </c>
      <c r="E18">
        <f t="shared" si="0"/>
        <v>2.8940692233234007</v>
      </c>
      <c r="G18" t="s">
        <v>909</v>
      </c>
      <c r="H18">
        <v>0</v>
      </c>
      <c r="I18" s="145" cm="1">
        <f t="array" ref="I18">_xlfn.QUARTILE.INC(IF(ISNUMBER($C$11:$C$712),IF($C$11:$C$712&gt;=I13,IF($C$11:$C$712&lt;=I14,$D$11:$D$712))),2)</f>
        <v>1.1250588124005259</v>
      </c>
      <c r="J18" s="145" cm="1">
        <f t="array" ref="J18">_xlfn.QUARTILE.INC(IF(ISNUMBER($C$11:$C$712),IF($C$11:$C$712&gt;=J13,IF($C$11:$C$712&lt;=J14,$D$11:$D$712))),2)</f>
        <v>0.97574525745257445</v>
      </c>
      <c r="K18" s="145" cm="1">
        <f t="array" ref="K18">_xlfn.QUARTILE.INC(IF(ISNUMBER($C$11:$C$712),IF($C$11:$C$712&gt;=K13,IF($C$11:$C$712&lt;=K14,$D$11:$D$712))),2)</f>
        <v>0.72892520545904571</v>
      </c>
      <c r="L18" s="145" cm="1">
        <f t="array" ref="L18">_xlfn.QUARTILE.INC(IF(ISNUMBER($C$11:$C$712),IF($C$11:$C$712&gt;=L13,IF($C$11:$C$712&lt;=L14,$D$11:$D$712))),2)</f>
        <v>0.41663865951554591</v>
      </c>
      <c r="M18" s="145" cm="1">
        <f t="array" ref="M18">_xlfn.QUARTILE.INC(IF(ISNUMBER($C$11:$C$712),IF($C$11:$C$712&gt;=M13,IF($C$11:$C$712&lt;=M14,$D$11:$D$712))),2)</f>
        <v>0.26147381643889489</v>
      </c>
      <c r="N18" s="145" cm="1">
        <f t="array" ref="N18">_xlfn.QUARTILE.INC(IF(ISNUMBER($C$11:$C$712),IF($C$11:$C$712&gt;=N13,IF($C$11:$C$712&lt;=N14,$D$11:$D$712))),2)</f>
        <v>0.1615369710144928</v>
      </c>
      <c r="O18" s="145" cm="1">
        <f t="array" ref="O18">_xlfn.QUARTILE.INC(IF(ISNUMBER($C$11:$C$712),IF($C$11:$C$712&gt;=O13,IF($C$11:$C$712&lt;=O14,$D$11:$D$712))),2)</f>
        <v>8.6859004296075348E-2</v>
      </c>
      <c r="P18" s="145" cm="1">
        <f t="array" ref="P18">_xlfn.QUARTILE.INC(IF(ISNUMBER($C$11:$C$712),IF($C$11:$C$712&gt;=P13,IF($C$11:$C$712&lt;=P14,$D$11:$D$712))),2)</f>
        <v>0.11276492393712119</v>
      </c>
      <c r="Q18" s="145" cm="1">
        <f t="array" ref="Q18">_xlfn.QUARTILE.INC(IF(ISNUMBER($C$11:$C$712),IF($C$11:$C$712&gt;=Q13,IF($C$11:$C$712&lt;=Q14,$D$11:$D$712))),2)</f>
        <v>7.7816773890975244E-2</v>
      </c>
      <c r="R18" s="145" cm="1">
        <f t="array" ref="R18">_xlfn.QUARTILE.INC(IF(ISNUMBER($C$11:$C$712),IF($C$11:$C$712&gt;=R13,IF($C$11:$C$712&lt;=R14,$D$11:$D$712))),2)</f>
        <v>8.6441010463035081E-2</v>
      </c>
      <c r="S18" s="145" cm="1">
        <f t="array" ref="S18">_xlfn.QUARTILE.INC(IF(ISNUMBER($C$11:$C$712),IF($C$11:$C$712&gt;=S13,IF($C$11:$C$712&lt;=S14,$D$11:$D$712))),2)</f>
        <v>5.7894734994782565E-2</v>
      </c>
      <c r="T18" s="145" cm="1">
        <f t="array" ref="T18">_xlfn.QUARTILE.INC(IF(ISNUMBER($C$11:$C$712),IF($C$11:$C$712&gt;=T13,IF($C$11:$C$712&lt;=T14,$D$11:$D$712))),2)</f>
        <v>3.5130896739130439E-2</v>
      </c>
      <c r="U18" s="145"/>
      <c r="V18" s="145"/>
      <c r="W18">
        <v>8</v>
      </c>
      <c r="X18">
        <v>2.3695859568650501</v>
      </c>
      <c r="Y18">
        <v>7.2583490687288199E-2</v>
      </c>
      <c r="Z18">
        <f t="shared" si="1"/>
        <v>10.478343827460201</v>
      </c>
      <c r="AB18" t="s">
        <v>909</v>
      </c>
      <c r="AC18">
        <v>0</v>
      </c>
      <c r="AD18" s="145" cm="1">
        <f t="array" ref="AD18">_xlfn.QUARTILE.INC(IF(ISNUMBER($X$11:$X$712),IF($X$11:$X$712&gt;=AD13,IF($X$11:$X$712&lt;=AD14,$Y$11:$Y$712))),2)</f>
        <v>1.0325024929283499</v>
      </c>
      <c r="AE18" s="145" cm="1">
        <f t="array" ref="AE18">_xlfn.QUARTILE.INC(IF(ISNUMBER($X$11:$X$712),IF($X$11:$X$712&gt;AE13,IF($X$11:$X$712&lt;=AE14,$Y$11:$Y$712))),2)</f>
        <v>0.90502198746102902</v>
      </c>
      <c r="AF18" s="145" cm="1">
        <f t="array" ref="AF18">_xlfn.QUARTILE.INC(IF(ISNUMBER($X$11:$X$712),IF($X$11:$X$712&gt;AF13,IF($X$11:$X$712&lt;=AF14,$Y$11:$Y$712))),2)</f>
        <v>0.75773032236027205</v>
      </c>
      <c r="AG18" s="145" cm="1">
        <f t="array" ref="AG18">_xlfn.QUARTILE.INC(IF(ISNUMBER($X$11:$X$712),IF($X$11:$X$712&gt;AG13,IF($X$11:$X$712&lt;=AG14,$Y$11:$Y$712))),2)</f>
        <v>0.42567805980856649</v>
      </c>
      <c r="AH18" s="145" cm="1">
        <f t="array" ref="AH18">_xlfn.QUARTILE.INC(IF(ISNUMBER($X$11:$X$712),IF($X$11:$X$712&gt;AH13,IF($X$11:$X$712&lt;=AH14,$Y$11:$Y$712))),2)</f>
        <v>0.2793773514648355</v>
      </c>
      <c r="AI18" s="145" cm="1">
        <f t="array" ref="AI18">_xlfn.QUARTILE.INC(IF(ISNUMBER($X$11:$X$712),IF($X$11:$X$712&gt;AI13,IF($X$11:$X$712&lt;=AI14,$Y$11:$Y$712))),2)</f>
        <v>0.223548801773191</v>
      </c>
      <c r="AJ18" s="145" cm="1">
        <f t="array" ref="AJ18">_xlfn.QUARTILE.INC(IF(ISNUMBER($X$11:$X$712),IF($X$11:$X$712&gt;AJ13,IF($X$11:$X$712&lt;=AJ14,$Y$11:$Y$712))),2)</f>
        <v>0.13826072273532999</v>
      </c>
      <c r="AK18" s="145" cm="1">
        <f t="array" ref="AK18">_xlfn.QUARTILE.INC(IF(ISNUMBER($X$11:$X$712),IF($X$11:$X$712&gt;AK13,IF($X$11:$X$712&lt;=AK14,$Y$11:$Y$712))),2)</f>
        <v>9.4096726737439601E-2</v>
      </c>
      <c r="AL18" s="145" cm="1">
        <f t="array" ref="AL18">_xlfn.QUARTILE.INC(IF(ISNUMBER($X$11:$X$712),IF($X$11:$X$712&gt;AL13,IF($X$11:$X$712&lt;=AL14,$Y$11:$Y$712))),2)</f>
        <v>9.7709636608457398E-2</v>
      </c>
      <c r="AM18" s="145" cm="1">
        <f t="array" ref="AM18">_xlfn.QUARTILE.INC(IF(ISNUMBER($X$11:$X$712),IF($X$11:$X$712&gt;AM13,IF($X$11:$X$712&lt;=AM14,$Y$11:$Y$712))),2)</f>
        <v>8.1944211716743293E-2</v>
      </c>
      <c r="AO18">
        <v>0.7</v>
      </c>
      <c r="AP18">
        <v>1</v>
      </c>
      <c r="AQ18">
        <f t="shared" si="2"/>
        <v>3.8</v>
      </c>
    </row>
    <row r="19" spans="2:43">
      <c r="B19">
        <v>9</v>
      </c>
      <c r="C19">
        <f>IF('Lab test'!AQ12&gt;0,'Lab test'!AQ12,NA())</f>
        <v>0.47296936733220801</v>
      </c>
      <c r="D19">
        <f>IF('Lab test'!AU12&gt;0,'Lab test'!AU12,NA())</f>
        <v>1.040010114234373</v>
      </c>
      <c r="E19">
        <f t="shared" si="0"/>
        <v>2.8918774693288318</v>
      </c>
      <c r="G19" t="s">
        <v>910</v>
      </c>
      <c r="H19">
        <v>0</v>
      </c>
      <c r="I19" s="145" cm="1">
        <f t="array" ref="I19">_xlfn.QUARTILE.INC(IF(ISNUMBER($C$11:$C$712),IF($C$11:$C$712&gt;=I13,IF($C$11:$C$712&lt;=I14,$D$11:$D$712))),3)</f>
        <v>1.2688540027451194</v>
      </c>
      <c r="J19" s="145" cm="1">
        <f t="array" ref="J19">_xlfn.QUARTILE.INC(IF(ISNUMBER($C$11:$C$712),IF($C$11:$C$712&gt;=J13,IF($C$11:$C$712&lt;=J14,$D$11:$D$712))),3)</f>
        <v>1.0945959070130229</v>
      </c>
      <c r="K19" s="145" cm="1">
        <f t="array" ref="K19">_xlfn.QUARTILE.INC(IF(ISNUMBER($C$11:$C$712),IF($C$11:$C$712&gt;=K13,IF($C$11:$C$712&lt;=K14,$D$11:$D$712))),3)</f>
        <v>0.82859750321212977</v>
      </c>
      <c r="L19" s="145" cm="1">
        <f t="array" ref="L19">_xlfn.QUARTILE.INC(IF(ISNUMBER($C$11:$C$712),IF($C$11:$C$712&gt;=L13,IF($C$11:$C$712&lt;=L14,$D$11:$D$712))),3)</f>
        <v>0.53799533799533805</v>
      </c>
      <c r="M19" s="145" cm="1">
        <f t="array" ref="M19">_xlfn.QUARTILE.INC(IF(ISNUMBER($C$11:$C$712),IF($C$11:$C$712&gt;=M13,IF($C$11:$C$712&lt;=M14,$D$11:$D$712))),3)</f>
        <v>0.32682955886140297</v>
      </c>
      <c r="N19" s="145" cm="1">
        <f t="array" ref="N19">_xlfn.QUARTILE.INC(IF(ISNUMBER($C$11:$C$712),IF($C$11:$C$712&gt;=N13,IF($C$11:$C$712&lt;=N14,$D$11:$D$712))),3)</f>
        <v>0.22339196639537937</v>
      </c>
      <c r="O19" s="145" cm="1">
        <f t="array" ref="O19">_xlfn.QUARTILE.INC(IF(ISNUMBER($C$11:$C$712),IF($C$11:$C$712&gt;=O13,IF($C$11:$C$712&lt;=O14,$D$11:$D$712))),3)</f>
        <v>0.12478907321376367</v>
      </c>
      <c r="P19" s="145" cm="1">
        <f t="array" ref="P19">_xlfn.QUARTILE.INC(IF(ISNUMBER($C$11:$C$712),IF($C$11:$C$712&gt;=P13,IF($C$11:$C$712&lt;=P14,$D$11:$D$712))),3)</f>
        <v>0.13028519429347829</v>
      </c>
      <c r="Q19" s="145" cm="1">
        <f t="array" ref="Q19">_xlfn.QUARTILE.INC(IF(ISNUMBER($C$11:$C$712),IF($C$11:$C$712&gt;=Q13,IF($C$11:$C$712&lt;=Q14,$D$11:$D$712))),3)</f>
        <v>9.5881165660278295E-2</v>
      </c>
      <c r="R19" s="145" cm="1">
        <f t="array" ref="R19">_xlfn.QUARTILE.INC(IF(ISNUMBER($C$11:$C$712),IF($C$11:$C$712&gt;=R13,IF($C$11:$C$712&lt;=R14,$D$11:$D$712))),3)</f>
        <v>8.6441010463035081E-2</v>
      </c>
      <c r="S19" s="145" cm="1">
        <f t="array" ref="S19">_xlfn.QUARTILE.INC(IF(ISNUMBER($C$11:$C$712),IF($C$11:$C$712&gt;=S13,IF($C$11:$C$712&lt;=S14,$D$11:$D$712))),3)</f>
        <v>7.5610290476078437E-2</v>
      </c>
      <c r="T19" s="145" cm="1">
        <f t="array" ref="T19">_xlfn.QUARTILE.INC(IF(ISNUMBER($C$11:$C$712),IF($C$11:$C$712&gt;=T13,IF($C$11:$C$712&lt;=T14,$D$11:$D$712))),3)</f>
        <v>5.7538999137190364E-2</v>
      </c>
      <c r="U19" s="145"/>
      <c r="V19" s="145"/>
      <c r="W19">
        <v>9</v>
      </c>
      <c r="X19">
        <v>2.3000696252161701</v>
      </c>
      <c r="Y19">
        <v>7.0612812575823997E-2</v>
      </c>
      <c r="Z19">
        <f t="shared" si="1"/>
        <v>10.20027850086468</v>
      </c>
      <c r="AB19" t="s">
        <v>910</v>
      </c>
      <c r="AC19">
        <v>0</v>
      </c>
      <c r="AD19" s="145" cm="1">
        <f t="array" ref="AD19">_xlfn.QUARTILE.INC(IF(ISNUMBER($X$11:$X$712),IF($X$11:$X$712&gt;=AD13,IF($X$11:$X$712&lt;=AD14,$Y$11:$Y$712))),3)</f>
        <v>1.1276821946455</v>
      </c>
      <c r="AE19" s="145" cm="1">
        <f t="array" ref="AE19">_xlfn.QUARTILE.INC(IF(ISNUMBER($X$11:$X$712),IF($X$11:$X$712&gt;AE13,IF($X$11:$X$712&lt;=AE14,$Y$11:$Y$712))),3)</f>
        <v>1.000933840729854</v>
      </c>
      <c r="AF19" s="145" cm="1">
        <f t="array" ref="AF19">_xlfn.QUARTILE.INC(IF(ISNUMBER($X$11:$X$712),IF($X$11:$X$712&gt;AF13,IF($X$11:$X$712&lt;=AF14,$Y$11:$Y$712))),3)</f>
        <v>0.86195424912747498</v>
      </c>
      <c r="AG19" s="145" cm="1">
        <f t="array" ref="AG19">_xlfn.QUARTILE.INC(IF(ISNUMBER($X$11:$X$712),IF($X$11:$X$712&gt;AG13,IF($X$11:$X$712&lt;=AG14,$Y$11:$Y$712))),3)</f>
        <v>0.57673815201350931</v>
      </c>
      <c r="AH19" s="145" cm="1">
        <f t="array" ref="AH19">_xlfn.QUARTILE.INC(IF(ISNUMBER($X$11:$X$712),IF($X$11:$X$712&gt;AH13,IF($X$11:$X$712&lt;=AH14,$Y$11:$Y$712))),3)</f>
        <v>0.34081367958532877</v>
      </c>
      <c r="AI19" s="145" cm="1">
        <f t="array" ref="AI19">_xlfn.QUARTILE.INC(IF(ISNUMBER($X$11:$X$712),IF($X$11:$X$712&gt;AI13,IF($X$11:$X$712&lt;=AI14,$Y$11:$Y$712))),3)</f>
        <v>0.24884611335221701</v>
      </c>
      <c r="AJ19" s="145" cm="1">
        <f t="array" ref="AJ19">_xlfn.QUARTILE.INC(IF(ISNUMBER($X$11:$X$712),IF($X$11:$X$712&gt;AJ13,IF($X$11:$X$712&lt;=AJ14,$Y$11:$Y$712))),3)</f>
        <v>0.190151365796939</v>
      </c>
      <c r="AK19" s="145" cm="1">
        <f t="array" ref="AK19">_xlfn.QUARTILE.INC(IF(ISNUMBER($X$11:$X$712),IF($X$11:$X$712&gt;AK13,IF($X$11:$X$712&lt;=AK14,$Y$11:$Y$712))),3)</f>
        <v>0.110847490684885</v>
      </c>
      <c r="AL19" s="145" cm="1">
        <f t="array" ref="AL19">_xlfn.QUARTILE.INC(IF(ISNUMBER($X$11:$X$712),IF($X$11:$X$712&gt;AL13,IF($X$11:$X$712&lt;=AL14,$Y$11:$Y$712))),3)</f>
        <v>0.11799119883894349</v>
      </c>
      <c r="AM19" s="145" cm="1">
        <f t="array" ref="AM19">_xlfn.QUARTILE.INC(IF(ISNUMBER($X$11:$X$712),IF($X$11:$X$712&gt;AM13,IF($X$11:$X$712&lt;=AM14,$Y$11:$Y$712))),3)</f>
        <v>9.355150579326782E-2</v>
      </c>
      <c r="AO19">
        <v>0.8</v>
      </c>
      <c r="AP19">
        <v>1</v>
      </c>
      <c r="AQ19">
        <f t="shared" si="2"/>
        <v>4.2</v>
      </c>
    </row>
    <row r="20" spans="2:43">
      <c r="B20">
        <v>10</v>
      </c>
      <c r="C20" t="e">
        <f>IF('Lab test'!AQ13&gt;0,'Lab test'!AQ13,NA())</f>
        <v>#N/A</v>
      </c>
      <c r="D20" t="e">
        <f>IF('Lab test'!AU13&gt;0,'Lab test'!AU13,NA())</f>
        <v>#N/A</v>
      </c>
      <c r="E20" t="e">
        <f t="shared" si="0"/>
        <v>#N/A</v>
      </c>
      <c r="G20" t="s">
        <v>886</v>
      </c>
      <c r="H20">
        <v>0</v>
      </c>
      <c r="I20" s="145" cm="1">
        <f t="array" ref="I20">MAX(IF(ISNUMBER($C$11:$C$712),IF($C$11:$C$712&gt;=I13,IF($C$11:$C$712&lt;=I14,$D$11:$D$712))))</f>
        <v>1.756</v>
      </c>
      <c r="J20" s="145" cm="1">
        <f t="array" ref="J20">MAX(IF(ISNUMBER($C$11:$C$712),IF($C$11:$C$712&gt;J13,IF($C$11:$C$712&lt;=J14,$D$11:$D$712))))</f>
        <v>1.254</v>
      </c>
      <c r="K20" s="145" cm="1">
        <f t="array" ref="K20">MAX(IF(ISNUMBER($C$11:$C$712),IF($C$11:$C$712&gt;K13,IF($C$11:$C$712&lt;=K14,$D$11:$D$712))))</f>
        <v>1.0875000000000001</v>
      </c>
      <c r="L20" s="145" cm="1">
        <f t="array" ref="L20">MAX(IF(ISNUMBER($C$11:$C$712),IF($C$11:$C$712&gt;L13,IF($C$11:$C$712&lt;=L14,$D$11:$D$712))))</f>
        <v>0.777883660634065</v>
      </c>
      <c r="M20" s="145" cm="1">
        <f t="array" ref="M20">MAX(IF(ISNUMBER($C$11:$C$712),IF($C$11:$C$712&gt;M13,IF($C$11:$C$712&lt;=M14,$D$11:$D$712))))</f>
        <v>0.53052626848772988</v>
      </c>
      <c r="N20" s="145" cm="1">
        <f t="array" ref="N20">MAX(IF(ISNUMBER($C$11:$C$712),IF($C$11:$C$712&gt;N13,IF($C$11:$C$712&lt;=N14,$D$11:$D$712))))</f>
        <v>0.37536412690076543</v>
      </c>
      <c r="O20" s="145" cm="1">
        <f t="array" ref="O20">MAX(IF(ISNUMBER($C$11:$C$712),IF($C$11:$C$712&gt;O13,IF($C$11:$C$712&lt;=O14,$D$11:$D$712))))</f>
        <v>0.20765322153209109</v>
      </c>
      <c r="P20" s="145" cm="1">
        <f t="array" ref="P20">MAX(IF(ISNUMBER($C$11:$C$712),IF($C$11:$C$712&gt;P13,IF($C$11:$C$712&lt;=P14,$D$11:$D$712))))</f>
        <v>0.1641036970108696</v>
      </c>
      <c r="Q20" s="145" cm="1">
        <f t="array" ref="Q20">MAX(IF(ISNUMBER($C$11:$C$712),IF($C$11:$C$712&gt;Q13,IF($C$11:$C$712&lt;=Q14,$D$11:$D$712))))</f>
        <v>0.11178934103439224</v>
      </c>
      <c r="R20" s="145" cm="1">
        <f t="array" ref="R20">MAX(IF(ISNUMBER($C$11:$C$712),IF($C$11:$C$712&gt;R13,IF($C$11:$C$712&lt;=R14,$D$11:$D$712))))</f>
        <v>8.6441010463035081E-2</v>
      </c>
      <c r="S20" s="145" cm="1">
        <f t="array" ref="S20">MAX(IF(ISNUMBER($C$11:$C$712),IF($C$11:$C$712&gt;S13,IF($C$11:$C$712&lt;=S14,$D$11:$D$712))))</f>
        <v>0.10403896169729526</v>
      </c>
      <c r="T20" s="145" cm="1">
        <f t="array" ref="T20">MAX(IF(ISNUMBER($C$11:$C$712),IF($C$11:$C$712&gt;T13,IF($C$11:$C$712&lt;=T14,$D$11:$D$712))))</f>
        <v>7.9947101535250295E-2</v>
      </c>
      <c r="U20" s="145"/>
      <c r="V20" s="145"/>
      <c r="W20">
        <v>10</v>
      </c>
      <c r="X20">
        <v>2.3571461922541999</v>
      </c>
      <c r="Y20">
        <v>0.102143662359251</v>
      </c>
      <c r="Z20">
        <f t="shared" si="1"/>
        <v>10.428584769016799</v>
      </c>
      <c r="AB20" t="s">
        <v>886</v>
      </c>
      <c r="AC20">
        <v>0</v>
      </c>
      <c r="AD20" s="145" cm="1">
        <f t="array" ref="AD20">MAX(IF(ISNUMBER($X$11:$X$712),IF($X$11:$X$712&gt;=AD13,IF($X$11:$X$712&lt;=AD14,$Y$11:$Y$712))))</f>
        <v>1.3893617727601799</v>
      </c>
      <c r="AE20" s="145" cm="1">
        <f t="array" ref="AE20">MAX(IF(ISNUMBER($X$11:$X$712),IF($X$11:$X$712&gt;AE13,IF($X$11:$X$712&lt;=AE14,$Y$11:$Y$712))))</f>
        <v>1.23173385045937</v>
      </c>
      <c r="AF20" s="145" cm="1">
        <f t="array" ref="AF20">MAX(IF(ISNUMBER($X$11:$X$712),IF($X$11:$X$712&gt;AF13,IF($X$11:$X$712&lt;=AF14,$Y$11:$Y$712))))</f>
        <v>0.91906207015776797</v>
      </c>
      <c r="AG20" s="145" cm="1">
        <f t="array" ref="AG20">MAX(IF(ISNUMBER($X$11:$X$712),IF($X$11:$X$712&gt;AG13,IF($X$11:$X$712&lt;=AG14,$Y$11:$Y$712))))</f>
        <v>0.77840283676037902</v>
      </c>
      <c r="AH20" s="145" cm="1">
        <f t="array" ref="AH20">MAX(IF(ISNUMBER($X$11:$X$712),IF($X$11:$X$712&gt;AH13,IF($X$11:$X$712&lt;=AH14,$Y$11:$Y$712))))</f>
        <v>0.52516453535907703</v>
      </c>
      <c r="AI20" s="145" cm="1">
        <f t="array" ref="AI20">MAX(IF(ISNUMBER($X$11:$X$712),IF($X$11:$X$712&gt;AI13,IF($X$11:$X$712&lt;=AI14,$Y$11:$Y$712))))</f>
        <v>0.37284032527897298</v>
      </c>
      <c r="AJ20" s="145" cm="1">
        <f t="array" ref="AJ20">MAX(IF(ISNUMBER($X$11:$X$712),IF($X$11:$X$712&gt;AJ13,IF($X$11:$X$712&lt;=AJ14,$Y$11:$Y$712))))</f>
        <v>0.25345695339371499</v>
      </c>
      <c r="AK20" s="145" cm="1">
        <f t="array" ref="AK20">MAX(IF(ISNUMBER($X$11:$X$712),IF($X$11:$X$712&gt;AK13,IF($X$11:$X$712&lt;=AK14,$Y$11:$Y$712))))</f>
        <v>0.18129923316973201</v>
      </c>
      <c r="AL20" s="145" cm="1">
        <f t="array" ref="AL20">MAX(IF(ISNUMBER($X$11:$X$712),IF($X$11:$X$712&gt;AL13,IF($X$11:$X$712&lt;=AL14,$Y$11:$Y$712))))</f>
        <v>0.14451324175573299</v>
      </c>
      <c r="AM20" s="145" cm="1">
        <f t="array" ref="AM20">MAX(IF(ISNUMBER($X$11:$X$712),IF($X$11:$X$712&gt;AM13,IF($X$11:$X$712&lt;=AM14,$Y$11:$Y$712))))</f>
        <v>0.129194503902618</v>
      </c>
      <c r="AO20">
        <v>0.9</v>
      </c>
      <c r="AP20">
        <v>1</v>
      </c>
      <c r="AQ20">
        <f t="shared" si="2"/>
        <v>4.5999999999999996</v>
      </c>
    </row>
    <row r="21" spans="2:43">
      <c r="B21">
        <v>11</v>
      </c>
      <c r="C21">
        <f>IF('Lab test'!AQ14&gt;0,'Lab test'!AQ14,NA())</f>
        <v>0.99510148015665967</v>
      </c>
      <c r="D21">
        <f>IF('Lab test'!AU14&gt;0,'Lab test'!AU14,NA())</f>
        <v>0.5846074444872289</v>
      </c>
      <c r="E21">
        <f t="shared" si="0"/>
        <v>4.9804059206266391</v>
      </c>
      <c r="U21" s="145"/>
      <c r="V21" s="145"/>
      <c r="W21">
        <v>11</v>
      </c>
      <c r="X21">
        <v>2.3194610229919101</v>
      </c>
      <c r="Y21">
        <v>8.0466203133145106E-2</v>
      </c>
      <c r="Z21">
        <f t="shared" si="1"/>
        <v>10.277844091967641</v>
      </c>
      <c r="AO21">
        <v>1</v>
      </c>
      <c r="AP21">
        <v>1</v>
      </c>
      <c r="AQ21">
        <f t="shared" si="2"/>
        <v>5</v>
      </c>
    </row>
    <row r="22" spans="2:43">
      <c r="B22">
        <v>12</v>
      </c>
      <c r="C22">
        <f>IF('Lab test'!AQ15&gt;0,'Lab test'!AQ15,NA())</f>
        <v>1.0039654620235532</v>
      </c>
      <c r="D22">
        <f>IF('Lab test'!AU15&gt;0,'Lab test'!AU15,NA())</f>
        <v>0.56230635348479008</v>
      </c>
      <c r="E22">
        <f t="shared" si="0"/>
        <v>5.0158618480942128</v>
      </c>
      <c r="G22" t="s">
        <v>915</v>
      </c>
      <c r="H22">
        <v>0</v>
      </c>
      <c r="J22">
        <v>0.5</v>
      </c>
      <c r="L22">
        <v>1</v>
      </c>
      <c r="N22">
        <v>1.5</v>
      </c>
      <c r="P22">
        <v>2</v>
      </c>
      <c r="R22">
        <v>2.5</v>
      </c>
      <c r="T22">
        <v>3</v>
      </c>
      <c r="U22" s="145"/>
      <c r="V22" s="145"/>
      <c r="W22">
        <v>12</v>
      </c>
      <c r="X22">
        <v>2.3179975212729902</v>
      </c>
      <c r="Y22">
        <v>0.10148676965543001</v>
      </c>
      <c r="Z22">
        <f t="shared" si="1"/>
        <v>10.271990085091961</v>
      </c>
      <c r="AB22" t="s">
        <v>915</v>
      </c>
      <c r="AC22">
        <v>0</v>
      </c>
      <c r="AE22">
        <v>0.5</v>
      </c>
      <c r="AG22">
        <v>1</v>
      </c>
      <c r="AI22">
        <v>1.5</v>
      </c>
      <c r="AK22">
        <v>2</v>
      </c>
      <c r="AM22">
        <v>2.5</v>
      </c>
      <c r="AO22">
        <v>1.1000000000000001</v>
      </c>
      <c r="AP22">
        <f>1/AO22^2</f>
        <v>0.82644628099173545</v>
      </c>
      <c r="AQ22">
        <f t="shared" si="2"/>
        <v>5.4</v>
      </c>
    </row>
    <row r="23" spans="2:43">
      <c r="B23">
        <v>13</v>
      </c>
      <c r="C23">
        <f>IF('Lab test'!AQ16&gt;0,'Lab test'!AQ16,NA())</f>
        <v>0.99092334270835547</v>
      </c>
      <c r="D23">
        <f>IF('Lab test'!AU16&gt;0,'Lab test'!AU16,NA())</f>
        <v>0.63009462199974331</v>
      </c>
      <c r="E23">
        <f t="shared" si="0"/>
        <v>4.9636933708334219</v>
      </c>
      <c r="G23" t="s">
        <v>885</v>
      </c>
      <c r="H23">
        <v>0</v>
      </c>
      <c r="I23">
        <f>I16</f>
        <v>0.70263144234674091</v>
      </c>
      <c r="J23">
        <f t="shared" ref="J23:T23" si="3">J16</f>
        <v>0.40704500978473579</v>
      </c>
      <c r="K23">
        <f t="shared" si="3"/>
        <v>0.33493530499075785</v>
      </c>
      <c r="L23">
        <f t="shared" si="3"/>
        <v>0.16800785083415112</v>
      </c>
      <c r="M23">
        <f t="shared" si="3"/>
        <v>0.13135459425323651</v>
      </c>
      <c r="N23">
        <f t="shared" si="3"/>
        <v>8.4590163934426227E-2</v>
      </c>
      <c r="O23">
        <f t="shared" si="3"/>
        <v>5.7993904801096403E-2</v>
      </c>
      <c r="P23">
        <f t="shared" si="3"/>
        <v>3.4505954836150668E-2</v>
      </c>
      <c r="Q23">
        <f t="shared" si="3"/>
        <v>5.9557412008281581E-2</v>
      </c>
      <c r="R23">
        <f t="shared" si="3"/>
        <v>8.6441010463035081E-2</v>
      </c>
      <c r="S23">
        <f t="shared" si="3"/>
        <v>2.8874244497282611E-2</v>
      </c>
      <c r="T23">
        <f t="shared" si="3"/>
        <v>2.8872668478260873E-2</v>
      </c>
      <c r="U23" s="145"/>
      <c r="V23" s="145"/>
      <c r="W23">
        <v>13</v>
      </c>
      <c r="X23">
        <v>2.29421561834048</v>
      </c>
      <c r="Y23">
        <v>0.11790908725096599</v>
      </c>
      <c r="Z23">
        <f t="shared" si="1"/>
        <v>10.17686247336192</v>
      </c>
      <c r="AB23" t="s">
        <v>885</v>
      </c>
      <c r="AC23">
        <v>0</v>
      </c>
      <c r="AD23">
        <f>AD16</f>
        <v>0.74644657491688104</v>
      </c>
      <c r="AE23">
        <f t="shared" ref="AE23:AM23" si="4">AE16</f>
        <v>0.57486470539599899</v>
      </c>
      <c r="AF23">
        <f t="shared" si="4"/>
        <v>0.45539479925871901</v>
      </c>
      <c r="AG23">
        <f t="shared" si="4"/>
        <v>0.19737916910523201</v>
      </c>
      <c r="AH23">
        <f t="shared" si="4"/>
        <v>0.121861086263409</v>
      </c>
      <c r="AI23">
        <f t="shared" si="4"/>
        <v>6.4267955626153797E-2</v>
      </c>
      <c r="AJ23">
        <f t="shared" si="4"/>
        <v>5.4936612320550297E-2</v>
      </c>
      <c r="AK23">
        <f t="shared" si="4"/>
        <v>3.0213911290806601E-2</v>
      </c>
      <c r="AL23">
        <f t="shared" si="4"/>
        <v>6.9955919872002503E-2</v>
      </c>
      <c r="AM23">
        <f t="shared" si="4"/>
        <v>4.7371948714621998E-2</v>
      </c>
      <c r="AO23">
        <v>1.2</v>
      </c>
      <c r="AP23">
        <f t="shared" ref="AP23:AP41" si="5">1/AO23^2</f>
        <v>0.69444444444444442</v>
      </c>
      <c r="AQ23">
        <f t="shared" si="2"/>
        <v>5.8</v>
      </c>
    </row>
    <row r="24" spans="2:43">
      <c r="B24">
        <v>14</v>
      </c>
      <c r="C24">
        <f>IF('Lab test'!AQ17&gt;0,'Lab test'!AQ17,NA())</f>
        <v>1.023744937019164</v>
      </c>
      <c r="D24">
        <f>IF('Lab test'!AU17&gt;0,'Lab test'!AU17,NA())</f>
        <v>0.5877933256321396</v>
      </c>
      <c r="E24">
        <f t="shared" si="0"/>
        <v>5.0949797480766561</v>
      </c>
      <c r="G24" t="s">
        <v>911</v>
      </c>
      <c r="H24">
        <v>0</v>
      </c>
      <c r="I24">
        <f>I17-I16</f>
        <v>0.28857594575677104</v>
      </c>
      <c r="J24">
        <f t="shared" ref="J24:T24" si="6">J17-J16</f>
        <v>0.43610218721077909</v>
      </c>
      <c r="K24">
        <f t="shared" si="6"/>
        <v>0.28736864038361465</v>
      </c>
      <c r="L24">
        <f t="shared" si="6"/>
        <v>0.1184631199294727</v>
      </c>
      <c r="M24">
        <f t="shared" si="6"/>
        <v>6.7467480889302017E-2</v>
      </c>
      <c r="N24">
        <f t="shared" si="6"/>
        <v>3.9889657647978805E-2</v>
      </c>
      <c r="O24">
        <f t="shared" si="6"/>
        <v>1.4390973081282933E-2</v>
      </c>
      <c r="P24">
        <f t="shared" si="6"/>
        <v>4.8917361557024808E-2</v>
      </c>
      <c r="Q24">
        <f t="shared" si="6"/>
        <v>4.1232714285714331E-3</v>
      </c>
      <c r="R24">
        <f t="shared" si="6"/>
        <v>0</v>
      </c>
      <c r="S24">
        <f t="shared" si="6"/>
        <v>7.9678595903062907E-3</v>
      </c>
      <c r="T24">
        <f t="shared" si="6"/>
        <v>3.1291141304347833E-3</v>
      </c>
      <c r="U24" s="145"/>
      <c r="V24" s="145"/>
      <c r="W24">
        <v>14</v>
      </c>
      <c r="X24">
        <v>2.29458149377021</v>
      </c>
      <c r="Y24">
        <v>0.14188567094044699</v>
      </c>
      <c r="Z24">
        <f t="shared" si="1"/>
        <v>10.17832597508084</v>
      </c>
      <c r="AB24" t="s">
        <v>911</v>
      </c>
      <c r="AC24">
        <v>0</v>
      </c>
      <c r="AD24">
        <f>AD17-AD16</f>
        <v>0.18979952283597545</v>
      </c>
      <c r="AE24">
        <f t="shared" ref="AE24:AM24" si="7">AE17-AE16</f>
        <v>0.23566666416121151</v>
      </c>
      <c r="AF24">
        <f t="shared" si="7"/>
        <v>0.21103191783441749</v>
      </c>
      <c r="AG24">
        <f t="shared" si="7"/>
        <v>8.4452644669261723E-2</v>
      </c>
      <c r="AH24">
        <f t="shared" si="7"/>
        <v>6.7542575743017003E-2</v>
      </c>
      <c r="AI24">
        <f t="shared" si="7"/>
        <v>0.10183227157594719</v>
      </c>
      <c r="AJ24">
        <f t="shared" si="7"/>
        <v>1.9524041377878255E-2</v>
      </c>
      <c r="AK24">
        <f t="shared" si="7"/>
        <v>3.1612961371405748E-2</v>
      </c>
      <c r="AL24">
        <f t="shared" si="7"/>
        <v>8.9501630895667539E-3</v>
      </c>
      <c r="AM24">
        <f t="shared" si="7"/>
        <v>1.0126001029407201E-2</v>
      </c>
      <c r="AO24">
        <v>1.3</v>
      </c>
      <c r="AP24">
        <f t="shared" si="5"/>
        <v>0.59171597633136086</v>
      </c>
      <c r="AQ24">
        <f t="shared" si="2"/>
        <v>6.2</v>
      </c>
    </row>
    <row r="25" spans="2:43">
      <c r="B25">
        <v>15</v>
      </c>
      <c r="C25">
        <f>IF('Lab test'!AQ18&gt;0,'Lab test'!AQ18,NA())</f>
        <v>0.28955881151529872</v>
      </c>
      <c r="D25">
        <f>IF('Lab test'!AU18&gt;0,'Lab test'!AU18,NA())</f>
        <v>1.2324013605442177</v>
      </c>
      <c r="E25">
        <f t="shared" si="0"/>
        <v>2.1582352460611949</v>
      </c>
      <c r="G25" t="s">
        <v>912</v>
      </c>
      <c r="H25">
        <v>0</v>
      </c>
      <c r="I25">
        <f t="shared" ref="I25:T27" si="8">I18-I17</f>
        <v>0.13385142429701391</v>
      </c>
      <c r="J25">
        <f t="shared" si="8"/>
        <v>0.13259806045705957</v>
      </c>
      <c r="K25">
        <f t="shared" si="8"/>
        <v>0.10662126008467321</v>
      </c>
      <c r="L25">
        <f t="shared" si="8"/>
        <v>0.13016768875192208</v>
      </c>
      <c r="M25">
        <f t="shared" si="8"/>
        <v>6.2651741296356367E-2</v>
      </c>
      <c r="N25">
        <f t="shared" si="8"/>
        <v>3.7057149432087766E-2</v>
      </c>
      <c r="O25">
        <f t="shared" si="8"/>
        <v>1.4474126413696012E-2</v>
      </c>
      <c r="P25">
        <f t="shared" si="8"/>
        <v>2.9341607543945714E-2</v>
      </c>
      <c r="Q25">
        <f t="shared" si="8"/>
        <v>1.413609045412223E-2</v>
      </c>
      <c r="R25">
        <f t="shared" si="8"/>
        <v>0</v>
      </c>
      <c r="S25">
        <f t="shared" si="8"/>
        <v>2.1052630907193663E-2</v>
      </c>
      <c r="T25">
        <f t="shared" si="8"/>
        <v>3.1291141304347833E-3</v>
      </c>
      <c r="U25" s="145"/>
      <c r="V25" s="145"/>
      <c r="W25">
        <v>15</v>
      </c>
      <c r="X25">
        <v>2.29458149377021</v>
      </c>
      <c r="Y25">
        <v>0.14451324175573299</v>
      </c>
      <c r="Z25">
        <f t="shared" si="1"/>
        <v>10.17832597508084</v>
      </c>
      <c r="AB25" t="s">
        <v>912</v>
      </c>
      <c r="AC25">
        <v>0</v>
      </c>
      <c r="AD25">
        <f t="shared" ref="AD25:AM27" si="9">AD18-AD17</f>
        <v>9.6256395175493448E-2</v>
      </c>
      <c r="AE25">
        <f t="shared" si="9"/>
        <v>9.4490617903818519E-2</v>
      </c>
      <c r="AF25">
        <f t="shared" si="9"/>
        <v>9.1303605267135546E-2</v>
      </c>
      <c r="AG25">
        <f t="shared" si="9"/>
        <v>0.14384624603407276</v>
      </c>
      <c r="AH25">
        <f t="shared" si="9"/>
        <v>8.99736894584095E-2</v>
      </c>
      <c r="AI25">
        <f t="shared" si="9"/>
        <v>5.7448574571090011E-2</v>
      </c>
      <c r="AJ25">
        <f t="shared" si="9"/>
        <v>6.3800069036901441E-2</v>
      </c>
      <c r="AK25">
        <f t="shared" si="9"/>
        <v>3.2269854075227256E-2</v>
      </c>
      <c r="AL25">
        <f t="shared" si="9"/>
        <v>1.8803553646888141E-2</v>
      </c>
      <c r="AM25">
        <f t="shared" si="9"/>
        <v>2.4446261972714094E-2</v>
      </c>
      <c r="AO25">
        <v>1.4</v>
      </c>
      <c r="AP25">
        <f t="shared" si="5"/>
        <v>0.51020408163265318</v>
      </c>
      <c r="AQ25">
        <f t="shared" si="2"/>
        <v>6.6</v>
      </c>
    </row>
    <row r="26" spans="2:43">
      <c r="B26">
        <v>16</v>
      </c>
      <c r="C26">
        <f>IF('Lab test'!AQ19&gt;0,'Lab test'!AQ19,NA())</f>
        <v>0.34811673772961743</v>
      </c>
      <c r="D26">
        <f>IF('Lab test'!AU19&gt;0,'Lab test'!AU19,NA())</f>
        <v>1.1347012963676038</v>
      </c>
      <c r="E26">
        <f t="shared" si="0"/>
        <v>2.3924669509184699</v>
      </c>
      <c r="G26" t="s">
        <v>913</v>
      </c>
      <c r="H26">
        <v>0</v>
      </c>
      <c r="I26">
        <f t="shared" si="8"/>
        <v>0.14379519034459354</v>
      </c>
      <c r="J26">
        <f t="shared" si="8"/>
        <v>0.11885064956044844</v>
      </c>
      <c r="K26">
        <f t="shared" si="8"/>
        <v>9.967229775308406E-2</v>
      </c>
      <c r="L26">
        <f t="shared" si="8"/>
        <v>0.12135667847979215</v>
      </c>
      <c r="M26">
        <f t="shared" si="8"/>
        <v>6.5355742422508079E-2</v>
      </c>
      <c r="N26">
        <f t="shared" si="8"/>
        <v>6.1854995380886568E-2</v>
      </c>
      <c r="O26">
        <f t="shared" si="8"/>
        <v>3.7930068917688325E-2</v>
      </c>
      <c r="P26">
        <f t="shared" si="8"/>
        <v>1.7520270356357101E-2</v>
      </c>
      <c r="Q26">
        <f t="shared" si="8"/>
        <v>1.8064391769303051E-2</v>
      </c>
      <c r="R26">
        <f t="shared" si="8"/>
        <v>0</v>
      </c>
      <c r="S26">
        <f t="shared" si="8"/>
        <v>1.7715555481295872E-2</v>
      </c>
      <c r="T26">
        <f t="shared" si="8"/>
        <v>2.2408102398059924E-2</v>
      </c>
      <c r="U26" s="145"/>
      <c r="V26" s="145"/>
      <c r="W26">
        <v>16</v>
      </c>
      <c r="X26">
        <v>2.2067713906347799</v>
      </c>
      <c r="Y26">
        <v>8.0137756781234401E-2</v>
      </c>
      <c r="Z26">
        <f t="shared" si="1"/>
        <v>9.8270855625391196</v>
      </c>
      <c r="AB26" t="s">
        <v>913</v>
      </c>
      <c r="AC26">
        <v>0</v>
      </c>
      <c r="AD26">
        <f t="shared" si="9"/>
        <v>9.5179701717150067E-2</v>
      </c>
      <c r="AE26">
        <f t="shared" si="9"/>
        <v>9.5911853268825009E-2</v>
      </c>
      <c r="AF26">
        <f t="shared" si="9"/>
        <v>0.10422392676720293</v>
      </c>
      <c r="AG26">
        <f t="shared" si="9"/>
        <v>0.15106009220494282</v>
      </c>
      <c r="AH26">
        <f t="shared" si="9"/>
        <v>6.1436328120493267E-2</v>
      </c>
      <c r="AI26">
        <f t="shared" si="9"/>
        <v>2.5297311579026011E-2</v>
      </c>
      <c r="AJ26">
        <f t="shared" si="9"/>
        <v>5.189064306160901E-2</v>
      </c>
      <c r="AK26">
        <f t="shared" si="9"/>
        <v>1.6750763947445402E-2</v>
      </c>
      <c r="AL26">
        <f t="shared" si="9"/>
        <v>2.0281562230486092E-2</v>
      </c>
      <c r="AM26">
        <f t="shared" si="9"/>
        <v>1.1607294076524527E-2</v>
      </c>
      <c r="AO26">
        <v>1.5</v>
      </c>
      <c r="AP26">
        <f t="shared" si="5"/>
        <v>0.44444444444444442</v>
      </c>
      <c r="AQ26">
        <f t="shared" si="2"/>
        <v>7</v>
      </c>
    </row>
    <row r="27" spans="2:43">
      <c r="B27">
        <v>17</v>
      </c>
      <c r="C27">
        <f>IF('Lab test'!AQ20&gt;0,'Lab test'!AQ20,NA())</f>
        <v>0.41275676901614267</v>
      </c>
      <c r="D27">
        <f>IF('Lab test'!AU20&gt;0,'Lab test'!AU20,NA())</f>
        <v>1.0899220895905533</v>
      </c>
      <c r="E27">
        <f t="shared" si="0"/>
        <v>2.6510270760645707</v>
      </c>
      <c r="G27" t="s">
        <v>914</v>
      </c>
      <c r="H27">
        <v>0</v>
      </c>
      <c r="I27">
        <f t="shared" si="8"/>
        <v>0.48714599725488061</v>
      </c>
      <c r="J27">
        <f t="shared" si="8"/>
        <v>0.15940409298697711</v>
      </c>
      <c r="K27">
        <f t="shared" si="8"/>
        <v>0.25890249678787036</v>
      </c>
      <c r="L27">
        <f t="shared" si="8"/>
        <v>0.23988832263872695</v>
      </c>
      <c r="M27">
        <f t="shared" si="8"/>
        <v>0.20369670962632691</v>
      </c>
      <c r="N27">
        <f t="shared" si="8"/>
        <v>0.15197216050538606</v>
      </c>
      <c r="O27">
        <f t="shared" si="8"/>
        <v>8.2864148318327419E-2</v>
      </c>
      <c r="P27">
        <f t="shared" si="8"/>
        <v>3.3818502717391313E-2</v>
      </c>
      <c r="Q27">
        <f t="shared" si="8"/>
        <v>1.5908175374113945E-2</v>
      </c>
      <c r="R27">
        <f t="shared" si="8"/>
        <v>0</v>
      </c>
      <c r="S27">
        <f t="shared" si="8"/>
        <v>2.8428671221216825E-2</v>
      </c>
      <c r="T27">
        <f t="shared" si="8"/>
        <v>2.2408102398059931E-2</v>
      </c>
      <c r="U27" s="145"/>
      <c r="V27" s="145"/>
      <c r="W27">
        <v>17</v>
      </c>
      <c r="X27">
        <v>2.2221381586834799</v>
      </c>
      <c r="Y27">
        <v>7.5211061502573798E-2</v>
      </c>
      <c r="Z27">
        <f t="shared" si="1"/>
        <v>9.8885526347339194</v>
      </c>
      <c r="AB27" t="s">
        <v>914</v>
      </c>
      <c r="AC27">
        <v>0</v>
      </c>
      <c r="AD27">
        <f t="shared" si="9"/>
        <v>0.2616795781146799</v>
      </c>
      <c r="AE27">
        <f t="shared" si="9"/>
        <v>0.23080000972951598</v>
      </c>
      <c r="AF27">
        <f t="shared" si="9"/>
        <v>5.7107821030292993E-2</v>
      </c>
      <c r="AG27">
        <f t="shared" si="9"/>
        <v>0.20166468474686972</v>
      </c>
      <c r="AH27">
        <f t="shared" si="9"/>
        <v>0.18435085577374827</v>
      </c>
      <c r="AI27">
        <f t="shared" si="9"/>
        <v>0.12399421192675597</v>
      </c>
      <c r="AJ27">
        <f t="shared" si="9"/>
        <v>6.3305587596775986E-2</v>
      </c>
      <c r="AK27">
        <f t="shared" si="9"/>
        <v>7.0451742484847008E-2</v>
      </c>
      <c r="AL27">
        <f t="shared" si="9"/>
        <v>2.6522042916789501E-2</v>
      </c>
      <c r="AM27">
        <f t="shared" si="9"/>
        <v>3.5642998109350177E-2</v>
      </c>
      <c r="AO27">
        <v>1.6</v>
      </c>
      <c r="AP27">
        <f t="shared" si="5"/>
        <v>0.39062499999999994</v>
      </c>
      <c r="AQ27">
        <f t="shared" si="2"/>
        <v>7.4</v>
      </c>
    </row>
    <row r="28" spans="2:43">
      <c r="B28">
        <v>18</v>
      </c>
      <c r="C28">
        <f>IF('Lab test'!AQ21&gt;0,'Lab test'!AQ21,NA())</f>
        <v>0.6215214163767635</v>
      </c>
      <c r="D28">
        <f>IF('Lab test'!AU21&gt;0,'Lab test'!AU21,NA())</f>
        <v>0.98213343601591574</v>
      </c>
      <c r="E28">
        <f t="shared" si="0"/>
        <v>3.486085665507054</v>
      </c>
      <c r="U28" s="145"/>
      <c r="V28" s="145"/>
      <c r="W28">
        <v>18</v>
      </c>
      <c r="X28">
        <v>2.2155524009483298</v>
      </c>
      <c r="Y28">
        <v>9.9187645192055696E-2</v>
      </c>
      <c r="Z28">
        <f t="shared" si="1"/>
        <v>9.8622096037933193</v>
      </c>
      <c r="AO28">
        <v>1.7</v>
      </c>
      <c r="AP28">
        <f t="shared" si="5"/>
        <v>0.34602076124567477</v>
      </c>
      <c r="AQ28">
        <f t="shared" si="2"/>
        <v>7.8</v>
      </c>
    </row>
    <row r="29" spans="2:43">
      <c r="B29">
        <v>19</v>
      </c>
      <c r="C29">
        <f>IF('Lab test'!AQ22&gt;0,'Lab test'!AQ22,NA())</f>
        <v>0.69895940390994538</v>
      </c>
      <c r="D29">
        <f>IF('Lab test'!AU22&gt;0,'Lab test'!AU22,NA())</f>
        <v>0.90938937235271466</v>
      </c>
      <c r="E29">
        <f t="shared" si="0"/>
        <v>3.7958376156397815</v>
      </c>
      <c r="H29">
        <v>1</v>
      </c>
      <c r="I29">
        <v>2</v>
      </c>
      <c r="J29">
        <v>3</v>
      </c>
      <c r="K29">
        <v>4</v>
      </c>
      <c r="L29">
        <v>5</v>
      </c>
      <c r="M29">
        <v>6</v>
      </c>
      <c r="N29">
        <v>7</v>
      </c>
      <c r="O29">
        <v>8</v>
      </c>
      <c r="P29">
        <v>9</v>
      </c>
      <c r="Q29">
        <v>10</v>
      </c>
      <c r="R29">
        <v>11</v>
      </c>
      <c r="S29">
        <v>12</v>
      </c>
      <c r="T29">
        <v>13</v>
      </c>
      <c r="W29">
        <v>19</v>
      </c>
      <c r="X29">
        <v>2.20384438719694</v>
      </c>
      <c r="Y29">
        <v>0.118237533602876</v>
      </c>
      <c r="Z29">
        <f t="shared" si="1"/>
        <v>9.8153775487877599</v>
      </c>
      <c r="AC29">
        <v>1</v>
      </c>
      <c r="AD29">
        <v>2</v>
      </c>
      <c r="AE29">
        <v>3</v>
      </c>
      <c r="AF29">
        <v>4</v>
      </c>
      <c r="AG29">
        <v>5</v>
      </c>
      <c r="AH29">
        <v>6</v>
      </c>
      <c r="AI29">
        <v>7</v>
      </c>
      <c r="AJ29">
        <v>8</v>
      </c>
      <c r="AK29">
        <v>9</v>
      </c>
      <c r="AL29">
        <v>10</v>
      </c>
      <c r="AM29">
        <v>11</v>
      </c>
      <c r="AO29">
        <v>1.8</v>
      </c>
      <c r="AP29">
        <f t="shared" si="5"/>
        <v>0.30864197530864196</v>
      </c>
      <c r="AQ29">
        <f t="shared" si="2"/>
        <v>8.1999999999999993</v>
      </c>
    </row>
    <row r="30" spans="2:43">
      <c r="B30">
        <v>20</v>
      </c>
      <c r="C30">
        <f>IF('Lab test'!AQ23&gt;0,'Lab test'!AQ23,NA())</f>
        <v>0.87871812185243192</v>
      </c>
      <c r="D30">
        <f>IF('Lab test'!AU23&gt;0,'Lab test'!AU23,NA())</f>
        <v>0.777883660634065</v>
      </c>
      <c r="E30">
        <f t="shared" si="0"/>
        <v>4.5148724874097272</v>
      </c>
      <c r="G30" t="s">
        <v>888</v>
      </c>
      <c r="I30" cm="1">
        <f t="array" ref="I30">AVERAGE(IF(ISNUMBER($C$11:$C$712),IF($C$11:$C$712&gt;=I13,IF($C$11:$C$712&lt;=I14,$D$11:$D$712))))</f>
        <v>1.1365256065868232</v>
      </c>
      <c r="J30" cm="1">
        <f t="array" ref="J30">AVERAGE(IF(ISNUMBER($C$11:$C$712),IF($C$11:$C$712&gt;J13,IF($C$11:$C$712&lt;=J14,$D$11:$D$712))))</f>
        <v>0.94590718815678765</v>
      </c>
      <c r="K30" cm="1">
        <f t="array" ref="K30">AVERAGE(IF(ISNUMBER($C$11:$C$712),IF($C$11:$C$712&gt;K13,IF($C$11:$C$712&lt;=K14,$D$11:$D$712))))</f>
        <v>0.71274018007830131</v>
      </c>
      <c r="L30" cm="1">
        <f t="array" ref="L30">AVERAGE(IF(ISNUMBER($C$11:$C$712),IF($C$11:$C$712&gt;L13,IF($C$11:$C$712&lt;=L14,$D$11:$D$712))))</f>
        <v>0.42014559423180858</v>
      </c>
      <c r="M30" cm="1">
        <f t="array" ref="M30">AVERAGE(IF(ISNUMBER($C$11:$C$712),IF($C$11:$C$712&gt;M13,IF($C$11:$C$712&lt;=M14,$D$11:$D$712))))</f>
        <v>0.27074335489375978</v>
      </c>
      <c r="N30" cm="1">
        <f t="array" ref="N30">AVERAGE(IF(ISNUMBER($C$11:$C$712),IF($C$11:$C$712&gt;N13,IF($C$11:$C$712&lt;=N14,$D$11:$D$712))))</f>
        <v>0.17655578352491863</v>
      </c>
      <c r="O30" cm="1">
        <f t="array" ref="O30">AVERAGE(IF(ISNUMBER($C$11:$C$712),IF($C$11:$C$712&gt;O13,IF($C$11:$C$712&lt;=O14,$D$11:$D$712))))</f>
        <v>0.1066379572933521</v>
      </c>
      <c r="P30" cm="1">
        <f t="array" ref="P30">AVERAGE(IF(ISNUMBER($C$11:$C$712),IF($C$11:$C$712&gt;P13,IF($C$11:$C$712&lt;=P14,$D$11:$D$712))))</f>
        <v>0.10549732004750774</v>
      </c>
      <c r="Q30" cm="1">
        <f t="array" ref="Q30">AVERAGE(IF(ISNUMBER($C$11:$C$712),IF($C$11:$C$712&gt;Q13,IF($C$11:$C$712&lt;=Q14,$D$11:$D$712))))</f>
        <v>8.1745075206156079E-2</v>
      </c>
      <c r="R30" cm="1">
        <f t="array" ref="R30">AVERAGE(IF(ISNUMBER($C$11:$C$712),IF($C$11:$C$712&gt;R13,IF($C$11:$C$712&lt;=R14,$D$11:$D$712))))</f>
        <v>8.6441010463035081E-2</v>
      </c>
      <c r="S30" cm="1">
        <f t="array" ref="S30">AVERAGE(IF(ISNUMBER($C$11:$C$712),IF($C$11:$C$712&gt;S13,IF($C$11:$C$712&lt;=S14,$D$11:$D$712))))</f>
        <v>5.8287924242547876E-2</v>
      </c>
      <c r="T30" cm="1">
        <f t="array" ref="T30">AVERAGE(IF(ISNUMBER($C$11:$C$712),IF($C$11:$C$712&gt;T13,IF($C$11:$C$712&lt;=T14,$D$11:$D$712))))</f>
        <v>4.7983555584213876E-2</v>
      </c>
      <c r="W30">
        <v>20</v>
      </c>
      <c r="X30">
        <v>2.2027467609077398</v>
      </c>
      <c r="Y30">
        <v>0.13367451214268</v>
      </c>
      <c r="Z30">
        <f t="shared" si="1"/>
        <v>9.8109870436309592</v>
      </c>
      <c r="AB30" t="s">
        <v>888</v>
      </c>
      <c r="AD30" cm="1">
        <f t="array" ref="AD30">AVERAGE(IF(ISNUMBER($X$11:$X$712),IF($X$11:$X$712&gt;=AD13,IF($X$11:$X$712&lt;=AD14,$Y$11:$Y$712))))</f>
        <v>1.041200246739667</v>
      </c>
      <c r="AE30" cm="1">
        <f t="array" ref="AE30">AVERAGE(IF(ISNUMBER($X$11:$X$712),IF($X$11:$X$712&gt;AE13,IF($X$11:$X$712&lt;=AE14,$Y$11:$Y$712))))</f>
        <v>0.89472084225747062</v>
      </c>
      <c r="AF30" cm="1">
        <f t="array" ref="AF30">AVERAGE(IF(ISNUMBER($X$11:$X$712),IF($X$11:$X$712&gt;AF13,IF($X$11:$X$712&lt;=AF14,$Y$11:$Y$712))))</f>
        <v>0.74462050281153869</v>
      </c>
      <c r="AG30" cm="1">
        <f t="array" ref="AG30">AVERAGE(IF(ISNUMBER($X$11:$X$712),IF($X$11:$X$712&gt;AG13,IF($X$11:$X$712&lt;=AG14,$Y$11:$Y$712))))</f>
        <v>0.44402878047184985</v>
      </c>
      <c r="AH30" cm="1">
        <f t="array" ref="AH30">AVERAGE(IF(ISNUMBER($X$11:$X$712),IF($X$11:$X$712&gt;AH13,IF($X$11:$X$712&lt;=AH14,$Y$11:$Y$712))))</f>
        <v>0.28672071654786274</v>
      </c>
      <c r="AI30" cm="1">
        <f t="array" ref="AI30">AVERAGE(IF(ISNUMBER($X$11:$X$712),IF($X$11:$X$712&gt;AI13,IF($X$11:$X$712&lt;=AI14,$Y$11:$Y$712))))</f>
        <v>0.21079629823499513</v>
      </c>
      <c r="AJ30" cm="1">
        <f t="array" ref="AJ30">AVERAGE(IF(ISNUMBER($X$11:$X$712),IF($X$11:$X$712&gt;AJ13,IF($X$11:$X$712&lt;=AJ14,$Y$11:$Y$712))))</f>
        <v>0.1398389969956064</v>
      </c>
      <c r="AK30" cm="1">
        <f t="array" ref="AK30">AVERAGE(IF(ISNUMBER($X$11:$X$712),IF($X$11:$X$712&gt;AK13,IF($X$11:$X$712&lt;=AK14,$Y$11:$Y$712))))</f>
        <v>8.8574000301894856E-2</v>
      </c>
      <c r="AL30" cm="1">
        <f t="array" ref="AL30">AVERAGE(IF(ISNUMBER($X$11:$X$712),IF($X$11:$X$712&gt;AL13,IF($X$11:$X$712&lt;=AL14,$Y$11:$Y$712))))</f>
        <v>9.9167117295060975E-2</v>
      </c>
      <c r="AM30" cm="1">
        <f t="array" ref="AM30">AVERAGE(IF(ISNUMBER($X$11:$X$712),IF($X$11:$X$712&gt;AM13,IF($X$11:$X$712&lt;=AM14,$Y$11:$Y$712))))</f>
        <v>8.1204112603771167E-2</v>
      </c>
      <c r="AO30">
        <v>1.9</v>
      </c>
      <c r="AP30">
        <f t="shared" si="5"/>
        <v>0.2770083102493075</v>
      </c>
      <c r="AQ30">
        <f t="shared" si="2"/>
        <v>8.6</v>
      </c>
    </row>
    <row r="31" spans="2:43">
      <c r="B31">
        <v>21</v>
      </c>
      <c r="C31">
        <f>IF('Lab test'!AQ24&gt;0,'Lab test'!AQ24,NA())</f>
        <v>0.2904529502640128</v>
      </c>
      <c r="D31">
        <f>IF('Lab test'!AU24&gt;0,'Lab test'!AU24,NA())</f>
        <v>1.2389500962649211</v>
      </c>
      <c r="E31">
        <f t="shared" si="0"/>
        <v>2.161811801056051</v>
      </c>
      <c r="W31">
        <v>21</v>
      </c>
      <c r="X31">
        <v>2.1324986783994002</v>
      </c>
      <c r="Y31">
        <v>6.9955919872002503E-2</v>
      </c>
      <c r="Z31">
        <f t="shared" si="1"/>
        <v>9.5299947135976009</v>
      </c>
      <c r="AO31">
        <v>2</v>
      </c>
      <c r="AP31">
        <f t="shared" si="5"/>
        <v>0.25</v>
      </c>
      <c r="AQ31">
        <f t="shared" si="2"/>
        <v>9</v>
      </c>
    </row>
    <row r="32" spans="2:43">
      <c r="B32">
        <v>22</v>
      </c>
      <c r="C32">
        <f>IF('Lab test'!AQ25&gt;0,'Lab test'!AQ25,NA())</f>
        <v>0.29045295192943954</v>
      </c>
      <c r="D32">
        <f>IF('Lab test'!AU25&gt;0,'Lab test'!AU25,NA())</f>
        <v>1.2269145937620329</v>
      </c>
      <c r="E32">
        <f t="shared" si="0"/>
        <v>2.1618118077177582</v>
      </c>
      <c r="G32" t="s">
        <v>1066</v>
      </c>
      <c r="H32">
        <f>H24</f>
        <v>0</v>
      </c>
      <c r="I32">
        <f t="shared" ref="I32:T32" si="10">I24</f>
        <v>0.28857594575677104</v>
      </c>
      <c r="J32" cm="1">
        <f t="array" ref="J32">J17-SMALL(IF(ISNUMBER($C$11:$C$712),IF($C$11:$C$712&gt;J13,IF($C$11:$C$712&lt;=J14,$D$11:$D$712))),2)</f>
        <v>0.32930445059462898</v>
      </c>
      <c r="K32">
        <f t="shared" si="10"/>
        <v>0.28736864038361465</v>
      </c>
      <c r="L32">
        <f t="shared" si="10"/>
        <v>0.1184631199294727</v>
      </c>
      <c r="M32">
        <f t="shared" si="10"/>
        <v>6.7467480889302017E-2</v>
      </c>
      <c r="N32">
        <f t="shared" si="10"/>
        <v>3.9889657647978805E-2</v>
      </c>
      <c r="O32">
        <f t="shared" si="10"/>
        <v>1.4390973081282933E-2</v>
      </c>
      <c r="P32">
        <f t="shared" si="10"/>
        <v>4.8917361557024808E-2</v>
      </c>
      <c r="Q32">
        <f t="shared" si="10"/>
        <v>4.1232714285714331E-3</v>
      </c>
      <c r="R32">
        <f t="shared" si="10"/>
        <v>0</v>
      </c>
      <c r="S32">
        <f t="shared" si="10"/>
        <v>7.9678595903062907E-3</v>
      </c>
      <c r="T32">
        <f t="shared" si="10"/>
        <v>3.1291141304347833E-3</v>
      </c>
      <c r="W32">
        <v>22</v>
      </c>
      <c r="X32">
        <v>2.15481707961299</v>
      </c>
      <c r="Y32">
        <v>9.6231628024859101E-2</v>
      </c>
      <c r="Z32">
        <f t="shared" si="1"/>
        <v>9.6192683184519598</v>
      </c>
      <c r="AO32">
        <v>2.1</v>
      </c>
      <c r="AP32">
        <f t="shared" si="5"/>
        <v>0.22675736961451246</v>
      </c>
      <c r="AQ32">
        <f t="shared" si="2"/>
        <v>9.4</v>
      </c>
    </row>
    <row r="33" spans="2:43">
      <c r="B33">
        <v>23</v>
      </c>
      <c r="C33">
        <f>IF('Lab test'!AQ26&gt;0,'Lab test'!AQ26,NA())</f>
        <v>0.2904529502640128</v>
      </c>
      <c r="D33">
        <f>IF('Lab test'!AU26&gt;0,'Lab test'!AU26,NA())</f>
        <v>1.236118213323065</v>
      </c>
      <c r="E33">
        <f t="shared" si="0"/>
        <v>2.161811801056051</v>
      </c>
      <c r="G33" t="s">
        <v>1067</v>
      </c>
      <c r="H33">
        <f>H27</f>
        <v>0</v>
      </c>
      <c r="I33">
        <f t="shared" ref="I33:T33" si="11">I27</f>
        <v>0.48714599725488061</v>
      </c>
      <c r="J33">
        <f t="shared" si="11"/>
        <v>0.15940409298697711</v>
      </c>
      <c r="K33">
        <f t="shared" si="11"/>
        <v>0.25890249678787036</v>
      </c>
      <c r="L33">
        <f t="shared" si="11"/>
        <v>0.23988832263872695</v>
      </c>
      <c r="M33" cm="1">
        <f t="array" ref="M33">LARGE(IF(ISNUMBER($C$11:$C$712),IF($C$11:$C$712&gt;M13,IF($C$11:$C$712&lt;=M14,$D$11:$D$712))),2)-M19</f>
        <v>0.10965814917309918</v>
      </c>
      <c r="N33" cm="1">
        <f t="array" ref="N33">LARGE(IF(ISNUMBER($C$11:$C$712),IF($C$11:$C$712&gt;N13,IF($C$11:$C$712&lt;=N14,$D$11:$D$712))),2)-N19</f>
        <v>3.2538120127869802E-2</v>
      </c>
      <c r="O33">
        <f t="shared" si="11"/>
        <v>8.2864148318327419E-2</v>
      </c>
      <c r="P33">
        <f t="shared" si="11"/>
        <v>3.3818502717391313E-2</v>
      </c>
      <c r="Q33">
        <f t="shared" si="11"/>
        <v>1.5908175374113945E-2</v>
      </c>
      <c r="R33">
        <f t="shared" si="11"/>
        <v>0</v>
      </c>
      <c r="S33">
        <f t="shared" si="11"/>
        <v>2.8428671221216825E-2</v>
      </c>
      <c r="T33">
        <f t="shared" si="11"/>
        <v>2.2408102398059931E-2</v>
      </c>
      <c r="W33">
        <v>23</v>
      </c>
      <c r="X33">
        <v>2.1229859172264001</v>
      </c>
      <c r="Y33">
        <v>8.0794649485055894E-2</v>
      </c>
      <c r="Z33">
        <f t="shared" si="1"/>
        <v>9.4919436689056003</v>
      </c>
      <c r="AO33">
        <v>2.2000000000000002</v>
      </c>
      <c r="AP33">
        <f t="shared" si="5"/>
        <v>0.20661157024793386</v>
      </c>
      <c r="AQ33">
        <f t="shared" si="2"/>
        <v>9.8000000000000007</v>
      </c>
    </row>
    <row r="34" spans="2:43">
      <c r="B34">
        <v>24</v>
      </c>
      <c r="C34" t="e">
        <f>IF('Lab test'!AQ27&gt;0,'Lab test'!AQ27,NA())</f>
        <v>#N/A</v>
      </c>
      <c r="D34" t="e">
        <f>IF('Lab test'!AU27&gt;0,'Lab test'!AU27,NA())</f>
        <v>#N/A</v>
      </c>
      <c r="E34" t="e">
        <f t="shared" si="0"/>
        <v>#N/A</v>
      </c>
      <c r="W34">
        <v>24</v>
      </c>
      <c r="X34">
        <v>2.1182295366399</v>
      </c>
      <c r="Y34">
        <v>9.3604057209573502E-2</v>
      </c>
      <c r="Z34">
        <f t="shared" si="1"/>
        <v>9.4729181465596</v>
      </c>
      <c r="AO34">
        <v>2.2999999999999998</v>
      </c>
      <c r="AP34">
        <f t="shared" si="5"/>
        <v>0.18903591682419663</v>
      </c>
      <c r="AQ34">
        <f t="shared" si="2"/>
        <v>10.199999999999999</v>
      </c>
    </row>
    <row r="35" spans="2:43">
      <c r="B35">
        <v>25</v>
      </c>
      <c r="C35">
        <f>IF('Lab test'!AQ28&gt;0,'Lab test'!AQ28,NA())</f>
        <v>0.34699757954794924</v>
      </c>
      <c r="D35">
        <f>IF('Lab test'!AU28&gt;0,'Lab test'!AU28,NA())</f>
        <v>1.1290375304838918</v>
      </c>
      <c r="E35">
        <f t="shared" si="0"/>
        <v>2.3879903181917967</v>
      </c>
      <c r="G35" t="s">
        <v>1059</v>
      </c>
      <c r="J35">
        <f>J23</f>
        <v>0.40704500978473579</v>
      </c>
      <c r="M35">
        <f>M20</f>
        <v>0.53052626848772988</v>
      </c>
      <c r="N35">
        <f>N20</f>
        <v>0.37536412690076543</v>
      </c>
      <c r="W35">
        <v>25</v>
      </c>
      <c r="X35">
        <v>2.1123755297642002</v>
      </c>
      <c r="Y35">
        <v>0.100501430599698</v>
      </c>
      <c r="Z35">
        <f t="shared" si="1"/>
        <v>9.4495021190568007</v>
      </c>
      <c r="AO35">
        <v>2.4</v>
      </c>
      <c r="AP35">
        <f t="shared" si="5"/>
        <v>0.1736111111111111</v>
      </c>
      <c r="AQ35">
        <f t="shared" si="2"/>
        <v>10.6</v>
      </c>
    </row>
    <row r="36" spans="2:43">
      <c r="B36">
        <v>26</v>
      </c>
      <c r="C36">
        <f>IF('Lab test'!AQ29&gt;0,'Lab test'!AQ29,NA())</f>
        <v>0.41223288877962527</v>
      </c>
      <c r="D36">
        <f>IF('Lab test'!AU29&gt;0,'Lab test'!AU29,NA())</f>
        <v>1.0881521755872159</v>
      </c>
      <c r="E36">
        <f t="shared" si="0"/>
        <v>2.6489315551185011</v>
      </c>
      <c r="W36">
        <v>26</v>
      </c>
      <c r="X36">
        <v>2.0915206302695402</v>
      </c>
      <c r="Y36">
        <v>8.1451542188877193E-2</v>
      </c>
      <c r="Z36">
        <f t="shared" si="1"/>
        <v>9.3660825210781606</v>
      </c>
      <c r="AO36">
        <v>2.5</v>
      </c>
      <c r="AP36">
        <f t="shared" si="5"/>
        <v>0.16</v>
      </c>
      <c r="AQ36">
        <f t="shared" si="2"/>
        <v>11</v>
      </c>
    </row>
    <row r="37" spans="2:43">
      <c r="B37">
        <v>27</v>
      </c>
      <c r="C37">
        <f>IF('Lab test'!AQ30&gt;0,'Lab test'!AQ30,NA())</f>
        <v>0.61803471886786676</v>
      </c>
      <c r="D37">
        <f>IF('Lab test'!AU30&gt;0,'Lab test'!AU30,NA())</f>
        <v>0.9447879347965602</v>
      </c>
      <c r="E37">
        <f t="shared" si="0"/>
        <v>3.472138875471467</v>
      </c>
      <c r="W37">
        <v>27</v>
      </c>
      <c r="X37">
        <v>2.0874960005425001</v>
      </c>
      <c r="Y37">
        <v>9.5903181672948506E-2</v>
      </c>
      <c r="Z37">
        <f t="shared" si="1"/>
        <v>9.3499840021700003</v>
      </c>
      <c r="AO37">
        <v>2.6</v>
      </c>
      <c r="AP37">
        <f t="shared" si="5"/>
        <v>0.14792899408284022</v>
      </c>
      <c r="AQ37">
        <f t="shared" si="2"/>
        <v>11.4</v>
      </c>
    </row>
    <row r="38" spans="2:43">
      <c r="B38">
        <v>28</v>
      </c>
      <c r="C38">
        <f>IF('Lab test'!AQ31&gt;0,'Lab test'!AQ31,NA())</f>
        <v>0.68905790665899724</v>
      </c>
      <c r="D38">
        <f>IF('Lab test'!AU31&gt;0,'Lab test'!AU31,NA())</f>
        <v>0.89629190091130784</v>
      </c>
      <c r="E38">
        <f t="shared" si="0"/>
        <v>3.756231626635989</v>
      </c>
      <c r="W38">
        <v>28</v>
      </c>
      <c r="X38">
        <v>2.082739619956</v>
      </c>
      <c r="Y38">
        <v>4.5979336182520703E-2</v>
      </c>
      <c r="Z38">
        <f t="shared" si="1"/>
        <v>9.330958479824</v>
      </c>
      <c r="AO38">
        <v>2.7</v>
      </c>
      <c r="AP38">
        <f t="shared" si="5"/>
        <v>0.1371742112482853</v>
      </c>
      <c r="AQ38">
        <f t="shared" si="2"/>
        <v>11.8</v>
      </c>
    </row>
    <row r="39" spans="2:43">
      <c r="B39">
        <v>29</v>
      </c>
      <c r="C39">
        <f>IF('Lab test'!AQ32&gt;0,'Lab test'!AQ32,NA())</f>
        <v>0.86193359579353368</v>
      </c>
      <c r="D39">
        <f>IF('Lab test'!AU32&gt;0,'Lab test'!AU32,NA())</f>
        <v>0.77328186368887175</v>
      </c>
      <c r="E39">
        <f t="shared" si="0"/>
        <v>4.4477343831741347</v>
      </c>
      <c r="W39">
        <v>29</v>
      </c>
      <c r="X39">
        <v>2.0717633570640701</v>
      </c>
      <c r="Y39">
        <v>3.645439197711E-2</v>
      </c>
      <c r="Z39">
        <f t="shared" si="1"/>
        <v>9.2870534282562804</v>
      </c>
      <c r="AO39">
        <v>2.8</v>
      </c>
      <c r="AP39">
        <f t="shared" si="5"/>
        <v>0.1275510204081633</v>
      </c>
      <c r="AQ39">
        <f t="shared" si="2"/>
        <v>12.2</v>
      </c>
    </row>
    <row r="40" spans="2:43">
      <c r="B40">
        <v>30</v>
      </c>
      <c r="C40">
        <f>IF('Lab test'!AQ33&gt;0,'Lab test'!AQ33,NA())</f>
        <v>0.28955877823379816</v>
      </c>
      <c r="D40">
        <f>IF('Lab test'!AU33&gt;0,'Lab test'!AU33,NA())</f>
        <v>1.2253216531895776</v>
      </c>
      <c r="E40">
        <f t="shared" si="0"/>
        <v>2.1582351129351927</v>
      </c>
      <c r="W40">
        <v>30</v>
      </c>
      <c r="X40">
        <v>2.03883456838828</v>
      </c>
      <c r="Y40">
        <v>3.7111284680931299E-2</v>
      </c>
      <c r="Z40">
        <f t="shared" si="1"/>
        <v>9.1553382735531201</v>
      </c>
      <c r="AO40">
        <v>2.9</v>
      </c>
      <c r="AP40">
        <f t="shared" si="5"/>
        <v>0.11890606420927467</v>
      </c>
      <c r="AQ40">
        <f t="shared" si="2"/>
        <v>12.6</v>
      </c>
    </row>
    <row r="41" spans="2:43">
      <c r="B41">
        <v>31</v>
      </c>
      <c r="C41">
        <f>IF('Lab test'!AQ34&gt;0,'Lab test'!AQ34,NA())</f>
        <v>0.19022461668224497</v>
      </c>
      <c r="D41">
        <f>IF('Lab test'!AU34&gt;0,'Lab test'!AU34,NA())</f>
        <v>1.2807080054902387</v>
      </c>
      <c r="E41">
        <f t="shared" si="0"/>
        <v>1.76089846672898</v>
      </c>
      <c r="W41">
        <v>31</v>
      </c>
      <c r="X41">
        <v>2.01249153744766</v>
      </c>
      <c r="Y41">
        <v>3.34983748099138E-2</v>
      </c>
      <c r="Z41">
        <f t="shared" si="1"/>
        <v>9.0499661497906398</v>
      </c>
      <c r="AO41">
        <v>3</v>
      </c>
      <c r="AP41">
        <f t="shared" si="5"/>
        <v>0.1111111111111111</v>
      </c>
      <c r="AQ41">
        <f t="shared" si="2"/>
        <v>13</v>
      </c>
    </row>
    <row r="42" spans="2:43">
      <c r="B42">
        <v>32</v>
      </c>
      <c r="C42">
        <f>IF('Lab test'!AQ35&gt;0,'Lab test'!AQ35,NA())</f>
        <v>0.18816807392247489</v>
      </c>
      <c r="D42">
        <f>IF('Lab test'!AU35&gt;0,'Lab test'!AU35,NA())</f>
        <v>1.310877485246057</v>
      </c>
      <c r="E42">
        <f t="shared" si="0"/>
        <v>1.7526722956898997</v>
      </c>
      <c r="W42">
        <v>32</v>
      </c>
      <c r="X42">
        <v>1.99090488709353</v>
      </c>
      <c r="Y42">
        <v>3.7439731032842198E-2</v>
      </c>
      <c r="Z42">
        <f t="shared" si="1"/>
        <v>8.963619548374119</v>
      </c>
    </row>
    <row r="43" spans="2:43">
      <c r="B43">
        <v>33</v>
      </c>
      <c r="C43">
        <f>IF('Lab test'!AQ36&gt;0,'Lab test'!AQ36,NA())</f>
        <v>0.18816807392247489</v>
      </c>
      <c r="D43">
        <f>IF('Lab test'!AU36&gt;0,'Lab test'!AU36,NA())</f>
        <v>1.3383591935321377</v>
      </c>
      <c r="E43">
        <f t="shared" si="0"/>
        <v>1.7526722956898997</v>
      </c>
      <c r="W43">
        <v>33</v>
      </c>
      <c r="X43">
        <v>1.9846850047881099</v>
      </c>
      <c r="Y43">
        <v>3.0213911290806601E-2</v>
      </c>
      <c r="Z43">
        <f t="shared" si="1"/>
        <v>8.9387400191524407</v>
      </c>
    </row>
    <row r="44" spans="2:43">
      <c r="B44">
        <v>34</v>
      </c>
      <c r="C44">
        <f>IF('Lab test'!AQ37&gt;0,'Lab test'!AQ37,NA())</f>
        <v>0.18891052001747102</v>
      </c>
      <c r="D44">
        <f>IF('Lab test'!AU37&gt;0,'Lab test'!AU37,NA())</f>
        <v>1.1507039699495796</v>
      </c>
      <c r="E44">
        <f t="shared" si="0"/>
        <v>1.755642080069884</v>
      </c>
      <c r="W44">
        <v>34</v>
      </c>
      <c r="X44">
        <v>1.9568784721285499</v>
      </c>
      <c r="Y44">
        <v>5.12344778130919E-2</v>
      </c>
      <c r="Z44">
        <f t="shared" si="1"/>
        <v>8.8275138885142006</v>
      </c>
    </row>
    <row r="45" spans="2:43">
      <c r="B45">
        <v>35</v>
      </c>
      <c r="C45">
        <f>IF('Lab test'!AQ38&gt;0,'Lab test'!AQ38,NA())</f>
        <v>1.1116784305997409</v>
      </c>
      <c r="D45">
        <f>IF('Lab test'!AU38&gt;0,'Lab test'!AU38,NA())</f>
        <v>0.42822134440814413</v>
      </c>
      <c r="E45">
        <f t="shared" si="0"/>
        <v>5.4467137223989637</v>
      </c>
      <c r="W45">
        <v>35</v>
      </c>
      <c r="X45">
        <v>1.9550490949799</v>
      </c>
      <c r="Y45">
        <v>0.114624623731858</v>
      </c>
      <c r="Z45">
        <f t="shared" si="1"/>
        <v>8.8201963799196008</v>
      </c>
    </row>
    <row r="46" spans="2:43">
      <c r="B46">
        <v>36</v>
      </c>
      <c r="C46">
        <f>IF('Lab test'!AQ39&gt;0,'Lab test'!AQ39,NA())</f>
        <v>1.1116784305997409</v>
      </c>
      <c r="D46">
        <f>IF('Lab test'!AU39&gt;0,'Lab test'!AU39,NA())</f>
        <v>0.28915774314220588</v>
      </c>
      <c r="E46">
        <f t="shared" si="0"/>
        <v>5.4467137223989637</v>
      </c>
      <c r="W46">
        <v>36</v>
      </c>
      <c r="X46">
        <v>1.95541497040963</v>
      </c>
      <c r="Y46">
        <v>6.9627473520091604E-2</v>
      </c>
      <c r="Z46">
        <f t="shared" si="1"/>
        <v>8.8216598816385208</v>
      </c>
    </row>
    <row r="47" spans="2:43">
      <c r="B47">
        <v>37</v>
      </c>
      <c r="C47">
        <f>IF('Lab test'!AQ40&gt;0,'Lab test'!AQ40,NA())</f>
        <v>0.6807612282568416</v>
      </c>
      <c r="D47">
        <f>IF('Lab test'!AU40&gt;0,'Lab test'!AU40,NA())</f>
        <v>0.65657979823389157</v>
      </c>
      <c r="E47">
        <f t="shared" si="0"/>
        <v>3.7230449130273664</v>
      </c>
      <c r="W47">
        <v>37</v>
      </c>
      <c r="X47">
        <v>1.89650902622295</v>
      </c>
      <c r="Y47">
        <v>8.2436881244609406E-2</v>
      </c>
      <c r="Z47">
        <f t="shared" si="1"/>
        <v>8.5860361048918001</v>
      </c>
    </row>
    <row r="48" spans="2:43">
      <c r="B48">
        <v>38</v>
      </c>
      <c r="C48">
        <f>IF('Lab test'!AQ41&gt;0,'Lab test'!AQ41,NA())</f>
        <v>0.6807612282568416</v>
      </c>
      <c r="D48">
        <f>IF('Lab test'!AU41&gt;0,'Lab test'!AU41,NA())</f>
        <v>0.74324833160076531</v>
      </c>
      <c r="E48">
        <f t="shared" si="0"/>
        <v>3.7230449130273664</v>
      </c>
      <c r="W48">
        <v>38</v>
      </c>
      <c r="X48">
        <v>1.9239496834527701</v>
      </c>
      <c r="Y48">
        <v>5.9774082962770397E-2</v>
      </c>
      <c r="Z48">
        <f t="shared" si="1"/>
        <v>8.6957987338110811</v>
      </c>
    </row>
    <row r="49" spans="2:26">
      <c r="B49">
        <v>39</v>
      </c>
      <c r="C49">
        <f>IF('Lab test'!AQ42&gt;0,'Lab test'!AQ42,NA())</f>
        <v>0.39303767838794779</v>
      </c>
      <c r="D49">
        <f>IF('Lab test'!AU42&gt;0,'Lab test'!AU42,NA())</f>
        <v>0.89163536600162485</v>
      </c>
      <c r="E49">
        <f t="shared" si="0"/>
        <v>2.5721507135517911</v>
      </c>
      <c r="W49">
        <v>39</v>
      </c>
      <c r="X49">
        <v>1.92504730974196</v>
      </c>
      <c r="Y49">
        <v>0.100501430599698</v>
      </c>
      <c r="Z49">
        <f t="shared" si="1"/>
        <v>8.700189238967841</v>
      </c>
    </row>
    <row r="50" spans="2:26">
      <c r="B50">
        <v>40</v>
      </c>
      <c r="C50">
        <f>IF('Lab test'!AQ43&gt;0,'Lab test'!AQ43,NA())</f>
        <v>0.39303767838794779</v>
      </c>
      <c r="D50">
        <f>IF('Lab test'!AU43&gt;0,'Lab test'!AU43,NA())</f>
        <v>0.9018780108540736</v>
      </c>
      <c r="E50">
        <f t="shared" si="0"/>
        <v>2.5721507135517911</v>
      </c>
      <c r="W50">
        <v>40</v>
      </c>
      <c r="X50">
        <v>1.92504730974196</v>
      </c>
      <c r="Y50">
        <v>9.2618718153841303E-2</v>
      </c>
      <c r="Z50">
        <f t="shared" si="1"/>
        <v>8.700189238967841</v>
      </c>
    </row>
    <row r="51" spans="2:26">
      <c r="B51">
        <v>41</v>
      </c>
      <c r="C51">
        <f>IF('Lab test'!AQ44&gt;0,'Lab test'!AQ44,NA())</f>
        <v>1.3986844385452473</v>
      </c>
      <c r="D51">
        <f>IF('Lab test'!AU44&gt;0,'Lab test'!AU44,NA())</f>
        <v>0.1533524191250033</v>
      </c>
      <c r="E51">
        <f t="shared" si="0"/>
        <v>6.5947377541809891</v>
      </c>
      <c r="W51">
        <v>41</v>
      </c>
      <c r="X51">
        <v>1.9243155588825001</v>
      </c>
      <c r="Y51">
        <v>6.7985241760538204E-2</v>
      </c>
      <c r="Z51">
        <f t="shared" si="1"/>
        <v>8.6972622355300011</v>
      </c>
    </row>
    <row r="52" spans="2:26">
      <c r="B52">
        <v>42</v>
      </c>
      <c r="C52">
        <f>IF('Lab test'!AQ45&gt;0,'Lab test'!AQ45,NA())</f>
        <v>1.3986844385452473</v>
      </c>
      <c r="D52">
        <f>IF('Lab test'!AU45&gt;0,'Lab test'!AU45,NA())</f>
        <v>0.19082705307784759</v>
      </c>
      <c r="E52">
        <f t="shared" si="0"/>
        <v>6.5947377541809891</v>
      </c>
      <c r="W52">
        <v>42</v>
      </c>
      <c r="X52">
        <v>1.89065501934725</v>
      </c>
      <c r="Y52">
        <v>0.18129923316973201</v>
      </c>
      <c r="Z52">
        <f t="shared" si="1"/>
        <v>8.5626200773889991</v>
      </c>
    </row>
    <row r="53" spans="2:26">
      <c r="B53">
        <v>43</v>
      </c>
      <c r="C53">
        <f>IF('Lab test'!AQ46&gt;0,'Lab test'!AQ46,NA())</f>
        <v>0.9382660450974899</v>
      </c>
      <c r="D53">
        <f>IF('Lab test'!AU46&gt;0,'Lab test'!AU46,NA())</f>
        <v>0.51366152640248863</v>
      </c>
      <c r="E53">
        <f t="shared" si="0"/>
        <v>4.7530641803899591</v>
      </c>
      <c r="W53">
        <v>43</v>
      </c>
      <c r="X53">
        <v>2.2997037497864401</v>
      </c>
      <c r="Y53">
        <v>8.2436881244609406E-2</v>
      </c>
      <c r="Z53">
        <f t="shared" si="1"/>
        <v>10.19881499914576</v>
      </c>
    </row>
    <row r="54" spans="2:26">
      <c r="B54">
        <v>44</v>
      </c>
      <c r="C54">
        <f>IF('Lab test'!AQ47&gt;0,'Lab test'!AQ47,NA())</f>
        <v>0.9382660450974899</v>
      </c>
      <c r="D54">
        <f>IF('Lab test'!AU47&gt;0,'Lab test'!AU47,NA())</f>
        <v>0.53549006894460627</v>
      </c>
      <c r="E54">
        <f t="shared" si="0"/>
        <v>4.7530641803899591</v>
      </c>
      <c r="W54">
        <v>44</v>
      </c>
      <c r="X54">
        <v>2.01907729518281</v>
      </c>
      <c r="Y54">
        <v>0.10608501858218</v>
      </c>
      <c r="Z54">
        <f t="shared" si="1"/>
        <v>9.0763091807312399</v>
      </c>
    </row>
    <row r="55" spans="2:26">
      <c r="B55">
        <v>45</v>
      </c>
      <c r="C55">
        <f>IF('Lab test'!AQ48&gt;0,'Lab test'!AQ48,NA())</f>
        <v>0.54170815370852132</v>
      </c>
      <c r="D55">
        <f>IF('Lab test'!AU48&gt;0,'Lab test'!AU48,NA())</f>
        <v>0.83137273947858403</v>
      </c>
      <c r="E55">
        <f t="shared" si="0"/>
        <v>3.1668326148340853</v>
      </c>
      <c r="W55">
        <v>45</v>
      </c>
      <c r="X55">
        <v>2.0209066723314701</v>
      </c>
      <c r="Y55">
        <v>9.4917842617216294E-2</v>
      </c>
      <c r="Z55">
        <f t="shared" si="1"/>
        <v>9.0836266893258806</v>
      </c>
    </row>
    <row r="56" spans="2:26">
      <c r="B56">
        <v>46</v>
      </c>
      <c r="C56">
        <f>IF('Lab test'!AQ49&gt;0,'Lab test'!AQ49,NA())</f>
        <v>0.54170815370852132</v>
      </c>
      <c r="D56">
        <f>IF('Lab test'!AU49&gt;0,'Lab test'!AU49,NA())</f>
        <v>0.84251726963721796</v>
      </c>
      <c r="E56">
        <f t="shared" si="0"/>
        <v>3.1668326148340853</v>
      </c>
      <c r="W56">
        <v>46</v>
      </c>
      <c r="X56">
        <v>2.0512743329991299</v>
      </c>
      <c r="Y56">
        <v>9.45893962653057E-2</v>
      </c>
      <c r="Z56">
        <f t="shared" si="1"/>
        <v>9.2050973319965195</v>
      </c>
    </row>
    <row r="57" spans="2:26">
      <c r="B57">
        <v>47</v>
      </c>
      <c r="C57">
        <f>IF('Lab test'!AQ50&gt;0,'Lab test'!AQ50,NA())</f>
        <v>0.95932605377995417</v>
      </c>
      <c r="D57">
        <f>IF('Lab test'!AU50&gt;0,'Lab test'!AU50,NA())</f>
        <v>0.41572751646701595</v>
      </c>
      <c r="E57">
        <f t="shared" si="0"/>
        <v>4.8373042151198167</v>
      </c>
      <c r="W57">
        <v>47</v>
      </c>
      <c r="X57">
        <v>2.0706657307748699</v>
      </c>
      <c r="Y57">
        <v>0.109369482101287</v>
      </c>
      <c r="Z57">
        <f t="shared" si="1"/>
        <v>9.2826629230994797</v>
      </c>
    </row>
    <row r="58" spans="2:26">
      <c r="B58">
        <v>48</v>
      </c>
      <c r="C58">
        <f>IF('Lab test'!AQ51&gt;0,'Lab test'!AQ51,NA())</f>
        <v>1.0455230378367246</v>
      </c>
      <c r="D58">
        <f>IF('Lab test'!AU51&gt;0,'Lab test'!AU51,NA())</f>
        <v>0.29887391387072509</v>
      </c>
      <c r="E58">
        <f t="shared" si="0"/>
        <v>5.1820921513468985</v>
      </c>
      <c r="W58">
        <v>48</v>
      </c>
      <c r="X58">
        <v>2.0783491147992201</v>
      </c>
      <c r="Y58">
        <v>0.11528151643568001</v>
      </c>
      <c r="Z58">
        <f t="shared" si="1"/>
        <v>9.3133964591968805</v>
      </c>
    </row>
    <row r="59" spans="2:26">
      <c r="B59">
        <v>49</v>
      </c>
      <c r="C59">
        <f>IF('Lab test'!AQ52&gt;0,'Lab test'!AQ52,NA())</f>
        <v>1.0455230378367246</v>
      </c>
      <c r="D59">
        <f>IF('Lab test'!AU52&gt;0,'Lab test'!AU52,NA())</f>
        <v>0.24918383371184996</v>
      </c>
      <c r="E59">
        <f t="shared" si="0"/>
        <v>5.1820921513468985</v>
      </c>
      <c r="W59">
        <v>49</v>
      </c>
      <c r="X59">
        <v>2.0161502917449701</v>
      </c>
      <c r="Y59">
        <v>0.13170383403121599</v>
      </c>
      <c r="Z59">
        <f t="shared" si="1"/>
        <v>9.0646011669798803</v>
      </c>
    </row>
    <row r="60" spans="2:26">
      <c r="B60">
        <v>50</v>
      </c>
      <c r="C60">
        <f>IF('Lab test'!AQ53&gt;0,'Lab test'!AQ53,NA())</f>
        <v>1.0455230378367246</v>
      </c>
      <c r="D60">
        <f>IF('Lab test'!AU53&gt;0,'Lab test'!AU53,NA())</f>
        <v>0.25780167049217145</v>
      </c>
      <c r="E60">
        <f t="shared" si="0"/>
        <v>5.1820921513468985</v>
      </c>
      <c r="W60">
        <v>50</v>
      </c>
      <c r="X60">
        <v>2.0659093501883699</v>
      </c>
      <c r="Y60">
        <v>0.13663052930987599</v>
      </c>
      <c r="Z60">
        <f t="shared" si="1"/>
        <v>9.2636374007534794</v>
      </c>
    </row>
    <row r="61" spans="2:26">
      <c r="B61">
        <v>51</v>
      </c>
      <c r="C61">
        <f>IF('Lab test'!AQ54&gt;0,'Lab test'!AQ54,NA())</f>
        <v>1.0455230378367246</v>
      </c>
      <c r="D61">
        <f>IF('Lab test'!AU54&gt;0,'Lab test'!AU54,NA())</f>
        <v>0.25670152111596023</v>
      </c>
      <c r="E61">
        <f t="shared" si="0"/>
        <v>5.1820921513468985</v>
      </c>
      <c r="W61">
        <v>51</v>
      </c>
      <c r="X61">
        <v>2.0713974816343401</v>
      </c>
      <c r="Y61">
        <v>0.12776247780828701</v>
      </c>
      <c r="Z61">
        <f t="shared" si="1"/>
        <v>9.2855899265373605</v>
      </c>
    </row>
    <row r="62" spans="2:26">
      <c r="B62">
        <v>52</v>
      </c>
      <c r="C62">
        <f>IF('Lab test'!AQ55&gt;0,'Lab test'!AQ55,NA())</f>
        <v>0.93514423385800027</v>
      </c>
      <c r="D62">
        <f>IF('Lab test'!AU55&gt;0,'Lab test'!AU55,NA())</f>
        <v>0.35527490522448896</v>
      </c>
      <c r="E62">
        <f t="shared" si="0"/>
        <v>4.7405769354320011</v>
      </c>
      <c r="W62">
        <v>52</v>
      </c>
      <c r="X62">
        <v>2.0505425821396699</v>
      </c>
      <c r="Y62">
        <v>0.111340160212751</v>
      </c>
      <c r="Z62">
        <f t="shared" si="1"/>
        <v>9.2021703285586796</v>
      </c>
    </row>
    <row r="63" spans="2:26">
      <c r="B63">
        <v>53</v>
      </c>
      <c r="C63">
        <f>IF('Lab test'!AQ56&gt;0,'Lab test'!AQ56,NA())</f>
        <v>0.93514423385800027</v>
      </c>
      <c r="D63">
        <f>IF('Lab test'!AU56&gt;0,'Lab test'!AU56,NA())</f>
        <v>0.34104630662549001</v>
      </c>
      <c r="E63">
        <f t="shared" si="0"/>
        <v>4.7405769354320011</v>
      </c>
      <c r="W63">
        <v>53</v>
      </c>
      <c r="X63">
        <v>1.7977226601956</v>
      </c>
      <c r="Y63">
        <v>6.3715439185698802E-2</v>
      </c>
      <c r="Z63">
        <f t="shared" si="1"/>
        <v>8.1908906407823991</v>
      </c>
    </row>
    <row r="64" spans="2:26">
      <c r="B64">
        <v>54</v>
      </c>
      <c r="C64">
        <f>IF('Lab test'!AQ57&gt;0,'Lab test'!AQ57,NA())</f>
        <v>0.93514423385800027</v>
      </c>
      <c r="D64">
        <f>IF('Lab test'!AU57&gt;0,'Lab test'!AU57,NA())</f>
        <v>0.32197705077116157</v>
      </c>
      <c r="E64">
        <f t="shared" si="0"/>
        <v>4.7405769354320011</v>
      </c>
      <c r="W64">
        <v>54</v>
      </c>
      <c r="X64">
        <v>1.7846450758727599</v>
      </c>
      <c r="Y64">
        <v>8.7596313890162703E-2</v>
      </c>
      <c r="Z64">
        <f t="shared" si="1"/>
        <v>8.1385803034910396</v>
      </c>
    </row>
    <row r="65" spans="2:26">
      <c r="B65">
        <v>55</v>
      </c>
      <c r="C65">
        <f>IF('Lab test'!AQ58&gt;0,'Lab test'!AQ58,NA())</f>
        <v>0.93514423385800027</v>
      </c>
      <c r="D65">
        <f>IF('Lab test'!AU58&gt;0,'Lab test'!AU58,NA())</f>
        <v>0.36246254781573584</v>
      </c>
      <c r="E65">
        <f t="shared" si="0"/>
        <v>4.7405769354320011</v>
      </c>
      <c r="W65">
        <v>55</v>
      </c>
      <c r="X65">
        <v>1.7477038252619099</v>
      </c>
      <c r="Y65">
        <v>9.6209861556873597E-2</v>
      </c>
      <c r="Z65">
        <f t="shared" si="1"/>
        <v>7.9908153010476397</v>
      </c>
    </row>
    <row r="66" spans="2:26">
      <c r="B66">
        <v>56</v>
      </c>
      <c r="C66">
        <f>IF('Lab test'!AQ59&gt;0,'Lab test'!AQ59,NA())</f>
        <v>0.83641843026937968</v>
      </c>
      <c r="D66">
        <f>IF('Lab test'!AU59&gt;0,'Lab test'!AU59,NA())</f>
        <v>0.375635003013572</v>
      </c>
      <c r="E66">
        <f t="shared" si="0"/>
        <v>4.3456737210775191</v>
      </c>
      <c r="W66">
        <v>56</v>
      </c>
      <c r="X66">
        <v>1.7222767306856099</v>
      </c>
      <c r="Y66">
        <v>7.6398701923438395E-2</v>
      </c>
      <c r="Z66">
        <f t="shared" si="1"/>
        <v>7.8891069227424397</v>
      </c>
    </row>
    <row r="67" spans="2:26">
      <c r="B67">
        <v>57</v>
      </c>
      <c r="C67">
        <f>IF('Lab test'!AQ60&gt;0,'Lab test'!AQ60,NA())</f>
        <v>0.83641843026937968</v>
      </c>
      <c r="D67">
        <f>IF('Lab test'!AU60&gt;0,'Lab test'!AU60,NA())</f>
        <v>0.37669114641473478</v>
      </c>
      <c r="E67">
        <f t="shared" si="0"/>
        <v>4.3456737210775191</v>
      </c>
      <c r="W67">
        <v>57</v>
      </c>
      <c r="X67">
        <v>1.7174791656712101</v>
      </c>
      <c r="Y67">
        <v>8.5873604356820399E-2</v>
      </c>
      <c r="Z67">
        <f t="shared" si="1"/>
        <v>7.8699166626848402</v>
      </c>
    </row>
    <row r="68" spans="2:26">
      <c r="B68">
        <v>58</v>
      </c>
      <c r="C68">
        <f>IF('Lab test'!AQ61&gt;0,'Lab test'!AQ61,NA())</f>
        <v>0.83641843026937968</v>
      </c>
      <c r="D68">
        <f>IF('Lab test'!AU61&gt;0,'Lab test'!AU61,NA())</f>
        <v>0.36354802853359763</v>
      </c>
      <c r="E68">
        <f t="shared" si="0"/>
        <v>4.3456737210775191</v>
      </c>
      <c r="W68">
        <v>58</v>
      </c>
      <c r="X68">
        <v>1.7045257401323499</v>
      </c>
      <c r="Y68">
        <v>6.7354476873391994E-2</v>
      </c>
      <c r="Z68">
        <f t="shared" si="1"/>
        <v>7.8181029605293997</v>
      </c>
    </row>
    <row r="69" spans="2:26">
      <c r="B69">
        <v>59</v>
      </c>
      <c r="C69">
        <f>IF('Lab test'!AQ62&gt;0,'Lab test'!AQ62,NA())</f>
        <v>0.83641843026937968</v>
      </c>
      <c r="D69">
        <f>IF('Lab test'!AU62&gt;0,'Lab test'!AU62,NA())</f>
        <v>0.33644034790375221</v>
      </c>
      <c r="E69">
        <f t="shared" si="0"/>
        <v>4.3456737210775191</v>
      </c>
      <c r="W69">
        <v>59</v>
      </c>
      <c r="X69">
        <v>1.6752605935445299</v>
      </c>
      <c r="Y69">
        <v>7.0369218556740804E-2</v>
      </c>
      <c r="Z69">
        <f t="shared" si="1"/>
        <v>7.7010423741781198</v>
      </c>
    </row>
    <row r="70" spans="2:26">
      <c r="B70">
        <v>60</v>
      </c>
      <c r="C70" t="e">
        <f>IF('Lab test'!AQ63&gt;0,'Lab test'!AQ63,NA())</f>
        <v>#N/A</v>
      </c>
      <c r="D70" t="e">
        <f>IF('Lab test'!AU63&gt;0,'Lab test'!AU63,NA())</f>
        <v>#N/A</v>
      </c>
      <c r="E70" t="e">
        <f t="shared" si="0"/>
        <v>#N/A</v>
      </c>
      <c r="W70">
        <v>60</v>
      </c>
      <c r="X70">
        <v>1.6752605935445299</v>
      </c>
      <c r="Y70">
        <v>7.2522605473418697E-2</v>
      </c>
      <c r="Z70">
        <f t="shared" si="1"/>
        <v>7.7010423741781198</v>
      </c>
    </row>
    <row r="71" spans="2:26">
      <c r="B71">
        <v>61</v>
      </c>
      <c r="C71" t="e">
        <f>IF('Lab test'!AQ64&gt;0,'Lab test'!AQ64,NA())</f>
        <v>#N/A</v>
      </c>
      <c r="D71" t="e">
        <f>IF('Lab test'!AU64&gt;0,'Lab test'!AU64,NA())</f>
        <v>#N/A</v>
      </c>
      <c r="E71" t="e">
        <f t="shared" si="0"/>
        <v>#N/A</v>
      </c>
      <c r="W71">
        <v>61</v>
      </c>
      <c r="X71">
        <v>1.6333618590854699</v>
      </c>
      <c r="Y71">
        <v>5.4936612320550297E-2</v>
      </c>
      <c r="Z71">
        <f t="shared" si="1"/>
        <v>7.5334474363418797</v>
      </c>
    </row>
    <row r="72" spans="2:26">
      <c r="B72">
        <v>62</v>
      </c>
      <c r="C72" t="e">
        <f>IF('Lab test'!AQ65&gt;0,'Lab test'!AQ65,NA())</f>
        <v>#N/A</v>
      </c>
      <c r="D72" t="e">
        <f>IF('Lab test'!AU65&gt;0,'Lab test'!AU65,NA())</f>
        <v>#N/A</v>
      </c>
      <c r="E72" t="e">
        <f t="shared" si="0"/>
        <v>#N/A</v>
      </c>
      <c r="W72">
        <v>62</v>
      </c>
      <c r="X72">
        <v>1.61097322235162</v>
      </c>
      <c r="Y72">
        <v>6.4267955626153797E-2</v>
      </c>
      <c r="Z72">
        <f t="shared" si="1"/>
        <v>7.44389288940648</v>
      </c>
    </row>
    <row r="73" spans="2:26">
      <c r="B73">
        <v>63</v>
      </c>
      <c r="C73">
        <f>IF('Lab test'!AQ66&gt;0,'Lab test'!AQ66,NA())</f>
        <v>1.3043572584079364</v>
      </c>
      <c r="D73">
        <f>IF('Lab test'!AU66&gt;0,'Lab test'!AU66,NA())</f>
        <v>0.30105781050075592</v>
      </c>
      <c r="E73">
        <f t="shared" si="0"/>
        <v>6.2174290336317455</v>
      </c>
      <c r="W73">
        <v>63</v>
      </c>
      <c r="X73">
        <v>1.6097738310980201</v>
      </c>
      <c r="Y73">
        <v>8.7237416070716306E-2</v>
      </c>
      <c r="Z73">
        <f t="shared" si="1"/>
        <v>7.4390953243920803</v>
      </c>
    </row>
    <row r="74" spans="2:26">
      <c r="B74">
        <v>64</v>
      </c>
      <c r="C74">
        <f>IF('Lab test'!AQ67&gt;0,'Lab test'!AQ67,NA())</f>
        <v>1.3043572584079364</v>
      </c>
      <c r="D74">
        <f>IF('Lab test'!AU67&gt;0,'Lab test'!AU67,NA())</f>
        <v>0.25929817872161881</v>
      </c>
      <c r="E74">
        <f t="shared" si="0"/>
        <v>6.2174290336317455</v>
      </c>
      <c r="W74">
        <v>64</v>
      </c>
      <c r="X74">
        <v>1.6281644969865401</v>
      </c>
      <c r="Y74">
        <v>0.109847978695832</v>
      </c>
      <c r="Z74">
        <f t="shared" si="1"/>
        <v>7.5126579879461604</v>
      </c>
    </row>
    <row r="75" spans="2:26">
      <c r="B75">
        <v>65</v>
      </c>
      <c r="C75">
        <f>IF('Lab test'!AQ68&gt;0,'Lab test'!AQ68,NA())</f>
        <v>1.3043572584079364</v>
      </c>
      <c r="D75">
        <f>IF('Lab test'!AU68&gt;0,'Lab test'!AU68,NA())</f>
        <v>0.32533666618630075</v>
      </c>
      <c r="E75">
        <f t="shared" si="0"/>
        <v>6.2174290336317455</v>
      </c>
      <c r="W75">
        <v>65</v>
      </c>
      <c r="X75">
        <v>1.6337616561699999</v>
      </c>
      <c r="Y75">
        <v>7.1087014195633194E-2</v>
      </c>
      <c r="Z75">
        <f t="shared" si="1"/>
        <v>7.5350466246799996</v>
      </c>
    </row>
    <row r="76" spans="2:26">
      <c r="B76">
        <v>66</v>
      </c>
      <c r="C76">
        <f>IF('Lab test'!AQ69&gt;0,'Lab test'!AQ69,NA())</f>
        <v>1.3043572584079364</v>
      </c>
      <c r="D76">
        <f>IF('Lab test'!AU69&gt;0,'Lab test'!AU69,NA())</f>
        <v>0.25832702449419703</v>
      </c>
      <c r="E76">
        <f t="shared" ref="E76:E139" si="12">C76*4+1</f>
        <v>6.2174290336317455</v>
      </c>
      <c r="W76">
        <v>66</v>
      </c>
      <c r="X76">
        <v>1.70012797220248</v>
      </c>
      <c r="Y76">
        <v>0.160452571237759</v>
      </c>
      <c r="Z76">
        <f t="shared" ref="Z76:Z139" si="13">X76*4+1</f>
        <v>7.8005118888099201</v>
      </c>
    </row>
    <row r="77" spans="2:26">
      <c r="B77">
        <v>67</v>
      </c>
      <c r="C77">
        <f>IF('Lab test'!AQ70&gt;0,'Lab test'!AQ70,NA())</f>
        <v>1.2959690218293991</v>
      </c>
      <c r="D77">
        <f>IF('Lab test'!AU70&gt;0,'Lab test'!AU70,NA())</f>
        <v>0.35612351643482798</v>
      </c>
      <c r="E77">
        <f t="shared" si="12"/>
        <v>6.1838760873175964</v>
      </c>
      <c r="W77">
        <v>67</v>
      </c>
      <c r="X77">
        <v>1.7201844592765501</v>
      </c>
      <c r="Y77">
        <v>0.13826072273532999</v>
      </c>
      <c r="Z77">
        <f t="shared" si="13"/>
        <v>7.8807378371062002</v>
      </c>
    </row>
    <row r="78" spans="2:26">
      <c r="B78">
        <v>68</v>
      </c>
      <c r="C78">
        <f>IF('Lab test'!AQ71&gt;0,'Lab test'!AQ71,NA())</f>
        <v>1.2959690218293991</v>
      </c>
      <c r="D78">
        <f>IF('Lab test'!AU71&gt;0,'Lab test'!AU71,NA())</f>
        <v>0.29316245275574232</v>
      </c>
      <c r="E78">
        <f t="shared" si="12"/>
        <v>6.1838760873175964</v>
      </c>
      <c r="W78">
        <v>68</v>
      </c>
      <c r="X78">
        <v>1.72751407249299</v>
      </c>
      <c r="Y78">
        <v>0.143644190027024</v>
      </c>
      <c r="Z78">
        <f t="shared" si="13"/>
        <v>7.9100562899719602</v>
      </c>
    </row>
    <row r="79" spans="2:26">
      <c r="B79">
        <v>69</v>
      </c>
      <c r="C79">
        <f>IF('Lab test'!AQ72&gt;0,'Lab test'!AQ72,NA())</f>
        <v>1.2959690218293991</v>
      </c>
      <c r="D79">
        <f>IF('Lab test'!AU72&gt;0,'Lab test'!AU72,NA())</f>
        <v>0.26364945415617097</v>
      </c>
      <c r="E79">
        <f t="shared" si="12"/>
        <v>6.1838760873175964</v>
      </c>
      <c r="W79">
        <v>69</v>
      </c>
      <c r="X79">
        <v>1.7471707624825299</v>
      </c>
      <c r="Y79">
        <v>0.16966428193687999</v>
      </c>
      <c r="Z79">
        <f t="shared" si="13"/>
        <v>7.9886830499301196</v>
      </c>
    </row>
    <row r="80" spans="2:26">
      <c r="B80">
        <v>70</v>
      </c>
      <c r="C80">
        <f>IF('Lab test'!AQ73&gt;0,'Lab test'!AQ73,NA())</f>
        <v>1.2959690218293991</v>
      </c>
      <c r="D80">
        <f>IF('Lab test'!AU73&gt;0,'Lab test'!AU73,NA())</f>
        <v>0.34038325051505652</v>
      </c>
      <c r="E80">
        <f t="shared" si="12"/>
        <v>6.1838760873175964</v>
      </c>
      <c r="W80">
        <v>70</v>
      </c>
      <c r="X80">
        <v>1.7305125506269901</v>
      </c>
      <c r="Y80">
        <v>0.16547714071000699</v>
      </c>
      <c r="Z80">
        <f t="shared" si="13"/>
        <v>7.9220502025079602</v>
      </c>
    </row>
    <row r="81" spans="2:26">
      <c r="B81">
        <v>71</v>
      </c>
      <c r="C81">
        <f>IF('Lab test'!AQ74&gt;0,'Lab test'!AQ74,NA())</f>
        <v>0.86360671149709767</v>
      </c>
      <c r="D81">
        <f>IF('Lab test'!AU74&gt;0,'Lab test'!AU74,NA())</f>
        <v>0.71778489718164218</v>
      </c>
      <c r="E81">
        <f t="shared" si="12"/>
        <v>4.4544268459883902</v>
      </c>
      <c r="W81">
        <v>71</v>
      </c>
      <c r="X81">
        <v>1.72584825130744</v>
      </c>
      <c r="Y81">
        <v>0.17714131984201101</v>
      </c>
      <c r="Z81">
        <f t="shared" si="13"/>
        <v>7.9033930052297601</v>
      </c>
    </row>
    <row r="82" spans="2:26">
      <c r="B82">
        <v>72</v>
      </c>
      <c r="C82">
        <f>IF('Lab test'!AQ75&gt;0,'Lab test'!AQ75,NA())</f>
        <v>0.74964264803580472</v>
      </c>
      <c r="D82">
        <f>IF('Lab test'!AU75&gt;0,'Lab test'!AU75,NA())</f>
        <v>0.80266698178777074</v>
      </c>
      <c r="E82">
        <f t="shared" si="12"/>
        <v>3.9985705921432189</v>
      </c>
      <c r="W82">
        <v>72</v>
      </c>
      <c r="X82">
        <v>1.7721580802658501</v>
      </c>
      <c r="Y82">
        <v>0.203161411751867</v>
      </c>
      <c r="Z82">
        <f t="shared" si="13"/>
        <v>8.0886323210634004</v>
      </c>
    </row>
    <row r="83" spans="2:26">
      <c r="B83">
        <v>73</v>
      </c>
      <c r="C83">
        <f>IF('Lab test'!AQ76&gt;0,'Lab test'!AQ76,NA())</f>
        <v>0.79875243134875684</v>
      </c>
      <c r="D83">
        <f>IF('Lab test'!AU76&gt;0,'Lab test'!AU76,NA())</f>
        <v>0.72771823441473038</v>
      </c>
      <c r="E83">
        <f t="shared" si="12"/>
        <v>4.1950097253950274</v>
      </c>
      <c r="W83">
        <v>73</v>
      </c>
      <c r="X83">
        <v>1.7738239014513999</v>
      </c>
      <c r="Y83">
        <v>0.22529344395105499</v>
      </c>
      <c r="Z83">
        <f t="shared" si="13"/>
        <v>8.0952956058055996</v>
      </c>
    </row>
    <row r="84" spans="2:26">
      <c r="B84">
        <v>74</v>
      </c>
      <c r="C84">
        <f>IF('Lab test'!AQ77&gt;0,'Lab test'!AQ77,NA())</f>
        <v>0.79875243134875684</v>
      </c>
      <c r="D84">
        <f>IF('Lab test'!AU77&gt;0,'Lab test'!AU77,NA())</f>
        <v>0.78469261575680871</v>
      </c>
      <c r="E84">
        <f t="shared" si="12"/>
        <v>4.1950097253950274</v>
      </c>
      <c r="W84">
        <v>74</v>
      </c>
      <c r="X84">
        <v>1.77182491602874</v>
      </c>
      <c r="Y84">
        <v>0.25250986192573199</v>
      </c>
      <c r="Z84">
        <f t="shared" si="13"/>
        <v>8.0872996641149602</v>
      </c>
    </row>
    <row r="85" spans="2:26">
      <c r="B85">
        <v>75</v>
      </c>
      <c r="C85">
        <f>IF('Lab test'!AQ78&gt;0,'Lab test'!AQ78,NA())</f>
        <v>0.70155827817383309</v>
      </c>
      <c r="D85">
        <f>IF('Lab test'!AU78&gt;0,'Lab test'!AU78,NA())</f>
        <v>0.83589776406469851</v>
      </c>
      <c r="E85">
        <f t="shared" si="12"/>
        <v>3.8062331126953324</v>
      </c>
      <c r="W85">
        <v>75</v>
      </c>
      <c r="X85">
        <v>1.7704922590802901</v>
      </c>
      <c r="Y85">
        <v>0.21811548756212901</v>
      </c>
      <c r="Z85">
        <f t="shared" si="13"/>
        <v>8.0819690363211603</v>
      </c>
    </row>
    <row r="86" spans="2:26">
      <c r="B86">
        <v>76</v>
      </c>
      <c r="C86">
        <f>IF('Lab test'!AQ79&gt;0,'Lab test'!AQ79,NA())</f>
        <v>0.70155827817383309</v>
      </c>
      <c r="D86">
        <f>IF('Lab test'!AU79&gt;0,'Lab test'!AU79,NA())</f>
        <v>0.8627539171270181</v>
      </c>
      <c r="E86">
        <f t="shared" si="12"/>
        <v>3.8062331126953324</v>
      </c>
      <c r="W86">
        <v>76</v>
      </c>
      <c r="X86">
        <v>1.6999169681856501</v>
      </c>
      <c r="Y86">
        <v>0.25345695339371499</v>
      </c>
      <c r="Z86">
        <f t="shared" si="13"/>
        <v>7.7996678727426003</v>
      </c>
    </row>
    <row r="87" spans="2:26">
      <c r="B87">
        <v>77</v>
      </c>
      <c r="C87">
        <f>IF('Lab test'!AQ80&gt;0,'Lab test'!AQ80,NA())</f>
        <v>1.7210211525783869</v>
      </c>
      <c r="D87">
        <f>IF('Lab test'!AU80&gt;0,'Lab test'!AU80,NA())</f>
        <v>8.1418793104341983E-2</v>
      </c>
      <c r="E87">
        <f t="shared" si="12"/>
        <v>7.8840846103135478</v>
      </c>
      <c r="W87">
        <v>77</v>
      </c>
      <c r="X87">
        <v>1.6602148965965999</v>
      </c>
      <c r="Y87">
        <v>0.25320771879687698</v>
      </c>
      <c r="Z87">
        <f t="shared" si="13"/>
        <v>7.6408595863863997</v>
      </c>
    </row>
    <row r="88" spans="2:26">
      <c r="B88">
        <v>78</v>
      </c>
      <c r="C88">
        <f>IF('Lab test'!AQ81&gt;0,'Lab test'!AQ81,NA())</f>
        <v>1.7517013072344625</v>
      </c>
      <c r="D88">
        <f>IF('Lab test'!AU81&gt;0,'Lab test'!AU81,NA())</f>
        <v>8.6828336277165408E-2</v>
      </c>
      <c r="E88">
        <f t="shared" si="12"/>
        <v>8.00680522893785</v>
      </c>
      <c r="W88">
        <v>78</v>
      </c>
      <c r="X88">
        <v>1.5255610174309699</v>
      </c>
      <c r="Y88">
        <v>0.18591437765069799</v>
      </c>
      <c r="Z88">
        <f t="shared" si="13"/>
        <v>7.1022440697238798</v>
      </c>
    </row>
    <row r="89" spans="2:26">
      <c r="B89">
        <v>79</v>
      </c>
      <c r="C89">
        <f>IF('Lab test'!AQ82&gt;0,'Lab test'!AQ82,NA())</f>
        <v>1.3900010576948674</v>
      </c>
      <c r="D89">
        <f>IF('Lab test'!AU82&gt;0,'Lab test'!AU82,NA())</f>
        <v>0.12447982158240503</v>
      </c>
      <c r="E89">
        <f t="shared" si="12"/>
        <v>6.5600042307794695</v>
      </c>
      <c r="W89">
        <v>79</v>
      </c>
      <c r="X89">
        <v>1.5075146212541299</v>
      </c>
      <c r="Y89">
        <v>0.206102379994552</v>
      </c>
      <c r="Z89">
        <f t="shared" si="13"/>
        <v>7.0300584850165198</v>
      </c>
    </row>
    <row r="90" spans="2:26">
      <c r="B90">
        <v>80</v>
      </c>
      <c r="C90">
        <f>IF('Lab test'!AQ83&gt;0,'Lab test'!AQ83,NA())</f>
        <v>1.4245711945951272</v>
      </c>
      <c r="D90">
        <f>IF('Lab test'!AU83&gt;0,'Lab test'!AU83,NA())</f>
        <v>0.16397159184501497</v>
      </c>
      <c r="E90">
        <f t="shared" si="12"/>
        <v>6.6982847783805086</v>
      </c>
      <c r="W90">
        <v>80</v>
      </c>
      <c r="X90">
        <v>1.5338901233587401</v>
      </c>
      <c r="Y90">
        <v>0.21083783733446801</v>
      </c>
      <c r="Z90">
        <f t="shared" si="13"/>
        <v>7.1355604934349603</v>
      </c>
    </row>
    <row r="91" spans="2:26">
      <c r="B91">
        <v>81</v>
      </c>
      <c r="C91">
        <f>IF('Lab test'!AQ84&gt;0,'Lab test'!AQ84,NA())</f>
        <v>0.99928053952212859</v>
      </c>
      <c r="D91">
        <f>IF('Lab test'!AU84&gt;0,'Lab test'!AU84,NA())</f>
        <v>0.29426774669959133</v>
      </c>
      <c r="E91">
        <f t="shared" si="12"/>
        <v>4.9971221580885139</v>
      </c>
      <c r="W91">
        <v>81</v>
      </c>
      <c r="X91">
        <v>1.5275044754807801</v>
      </c>
      <c r="Y91">
        <v>0.22529344395105499</v>
      </c>
      <c r="Z91">
        <f t="shared" si="13"/>
        <v>7.1100179019231202</v>
      </c>
    </row>
    <row r="92" spans="2:26">
      <c r="B92">
        <v>82</v>
      </c>
      <c r="C92">
        <f>IF('Lab test'!AQ85&gt;0,'Lab test'!AQ85,NA())</f>
        <v>1.021085591297769</v>
      </c>
      <c r="D92">
        <f>IF('Lab test'!AU85&gt;0,'Lab test'!AU85,NA())</f>
        <v>0.41620410022873988</v>
      </c>
      <c r="E92">
        <f t="shared" si="12"/>
        <v>5.084342365191076</v>
      </c>
      <c r="W92">
        <v>82</v>
      </c>
      <c r="X92">
        <v>1.5277821123450399</v>
      </c>
      <c r="Y92">
        <v>0.223548801773191</v>
      </c>
      <c r="Z92">
        <f t="shared" si="13"/>
        <v>7.1111284493801596</v>
      </c>
    </row>
    <row r="93" spans="2:26">
      <c r="B93">
        <v>83</v>
      </c>
      <c r="C93">
        <f>IF('Lab test'!AQ86&gt;0,'Lab test'!AQ86,NA())</f>
        <v>1.9826798145395317</v>
      </c>
      <c r="D93">
        <f>IF('Lab test'!AU86&gt;0,'Lab test'!AU86,NA())</f>
        <v>3.4505954836150668E-2</v>
      </c>
      <c r="E93">
        <f t="shared" si="12"/>
        <v>8.9307192581581276</v>
      </c>
      <c r="W93">
        <v>83</v>
      </c>
      <c r="X93">
        <v>1.62273391992163</v>
      </c>
      <c r="Y93">
        <v>0.309036268488522</v>
      </c>
      <c r="Z93">
        <f t="shared" si="13"/>
        <v>7.4909356796865199</v>
      </c>
    </row>
    <row r="94" spans="2:26">
      <c r="B94">
        <v>84</v>
      </c>
      <c r="C94">
        <f>IF('Lab test'!AQ87&gt;0,'Lab test'!AQ87,NA())</f>
        <v>2.0106719734485279</v>
      </c>
      <c r="D94">
        <f>IF('Lab test'!AU87&gt;0,'Lab test'!AU87,NA())</f>
        <v>3.8288785255329569E-2</v>
      </c>
      <c r="E94">
        <f t="shared" si="12"/>
        <v>9.0426878937941115</v>
      </c>
      <c r="W94">
        <v>84</v>
      </c>
      <c r="X94">
        <v>1.62356683051441</v>
      </c>
      <c r="Y94">
        <v>0.223548801773191</v>
      </c>
      <c r="Z94">
        <f t="shared" si="13"/>
        <v>7.4942673220576399</v>
      </c>
    </row>
    <row r="95" spans="2:26">
      <c r="B95">
        <v>85</v>
      </c>
      <c r="C95">
        <f>IF('Lab test'!AQ88&gt;0,'Lab test'!AQ88,NA())</f>
        <v>1.6087120305460052</v>
      </c>
      <c r="D95">
        <f>IF('Lab test'!AU88&gt;0,'Lab test'!AU88,NA())</f>
        <v>9.0883936512525992E-2</v>
      </c>
      <c r="E95">
        <f t="shared" si="12"/>
        <v>7.4348481221840208</v>
      </c>
      <c r="W95">
        <v>85</v>
      </c>
      <c r="X95">
        <v>1.6232891936501499</v>
      </c>
      <c r="Y95">
        <v>0.23551206242139999</v>
      </c>
      <c r="Z95">
        <f t="shared" si="13"/>
        <v>7.4931567746005996</v>
      </c>
    </row>
    <row r="96" spans="2:26">
      <c r="B96">
        <v>86</v>
      </c>
      <c r="C96">
        <f>IF('Lab test'!AQ89&gt;0,'Lab test'!AQ89,NA())</f>
        <v>1.6274841014414423</v>
      </c>
      <c r="D96">
        <f>IF('Lab test'!AU89&gt;0,'Lab test'!AU89,NA())</f>
        <v>0.11120120750457747</v>
      </c>
      <c r="E96">
        <f t="shared" si="12"/>
        <v>7.5099364057657692</v>
      </c>
      <c r="W96">
        <v>86</v>
      </c>
      <c r="X96">
        <v>1.6232891936501499</v>
      </c>
      <c r="Y96">
        <v>0.24622915008542101</v>
      </c>
      <c r="Z96">
        <f t="shared" si="13"/>
        <v>7.4931567746005996</v>
      </c>
    </row>
    <row r="97" spans="2:26">
      <c r="B97">
        <v>87</v>
      </c>
      <c r="C97">
        <f>IF('Lab test'!AQ90&gt;0,'Lab test'!AQ90,NA())</f>
        <v>1.1761688394095855</v>
      </c>
      <c r="D97">
        <f>IF('Lab test'!AU90&gt;0,'Lab test'!AU90,NA())</f>
        <v>0.19371481349938846</v>
      </c>
      <c r="E97">
        <f t="shared" si="12"/>
        <v>5.704675357638342</v>
      </c>
      <c r="W97">
        <v>87</v>
      </c>
      <c r="X97">
        <v>1.6241221042429299</v>
      </c>
      <c r="Y97">
        <v>0.25819241073363097</v>
      </c>
      <c r="Z97">
        <f t="shared" si="13"/>
        <v>7.4964884169717196</v>
      </c>
    </row>
    <row r="98" spans="2:26">
      <c r="B98">
        <v>88</v>
      </c>
      <c r="C98">
        <f>IF('Lab test'!AQ91&gt;0,'Lab test'!AQ91,NA())</f>
        <v>1.1819485736722875</v>
      </c>
      <c r="D98">
        <f>IF('Lab test'!AU91&gt;0,'Lab test'!AU91,NA())</f>
        <v>0.23212022446925107</v>
      </c>
      <c r="E98">
        <f t="shared" si="12"/>
        <v>5.7277942946891498</v>
      </c>
      <c r="W98">
        <v>88</v>
      </c>
      <c r="X98">
        <v>1.6238444673786701</v>
      </c>
      <c r="Y98">
        <v>0.267912560010302</v>
      </c>
      <c r="Z98">
        <f t="shared" si="13"/>
        <v>7.4953778695146802</v>
      </c>
    </row>
    <row r="99" spans="2:26">
      <c r="B99">
        <v>89</v>
      </c>
      <c r="C99">
        <f>IF('Lab test'!AQ92&gt;0,'Lab test'!AQ92,NA())</f>
        <v>1.797547968546114</v>
      </c>
      <c r="D99">
        <f>IF('Lab test'!AU92&gt;0,'Lab test'!AU92,NA())</f>
        <v>6.7548364638132477E-2</v>
      </c>
      <c r="E99">
        <f t="shared" si="12"/>
        <v>8.1901918741844568</v>
      </c>
      <c r="W99">
        <v>89</v>
      </c>
      <c r="X99">
        <v>1.43643958400382</v>
      </c>
      <c r="Y99">
        <v>0.14803071893136699</v>
      </c>
      <c r="Z99">
        <f t="shared" si="13"/>
        <v>6.74575833601528</v>
      </c>
    </row>
    <row r="100" spans="2:26">
      <c r="B100">
        <v>90</v>
      </c>
      <c r="C100">
        <f>IF('Lab test'!AQ93&gt;0,'Lab test'!AQ93,NA())</f>
        <v>1.434931848879802</v>
      </c>
      <c r="D100">
        <f>IF('Lab test'!AU93&gt;0,'Lab test'!AU93,NA())</f>
        <v>0.15059868805898122</v>
      </c>
      <c r="E100">
        <f t="shared" si="12"/>
        <v>6.7397273955192079</v>
      </c>
      <c r="W100">
        <v>90</v>
      </c>
      <c r="X100">
        <v>1.4245011988406799</v>
      </c>
      <c r="Y100">
        <v>0.15949551038590201</v>
      </c>
      <c r="Z100">
        <f t="shared" si="13"/>
        <v>6.6980047953627198</v>
      </c>
    </row>
    <row r="101" spans="2:26">
      <c r="B101">
        <v>91</v>
      </c>
      <c r="C101">
        <f>IF('Lab test'!AQ94&gt;0,'Lab test'!AQ94,NA())</f>
        <v>1.0173521762696611</v>
      </c>
      <c r="D101">
        <f>IF('Lab test'!AU94&gt;0,'Lab test'!AU94,NA())</f>
        <v>0.25200969786464456</v>
      </c>
      <c r="E101">
        <f t="shared" si="12"/>
        <v>5.0694087050786445</v>
      </c>
      <c r="W101">
        <v>91</v>
      </c>
      <c r="X101">
        <v>1.3906295014010801</v>
      </c>
      <c r="Y101">
        <v>0.12061491327922</v>
      </c>
      <c r="Z101">
        <f t="shared" si="13"/>
        <v>6.5625180056043204</v>
      </c>
    </row>
    <row r="102" spans="2:26">
      <c r="B102">
        <v>92</v>
      </c>
      <c r="C102">
        <f>IF('Lab test'!AQ95&gt;0,'Lab test'!AQ95,NA())</f>
        <v>2.0704078890671718</v>
      </c>
      <c r="D102">
        <f>IF('Lab test'!AU95&gt;0,'Lab test'!AU95,NA())</f>
        <v>4.0102563353280905E-2</v>
      </c>
      <c r="E102">
        <f t="shared" si="12"/>
        <v>9.2816315562686871</v>
      </c>
      <c r="W102">
        <v>92</v>
      </c>
      <c r="X102">
        <v>1.3686961891246101</v>
      </c>
      <c r="Y102">
        <v>0.121861086263409</v>
      </c>
      <c r="Z102">
        <f t="shared" si="13"/>
        <v>6.4747847564984404</v>
      </c>
    </row>
    <row r="103" spans="2:26">
      <c r="B103">
        <v>93</v>
      </c>
      <c r="C103">
        <f>IF('Lab test'!AQ96&gt;0,'Lab test'!AQ96,NA())</f>
        <v>1.6753614870861464</v>
      </c>
      <c r="D103">
        <f>IF('Lab test'!AU96&gt;0,'Lab test'!AU96,NA())</f>
        <v>7.263099613412656E-2</v>
      </c>
      <c r="E103">
        <f t="shared" si="12"/>
        <v>7.7014459483445856</v>
      </c>
      <c r="W103">
        <v>93</v>
      </c>
      <c r="X103">
        <v>1.3678632785318301</v>
      </c>
      <c r="Y103">
        <v>0.141799854010425</v>
      </c>
      <c r="Z103">
        <f t="shared" si="13"/>
        <v>6.4714531141273204</v>
      </c>
    </row>
    <row r="104" spans="2:26">
      <c r="B104">
        <v>94</v>
      </c>
      <c r="C104">
        <f>IF('Lab test'!AQ97&gt;0,'Lab test'!AQ97,NA())</f>
        <v>1.0063929462860501</v>
      </c>
      <c r="D104">
        <f>IF('Lab test'!AU97&gt;0,'Lab test'!AU97,NA())</f>
        <v>0.25295994902458802</v>
      </c>
      <c r="E104">
        <f t="shared" si="12"/>
        <v>5.0255717851442006</v>
      </c>
      <c r="W104">
        <v>94</v>
      </c>
      <c r="X104">
        <v>1.3686961891246101</v>
      </c>
      <c r="Y104">
        <v>0.15550775683649801</v>
      </c>
      <c r="Z104">
        <f t="shared" si="13"/>
        <v>6.4747847564984404</v>
      </c>
    </row>
    <row r="105" spans="2:26">
      <c r="B105">
        <v>95</v>
      </c>
      <c r="C105">
        <f>IF('Lab test'!AQ98&gt;0,'Lab test'!AQ98,NA())</f>
        <v>1.1937683534406605</v>
      </c>
      <c r="D105">
        <f>IF('Lab test'!AU98&gt;0,'Lab test'!AU98,NA())</f>
        <v>0.13551900719384577</v>
      </c>
      <c r="E105">
        <f t="shared" si="12"/>
        <v>5.7750734137626418</v>
      </c>
      <c r="W105">
        <v>95</v>
      </c>
      <c r="X105">
        <v>1.36841855226035</v>
      </c>
      <c r="Y105">
        <v>0.18192662410129501</v>
      </c>
      <c r="Z105">
        <f t="shared" si="13"/>
        <v>6.4736742090414001</v>
      </c>
    </row>
    <row r="106" spans="2:26">
      <c r="B106">
        <v>96</v>
      </c>
      <c r="C106">
        <f>IF('Lab test'!AQ99&gt;0,'Lab test'!AQ99,NA())</f>
        <v>1.1956060729533817</v>
      </c>
      <c r="D106">
        <f>IF('Lab test'!AU99&gt;0,'Lab test'!AU99,NA())</f>
        <v>0.22254779560069551</v>
      </c>
      <c r="E106">
        <f t="shared" si="12"/>
        <v>5.7824242918135269</v>
      </c>
      <c r="W106">
        <v>96</v>
      </c>
      <c r="X106">
        <v>1.39257295945089</v>
      </c>
      <c r="Y106">
        <v>0.249718434441149</v>
      </c>
      <c r="Z106">
        <f t="shared" si="13"/>
        <v>6.57029183780356</v>
      </c>
    </row>
    <row r="107" spans="2:26">
      <c r="B107">
        <v>97</v>
      </c>
      <c r="C107">
        <f>IF('Lab test'!AQ100&gt;0,'Lab test'!AQ100,NA())</f>
        <v>0.96166401276432378</v>
      </c>
      <c r="D107">
        <f>IF('Lab test'!AU100&gt;0,'Lab test'!AU100,NA())</f>
        <v>0.24711013921243075</v>
      </c>
      <c r="E107">
        <f t="shared" si="12"/>
        <v>4.8466560510572947</v>
      </c>
      <c r="W107">
        <v>97</v>
      </c>
      <c r="X107">
        <v>1.3006751573811499</v>
      </c>
      <c r="Y107">
        <v>0.24373680411704499</v>
      </c>
      <c r="Z107">
        <f t="shared" si="13"/>
        <v>6.2027006295245997</v>
      </c>
    </row>
    <row r="108" spans="2:26">
      <c r="B108">
        <v>98</v>
      </c>
      <c r="C108">
        <f>IF('Lab test'!AQ101&gt;0,'Lab test'!AQ101,NA())</f>
        <v>0.96654146085350201</v>
      </c>
      <c r="D108">
        <f>IF('Lab test'!AU101&gt;0,'Lab test'!AU101,NA())</f>
        <v>0.2362238705192902</v>
      </c>
      <c r="E108">
        <f t="shared" si="12"/>
        <v>4.8661658434140076</v>
      </c>
      <c r="W108">
        <v>98</v>
      </c>
      <c r="X108">
        <v>1.19434023836993</v>
      </c>
      <c r="Y108">
        <v>0.132827408524268</v>
      </c>
      <c r="Z108">
        <f t="shared" si="13"/>
        <v>5.7773609534797199</v>
      </c>
    </row>
    <row r="109" spans="2:26">
      <c r="B109">
        <v>99</v>
      </c>
      <c r="C109">
        <f>IF('Lab test'!AQ102&gt;0,'Lab test'!AQ102,NA())</f>
        <v>0.6893698099828417</v>
      </c>
      <c r="D109">
        <f>IF('Lab test'!AU102&gt;0,'Lab test'!AU102,NA())</f>
        <v>0.68140383445120845</v>
      </c>
      <c r="E109">
        <f t="shared" si="12"/>
        <v>3.7574792399313668</v>
      </c>
      <c r="W109">
        <v>99</v>
      </c>
      <c r="X109">
        <v>1.17157401550069</v>
      </c>
      <c r="Y109">
        <v>0.15750163361120001</v>
      </c>
      <c r="Z109">
        <f t="shared" si="13"/>
        <v>5.6862960620027598</v>
      </c>
    </row>
    <row r="110" spans="2:26">
      <c r="B110">
        <v>100</v>
      </c>
      <c r="C110">
        <f>IF('Lab test'!AQ103&gt;0,'Lab test'!AQ103,NA())</f>
        <v>1.7039554411480944</v>
      </c>
      <c r="D110">
        <f>IF('Lab test'!AU103&gt;0,'Lab test'!AU103,NA())</f>
        <v>7.7329952997042248E-2</v>
      </c>
      <c r="E110">
        <f t="shared" si="12"/>
        <v>7.8158217645923775</v>
      </c>
      <c r="W110">
        <v>100</v>
      </c>
      <c r="X110">
        <v>1.1790702108356901</v>
      </c>
      <c r="Y110">
        <v>0.191896007974803</v>
      </c>
      <c r="Z110">
        <f t="shared" si="13"/>
        <v>5.7162808433427603</v>
      </c>
    </row>
    <row r="111" spans="2:26">
      <c r="B111">
        <v>101</v>
      </c>
      <c r="C111">
        <f>IF('Lab test'!AQ104&gt;0,'Lab test'!AQ104,NA())</f>
        <v>0.98745998471764174</v>
      </c>
      <c r="D111">
        <f>IF('Lab test'!AU104&gt;0,'Lab test'!AU104,NA())</f>
        <v>0.27841065362787754</v>
      </c>
      <c r="E111">
        <f t="shared" si="12"/>
        <v>4.9498399388705669</v>
      </c>
      <c r="W111">
        <v>101</v>
      </c>
      <c r="X111">
        <v>1.1668541888082899</v>
      </c>
      <c r="Y111">
        <v>0.20311156483249901</v>
      </c>
      <c r="Z111">
        <f t="shared" si="13"/>
        <v>5.6674167552331598</v>
      </c>
    </row>
    <row r="112" spans="2:26">
      <c r="B112">
        <v>102</v>
      </c>
      <c r="C112">
        <f>IF('Lab test'!AQ105&gt;0,'Lab test'!AQ105,NA())</f>
        <v>0.98579056681248256</v>
      </c>
      <c r="D112">
        <f>IF('Lab test'!AU105&gt;0,'Lab test'!AU105,NA())</f>
        <v>0.3109239161777691</v>
      </c>
      <c r="E112">
        <f t="shared" si="12"/>
        <v>4.9431622672499298</v>
      </c>
      <c r="W112">
        <v>102</v>
      </c>
      <c r="X112">
        <v>1.1807360320212399</v>
      </c>
      <c r="Y112">
        <v>0.22778578991943199</v>
      </c>
      <c r="Z112">
        <f t="shared" si="13"/>
        <v>5.7229441280849596</v>
      </c>
    </row>
    <row r="113" spans="2:26">
      <c r="B113">
        <v>103</v>
      </c>
      <c r="C113">
        <f>IF('Lab test'!AQ106&gt;0,'Lab test'!AQ106,NA())</f>
        <v>2.02500051528239</v>
      </c>
      <c r="D113">
        <f>IF('Lab test'!AU106&gt;0,'Lab test'!AU106,NA())</f>
        <v>4.0381948452635229E-2</v>
      </c>
      <c r="E113">
        <f t="shared" si="12"/>
        <v>9.10000206112956</v>
      </c>
      <c r="W113">
        <v>103</v>
      </c>
      <c r="X113">
        <v>1.1768491159216099</v>
      </c>
      <c r="Y113">
        <v>0.22778578991943199</v>
      </c>
      <c r="Z113">
        <f t="shared" si="13"/>
        <v>5.7073964636864396</v>
      </c>
    </row>
    <row r="114" spans="2:26">
      <c r="B114">
        <v>104</v>
      </c>
      <c r="C114">
        <f>IF('Lab test'!AQ107&gt;0,'Lab test'!AQ107,NA())</f>
        <v>2.0747622477646366</v>
      </c>
      <c r="D114">
        <f>IF('Lab test'!AU107&gt;0,'Lab test'!AU107,NA())</f>
        <v>4.0464136950164348E-2</v>
      </c>
      <c r="E114">
        <f t="shared" si="12"/>
        <v>9.2990489910585463</v>
      </c>
      <c r="W114">
        <v>104</v>
      </c>
      <c r="X114">
        <v>1.1096609947709299</v>
      </c>
      <c r="Y114">
        <v>0.19737916910523201</v>
      </c>
      <c r="Z114">
        <f t="shared" si="13"/>
        <v>5.4386439790837198</v>
      </c>
    </row>
    <row r="115" spans="2:26">
      <c r="B115">
        <v>105</v>
      </c>
      <c r="C115">
        <f>IF('Lab test'!AQ108&gt;0,'Lab test'!AQ108,NA())</f>
        <v>1.6390819524780058</v>
      </c>
      <c r="D115">
        <f>IF('Lab test'!AU108&gt;0,'Lab test'!AU108,NA())</f>
        <v>6.5982759430172205E-2</v>
      </c>
      <c r="E115">
        <f t="shared" si="12"/>
        <v>7.5563278099120232</v>
      </c>
      <c r="W115">
        <v>105</v>
      </c>
      <c r="X115">
        <v>1.1049411680785199</v>
      </c>
      <c r="Y115">
        <v>0.203610034026175</v>
      </c>
      <c r="Z115">
        <f t="shared" si="13"/>
        <v>5.4197646723140798</v>
      </c>
    </row>
    <row r="116" spans="2:26">
      <c r="B116">
        <v>106</v>
      </c>
      <c r="C116">
        <f>IF('Lab test'!AQ109&gt;0,'Lab test'!AQ109,NA())</f>
        <v>1.6626670775048462</v>
      </c>
      <c r="D116">
        <f>IF('Lab test'!AU109&gt;0,'Lab test'!AU109,NA())</f>
        <v>5.7993904801096403E-2</v>
      </c>
      <c r="E116">
        <f t="shared" si="12"/>
        <v>7.6506683100193849</v>
      </c>
      <c r="W116">
        <v>106</v>
      </c>
      <c r="X116">
        <v>1.09744497274353</v>
      </c>
      <c r="Y116">
        <v>0.24249063113285599</v>
      </c>
      <c r="Z116">
        <f t="shared" si="13"/>
        <v>5.3897798909741201</v>
      </c>
    </row>
    <row r="117" spans="2:26">
      <c r="B117">
        <v>107</v>
      </c>
      <c r="C117">
        <f>IF('Lab test'!AQ110&gt;0,'Lab test'!AQ110,NA())</f>
        <v>1.1865711122003584</v>
      </c>
      <c r="D117">
        <f>IF('Lab test'!AU110&gt;0,'Lab test'!AU110,NA())</f>
        <v>0.20206531913178805</v>
      </c>
      <c r="E117">
        <f t="shared" si="12"/>
        <v>5.7462844488014335</v>
      </c>
      <c r="W117">
        <v>107</v>
      </c>
      <c r="X117">
        <v>1.39174004885811</v>
      </c>
      <c r="Y117">
        <v>0.37284032527897298</v>
      </c>
      <c r="Z117">
        <f t="shared" si="13"/>
        <v>6.5669601954324399</v>
      </c>
    </row>
    <row r="118" spans="2:26">
      <c r="B118">
        <v>108</v>
      </c>
      <c r="C118">
        <f>IF('Lab test'!AQ111&gt;0,'Lab test'!AQ111,NA())</f>
        <v>1.1956637441145663</v>
      </c>
      <c r="D118">
        <f>IF('Lab test'!AU111&gt;0,'Lab test'!AU111,NA())</f>
        <v>0.28203180703949543</v>
      </c>
      <c r="E118">
        <f t="shared" si="12"/>
        <v>5.7826549764582653</v>
      </c>
      <c r="W118">
        <v>108</v>
      </c>
      <c r="X118">
        <v>1.30011988365263</v>
      </c>
      <c r="Y118">
        <v>0.32997197462288902</v>
      </c>
      <c r="Z118">
        <f t="shared" si="13"/>
        <v>6.2004795346105199</v>
      </c>
    </row>
    <row r="119" spans="2:26">
      <c r="B119">
        <v>109</v>
      </c>
      <c r="C119">
        <f>IF('Lab test'!AQ112&gt;0,'Lab test'!AQ112,NA())</f>
        <v>1.1956637441145663</v>
      </c>
      <c r="D119">
        <f>IF('Lab test'!AU112&gt;0,'Lab test'!AU112,NA())</f>
        <v>0.26883733653472369</v>
      </c>
      <c r="E119">
        <f t="shared" si="12"/>
        <v>5.7826549764582653</v>
      </c>
      <c r="W119">
        <v>109</v>
      </c>
      <c r="X119">
        <v>1.2315435781806501</v>
      </c>
      <c r="Y119">
        <v>0.28560821638577799</v>
      </c>
      <c r="Z119">
        <f t="shared" si="13"/>
        <v>5.9261743127226003</v>
      </c>
    </row>
    <row r="120" spans="2:26">
      <c r="B120">
        <v>110</v>
      </c>
      <c r="C120">
        <f>IF('Lab test'!AQ113&gt;0,'Lab test'!AQ113,NA())</f>
        <v>0.96005453211704062</v>
      </c>
      <c r="D120">
        <f>IF('Lab test'!AU113&gt;0,'Lab test'!AU113,NA())</f>
        <v>0.26782738586847804</v>
      </c>
      <c r="E120">
        <f t="shared" si="12"/>
        <v>4.8402181284681625</v>
      </c>
      <c r="W120">
        <v>110</v>
      </c>
      <c r="X120">
        <v>1.2598625383350699</v>
      </c>
      <c r="Y120">
        <v>0.311528614456899</v>
      </c>
      <c r="Z120">
        <f t="shared" si="13"/>
        <v>6.0394501533402796</v>
      </c>
    </row>
    <row r="121" spans="2:26">
      <c r="B121">
        <v>111</v>
      </c>
      <c r="C121">
        <f>IF('Lab test'!AQ114&gt;0,'Lab test'!AQ114,NA())</f>
        <v>0.68701700513324093</v>
      </c>
      <c r="D121">
        <f>IF('Lab test'!AU114&gt;0,'Lab test'!AU114,NA())</f>
        <v>0.79683095538849746</v>
      </c>
      <c r="E121">
        <f t="shared" si="12"/>
        <v>3.7480680205329637</v>
      </c>
      <c r="W121">
        <v>111</v>
      </c>
      <c r="X121">
        <v>1.23209885190916</v>
      </c>
      <c r="Y121">
        <v>0.33395972817229203</v>
      </c>
      <c r="Z121">
        <f t="shared" si="13"/>
        <v>5.9283954076366401</v>
      </c>
    </row>
    <row r="122" spans="2:26">
      <c r="B122">
        <v>112</v>
      </c>
      <c r="C122">
        <f>IF('Lab test'!AQ115&gt;0,'Lab test'!AQ115,NA())</f>
        <v>2.1173259057998375</v>
      </c>
      <c r="D122">
        <f>IF('Lab test'!AU115&gt;0,'Lab test'!AU115,NA())</f>
        <v>5.01683415185235E-2</v>
      </c>
      <c r="E122">
        <f t="shared" si="12"/>
        <v>9.4693036231993499</v>
      </c>
      <c r="W122">
        <v>112</v>
      </c>
      <c r="X122">
        <v>1.2315435781806501</v>
      </c>
      <c r="Y122">
        <v>0.36137553382443899</v>
      </c>
      <c r="Z122">
        <f t="shared" si="13"/>
        <v>5.9261743127226003</v>
      </c>
    </row>
    <row r="123" spans="2:26">
      <c r="B123">
        <v>113</v>
      </c>
      <c r="C123">
        <f>IF('Lab test'!AQ116&gt;0,'Lab test'!AQ116,NA())</f>
        <v>1.6626670775048462</v>
      </c>
      <c r="D123">
        <f>IF('Lab test'!AU116&gt;0,'Lab test'!AU116,NA())</f>
        <v>7.2138759630632113E-2</v>
      </c>
      <c r="E123">
        <f t="shared" si="12"/>
        <v>7.6506683100193849</v>
      </c>
      <c r="W123">
        <v>113</v>
      </c>
      <c r="X123">
        <v>1.1760162053288401</v>
      </c>
      <c r="Y123">
        <v>0.27314648654389301</v>
      </c>
      <c r="Z123">
        <f t="shared" si="13"/>
        <v>5.7040648213153604</v>
      </c>
    </row>
    <row r="124" spans="2:26">
      <c r="B124">
        <v>114</v>
      </c>
      <c r="C124">
        <f>IF('Lab test'!AQ117&gt;0,'Lab test'!AQ117,NA())</f>
        <v>1.1864830446485537</v>
      </c>
      <c r="D124">
        <f>IF('Lab test'!AU117&gt;0,'Lab test'!AU117,NA())</f>
        <v>0.20019202117574061</v>
      </c>
      <c r="E124">
        <f t="shared" si="12"/>
        <v>5.7459321785942148</v>
      </c>
      <c r="W124">
        <v>114</v>
      </c>
      <c r="X124">
        <v>1.1762938421931</v>
      </c>
      <c r="Y124">
        <v>0.28984520453201901</v>
      </c>
      <c r="Z124">
        <f t="shared" si="13"/>
        <v>5.7051753687723998</v>
      </c>
    </row>
    <row r="125" spans="2:26">
      <c r="B125">
        <v>115</v>
      </c>
      <c r="C125">
        <f>IF('Lab test'!AQ118&gt;0,'Lab test'!AQ118,NA())</f>
        <v>0.96572339768462767</v>
      </c>
      <c r="D125">
        <f>IF('Lab test'!AU118&gt;0,'Lab test'!AU118,NA())</f>
        <v>0.3032025024069207</v>
      </c>
      <c r="E125">
        <f t="shared" si="12"/>
        <v>4.8628935907385102</v>
      </c>
      <c r="W125">
        <v>115</v>
      </c>
      <c r="X125">
        <v>1.1807360320212399</v>
      </c>
      <c r="Y125">
        <v>0.29059290832253198</v>
      </c>
      <c r="Z125">
        <f t="shared" si="13"/>
        <v>5.7229441280849596</v>
      </c>
    </row>
    <row r="126" spans="2:26">
      <c r="B126">
        <v>116</v>
      </c>
      <c r="C126">
        <f>IF('Lab test'!AQ119&gt;0,'Lab test'!AQ119,NA())</f>
        <v>0.68123879482235938</v>
      </c>
      <c r="D126">
        <f>IF('Lab test'!AU119&gt;0,'Lab test'!AU119,NA())</f>
        <v>0.82739001284851976</v>
      </c>
      <c r="E126">
        <f t="shared" si="12"/>
        <v>3.7249551792894375</v>
      </c>
      <c r="W126">
        <v>116</v>
      </c>
      <c r="X126">
        <v>1.0977226096077899</v>
      </c>
      <c r="Y126">
        <v>0.346172223417339</v>
      </c>
      <c r="Z126">
        <f t="shared" si="13"/>
        <v>5.3908904384311596</v>
      </c>
    </row>
    <row r="127" spans="2:26">
      <c r="B127">
        <v>117</v>
      </c>
      <c r="C127">
        <f>IF('Lab test'!AQ120&gt;0,'Lab test'!AQ120,NA())</f>
        <v>1.3927701890768724</v>
      </c>
      <c r="D127">
        <f>IF('Lab test'!AU120&gt;0,'Lab test'!AU120,NA())</f>
        <v>0.12406715888618183</v>
      </c>
      <c r="E127">
        <f t="shared" si="12"/>
        <v>6.5710807563074898</v>
      </c>
      <c r="W127">
        <v>117</v>
      </c>
      <c r="X127">
        <v>1.04413869480579</v>
      </c>
      <c r="Y127">
        <v>0.21607176386806001</v>
      </c>
      <c r="Z127">
        <f t="shared" si="13"/>
        <v>5.1765547792231601</v>
      </c>
    </row>
    <row r="128" spans="2:26">
      <c r="B128">
        <v>118</v>
      </c>
      <c r="C128">
        <f>IF('Lab test'!AQ121&gt;0,'Lab test'!AQ121,NA())</f>
        <v>1.3927701890768724</v>
      </c>
      <c r="D128">
        <f>IF('Lab test'!AU121&gt;0,'Lab test'!AU121,NA())</f>
        <v>0.12108954707291349</v>
      </c>
      <c r="E128">
        <f t="shared" si="12"/>
        <v>6.5710807563074898</v>
      </c>
      <c r="W128">
        <v>118</v>
      </c>
      <c r="X128">
        <v>1.02910534714559</v>
      </c>
      <c r="Y128">
        <v>0.20720403679011001</v>
      </c>
      <c r="Z128">
        <f t="shared" si="13"/>
        <v>5.11642138858236</v>
      </c>
    </row>
    <row r="129" spans="2:26">
      <c r="B129">
        <v>119</v>
      </c>
      <c r="C129">
        <f>IF('Lab test'!AQ122&gt;0,'Lab test'!AQ122,NA())</f>
        <v>1.3927701890768724</v>
      </c>
      <c r="D129">
        <f>IF('Lab test'!AU122&gt;0,'Lab test'!AU122,NA())</f>
        <v>0.15582835156104441</v>
      </c>
      <c r="E129">
        <f t="shared" si="12"/>
        <v>6.5710807563074898</v>
      </c>
      <c r="W129">
        <v>119</v>
      </c>
      <c r="X129">
        <v>1.0194334560765701</v>
      </c>
      <c r="Y129">
        <v>0.237041365907597</v>
      </c>
      <c r="Z129">
        <f t="shared" si="13"/>
        <v>5.0777338243062804</v>
      </c>
    </row>
    <row r="130" spans="2:26">
      <c r="B130">
        <v>120</v>
      </c>
      <c r="C130">
        <f>IF('Lab test'!AQ123&gt;0,'Lab test'!AQ123,NA())</f>
        <v>1.3927701890768724</v>
      </c>
      <c r="D130">
        <f>IF('Lab test'!AU123&gt;0,'Lab test'!AU123,NA())</f>
        <v>0.14094029249470261</v>
      </c>
      <c r="E130">
        <f t="shared" si="12"/>
        <v>6.5710807563074898</v>
      </c>
      <c r="W130">
        <v>120</v>
      </c>
      <c r="X130">
        <v>1.0064800305377</v>
      </c>
      <c r="Y130">
        <v>0.248669655257657</v>
      </c>
      <c r="Z130">
        <f t="shared" si="13"/>
        <v>5.0259201221507999</v>
      </c>
    </row>
    <row r="131" spans="2:26">
      <c r="B131">
        <v>121</v>
      </c>
      <c r="C131">
        <f>IF('Lab test'!AQ124&gt;0,'Lab test'!AQ124,NA())</f>
        <v>1.3927701890768724</v>
      </c>
      <c r="D131">
        <f>IF('Lab test'!AU124&gt;0,'Lab test'!AU124,NA())</f>
        <v>0.17865670879610185</v>
      </c>
      <c r="E131">
        <f t="shared" si="12"/>
        <v>6.5710807563074898</v>
      </c>
      <c r="W131">
        <v>121</v>
      </c>
      <c r="X131">
        <v>0.95178778937358499</v>
      </c>
      <c r="Y131">
        <v>0.241778817124288</v>
      </c>
      <c r="Z131">
        <f t="shared" si="13"/>
        <v>4.8071511574943404</v>
      </c>
    </row>
    <row r="132" spans="2:26">
      <c r="B132">
        <v>122</v>
      </c>
      <c r="C132">
        <f>IF('Lab test'!AQ125&gt;0,'Lab test'!AQ125,NA())</f>
        <v>1.3927701890768724</v>
      </c>
      <c r="D132">
        <f>IF('Lab test'!AU125&gt;0,'Lab test'!AU125,NA())</f>
        <v>0.15086566520559713</v>
      </c>
      <c r="E132">
        <f t="shared" si="12"/>
        <v>6.5710807563074898</v>
      </c>
      <c r="W132">
        <v>122</v>
      </c>
      <c r="X132">
        <v>0.94315217234767101</v>
      </c>
      <c r="Y132">
        <v>0.25082304217433399</v>
      </c>
      <c r="Z132">
        <f t="shared" si="13"/>
        <v>4.7726086893906841</v>
      </c>
    </row>
    <row r="133" spans="2:26">
      <c r="B133">
        <v>123</v>
      </c>
      <c r="C133">
        <f>IF('Lab test'!AQ126&gt;0,'Lab test'!AQ126,NA())</f>
        <v>1.3927701890768724</v>
      </c>
      <c r="D133">
        <f>IF('Lab test'!AU126&gt;0,'Lab test'!AU126,NA())</f>
        <v>0.11811193525964513</v>
      </c>
      <c r="E133">
        <f t="shared" si="12"/>
        <v>6.5710807563074898</v>
      </c>
      <c r="W133">
        <v>123</v>
      </c>
      <c r="X133">
        <v>0.94315217234767101</v>
      </c>
      <c r="Y133">
        <v>0.27407962087445398</v>
      </c>
      <c r="Z133">
        <f t="shared" si="13"/>
        <v>4.7726086893906841</v>
      </c>
    </row>
    <row r="134" spans="2:26">
      <c r="B134">
        <v>124</v>
      </c>
      <c r="C134">
        <f>IF('Lab test'!AQ127&gt;0,'Lab test'!AQ127,NA())</f>
        <v>1.3927701890768724</v>
      </c>
      <c r="D134">
        <f>IF('Lab test'!AU127&gt;0,'Lab test'!AU127,NA())</f>
        <v>0.12208208434400294</v>
      </c>
      <c r="E134">
        <f t="shared" si="12"/>
        <v>6.5710807563074898</v>
      </c>
      <c r="W134">
        <v>124</v>
      </c>
      <c r="X134">
        <v>1.0016824655233001</v>
      </c>
      <c r="Y134">
        <v>0.28958400667453299</v>
      </c>
      <c r="Z134">
        <f t="shared" si="13"/>
        <v>5.0067298620932004</v>
      </c>
    </row>
    <row r="135" spans="2:26">
      <c r="B135">
        <v>125</v>
      </c>
      <c r="C135" t="e">
        <f>IF('Lab test'!AQ128&gt;0,'Lab test'!AQ128,NA())</f>
        <v>#N/A</v>
      </c>
      <c r="D135" t="e">
        <f>IF('Lab test'!AU128&gt;0,'Lab test'!AU128,NA())</f>
        <v>#N/A</v>
      </c>
      <c r="E135" t="e">
        <f t="shared" si="12"/>
        <v>#N/A</v>
      </c>
      <c r="W135">
        <v>125</v>
      </c>
      <c r="X135">
        <v>0.97049829292973</v>
      </c>
      <c r="Y135">
        <v>0.28441587807450702</v>
      </c>
      <c r="Z135">
        <f t="shared" si="13"/>
        <v>4.8819931717189196</v>
      </c>
    </row>
    <row r="136" spans="2:26">
      <c r="B136">
        <v>126</v>
      </c>
      <c r="C136" t="e">
        <f>IF('Lab test'!AQ129&gt;0,'Lab test'!AQ129,NA())</f>
        <v>#N/A</v>
      </c>
      <c r="D136" t="e">
        <f>IF('Lab test'!AU129&gt;0,'Lab test'!AU129,NA())</f>
        <v>#N/A</v>
      </c>
      <c r="E136" t="e">
        <f t="shared" si="12"/>
        <v>#N/A</v>
      </c>
      <c r="W136">
        <v>126</v>
      </c>
      <c r="X136">
        <v>0.94842949386350694</v>
      </c>
      <c r="Y136">
        <v>0.31025652107464002</v>
      </c>
      <c r="Z136">
        <f t="shared" si="13"/>
        <v>4.7937179754540278</v>
      </c>
    </row>
    <row r="137" spans="2:26">
      <c r="B137">
        <v>127</v>
      </c>
      <c r="C137" t="e">
        <f>IF('Lab test'!AQ130&gt;0,'Lab test'!AQ130,NA())</f>
        <v>#N/A</v>
      </c>
      <c r="D137" t="e">
        <f>IF('Lab test'!AU130&gt;0,'Lab test'!AU130,NA())</f>
        <v>#N/A</v>
      </c>
      <c r="E137" t="e">
        <f t="shared" si="12"/>
        <v>#N/A</v>
      </c>
      <c r="W137">
        <v>127</v>
      </c>
      <c r="X137">
        <v>0.96905902342541095</v>
      </c>
      <c r="Y137">
        <v>0.31973142350802197</v>
      </c>
      <c r="Z137">
        <f t="shared" si="13"/>
        <v>4.8762360937016442</v>
      </c>
    </row>
    <row r="138" spans="2:26">
      <c r="B138">
        <v>128</v>
      </c>
      <c r="C138" t="e">
        <f>IF('Lab test'!AQ131&gt;0,'Lab test'!AQ131,NA())</f>
        <v>#N/A</v>
      </c>
      <c r="D138" t="e">
        <f>IF('Lab test'!AU131&gt;0,'Lab test'!AU131,NA())</f>
        <v>#N/A</v>
      </c>
      <c r="E138" t="e">
        <f t="shared" si="12"/>
        <v>#N/A</v>
      </c>
      <c r="W138">
        <v>128</v>
      </c>
      <c r="X138">
        <v>1.1796721275574</v>
      </c>
      <c r="Y138">
        <v>0.42567805980856599</v>
      </c>
      <c r="Z138">
        <f t="shared" si="13"/>
        <v>5.7186885102296001</v>
      </c>
    </row>
    <row r="139" spans="2:26">
      <c r="B139">
        <v>129</v>
      </c>
      <c r="C139" t="e">
        <f>IF('Lab test'!AQ132&gt;0,'Lab test'!AQ132,NA())</f>
        <v>#N/A</v>
      </c>
      <c r="D139" t="e">
        <f>IF('Lab test'!AU132&gt;0,'Lab test'!AU132,NA())</f>
        <v>#N/A</v>
      </c>
      <c r="E139" t="e">
        <f t="shared" si="12"/>
        <v>#N/A</v>
      </c>
      <c r="W139">
        <v>129</v>
      </c>
      <c r="X139">
        <v>1.25979146329782</v>
      </c>
      <c r="Y139">
        <v>0.48468086132553601</v>
      </c>
      <c r="Z139">
        <f t="shared" si="13"/>
        <v>6.03916585319128</v>
      </c>
    </row>
    <row r="140" spans="2:26">
      <c r="B140">
        <v>130</v>
      </c>
      <c r="C140" t="e">
        <f>IF('Lab test'!AQ133&gt;0,'Lab test'!AQ133,NA())</f>
        <v>#N/A</v>
      </c>
      <c r="D140" t="e">
        <f>IF('Lab test'!AU133&gt;0,'Lab test'!AU133,NA())</f>
        <v>#N/A</v>
      </c>
      <c r="E140" t="e">
        <f t="shared" ref="E140:E203" si="14">C140*4+1</f>
        <v>#N/A</v>
      </c>
      <c r="W140">
        <v>130</v>
      </c>
      <c r="X140">
        <v>1.21901216067545</v>
      </c>
      <c r="Y140">
        <v>0.48554221609220699</v>
      </c>
      <c r="Z140">
        <f t="shared" ref="Z140:Z203" si="15">X140*4+1</f>
        <v>5.8760486427018002</v>
      </c>
    </row>
    <row r="141" spans="2:26">
      <c r="B141">
        <v>131</v>
      </c>
      <c r="C141" t="e">
        <f>IF('Lab test'!AQ134&gt;0,'Lab test'!AQ134,NA())</f>
        <v>#N/A</v>
      </c>
      <c r="D141" t="e">
        <f>IF('Lab test'!AU134&gt;0,'Lab test'!AU134,NA())</f>
        <v>#N/A</v>
      </c>
      <c r="E141" t="e">
        <f t="shared" si="14"/>
        <v>#N/A</v>
      </c>
      <c r="W141">
        <v>131</v>
      </c>
      <c r="X141">
        <v>1.21901216067545</v>
      </c>
      <c r="Y141">
        <v>0.49846253759227399</v>
      </c>
      <c r="Z141">
        <f t="shared" si="15"/>
        <v>5.8760486427018002</v>
      </c>
    </row>
    <row r="142" spans="2:26">
      <c r="B142">
        <v>132</v>
      </c>
      <c r="C142" t="e">
        <f>IF('Lab test'!AQ135&gt;0,'Lab test'!AQ135,NA())</f>
        <v>#N/A</v>
      </c>
      <c r="D142" t="e">
        <f>IF('Lab test'!AU135&gt;0,'Lab test'!AU135,NA())</f>
        <v>#N/A</v>
      </c>
      <c r="E142" t="e">
        <f t="shared" si="14"/>
        <v>#N/A</v>
      </c>
      <c r="W142">
        <v>132</v>
      </c>
      <c r="X142">
        <v>1.14417014645087</v>
      </c>
      <c r="Y142">
        <v>0.52516453535907703</v>
      </c>
      <c r="Z142">
        <f t="shared" si="15"/>
        <v>5.57668058580348</v>
      </c>
    </row>
    <row r="143" spans="2:26">
      <c r="B143">
        <v>133</v>
      </c>
      <c r="C143" t="e">
        <f>IF('Lab test'!AQ136&gt;0,'Lab test'!AQ136,NA())</f>
        <v>#N/A</v>
      </c>
      <c r="D143" t="e">
        <f>IF('Lab test'!AU136&gt;0,'Lab test'!AU136,NA())</f>
        <v>#N/A</v>
      </c>
      <c r="E143" t="e">
        <f t="shared" si="14"/>
        <v>#N/A</v>
      </c>
      <c r="W143">
        <v>133</v>
      </c>
      <c r="X143">
        <v>1.1024313308256199</v>
      </c>
      <c r="Y143">
        <v>0.54023824377582197</v>
      </c>
      <c r="Z143">
        <f t="shared" si="15"/>
        <v>5.4097253233024798</v>
      </c>
    </row>
    <row r="144" spans="2:26">
      <c r="B144">
        <v>134</v>
      </c>
      <c r="C144" t="e">
        <f>IF('Lab test'!AQ137&gt;0,'Lab test'!AQ137,NA())</f>
        <v>#N/A</v>
      </c>
      <c r="D144" t="e">
        <f>IF('Lab test'!AU137&gt;0,'Lab test'!AU137,NA())</f>
        <v>#N/A</v>
      </c>
      <c r="E144" t="e">
        <f t="shared" si="14"/>
        <v>#N/A</v>
      </c>
      <c r="W144">
        <v>134</v>
      </c>
      <c r="X144">
        <v>1.09667425280835</v>
      </c>
      <c r="Y144">
        <v>0.49544779590892501</v>
      </c>
      <c r="Z144">
        <f t="shared" si="15"/>
        <v>5.3866970112333998</v>
      </c>
    </row>
    <row r="145" spans="2:26">
      <c r="B145">
        <v>135</v>
      </c>
      <c r="C145" t="e">
        <f>IF('Lab test'!AQ138&gt;0,'Lab test'!AQ138,NA())</f>
        <v>#N/A</v>
      </c>
      <c r="D145" t="e">
        <f>IF('Lab test'!AU138&gt;0,'Lab test'!AU138,NA())</f>
        <v>#N/A</v>
      </c>
      <c r="E145" t="e">
        <f t="shared" si="14"/>
        <v>#N/A</v>
      </c>
      <c r="W145">
        <v>135</v>
      </c>
      <c r="X145">
        <v>1.0995527918169801</v>
      </c>
      <c r="Y145">
        <v>0.48468086132553601</v>
      </c>
      <c r="Z145">
        <f t="shared" si="15"/>
        <v>5.3982111672679203</v>
      </c>
    </row>
    <row r="146" spans="2:26">
      <c r="B146">
        <v>136</v>
      </c>
      <c r="C146" t="e">
        <f>IF('Lab test'!AQ139&gt;0,'Lab test'!AQ139,NA())</f>
        <v>#N/A</v>
      </c>
      <c r="D146" t="e">
        <f>IF('Lab test'!AU139&gt;0,'Lab test'!AU139,NA())</f>
        <v>#N/A</v>
      </c>
      <c r="E146" t="e">
        <f t="shared" si="14"/>
        <v>#N/A</v>
      </c>
      <c r="W146">
        <v>136</v>
      </c>
      <c r="X146">
        <v>1.0213524820823301</v>
      </c>
      <c r="Y146">
        <v>0.41275773830849999</v>
      </c>
      <c r="Z146">
        <f t="shared" si="15"/>
        <v>5.0854099283293204</v>
      </c>
    </row>
    <row r="147" spans="2:26">
      <c r="B147">
        <v>137</v>
      </c>
      <c r="C147" t="e">
        <f>IF('Lab test'!AQ140&gt;0,'Lab test'!AQ140,NA())</f>
        <v>#N/A</v>
      </c>
      <c r="D147" t="e">
        <f>IF('Lab test'!AU140&gt;0,'Lab test'!AU140,NA())</f>
        <v>#N/A</v>
      </c>
      <c r="E147" t="e">
        <f t="shared" si="14"/>
        <v>#N/A</v>
      </c>
      <c r="W147">
        <v>137</v>
      </c>
      <c r="X147">
        <v>0.98441123147147902</v>
      </c>
      <c r="Y147">
        <v>0.40758960970847302</v>
      </c>
      <c r="Z147">
        <f t="shared" si="15"/>
        <v>4.9376449258859161</v>
      </c>
    </row>
    <row r="148" spans="2:26">
      <c r="B148">
        <v>138</v>
      </c>
      <c r="C148" t="e">
        <f>IF('Lab test'!AQ141&gt;0,'Lab test'!AQ141,NA())</f>
        <v>#N/A</v>
      </c>
      <c r="D148" t="e">
        <f>IF('Lab test'!AU141&gt;0,'Lab test'!AU141,NA())</f>
        <v>#N/A</v>
      </c>
      <c r="E148" t="e">
        <f t="shared" si="14"/>
        <v>#N/A</v>
      </c>
      <c r="W148">
        <v>138</v>
      </c>
      <c r="X148">
        <v>0.94459144185199095</v>
      </c>
      <c r="Y148">
        <v>0.42438602765855998</v>
      </c>
      <c r="Z148">
        <f t="shared" si="15"/>
        <v>4.7783657674079638</v>
      </c>
    </row>
    <row r="149" spans="2:26">
      <c r="B149">
        <v>139</v>
      </c>
      <c r="C149" t="e">
        <f>IF('Lab test'!AQ142&gt;0,'Lab test'!AQ142,NA())</f>
        <v>#N/A</v>
      </c>
      <c r="D149" t="e">
        <f>IF('Lab test'!AU142&gt;0,'Lab test'!AU142,NA())</f>
        <v>#N/A</v>
      </c>
      <c r="E149" t="e">
        <f t="shared" si="14"/>
        <v>#N/A</v>
      </c>
      <c r="W149">
        <v>139</v>
      </c>
      <c r="X149">
        <v>0.91148824325265698</v>
      </c>
      <c r="Y149">
        <v>0.41620315737518399</v>
      </c>
      <c r="Z149">
        <f t="shared" si="15"/>
        <v>4.6459529730106279</v>
      </c>
    </row>
    <row r="150" spans="2:26">
      <c r="B150">
        <v>140</v>
      </c>
      <c r="C150" t="e">
        <f>IF('Lab test'!AQ143&gt;0,'Lab test'!AQ143,NA())</f>
        <v>#N/A</v>
      </c>
      <c r="D150" t="e">
        <f>IF('Lab test'!AU143&gt;0,'Lab test'!AU143,NA())</f>
        <v>#N/A</v>
      </c>
      <c r="E150" t="e">
        <f t="shared" si="14"/>
        <v>#N/A</v>
      </c>
      <c r="W150">
        <v>140</v>
      </c>
      <c r="X150">
        <v>0.89229798319507203</v>
      </c>
      <c r="Y150">
        <v>0.42697009195857299</v>
      </c>
      <c r="Z150">
        <f t="shared" si="15"/>
        <v>4.5691919327802886</v>
      </c>
    </row>
    <row r="151" spans="2:26">
      <c r="B151">
        <v>141</v>
      </c>
      <c r="C151" t="e">
        <f>IF('Lab test'!AQ144&gt;0,'Lab test'!AQ144,NA())</f>
        <v>#N/A</v>
      </c>
      <c r="D151" t="e">
        <f>IF('Lab test'!AU144&gt;0,'Lab test'!AU144,NA())</f>
        <v>#N/A</v>
      </c>
      <c r="E151" t="e">
        <f t="shared" si="14"/>
        <v>#N/A</v>
      </c>
      <c r="W151">
        <v>141</v>
      </c>
      <c r="X151">
        <v>0.87502674914324496</v>
      </c>
      <c r="Y151">
        <v>0.42050993120854002</v>
      </c>
      <c r="Z151">
        <f t="shared" si="15"/>
        <v>4.5001069965729794</v>
      </c>
    </row>
    <row r="152" spans="2:26">
      <c r="B152">
        <v>142</v>
      </c>
      <c r="C152" t="e">
        <f>IF('Lab test'!AQ145&gt;0,'Lab test'!AQ145,NA())</f>
        <v>#N/A</v>
      </c>
      <c r="D152" t="e">
        <f>IF('Lab test'!AU145&gt;0,'Lab test'!AU145,NA())</f>
        <v>#N/A</v>
      </c>
      <c r="E152" t="e">
        <f t="shared" si="14"/>
        <v>#N/A</v>
      </c>
      <c r="W152">
        <v>142</v>
      </c>
      <c r="X152">
        <v>0.91100848675121704</v>
      </c>
      <c r="Y152">
        <v>0.47563663627549002</v>
      </c>
      <c r="Z152">
        <f t="shared" si="15"/>
        <v>4.6440339470048677</v>
      </c>
    </row>
    <row r="153" spans="2:26">
      <c r="B153">
        <v>143</v>
      </c>
      <c r="C153" t="e">
        <f>IF('Lab test'!AQ146&gt;0,'Lab test'!AQ146,NA())</f>
        <v>#N/A</v>
      </c>
      <c r="D153" t="e">
        <f>IF('Lab test'!AU146&gt;0,'Lab test'!AU146,NA())</f>
        <v>#N/A</v>
      </c>
      <c r="E153" t="e">
        <f t="shared" si="14"/>
        <v>#N/A</v>
      </c>
      <c r="W153">
        <v>143</v>
      </c>
      <c r="X153">
        <v>0.87454699264180602</v>
      </c>
      <c r="Y153">
        <v>0.48295815179219398</v>
      </c>
      <c r="Z153">
        <f t="shared" si="15"/>
        <v>4.4981879705672245</v>
      </c>
    </row>
    <row r="154" spans="2:26">
      <c r="B154">
        <v>144</v>
      </c>
      <c r="C154" t="e">
        <f>IF('Lab test'!AQ147&gt;0,'Lab test'!AQ147,NA())</f>
        <v>#N/A</v>
      </c>
      <c r="D154" t="e">
        <f>IF('Lab test'!AU147&gt;0,'Lab test'!AU147,NA())</f>
        <v>#N/A</v>
      </c>
      <c r="E154" t="e">
        <f t="shared" si="14"/>
        <v>#N/A</v>
      </c>
      <c r="W154">
        <v>144</v>
      </c>
      <c r="X154">
        <v>0.85343770657846196</v>
      </c>
      <c r="Y154">
        <v>0.45539479925871901</v>
      </c>
      <c r="Z154">
        <f t="shared" si="15"/>
        <v>4.4137508263138479</v>
      </c>
    </row>
    <row r="155" spans="2:26">
      <c r="B155">
        <v>145</v>
      </c>
      <c r="C155" t="e">
        <f>IF('Lab test'!AQ148&gt;0,'Lab test'!AQ148,NA())</f>
        <v>#N/A</v>
      </c>
      <c r="D155" t="e">
        <f>IF('Lab test'!AU148&gt;0,'Lab test'!AU148,NA())</f>
        <v>#N/A</v>
      </c>
      <c r="E155" t="e">
        <f t="shared" si="14"/>
        <v>#N/A</v>
      </c>
      <c r="W155">
        <v>145</v>
      </c>
      <c r="X155">
        <v>0.97673512744844504</v>
      </c>
      <c r="Y155">
        <v>0.50190795665895804</v>
      </c>
      <c r="Z155">
        <f t="shared" si="15"/>
        <v>4.9069405097937802</v>
      </c>
    </row>
    <row r="156" spans="2:26">
      <c r="B156">
        <v>146</v>
      </c>
      <c r="C156" t="e">
        <f>IF('Lab test'!AQ149&gt;0,'Lab test'!AQ149,NA())</f>
        <v>#N/A</v>
      </c>
      <c r="D156" t="e">
        <f>IF('Lab test'!AU149&gt;0,'Lab test'!AU149,NA())</f>
        <v>#N/A</v>
      </c>
      <c r="E156" t="e">
        <f t="shared" si="14"/>
        <v>#N/A</v>
      </c>
      <c r="W156">
        <v>146</v>
      </c>
      <c r="X156">
        <v>0.78915033538555301</v>
      </c>
      <c r="Y156">
        <v>0.49415576375891801</v>
      </c>
      <c r="Z156">
        <f t="shared" si="15"/>
        <v>4.1566013415422116</v>
      </c>
    </row>
    <row r="157" spans="2:26">
      <c r="B157">
        <v>147</v>
      </c>
      <c r="C157" t="e">
        <f>IF('Lab test'!AQ150&gt;0,'Lab test'!AQ150,NA())</f>
        <v>#N/A</v>
      </c>
      <c r="D157" t="e">
        <f>IF('Lab test'!AU150&gt;0,'Lab test'!AU150,NA())</f>
        <v>#N/A</v>
      </c>
      <c r="E157" t="e">
        <f t="shared" si="14"/>
        <v>#N/A</v>
      </c>
      <c r="W157">
        <v>147</v>
      </c>
      <c r="X157">
        <v>0.751729328273263</v>
      </c>
      <c r="Y157">
        <v>0.53722350209247305</v>
      </c>
      <c r="Z157">
        <f t="shared" si="15"/>
        <v>4.0069173130930515</v>
      </c>
    </row>
    <row r="158" spans="2:26">
      <c r="B158">
        <v>148</v>
      </c>
      <c r="C158" t="e">
        <f>IF('Lab test'!AQ151&gt;0,'Lab test'!AQ151,NA())</f>
        <v>#N/A</v>
      </c>
      <c r="D158" t="e">
        <f>IF('Lab test'!AU151&gt;0,'Lab test'!AU151,NA())</f>
        <v>#N/A</v>
      </c>
      <c r="E158" t="e">
        <f t="shared" si="14"/>
        <v>#N/A</v>
      </c>
      <c r="W158">
        <v>148</v>
      </c>
      <c r="X158">
        <v>0.87118869713172797</v>
      </c>
      <c r="Y158">
        <v>0.58244462734270497</v>
      </c>
      <c r="Z158">
        <f t="shared" si="15"/>
        <v>4.4847547885269119</v>
      </c>
    </row>
    <row r="159" spans="2:26">
      <c r="B159">
        <v>149</v>
      </c>
      <c r="C159" t="e">
        <f>IF('Lab test'!AQ152&gt;0,'Lab test'!AQ152,NA())</f>
        <v>#N/A</v>
      </c>
      <c r="D159" t="e">
        <f>IF('Lab test'!AU152&gt;0,'Lab test'!AU152,NA())</f>
        <v>#N/A</v>
      </c>
      <c r="E159" t="e">
        <f t="shared" si="14"/>
        <v>#N/A</v>
      </c>
      <c r="W159">
        <v>149</v>
      </c>
      <c r="X159">
        <v>0.99448611800171105</v>
      </c>
      <c r="Y159">
        <v>0.54325298545917</v>
      </c>
      <c r="Z159">
        <f t="shared" si="15"/>
        <v>4.9779444720068442</v>
      </c>
    </row>
    <row r="160" spans="2:26">
      <c r="B160">
        <v>150</v>
      </c>
      <c r="C160" t="e">
        <f>IF('Lab test'!AQ153&gt;0,'Lab test'!AQ153,NA())</f>
        <v>#N/A</v>
      </c>
      <c r="D160" t="e">
        <f>IF('Lab test'!AU153&gt;0,'Lab test'!AU153,NA())</f>
        <v>#N/A</v>
      </c>
      <c r="E160" t="e">
        <f t="shared" si="14"/>
        <v>#N/A</v>
      </c>
      <c r="W160">
        <v>150</v>
      </c>
      <c r="X160">
        <v>1.0223119950852</v>
      </c>
      <c r="Y160">
        <v>0.54669840452585505</v>
      </c>
      <c r="Z160">
        <f t="shared" si="15"/>
        <v>5.0892479803407999</v>
      </c>
    </row>
    <row r="161" spans="2:26">
      <c r="B161">
        <v>151</v>
      </c>
      <c r="C161" t="e">
        <f>IF('Lab test'!AQ154&gt;0,'Lab test'!AQ154,NA())</f>
        <v>#N/A</v>
      </c>
      <c r="D161" t="e">
        <f>IF('Lab test'!AU154&gt;0,'Lab test'!AU154,NA())</f>
        <v>#N/A</v>
      </c>
      <c r="E161" t="e">
        <f t="shared" si="14"/>
        <v>#N/A</v>
      </c>
      <c r="W161">
        <v>151</v>
      </c>
      <c r="X161">
        <v>1.0232715080880801</v>
      </c>
      <c r="Y161">
        <v>0.627665752592937</v>
      </c>
      <c r="Z161">
        <f t="shared" si="15"/>
        <v>5.0930860323523204</v>
      </c>
    </row>
    <row r="162" spans="2:26">
      <c r="B162">
        <v>152</v>
      </c>
      <c r="C162" t="e">
        <f>IF('Lab test'!AQ155&gt;0,'Lab test'!AQ155,NA())</f>
        <v>#N/A</v>
      </c>
      <c r="D162" t="e">
        <f>IF('Lab test'!AU155&gt;0,'Lab test'!AU155,NA())</f>
        <v>#N/A</v>
      </c>
      <c r="E162" t="e">
        <f t="shared" si="14"/>
        <v>#N/A</v>
      </c>
      <c r="W162">
        <v>152</v>
      </c>
      <c r="X162">
        <v>1.0592532456960599</v>
      </c>
      <c r="Y162">
        <v>0.58416733687604705</v>
      </c>
      <c r="Z162">
        <f t="shared" si="15"/>
        <v>5.2370129827842398</v>
      </c>
    </row>
    <row r="163" spans="2:26">
      <c r="B163">
        <v>153</v>
      </c>
      <c r="C163" t="e">
        <f>IF('Lab test'!AQ156&gt;0,'Lab test'!AQ156,NA())</f>
        <v>#N/A</v>
      </c>
      <c r="D163" t="e">
        <f>IF('Lab test'!AU156&gt;0,'Lab test'!AU156,NA())</f>
        <v>#N/A</v>
      </c>
      <c r="E163" t="e">
        <f t="shared" si="14"/>
        <v>#N/A</v>
      </c>
      <c r="W163">
        <v>153</v>
      </c>
      <c r="X163">
        <v>0.98489098797291796</v>
      </c>
      <c r="Y163">
        <v>0.59450359407610098</v>
      </c>
      <c r="Z163">
        <f t="shared" si="15"/>
        <v>4.9395639518916719</v>
      </c>
    </row>
    <row r="164" spans="2:26">
      <c r="B164">
        <v>154</v>
      </c>
      <c r="C164" t="e">
        <f>IF('Lab test'!AQ157&gt;0,'Lab test'!AQ157,NA())</f>
        <v>#N/A</v>
      </c>
      <c r="D164" t="e">
        <f>IF('Lab test'!AU157&gt;0,'Lab test'!AU157,NA())</f>
        <v>#N/A</v>
      </c>
      <c r="E164" t="e">
        <f t="shared" si="14"/>
        <v>#N/A</v>
      </c>
      <c r="W164">
        <v>154</v>
      </c>
      <c r="X164">
        <v>1.0352654206240699</v>
      </c>
      <c r="Y164">
        <v>0.57426175705933002</v>
      </c>
      <c r="Z164">
        <f t="shared" si="15"/>
        <v>5.1410616824962796</v>
      </c>
    </row>
    <row r="165" spans="2:26">
      <c r="B165">
        <v>155</v>
      </c>
      <c r="C165" t="e">
        <f>IF('Lab test'!AQ158&gt;0,'Lab test'!AQ158,NA())</f>
        <v>#N/A</v>
      </c>
      <c r="D165" t="e">
        <f>IF('Lab test'!AU158&gt;0,'Lab test'!AU158,NA())</f>
        <v>#N/A</v>
      </c>
      <c r="E165" t="e">
        <f t="shared" si="14"/>
        <v>#N/A</v>
      </c>
      <c r="W165">
        <v>155</v>
      </c>
      <c r="X165">
        <v>1.0237512645895199</v>
      </c>
      <c r="Y165">
        <v>0.58804343332606701</v>
      </c>
      <c r="Z165">
        <f t="shared" si="15"/>
        <v>5.0950050583580797</v>
      </c>
    </row>
    <row r="166" spans="2:26">
      <c r="B166">
        <v>156</v>
      </c>
      <c r="C166" t="e">
        <f>IF('Lab test'!AQ159&gt;0,'Lab test'!AQ159,NA())</f>
        <v>#N/A</v>
      </c>
      <c r="D166" t="e">
        <f>IF('Lab test'!AU159&gt;0,'Lab test'!AU159,NA())</f>
        <v>#N/A</v>
      </c>
      <c r="E166" t="e">
        <f t="shared" si="14"/>
        <v>#N/A</v>
      </c>
      <c r="W166">
        <v>156</v>
      </c>
      <c r="X166">
        <v>1.0218322385837599</v>
      </c>
      <c r="Y166">
        <v>0.57253904752598705</v>
      </c>
      <c r="Z166">
        <f t="shared" si="15"/>
        <v>5.0873289543350397</v>
      </c>
    </row>
    <row r="167" spans="2:26">
      <c r="B167">
        <v>157</v>
      </c>
      <c r="C167" t="e">
        <f>IF('Lab test'!AQ160&gt;0,'Lab test'!AQ160,NA())</f>
        <v>#N/A</v>
      </c>
      <c r="D167" t="e">
        <f>IF('Lab test'!AU160&gt;0,'Lab test'!AU160,NA())</f>
        <v>#N/A</v>
      </c>
      <c r="E167" t="e">
        <f t="shared" si="14"/>
        <v>#N/A</v>
      </c>
      <c r="W167">
        <v>157</v>
      </c>
      <c r="X167">
        <v>0.89037895718931304</v>
      </c>
      <c r="Y167">
        <v>0.62809642997627302</v>
      </c>
      <c r="Z167">
        <f t="shared" si="15"/>
        <v>4.5615158287572521</v>
      </c>
    </row>
    <row r="168" spans="2:26">
      <c r="B168">
        <v>158</v>
      </c>
      <c r="C168" t="e">
        <f>IF('Lab test'!AQ161&gt;0,'Lab test'!AQ161,NA())</f>
        <v>#N/A</v>
      </c>
      <c r="D168" t="e">
        <f>IF('Lab test'!AU161&gt;0,'Lab test'!AU161,NA())</f>
        <v>#N/A</v>
      </c>
      <c r="E168" t="e">
        <f t="shared" si="14"/>
        <v>#N/A</v>
      </c>
      <c r="W168">
        <v>158</v>
      </c>
      <c r="X168">
        <v>0.87214821013460797</v>
      </c>
      <c r="Y168">
        <v>0.64747691222637305</v>
      </c>
      <c r="Z168">
        <f t="shared" si="15"/>
        <v>4.4885928405384323</v>
      </c>
    </row>
    <row r="169" spans="2:26">
      <c r="B169">
        <v>159</v>
      </c>
      <c r="C169" t="e">
        <f>IF('Lab test'!AQ162&gt;0,'Lab test'!AQ162,NA())</f>
        <v>#N/A</v>
      </c>
      <c r="D169" t="e">
        <f>IF('Lab test'!AU162&gt;0,'Lab test'!AU162,NA())</f>
        <v>#N/A</v>
      </c>
      <c r="E169" t="e">
        <f t="shared" si="14"/>
        <v>#N/A</v>
      </c>
      <c r="W169">
        <v>159</v>
      </c>
      <c r="X169">
        <v>0.97097804943116905</v>
      </c>
      <c r="Y169">
        <v>0.68666855410990701</v>
      </c>
      <c r="Z169">
        <f t="shared" si="15"/>
        <v>4.8839121977246762</v>
      </c>
    </row>
    <row r="170" spans="2:26">
      <c r="B170">
        <v>160</v>
      </c>
      <c r="C170" t="e">
        <f>IF('Lab test'!AQ163&gt;0,'Lab test'!AQ163,NA())</f>
        <v>#N/A</v>
      </c>
      <c r="D170" t="e">
        <f>IF('Lab test'!AU163&gt;0,'Lab test'!AU163,NA())</f>
        <v>#N/A</v>
      </c>
      <c r="E170" t="e">
        <f t="shared" si="14"/>
        <v>#N/A</v>
      </c>
      <c r="W170">
        <v>160</v>
      </c>
      <c r="X170">
        <v>0.98297196196715997</v>
      </c>
      <c r="Y170">
        <v>0.71121716496003295</v>
      </c>
      <c r="Z170">
        <f t="shared" si="15"/>
        <v>4.9318878478686399</v>
      </c>
    </row>
    <row r="171" spans="2:26">
      <c r="B171">
        <v>161</v>
      </c>
      <c r="C171" t="e">
        <f>IF('Lab test'!AQ164&gt;0,'Lab test'!AQ164,NA())</f>
        <v>#N/A</v>
      </c>
      <c r="D171" t="e">
        <f>IF('Lab test'!AU164&gt;0,'Lab test'!AU164,NA())</f>
        <v>#N/A</v>
      </c>
      <c r="E171" t="e">
        <f t="shared" si="14"/>
        <v>#N/A</v>
      </c>
      <c r="W171">
        <v>161</v>
      </c>
      <c r="X171">
        <v>0.972417318935488</v>
      </c>
      <c r="Y171">
        <v>0.71121716496003295</v>
      </c>
      <c r="Z171">
        <f t="shared" si="15"/>
        <v>4.8896692757419515</v>
      </c>
    </row>
    <row r="172" spans="2:26">
      <c r="B172">
        <v>162</v>
      </c>
      <c r="C172" t="e">
        <f>IF('Lab test'!AQ165&gt;0,'Lab test'!AQ165,NA())</f>
        <v>#N/A</v>
      </c>
      <c r="D172" t="e">
        <f>IF('Lab test'!AU165&gt;0,'Lab test'!AU165,NA())</f>
        <v>#N/A</v>
      </c>
      <c r="E172" t="e">
        <f t="shared" si="14"/>
        <v>#N/A</v>
      </c>
      <c r="W172">
        <v>162</v>
      </c>
      <c r="X172">
        <v>0.98345171846860002</v>
      </c>
      <c r="Y172">
        <v>0.73878051749350804</v>
      </c>
      <c r="Z172">
        <f t="shared" si="15"/>
        <v>4.9338068738744001</v>
      </c>
    </row>
    <row r="173" spans="2:26">
      <c r="B173">
        <v>163</v>
      </c>
      <c r="C173" t="e">
        <f>IF('Lab test'!AQ166&gt;0,'Lab test'!AQ166,NA())</f>
        <v>#N/A</v>
      </c>
      <c r="D173" t="e">
        <f>IF('Lab test'!AU166&gt;0,'Lab test'!AU166,NA())</f>
        <v>#N/A</v>
      </c>
      <c r="E173" t="e">
        <f t="shared" si="14"/>
        <v>#N/A</v>
      </c>
      <c r="W173">
        <v>163</v>
      </c>
      <c r="X173">
        <v>0.87070894063028903</v>
      </c>
      <c r="Y173">
        <v>0.75213151637691</v>
      </c>
      <c r="Z173">
        <f t="shared" si="15"/>
        <v>4.4828357625211561</v>
      </c>
    </row>
    <row r="174" spans="2:26">
      <c r="B174">
        <v>164</v>
      </c>
      <c r="C174" t="e">
        <f>IF('Lab test'!AQ167&gt;0,'Lab test'!AQ167,NA())</f>
        <v>#N/A</v>
      </c>
      <c r="D174" t="e">
        <f>IF('Lab test'!AU167&gt;0,'Lab test'!AU167,NA())</f>
        <v>#N/A</v>
      </c>
      <c r="E174" t="e">
        <f t="shared" si="14"/>
        <v>#N/A</v>
      </c>
      <c r="W174">
        <v>164</v>
      </c>
      <c r="X174">
        <v>0.86351259310869399</v>
      </c>
      <c r="Y174">
        <v>0.83137615491065098</v>
      </c>
      <c r="Z174">
        <f t="shared" si="15"/>
        <v>4.454050372434776</v>
      </c>
    </row>
    <row r="175" spans="2:26">
      <c r="B175">
        <v>165</v>
      </c>
      <c r="C175" t="e">
        <f>IF('Lab test'!AQ168&gt;0,'Lab test'!AQ168,NA())</f>
        <v>#N/A</v>
      </c>
      <c r="D175" t="e">
        <f>IF('Lab test'!AU168&gt;0,'Lab test'!AU168,NA())</f>
        <v>#N/A</v>
      </c>
      <c r="E175" t="e">
        <f t="shared" si="14"/>
        <v>#N/A</v>
      </c>
      <c r="W175">
        <v>165</v>
      </c>
      <c r="X175">
        <v>0.87118869713172797</v>
      </c>
      <c r="Y175">
        <v>0.78830841657709605</v>
      </c>
      <c r="Z175">
        <f t="shared" si="15"/>
        <v>4.4847547885269119</v>
      </c>
    </row>
    <row r="176" spans="2:26">
      <c r="B176">
        <v>166</v>
      </c>
      <c r="C176" t="e">
        <f>IF('Lab test'!AQ169&gt;0,'Lab test'!AQ169,NA())</f>
        <v>#N/A</v>
      </c>
      <c r="D176" t="e">
        <f>IF('Lab test'!AU169&gt;0,'Lab test'!AU169,NA())</f>
        <v>#N/A</v>
      </c>
      <c r="E176" t="e">
        <f t="shared" si="14"/>
        <v>#N/A</v>
      </c>
      <c r="W176">
        <v>166</v>
      </c>
      <c r="X176">
        <v>0.860634054100057</v>
      </c>
      <c r="Y176">
        <v>0.773234708160352</v>
      </c>
      <c r="Z176">
        <f t="shared" si="15"/>
        <v>4.442536216400228</v>
      </c>
    </row>
    <row r="177" spans="2:26">
      <c r="B177">
        <v>167</v>
      </c>
      <c r="C177" t="e">
        <f>IF('Lab test'!AQ170&gt;0,'Lab test'!AQ170,NA())</f>
        <v>#N/A</v>
      </c>
      <c r="D177" t="e">
        <f>IF('Lab test'!AU170&gt;0,'Lab test'!AU170,NA())</f>
        <v>#N/A</v>
      </c>
      <c r="E177" t="e">
        <f t="shared" si="14"/>
        <v>#N/A</v>
      </c>
      <c r="W177">
        <v>167</v>
      </c>
      <c r="X177">
        <v>0.88030407065908101</v>
      </c>
      <c r="Y177">
        <v>0.77840283676037902</v>
      </c>
      <c r="Z177">
        <f t="shared" si="15"/>
        <v>4.521216282636324</v>
      </c>
    </row>
    <row r="178" spans="2:26">
      <c r="B178">
        <v>168</v>
      </c>
      <c r="C178" t="e">
        <f>IF('Lab test'!AQ171&gt;0,'Lab test'!AQ171,NA())</f>
        <v>#N/A</v>
      </c>
      <c r="D178" t="e">
        <f>IF('Lab test'!AU171&gt;0,'Lab test'!AU171,NA())</f>
        <v>#N/A</v>
      </c>
      <c r="E178" t="e">
        <f t="shared" si="14"/>
        <v>#N/A</v>
      </c>
      <c r="W178">
        <v>168</v>
      </c>
      <c r="X178">
        <v>0.78147423136251903</v>
      </c>
      <c r="Y178">
        <v>0.75773032236027205</v>
      </c>
      <c r="Z178">
        <f t="shared" si="15"/>
        <v>4.1258969254500766</v>
      </c>
    </row>
    <row r="179" spans="2:26">
      <c r="B179">
        <v>169</v>
      </c>
      <c r="C179" t="e">
        <f>IF('Lab test'!AQ172&gt;0,'Lab test'!AQ172,NA())</f>
        <v>#N/A</v>
      </c>
      <c r="D179" t="e">
        <f>IF('Lab test'!AU172&gt;0,'Lab test'!AU172,NA())</f>
        <v>#N/A</v>
      </c>
      <c r="E179" t="e">
        <f t="shared" si="14"/>
        <v>#N/A</v>
      </c>
      <c r="W179">
        <v>169</v>
      </c>
      <c r="X179">
        <v>0.77619690984668299</v>
      </c>
      <c r="Y179">
        <v>0.64101675147633896</v>
      </c>
      <c r="Z179">
        <f t="shared" si="15"/>
        <v>4.104787639386732</v>
      </c>
    </row>
    <row r="180" spans="2:26">
      <c r="B180">
        <v>170</v>
      </c>
      <c r="C180" t="e">
        <f>IF('Lab test'!AQ173&gt;0,'Lab test'!AQ173,NA())</f>
        <v>#N/A</v>
      </c>
      <c r="D180" t="e">
        <f>IF('Lab test'!AU173&gt;0,'Lab test'!AU173,NA())</f>
        <v>#N/A</v>
      </c>
      <c r="E180" t="e">
        <f t="shared" si="14"/>
        <v>#N/A</v>
      </c>
      <c r="W180">
        <v>170</v>
      </c>
      <c r="X180">
        <v>0.76852080582364901</v>
      </c>
      <c r="Y180">
        <v>0.66384265279312304</v>
      </c>
      <c r="Z180">
        <f t="shared" si="15"/>
        <v>4.074083223294596</v>
      </c>
    </row>
    <row r="181" spans="2:26">
      <c r="B181">
        <v>171</v>
      </c>
      <c r="C181" t="e">
        <f>IF('Lab test'!AQ174&gt;0,'Lab test'!AQ174,NA())</f>
        <v>#N/A</v>
      </c>
      <c r="D181" t="e">
        <f>IF('Lab test'!AU174&gt;0,'Lab test'!AU174,NA())</f>
        <v>#N/A</v>
      </c>
      <c r="E181" t="e">
        <f t="shared" si="14"/>
        <v>#N/A</v>
      </c>
      <c r="W181">
        <v>171</v>
      </c>
      <c r="X181">
        <v>0.74741151976030595</v>
      </c>
      <c r="Y181">
        <v>0.69442074700994705</v>
      </c>
      <c r="Z181">
        <f t="shared" si="15"/>
        <v>3.9896460790412238</v>
      </c>
    </row>
    <row r="182" spans="2:26">
      <c r="B182">
        <v>172</v>
      </c>
      <c r="C182" t="e">
        <f>IF('Lab test'!AQ175&gt;0,'Lab test'!AQ175,NA())</f>
        <v>#N/A</v>
      </c>
      <c r="D182" t="e">
        <f>IF('Lab test'!AU175&gt;0,'Lab test'!AU175,NA())</f>
        <v>#N/A</v>
      </c>
      <c r="E182" t="e">
        <f t="shared" si="14"/>
        <v>#N/A</v>
      </c>
      <c r="W182">
        <v>172</v>
      </c>
      <c r="X182">
        <v>0.71286905165665404</v>
      </c>
      <c r="Y182">
        <v>0.66901078139314996</v>
      </c>
      <c r="Z182">
        <f t="shared" si="15"/>
        <v>3.8514762066266162</v>
      </c>
    </row>
    <row r="183" spans="2:26">
      <c r="B183">
        <v>173</v>
      </c>
      <c r="C183" t="e">
        <f>IF('Lab test'!AQ176&gt;0,'Lab test'!AQ176,NA())</f>
        <v>#N/A</v>
      </c>
      <c r="D183" t="e">
        <f>IF('Lab test'!AU176&gt;0,'Lab test'!AU176,NA())</f>
        <v>#N/A</v>
      </c>
      <c r="E183" t="e">
        <f t="shared" si="14"/>
        <v>#N/A</v>
      </c>
      <c r="W183">
        <v>173</v>
      </c>
      <c r="X183">
        <v>0.67736707055012202</v>
      </c>
      <c r="Y183">
        <v>0.705187681593336</v>
      </c>
      <c r="Z183">
        <f t="shared" si="15"/>
        <v>3.7094682822004881</v>
      </c>
    </row>
    <row r="184" spans="2:26">
      <c r="B184">
        <v>174</v>
      </c>
      <c r="C184" t="e">
        <f>IF('Lab test'!AQ177&gt;0,'Lab test'!AQ177,NA())</f>
        <v>#N/A</v>
      </c>
      <c r="D184" t="e">
        <f>IF('Lab test'!AU177&gt;0,'Lab test'!AU177,NA())</f>
        <v>#N/A</v>
      </c>
      <c r="E184" t="e">
        <f t="shared" si="14"/>
        <v>#N/A</v>
      </c>
      <c r="W184">
        <v>174</v>
      </c>
      <c r="X184">
        <v>0.67496828804292397</v>
      </c>
      <c r="Y184">
        <v>0.74524067824354201</v>
      </c>
      <c r="Z184">
        <f t="shared" si="15"/>
        <v>3.6998731521716959</v>
      </c>
    </row>
    <row r="185" spans="2:26">
      <c r="B185">
        <v>175</v>
      </c>
      <c r="C185" t="e">
        <f>IF('Lab test'!AQ178&gt;0,'Lab test'!AQ178,NA())</f>
        <v>#N/A</v>
      </c>
      <c r="D185" t="e">
        <f>IF('Lab test'!AU178&gt;0,'Lab test'!AU178,NA())</f>
        <v>#N/A</v>
      </c>
      <c r="E185" t="e">
        <f t="shared" si="14"/>
        <v>#N/A</v>
      </c>
      <c r="W185">
        <v>175</v>
      </c>
      <c r="X185">
        <v>0.65577802798533902</v>
      </c>
      <c r="Y185">
        <v>0.68623787672657199</v>
      </c>
      <c r="Z185">
        <f t="shared" si="15"/>
        <v>3.6231121119413561</v>
      </c>
    </row>
    <row r="186" spans="2:26">
      <c r="B186">
        <v>176</v>
      </c>
      <c r="C186" t="e">
        <f>IF('Lab test'!AQ179&gt;0,'Lab test'!AQ179,NA())</f>
        <v>#N/A</v>
      </c>
      <c r="D186" t="e">
        <f>IF('Lab test'!AU179&gt;0,'Lab test'!AU179,NA())</f>
        <v>#N/A</v>
      </c>
      <c r="E186" t="e">
        <f t="shared" si="14"/>
        <v>#N/A</v>
      </c>
      <c r="W186">
        <v>176</v>
      </c>
      <c r="X186">
        <v>0.64858168046374398</v>
      </c>
      <c r="Y186">
        <v>0.67030281354315702</v>
      </c>
      <c r="Z186">
        <f t="shared" si="15"/>
        <v>3.5943267218549759</v>
      </c>
    </row>
    <row r="187" spans="2:26">
      <c r="B187">
        <v>177</v>
      </c>
      <c r="C187" t="e">
        <f>IF('Lab test'!AQ180&gt;0,'Lab test'!AQ180,NA())</f>
        <v>#N/A</v>
      </c>
      <c r="D187" t="e">
        <f>IF('Lab test'!AU180&gt;0,'Lab test'!AU180,NA())</f>
        <v>#N/A</v>
      </c>
      <c r="E187" t="e">
        <f t="shared" si="14"/>
        <v>#N/A</v>
      </c>
      <c r="W187">
        <v>177</v>
      </c>
      <c r="X187">
        <v>0.62555336839464304</v>
      </c>
      <c r="Y187">
        <v>0.61689881800954904</v>
      </c>
      <c r="Z187">
        <f t="shared" si="15"/>
        <v>3.5022134735785722</v>
      </c>
    </row>
    <row r="188" spans="2:26">
      <c r="B188">
        <v>178</v>
      </c>
      <c r="C188" t="e">
        <f>IF('Lab test'!AQ181&gt;0,'Lab test'!AQ181,NA())</f>
        <v>#N/A</v>
      </c>
      <c r="D188" t="e">
        <f>IF('Lab test'!AU181&gt;0,'Lab test'!AU181,NA())</f>
        <v>#N/A</v>
      </c>
      <c r="E188" t="e">
        <f t="shared" si="14"/>
        <v>#N/A</v>
      </c>
      <c r="W188">
        <v>178</v>
      </c>
      <c r="X188">
        <v>0.59245016979530896</v>
      </c>
      <c r="Y188">
        <v>0.658243846809761</v>
      </c>
      <c r="Z188">
        <f t="shared" si="15"/>
        <v>3.3698006791812358</v>
      </c>
    </row>
    <row r="189" spans="2:26">
      <c r="B189">
        <v>179</v>
      </c>
      <c r="C189" t="e">
        <f>IF('Lab test'!AQ182&gt;0,'Lab test'!AQ182,NA())</f>
        <v>#N/A</v>
      </c>
      <c r="D189" t="e">
        <f>IF('Lab test'!AU182&gt;0,'Lab test'!AU182,NA())</f>
        <v>#N/A</v>
      </c>
      <c r="E189" t="e">
        <f t="shared" si="14"/>
        <v>#N/A</v>
      </c>
      <c r="W189">
        <v>179</v>
      </c>
      <c r="X189">
        <v>0.58525382227371403</v>
      </c>
      <c r="Y189">
        <v>0.627665752592937</v>
      </c>
      <c r="Z189">
        <f t="shared" si="15"/>
        <v>3.3410152890948561</v>
      </c>
    </row>
    <row r="190" spans="2:26">
      <c r="B190">
        <v>180</v>
      </c>
      <c r="C190" t="e">
        <f>IF('Lab test'!AQ183&gt;0,'Lab test'!AQ183,NA())</f>
        <v>#N/A</v>
      </c>
      <c r="D190" t="e">
        <f>IF('Lab test'!AU183&gt;0,'Lab test'!AU183,NA())</f>
        <v>#N/A</v>
      </c>
      <c r="E190" t="e">
        <f t="shared" si="14"/>
        <v>#N/A</v>
      </c>
      <c r="W190">
        <v>180</v>
      </c>
      <c r="X190">
        <v>0.59388943929962801</v>
      </c>
      <c r="Y190">
        <v>0.61862152754289101</v>
      </c>
      <c r="Z190">
        <f t="shared" si="15"/>
        <v>3.375557757198512</v>
      </c>
    </row>
    <row r="191" spans="2:26">
      <c r="B191">
        <v>181</v>
      </c>
      <c r="C191" t="e">
        <f>IF('Lab test'!AQ184&gt;0,'Lab test'!AQ184,NA())</f>
        <v>#N/A</v>
      </c>
      <c r="D191" t="e">
        <f>IF('Lab test'!AU184&gt;0,'Lab test'!AU184,NA())</f>
        <v>#N/A</v>
      </c>
      <c r="E191" t="e">
        <f t="shared" si="14"/>
        <v>#N/A</v>
      </c>
      <c r="W191">
        <v>181</v>
      </c>
      <c r="X191">
        <v>0.62075580338024605</v>
      </c>
      <c r="Y191">
        <v>0.68752990887657806</v>
      </c>
      <c r="Z191">
        <f t="shared" si="15"/>
        <v>3.4830232135209842</v>
      </c>
    </row>
    <row r="192" spans="2:26">
      <c r="B192">
        <v>182</v>
      </c>
      <c r="C192" t="e">
        <f>IF('Lab test'!AQ185&gt;0,'Lab test'!AQ185,NA())</f>
        <v>#N/A</v>
      </c>
      <c r="D192" t="e">
        <f>IF('Lab test'!AU185&gt;0,'Lab test'!AU185,NA())</f>
        <v>#N/A</v>
      </c>
      <c r="E192" t="e">
        <f t="shared" si="14"/>
        <v>#N/A</v>
      </c>
      <c r="W192">
        <v>182</v>
      </c>
      <c r="X192">
        <v>0.63610801142631401</v>
      </c>
      <c r="Y192">
        <v>0.71293987449337604</v>
      </c>
      <c r="Z192">
        <f t="shared" si="15"/>
        <v>3.5444320457052561</v>
      </c>
    </row>
    <row r="193" spans="2:26">
      <c r="B193">
        <v>183</v>
      </c>
      <c r="C193" t="e">
        <f>IF('Lab test'!AQ186&gt;0,'Lab test'!AQ186,NA())</f>
        <v>#N/A</v>
      </c>
      <c r="D193" t="e">
        <f>IF('Lab test'!AU186&gt;0,'Lab test'!AU186,NA())</f>
        <v>#N/A</v>
      </c>
      <c r="E193" t="e">
        <f t="shared" si="14"/>
        <v>#N/A</v>
      </c>
      <c r="W193">
        <v>183</v>
      </c>
      <c r="X193">
        <v>0.68744195708035405</v>
      </c>
      <c r="Y193">
        <v>0.77452674031035895</v>
      </c>
      <c r="Z193">
        <f t="shared" si="15"/>
        <v>3.7497678283214162</v>
      </c>
    </row>
    <row r="194" spans="2:26">
      <c r="B194">
        <v>184</v>
      </c>
      <c r="C194" t="e">
        <f>IF('Lab test'!AQ187&gt;0,'Lab test'!AQ187,NA())</f>
        <v>#N/A</v>
      </c>
      <c r="D194" t="e">
        <f>IF('Lab test'!AU187&gt;0,'Lab test'!AU187,NA())</f>
        <v>#N/A</v>
      </c>
      <c r="E194" t="e">
        <f t="shared" si="14"/>
        <v>#N/A</v>
      </c>
      <c r="W194">
        <v>184</v>
      </c>
      <c r="X194">
        <v>0.76612202331645096</v>
      </c>
      <c r="Y194">
        <v>0.82663870369395998</v>
      </c>
      <c r="Z194">
        <f t="shared" si="15"/>
        <v>4.0644880932658038</v>
      </c>
    </row>
    <row r="195" spans="2:26">
      <c r="B195">
        <v>185</v>
      </c>
      <c r="C195" t="e">
        <f>IF('Lab test'!AQ188&gt;0,'Lab test'!AQ188,NA())</f>
        <v>#N/A</v>
      </c>
      <c r="D195" t="e">
        <f>IF('Lab test'!AU188&gt;0,'Lab test'!AU188,NA())</f>
        <v>#N/A</v>
      </c>
      <c r="E195" t="e">
        <f t="shared" si="14"/>
        <v>#N/A</v>
      </c>
      <c r="W195">
        <v>185</v>
      </c>
      <c r="X195">
        <v>0.78195398786395898</v>
      </c>
      <c r="Y195">
        <v>0.88521082782759397</v>
      </c>
      <c r="Z195">
        <f t="shared" si="15"/>
        <v>4.1278159514558359</v>
      </c>
    </row>
    <row r="196" spans="2:26">
      <c r="B196">
        <v>186</v>
      </c>
      <c r="C196" t="e">
        <f>IF('Lab test'!AQ189&gt;0,'Lab test'!AQ189,NA())</f>
        <v>#N/A</v>
      </c>
      <c r="D196" t="e">
        <f>IF('Lab test'!AU189&gt;0,'Lab test'!AU189,NA())</f>
        <v>#N/A</v>
      </c>
      <c r="E196" t="e">
        <f t="shared" si="14"/>
        <v>#N/A</v>
      </c>
      <c r="W196">
        <v>186</v>
      </c>
      <c r="X196">
        <v>0.76660177981789102</v>
      </c>
      <c r="Y196">
        <v>0.91277418036106905</v>
      </c>
      <c r="Z196">
        <f t="shared" si="15"/>
        <v>4.0664071192715641</v>
      </c>
    </row>
    <row r="197" spans="2:26">
      <c r="B197">
        <v>187</v>
      </c>
      <c r="C197" t="e">
        <f>IF('Lab test'!AQ190&gt;0,'Lab test'!AQ190,NA())</f>
        <v>#N/A</v>
      </c>
      <c r="D197" t="e">
        <f>IF('Lab test'!AU190&gt;0,'Lab test'!AU190,NA())</f>
        <v>#N/A</v>
      </c>
      <c r="E197" t="e">
        <f t="shared" si="14"/>
        <v>#N/A</v>
      </c>
      <c r="W197">
        <v>187</v>
      </c>
      <c r="X197">
        <v>0.71718686016960997</v>
      </c>
      <c r="Y197">
        <v>0.89683911717765397</v>
      </c>
      <c r="Z197">
        <f t="shared" si="15"/>
        <v>3.8687474406784399</v>
      </c>
    </row>
    <row r="198" spans="2:26">
      <c r="B198">
        <v>188</v>
      </c>
      <c r="C198" t="e">
        <f>IF('Lab test'!AQ191&gt;0,'Lab test'!AQ191,NA())</f>
        <v>#N/A</v>
      </c>
      <c r="D198" t="e">
        <f>IF('Lab test'!AU191&gt;0,'Lab test'!AU191,NA())</f>
        <v>#N/A</v>
      </c>
      <c r="E198" t="e">
        <f t="shared" si="14"/>
        <v>#N/A</v>
      </c>
      <c r="W198">
        <v>188</v>
      </c>
      <c r="X198">
        <v>0.71670710366817003</v>
      </c>
      <c r="Y198">
        <v>0.87358253847753398</v>
      </c>
      <c r="Z198">
        <f t="shared" si="15"/>
        <v>3.8668284146726801</v>
      </c>
    </row>
    <row r="199" spans="2:26">
      <c r="B199">
        <v>189</v>
      </c>
      <c r="C199" t="e">
        <f>IF('Lab test'!AQ192&gt;0,'Lab test'!AQ192,NA())</f>
        <v>#N/A</v>
      </c>
      <c r="D199" t="e">
        <f>IF('Lab test'!AU192&gt;0,'Lab test'!AU192,NA())</f>
        <v>#N/A</v>
      </c>
      <c r="E199" t="e">
        <f t="shared" si="14"/>
        <v>#N/A</v>
      </c>
      <c r="W199">
        <v>189</v>
      </c>
      <c r="X199">
        <v>0.74069492874015197</v>
      </c>
      <c r="Y199">
        <v>0.86496899081082401</v>
      </c>
      <c r="Z199">
        <f t="shared" si="15"/>
        <v>3.9627797149606079</v>
      </c>
    </row>
    <row r="200" spans="2:26">
      <c r="B200">
        <v>190</v>
      </c>
      <c r="C200" t="e">
        <f>IF('Lab test'!AQ193&gt;0,'Lab test'!AQ193,NA())</f>
        <v>#N/A</v>
      </c>
      <c r="D200" t="e">
        <f>IF('Lab test'!AU193&gt;0,'Lab test'!AU193,NA())</f>
        <v>#N/A</v>
      </c>
      <c r="E200" t="e">
        <f t="shared" si="14"/>
        <v>#N/A</v>
      </c>
      <c r="W200">
        <v>190</v>
      </c>
      <c r="X200">
        <v>0.69655733060770697</v>
      </c>
      <c r="Y200">
        <v>0.90329927792768705</v>
      </c>
      <c r="Z200">
        <f t="shared" si="15"/>
        <v>3.7862293224308279</v>
      </c>
    </row>
    <row r="201" spans="2:26">
      <c r="B201">
        <v>191</v>
      </c>
      <c r="C201" t="e">
        <f>IF('Lab test'!AQ194&gt;0,'Lab test'!AQ194,NA())</f>
        <v>#N/A</v>
      </c>
      <c r="D201" t="e">
        <f>IF('Lab test'!AU194&gt;0,'Lab test'!AU194,NA())</f>
        <v>#N/A</v>
      </c>
      <c r="E201" t="e">
        <f t="shared" si="14"/>
        <v>#N/A</v>
      </c>
      <c r="W201">
        <v>191</v>
      </c>
      <c r="X201">
        <v>0.69703708710914603</v>
      </c>
      <c r="Y201">
        <v>0.909328761294385</v>
      </c>
      <c r="Z201">
        <f t="shared" si="15"/>
        <v>3.7881483484365841</v>
      </c>
    </row>
    <row r="202" spans="2:26">
      <c r="B202">
        <v>192</v>
      </c>
      <c r="C202" t="e">
        <f>IF('Lab test'!AQ195&gt;0,'Lab test'!AQ195,NA())</f>
        <v>#N/A</v>
      </c>
      <c r="D202" t="e">
        <f>IF('Lab test'!AU195&gt;0,'Lab test'!AU195,NA())</f>
        <v>#N/A</v>
      </c>
      <c r="E202" t="e">
        <f t="shared" si="14"/>
        <v>#N/A</v>
      </c>
      <c r="W202">
        <v>192</v>
      </c>
      <c r="X202">
        <v>0.66633267101700999</v>
      </c>
      <c r="Y202">
        <v>0.88779489212760798</v>
      </c>
      <c r="Z202">
        <f t="shared" si="15"/>
        <v>3.66533068406804</v>
      </c>
    </row>
    <row r="203" spans="2:26">
      <c r="B203">
        <v>193</v>
      </c>
      <c r="C203" t="e">
        <f>IF('Lab test'!AQ196&gt;0,'Lab test'!AQ196,NA())</f>
        <v>#N/A</v>
      </c>
      <c r="D203" t="e">
        <f>IF('Lab test'!AU196&gt;0,'Lab test'!AU196,NA())</f>
        <v>#N/A</v>
      </c>
      <c r="E203" t="e">
        <f t="shared" si="14"/>
        <v>#N/A</v>
      </c>
      <c r="W203">
        <v>193</v>
      </c>
      <c r="X203">
        <v>0.66873145352420804</v>
      </c>
      <c r="Y203">
        <v>0.85893950744412595</v>
      </c>
      <c r="Z203">
        <f t="shared" si="15"/>
        <v>3.6749258140968322</v>
      </c>
    </row>
    <row r="204" spans="2:26">
      <c r="B204">
        <v>194</v>
      </c>
      <c r="C204" t="e">
        <f>IF('Lab test'!AQ197&gt;0,'Lab test'!AQ197,NA())</f>
        <v>#N/A</v>
      </c>
      <c r="D204" t="e">
        <f>IF('Lab test'!AU197&gt;0,'Lab test'!AU197,NA())</f>
        <v>#N/A</v>
      </c>
      <c r="E204" t="e">
        <f t="shared" ref="E204:E267" si="16">C204*4+1</f>
        <v>#N/A</v>
      </c>
      <c r="W204">
        <v>194</v>
      </c>
      <c r="X204">
        <v>0.67448853154148403</v>
      </c>
      <c r="Y204">
        <v>0.82577734892728905</v>
      </c>
      <c r="Z204">
        <f t="shared" ref="Z204:Z267" si="17">X204*4+1</f>
        <v>3.6979541261659361</v>
      </c>
    </row>
    <row r="205" spans="2:26">
      <c r="B205">
        <v>195</v>
      </c>
      <c r="C205" t="e">
        <f>IF('Lab test'!AQ198&gt;0,'Lab test'!AQ198,NA())</f>
        <v>#N/A</v>
      </c>
      <c r="D205" t="e">
        <f>IF('Lab test'!AU198&gt;0,'Lab test'!AU198,NA())</f>
        <v>#N/A</v>
      </c>
      <c r="E205" t="e">
        <f t="shared" si="16"/>
        <v>#N/A</v>
      </c>
      <c r="W205">
        <v>195</v>
      </c>
      <c r="X205">
        <v>0.69799660011202502</v>
      </c>
      <c r="Y205">
        <v>0.815441091727236</v>
      </c>
      <c r="Z205">
        <f t="shared" si="17"/>
        <v>3.7919864004481001</v>
      </c>
    </row>
    <row r="206" spans="2:26">
      <c r="B206">
        <v>196</v>
      </c>
      <c r="C206" t="e">
        <f>IF('Lab test'!AQ199&gt;0,'Lab test'!AQ199,NA())</f>
        <v>#N/A</v>
      </c>
      <c r="D206" t="e">
        <f>IF('Lab test'!AU199&gt;0,'Lab test'!AU199,NA())</f>
        <v>#N/A</v>
      </c>
      <c r="E206" t="e">
        <f t="shared" si="16"/>
        <v>#N/A</v>
      </c>
      <c r="W206">
        <v>196</v>
      </c>
      <c r="X206">
        <v>0.61451896886153101</v>
      </c>
      <c r="Y206">
        <v>0.81501041434389998</v>
      </c>
      <c r="Z206">
        <f t="shared" si="17"/>
        <v>3.458075875446124</v>
      </c>
    </row>
    <row r="207" spans="2:26">
      <c r="B207">
        <v>197</v>
      </c>
      <c r="C207" t="e">
        <f>IF('Lab test'!AQ200&gt;0,'Lab test'!AQ200,NA())</f>
        <v>#N/A</v>
      </c>
      <c r="D207" t="e">
        <f>IF('Lab test'!AU200&gt;0,'Lab test'!AU200,NA())</f>
        <v>#N/A</v>
      </c>
      <c r="E207" t="e">
        <f t="shared" si="16"/>
        <v>#N/A</v>
      </c>
      <c r="W207">
        <v>197</v>
      </c>
      <c r="X207">
        <v>0.58534977357400197</v>
      </c>
      <c r="Y207">
        <v>1.05550066519847</v>
      </c>
      <c r="Z207">
        <f t="shared" si="17"/>
        <v>3.3413990942960079</v>
      </c>
    </row>
    <row r="208" spans="2:26">
      <c r="B208">
        <v>198</v>
      </c>
      <c r="C208" t="e">
        <f>IF('Lab test'!AQ201&gt;0,'Lab test'!AQ201,NA())</f>
        <v>#N/A</v>
      </c>
      <c r="D208" t="e">
        <f>IF('Lab test'!AU201&gt;0,'Lab test'!AU201,NA())</f>
        <v>#N/A</v>
      </c>
      <c r="E208" t="e">
        <f t="shared" si="16"/>
        <v>#N/A</v>
      </c>
      <c r="W208">
        <v>198</v>
      </c>
      <c r="X208">
        <v>0.58477406577227498</v>
      </c>
      <c r="Y208">
        <v>1.0368954022383701</v>
      </c>
      <c r="Z208">
        <f t="shared" si="17"/>
        <v>3.3390962630890999</v>
      </c>
    </row>
    <row r="209" spans="2:26">
      <c r="B209">
        <v>199</v>
      </c>
      <c r="C209" t="e">
        <f>IF('Lab test'!AQ202&gt;0,'Lab test'!AQ202,NA())</f>
        <v>#N/A</v>
      </c>
      <c r="D209" t="e">
        <f>IF('Lab test'!AU202&gt;0,'Lab test'!AU202,NA())</f>
        <v>#N/A</v>
      </c>
      <c r="E209" t="e">
        <f t="shared" si="16"/>
        <v>#N/A</v>
      </c>
      <c r="W209">
        <v>199</v>
      </c>
      <c r="X209">
        <v>0.58477406577227498</v>
      </c>
      <c r="Y209">
        <v>1.0275927707583199</v>
      </c>
      <c r="Z209">
        <f t="shared" si="17"/>
        <v>3.3390962630890999</v>
      </c>
    </row>
    <row r="210" spans="2:26">
      <c r="B210">
        <v>200</v>
      </c>
      <c r="C210" t="e">
        <f>IF('Lab test'!AQ203&gt;0,'Lab test'!AQ203,NA())</f>
        <v>#N/A</v>
      </c>
      <c r="D210" t="e">
        <f>IF('Lab test'!AU203&gt;0,'Lab test'!AU203,NA())</f>
        <v>#N/A</v>
      </c>
      <c r="E210" t="e">
        <f t="shared" si="16"/>
        <v>#N/A</v>
      </c>
      <c r="W210">
        <v>200</v>
      </c>
      <c r="X210">
        <v>0.58477406577227498</v>
      </c>
      <c r="Y210">
        <v>1.0115715720982399</v>
      </c>
      <c r="Z210">
        <f t="shared" si="17"/>
        <v>3.3390962630890999</v>
      </c>
    </row>
    <row r="211" spans="2:26">
      <c r="B211">
        <v>201</v>
      </c>
      <c r="C211" t="e">
        <f>IF('Lab test'!AQ204&gt;0,'Lab test'!AQ204,NA())</f>
        <v>#N/A</v>
      </c>
      <c r="D211" t="e">
        <f>IF('Lab test'!AU204&gt;0,'Lab test'!AU204,NA())</f>
        <v>#N/A</v>
      </c>
      <c r="E211" t="e">
        <f t="shared" si="16"/>
        <v>#N/A</v>
      </c>
      <c r="W211">
        <v>201</v>
      </c>
      <c r="X211">
        <v>0.6187408260742</v>
      </c>
      <c r="Y211">
        <v>0.98366367765810003</v>
      </c>
      <c r="Z211">
        <f t="shared" si="17"/>
        <v>3.4749633042968</v>
      </c>
    </row>
    <row r="212" spans="2:26">
      <c r="B212">
        <v>202</v>
      </c>
      <c r="C212" t="e">
        <f>IF('Lab test'!AQ205&gt;0,'Lab test'!AQ205,NA())</f>
        <v>#N/A</v>
      </c>
      <c r="D212" t="e">
        <f>IF('Lab test'!AU205&gt;0,'Lab test'!AU205,NA())</f>
        <v>#N/A</v>
      </c>
      <c r="E212" t="e">
        <f t="shared" si="16"/>
        <v>#N/A</v>
      </c>
      <c r="W212">
        <v>202</v>
      </c>
      <c r="X212">
        <v>0.61471087146210701</v>
      </c>
      <c r="Y212">
        <v>0.94696996459791205</v>
      </c>
      <c r="Z212">
        <f t="shared" si="17"/>
        <v>3.458843485848428</v>
      </c>
    </row>
    <row r="213" spans="2:26">
      <c r="B213">
        <v>203</v>
      </c>
      <c r="C213" t="e">
        <f>IF('Lab test'!AQ206&gt;0,'Lab test'!AQ206,NA())</f>
        <v>#N/A</v>
      </c>
      <c r="D213" t="e">
        <f>IF('Lab test'!AU206&gt;0,'Lab test'!AU206,NA())</f>
        <v>#N/A</v>
      </c>
      <c r="E213" t="e">
        <f t="shared" si="16"/>
        <v>#N/A</v>
      </c>
      <c r="W213">
        <v>203</v>
      </c>
      <c r="X213">
        <v>0.62852785870356798</v>
      </c>
      <c r="Y213">
        <v>0.91906207015776797</v>
      </c>
      <c r="Z213">
        <f t="shared" si="17"/>
        <v>3.5141114348142719</v>
      </c>
    </row>
    <row r="214" spans="2:26">
      <c r="B214">
        <v>204</v>
      </c>
      <c r="C214" t="e">
        <f>IF('Lab test'!AQ207&gt;0,'Lab test'!AQ207,NA())</f>
        <v>#N/A</v>
      </c>
      <c r="D214" t="e">
        <f>IF('Lab test'!AU207&gt;0,'Lab test'!AU207,NA())</f>
        <v>#N/A</v>
      </c>
      <c r="E214" t="e">
        <f t="shared" si="16"/>
        <v>#N/A</v>
      </c>
      <c r="W214">
        <v>204</v>
      </c>
      <c r="X214">
        <v>0.62161936508283799</v>
      </c>
      <c r="Y214">
        <v>0.90820900009771199</v>
      </c>
      <c r="Z214">
        <f t="shared" si="17"/>
        <v>3.486477460331352</v>
      </c>
    </row>
    <row r="215" spans="2:26">
      <c r="B215">
        <v>205</v>
      </c>
      <c r="C215" t="e">
        <f>IF('Lab test'!AQ208&gt;0,'Lab test'!AQ208,NA())</f>
        <v>#N/A</v>
      </c>
      <c r="D215" t="e">
        <f>IF('Lab test'!AU208&gt;0,'Lab test'!AU208,NA())</f>
        <v>#N/A</v>
      </c>
      <c r="E215" t="e">
        <f t="shared" si="16"/>
        <v>#N/A</v>
      </c>
      <c r="W215">
        <v>205</v>
      </c>
      <c r="X215">
        <v>0.61413516366038001</v>
      </c>
      <c r="Y215">
        <v>0.89115417571762501</v>
      </c>
      <c r="Z215">
        <f t="shared" si="17"/>
        <v>3.45654065464152</v>
      </c>
    </row>
    <row r="216" spans="2:26">
      <c r="B216">
        <v>206</v>
      </c>
      <c r="C216" t="e">
        <f>IF('Lab test'!AQ209&gt;0,'Lab test'!AQ209,NA())</f>
        <v>#N/A</v>
      </c>
      <c r="D216" t="e">
        <f>IF('Lab test'!AU209&gt;0,'Lab test'!AU209,NA())</f>
        <v>#N/A</v>
      </c>
      <c r="E216" t="e">
        <f t="shared" si="16"/>
        <v>#N/A</v>
      </c>
      <c r="W216">
        <v>206</v>
      </c>
      <c r="X216">
        <v>0.50532638913387395</v>
      </c>
      <c r="Y216">
        <v>0.89012054999761903</v>
      </c>
      <c r="Z216">
        <f t="shared" si="17"/>
        <v>3.0213055565354958</v>
      </c>
    </row>
    <row r="217" spans="2:26">
      <c r="B217">
        <v>207</v>
      </c>
      <c r="C217" t="e">
        <f>IF('Lab test'!AQ210&gt;0,'Lab test'!AQ210,NA())</f>
        <v>#N/A</v>
      </c>
      <c r="D217" t="e">
        <f>IF('Lab test'!AU210&gt;0,'Lab test'!AU210,NA())</f>
        <v>#N/A</v>
      </c>
      <c r="E217" t="e">
        <f t="shared" si="16"/>
        <v>#N/A</v>
      </c>
      <c r="W217">
        <v>207</v>
      </c>
      <c r="X217">
        <v>0.50072072672005297</v>
      </c>
      <c r="Y217">
        <v>0.57486470539599899</v>
      </c>
      <c r="Z217">
        <f t="shared" si="17"/>
        <v>3.0028829068802119</v>
      </c>
    </row>
    <row r="218" spans="2:26">
      <c r="B218">
        <v>208</v>
      </c>
      <c r="C218" t="e">
        <f>IF('Lab test'!AQ211&gt;0,'Lab test'!AQ211,NA())</f>
        <v>#N/A</v>
      </c>
      <c r="D218" t="e">
        <f>IF('Lab test'!AU211&gt;0,'Lab test'!AU211,NA())</f>
        <v>#N/A</v>
      </c>
      <c r="E218" t="e">
        <f t="shared" si="16"/>
        <v>#N/A</v>
      </c>
      <c r="W218">
        <v>208</v>
      </c>
      <c r="X218">
        <v>0.50878063594423895</v>
      </c>
      <c r="Y218">
        <v>0.59657084551611095</v>
      </c>
      <c r="Z218">
        <f t="shared" si="17"/>
        <v>3.0351225437769558</v>
      </c>
    </row>
    <row r="219" spans="2:26">
      <c r="B219">
        <v>209</v>
      </c>
      <c r="C219">
        <f>IF('Lab test'!AQ212&gt;0,'Lab test'!AQ212,NA())</f>
        <v>0.40625543654636848</v>
      </c>
      <c r="D219">
        <f>IF('Lab test'!AU212&gt;0,'Lab test'!AU212,NA())</f>
        <v>0.87343532684283731</v>
      </c>
      <c r="E219">
        <f t="shared" si="16"/>
        <v>2.6250217461854737</v>
      </c>
      <c r="W219">
        <v>209</v>
      </c>
      <c r="X219">
        <v>0.54505022745307397</v>
      </c>
      <c r="Y219">
        <v>0.81104818241721299</v>
      </c>
      <c r="Z219">
        <f t="shared" si="17"/>
        <v>3.1802009098122959</v>
      </c>
    </row>
    <row r="220" spans="2:26">
      <c r="B220">
        <v>210</v>
      </c>
      <c r="C220">
        <f>IF('Lab test'!AQ213&gt;0,'Lab test'!AQ213,NA())</f>
        <v>0.31416949751362527</v>
      </c>
      <c r="D220">
        <f>IF('Lab test'!AU213&gt;0,'Lab test'!AU213,NA())</f>
        <v>1.0598052851182198</v>
      </c>
      <c r="E220">
        <f t="shared" si="16"/>
        <v>2.2566779900545013</v>
      </c>
      <c r="W220">
        <v>210</v>
      </c>
      <c r="X220">
        <v>0.54332310404789197</v>
      </c>
      <c r="Y220">
        <v>0.74024482059684904</v>
      </c>
      <c r="Z220">
        <f t="shared" si="17"/>
        <v>3.1732924161915679</v>
      </c>
    </row>
    <row r="221" spans="2:26">
      <c r="B221">
        <v>211</v>
      </c>
      <c r="C221">
        <f>IF('Lab test'!AQ214&gt;0,'Lab test'!AQ214,NA())</f>
        <v>0.2401963411674162</v>
      </c>
      <c r="D221">
        <f>IF('Lab test'!AU214&gt;0,'Lab test'!AU214,NA())</f>
        <v>1.0681502086230876</v>
      </c>
      <c r="E221">
        <f t="shared" si="16"/>
        <v>1.9607853646696647</v>
      </c>
      <c r="W221">
        <v>211</v>
      </c>
      <c r="X221">
        <v>0.34930957486570902</v>
      </c>
      <c r="Y221">
        <v>0.817249936737245</v>
      </c>
      <c r="Z221">
        <f t="shared" si="17"/>
        <v>2.3972382994628361</v>
      </c>
    </row>
    <row r="222" spans="2:26">
      <c r="B222">
        <v>212</v>
      </c>
      <c r="C222">
        <f>IF('Lab test'!AQ215&gt;0,'Lab test'!AQ215,NA())</f>
        <v>0.39507927304092705</v>
      </c>
      <c r="D222">
        <f>IF('Lab test'!AU215&gt;0,'Lab test'!AU215,NA())</f>
        <v>1.1112656467315716</v>
      </c>
      <c r="E222">
        <f t="shared" si="16"/>
        <v>2.5803170921637082</v>
      </c>
      <c r="W222">
        <v>212</v>
      </c>
      <c r="X222">
        <v>0.39709332240909501</v>
      </c>
      <c r="Y222">
        <v>0.807430492397195</v>
      </c>
      <c r="Z222">
        <f t="shared" si="17"/>
        <v>2.58837328963638</v>
      </c>
    </row>
    <row r="223" spans="2:26">
      <c r="B223">
        <v>213</v>
      </c>
      <c r="C223">
        <f>IF('Lab test'!AQ216&gt;0,'Lab test'!AQ216,NA())</f>
        <v>0.2927151292985638</v>
      </c>
      <c r="D223">
        <f>IF('Lab test'!AU216&gt;0,'Lab test'!AU216,NA())</f>
        <v>1.023643949930459</v>
      </c>
      <c r="E223">
        <f t="shared" si="16"/>
        <v>2.1708605171942552</v>
      </c>
      <c r="W223">
        <v>213</v>
      </c>
      <c r="X223">
        <v>0.423575881288562</v>
      </c>
      <c r="Y223">
        <v>0.81001455669720801</v>
      </c>
      <c r="Z223">
        <f t="shared" si="17"/>
        <v>2.6943035251542478</v>
      </c>
    </row>
    <row r="224" spans="2:26">
      <c r="B224">
        <v>214</v>
      </c>
      <c r="C224">
        <f>IF('Lab test'!AQ217&gt;0,'Lab test'!AQ217,NA())</f>
        <v>0.23883157818281384</v>
      </c>
      <c r="D224">
        <f>IF('Lab test'!AU217&gt;0,'Lab test'!AU217,NA())</f>
        <v>1.1321279554937416</v>
      </c>
      <c r="E224">
        <f t="shared" si="16"/>
        <v>1.9553263127312555</v>
      </c>
      <c r="W224">
        <v>214</v>
      </c>
      <c r="X224">
        <v>0.47423816784058598</v>
      </c>
      <c r="Y224">
        <v>0.81880037531725303</v>
      </c>
      <c r="Z224">
        <f t="shared" si="17"/>
        <v>2.8969526713623441</v>
      </c>
    </row>
    <row r="225" spans="2:26">
      <c r="B225">
        <v>215</v>
      </c>
      <c r="C225">
        <f>IF('Lab test'!AQ218&gt;0,'Lab test'!AQ218,NA())</f>
        <v>0.39355680389791659</v>
      </c>
      <c r="D225">
        <f>IF('Lab test'!AU218&gt;0,'Lab test'!AU218,NA())</f>
        <v>1.1126564673157162</v>
      </c>
      <c r="E225">
        <f t="shared" si="16"/>
        <v>2.5742272155916663</v>
      </c>
      <c r="W225">
        <v>215</v>
      </c>
      <c r="X225">
        <v>0.46157259620258001</v>
      </c>
      <c r="Y225">
        <v>0.83120388395731704</v>
      </c>
      <c r="Z225">
        <f t="shared" si="17"/>
        <v>2.8462903848103203</v>
      </c>
    </row>
    <row r="226" spans="2:26">
      <c r="B226">
        <v>216</v>
      </c>
      <c r="C226">
        <f>IF('Lab test'!AQ219&gt;0,'Lab test'!AQ219,NA())</f>
        <v>0.39975493014683794</v>
      </c>
      <c r="D226">
        <f>IF('Lab test'!AU219&gt;0,'Lab test'!AU219,NA())</f>
        <v>1.1293463143254521</v>
      </c>
      <c r="E226">
        <f t="shared" si="16"/>
        <v>2.5990197205873518</v>
      </c>
      <c r="W226">
        <v>216</v>
      </c>
      <c r="X226">
        <v>0.46272401180603501</v>
      </c>
      <c r="Y226">
        <v>0.81673312387724195</v>
      </c>
      <c r="Z226">
        <f t="shared" si="17"/>
        <v>2.8508960472241398</v>
      </c>
    </row>
    <row r="227" spans="2:26">
      <c r="B227">
        <v>217</v>
      </c>
      <c r="C227">
        <f>IF('Lab test'!AQ220&gt;0,'Lab test'!AQ220,NA())</f>
        <v>0.50402735227397011</v>
      </c>
      <c r="D227">
        <f>IF('Lab test'!AU220&gt;0,'Lab test'!AU220,NA())</f>
        <v>1.0555555555555556</v>
      </c>
      <c r="E227">
        <f t="shared" si="16"/>
        <v>3.0161094090958804</v>
      </c>
      <c r="W227">
        <v>217</v>
      </c>
      <c r="X227">
        <v>0.29634445710677498</v>
      </c>
      <c r="Y227">
        <v>0.894771865737643</v>
      </c>
      <c r="Z227">
        <f t="shared" si="17"/>
        <v>2.1853778284271002</v>
      </c>
    </row>
    <row r="228" spans="2:26">
      <c r="B228">
        <v>218</v>
      </c>
      <c r="C228">
        <f>IF('Lab test'!AQ221&gt;0,'Lab test'!AQ221,NA())</f>
        <v>0.50304003036161793</v>
      </c>
      <c r="D228">
        <f>IF('Lab test'!AU221&gt;0,'Lab test'!AU221,NA())</f>
        <v>1.1431623931623933</v>
      </c>
      <c r="E228">
        <f t="shared" si="16"/>
        <v>3.0121601214464717</v>
      </c>
      <c r="W228">
        <v>218</v>
      </c>
      <c r="X228">
        <v>0.29634445710677498</v>
      </c>
      <c r="Y228">
        <v>0.91544438013774998</v>
      </c>
      <c r="Z228">
        <f t="shared" si="17"/>
        <v>2.1853778284271002</v>
      </c>
    </row>
    <row r="229" spans="2:26">
      <c r="B229">
        <v>219</v>
      </c>
      <c r="C229">
        <f>IF('Lab test'!AQ222&gt;0,'Lab test'!AQ222,NA())</f>
        <v>0.50402735227397011</v>
      </c>
      <c r="D229">
        <f>IF('Lab test'!AU222&gt;0,'Lab test'!AU222,NA())</f>
        <v>0.99145299145299148</v>
      </c>
      <c r="E229">
        <f t="shared" si="16"/>
        <v>3.0161094090958804</v>
      </c>
      <c r="W229">
        <v>219</v>
      </c>
      <c r="X229">
        <v>0.223805274089104</v>
      </c>
      <c r="Y229">
        <v>0.86221265555747595</v>
      </c>
      <c r="Z229">
        <f t="shared" si="17"/>
        <v>1.895221096356416</v>
      </c>
    </row>
    <row r="230" spans="2:26">
      <c r="B230">
        <v>220</v>
      </c>
      <c r="C230">
        <f>IF('Lab test'!AQ223&gt;0,'Lab test'!AQ223,NA())</f>
        <v>0.48399787786005671</v>
      </c>
      <c r="D230">
        <f>IF('Lab test'!AU223&gt;0,'Lab test'!AU223,NA())</f>
        <v>1.0256410256410258</v>
      </c>
      <c r="E230">
        <f t="shared" si="16"/>
        <v>2.9359915114402266</v>
      </c>
      <c r="W230">
        <v>220</v>
      </c>
      <c r="X230">
        <v>0.178324357752628</v>
      </c>
      <c r="Y230">
        <v>0.85084277263741803</v>
      </c>
      <c r="Z230">
        <f t="shared" si="17"/>
        <v>1.713297431010512</v>
      </c>
    </row>
    <row r="231" spans="2:26">
      <c r="B231">
        <v>221</v>
      </c>
      <c r="C231">
        <f>IF('Lab test'!AQ224&gt;0,'Lab test'!AQ224,NA())</f>
        <v>0.50930790270001947</v>
      </c>
      <c r="D231">
        <f>IF('Lab test'!AU224&gt;0,'Lab test'!AU224,NA())</f>
        <v>1.0811965811965811</v>
      </c>
      <c r="E231">
        <f t="shared" si="16"/>
        <v>3.0372316108000779</v>
      </c>
      <c r="W231">
        <v>221</v>
      </c>
      <c r="X231">
        <v>0.18580855917508601</v>
      </c>
      <c r="Y231">
        <v>0.82241806533727202</v>
      </c>
      <c r="Z231">
        <f t="shared" si="17"/>
        <v>1.7432342367003439</v>
      </c>
    </row>
    <row r="232" spans="2:26">
      <c r="B232">
        <v>222</v>
      </c>
      <c r="C232">
        <f>IF('Lab test'!AQ225&gt;0,'Lab test'!AQ225,NA())</f>
        <v>0.41480931829921625</v>
      </c>
      <c r="D232">
        <f>IF('Lab test'!AU225&gt;0,'Lab test'!AU225,NA())</f>
        <v>1.1858974358974359</v>
      </c>
      <c r="E232">
        <f t="shared" si="16"/>
        <v>2.6592372731968652</v>
      </c>
      <c r="W232">
        <v>222</v>
      </c>
      <c r="X232">
        <v>0.14263047404552001</v>
      </c>
      <c r="Y232">
        <v>0.82810300679730098</v>
      </c>
      <c r="Z232">
        <f t="shared" si="17"/>
        <v>1.5705218961820799</v>
      </c>
    </row>
    <row r="233" spans="2:26">
      <c r="B233">
        <v>223</v>
      </c>
      <c r="C233">
        <f>IF('Lab test'!AQ226&gt;0,'Lab test'!AQ226,NA())</f>
        <v>0.58643390838255893</v>
      </c>
      <c r="D233">
        <f>IF('Lab test'!AU226&gt;0,'Lab test'!AU226,NA())</f>
        <v>0.86324786324786329</v>
      </c>
      <c r="E233">
        <f t="shared" si="16"/>
        <v>3.3457356335302357</v>
      </c>
      <c r="W233">
        <v>223</v>
      </c>
      <c r="X233">
        <v>0.13860051943342799</v>
      </c>
      <c r="Y233">
        <v>0.80277917665717102</v>
      </c>
      <c r="Z233">
        <f t="shared" si="17"/>
        <v>1.554402077733712</v>
      </c>
    </row>
    <row r="234" spans="2:26">
      <c r="B234">
        <v>224</v>
      </c>
      <c r="C234">
        <f>IF('Lab test'!AQ227&gt;0,'Lab test'!AQ227,NA())</f>
        <v>0.4177379126351709</v>
      </c>
      <c r="D234">
        <f>IF('Lab test'!AU227&gt;0,'Lab test'!AU227,NA())</f>
        <v>1.1239316239316239</v>
      </c>
      <c r="E234">
        <f t="shared" si="16"/>
        <v>2.6709516505406836</v>
      </c>
      <c r="W234">
        <v>224</v>
      </c>
      <c r="X234">
        <v>0.14147905844206499</v>
      </c>
      <c r="Y234">
        <v>0.78314028797707003</v>
      </c>
      <c r="Z234">
        <f t="shared" si="17"/>
        <v>1.5659162337682599</v>
      </c>
    </row>
    <row r="235" spans="2:26">
      <c r="B235">
        <v>225</v>
      </c>
      <c r="C235">
        <f>IF('Lab test'!AQ228&gt;0,'Lab test'!AQ228,NA())</f>
        <v>0.59277391867351714</v>
      </c>
      <c r="D235">
        <f>IF('Lab test'!AU228&gt;0,'Lab test'!AU228,NA())</f>
        <v>0.93376068376068388</v>
      </c>
      <c r="E235">
        <f t="shared" si="16"/>
        <v>3.3710956746940686</v>
      </c>
      <c r="W235">
        <v>225</v>
      </c>
      <c r="X235">
        <v>0.13975193503688299</v>
      </c>
      <c r="Y235">
        <v>0.74644657491688104</v>
      </c>
      <c r="Z235">
        <f t="shared" si="17"/>
        <v>1.559007740147532</v>
      </c>
    </row>
    <row r="236" spans="2:26">
      <c r="B236">
        <v>226</v>
      </c>
      <c r="C236">
        <f>IF('Lab test'!AQ229&gt;0,'Lab test'!AQ229,NA())</f>
        <v>0.61489355819879721</v>
      </c>
      <c r="D236">
        <f>IF('Lab test'!AU229&gt;0,'Lab test'!AU229,NA())</f>
        <v>1.1794871794871795</v>
      </c>
      <c r="E236">
        <f t="shared" si="16"/>
        <v>3.4595742327951888</v>
      </c>
      <c r="W236">
        <v>226</v>
      </c>
      <c r="X236">
        <v>0.18811139038199601</v>
      </c>
      <c r="Y236">
        <v>0.86996484845751598</v>
      </c>
      <c r="Z236">
        <f t="shared" si="17"/>
        <v>1.7524455615279839</v>
      </c>
    </row>
    <row r="237" spans="2:26">
      <c r="B237">
        <v>227</v>
      </c>
      <c r="C237">
        <f>IF('Lab test'!AQ230&gt;0,'Lab test'!AQ230,NA())</f>
        <v>0.59116965614151651</v>
      </c>
      <c r="D237">
        <f>IF('Lab test'!AU230&gt;0,'Lab test'!AU230,NA())</f>
        <v>0.97222222222222221</v>
      </c>
      <c r="E237">
        <f t="shared" si="16"/>
        <v>3.364678624566066</v>
      </c>
      <c r="W237">
        <v>227</v>
      </c>
      <c r="X237">
        <v>0.223229566287377</v>
      </c>
      <c r="Y237">
        <v>0.89735593003765701</v>
      </c>
      <c r="Z237">
        <f t="shared" si="17"/>
        <v>1.892918265149508</v>
      </c>
    </row>
    <row r="238" spans="2:26">
      <c r="B238">
        <v>228</v>
      </c>
      <c r="C238">
        <f>IF('Lab test'!AQ231&gt;0,'Lab test'!AQ231,NA())</f>
        <v>0.5947977344575035</v>
      </c>
      <c r="D238">
        <f>IF('Lab test'!AU231&gt;0,'Lab test'!AU231,NA())</f>
        <v>0.76923076923076927</v>
      </c>
      <c r="E238">
        <f t="shared" si="16"/>
        <v>3.379190937830014</v>
      </c>
      <c r="W238">
        <v>228</v>
      </c>
      <c r="X238">
        <v>0.224956689692559</v>
      </c>
      <c r="Y238">
        <v>0.96040709895798104</v>
      </c>
      <c r="Z238">
        <f t="shared" si="17"/>
        <v>1.899826758770236</v>
      </c>
    </row>
    <row r="239" spans="2:26">
      <c r="B239">
        <v>229</v>
      </c>
      <c r="C239">
        <f>IF('Lab test'!AQ232&gt;0,'Lab test'!AQ232,NA())</f>
        <v>0.60566633621786048</v>
      </c>
      <c r="D239">
        <f>IF('Lab test'!AU232&gt;0,'Lab test'!AU232,NA())</f>
        <v>1.1538461538461537</v>
      </c>
      <c r="E239">
        <f t="shared" si="16"/>
        <v>3.4226653448714419</v>
      </c>
      <c r="W239">
        <v>229</v>
      </c>
      <c r="X239">
        <v>0.25028783296857099</v>
      </c>
      <c r="Y239">
        <v>0.98831499339812401</v>
      </c>
      <c r="Z239">
        <f t="shared" si="17"/>
        <v>2.0011513318742837</v>
      </c>
    </row>
    <row r="240" spans="2:26">
      <c r="B240">
        <v>230</v>
      </c>
      <c r="C240">
        <f>IF('Lab test'!AQ233&gt;0,'Lab test'!AQ233,NA())</f>
        <v>0.61044741485387466</v>
      </c>
      <c r="D240">
        <f>IF('Lab test'!AU233&gt;0,'Lab test'!AU233,NA())</f>
        <v>1.0961538461538463</v>
      </c>
      <c r="E240">
        <f t="shared" si="16"/>
        <v>3.4417896594154986</v>
      </c>
      <c r="W240">
        <v>230</v>
      </c>
      <c r="X240">
        <v>0.29231450249468199</v>
      </c>
      <c r="Y240">
        <v>0.98469730337810502</v>
      </c>
      <c r="Z240">
        <f t="shared" si="17"/>
        <v>2.1692580099787282</v>
      </c>
    </row>
    <row r="241" spans="2:26">
      <c r="B241">
        <v>231</v>
      </c>
      <c r="C241">
        <f>IF('Lab test'!AQ234&gt;0,'Lab test'!AQ234,NA())</f>
        <v>0.60352994036777496</v>
      </c>
      <c r="D241">
        <f>IF('Lab test'!AU234&gt;0,'Lab test'!AU234,NA())</f>
        <v>1.1239316239316239</v>
      </c>
      <c r="E241">
        <f t="shared" si="16"/>
        <v>3.4141197614710999</v>
      </c>
      <c r="W241">
        <v>231</v>
      </c>
      <c r="X241">
        <v>0.113845083959143</v>
      </c>
      <c r="Y241">
        <v>1.1474933542789401</v>
      </c>
      <c r="Z241">
        <f t="shared" si="17"/>
        <v>1.455380335836572</v>
      </c>
    </row>
    <row r="242" spans="2:26">
      <c r="B242">
        <v>232</v>
      </c>
      <c r="C242">
        <f>IF('Lab test'!AQ235&gt;0,'Lab test'!AQ235,NA())</f>
        <v>0.59932410557114979</v>
      </c>
      <c r="D242">
        <f>IF('Lab test'!AU235&gt;0,'Lab test'!AU235,NA())</f>
        <v>1.0811965811965811</v>
      </c>
      <c r="E242">
        <f t="shared" si="16"/>
        <v>3.3972964222845992</v>
      </c>
      <c r="W242">
        <v>232</v>
      </c>
      <c r="X242">
        <v>0.16047741589907399</v>
      </c>
      <c r="Y242">
        <v>1.1361234713588799</v>
      </c>
      <c r="Z242">
        <f t="shared" si="17"/>
        <v>1.641909663596296</v>
      </c>
    </row>
    <row r="243" spans="2:26">
      <c r="B243">
        <v>233</v>
      </c>
      <c r="C243">
        <f>IF('Lab test'!AQ236&gt;0,'Lab test'!AQ236,NA())</f>
        <v>0.59932410557114979</v>
      </c>
      <c r="D243">
        <f>IF('Lab test'!AU236&gt;0,'Lab test'!AU236,NA())</f>
        <v>0.84615384615384615</v>
      </c>
      <c r="E243">
        <f t="shared" si="16"/>
        <v>3.3972964222845992</v>
      </c>
      <c r="W243">
        <v>233</v>
      </c>
      <c r="X243">
        <v>0.17429440314053499</v>
      </c>
      <c r="Y243">
        <v>1.1237199627188199</v>
      </c>
      <c r="Z243">
        <f t="shared" si="17"/>
        <v>1.6971776125621401</v>
      </c>
    </row>
    <row r="244" spans="2:26">
      <c r="B244">
        <v>234</v>
      </c>
      <c r="C244">
        <f>IF('Lab test'!AQ237&gt;0,'Lab test'!AQ237,NA())</f>
        <v>1.0814268940158085</v>
      </c>
      <c r="D244">
        <f>IF('Lab test'!AU237&gt;0,'Lab test'!AU237,NA())</f>
        <v>0.34265734265734266</v>
      </c>
      <c r="E244">
        <f t="shared" si="16"/>
        <v>5.325707576063234</v>
      </c>
      <c r="W244">
        <v>234</v>
      </c>
      <c r="X244">
        <v>0.18638426697681401</v>
      </c>
      <c r="Y244">
        <v>1.11235007979876</v>
      </c>
      <c r="Z244">
        <f t="shared" si="17"/>
        <v>1.7455370679072559</v>
      </c>
    </row>
    <row r="245" spans="2:26">
      <c r="B245">
        <v>235</v>
      </c>
      <c r="C245">
        <f>IF('Lab test'!AQ238&gt;0,'Lab test'!AQ238,NA())</f>
        <v>0.70990369982036505</v>
      </c>
      <c r="D245">
        <f>IF('Lab test'!AU238&gt;0,'Lab test'!AU238,NA())</f>
        <v>0.73193473193473202</v>
      </c>
      <c r="E245">
        <f t="shared" si="16"/>
        <v>3.8396147992814602</v>
      </c>
      <c r="W245">
        <v>235</v>
      </c>
      <c r="X245">
        <v>0.18811139038199601</v>
      </c>
      <c r="Y245">
        <v>1.15162785715896</v>
      </c>
      <c r="Z245">
        <f t="shared" si="17"/>
        <v>1.7524455615279839</v>
      </c>
    </row>
    <row r="246" spans="2:26">
      <c r="B246">
        <v>236</v>
      </c>
      <c r="C246">
        <f>IF('Lab test'!AQ239&gt;0,'Lab test'!AQ239,NA())</f>
        <v>0.89815024903872442</v>
      </c>
      <c r="D246">
        <f>IF('Lab test'!AU239&gt;0,'Lab test'!AU239,NA())</f>
        <v>0.53613053613053618</v>
      </c>
      <c r="E246">
        <f t="shared" si="16"/>
        <v>4.5926009961548981</v>
      </c>
      <c r="W246">
        <v>236</v>
      </c>
      <c r="X246">
        <v>0.22898664430465199</v>
      </c>
      <c r="Y246">
        <v>1.1598968629190001</v>
      </c>
      <c r="Z246">
        <f t="shared" si="17"/>
        <v>1.9159465772186079</v>
      </c>
    </row>
    <row r="247" spans="2:26">
      <c r="B247">
        <v>237</v>
      </c>
      <c r="C247">
        <f>IF('Lab test'!AQ240&gt;0,'Lab test'!AQ240,NA())</f>
        <v>1.0308759098857585</v>
      </c>
      <c r="D247">
        <f>IF('Lab test'!AU240&gt;0,'Lab test'!AU240,NA())</f>
        <v>0.51515151515151514</v>
      </c>
      <c r="E247">
        <f t="shared" si="16"/>
        <v>5.123503639543034</v>
      </c>
      <c r="W247">
        <v>237</v>
      </c>
      <c r="X247">
        <v>0.27964893085667603</v>
      </c>
      <c r="Y247">
        <v>1.21416221321928</v>
      </c>
      <c r="Z247">
        <f t="shared" si="17"/>
        <v>2.1185957234267043</v>
      </c>
    </row>
    <row r="248" spans="2:26">
      <c r="B248">
        <v>238</v>
      </c>
      <c r="C248">
        <f>IF('Lab test'!AQ241&gt;0,'Lab test'!AQ241,NA())</f>
        <v>1.3659495552588206</v>
      </c>
      <c r="D248">
        <f>IF('Lab test'!AU241&gt;0,'Lab test'!AU241,NA())</f>
        <v>0.18671328671328674</v>
      </c>
      <c r="E248">
        <f t="shared" si="16"/>
        <v>6.4637982210352822</v>
      </c>
      <c r="W248">
        <v>238</v>
      </c>
      <c r="X248">
        <v>0.189262805985451</v>
      </c>
      <c r="Y248">
        <v>1.2808310721596201</v>
      </c>
      <c r="Z248">
        <f t="shared" si="17"/>
        <v>1.7570512239418039</v>
      </c>
    </row>
    <row r="249" spans="2:26">
      <c r="B249">
        <v>239</v>
      </c>
      <c r="C249">
        <f>IF('Lab test'!AQ242&gt;0,'Lab test'!AQ242,NA())</f>
        <v>1.1167148032767167</v>
      </c>
      <c r="D249">
        <f>IF('Lab test'!AU242&gt;0,'Lab test'!AU242,NA())</f>
        <v>0.3867132867132867</v>
      </c>
      <c r="E249">
        <f t="shared" si="16"/>
        <v>5.4668592131068667</v>
      </c>
      <c r="W249">
        <v>239</v>
      </c>
      <c r="X249">
        <v>0.22610810529601399</v>
      </c>
      <c r="Y249">
        <v>1.2865160136196501</v>
      </c>
      <c r="Z249">
        <f t="shared" si="17"/>
        <v>1.904432421184056</v>
      </c>
    </row>
    <row r="250" spans="2:26">
      <c r="B250">
        <v>240</v>
      </c>
      <c r="C250">
        <f>IF('Lab test'!AQ243&gt;0,'Lab test'!AQ243,NA())</f>
        <v>0.91179381874681753</v>
      </c>
      <c r="D250">
        <f>IF('Lab test'!AU243&gt;0,'Lab test'!AU243,NA())</f>
        <v>0.50815850815850827</v>
      </c>
      <c r="E250">
        <f t="shared" si="16"/>
        <v>4.6471752749872701</v>
      </c>
      <c r="W250">
        <v>240</v>
      </c>
      <c r="X250">
        <v>0.18753568258026901</v>
      </c>
      <c r="Y250">
        <v>1.31028940517977</v>
      </c>
      <c r="Z250">
        <f t="shared" si="17"/>
        <v>1.7501427303210759</v>
      </c>
    </row>
    <row r="251" spans="2:26">
      <c r="B251">
        <v>241</v>
      </c>
      <c r="C251">
        <f>IF('Lab test'!AQ244&gt;0,'Lab test'!AQ244,NA())</f>
        <v>0.75836074384012342</v>
      </c>
      <c r="D251">
        <f>IF('Lab test'!AU244&gt;0,'Lab test'!AU244,NA())</f>
        <v>0.70629370629370636</v>
      </c>
      <c r="E251">
        <f t="shared" si="16"/>
        <v>4.0334429753604937</v>
      </c>
      <c r="W251">
        <v>241</v>
      </c>
      <c r="X251">
        <v>0.18753568258026901</v>
      </c>
      <c r="Y251">
        <v>1.3381972996199201</v>
      </c>
      <c r="Z251">
        <f t="shared" si="17"/>
        <v>1.7501427303210759</v>
      </c>
    </row>
    <row r="252" spans="2:26">
      <c r="B252">
        <v>242</v>
      </c>
      <c r="C252">
        <f>IF('Lab test'!AQ245&gt;0,'Lab test'!AQ245,NA())</f>
        <v>0.58110549445608406</v>
      </c>
      <c r="D252">
        <f>IF('Lab test'!AU245&gt;0,'Lab test'!AU245,NA())</f>
        <v>0.68128778293265846</v>
      </c>
      <c r="E252">
        <f t="shared" si="16"/>
        <v>3.3244219778243362</v>
      </c>
      <c r="W252">
        <v>242</v>
      </c>
      <c r="X252">
        <v>0.225532397494287</v>
      </c>
      <c r="Y252">
        <v>1.3412981767799299</v>
      </c>
      <c r="Z252">
        <f t="shared" si="17"/>
        <v>1.902129589977148</v>
      </c>
    </row>
    <row r="253" spans="2:26">
      <c r="B253">
        <v>243</v>
      </c>
      <c r="C253">
        <f>IF('Lab test'!AQ246&gt;0,'Lab test'!AQ246,NA())</f>
        <v>0.59900842923715092</v>
      </c>
      <c r="D253">
        <f>IF('Lab test'!AU246&gt;0,'Lab test'!AU246,NA())</f>
        <v>0.65484273243730073</v>
      </c>
      <c r="E253">
        <f t="shared" si="16"/>
        <v>3.3960337169486037</v>
      </c>
      <c r="W253">
        <v>243</v>
      </c>
      <c r="X253">
        <v>0.29289021029640999</v>
      </c>
      <c r="Y253">
        <v>1.3630043169000401</v>
      </c>
      <c r="Z253">
        <f t="shared" si="17"/>
        <v>2.1715608411856397</v>
      </c>
    </row>
    <row r="254" spans="2:26">
      <c r="B254">
        <v>244</v>
      </c>
      <c r="C254">
        <f>IF('Lab test'!AQ247&gt;0,'Lab test'!AQ247,NA())</f>
        <v>0.58974292048580867</v>
      </c>
      <c r="D254">
        <f>IF('Lab test'!AU247&gt;0,'Lab test'!AU247,NA())</f>
        <v>0.69217143008222515</v>
      </c>
      <c r="E254">
        <f t="shared" si="16"/>
        <v>3.3589716819432347</v>
      </c>
      <c r="W254">
        <v>244</v>
      </c>
      <c r="X254">
        <v>0.33779541883115799</v>
      </c>
      <c r="Y254">
        <v>1.3893617727601799</v>
      </c>
      <c r="Z254">
        <f t="shared" si="17"/>
        <v>2.3511816753246322</v>
      </c>
    </row>
    <row r="255" spans="2:26">
      <c r="B255">
        <v>245</v>
      </c>
      <c r="C255">
        <f>IF('Lab test'!AQ248&gt;0,'Lab test'!AQ248,NA())</f>
        <v>0.58638724069742743</v>
      </c>
      <c r="D255">
        <f>IF('Lab test'!AU248&gt;0,'Lab test'!AU248,NA())</f>
        <v>0.7605985037406483</v>
      </c>
      <c r="E255">
        <f t="shared" si="16"/>
        <v>3.3455489627897097</v>
      </c>
      <c r="W255">
        <v>245</v>
      </c>
      <c r="X255">
        <v>0.34067395783979598</v>
      </c>
      <c r="Y255">
        <v>1.34956718253998</v>
      </c>
      <c r="Z255">
        <f t="shared" si="17"/>
        <v>2.3626958313591837</v>
      </c>
    </row>
    <row r="256" spans="2:26">
      <c r="B256">
        <v>246</v>
      </c>
      <c r="C256">
        <f>IF('Lab test'!AQ249&gt;0,'Lab test'!AQ249,NA())</f>
        <v>0.50598503249121529</v>
      </c>
      <c r="D256">
        <f>IF('Lab test'!AU249&gt;0,'Lab test'!AU249,NA())</f>
        <v>0.6097560975609756</v>
      </c>
      <c r="E256">
        <f t="shared" si="16"/>
        <v>3.0239401299648612</v>
      </c>
      <c r="W256">
        <v>246</v>
      </c>
      <c r="X256">
        <v>0.29231450249468199</v>
      </c>
      <c r="Y256">
        <v>1.2555072420194899</v>
      </c>
      <c r="Z256">
        <f t="shared" si="17"/>
        <v>2.1692580099787282</v>
      </c>
    </row>
    <row r="257" spans="2:26">
      <c r="B257">
        <v>247</v>
      </c>
      <c r="C257">
        <f>IF('Lab test'!AQ250&gt;0,'Lab test'!AQ250,NA())</f>
        <v>0.53550017609716916</v>
      </c>
      <c r="D257">
        <f>IF('Lab test'!AU250&gt;0,'Lab test'!AU250,NA())</f>
        <v>0.68518518518518523</v>
      </c>
      <c r="E257">
        <f t="shared" si="16"/>
        <v>3.1420007043886766</v>
      </c>
      <c r="W257">
        <v>247</v>
      </c>
      <c r="X257">
        <v>0.38097350396072399</v>
      </c>
      <c r="Y257">
        <v>1.23173385045937</v>
      </c>
      <c r="Z257">
        <f t="shared" si="17"/>
        <v>2.5238940158428962</v>
      </c>
    </row>
    <row r="258" spans="2:26">
      <c r="B258">
        <v>248</v>
      </c>
      <c r="C258">
        <f>IF('Lab test'!AQ251&gt;0,'Lab test'!AQ251,NA())</f>
        <v>0.60720317283264569</v>
      </c>
      <c r="D258">
        <f>IF('Lab test'!AU251&gt;0,'Lab test'!AU251,NA())</f>
        <v>0.5138427464008859</v>
      </c>
      <c r="E258">
        <f t="shared" si="16"/>
        <v>3.4288126913305828</v>
      </c>
      <c r="W258">
        <v>248</v>
      </c>
      <c r="X258">
        <v>0.36427797771062498</v>
      </c>
      <c r="Y258">
        <v>1.2027923302992201</v>
      </c>
      <c r="Z258">
        <f t="shared" si="17"/>
        <v>2.4571119108424999</v>
      </c>
    </row>
    <row r="259" spans="2:26">
      <c r="B259">
        <v>249</v>
      </c>
      <c r="C259">
        <f>IF('Lab test'!AQ252&gt;0,'Lab test'!AQ252,NA())</f>
        <v>0.5481726393695614</v>
      </c>
      <c r="D259">
        <f>IF('Lab test'!AU252&gt;0,'Lab test'!AU252,NA())</f>
        <v>0.61154855643044614</v>
      </c>
      <c r="E259">
        <f t="shared" si="16"/>
        <v>3.1926905574782456</v>
      </c>
      <c r="W259">
        <v>249</v>
      </c>
      <c r="X259">
        <v>0.51281059055633205</v>
      </c>
      <c r="Y259">
        <v>1.16196411435901</v>
      </c>
      <c r="Z259">
        <f t="shared" si="17"/>
        <v>3.0512423622253282</v>
      </c>
    </row>
    <row r="260" spans="2:26">
      <c r="B260">
        <v>250</v>
      </c>
      <c r="C260">
        <f>IF('Lab test'!AQ253&gt;0,'Lab test'!AQ253,NA())</f>
        <v>0.49430718136621271</v>
      </c>
      <c r="D260">
        <f>IF('Lab test'!AU253&gt;0,'Lab test'!AU253,NA())</f>
        <v>0.40704500978473579</v>
      </c>
      <c r="E260">
        <f t="shared" si="16"/>
        <v>2.9772287254648511</v>
      </c>
      <c r="W260">
        <v>250</v>
      </c>
      <c r="X260">
        <v>0.444877069952481</v>
      </c>
      <c r="Y260">
        <v>0.92991514021782395</v>
      </c>
      <c r="Z260">
        <f t="shared" si="17"/>
        <v>2.779508279809924</v>
      </c>
    </row>
    <row r="261" spans="2:26">
      <c r="B261">
        <v>251</v>
      </c>
      <c r="C261">
        <f>IF('Lab test'!AQ254&gt;0,'Lab test'!AQ254,NA())</f>
        <v>0.49955414383058894</v>
      </c>
      <c r="D261">
        <f>IF('Lab test'!AU254&gt;0,'Lab test'!AU254,NA())</f>
        <v>0.5471349353049908</v>
      </c>
      <c r="E261">
        <f t="shared" si="16"/>
        <v>2.9982165753223557</v>
      </c>
      <c r="W261">
        <v>251</v>
      </c>
      <c r="X261">
        <v>0.444301362150754</v>
      </c>
      <c r="Y261">
        <v>0.89942318147766698</v>
      </c>
      <c r="Z261">
        <f t="shared" si="17"/>
        <v>2.777205448603016</v>
      </c>
    </row>
    <row r="262" spans="2:26">
      <c r="B262">
        <v>252</v>
      </c>
      <c r="C262">
        <f>IF('Lab test'!AQ255&gt;0,'Lab test'!AQ255,NA())</f>
        <v>0.69888264642922793</v>
      </c>
      <c r="D262">
        <f>IF('Lab test'!AU255&gt;0,'Lab test'!AU255,NA())</f>
        <v>0.33493530499075785</v>
      </c>
      <c r="E262">
        <f t="shared" si="16"/>
        <v>3.7955305857169117</v>
      </c>
      <c r="W262">
        <v>252</v>
      </c>
      <c r="X262">
        <v>0.44084711534038801</v>
      </c>
      <c r="Y262">
        <v>0.86996484845751598</v>
      </c>
      <c r="Z262">
        <f t="shared" si="17"/>
        <v>2.763388461361552</v>
      </c>
    </row>
    <row r="263" spans="2:26">
      <c r="B263">
        <v>253</v>
      </c>
      <c r="C263">
        <f>IF('Lab test'!AQ256&gt;0,'Lab test'!AQ256,NA())</f>
        <v>0.91984304452712873</v>
      </c>
      <c r="D263">
        <f>IF('Lab test'!AU256&gt;0,'Lab test'!AU256,NA())</f>
        <v>0.30219224283305229</v>
      </c>
      <c r="E263">
        <f t="shared" si="16"/>
        <v>4.6793721781085154</v>
      </c>
      <c r="W263">
        <v>253</v>
      </c>
      <c r="X263">
        <v>0.30555578193441602</v>
      </c>
      <c r="Y263">
        <v>1.1438756642589201</v>
      </c>
      <c r="Z263">
        <f t="shared" si="17"/>
        <v>2.2222231277376641</v>
      </c>
    </row>
    <row r="264" spans="2:26">
      <c r="B264">
        <v>254</v>
      </c>
      <c r="C264">
        <f>IF('Lab test'!AQ257&gt;0,'Lab test'!AQ257,NA())</f>
        <v>0.89586112181004085</v>
      </c>
      <c r="D264">
        <f>IF('Lab test'!AU257&gt;0,'Lab test'!AU257,NA())</f>
        <v>0.31406491499227207</v>
      </c>
      <c r="E264">
        <f t="shared" si="16"/>
        <v>4.583444487240163</v>
      </c>
      <c r="W264">
        <v>254</v>
      </c>
      <c r="X264">
        <v>0.37272169213596201</v>
      </c>
      <c r="Y264">
        <v>1.15481486979564</v>
      </c>
      <c r="Z264">
        <f t="shared" si="17"/>
        <v>2.4908867685438478</v>
      </c>
    </row>
    <row r="265" spans="2:26">
      <c r="B265">
        <v>255</v>
      </c>
      <c r="C265">
        <f>IF('Lab test'!AQ258&gt;0,'Lab test'!AQ258,NA())</f>
        <v>0.57382397712795674</v>
      </c>
      <c r="D265">
        <f>IF('Lab test'!AU258&gt;0,'Lab test'!AU258,NA())</f>
        <v>0.67334167709637049</v>
      </c>
      <c r="E265">
        <f t="shared" si="16"/>
        <v>3.295295908511827</v>
      </c>
      <c r="W265">
        <v>255</v>
      </c>
      <c r="X265">
        <v>0.24078865424006701</v>
      </c>
      <c r="Y265">
        <v>1.20778818794591</v>
      </c>
      <c r="Z265">
        <f t="shared" si="17"/>
        <v>1.9631546169602681</v>
      </c>
    </row>
    <row r="266" spans="2:26">
      <c r="B266">
        <v>256</v>
      </c>
      <c r="C266">
        <f>IF('Lab test'!AQ259&gt;0,'Lab test'!AQ259,NA())</f>
        <v>0.58169037332592877</v>
      </c>
      <c r="D266">
        <f>IF('Lab test'!AU259&gt;0,'Lab test'!AU259,NA())</f>
        <v>0.6707317073170731</v>
      </c>
      <c r="E266">
        <f t="shared" si="16"/>
        <v>3.3267614933037151</v>
      </c>
      <c r="W266">
        <v>256</v>
      </c>
      <c r="X266">
        <v>0.24126841074150601</v>
      </c>
      <c r="Y266">
        <v>1.2142483486959501</v>
      </c>
      <c r="Z266">
        <f t="shared" si="17"/>
        <v>1.965073642966024</v>
      </c>
    </row>
    <row r="267" spans="2:26">
      <c r="B267">
        <v>257</v>
      </c>
      <c r="C267">
        <f>IF('Lab test'!AQ260&gt;0,'Lab test'!AQ260,NA())</f>
        <v>0.95391112701722314</v>
      </c>
      <c r="D267">
        <f>IF('Lab test'!AU260&gt;0,'Lab test'!AU260,NA())</f>
        <v>0.23117408906882592</v>
      </c>
      <c r="E267">
        <f t="shared" si="16"/>
        <v>4.8156445080688925</v>
      </c>
      <c r="W267">
        <v>257</v>
      </c>
      <c r="X267">
        <v>0.30267724292577802</v>
      </c>
      <c r="Y267">
        <v>1.19745193074586</v>
      </c>
      <c r="Z267">
        <f t="shared" si="17"/>
        <v>2.2107089717031121</v>
      </c>
    </row>
    <row r="268" spans="2:26">
      <c r="B268">
        <v>258</v>
      </c>
      <c r="C268">
        <f>IF('Lab test'!AQ261&gt;0,'Lab test'!AQ261,NA())</f>
        <v>0.94451275863421391</v>
      </c>
      <c r="D268">
        <f>IF('Lab test'!AU261&gt;0,'Lab test'!AU261,NA())</f>
        <v>0.23238866396761132</v>
      </c>
      <c r="E268">
        <f t="shared" ref="E268:E331" si="18">C268*4+1</f>
        <v>4.7780510345368556</v>
      </c>
      <c r="W268">
        <v>258</v>
      </c>
      <c r="X268">
        <v>0.30555578193441602</v>
      </c>
      <c r="Y268">
        <v>1.1896997378458201</v>
      </c>
      <c r="Z268">
        <f t="shared" ref="Z268:Z331" si="19">X268*4+1</f>
        <v>2.2222231277376641</v>
      </c>
    </row>
    <row r="269" spans="2:26">
      <c r="B269">
        <v>259</v>
      </c>
      <c r="C269">
        <f>IF('Lab test'!AQ262&gt;0,'Lab test'!AQ262,NA())</f>
        <v>1.1459357224888604</v>
      </c>
      <c r="D269">
        <f>IF('Lab test'!AU262&gt;0,'Lab test'!AU262,NA())</f>
        <v>0.15355285961871751</v>
      </c>
      <c r="E269">
        <f t="shared" si="18"/>
        <v>5.5837428899554418</v>
      </c>
      <c r="W269">
        <v>259</v>
      </c>
      <c r="X269">
        <v>0.29692016490850198</v>
      </c>
      <c r="Y269">
        <v>1.09064393967865</v>
      </c>
      <c r="Z269">
        <f t="shared" si="19"/>
        <v>2.1876806596340082</v>
      </c>
    </row>
    <row r="270" spans="2:26">
      <c r="B270">
        <v>260</v>
      </c>
      <c r="C270">
        <f>IF('Lab test'!AQ263&gt;0,'Lab test'!AQ263,NA())</f>
        <v>1.0904258213959641</v>
      </c>
      <c r="D270">
        <f>IF('Lab test'!AU263&gt;0,'Lab test'!AU263,NA())</f>
        <v>0.16800785083415112</v>
      </c>
      <c r="E270">
        <f t="shared" si="18"/>
        <v>5.3617032855838564</v>
      </c>
      <c r="W270">
        <v>260</v>
      </c>
      <c r="X270">
        <v>0.33578044152511199</v>
      </c>
      <c r="Y270">
        <v>1.08073835986193</v>
      </c>
      <c r="Z270">
        <f t="shared" si="19"/>
        <v>2.343121766100448</v>
      </c>
    </row>
    <row r="271" spans="2:26">
      <c r="B271">
        <v>261</v>
      </c>
      <c r="C271">
        <f>IF('Lab test'!AQ264&gt;0,'Lab test'!AQ264,NA())</f>
        <v>1.3013240428093602</v>
      </c>
      <c r="D271">
        <f>IF('Lab test'!AU264&gt;0,'Lab test'!AU264,NA())</f>
        <v>0.13135459425323651</v>
      </c>
      <c r="E271">
        <f t="shared" si="18"/>
        <v>6.2052961712374408</v>
      </c>
      <c r="W271">
        <v>261</v>
      </c>
      <c r="X271">
        <v>0.27868941785379697</v>
      </c>
      <c r="Y271">
        <v>1.1104550993120801</v>
      </c>
      <c r="Z271">
        <f t="shared" si="19"/>
        <v>2.1147576714151879</v>
      </c>
    </row>
    <row r="272" spans="2:26">
      <c r="B272">
        <v>262</v>
      </c>
      <c r="C272">
        <f>IF('Lab test'!AQ265&gt;0,'Lab test'!AQ265,NA())</f>
        <v>1.5794827845583594</v>
      </c>
      <c r="D272">
        <f>IF('Lab test'!AU265&gt;0,'Lab test'!AU265,NA())</f>
        <v>8.4590163934426227E-2</v>
      </c>
      <c r="E272">
        <f t="shared" si="18"/>
        <v>7.3179311382334378</v>
      </c>
      <c r="W272">
        <v>262</v>
      </c>
      <c r="X272">
        <v>0.37560023114460001</v>
      </c>
      <c r="Y272">
        <v>1.0915052944453201</v>
      </c>
      <c r="Z272">
        <f t="shared" si="19"/>
        <v>2.5024009245784002</v>
      </c>
    </row>
    <row r="273" spans="2:26">
      <c r="B273">
        <v>263</v>
      </c>
      <c r="C273">
        <f>IF('Lab test'!AQ266&gt;0,'Lab test'!AQ266,NA())</f>
        <v>0.99045856852064684</v>
      </c>
      <c r="D273">
        <f>IF('Lab test'!AU266&gt;0,'Lab test'!AU266,NA())</f>
        <v>0.71045576407506705</v>
      </c>
      <c r="E273">
        <f t="shared" si="18"/>
        <v>4.9618342740825874</v>
      </c>
      <c r="W273">
        <v>263</v>
      </c>
      <c r="X273">
        <v>0.38951316968634903</v>
      </c>
      <c r="Y273">
        <v>1.1199300017454601</v>
      </c>
      <c r="Z273">
        <f t="shared" si="19"/>
        <v>2.5580526787453959</v>
      </c>
    </row>
    <row r="274" spans="2:26">
      <c r="B274">
        <v>264</v>
      </c>
      <c r="C274">
        <f>IF('Lab test'!AQ267&gt;0,'Lab test'!AQ267,NA())</f>
        <v>1.0127778652551334</v>
      </c>
      <c r="D274">
        <f>IF('Lab test'!AU267&gt;0,'Lab test'!AU267,NA())</f>
        <v>0.54358974358974355</v>
      </c>
      <c r="E274">
        <f t="shared" si="18"/>
        <v>5.0511114610205334</v>
      </c>
      <c r="W274">
        <v>264</v>
      </c>
      <c r="X274">
        <v>0.120849528880162</v>
      </c>
      <c r="Y274">
        <v>1.0915052944453201</v>
      </c>
      <c r="Z274">
        <f t="shared" si="19"/>
        <v>1.4833981155206479</v>
      </c>
    </row>
    <row r="275" spans="2:26">
      <c r="B275">
        <v>265</v>
      </c>
      <c r="C275">
        <f>IF('Lab test'!AQ268&gt;0,'Lab test'!AQ268,NA())</f>
        <v>1.0409515245154519</v>
      </c>
      <c r="D275">
        <f>IF('Lab test'!AU268&gt;0,'Lab test'!AU268,NA())</f>
        <v>0.55024271844660189</v>
      </c>
      <c r="E275">
        <f t="shared" si="18"/>
        <v>5.1638060980618077</v>
      </c>
      <c r="W275">
        <v>265</v>
      </c>
      <c r="X275">
        <v>0.16258834450540899</v>
      </c>
      <c r="Y275">
        <v>1.0622192323785</v>
      </c>
      <c r="Z275">
        <f t="shared" si="19"/>
        <v>1.650353378021636</v>
      </c>
    </row>
    <row r="276" spans="2:26">
      <c r="B276">
        <v>266</v>
      </c>
      <c r="C276">
        <f>IF('Lab test'!AQ269&gt;0,'Lab test'!AQ269,NA())</f>
        <v>1.0409515245154519</v>
      </c>
      <c r="D276">
        <f>IF('Lab test'!AU269&gt;0,'Lab test'!AU269,NA())</f>
        <v>0.56966019417475722</v>
      </c>
      <c r="E276">
        <f t="shared" si="18"/>
        <v>5.1638060980618077</v>
      </c>
      <c r="W276">
        <v>266</v>
      </c>
      <c r="X276">
        <v>0.20816521214217301</v>
      </c>
      <c r="Y276">
        <v>1.05274432994512</v>
      </c>
      <c r="Z276">
        <f t="shared" si="19"/>
        <v>1.8326608485686919</v>
      </c>
    </row>
    <row r="277" spans="2:26">
      <c r="B277">
        <v>267</v>
      </c>
      <c r="C277">
        <f>IF('Lab test'!AQ270&gt;0,'Lab test'!AQ270,NA())</f>
        <v>0.70266527472493745</v>
      </c>
      <c r="D277">
        <f>IF('Lab test'!AU270&gt;0,'Lab test'!AU270,NA())</f>
        <v>0.97750000000000004</v>
      </c>
      <c r="E277">
        <f t="shared" si="18"/>
        <v>3.8106610988997498</v>
      </c>
      <c r="W277">
        <v>267</v>
      </c>
      <c r="X277">
        <v>0.20528667313353499</v>
      </c>
      <c r="Y277">
        <v>1.0234582678783</v>
      </c>
      <c r="Z277">
        <f t="shared" si="19"/>
        <v>1.82114669253414</v>
      </c>
    </row>
    <row r="278" spans="2:26">
      <c r="B278">
        <v>268</v>
      </c>
      <c r="C278">
        <f>IF('Lab test'!AQ271&gt;0,'Lab test'!AQ271,NA())</f>
        <v>0.71034490471292777</v>
      </c>
      <c r="D278">
        <f>IF('Lab test'!AU271&gt;0,'Lab test'!AU271,NA())</f>
        <v>1.0875000000000001</v>
      </c>
      <c r="E278">
        <f t="shared" si="18"/>
        <v>3.8413796188517111</v>
      </c>
      <c r="W278">
        <v>268</v>
      </c>
      <c r="X278">
        <v>0.26045867079909102</v>
      </c>
      <c r="Y278">
        <v>1.0325024929283499</v>
      </c>
      <c r="Z278">
        <f t="shared" si="19"/>
        <v>2.0418346831963641</v>
      </c>
    </row>
    <row r="279" spans="2:26">
      <c r="B279">
        <v>269</v>
      </c>
      <c r="C279">
        <f>IF('Lab test'!AQ272&gt;0,'Lab test'!AQ272,NA())</f>
        <v>0.70647378649404347</v>
      </c>
      <c r="D279">
        <f>IF('Lab test'!AU272&gt;0,'Lab test'!AU272,NA())</f>
        <v>1.0875000000000001</v>
      </c>
      <c r="E279">
        <f t="shared" si="18"/>
        <v>3.8258951459761739</v>
      </c>
      <c r="W279">
        <v>269</v>
      </c>
      <c r="X279">
        <v>0.290203573888348</v>
      </c>
      <c r="Y279">
        <v>1.0217355583449601</v>
      </c>
      <c r="Z279">
        <f t="shared" si="19"/>
        <v>2.1608142955533918</v>
      </c>
    </row>
    <row r="280" spans="2:26">
      <c r="B280">
        <v>270</v>
      </c>
      <c r="C280">
        <f>IF('Lab test'!AQ273&gt;0,'Lab test'!AQ273,NA())</f>
        <v>0.85920099924923787</v>
      </c>
      <c r="D280">
        <f>IF('Lab test'!AU273&gt;0,'Lab test'!AU273,NA())</f>
        <v>0.75625000000000009</v>
      </c>
      <c r="E280">
        <f t="shared" si="18"/>
        <v>4.4368039969969519</v>
      </c>
      <c r="W280">
        <v>270</v>
      </c>
      <c r="X280">
        <v>0.13956003243630699</v>
      </c>
      <c r="Y280">
        <v>0.89253234334429798</v>
      </c>
      <c r="Z280">
        <f t="shared" si="19"/>
        <v>1.558240129745228</v>
      </c>
    </row>
    <row r="281" spans="2:26">
      <c r="B281">
        <v>271</v>
      </c>
      <c r="C281">
        <f>IF('Lab test'!AQ274&gt;0,'Lab test'!AQ274,NA())</f>
        <v>0.87046969048388478</v>
      </c>
      <c r="D281">
        <f>IF('Lab test'!AU274&gt;0,'Lab test'!AU274,NA())</f>
        <v>0.70250000000000012</v>
      </c>
      <c r="E281">
        <f t="shared" si="18"/>
        <v>4.4818787619355387</v>
      </c>
      <c r="W281">
        <v>271</v>
      </c>
      <c r="X281">
        <v>0.21056399464937101</v>
      </c>
      <c r="Y281">
        <v>0.88693353736093605</v>
      </c>
      <c r="Z281">
        <f t="shared" si="19"/>
        <v>1.8422559785974841</v>
      </c>
    </row>
    <row r="282" spans="2:26">
      <c r="B282">
        <v>272</v>
      </c>
      <c r="C282">
        <f>IF('Lab test'!AQ275&gt;0,'Lab test'!AQ275,NA())</f>
        <v>1.0935140151648302</v>
      </c>
      <c r="D282">
        <f>IF('Lab test'!AU275&gt;0,'Lab test'!AU275,NA())</f>
        <v>0.42125000000000007</v>
      </c>
      <c r="E282">
        <f t="shared" si="18"/>
        <v>5.3740560606593206</v>
      </c>
      <c r="W282">
        <v>272</v>
      </c>
      <c r="X282">
        <v>0.190414221588907</v>
      </c>
      <c r="Y282">
        <v>0.89253234334429798</v>
      </c>
      <c r="Z282">
        <f t="shared" si="19"/>
        <v>1.7616568863556279</v>
      </c>
    </row>
    <row r="283" spans="2:26">
      <c r="B283">
        <v>273</v>
      </c>
      <c r="C283">
        <f>IF('Lab test'!AQ276&gt;0,'Lab test'!AQ276,NA())</f>
        <v>1.1140100369810504</v>
      </c>
      <c r="D283">
        <f>IF('Lab test'!AU276&gt;0,'Lab test'!AU276,NA())</f>
        <v>0.4875000000000001</v>
      </c>
      <c r="E283">
        <f t="shared" si="18"/>
        <v>5.4560401479242016</v>
      </c>
      <c r="W283">
        <v>273</v>
      </c>
      <c r="X283">
        <v>0.39718927370938301</v>
      </c>
      <c r="Y283">
        <v>0.92870924354448403</v>
      </c>
      <c r="Z283">
        <f t="shared" si="19"/>
        <v>2.5887570948375318</v>
      </c>
    </row>
    <row r="284" spans="2:26">
      <c r="B284">
        <v>274</v>
      </c>
      <c r="C284">
        <f>IF('Lab test'!AQ277&gt;0,'Lab test'!AQ277,NA())</f>
        <v>1.4857929670636589</v>
      </c>
      <c r="D284">
        <f>IF('Lab test'!AU277&gt;0,'Lab test'!AU277,NA())</f>
        <v>0.24375000000000005</v>
      </c>
      <c r="E284">
        <f t="shared" si="18"/>
        <v>6.9431718682546357</v>
      </c>
      <c r="W284">
        <v>274</v>
      </c>
      <c r="X284">
        <v>0.41494026426264902</v>
      </c>
      <c r="Y284">
        <v>0.86238492651081</v>
      </c>
      <c r="Z284">
        <f t="shared" si="19"/>
        <v>2.6597610570505958</v>
      </c>
    </row>
    <row r="285" spans="2:26">
      <c r="B285">
        <v>275</v>
      </c>
      <c r="C285">
        <f>IF('Lab test'!AQ278&gt;0,'Lab test'!AQ278,NA())</f>
        <v>1.5306007792776573</v>
      </c>
      <c r="D285">
        <f>IF('Lab test'!AU278&gt;0,'Lab test'!AU278,NA())</f>
        <v>0.16900000000000001</v>
      </c>
      <c r="E285">
        <f t="shared" si="18"/>
        <v>7.122403117110629</v>
      </c>
      <c r="W285">
        <v>275</v>
      </c>
      <c r="X285">
        <v>0.39479049120218501</v>
      </c>
      <c r="Y285">
        <v>0.878750667077561</v>
      </c>
      <c r="Z285">
        <f t="shared" si="19"/>
        <v>2.57916196480874</v>
      </c>
    </row>
    <row r="286" spans="2:26">
      <c r="B286">
        <v>276</v>
      </c>
      <c r="C286">
        <f>IF('Lab test'!AQ279&gt;0,'Lab test'!AQ279,NA())</f>
        <v>0.25238436792586039</v>
      </c>
      <c r="D286">
        <f>IF('Lab test'!AU279&gt;0,'Lab test'!AU279,NA())</f>
        <v>1.0342644271697803</v>
      </c>
      <c r="E286">
        <f t="shared" si="18"/>
        <v>2.0095374717034415</v>
      </c>
      <c r="W286">
        <v>276</v>
      </c>
      <c r="X286">
        <v>0.39670951720794301</v>
      </c>
      <c r="Y286">
        <v>0.90329927792768705</v>
      </c>
      <c r="Z286">
        <f t="shared" si="19"/>
        <v>2.586838068831772</v>
      </c>
    </row>
    <row r="287" spans="2:26">
      <c r="B287">
        <v>277</v>
      </c>
      <c r="C287">
        <f>IF('Lab test'!AQ280&gt;0,'Lab test'!AQ280,NA())</f>
        <v>0.30796514017858079</v>
      </c>
      <c r="D287">
        <f>IF('Lab test'!AU280&gt;0,'Lab test'!AU280,NA())</f>
        <v>1.024778471330511</v>
      </c>
      <c r="E287">
        <f t="shared" si="18"/>
        <v>2.2318605607143231</v>
      </c>
      <c r="W287">
        <v>277</v>
      </c>
      <c r="X287">
        <v>0.42549490729432099</v>
      </c>
      <c r="Y287">
        <v>0.99029610936146795</v>
      </c>
      <c r="Z287">
        <f t="shared" si="19"/>
        <v>2.7019796291772842</v>
      </c>
    </row>
    <row r="288" spans="2:26">
      <c r="B288">
        <v>278</v>
      </c>
      <c r="C288">
        <f>IF('Lab test'!AQ281&gt;0,'Lab test'!AQ281,NA())</f>
        <v>0.35736361033099262</v>
      </c>
      <c r="D288">
        <f>IF('Lab test'!AU281&gt;0,'Lab test'!AU281,NA())</f>
        <v>0.84554380320268663</v>
      </c>
      <c r="E288">
        <f t="shared" si="18"/>
        <v>2.4294544413239705</v>
      </c>
      <c r="W288">
        <v>278</v>
      </c>
      <c r="X288">
        <v>0.40870342974393398</v>
      </c>
      <c r="Y288">
        <v>1.0406853632117199</v>
      </c>
      <c r="Z288">
        <f t="shared" si="19"/>
        <v>2.6348137189757361</v>
      </c>
    </row>
    <row r="289" spans="2:26">
      <c r="B289">
        <v>279</v>
      </c>
      <c r="C289">
        <f>IF('Lab test'!AQ282&gt;0,'Lab test'!AQ282,NA())</f>
        <v>0.40071807098306678</v>
      </c>
      <c r="D289">
        <f>IF('Lab test'!AU282&gt;0,'Lab test'!AU282,NA())</f>
        <v>0.83163899996276169</v>
      </c>
      <c r="E289">
        <f t="shared" si="18"/>
        <v>2.6028722839322671</v>
      </c>
      <c r="W289">
        <v>279</v>
      </c>
      <c r="X289">
        <v>0.39479049120218501</v>
      </c>
      <c r="Y289">
        <v>1.0682487157452001</v>
      </c>
      <c r="Z289">
        <f t="shared" si="19"/>
        <v>2.57916196480874</v>
      </c>
    </row>
    <row r="290" spans="2:26">
      <c r="B290">
        <v>280</v>
      </c>
      <c r="C290">
        <f>IF('Lab test'!AQ283&gt;0,'Lab test'!AQ283,NA())</f>
        <v>0.35736361033099262</v>
      </c>
      <c r="D290">
        <f>IF('Lab test'!AU283&gt;0,'Lab test'!AU283,NA())</f>
        <v>0.83813195359536996</v>
      </c>
      <c r="E290">
        <f t="shared" si="18"/>
        <v>2.4294544413239705</v>
      </c>
      <c r="W290">
        <v>280</v>
      </c>
      <c r="X290">
        <v>0.48114666146131702</v>
      </c>
      <c r="Y290">
        <v>1.0561897490118</v>
      </c>
      <c r="Z290">
        <f t="shared" si="19"/>
        <v>2.9245866458452681</v>
      </c>
    </row>
    <row r="291" spans="2:26">
      <c r="B291">
        <v>281</v>
      </c>
      <c r="C291">
        <f>IF('Lab test'!AQ284&gt;0,'Lab test'!AQ284,NA())</f>
        <v>0.34203951467201471</v>
      </c>
      <c r="D291">
        <f>IF('Lab test'!AU284&gt;0,'Lab test'!AU284,NA())</f>
        <v>1.1111413228196587</v>
      </c>
      <c r="E291">
        <f t="shared" si="18"/>
        <v>2.3681580586880591</v>
      </c>
      <c r="W291">
        <v>281</v>
      </c>
      <c r="X291">
        <v>0.47682885294836003</v>
      </c>
      <c r="Y291">
        <v>1.0299184286283301</v>
      </c>
      <c r="Z291">
        <f t="shared" si="19"/>
        <v>2.9073154117934399</v>
      </c>
    </row>
    <row r="292" spans="2:26">
      <c r="B292">
        <v>282</v>
      </c>
      <c r="C292">
        <f>IF('Lab test'!AQ285&gt;0,'Lab test'!AQ285,NA())</f>
        <v>0.31359465510973783</v>
      </c>
      <c r="D292">
        <f>IF('Lab test'!AU285&gt;0,'Lab test'!AU285,NA())</f>
        <v>1.1230610952833175</v>
      </c>
      <c r="E292">
        <f t="shared" si="18"/>
        <v>2.2543786204389513</v>
      </c>
      <c r="W292">
        <v>282</v>
      </c>
      <c r="X292">
        <v>0.47059201842964499</v>
      </c>
      <c r="Y292">
        <v>1.0402546858283901</v>
      </c>
      <c r="Z292">
        <f t="shared" si="19"/>
        <v>2.8823680737185802</v>
      </c>
    </row>
    <row r="293" spans="2:26">
      <c r="B293">
        <v>283</v>
      </c>
      <c r="C293">
        <f>IF('Lab test'!AQ286&gt;0,'Lab test'!AQ286,NA())</f>
        <v>0.27981004185148683</v>
      </c>
      <c r="D293">
        <f>IF('Lab test'!AU286&gt;0,'Lab test'!AU286,NA())</f>
        <v>1.1800406797454237</v>
      </c>
      <c r="E293">
        <f t="shared" si="18"/>
        <v>2.1192401674059473</v>
      </c>
      <c r="W293">
        <v>283</v>
      </c>
      <c r="X293">
        <v>0.50465473003185801</v>
      </c>
      <c r="Y293">
        <v>1.0406853632117199</v>
      </c>
      <c r="Z293">
        <f t="shared" si="19"/>
        <v>3.018618920127432</v>
      </c>
    </row>
    <row r="294" spans="2:26">
      <c r="B294">
        <v>284</v>
      </c>
      <c r="C294">
        <f>IF('Lab test'!AQ287&gt;0,'Lab test'!AQ287,NA())</f>
        <v>0.26184499351775142</v>
      </c>
      <c r="D294">
        <f>IF('Lab test'!AU287&gt;0,'Lab test'!AU287,NA())</f>
        <v>1.143095430651031</v>
      </c>
      <c r="E294">
        <f t="shared" si="18"/>
        <v>2.0473799740710055</v>
      </c>
      <c r="W294">
        <v>284</v>
      </c>
      <c r="X294">
        <v>0.46819323592244699</v>
      </c>
      <c r="Y294">
        <v>1.0544670394784601</v>
      </c>
      <c r="Z294">
        <f t="shared" si="19"/>
        <v>2.872772943689788</v>
      </c>
    </row>
    <row r="295" spans="2:26">
      <c r="B295">
        <v>285</v>
      </c>
      <c r="C295">
        <f>IF('Lab test'!AQ288&gt;0,'Lab test'!AQ288,NA())</f>
        <v>0.23040151980371659</v>
      </c>
      <c r="D295">
        <f>IF('Lab test'!AU288&gt;0,'Lab test'!AU288,NA())</f>
        <v>1.1419999999999999</v>
      </c>
      <c r="E295">
        <f t="shared" si="18"/>
        <v>1.9216060792148664</v>
      </c>
      <c r="W295">
        <v>285</v>
      </c>
      <c r="X295">
        <v>0.47203128793396398</v>
      </c>
      <c r="Y295">
        <v>0.95282717701127495</v>
      </c>
      <c r="Z295">
        <f t="shared" si="19"/>
        <v>2.8881251517358559</v>
      </c>
    </row>
    <row r="296" spans="2:26">
      <c r="B296">
        <v>286</v>
      </c>
      <c r="C296">
        <f>IF('Lab test'!AQ289&gt;0,'Lab test'!AQ289,NA())</f>
        <v>0.20382831493677156</v>
      </c>
      <c r="D296">
        <f>IF('Lab test'!AU289&gt;0,'Lab test'!AU289,NA())</f>
        <v>1.1741194104421684</v>
      </c>
      <c r="E296">
        <f t="shared" si="18"/>
        <v>1.8153132597470862</v>
      </c>
      <c r="W296">
        <v>286</v>
      </c>
      <c r="X296">
        <v>0.48930252198579</v>
      </c>
      <c r="Y296">
        <v>0.96359411159466402</v>
      </c>
      <c r="Z296">
        <f t="shared" si="19"/>
        <v>2.9572100879431602</v>
      </c>
    </row>
    <row r="297" spans="2:26">
      <c r="B297">
        <v>287</v>
      </c>
      <c r="C297">
        <f>IF('Lab test'!AQ290&gt;0,'Lab test'!AQ290,NA())</f>
        <v>0.2502385249863856</v>
      </c>
      <c r="D297">
        <f>IF('Lab test'!AU290&gt;0,'Lab test'!AU290,NA())</f>
        <v>1.1052631578947369</v>
      </c>
      <c r="E297">
        <f t="shared" si="18"/>
        <v>2.0009540999455426</v>
      </c>
      <c r="W297">
        <v>287</v>
      </c>
      <c r="X297">
        <v>0.47490982694260198</v>
      </c>
      <c r="Y297">
        <v>0.96617817589467703</v>
      </c>
      <c r="Z297">
        <f t="shared" si="19"/>
        <v>2.8996393077704079</v>
      </c>
    </row>
    <row r="298" spans="2:26">
      <c r="B298">
        <v>288</v>
      </c>
      <c r="C298" t="e">
        <f>IF('Lab test'!AQ291&gt;0,'Lab test'!AQ291,NA())</f>
        <v>#N/A</v>
      </c>
      <c r="D298" t="e">
        <f>IF('Lab test'!AU291&gt;0,'Lab test'!AU291,NA())</f>
        <v>#N/A</v>
      </c>
      <c r="E298" t="e">
        <f t="shared" si="18"/>
        <v>#N/A</v>
      </c>
      <c r="W298">
        <v>288</v>
      </c>
      <c r="X298">
        <v>0.50561424303473701</v>
      </c>
      <c r="Y298">
        <v>0.92870924354448403</v>
      </c>
      <c r="Z298">
        <f t="shared" si="19"/>
        <v>3.022456972138948</v>
      </c>
    </row>
    <row r="299" spans="2:26">
      <c r="B299">
        <v>289</v>
      </c>
      <c r="C299" t="e">
        <f>IF('Lab test'!AQ292&gt;0,'Lab test'!AQ292,NA())</f>
        <v>#N/A</v>
      </c>
      <c r="D299" t="e">
        <f>IF('Lab test'!AU292&gt;0,'Lab test'!AU292,NA())</f>
        <v>#N/A</v>
      </c>
      <c r="E299" t="e">
        <f t="shared" si="18"/>
        <v>#N/A</v>
      </c>
      <c r="W299">
        <v>289</v>
      </c>
      <c r="X299">
        <v>0.56702307521900897</v>
      </c>
      <c r="Y299">
        <v>0.94119888766121496</v>
      </c>
      <c r="Z299">
        <f t="shared" si="19"/>
        <v>3.2680923008760359</v>
      </c>
    </row>
    <row r="300" spans="2:26">
      <c r="B300">
        <v>290</v>
      </c>
      <c r="C300">
        <f>IF('Lab test'!AQ293&gt;0,'Lab test'!AQ293,NA())</f>
        <v>0.2889505595250092</v>
      </c>
      <c r="D300">
        <f>IF('Lab test'!AU293&gt;0,'Lab test'!AU293,NA())</f>
        <v>0.9</v>
      </c>
      <c r="E300">
        <f t="shared" si="18"/>
        <v>2.155802238100037</v>
      </c>
      <c r="W300">
        <v>290</v>
      </c>
      <c r="X300">
        <v>0.52096645108080497</v>
      </c>
      <c r="Y300">
        <v>0.963163434211328</v>
      </c>
      <c r="Z300">
        <f t="shared" si="19"/>
        <v>3.0838658043232199</v>
      </c>
    </row>
    <row r="301" spans="2:26">
      <c r="B301">
        <v>291</v>
      </c>
      <c r="C301" t="e">
        <f>IF('Lab test'!AQ294&gt;0,'Lab test'!AQ294,NA())</f>
        <v>#N/A</v>
      </c>
      <c r="D301" t="e">
        <f>IF('Lab test'!AU294&gt;0,'Lab test'!AU294,NA())</f>
        <v>#N/A</v>
      </c>
      <c r="E301" t="e">
        <f t="shared" si="18"/>
        <v>#N/A</v>
      </c>
      <c r="W301">
        <v>291</v>
      </c>
      <c r="X301">
        <v>0.54735305865998396</v>
      </c>
      <c r="Y301">
        <v>0.91492756727774704</v>
      </c>
      <c r="Z301">
        <f t="shared" si="19"/>
        <v>3.1894122346399358</v>
      </c>
    </row>
    <row r="302" spans="2:26">
      <c r="B302">
        <v>292</v>
      </c>
      <c r="C302" t="e">
        <f>IF('Lab test'!AQ295&gt;0,'Lab test'!AQ295,NA())</f>
        <v>#N/A</v>
      </c>
      <c r="D302" t="e">
        <f>IF('Lab test'!AU295&gt;0,'Lab test'!AU295,NA())</f>
        <v>#N/A</v>
      </c>
      <c r="E302" t="e">
        <f t="shared" si="18"/>
        <v>#N/A</v>
      </c>
      <c r="W302">
        <v>292</v>
      </c>
      <c r="X302">
        <v>0.56414453621037097</v>
      </c>
      <c r="Y302">
        <v>0.914066212511076</v>
      </c>
      <c r="Z302">
        <f t="shared" si="19"/>
        <v>3.2565781448414839</v>
      </c>
    </row>
    <row r="303" spans="2:26">
      <c r="B303">
        <v>293</v>
      </c>
      <c r="C303" t="e">
        <f>IF('Lab test'!AQ296&gt;0,'Lab test'!AQ296,NA())</f>
        <v>#N/A</v>
      </c>
      <c r="D303" t="e">
        <f>IF('Lab test'!AU296&gt;0,'Lab test'!AU296,NA())</f>
        <v>#N/A</v>
      </c>
      <c r="E303" t="e">
        <f t="shared" si="18"/>
        <v>#N/A</v>
      </c>
      <c r="W303">
        <v>293</v>
      </c>
      <c r="X303">
        <v>0.58093601376075799</v>
      </c>
      <c r="Y303">
        <v>0.90631401961103597</v>
      </c>
      <c r="Z303">
        <f t="shared" si="19"/>
        <v>3.3237440550430319</v>
      </c>
    </row>
    <row r="304" spans="2:26">
      <c r="B304">
        <v>294</v>
      </c>
      <c r="C304" t="e">
        <f>IF('Lab test'!AQ297&gt;0,'Lab test'!AQ297,NA())</f>
        <v>#N/A</v>
      </c>
      <c r="D304" t="e">
        <f>IF('Lab test'!AU297&gt;0,'Lab test'!AU297,NA())</f>
        <v>#N/A</v>
      </c>
      <c r="E304" t="e">
        <f t="shared" si="18"/>
        <v>#N/A</v>
      </c>
      <c r="W304">
        <v>294</v>
      </c>
      <c r="X304">
        <v>0.56174575370317303</v>
      </c>
      <c r="Y304">
        <v>0.90502198746102902</v>
      </c>
      <c r="Z304">
        <f t="shared" si="19"/>
        <v>3.2469830148126921</v>
      </c>
    </row>
    <row r="305" spans="2:26">
      <c r="B305">
        <v>295</v>
      </c>
      <c r="C305" t="e">
        <f>IF('Lab test'!AQ298&gt;0,'Lab test'!AQ298,NA())</f>
        <v>#N/A</v>
      </c>
      <c r="D305" t="e">
        <f>IF('Lab test'!AU298&gt;0,'Lab test'!AU298,NA())</f>
        <v>#N/A</v>
      </c>
      <c r="E305" t="e">
        <f t="shared" si="18"/>
        <v>#N/A</v>
      </c>
      <c r="W305">
        <v>295</v>
      </c>
      <c r="X305">
        <v>0.54879232816430301</v>
      </c>
      <c r="Y305">
        <v>0.88779489212760798</v>
      </c>
      <c r="Z305">
        <f t="shared" si="19"/>
        <v>3.195169312657212</v>
      </c>
    </row>
    <row r="306" spans="2:26">
      <c r="B306">
        <v>296</v>
      </c>
      <c r="C306" t="e">
        <f>IF('Lab test'!AQ299&gt;0,'Lab test'!AQ299,NA())</f>
        <v>#N/A</v>
      </c>
      <c r="D306" t="e">
        <f>IF('Lab test'!AU299&gt;0,'Lab test'!AU299,NA())</f>
        <v>#N/A</v>
      </c>
      <c r="E306" t="e">
        <f t="shared" si="18"/>
        <v>#N/A</v>
      </c>
      <c r="W306">
        <v>296</v>
      </c>
      <c r="X306">
        <v>0.57997650075787899</v>
      </c>
      <c r="Y306">
        <v>0.87401321586087</v>
      </c>
      <c r="Z306">
        <f t="shared" si="19"/>
        <v>3.319906003031516</v>
      </c>
    </row>
    <row r="307" spans="2:26">
      <c r="B307">
        <v>297</v>
      </c>
      <c r="C307" t="e">
        <f>IF('Lab test'!AQ300&gt;0,'Lab test'!AQ300,NA())</f>
        <v>#N/A</v>
      </c>
      <c r="D307" t="e">
        <f>IF('Lab test'!AU300&gt;0,'Lab test'!AU300,NA())</f>
        <v>#N/A</v>
      </c>
      <c r="E307" t="e">
        <f t="shared" si="18"/>
        <v>#N/A</v>
      </c>
      <c r="W307">
        <v>297</v>
      </c>
      <c r="X307">
        <v>0.54879232816430301</v>
      </c>
      <c r="Y307">
        <v>0.87444389324420602</v>
      </c>
      <c r="Z307">
        <f t="shared" si="19"/>
        <v>3.195169312657212</v>
      </c>
    </row>
    <row r="308" spans="2:26">
      <c r="B308">
        <v>298</v>
      </c>
      <c r="C308" t="e">
        <f>IF('Lab test'!AQ301&gt;0,'Lab test'!AQ301,NA())</f>
        <v>#N/A</v>
      </c>
      <c r="D308" t="e">
        <f>IF('Lab test'!AU301&gt;0,'Lab test'!AU301,NA())</f>
        <v>#N/A</v>
      </c>
      <c r="E308" t="e">
        <f t="shared" si="18"/>
        <v>#N/A</v>
      </c>
      <c r="W308">
        <v>298</v>
      </c>
      <c r="X308">
        <v>0.50705351253905595</v>
      </c>
      <c r="Y308">
        <v>0.84429647641071703</v>
      </c>
      <c r="Z308">
        <f t="shared" si="19"/>
        <v>3.0282140501562238</v>
      </c>
    </row>
    <row r="309" spans="2:26">
      <c r="B309">
        <v>299</v>
      </c>
      <c r="C309">
        <f>IF('Lab test'!AQ302&gt;0,'Lab test'!AQ302,NA())</f>
        <v>0.40863780013556233</v>
      </c>
      <c r="D309">
        <f>IF('Lab test'!AU302&gt;0,'Lab test'!AU302,NA())</f>
        <v>0.75421052631578955</v>
      </c>
      <c r="E309">
        <f t="shared" si="18"/>
        <v>2.6345512005422496</v>
      </c>
      <c r="W309">
        <v>299</v>
      </c>
      <c r="X309">
        <v>0.52192596408368497</v>
      </c>
      <c r="Y309">
        <v>0.85247934669409298</v>
      </c>
      <c r="Z309">
        <f t="shared" si="19"/>
        <v>3.0877038563347399</v>
      </c>
    </row>
    <row r="310" spans="2:26">
      <c r="B310">
        <v>300</v>
      </c>
      <c r="C310" t="e">
        <f>IF('Lab test'!AQ303&gt;0,'Lab test'!AQ303,NA())</f>
        <v>#N/A</v>
      </c>
      <c r="D310" t="e">
        <f>IF('Lab test'!AU303&gt;0,'Lab test'!AU303,NA())</f>
        <v>#N/A</v>
      </c>
      <c r="E310" t="e">
        <f t="shared" si="18"/>
        <v>#N/A</v>
      </c>
      <c r="W310">
        <v>300</v>
      </c>
      <c r="X310">
        <v>0.50705351253905595</v>
      </c>
      <c r="Y310">
        <v>0.63541794549297703</v>
      </c>
      <c r="Z310">
        <f t="shared" si="19"/>
        <v>3.0282140501562238</v>
      </c>
    </row>
    <row r="311" spans="2:26">
      <c r="B311">
        <v>301</v>
      </c>
      <c r="C311">
        <f>IF('Lab test'!AQ304&gt;0,'Lab test'!AQ304,NA())</f>
        <v>0.5004770499727712</v>
      </c>
      <c r="D311">
        <f>IF('Lab test'!AU304&gt;0,'Lab test'!AU304,NA())</f>
        <v>0.58684210526315794</v>
      </c>
      <c r="E311">
        <f t="shared" si="18"/>
        <v>3.0019081998910848</v>
      </c>
      <c r="W311">
        <v>301</v>
      </c>
      <c r="X311">
        <v>0.49985716501746202</v>
      </c>
      <c r="Y311">
        <v>0.65479842774307695</v>
      </c>
      <c r="Z311">
        <f t="shared" si="19"/>
        <v>2.9994286600698481</v>
      </c>
    </row>
    <row r="312" spans="2:26">
      <c r="B312">
        <v>302</v>
      </c>
      <c r="C312" t="e">
        <f>IF('Lab test'!AQ305&gt;0,'Lab test'!AQ305,NA())</f>
        <v>#N/A</v>
      </c>
      <c r="D312" t="e">
        <f>IF('Lab test'!AU305&gt;0,'Lab test'!AU305,NA())</f>
        <v>#N/A</v>
      </c>
      <c r="E312" t="e">
        <f t="shared" si="18"/>
        <v>#N/A</v>
      </c>
      <c r="W312">
        <v>302</v>
      </c>
      <c r="X312">
        <v>0.507533269040496</v>
      </c>
      <c r="Y312">
        <v>0.67030281354315702</v>
      </c>
      <c r="Z312">
        <f t="shared" si="19"/>
        <v>3.030133076161984</v>
      </c>
    </row>
    <row r="313" spans="2:26">
      <c r="B313">
        <v>303</v>
      </c>
      <c r="C313">
        <f>IF('Lab test'!AQ306&gt;0,'Lab test'!AQ306,NA())</f>
        <v>0.17886578339328085</v>
      </c>
      <c r="D313">
        <f>IF('Lab test'!AU306&gt;0,'Lab test'!AU306,NA())</f>
        <v>1.5874861716202324</v>
      </c>
      <c r="E313">
        <f t="shared" si="18"/>
        <v>1.7154631335731234</v>
      </c>
      <c r="W313">
        <v>303</v>
      </c>
      <c r="X313">
        <v>0.50897253854481495</v>
      </c>
      <c r="Y313">
        <v>0.68839126364324998</v>
      </c>
      <c r="Z313">
        <f t="shared" si="19"/>
        <v>3.0358901541792598</v>
      </c>
    </row>
    <row r="314" spans="2:26">
      <c r="B314">
        <v>304</v>
      </c>
      <c r="C314">
        <f>IF('Lab test'!AQ307&gt;0,'Lab test'!AQ307,NA())</f>
        <v>0.17757017871410097</v>
      </c>
      <c r="D314">
        <f>IF('Lab test'!AU307&gt;0,'Lab test'!AU307,NA())</f>
        <v>1.5869004051105828</v>
      </c>
      <c r="E314">
        <f t="shared" si="18"/>
        <v>1.7102807148564039</v>
      </c>
      <c r="W314">
        <v>304</v>
      </c>
      <c r="X314">
        <v>0.47395031393972198</v>
      </c>
      <c r="Y314">
        <v>0.71250919711004002</v>
      </c>
      <c r="Z314">
        <f t="shared" si="19"/>
        <v>2.8958012557588879</v>
      </c>
    </row>
    <row r="315" spans="2:26">
      <c r="B315">
        <v>305</v>
      </c>
      <c r="C315">
        <f>IF('Lab test'!AQ308&gt;0,'Lab test'!AQ308,NA())</f>
        <v>0.22245665397328121</v>
      </c>
      <c r="D315">
        <f>IF('Lab test'!AU308&gt;0,'Lab test'!AU308,NA())</f>
        <v>1.3020624788107931</v>
      </c>
      <c r="E315">
        <f t="shared" si="18"/>
        <v>1.8898266158931247</v>
      </c>
      <c r="W315">
        <v>305</v>
      </c>
      <c r="X315">
        <v>0.507533269040496</v>
      </c>
      <c r="Y315">
        <v>0.71767732571006704</v>
      </c>
      <c r="Z315">
        <f t="shared" si="19"/>
        <v>3.030133076161984</v>
      </c>
    </row>
    <row r="316" spans="2:26">
      <c r="B316">
        <v>306</v>
      </c>
      <c r="C316">
        <f>IF('Lab test'!AQ309&gt;0,'Lab test'!AQ309,NA())</f>
        <v>0.25794467871866744</v>
      </c>
      <c r="D316">
        <f>IF('Lab test'!AU309&gt;0,'Lab test'!AU309,NA())</f>
        <v>1.1250588124005259</v>
      </c>
      <c r="E316">
        <f t="shared" si="18"/>
        <v>2.0317787148746698</v>
      </c>
      <c r="W316">
        <v>306</v>
      </c>
      <c r="X316">
        <v>0.507533269040496</v>
      </c>
      <c r="Y316">
        <v>0.78572435227708304</v>
      </c>
      <c r="Z316">
        <f t="shared" si="19"/>
        <v>3.030133076161984</v>
      </c>
    </row>
    <row r="317" spans="2:26">
      <c r="B317">
        <v>307</v>
      </c>
      <c r="C317" t="e">
        <f>IF('Lab test'!AQ310&gt;0,'Lab test'!AQ310,NA())</f>
        <v>#N/A</v>
      </c>
      <c r="D317" t="e">
        <f>IF('Lab test'!AU310&gt;0,'Lab test'!AU310,NA())</f>
        <v>#N/A</v>
      </c>
      <c r="E317" t="e">
        <f t="shared" si="18"/>
        <v>#N/A</v>
      </c>
      <c r="W317">
        <v>307</v>
      </c>
      <c r="X317">
        <v>0.49937740851602203</v>
      </c>
      <c r="Y317">
        <v>0.77452674031035895</v>
      </c>
      <c r="Z317">
        <f t="shared" si="19"/>
        <v>2.9975096340640883</v>
      </c>
    </row>
    <row r="318" spans="2:26">
      <c r="B318">
        <v>308</v>
      </c>
      <c r="C318" t="e">
        <f>IF('Lab test'!AQ311&gt;0,'Lab test'!AQ311,NA())</f>
        <v>#N/A</v>
      </c>
      <c r="D318" t="e">
        <f>IF('Lab test'!AU311&gt;0,'Lab test'!AU311,NA())</f>
        <v>#N/A</v>
      </c>
      <c r="E318" t="e">
        <f t="shared" si="18"/>
        <v>#N/A</v>
      </c>
      <c r="W318">
        <v>308</v>
      </c>
      <c r="X318">
        <v>0.50081667802034102</v>
      </c>
      <c r="Y318">
        <v>0.75299287114358104</v>
      </c>
      <c r="Z318">
        <f t="shared" si="19"/>
        <v>3.0032667120813641</v>
      </c>
    </row>
    <row r="319" spans="2:26">
      <c r="B319">
        <v>309</v>
      </c>
      <c r="C319" t="e">
        <f>IF('Lab test'!AQ312&gt;0,'Lab test'!AQ312,NA())</f>
        <v>#N/A</v>
      </c>
      <c r="D319" t="e">
        <f>IF('Lab test'!AU312&gt;0,'Lab test'!AU312,NA())</f>
        <v>#N/A</v>
      </c>
      <c r="E319" t="e">
        <f t="shared" si="18"/>
        <v>#N/A</v>
      </c>
      <c r="W319">
        <v>309</v>
      </c>
      <c r="X319">
        <v>0.49745838251026397</v>
      </c>
      <c r="Y319">
        <v>0.73705780796016596</v>
      </c>
      <c r="Z319">
        <f t="shared" si="19"/>
        <v>2.9898335300410559</v>
      </c>
    </row>
    <row r="320" spans="2:26">
      <c r="B320">
        <v>310</v>
      </c>
      <c r="C320" t="e">
        <f>IF('Lab test'!AQ313&gt;0,'Lab test'!AQ313,NA())</f>
        <v>#N/A</v>
      </c>
      <c r="D320" t="e">
        <f>IF('Lab test'!AU313&gt;0,'Lab test'!AU313,NA())</f>
        <v>#N/A</v>
      </c>
      <c r="E320" t="e">
        <f t="shared" si="18"/>
        <v>#N/A</v>
      </c>
      <c r="W320">
        <v>310</v>
      </c>
      <c r="X320">
        <v>0.16114907500108999</v>
      </c>
      <c r="Y320">
        <v>0.92741721139447797</v>
      </c>
      <c r="Z320">
        <f t="shared" si="19"/>
        <v>1.64459630000436</v>
      </c>
    </row>
    <row r="321" spans="2:26">
      <c r="B321">
        <v>311</v>
      </c>
      <c r="C321" t="e">
        <f>IF('Lab test'!AQ314&gt;0,'Lab test'!AQ314,NA())</f>
        <v>#N/A</v>
      </c>
      <c r="D321" t="e">
        <f>IF('Lab test'!AU314&gt;0,'Lab test'!AU314,NA())</f>
        <v>#N/A</v>
      </c>
      <c r="E321" t="e">
        <f t="shared" si="18"/>
        <v>#N/A</v>
      </c>
      <c r="W321">
        <v>311</v>
      </c>
      <c r="X321">
        <v>0.118930502874403</v>
      </c>
      <c r="Y321">
        <v>0.93947617812787299</v>
      </c>
      <c r="Z321">
        <f t="shared" si="19"/>
        <v>1.475722011497612</v>
      </c>
    </row>
    <row r="322" spans="2:26">
      <c r="B322">
        <v>312</v>
      </c>
      <c r="C322" t="e">
        <f>IF('Lab test'!AQ315&gt;0,'Lab test'!AQ315,NA())</f>
        <v>#N/A</v>
      </c>
      <c r="D322" t="e">
        <f>IF('Lab test'!AU315&gt;0,'Lab test'!AU315,NA())</f>
        <v>#N/A</v>
      </c>
      <c r="E322" t="e">
        <f t="shared" si="18"/>
        <v>#N/A</v>
      </c>
      <c r="W322">
        <v>312</v>
      </c>
      <c r="X322">
        <v>0.119410259375843</v>
      </c>
      <c r="Y322">
        <v>0.909328761294385</v>
      </c>
      <c r="Z322">
        <f t="shared" si="19"/>
        <v>1.4776410375033719</v>
      </c>
    </row>
    <row r="323" spans="2:26">
      <c r="B323">
        <v>313</v>
      </c>
      <c r="C323" t="e">
        <f>IF('Lab test'!AQ316&gt;0,'Lab test'!AQ316,NA())</f>
        <v>#N/A</v>
      </c>
      <c r="D323" t="e">
        <f>IF('Lab test'!AU316&gt;0,'Lab test'!AU316,NA())</f>
        <v>#N/A</v>
      </c>
      <c r="E323" t="e">
        <f t="shared" si="18"/>
        <v>#N/A</v>
      </c>
      <c r="W323">
        <v>313</v>
      </c>
      <c r="X323">
        <v>0.43077222881015698</v>
      </c>
      <c r="Y323">
        <v>0.87401321586087</v>
      </c>
      <c r="Z323">
        <f t="shared" si="19"/>
        <v>2.7230889152406279</v>
      </c>
    </row>
    <row r="324" spans="2:26">
      <c r="B324">
        <v>314</v>
      </c>
      <c r="C324" t="e">
        <f>IF('Lab test'!AQ317&gt;0,'Lab test'!AQ317,NA())</f>
        <v>#N/A</v>
      </c>
      <c r="D324" t="e">
        <f>IF('Lab test'!AU317&gt;0,'Lab test'!AU317,NA())</f>
        <v>#N/A</v>
      </c>
      <c r="E324" t="e">
        <f t="shared" si="18"/>
        <v>#N/A</v>
      </c>
      <c r="W324">
        <v>314</v>
      </c>
      <c r="X324">
        <v>0.53967695463694998</v>
      </c>
      <c r="Y324">
        <v>0.96962359496136097</v>
      </c>
      <c r="Z324">
        <f t="shared" si="19"/>
        <v>3.1587078185477999</v>
      </c>
    </row>
    <row r="325" spans="2:26">
      <c r="B325">
        <v>315</v>
      </c>
      <c r="C325">
        <f>IF('Lab test'!AQ318&gt;0,'Lab test'!AQ318,NA())</f>
        <v>0.3204208727095576</v>
      </c>
      <c r="D325">
        <f>IF('Lab test'!AU318&gt;0,'Lab test'!AU318,NA())</f>
        <v>0.85632181033735433</v>
      </c>
      <c r="E325">
        <f t="shared" si="18"/>
        <v>2.2816834908382306</v>
      </c>
      <c r="W325">
        <v>315</v>
      </c>
      <c r="X325">
        <v>0.55502916268301805</v>
      </c>
      <c r="Y325">
        <v>0.989004077211461</v>
      </c>
      <c r="Z325">
        <f t="shared" si="19"/>
        <v>3.2201166507320722</v>
      </c>
    </row>
    <row r="326" spans="2:26">
      <c r="B326">
        <v>316</v>
      </c>
      <c r="C326">
        <f>IF('Lab test'!AQ319&gt;0,'Lab test'!AQ319,NA())</f>
        <v>0.31766268123244462</v>
      </c>
      <c r="D326">
        <f>IF('Lab test'!AU319&gt;0,'Lab test'!AU319,NA())</f>
        <v>0.72647071495514282</v>
      </c>
      <c r="E326">
        <f t="shared" si="18"/>
        <v>2.2706507249297783</v>
      </c>
      <c r="W326">
        <v>316</v>
      </c>
      <c r="X326">
        <v>0.55790770169165604</v>
      </c>
      <c r="Y326">
        <v>0.96660885327801205</v>
      </c>
      <c r="Z326">
        <f t="shared" si="19"/>
        <v>3.2316308067666242</v>
      </c>
    </row>
    <row r="327" spans="2:26">
      <c r="B327">
        <v>317</v>
      </c>
      <c r="C327">
        <f>IF('Lab test'!AQ320&gt;0,'Lab test'!AQ320,NA())</f>
        <v>0.35205031635472167</v>
      </c>
      <c r="D327">
        <f>IF('Lab test'!AU320&gt;0,'Lab test'!AU320,NA())</f>
        <v>0.72307718054039571</v>
      </c>
      <c r="E327">
        <f t="shared" si="18"/>
        <v>2.4082012654188869</v>
      </c>
      <c r="W327">
        <v>317</v>
      </c>
      <c r="X327">
        <v>0.39335122169786602</v>
      </c>
      <c r="Y327">
        <v>1.13629574231221</v>
      </c>
      <c r="Z327">
        <f t="shared" si="19"/>
        <v>2.5734048867914643</v>
      </c>
    </row>
    <row r="328" spans="2:26">
      <c r="B328">
        <v>318</v>
      </c>
      <c r="C328">
        <f>IF('Lab test'!AQ321&gt;0,'Lab test'!AQ321,NA())</f>
        <v>0.35502442548424701</v>
      </c>
      <c r="D328">
        <f>IF('Lab test'!AU321&gt;0,'Lab test'!AU321,NA())</f>
        <v>0.70263144234674091</v>
      </c>
      <c r="E328">
        <f t="shared" si="18"/>
        <v>2.4200977019369878</v>
      </c>
      <c r="W328">
        <v>318</v>
      </c>
      <c r="X328">
        <v>0.35257191907549801</v>
      </c>
      <c r="Y328">
        <v>1.13155829109552</v>
      </c>
      <c r="Z328">
        <f t="shared" si="19"/>
        <v>2.410287676301992</v>
      </c>
    </row>
    <row r="329" spans="2:26">
      <c r="B329">
        <v>319</v>
      </c>
      <c r="C329">
        <f>IF('Lab test'!AQ322&gt;0,'Lab test'!AQ322,NA())</f>
        <v>0.47232725242961432</v>
      </c>
      <c r="D329">
        <f>IF('Lab test'!AU322&gt;0,'Lab test'!AU322,NA())</f>
        <v>0.53499996192759491</v>
      </c>
      <c r="E329">
        <f t="shared" si="18"/>
        <v>2.8893090097184571</v>
      </c>
      <c r="W329">
        <v>319</v>
      </c>
      <c r="X329">
        <v>0.25134329727173799</v>
      </c>
      <c r="Y329">
        <v>1.12337542081215</v>
      </c>
      <c r="Z329">
        <f t="shared" si="19"/>
        <v>2.0053731890869519</v>
      </c>
    </row>
    <row r="330" spans="2:26">
      <c r="B330">
        <v>320</v>
      </c>
      <c r="C330">
        <f>IF('Lab test'!AQ323&gt;0,'Lab test'!AQ323,NA())</f>
        <v>0.4697277637193889</v>
      </c>
      <c r="D330">
        <f>IF('Lab test'!AU323&gt;0,'Lab test'!AU323,NA())</f>
        <v>0.54499995104976495</v>
      </c>
      <c r="E330">
        <f t="shared" si="18"/>
        <v>2.8789110548775554</v>
      </c>
      <c r="W330">
        <v>320</v>
      </c>
      <c r="X330">
        <v>0.25901940129477202</v>
      </c>
      <c r="Y330">
        <v>1.1238060981954801</v>
      </c>
      <c r="Z330">
        <f t="shared" si="19"/>
        <v>2.0360776051790879</v>
      </c>
    </row>
    <row r="331" spans="2:26">
      <c r="B331">
        <v>321</v>
      </c>
      <c r="C331">
        <f>IF('Lab test'!AQ324&gt;0,'Lab test'!AQ324,NA())</f>
        <v>0.29769210771408505</v>
      </c>
      <c r="D331">
        <f>IF('Lab test'!AU324&gt;0,'Lab test'!AU324,NA())</f>
        <v>0.97101473037061137</v>
      </c>
      <c r="E331">
        <f t="shared" si="18"/>
        <v>2.1907684308563402</v>
      </c>
      <c r="W331">
        <v>321</v>
      </c>
      <c r="X331">
        <v>0.24798500176166099</v>
      </c>
      <c r="Y331">
        <v>1.1100244219287401</v>
      </c>
      <c r="Z331">
        <f t="shared" si="19"/>
        <v>1.991940007046644</v>
      </c>
    </row>
    <row r="332" spans="2:26">
      <c r="B332">
        <v>322</v>
      </c>
      <c r="C332">
        <f>IF('Lab test'!AQ325&gt;0,'Lab test'!AQ325,NA())</f>
        <v>0.29582660308724873</v>
      </c>
      <c r="D332">
        <f>IF('Lab test'!AU325&gt;0,'Lab test'!AU325,NA())</f>
        <v>0.9088237138456039</v>
      </c>
      <c r="E332">
        <f t="shared" ref="E332:E395" si="20">C332*4+1</f>
        <v>2.1833064123489949</v>
      </c>
      <c r="W332">
        <v>322</v>
      </c>
      <c r="X332">
        <v>0.27820966135235697</v>
      </c>
      <c r="Y332">
        <v>1.0488682334951001</v>
      </c>
      <c r="Z332">
        <f t="shared" ref="Z332:Z376" si="21">X332*4+1</f>
        <v>2.1128386454094281</v>
      </c>
    </row>
    <row r="333" spans="2:26">
      <c r="B333">
        <v>323</v>
      </c>
      <c r="C333">
        <f>IF('Lab test'!AQ326&gt;0,'Lab test'!AQ326,NA())</f>
        <v>0.31445399772968119</v>
      </c>
      <c r="D333">
        <f>IF('Lab test'!AU326&gt;0,'Lab test'!AU326,NA())</f>
        <v>0.77187509348136851</v>
      </c>
      <c r="E333">
        <f t="shared" si="20"/>
        <v>2.2578159909187248</v>
      </c>
      <c r="W333">
        <v>323</v>
      </c>
      <c r="X333">
        <v>0.117970989871524</v>
      </c>
      <c r="Y333">
        <v>1.07600090864524</v>
      </c>
      <c r="Z333">
        <f t="shared" si="21"/>
        <v>1.471883959486096</v>
      </c>
    </row>
    <row r="334" spans="2:26">
      <c r="B334">
        <v>324</v>
      </c>
      <c r="C334">
        <f>IF('Lab test'!AQ327&gt;0,'Lab test'!AQ327,NA())</f>
        <v>0.32413175311751147</v>
      </c>
      <c r="D334">
        <f>IF('Lab test'!AU327&gt;0,'Lab test'!AU327,NA())</f>
        <v>0.72941199556184444</v>
      </c>
      <c r="E334">
        <f t="shared" si="20"/>
        <v>2.2965270124700456</v>
      </c>
      <c r="W334">
        <v>324</v>
      </c>
      <c r="X334">
        <v>0.116051963865765</v>
      </c>
      <c r="Y334">
        <v>1.07083278004521</v>
      </c>
      <c r="Z334">
        <f t="shared" si="21"/>
        <v>1.46420785546306</v>
      </c>
    </row>
    <row r="335" spans="2:26">
      <c r="B335">
        <v>325</v>
      </c>
      <c r="C335">
        <f>IF('Lab test'!AQ328&gt;0,'Lab test'!AQ328,NA())</f>
        <v>0.26350430838609257</v>
      </c>
      <c r="D335">
        <f>IF('Lab test'!AU328&gt;0,'Lab test'!AU328,NA())</f>
        <v>1.0859375920649841</v>
      </c>
      <c r="E335">
        <f t="shared" si="20"/>
        <v>2.0540172335443705</v>
      </c>
      <c r="W335">
        <v>325</v>
      </c>
      <c r="X335">
        <v>0.200489108119139</v>
      </c>
      <c r="Y335">
        <v>1.1027029064120399</v>
      </c>
      <c r="Z335">
        <f t="shared" si="21"/>
        <v>1.801956432476556</v>
      </c>
    </row>
    <row r="336" spans="2:26">
      <c r="B336">
        <v>326</v>
      </c>
      <c r="C336">
        <f>IF('Lab test'!AQ329&gt;0,'Lab test'!AQ329,NA())</f>
        <v>0.26365521610911546</v>
      </c>
      <c r="D336">
        <f>IF('Lab test'!AU329&gt;0,'Lab test'!AU329,NA())</f>
        <v>1.1243076121164086</v>
      </c>
      <c r="E336">
        <f t="shared" si="20"/>
        <v>2.0546208644364619</v>
      </c>
      <c r="W336">
        <v>326</v>
      </c>
      <c r="X336">
        <v>0.20480691663209499</v>
      </c>
      <c r="Y336">
        <v>1.0915052944453201</v>
      </c>
      <c r="Z336">
        <f t="shared" si="21"/>
        <v>1.81922766652838</v>
      </c>
    </row>
    <row r="337" spans="2:26">
      <c r="B337">
        <v>327</v>
      </c>
      <c r="C337">
        <f>IF('Lab test'!AQ330&gt;0,'Lab test'!AQ330,NA())</f>
        <v>0.36310021871121562</v>
      </c>
      <c r="D337">
        <f>IF('Lab test'!AU330&gt;0,'Lab test'!AU330,NA())</f>
        <v>0.95593752861096426</v>
      </c>
      <c r="E337">
        <f t="shared" si="20"/>
        <v>2.4524008748448622</v>
      </c>
      <c r="W337">
        <v>327</v>
      </c>
      <c r="X337">
        <v>0.113173424857128</v>
      </c>
      <c r="Y337">
        <v>1.04326942751174</v>
      </c>
      <c r="Z337">
        <f t="shared" si="21"/>
        <v>1.452693699428512</v>
      </c>
    </row>
    <row r="338" spans="2:26">
      <c r="B338">
        <v>328</v>
      </c>
      <c r="C338">
        <f>IF('Lab test'!AQ331&gt;0,'Lab test'!AQ331,NA())</f>
        <v>0.36973339957465107</v>
      </c>
      <c r="D338">
        <f>IF('Lab test'!AU331&gt;0,'Lab test'!AU331,NA())</f>
        <v>0.95484843557028409</v>
      </c>
      <c r="E338">
        <f t="shared" si="20"/>
        <v>2.478933598298604</v>
      </c>
      <c r="W338">
        <v>328</v>
      </c>
      <c r="X338">
        <v>0.13380295441903101</v>
      </c>
      <c r="Y338">
        <v>1.0415467179783899</v>
      </c>
      <c r="Z338">
        <f t="shared" si="21"/>
        <v>1.535211817676124</v>
      </c>
    </row>
    <row r="339" spans="2:26">
      <c r="B339">
        <v>329</v>
      </c>
      <c r="C339">
        <f>IF('Lab test'!AQ332&gt;0,'Lab test'!AQ332,NA())</f>
        <v>0.46139509978243343</v>
      </c>
      <c r="D339">
        <f>IF('Lab test'!AU332&gt;0,'Lab test'!AU332,NA())</f>
        <v>0.72765425298947806</v>
      </c>
      <c r="E339">
        <f t="shared" si="20"/>
        <v>2.8455803991297337</v>
      </c>
      <c r="W339">
        <v>329</v>
      </c>
      <c r="X339">
        <v>0.17218347453420099</v>
      </c>
      <c r="Y339">
        <v>1.00924591422823</v>
      </c>
      <c r="Z339">
        <f t="shared" si="21"/>
        <v>1.6887338981368041</v>
      </c>
    </row>
    <row r="340" spans="2:26">
      <c r="B340">
        <v>330</v>
      </c>
      <c r="C340">
        <f>IF('Lab test'!AQ333&gt;0,'Lab test'!AQ333,NA())</f>
        <v>0.45257503559500378</v>
      </c>
      <c r="D340">
        <f>IF('Lab test'!AU333&gt;0,'Lab test'!AU333,NA())</f>
        <v>0.79898979022269889</v>
      </c>
      <c r="E340">
        <f t="shared" si="20"/>
        <v>2.8103001423800151</v>
      </c>
      <c r="W340">
        <v>330</v>
      </c>
      <c r="X340">
        <v>0.22639595919687799</v>
      </c>
      <c r="Y340">
        <v>0.93129330784449804</v>
      </c>
      <c r="Z340">
        <f t="shared" si="21"/>
        <v>1.905583836787512</v>
      </c>
    </row>
    <row r="341" spans="2:26">
      <c r="B341">
        <v>331</v>
      </c>
      <c r="C341">
        <f>IF('Lab test'!AQ334&gt;0,'Lab test'!AQ334,NA())</f>
        <v>2.7318910024929859</v>
      </c>
      <c r="D341">
        <f>IF('Lab test'!AU334&gt;0,'Lab test'!AU334,NA())</f>
        <v>5.730978260869566E-2</v>
      </c>
      <c r="E341">
        <f t="shared" si="20"/>
        <v>11.927564009971944</v>
      </c>
      <c r="W341">
        <v>331</v>
      </c>
      <c r="X341">
        <v>0.36360631860860998</v>
      </c>
      <c r="Y341">
        <v>0.86798373249417204</v>
      </c>
      <c r="Z341">
        <f t="shared" si="21"/>
        <v>2.4544252744344401</v>
      </c>
    </row>
    <row r="342" spans="2:26">
      <c r="B342">
        <v>332</v>
      </c>
      <c r="C342">
        <f>IF('Lab test'!AQ335&gt;0,'Lab test'!AQ335,NA())</f>
        <v>2.7318910024929859</v>
      </c>
      <c r="D342">
        <f>IF('Lab test'!AU335&gt;0,'Lab test'!AU335,NA())</f>
        <v>3.6363057065217391E-2</v>
      </c>
      <c r="E342">
        <f t="shared" si="20"/>
        <v>11.927564009971944</v>
      </c>
      <c r="W342">
        <v>332</v>
      </c>
      <c r="X342">
        <v>0.36312656210716998</v>
      </c>
      <c r="Y342">
        <v>0.85161799192742205</v>
      </c>
      <c r="Z342">
        <f t="shared" si="21"/>
        <v>2.4525062484286799</v>
      </c>
    </row>
    <row r="343" spans="2:26">
      <c r="B343">
        <v>333</v>
      </c>
      <c r="C343">
        <f>IF('Lab test'!AQ336&gt;0,'Lab test'!AQ336,NA())</f>
        <v>2.8822703237311318</v>
      </c>
      <c r="D343">
        <f>IF('Lab test'!AU336&gt;0,'Lab test'!AU336,NA())</f>
        <v>3.5130896739130439E-2</v>
      </c>
      <c r="E343">
        <f t="shared" si="20"/>
        <v>12.529081294924527</v>
      </c>
      <c r="W343">
        <v>333</v>
      </c>
      <c r="X343">
        <v>0.36264680560572998</v>
      </c>
      <c r="Y343">
        <v>0.83783631566068395</v>
      </c>
      <c r="Z343">
        <f t="shared" si="21"/>
        <v>2.4505872224229197</v>
      </c>
    </row>
    <row r="344" spans="2:26">
      <c r="B344">
        <v>334</v>
      </c>
      <c r="C344">
        <f>IF('Lab test'!AQ337&gt;0,'Lab test'!AQ337,NA())</f>
        <v>2.8822703237311318</v>
      </c>
      <c r="D344">
        <f>IF('Lab test'!AU337&gt;0,'Lab test'!AU337,NA())</f>
        <v>2.8872668478260873E-2</v>
      </c>
      <c r="E344">
        <f t="shared" si="20"/>
        <v>12.529081294924527</v>
      </c>
      <c r="W344">
        <v>334</v>
      </c>
      <c r="X344">
        <v>0.36216704910429098</v>
      </c>
      <c r="Y344">
        <v>0.90071521362767404</v>
      </c>
      <c r="Z344">
        <f t="shared" si="21"/>
        <v>2.4486681964171639</v>
      </c>
    </row>
    <row r="345" spans="2:26">
      <c r="B345">
        <v>335</v>
      </c>
      <c r="C345">
        <f>IF('Lab test'!AQ338&gt;0,'Lab test'!AQ338,NA())</f>
        <v>2.8572071035247748</v>
      </c>
      <c r="D345">
        <f>IF('Lab test'!AU338&gt;0,'Lab test'!AU338,NA())</f>
        <v>2.8874244497282611E-2</v>
      </c>
      <c r="E345">
        <f t="shared" si="20"/>
        <v>12.428828414099099</v>
      </c>
      <c r="W345">
        <v>335</v>
      </c>
      <c r="X345">
        <v>0.34585532805534402</v>
      </c>
      <c r="Y345">
        <v>0.93301601737784001</v>
      </c>
      <c r="Z345">
        <f t="shared" si="21"/>
        <v>2.3834213122213761</v>
      </c>
    </row>
    <row r="346" spans="2:26">
      <c r="B346">
        <v>336</v>
      </c>
      <c r="C346">
        <f>IF('Lab test'!AQ339&gt;0,'Lab test'!AQ339,NA())</f>
        <v>2.8739159169956792</v>
      </c>
      <c r="D346">
        <f>IF('Lab test'!AU339&gt;0,'Lab test'!AU339,NA())</f>
        <v>2.9468117119565217E-2</v>
      </c>
      <c r="E346">
        <f t="shared" si="20"/>
        <v>12.495663667982717</v>
      </c>
      <c r="W346">
        <v>336</v>
      </c>
      <c r="X346">
        <v>0.334820928522232</v>
      </c>
      <c r="Y346">
        <v>0.95971801514464405</v>
      </c>
      <c r="Z346">
        <f t="shared" si="21"/>
        <v>2.339283714088928</v>
      </c>
    </row>
    <row r="347" spans="2:26">
      <c r="B347">
        <v>337</v>
      </c>
      <c r="C347">
        <f>IF('Lab test'!AQ340&gt;0,'Lab test'!AQ340,NA())</f>
        <v>2.2999818971047166</v>
      </c>
      <c r="D347">
        <f>IF('Lab test'!AU340&gt;0,'Lab test'!AU340,NA())</f>
        <v>6.5055107246376823E-2</v>
      </c>
      <c r="E347">
        <f t="shared" si="20"/>
        <v>10.199927588418866</v>
      </c>
      <c r="W347">
        <v>337</v>
      </c>
      <c r="X347">
        <v>0.36504558811292898</v>
      </c>
      <c r="Y347">
        <v>0.977375787861401</v>
      </c>
      <c r="Z347">
        <f t="shared" si="21"/>
        <v>2.4601823524517159</v>
      </c>
    </row>
    <row r="348" spans="2:26">
      <c r="B348">
        <v>338</v>
      </c>
      <c r="C348">
        <f>IF('Lab test'!AQ341&gt;0,'Lab test'!AQ341,NA())</f>
        <v>2.3167090381745692</v>
      </c>
      <c r="D348">
        <f>IF('Lab test'!AU341&gt;0,'Lab test'!AU341,NA())</f>
        <v>5.9557412008281581E-2</v>
      </c>
      <c r="E348">
        <f t="shared" si="20"/>
        <v>10.266836152698277</v>
      </c>
      <c r="W348">
        <v>338</v>
      </c>
      <c r="X348">
        <v>0.42399213671063601</v>
      </c>
      <c r="Y348">
        <v>1.12194330933385</v>
      </c>
      <c r="Z348">
        <f t="shared" si="21"/>
        <v>2.6959685468425443</v>
      </c>
    </row>
    <row r="349" spans="2:26">
      <c r="B349">
        <v>339</v>
      </c>
      <c r="C349">
        <f>IF('Lab test'!AQ342&gt;0,'Lab test'!AQ342,NA())</f>
        <v>2.112824657063634</v>
      </c>
      <c r="D349">
        <f>IF('Lab test'!AU342&gt;0,'Lab test'!AU342,NA())</f>
        <v>0.11408327645051196</v>
      </c>
      <c r="E349">
        <f t="shared" si="20"/>
        <v>9.4512986282545359</v>
      </c>
      <c r="W349">
        <v>339</v>
      </c>
      <c r="X349">
        <v>0.13474565698254701</v>
      </c>
      <c r="Y349">
        <v>1.00795928736675</v>
      </c>
      <c r="Z349">
        <f t="shared" si="21"/>
        <v>1.5389826279301881</v>
      </c>
    </row>
    <row r="350" spans="2:26">
      <c r="B350">
        <v>340</v>
      </c>
      <c r="C350">
        <f>IF('Lab test'!AQ343&gt;0,'Lab test'!AQ343,NA())</f>
        <v>2.1820975966394909</v>
      </c>
      <c r="D350">
        <f>IF('Lab test'!AU343&gt;0,'Lab test'!AU343,NA())</f>
        <v>9.0578440535573651E-2</v>
      </c>
      <c r="E350">
        <f t="shared" si="20"/>
        <v>9.7283903865579635</v>
      </c>
      <c r="W350">
        <v>340</v>
      </c>
      <c r="X350">
        <v>0.111036929135982</v>
      </c>
      <c r="Y350">
        <v>1.0098511383537601</v>
      </c>
      <c r="Z350">
        <f t="shared" si="21"/>
        <v>1.444147716543928</v>
      </c>
    </row>
    <row r="351" spans="2:26">
      <c r="B351">
        <v>341</v>
      </c>
      <c r="C351">
        <f>IF('Lab test'!AQ344&gt;0,'Lab test'!AQ344,NA())</f>
        <v>2.1647793617455267</v>
      </c>
      <c r="D351">
        <f>IF('Lab test'!AU344&gt;0,'Lab test'!AU344,NA())</f>
        <v>0.11178934103439224</v>
      </c>
      <c r="E351">
        <f t="shared" si="20"/>
        <v>9.6591174469821066</v>
      </c>
      <c r="W351">
        <v>341</v>
      </c>
      <c r="X351">
        <v>0.11367123223004499</v>
      </c>
      <c r="Y351">
        <v>0.98147337354867903</v>
      </c>
      <c r="Z351">
        <f t="shared" si="21"/>
        <v>1.45468492892018</v>
      </c>
    </row>
    <row r="352" spans="2:26">
      <c r="B352">
        <v>342</v>
      </c>
      <c r="C352">
        <f>IF('Lab test'!AQ345&gt;0,'Lab test'!AQ345,NA())</f>
        <v>2.0435517174877771</v>
      </c>
      <c r="D352">
        <f>IF('Lab test'!AU345&gt;0,'Lab test'!AU345,NA())</f>
        <v>0.10952207928590181</v>
      </c>
      <c r="E352">
        <f t="shared" si="20"/>
        <v>9.1742068699511083</v>
      </c>
      <c r="W352">
        <v>342</v>
      </c>
      <c r="X352">
        <v>0.12631588708154601</v>
      </c>
      <c r="Y352">
        <v>0.96870337938639095</v>
      </c>
      <c r="Z352">
        <f t="shared" si="21"/>
        <v>1.505263548326184</v>
      </c>
    </row>
    <row r="353" spans="2:26">
      <c r="B353">
        <v>343</v>
      </c>
      <c r="C353">
        <f>IF('Lab test'!AQ346&gt;0,'Lab test'!AQ346,NA())</f>
        <v>2.069529069828723</v>
      </c>
      <c r="D353">
        <f>IF('Lab test'!AU346&gt;0,'Lab test'!AU346,NA())</f>
        <v>0.10234953006038332</v>
      </c>
      <c r="E353">
        <f t="shared" si="20"/>
        <v>9.2781162793148919</v>
      </c>
      <c r="W353">
        <v>343</v>
      </c>
      <c r="X353">
        <v>0.195861488764802</v>
      </c>
      <c r="Y353">
        <v>1.0708633326846899</v>
      </c>
      <c r="Z353">
        <f t="shared" si="21"/>
        <v>1.7834459550592081</v>
      </c>
    </row>
    <row r="354" spans="2:26">
      <c r="B354">
        <v>344</v>
      </c>
      <c r="C354">
        <f>IF('Lab test'!AQ347&gt;0,'Lab test'!AQ347,NA())</f>
        <v>2.0608699523817413</v>
      </c>
      <c r="D354">
        <f>IF('Lab test'!AU347&gt;0,'Lab test'!AU347,NA())</f>
        <v>0.11255220792859019</v>
      </c>
      <c r="E354">
        <f t="shared" si="20"/>
        <v>9.2434798095269652</v>
      </c>
      <c r="W354">
        <v>344</v>
      </c>
      <c r="X354">
        <v>0.25012813250249499</v>
      </c>
      <c r="Y354">
        <v>1.0907277680482499</v>
      </c>
      <c r="Z354">
        <f t="shared" si="21"/>
        <v>2.00051253000998</v>
      </c>
    </row>
    <row r="355" spans="2:26">
      <c r="B355">
        <v>345</v>
      </c>
      <c r="C355">
        <f>IF('Lab test'!AQ348&gt;0,'Lab test'!AQ348,NA())</f>
        <v>2.0608699523817413</v>
      </c>
      <c r="D355">
        <f>IF('Lab test'!AU348&gt;0,'Lab test'!AU348,NA())</f>
        <v>0.12546493042793386</v>
      </c>
      <c r="E355">
        <f t="shared" si="20"/>
        <v>9.2434798095269652</v>
      </c>
      <c r="W355">
        <v>345</v>
      </c>
      <c r="X355">
        <v>0.25750418116586998</v>
      </c>
      <c r="Y355">
        <v>1.0675525934574299</v>
      </c>
      <c r="Z355">
        <f t="shared" si="21"/>
        <v>2.0300167246634802</v>
      </c>
    </row>
    <row r="356" spans="2:26">
      <c r="B356">
        <v>346</v>
      </c>
      <c r="C356">
        <f>IF('Lab test'!AQ349&gt;0,'Lab test'!AQ349,NA())</f>
        <v>1.9382223626249933</v>
      </c>
      <c r="D356">
        <f>IF('Lab test'!AU349&gt;0,'Lab test'!AU349,NA())</f>
        <v>0.1641036970108696</v>
      </c>
      <c r="E356">
        <f t="shared" si="20"/>
        <v>8.752889450499973</v>
      </c>
      <c r="W356">
        <v>346</v>
      </c>
      <c r="X356">
        <v>0.22431196218068</v>
      </c>
      <c r="Y356">
        <v>1.0789036993794701</v>
      </c>
      <c r="Z356">
        <f t="shared" si="21"/>
        <v>1.89724784872272</v>
      </c>
    </row>
    <row r="357" spans="2:26">
      <c r="B357">
        <v>347</v>
      </c>
      <c r="C357">
        <f>IF('Lab test'!AQ350&gt;0,'Lab test'!AQ350,NA())</f>
        <v>1.9465767693604457</v>
      </c>
      <c r="D357">
        <f>IF('Lab test'!AU350&gt;0,'Lab test'!AU350,NA())</f>
        <v>0.1492295160326087</v>
      </c>
      <c r="E357">
        <f t="shared" si="20"/>
        <v>8.7863070774417835</v>
      </c>
      <c r="W357">
        <v>347</v>
      </c>
      <c r="X357">
        <v>0.33126466779962699</v>
      </c>
      <c r="Y357">
        <v>1.04390445611986</v>
      </c>
      <c r="Z357">
        <f t="shared" si="21"/>
        <v>2.3250586711985077</v>
      </c>
    </row>
    <row r="358" spans="2:26">
      <c r="B358">
        <v>348</v>
      </c>
      <c r="C358">
        <f>IF('Lab test'!AQ351&gt;0,'Lab test'!AQ351,NA())</f>
        <v>1.996703209773161</v>
      </c>
      <c r="D358">
        <f>IF('Lab test'!AU351&gt;0,'Lab test'!AU351,NA())</f>
        <v>9.4701550271739141E-2</v>
      </c>
      <c r="E358">
        <f t="shared" si="20"/>
        <v>8.9868128390926429</v>
      </c>
      <c r="W358">
        <v>348</v>
      </c>
      <c r="X358">
        <v>0.35075851069569203</v>
      </c>
      <c r="Y358">
        <v>1.0566744502821499</v>
      </c>
      <c r="Z358">
        <f t="shared" si="21"/>
        <v>2.4030340427827683</v>
      </c>
    </row>
    <row r="359" spans="2:26">
      <c r="B359">
        <v>349</v>
      </c>
      <c r="C359">
        <f>IF('Lab test'!AQ352&gt;0,'Lab test'!AQ352,NA())</f>
        <v>1.904804735683183</v>
      </c>
      <c r="D359">
        <f>IF('Lab test'!AU352&gt;0,'Lab test'!AU352,NA())</f>
        <v>0.15542986141304346</v>
      </c>
      <c r="E359">
        <f t="shared" si="20"/>
        <v>8.6192189427327328</v>
      </c>
      <c r="W359">
        <v>349</v>
      </c>
      <c r="X359">
        <v>0.35075851069569203</v>
      </c>
      <c r="Y359">
        <v>1.02451298350305</v>
      </c>
      <c r="Z359">
        <f t="shared" si="21"/>
        <v>2.4030340427827683</v>
      </c>
    </row>
    <row r="360" spans="2:26">
      <c r="B360">
        <v>350</v>
      </c>
      <c r="C360">
        <f>IF('Lab test'!AQ353&gt;0,'Lab test'!AQ353,NA())</f>
        <v>1.9549311760958983</v>
      </c>
      <c r="D360">
        <f>IF('Lab test'!AU353&gt;0,'Lab test'!AU353,NA())</f>
        <v>0.11069957608695653</v>
      </c>
      <c r="E360">
        <f t="shared" si="20"/>
        <v>8.8197247043835922</v>
      </c>
      <c r="W360">
        <v>350</v>
      </c>
      <c r="X360">
        <v>0.30597535809662502</v>
      </c>
      <c r="Y360">
        <v>1.01032410110051</v>
      </c>
      <c r="Z360">
        <f t="shared" si="21"/>
        <v>2.2239014323865001</v>
      </c>
    </row>
    <row r="361" spans="2:26">
      <c r="B361">
        <v>351</v>
      </c>
      <c r="C361">
        <f>IF('Lab test'!AQ354&gt;0,'Lab test'!AQ354,NA())</f>
        <v>1.9549311760958983</v>
      </c>
      <c r="D361">
        <f>IF('Lab test'!AU354&gt;0,'Lab test'!AU354,NA())</f>
        <v>0.16189274290760869</v>
      </c>
      <c r="E361">
        <f t="shared" si="20"/>
        <v>8.8197247043835922</v>
      </c>
      <c r="W361">
        <v>351</v>
      </c>
      <c r="X361">
        <v>0.423465276091823</v>
      </c>
      <c r="Y361">
        <v>1.0240400207563001</v>
      </c>
      <c r="Z361">
        <f t="shared" si="21"/>
        <v>2.6938611043672918</v>
      </c>
    </row>
    <row r="362" spans="2:26">
      <c r="B362">
        <v>352</v>
      </c>
      <c r="C362">
        <f>IF('Lab test'!AQ355&gt;0,'Lab test'!AQ355,NA())</f>
        <v>1.9632855828313509</v>
      </c>
      <c r="D362">
        <f>IF('Lab test'!AU355&gt;0,'Lab test'!AU355,NA())</f>
        <v>0.11297763994565219</v>
      </c>
      <c r="E362">
        <f t="shared" si="20"/>
        <v>8.8531423313254045</v>
      </c>
      <c r="W362">
        <v>352</v>
      </c>
      <c r="X362">
        <v>0.42715330042351102</v>
      </c>
      <c r="Y362">
        <v>1.0401207541458499</v>
      </c>
      <c r="Z362">
        <f t="shared" si="21"/>
        <v>2.7086132016940443</v>
      </c>
    </row>
    <row r="363" spans="2:26">
      <c r="B363">
        <v>353</v>
      </c>
      <c r="C363">
        <f>IF('Lab test'!AQ356&gt;0,'Lab test'!AQ356,NA())</f>
        <v>2.0384752434504239</v>
      </c>
      <c r="D363">
        <f>IF('Lab test'!AU356&gt;0,'Lab test'!AU356,NA())</f>
        <v>0.11069957608695653</v>
      </c>
      <c r="E363">
        <f t="shared" si="20"/>
        <v>9.1539009738016954</v>
      </c>
      <c r="W363">
        <v>353</v>
      </c>
      <c r="X363">
        <v>0.347070486364004</v>
      </c>
      <c r="Y363">
        <v>1.1848473546517899</v>
      </c>
      <c r="Z363">
        <f t="shared" si="21"/>
        <v>2.3882819454560158</v>
      </c>
    </row>
    <row r="364" spans="2:26">
      <c r="B364">
        <v>354</v>
      </c>
      <c r="C364">
        <f>IF('Lab test'!AQ357&gt;0,'Lab test'!AQ357,NA())</f>
        <v>1.9632855828313509</v>
      </c>
      <c r="D364">
        <f>IF('Lab test'!AU357&gt;0,'Lab test'!AU357,NA())</f>
        <v>9.5334823369565225E-2</v>
      </c>
      <c r="E364">
        <f t="shared" si="20"/>
        <v>8.8531423313254045</v>
      </c>
      <c r="W364">
        <v>354</v>
      </c>
      <c r="X364">
        <v>0.33864071646300298</v>
      </c>
      <c r="Y364">
        <v>1.1432266329376599</v>
      </c>
      <c r="Z364">
        <f t="shared" si="21"/>
        <v>2.3545628658520119</v>
      </c>
    </row>
    <row r="365" spans="2:26">
      <c r="B365">
        <v>355</v>
      </c>
      <c r="C365">
        <f>IF('Lab test'!AQ358&gt;0,'Lab test'!AQ358,NA())</f>
        <v>1.9382223626249933</v>
      </c>
      <c r="D365">
        <f>IF('Lab test'!AU358&gt;0,'Lab test'!AU358,NA())</f>
        <v>0.15126914254076088</v>
      </c>
      <c r="E365">
        <f t="shared" si="20"/>
        <v>8.752889450499973</v>
      </c>
      <c r="W365">
        <v>355</v>
      </c>
      <c r="X365">
        <v>0.342328740794691</v>
      </c>
      <c r="Y365">
        <v>1.16356403104797</v>
      </c>
      <c r="Z365">
        <f t="shared" si="21"/>
        <v>2.369314963178764</v>
      </c>
    </row>
    <row r="366" spans="2:26">
      <c r="B366">
        <v>356</v>
      </c>
      <c r="C366">
        <f>IF('Lab test'!AQ359&gt;0,'Lab test'!AQ359,NA())</f>
        <v>1.9382223626249933</v>
      </c>
      <c r="D366">
        <f>IF('Lab test'!AU359&gt;0,'Lab test'!AU359,NA())</f>
        <v>0.13478401222826086</v>
      </c>
      <c r="E366">
        <f t="shared" si="20"/>
        <v>8.752889450499973</v>
      </c>
      <c r="W366">
        <v>356</v>
      </c>
      <c r="X366">
        <v>0.19375404628955201</v>
      </c>
      <c r="Y366">
        <v>0.91809636548398899</v>
      </c>
      <c r="Z366">
        <f t="shared" si="21"/>
        <v>1.775016185158208</v>
      </c>
    </row>
    <row r="367" spans="2:26">
      <c r="B367">
        <v>357</v>
      </c>
      <c r="C367">
        <f>IF('Lab test'!AQ360&gt;0,'Lab test'!AQ360,NA())</f>
        <v>1.9883488030377086</v>
      </c>
      <c r="D367">
        <f>IF('Lab test'!AU360&gt;0,'Lab test'!AU360,NA())</f>
        <v>8.5534850543478272E-2</v>
      </c>
      <c r="E367">
        <f t="shared" si="20"/>
        <v>8.9533952121508342</v>
      </c>
      <c r="W367">
        <v>357</v>
      </c>
      <c r="X367">
        <v>0.189012300720239</v>
      </c>
      <c r="Y367">
        <v>0.94410931655531705</v>
      </c>
      <c r="Z367">
        <f t="shared" si="21"/>
        <v>1.756049202880956</v>
      </c>
    </row>
    <row r="368" spans="2:26">
      <c r="B368">
        <v>358</v>
      </c>
      <c r="C368">
        <f>IF('Lab test'!AQ361&gt;0,'Lab test'!AQ361,NA())</f>
        <v>1.9298679558895411</v>
      </c>
      <c r="D368">
        <f>IF('Lab test'!AU361&gt;0,'Lab test'!AU361,NA())</f>
        <v>0.12940548913043479</v>
      </c>
      <c r="E368">
        <f t="shared" si="20"/>
        <v>8.7194718235581643</v>
      </c>
      <c r="W368">
        <v>358</v>
      </c>
      <c r="X368">
        <v>0.20218381619055301</v>
      </c>
      <c r="Y368">
        <v>0.98809485200319902</v>
      </c>
      <c r="Z368">
        <f t="shared" si="21"/>
        <v>1.8087352647622121</v>
      </c>
    </row>
    <row r="369" spans="2:26">
      <c r="B369">
        <v>359</v>
      </c>
      <c r="C369">
        <f>IF('Lab test'!AQ362&gt;0,'Lab test'!AQ362,NA())</f>
        <v>1.9215135491540878</v>
      </c>
      <c r="D369">
        <f>IF('Lab test'!AU362&gt;0,'Lab test'!AU362,NA())</f>
        <v>0.1452229891304348</v>
      </c>
      <c r="E369">
        <f t="shared" si="20"/>
        <v>8.6860541966163503</v>
      </c>
      <c r="W369">
        <v>359</v>
      </c>
      <c r="X369">
        <v>0.17162590029942501</v>
      </c>
      <c r="Y369">
        <v>0.956406347970854</v>
      </c>
      <c r="Z369">
        <f t="shared" si="21"/>
        <v>1.6865036011977002</v>
      </c>
    </row>
    <row r="370" spans="2:26">
      <c r="B370">
        <v>360</v>
      </c>
      <c r="C370">
        <f>IF('Lab test'!AQ363&gt;0,'Lab test'!AQ363,NA())</f>
        <v>1.9215135491540878</v>
      </c>
      <c r="D370">
        <f>IF('Lab test'!AU363&gt;0,'Lab test'!AU363,NA())</f>
        <v>0.11145606521739131</v>
      </c>
      <c r="E370">
        <f t="shared" si="20"/>
        <v>8.6860541966163503</v>
      </c>
      <c r="W370">
        <v>360</v>
      </c>
      <c r="X370">
        <v>0.15476636049742301</v>
      </c>
      <c r="Y370">
        <v>0.97816263432141903</v>
      </c>
      <c r="Z370">
        <f t="shared" si="21"/>
        <v>1.6190654419896919</v>
      </c>
    </row>
    <row r="371" spans="2:26">
      <c r="B371">
        <v>361</v>
      </c>
      <c r="C371">
        <f>IF('Lab test'!AQ364&gt;0,'Lab test'!AQ364,NA())</f>
        <v>1.9549311760958983</v>
      </c>
      <c r="D371">
        <f>IF('Lab test'!AU364&gt;0,'Lab test'!AU364,NA())</f>
        <v>0.13028519429347829</v>
      </c>
      <c r="E371">
        <f t="shared" si="20"/>
        <v>8.8197247043835922</v>
      </c>
      <c r="W371">
        <v>361</v>
      </c>
      <c r="X371">
        <v>0.17320648215586301</v>
      </c>
      <c r="Y371">
        <v>0.99187855397721103</v>
      </c>
      <c r="Z371">
        <f t="shared" si="21"/>
        <v>1.6928259286234519</v>
      </c>
    </row>
    <row r="372" spans="2:26">
      <c r="B372">
        <v>362</v>
      </c>
      <c r="C372">
        <f>IF('Lab test'!AQ365&gt;0,'Lab test'!AQ365,NA())</f>
        <v>1.9716399895668035</v>
      </c>
      <c r="D372">
        <f>IF('Lab test'!AU365&gt;0,'Lab test'!AU365,NA())</f>
        <v>0.11450494565217392</v>
      </c>
      <c r="E372">
        <f t="shared" si="20"/>
        <v>8.8865599582672132</v>
      </c>
      <c r="W372">
        <v>362</v>
      </c>
      <c r="X372">
        <v>0.185851137007364</v>
      </c>
      <c r="Y372">
        <v>0.97296004410715398</v>
      </c>
      <c r="Z372">
        <f t="shared" si="21"/>
        <v>1.743404548029456</v>
      </c>
    </row>
    <row r="373" spans="2:26">
      <c r="B373">
        <v>363</v>
      </c>
      <c r="C373">
        <f>IF('Lab test'!AQ366&gt;0,'Lab test'!AQ366,NA())</f>
        <v>1.904804735683183</v>
      </c>
      <c r="D373">
        <f>IF('Lab test'!AU366&gt;0,'Lab test'!AU366,NA())</f>
        <v>0.12852864945652173</v>
      </c>
      <c r="E373">
        <f t="shared" si="20"/>
        <v>8.6192189427327328</v>
      </c>
      <c r="W373">
        <v>363</v>
      </c>
      <c r="X373">
        <v>0.102080298616169</v>
      </c>
      <c r="Y373">
        <v>0.994243367710968</v>
      </c>
      <c r="Z373">
        <f t="shared" si="21"/>
        <v>1.4083211944646761</v>
      </c>
    </row>
    <row r="374" spans="2:26">
      <c r="B374">
        <v>364</v>
      </c>
      <c r="C374">
        <f>IF('Lab test'!AQ367&gt;0,'Lab test'!AQ367,NA())</f>
        <v>1.9131591424186352</v>
      </c>
      <c r="D374">
        <f>IF('Lab test'!AU367&gt;0,'Lab test'!AU367,NA())</f>
        <v>0.11374845652173914</v>
      </c>
      <c r="E374">
        <f t="shared" si="20"/>
        <v>8.6526365696745415</v>
      </c>
      <c r="W374">
        <v>364</v>
      </c>
      <c r="X374">
        <v>0.36867177173531801</v>
      </c>
      <c r="Y374">
        <v>0.96066301269161702</v>
      </c>
      <c r="Z374">
        <f t="shared" si="21"/>
        <v>2.4746870869412723</v>
      </c>
    </row>
    <row r="375" spans="2:26">
      <c r="B375">
        <v>365</v>
      </c>
      <c r="C375">
        <f>IF('Lab test'!AQ368&gt;0,'Lab test'!AQ368,NA())</f>
        <v>1.9382223626249933</v>
      </c>
      <c r="D375">
        <f>IF('Lab test'!AU368&gt;0,'Lab test'!AU368,NA())</f>
        <v>0.13028519429347829</v>
      </c>
      <c r="E375">
        <f t="shared" si="20"/>
        <v>8.752889450499973</v>
      </c>
      <c r="W375">
        <v>365</v>
      </c>
      <c r="X375">
        <v>0.37025235359175601</v>
      </c>
      <c r="Y375">
        <v>0.93039339689952605</v>
      </c>
      <c r="Z375">
        <f t="shared" si="21"/>
        <v>2.481009414367024</v>
      </c>
    </row>
    <row r="376" spans="2:26">
      <c r="B376">
        <v>366</v>
      </c>
      <c r="C376">
        <f>IF('Lab test'!AQ369&gt;0,'Lab test'!AQ369,NA())</f>
        <v>1.9215135491540878</v>
      </c>
      <c r="D376">
        <f>IF('Lab test'!AU369&gt;0,'Lab test'!AU369,NA())</f>
        <v>0.1384919551630435</v>
      </c>
      <c r="E376">
        <f t="shared" si="20"/>
        <v>8.6860541966163503</v>
      </c>
      <c r="W376">
        <v>366</v>
      </c>
      <c r="X376">
        <v>0.34654362574519099</v>
      </c>
      <c r="Y376">
        <v>0.99944595792523305</v>
      </c>
      <c r="Z376">
        <f t="shared" si="21"/>
        <v>2.3861745029807642</v>
      </c>
    </row>
    <row r="377" spans="2:26">
      <c r="B377">
        <v>367</v>
      </c>
      <c r="C377">
        <f>IF('Lab test'!AQ370&gt;0,'Lab test'!AQ370,NA())</f>
        <v>1.6308962543106174</v>
      </c>
      <c r="D377">
        <f>IF('Lab test'!AU370&gt;0,'Lab test'!AU370,NA())</f>
        <v>0.20765322153209109</v>
      </c>
      <c r="E377">
        <f t="shared" si="20"/>
        <v>7.5235850172424694</v>
      </c>
    </row>
    <row r="378" spans="2:26">
      <c r="B378">
        <v>368</v>
      </c>
      <c r="C378">
        <f>IF('Lab test'!AQ371&gt;0,'Lab test'!AQ371,NA())</f>
        <v>1.6308962543106174</v>
      </c>
      <c r="D378">
        <f>IF('Lab test'!AU371&gt;0,'Lab test'!AU371,NA())</f>
        <v>0.19011652298136647</v>
      </c>
      <c r="E378">
        <f t="shared" si="20"/>
        <v>7.5235850172424694</v>
      </c>
    </row>
    <row r="379" spans="2:26">
      <c r="B379">
        <v>369</v>
      </c>
      <c r="C379">
        <f>IF('Lab test'!AQ372&gt;0,'Lab test'!AQ372,NA())</f>
        <v>1.6308962543106174</v>
      </c>
      <c r="D379">
        <f>IF('Lab test'!AU372&gt;0,'Lab test'!AU372,NA())</f>
        <v>0.16597732919254657</v>
      </c>
      <c r="E379">
        <f t="shared" si="20"/>
        <v>7.5235850172424694</v>
      </c>
    </row>
    <row r="380" spans="2:26">
      <c r="B380">
        <v>370</v>
      </c>
      <c r="C380">
        <f>IF('Lab test'!AQ373&gt;0,'Lab test'!AQ373,NA())</f>
        <v>1.6225326837756908</v>
      </c>
      <c r="D380">
        <f>IF('Lab test'!AU373&gt;0,'Lab test'!AU373,NA())</f>
        <v>0.1615369710144928</v>
      </c>
      <c r="E380">
        <f t="shared" si="20"/>
        <v>7.4901307351027633</v>
      </c>
    </row>
    <row r="381" spans="2:26">
      <c r="B381">
        <v>371</v>
      </c>
      <c r="C381">
        <f>IF('Lab test'!AQ374&gt;0,'Lab test'!AQ374,NA())</f>
        <v>1.4893682008809219</v>
      </c>
      <c r="D381">
        <f>IF('Lab test'!AU374&gt;0,'Lab test'!AU374,NA())</f>
        <v>0.24235425003938041</v>
      </c>
      <c r="E381">
        <f t="shared" si="20"/>
        <v>6.9574728035236877</v>
      </c>
    </row>
    <row r="382" spans="2:26">
      <c r="B382">
        <v>372</v>
      </c>
      <c r="C382">
        <f>IF('Lab test'!AQ375&gt;0,'Lab test'!AQ375,NA())</f>
        <v>1.4633908485399758</v>
      </c>
      <c r="D382">
        <f>IF('Lab test'!AU375&gt;0,'Lab test'!AU375,NA())</f>
        <v>0.22339196639537937</v>
      </c>
      <c r="E382">
        <f t="shared" si="20"/>
        <v>6.8535633941599032</v>
      </c>
    </row>
    <row r="383" spans="2:26">
      <c r="B383">
        <v>373</v>
      </c>
      <c r="C383">
        <f>IF('Lab test'!AQ376&gt;0,'Lab test'!AQ376,NA())</f>
        <v>1.4893682008809219</v>
      </c>
      <c r="D383">
        <f>IF('Lab test'!AU376&gt;0,'Lab test'!AU376,NA())</f>
        <v>0.20177029141506961</v>
      </c>
      <c r="E383">
        <f t="shared" si="20"/>
        <v>6.9574728035236877</v>
      </c>
    </row>
    <row r="384" spans="2:26">
      <c r="B384">
        <v>374</v>
      </c>
      <c r="C384">
        <f>IF('Lab test'!AQ377&gt;0,'Lab test'!AQ377,NA())</f>
        <v>1.4980273183279045</v>
      </c>
      <c r="D384">
        <f>IF('Lab test'!AU377&gt;0,'Lab test'!AU377,NA())</f>
        <v>0.22644876870569705</v>
      </c>
      <c r="E384">
        <f t="shared" si="20"/>
        <v>6.9921092733116179</v>
      </c>
    </row>
    <row r="385" spans="2:5">
      <c r="B385">
        <v>375</v>
      </c>
      <c r="C385">
        <f>IF('Lab test'!AQ378&gt;0,'Lab test'!AQ378,NA())</f>
        <v>1.4980273183279045</v>
      </c>
      <c r="D385">
        <f>IF('Lab test'!AU378&gt;0,'Lab test'!AU378,NA())</f>
        <v>0.24400270937253873</v>
      </c>
      <c r="E385">
        <f t="shared" si="20"/>
        <v>6.9921092733116179</v>
      </c>
    </row>
    <row r="386" spans="2:5">
      <c r="B386">
        <v>376</v>
      </c>
      <c r="C386">
        <f>IF('Lab test'!AQ379&gt;0,'Lab test'!AQ379,NA())</f>
        <v>0.22488032531694971</v>
      </c>
      <c r="D386">
        <f>IF('Lab test'!AU379&gt;0,'Lab test'!AU379,NA())</f>
        <v>0.9667307232158302</v>
      </c>
      <c r="E386">
        <f t="shared" si="20"/>
        <v>1.8995213012677987</v>
      </c>
    </row>
    <row r="387" spans="2:5">
      <c r="B387">
        <v>377</v>
      </c>
      <c r="C387">
        <f>IF('Lab test'!AQ380&gt;0,'Lab test'!AQ380,NA())</f>
        <v>0.22488032531694971</v>
      </c>
      <c r="D387">
        <f>IF('Lab test'!AU380&gt;0,'Lab test'!AU380,NA())</f>
        <v>0.97297777150801645</v>
      </c>
      <c r="E387">
        <f t="shared" si="20"/>
        <v>1.8995213012677987</v>
      </c>
    </row>
    <row r="388" spans="2:5">
      <c r="B388">
        <v>378</v>
      </c>
      <c r="C388">
        <f>IF('Lab test'!AQ381&gt;0,'Lab test'!AQ381,NA())</f>
        <v>0.23974092335795624</v>
      </c>
      <c r="D388">
        <f>IF('Lab test'!AU381&gt;0,'Lab test'!AU381,NA())</f>
        <v>0.77982887538641377</v>
      </c>
      <c r="E388">
        <f t="shared" si="20"/>
        <v>1.9589636934318251</v>
      </c>
    </row>
    <row r="389" spans="2:5">
      <c r="B389">
        <v>379</v>
      </c>
      <c r="C389">
        <f>IF('Lab test'!AQ382&gt;0,'Lab test'!AQ382,NA())</f>
        <v>0.23974092335795624</v>
      </c>
      <c r="D389">
        <f>IF('Lab test'!AU382&gt;0,'Lab test'!AU382,NA())</f>
        <v>0.7887608360736591</v>
      </c>
      <c r="E389">
        <f t="shared" si="20"/>
        <v>1.9589636934318251</v>
      </c>
    </row>
    <row r="390" spans="2:5">
      <c r="B390">
        <v>380</v>
      </c>
      <c r="C390">
        <f>IF('Lab test'!AQ383&gt;0,'Lab test'!AQ383,NA())</f>
        <v>0.28951467015495597</v>
      </c>
      <c r="D390">
        <f>IF('Lab test'!AU383&gt;0,'Lab test'!AU383,NA())</f>
        <v>0.98341477620702389</v>
      </c>
      <c r="E390">
        <f t="shared" si="20"/>
        <v>2.1580586806198241</v>
      </c>
    </row>
    <row r="391" spans="2:5">
      <c r="B391">
        <v>381</v>
      </c>
      <c r="C391">
        <f>IF('Lab test'!AQ384&gt;0,'Lab test'!AQ384,NA())</f>
        <v>0.28951467015495597</v>
      </c>
      <c r="D391">
        <f>IF('Lab test'!AU384&gt;0,'Lab test'!AU384,NA())</f>
        <v>0.94858117751894955</v>
      </c>
      <c r="E391">
        <f t="shared" si="20"/>
        <v>2.1580586806198241</v>
      </c>
    </row>
    <row r="392" spans="2:5">
      <c r="B392">
        <v>382</v>
      </c>
      <c r="C392">
        <f>IF('Lab test'!AQ385&gt;0,'Lab test'!AQ385,NA())</f>
        <v>0.23974092335795624</v>
      </c>
      <c r="D392">
        <f>IF('Lab test'!AU385&gt;0,'Lab test'!AU385,NA())</f>
        <v>0.75990373231486663</v>
      </c>
      <c r="E392">
        <f t="shared" si="20"/>
        <v>1.9589636934318251</v>
      </c>
    </row>
    <row r="393" spans="2:5">
      <c r="B393">
        <v>383</v>
      </c>
      <c r="C393">
        <f>IF('Lab test'!AQ386&gt;0,'Lab test'!AQ386,NA())</f>
        <v>0.22488032531694971</v>
      </c>
      <c r="D393">
        <f>IF('Lab test'!AU386&gt;0,'Lab test'!AU386,NA())</f>
        <v>0.92417270672531104</v>
      </c>
      <c r="E393">
        <f t="shared" si="20"/>
        <v>1.8995213012677987</v>
      </c>
    </row>
    <row r="394" spans="2:5">
      <c r="B394">
        <v>384</v>
      </c>
      <c r="C394">
        <f>IF('Lab test'!AQ387&gt;0,'Lab test'!AQ387,NA())</f>
        <v>0.28951467015495597</v>
      </c>
      <c r="D394">
        <f>IF('Lab test'!AU387&gt;0,'Lab test'!AU387,NA())</f>
        <v>0.96495988948486533</v>
      </c>
      <c r="E394">
        <f t="shared" si="20"/>
        <v>2.1580586806198241</v>
      </c>
    </row>
    <row r="395" spans="2:5">
      <c r="B395">
        <v>385</v>
      </c>
      <c r="C395">
        <f>IF('Lab test'!AQ388&gt;0,'Lab test'!AQ388,NA())</f>
        <v>0.28951467015495597</v>
      </c>
      <c r="D395">
        <f>IF('Lab test'!AU388&gt;0,'Lab test'!AU388,NA())</f>
        <v>0.94442882800646388</v>
      </c>
      <c r="E395">
        <f t="shared" si="20"/>
        <v>2.1580586806198241</v>
      </c>
    </row>
    <row r="396" spans="2:5">
      <c r="B396">
        <v>386</v>
      </c>
      <c r="C396">
        <f>IF('Lab test'!AQ389&gt;0,'Lab test'!AQ389,NA())</f>
        <v>0.91096260846253096</v>
      </c>
      <c r="D396">
        <f>IF('Lab test'!AU389&gt;0,'Lab test'!AU389,NA())</f>
        <v>0.47700358046184671</v>
      </c>
      <c r="E396">
        <f t="shared" ref="E396:E459" si="22">C396*4+1</f>
        <v>4.6438504338501243</v>
      </c>
    </row>
    <row r="397" spans="2:5">
      <c r="B397">
        <v>387</v>
      </c>
      <c r="C397">
        <f>IF('Lab test'!AQ390&gt;0,'Lab test'!AQ390,NA())</f>
        <v>0.91096260846253096</v>
      </c>
      <c r="D397">
        <f>IF('Lab test'!AU390&gt;0,'Lab test'!AU390,NA())</f>
        <v>0.41707321880235193</v>
      </c>
      <c r="E397">
        <f t="shared" si="22"/>
        <v>4.6438504338501243</v>
      </c>
    </row>
    <row r="398" spans="2:5">
      <c r="B398">
        <v>388</v>
      </c>
      <c r="C398">
        <f>IF('Lab test'!AQ391&gt;0,'Lab test'!AQ391,NA())</f>
        <v>0.97715251177903528</v>
      </c>
      <c r="D398">
        <f>IF('Lab test'!AU391&gt;0,'Lab test'!AU391,NA())</f>
        <v>0.50370362718279715</v>
      </c>
      <c r="E398">
        <f t="shared" si="22"/>
        <v>4.9086100471161416</v>
      </c>
    </row>
    <row r="399" spans="2:5">
      <c r="B399">
        <v>389</v>
      </c>
      <c r="C399">
        <f>IF('Lab test'!AQ392&gt;0,'Lab test'!AQ392,NA())</f>
        <v>0.7141188168613557</v>
      </c>
      <c r="D399">
        <f>IF('Lab test'!AU392&gt;0,'Lab test'!AU392,NA())</f>
        <v>0.66901409889285135</v>
      </c>
      <c r="E399">
        <f t="shared" si="22"/>
        <v>3.8564752674454228</v>
      </c>
    </row>
    <row r="400" spans="2:5">
      <c r="B400">
        <v>390</v>
      </c>
      <c r="C400">
        <f>IF('Lab test'!AQ393&gt;0,'Lab test'!AQ393,NA())</f>
        <v>0.76986679333632768</v>
      </c>
      <c r="D400">
        <f>IF('Lab test'!AU393&gt;0,'Lab test'!AU393,NA())</f>
        <v>0.66352651842924859</v>
      </c>
      <c r="E400">
        <f t="shared" si="22"/>
        <v>4.0794671733453107</v>
      </c>
    </row>
    <row r="401" spans="2:5">
      <c r="B401">
        <v>391</v>
      </c>
      <c r="C401">
        <f>IF('Lab test'!AQ394&gt;0,'Lab test'!AQ394,NA())</f>
        <v>1.0339664593628208</v>
      </c>
      <c r="D401">
        <f>IF('Lab test'!AU394&gt;0,'Lab test'!AU394,NA())</f>
        <v>0.57594947399032614</v>
      </c>
      <c r="E401">
        <f t="shared" si="22"/>
        <v>5.1358658374512833</v>
      </c>
    </row>
    <row r="402" spans="2:5">
      <c r="B402">
        <v>392</v>
      </c>
      <c r="C402">
        <f>IF('Lab test'!AQ395&gt;0,'Lab test'!AQ395,NA())</f>
        <v>1.1792262274677314</v>
      </c>
      <c r="D402">
        <f>IF('Lab test'!AU395&gt;0,'Lab test'!AU395,NA())</f>
        <v>0.29304071259381648</v>
      </c>
      <c r="E402">
        <f t="shared" si="22"/>
        <v>5.7169049098709257</v>
      </c>
    </row>
    <row r="403" spans="2:5">
      <c r="B403">
        <v>393</v>
      </c>
      <c r="C403">
        <f>IF('Lab test'!AQ396&gt;0,'Lab test'!AQ396,NA())</f>
        <v>1.1792262274677314</v>
      </c>
      <c r="D403">
        <f>IF('Lab test'!AU396&gt;0,'Lab test'!AU396,NA())</f>
        <v>0.42813907384307182</v>
      </c>
      <c r="E403">
        <f t="shared" si="22"/>
        <v>5.7169049098709257</v>
      </c>
    </row>
    <row r="404" spans="2:5">
      <c r="B404">
        <v>394</v>
      </c>
      <c r="C404">
        <f>IF('Lab test'!AQ397&gt;0,'Lab test'!AQ397,NA())</f>
        <v>0.27422137900921711</v>
      </c>
      <c r="D404">
        <f>IF('Lab test'!AU397&gt;0,'Lab test'!AU397,NA())</f>
        <v>1.056</v>
      </c>
      <c r="E404">
        <f t="shared" si="22"/>
        <v>2.0968855160368687</v>
      </c>
    </row>
    <row r="405" spans="2:5">
      <c r="B405">
        <v>395</v>
      </c>
      <c r="C405">
        <f>IF('Lab test'!AQ398&gt;0,'Lab test'!AQ398,NA())</f>
        <v>0.30973625905190222</v>
      </c>
      <c r="D405">
        <f>IF('Lab test'!AU398&gt;0,'Lab test'!AU398,NA())</f>
        <v>1.004</v>
      </c>
      <c r="E405">
        <f t="shared" si="22"/>
        <v>2.2389450362076087</v>
      </c>
    </row>
    <row r="406" spans="2:5">
      <c r="B406">
        <v>396</v>
      </c>
      <c r="C406">
        <f>IF('Lab test'!AQ399&gt;0,'Lab test'!AQ399,NA())</f>
        <v>0.35419696312329474</v>
      </c>
      <c r="D406">
        <f>IF('Lab test'!AU399&gt;0,'Lab test'!AU399,NA())</f>
        <v>0.999</v>
      </c>
      <c r="E406">
        <f t="shared" si="22"/>
        <v>2.416787852493179</v>
      </c>
    </row>
    <row r="407" spans="2:5">
      <c r="B407">
        <v>397</v>
      </c>
      <c r="C407">
        <f>IF('Lab test'!AQ400&gt;0,'Lab test'!AQ400,NA())</f>
        <v>0.43380091404773102</v>
      </c>
      <c r="D407">
        <f>IF('Lab test'!AU400&gt;0,'Lab test'!AU400,NA())</f>
        <v>0.88000000000000012</v>
      </c>
      <c r="E407">
        <f t="shared" si="22"/>
        <v>2.7352036561909241</v>
      </c>
    </row>
    <row r="408" spans="2:5">
      <c r="B408">
        <v>398</v>
      </c>
      <c r="C408">
        <f>IF('Lab test'!AQ401&gt;0,'Lab test'!AQ401,NA())</f>
        <v>0.28504848843895608</v>
      </c>
      <c r="D408">
        <f>IF('Lab test'!AU401&gt;0,'Lab test'!AU401,NA())</f>
        <v>1.0089999999999999</v>
      </c>
      <c r="E408">
        <f t="shared" si="22"/>
        <v>2.1401939537558246</v>
      </c>
    </row>
    <row r="409" spans="2:5">
      <c r="B409">
        <v>399</v>
      </c>
      <c r="C409">
        <f>IF('Lab test'!AQ402&gt;0,'Lab test'!AQ402,NA())</f>
        <v>0.768687036520039</v>
      </c>
      <c r="D409">
        <f>IF('Lab test'!AU402&gt;0,'Lab test'!AU402,NA())</f>
        <v>0.82899999999999985</v>
      </c>
      <c r="E409">
        <f t="shared" si="22"/>
        <v>4.0747481460801556</v>
      </c>
    </row>
    <row r="410" spans="2:5">
      <c r="B410">
        <v>400</v>
      </c>
      <c r="C410">
        <f>IF('Lab test'!AQ403&gt;0,'Lab test'!AQ403,NA())</f>
        <v>0.61806001674406175</v>
      </c>
      <c r="D410">
        <f>IF('Lab test'!AU403&gt;0,'Lab test'!AU403,NA())</f>
        <v>0.81399999999999995</v>
      </c>
      <c r="E410">
        <f t="shared" si="22"/>
        <v>3.472240066976247</v>
      </c>
    </row>
    <row r="411" spans="2:5">
      <c r="B411">
        <v>401</v>
      </c>
      <c r="C411">
        <f>IF('Lab test'!AQ404&gt;0,'Lab test'!AQ404,NA())</f>
        <v>0.56472631332742684</v>
      </c>
      <c r="D411">
        <f>IF('Lab test'!AU404&gt;0,'Lab test'!AU404,NA())</f>
        <v>0.88900000000000001</v>
      </c>
      <c r="E411">
        <f t="shared" si="22"/>
        <v>3.2589052533097074</v>
      </c>
    </row>
    <row r="412" spans="2:5">
      <c r="B412">
        <v>402</v>
      </c>
      <c r="C412">
        <f>IF('Lab test'!AQ405&gt;0,'Lab test'!AQ405,NA())</f>
        <v>0.50025952088993719</v>
      </c>
      <c r="D412">
        <f>IF('Lab test'!AU405&gt;0,'Lab test'!AU405,NA())</f>
        <v>0.94099999999999995</v>
      </c>
      <c r="E412">
        <f t="shared" si="22"/>
        <v>3.0010380835597488</v>
      </c>
    </row>
    <row r="413" spans="2:5">
      <c r="B413">
        <v>403</v>
      </c>
      <c r="C413">
        <f>IF('Lab test'!AQ406&gt;0,'Lab test'!AQ406,NA())</f>
        <v>0.33365955692237836</v>
      </c>
      <c r="D413">
        <f>IF('Lab test'!AU406&gt;0,'Lab test'!AU406,NA())</f>
        <v>0.94099999999999995</v>
      </c>
      <c r="E413">
        <f t="shared" si="22"/>
        <v>2.3346382276895135</v>
      </c>
    </row>
    <row r="414" spans="2:5">
      <c r="B414">
        <v>404</v>
      </c>
      <c r="C414">
        <f>IF('Lab test'!AQ407&gt;0,'Lab test'!AQ407,NA())</f>
        <v>0.360310321703327</v>
      </c>
      <c r="D414">
        <f>IF('Lab test'!AU407&gt;0,'Lab test'!AU407,NA())</f>
        <v>1.008</v>
      </c>
      <c r="E414">
        <f t="shared" si="22"/>
        <v>2.441241286813308</v>
      </c>
    </row>
    <row r="415" spans="2:5">
      <c r="B415">
        <v>405</v>
      </c>
      <c r="C415">
        <f>IF('Lab test'!AQ408&gt;0,'Lab test'!AQ408,NA())</f>
        <v>0.42985053500354037</v>
      </c>
      <c r="D415">
        <f>IF('Lab test'!AU408&gt;0,'Lab test'!AU408,NA())</f>
        <v>0.98899999999999999</v>
      </c>
      <c r="E415">
        <f t="shared" si="22"/>
        <v>2.7194021400141617</v>
      </c>
    </row>
    <row r="416" spans="2:5">
      <c r="B416">
        <v>406</v>
      </c>
      <c r="C416">
        <f>IF('Lab test'!AQ409&gt;0,'Lab test'!AQ409,NA())</f>
        <v>0.42985053500354037</v>
      </c>
      <c r="D416">
        <f>IF('Lab test'!AU409&gt;0,'Lab test'!AU409,NA())</f>
        <v>1.0089999999999999</v>
      </c>
      <c r="E416">
        <f t="shared" si="22"/>
        <v>2.7194021400141617</v>
      </c>
    </row>
    <row r="417" spans="2:5">
      <c r="B417">
        <v>407</v>
      </c>
      <c r="C417">
        <f>IF('Lab test'!AQ410&gt;0,'Lab test'!AQ410,NA())</f>
        <v>0.46175636279042831</v>
      </c>
      <c r="D417">
        <f>IF('Lab test'!AU410&gt;0,'Lab test'!AU410,NA())</f>
        <v>0.95099999999999996</v>
      </c>
      <c r="E417">
        <f t="shared" si="22"/>
        <v>2.8470254511617132</v>
      </c>
    </row>
    <row r="418" spans="2:5">
      <c r="B418">
        <v>408</v>
      </c>
      <c r="C418">
        <f>IF('Lab test'!AQ411&gt;0,'Lab test'!AQ411,NA())</f>
        <v>0.56479884407332515</v>
      </c>
      <c r="D418">
        <f>IF('Lab test'!AU411&gt;0,'Lab test'!AU411,NA())</f>
        <v>0.872</v>
      </c>
      <c r="E418">
        <f t="shared" si="22"/>
        <v>3.2591953762933006</v>
      </c>
    </row>
    <row r="419" spans="2:5">
      <c r="B419">
        <v>409</v>
      </c>
      <c r="C419">
        <f>IF('Lab test'!AQ412&gt;0,'Lab test'!AQ412,NA())</f>
        <v>0.76898849679172598</v>
      </c>
      <c r="D419">
        <f>IF('Lab test'!AU412&gt;0,'Lab test'!AU412,NA())</f>
        <v>0.91200000000000003</v>
      </c>
      <c r="E419">
        <f t="shared" si="22"/>
        <v>4.0759539871669039</v>
      </c>
    </row>
    <row r="420" spans="2:5">
      <c r="B420">
        <v>410</v>
      </c>
      <c r="C420" t="e">
        <f>IF('Lab test'!AQ413&gt;0,'Lab test'!AQ413,NA())</f>
        <v>#N/A</v>
      </c>
      <c r="D420" t="e">
        <f>IF('Lab test'!AU413&gt;0,'Lab test'!AU413,NA())</f>
        <v>#N/A</v>
      </c>
      <c r="E420" t="e">
        <f t="shared" si="22"/>
        <v>#N/A</v>
      </c>
    </row>
    <row r="421" spans="2:5">
      <c r="B421">
        <v>411</v>
      </c>
      <c r="C421" t="e">
        <f>IF('Lab test'!AQ414&gt;0,'Lab test'!AQ414,NA())</f>
        <v>#N/A</v>
      </c>
      <c r="D421" t="e">
        <f>IF('Lab test'!AU414&gt;0,'Lab test'!AU414,NA())</f>
        <v>#N/A</v>
      </c>
      <c r="E421" t="e">
        <f t="shared" si="22"/>
        <v>#N/A</v>
      </c>
    </row>
    <row r="422" spans="2:5">
      <c r="B422">
        <v>412</v>
      </c>
      <c r="C422" t="e">
        <f>IF('Lab test'!AQ415&gt;0,'Lab test'!AQ415,NA())</f>
        <v>#N/A</v>
      </c>
      <c r="D422" t="e">
        <f>IF('Lab test'!AU415&gt;0,'Lab test'!AU415,NA())</f>
        <v>#N/A</v>
      </c>
      <c r="E422" t="e">
        <f t="shared" si="22"/>
        <v>#N/A</v>
      </c>
    </row>
    <row r="423" spans="2:5">
      <c r="B423">
        <v>413</v>
      </c>
      <c r="C423" t="e">
        <f>IF('Lab test'!AQ416&gt;0,'Lab test'!AQ416,NA())</f>
        <v>#N/A</v>
      </c>
      <c r="D423" t="e">
        <f>IF('Lab test'!AU416&gt;0,'Lab test'!AU416,NA())</f>
        <v>#N/A</v>
      </c>
      <c r="E423" t="e">
        <f t="shared" si="22"/>
        <v>#N/A</v>
      </c>
    </row>
    <row r="424" spans="2:5">
      <c r="B424">
        <v>414</v>
      </c>
      <c r="C424" t="e">
        <f>IF('Lab test'!AQ417&gt;0,'Lab test'!AQ417,NA())</f>
        <v>#N/A</v>
      </c>
      <c r="D424" t="e">
        <f>IF('Lab test'!AU417&gt;0,'Lab test'!AU417,NA())</f>
        <v>#N/A</v>
      </c>
      <c r="E424" t="e">
        <f t="shared" si="22"/>
        <v>#N/A</v>
      </c>
    </row>
    <row r="425" spans="2:5">
      <c r="B425">
        <v>415</v>
      </c>
      <c r="C425" t="e">
        <f>IF('Lab test'!AQ418&gt;0,'Lab test'!AQ418,NA())</f>
        <v>#N/A</v>
      </c>
      <c r="D425" t="e">
        <f>IF('Lab test'!AU418&gt;0,'Lab test'!AU418,NA())</f>
        <v>#N/A</v>
      </c>
      <c r="E425" t="e">
        <f t="shared" si="22"/>
        <v>#N/A</v>
      </c>
    </row>
    <row r="426" spans="2:5">
      <c r="B426">
        <v>416</v>
      </c>
      <c r="C426">
        <f>IF('Lab test'!AQ419&gt;0,'Lab test'!AQ419,NA())</f>
        <v>0.26343004554493188</v>
      </c>
      <c r="D426">
        <f>IF('Lab test'!AU419&gt;0,'Lab test'!AU419,NA())</f>
        <v>0.93832837067054176</v>
      </c>
      <c r="E426">
        <f t="shared" si="22"/>
        <v>2.0537201821797275</v>
      </c>
    </row>
    <row r="427" spans="2:5">
      <c r="B427">
        <v>417</v>
      </c>
      <c r="C427">
        <f>IF('Lab test'!AQ420&gt;0,'Lab test'!AQ420,NA())</f>
        <v>0.3477555666755387</v>
      </c>
      <c r="D427">
        <f>IF('Lab test'!AU420&gt;0,'Lab test'!AU420,NA())</f>
        <v>0.78687246647398568</v>
      </c>
      <c r="E427">
        <f t="shared" si="22"/>
        <v>2.391022266702155</v>
      </c>
    </row>
    <row r="428" spans="2:5">
      <c r="B428">
        <v>418</v>
      </c>
      <c r="C428">
        <f>IF('Lab test'!AQ421&gt;0,'Lab test'!AQ421,NA())</f>
        <v>0.52524477786217494</v>
      </c>
      <c r="D428">
        <f>IF('Lab test'!AU421&gt;0,'Lab test'!AU421,NA())</f>
        <v>0.6899256031818416</v>
      </c>
      <c r="E428">
        <f t="shared" si="22"/>
        <v>3.1009791114486998</v>
      </c>
    </row>
    <row r="429" spans="2:5">
      <c r="B429">
        <v>419</v>
      </c>
      <c r="C429">
        <f>IF('Lab test'!AQ422&gt;0,'Lab test'!AQ422,NA())</f>
        <v>0.50911418700127697</v>
      </c>
      <c r="D429">
        <f>IF('Lab test'!AU422&gt;0,'Lab test'!AU422,NA())</f>
        <v>1.0233330653028985</v>
      </c>
      <c r="E429">
        <f t="shared" si="22"/>
        <v>3.0364567480051079</v>
      </c>
    </row>
    <row r="430" spans="2:5">
      <c r="B430">
        <v>420</v>
      </c>
      <c r="C430">
        <f>IF('Lab test'!AQ423&gt;0,'Lab test'!AQ423,NA())</f>
        <v>0.53114357696186398</v>
      </c>
      <c r="D430">
        <f>IF('Lab test'!AU423&gt;0,'Lab test'!AU423,NA())</f>
        <v>0.85223530437427208</v>
      </c>
      <c r="E430">
        <f t="shared" si="22"/>
        <v>3.1245743078474559</v>
      </c>
    </row>
    <row r="431" spans="2:5">
      <c r="B431">
        <v>421</v>
      </c>
      <c r="C431">
        <f>IF('Lab test'!AQ424&gt;0,'Lab test'!AQ424,NA())</f>
        <v>0.67669428194511583</v>
      </c>
      <c r="D431">
        <f>IF('Lab test'!AU424&gt;0,'Lab test'!AU424,NA())</f>
        <v>0.79607846928771109</v>
      </c>
      <c r="E431">
        <f t="shared" si="22"/>
        <v>3.7067771277804633</v>
      </c>
    </row>
    <row r="432" spans="2:5">
      <c r="B432">
        <v>422</v>
      </c>
      <c r="C432">
        <f>IF('Lab test'!AQ425&gt;0,'Lab test'!AQ425,NA())</f>
        <v>0.4693642741959001</v>
      </c>
      <c r="D432">
        <f>IF('Lab test'!AU425&gt;0,'Lab test'!AU425,NA())</f>
        <v>1.1494521735689953</v>
      </c>
      <c r="E432">
        <f t="shared" si="22"/>
        <v>2.8774570967836004</v>
      </c>
    </row>
    <row r="433" spans="2:5">
      <c r="B433">
        <v>423</v>
      </c>
      <c r="C433">
        <f>IF('Lab test'!AQ426&gt;0,'Lab test'!AQ426,NA())</f>
        <v>0.57485148763586424</v>
      </c>
      <c r="D433">
        <f>IF('Lab test'!AU426&gt;0,'Lab test'!AU426,NA())</f>
        <v>0.84503697907040565</v>
      </c>
      <c r="E433">
        <f t="shared" si="22"/>
        <v>3.299405950543457</v>
      </c>
    </row>
    <row r="434" spans="2:5">
      <c r="B434">
        <v>424</v>
      </c>
      <c r="C434">
        <f>IF('Lab test'!AQ427&gt;0,'Lab test'!AQ427,NA())</f>
        <v>0.51416280132826886</v>
      </c>
      <c r="D434">
        <f>IF('Lab test'!AU427&gt;0,'Lab test'!AU427,NA())</f>
        <v>0.87989942086025497</v>
      </c>
      <c r="E434">
        <f t="shared" si="22"/>
        <v>3.0566512053130754</v>
      </c>
    </row>
    <row r="435" spans="2:5">
      <c r="B435">
        <v>425</v>
      </c>
      <c r="C435">
        <f>IF('Lab test'!AQ428&gt;0,'Lab test'!AQ428,NA())</f>
        <v>1.1828034630256554</v>
      </c>
      <c r="D435">
        <f>IF('Lab test'!AU428&gt;0,'Lab test'!AU428,NA())</f>
        <v>0.27627135514766743</v>
      </c>
      <c r="E435">
        <f t="shared" si="22"/>
        <v>5.7312138521026217</v>
      </c>
    </row>
    <row r="436" spans="2:5">
      <c r="B436">
        <v>426</v>
      </c>
      <c r="C436">
        <f>IF('Lab test'!AQ429&gt;0,'Lab test'!AQ429,NA())</f>
        <v>1.1828034630256554</v>
      </c>
      <c r="D436">
        <f>IF('Lab test'!AU429&gt;0,'Lab test'!AU429,NA())</f>
        <v>0.3136831011572474</v>
      </c>
      <c r="E436">
        <f t="shared" si="22"/>
        <v>5.7312138521026217</v>
      </c>
    </row>
    <row r="437" spans="2:5">
      <c r="B437">
        <v>427</v>
      </c>
      <c r="C437">
        <f>IF('Lab test'!AQ430&gt;0,'Lab test'!AQ430,NA())</f>
        <v>1.1828034630256554</v>
      </c>
      <c r="D437">
        <f>IF('Lab test'!AU430&gt;0,'Lab test'!AU430,NA())</f>
        <v>0.33238897416203733</v>
      </c>
      <c r="E437">
        <f t="shared" si="22"/>
        <v>5.7312138521026217</v>
      </c>
    </row>
    <row r="438" spans="2:5">
      <c r="B438">
        <v>428</v>
      </c>
      <c r="C438">
        <f>IF('Lab test'!AQ431&gt;0,'Lab test'!AQ431,NA())</f>
        <v>0.89118836804024459</v>
      </c>
      <c r="D438">
        <f>IF('Lab test'!AU431&gt;0,'Lab test'!AU431,NA())</f>
        <v>0.49007988329055813</v>
      </c>
      <c r="E438">
        <f t="shared" si="22"/>
        <v>4.5647534721609784</v>
      </c>
    </row>
    <row r="439" spans="2:5">
      <c r="B439">
        <v>429</v>
      </c>
      <c r="C439">
        <f>IF('Lab test'!AQ432&gt;0,'Lab test'!AQ432,NA())</f>
        <v>1.2914800778037814</v>
      </c>
      <c r="D439">
        <f>IF('Lab test'!AU432&gt;0,'Lab test'!AU432,NA())</f>
        <v>0.16997725164603367</v>
      </c>
      <c r="E439">
        <f t="shared" si="22"/>
        <v>6.1659203112151255</v>
      </c>
    </row>
    <row r="440" spans="2:5">
      <c r="B440">
        <v>430</v>
      </c>
      <c r="C440">
        <f>IF('Lab test'!AQ433&gt;0,'Lab test'!AQ433,NA())</f>
        <v>1.2914800778037814</v>
      </c>
      <c r="D440">
        <f>IF('Lab test'!AU433&gt;0,'Lab test'!AU433,NA())</f>
        <v>0.16997725164603367</v>
      </c>
      <c r="E440">
        <f t="shared" si="22"/>
        <v>6.1659203112151255</v>
      </c>
    </row>
    <row r="441" spans="2:5">
      <c r="B441">
        <v>431</v>
      </c>
      <c r="C441">
        <f>IF('Lab test'!AQ434&gt;0,'Lab test'!AQ434,NA())</f>
        <v>1.2245857832908482</v>
      </c>
      <c r="D441">
        <f>IF('Lab test'!AU434&gt;0,'Lab test'!AU434,NA())</f>
        <v>0.19471223704293225</v>
      </c>
      <c r="E441">
        <f t="shared" si="22"/>
        <v>5.8983431331633929</v>
      </c>
    </row>
    <row r="442" spans="2:5">
      <c r="B442">
        <v>432</v>
      </c>
      <c r="C442">
        <f>IF('Lab test'!AQ435&gt;0,'Lab test'!AQ435,NA())</f>
        <v>1.2245857832908482</v>
      </c>
      <c r="D442">
        <f>IF('Lab test'!AU435&gt;0,'Lab test'!AU435,NA())</f>
        <v>0.20250072652464954</v>
      </c>
      <c r="E442">
        <f t="shared" si="22"/>
        <v>5.8983431331633929</v>
      </c>
    </row>
    <row r="443" spans="2:5">
      <c r="B443">
        <v>433</v>
      </c>
      <c r="C443">
        <f>IF('Lab test'!AQ436&gt;0,'Lab test'!AQ436,NA())</f>
        <v>1.2245857832908482</v>
      </c>
      <c r="D443">
        <f>IF('Lab test'!AU436&gt;0,'Lab test'!AU436,NA())</f>
        <v>0.21807770548808414</v>
      </c>
      <c r="E443">
        <f t="shared" si="22"/>
        <v>5.8983431331633929</v>
      </c>
    </row>
    <row r="444" spans="2:5">
      <c r="B444">
        <v>434</v>
      </c>
      <c r="C444">
        <f>IF('Lab test'!AQ437&gt;0,'Lab test'!AQ437,NA())</f>
        <v>0.91443112921122494</v>
      </c>
      <c r="D444">
        <f>IF('Lab test'!AU437&gt;0,'Lab test'!AU437,NA())</f>
        <v>0.57886648361551429</v>
      </c>
      <c r="E444">
        <f t="shared" si="22"/>
        <v>4.6577245168448993</v>
      </c>
    </row>
    <row r="445" spans="2:5">
      <c r="B445">
        <v>435</v>
      </c>
      <c r="C445">
        <f>IF('Lab test'!AQ438&gt;0,'Lab test'!AQ438,NA())</f>
        <v>0.91443112921122494</v>
      </c>
      <c r="D445">
        <f>IF('Lab test'!AU438&gt;0,'Lab test'!AU438,NA())</f>
        <v>0.61430728873483142</v>
      </c>
      <c r="E445">
        <f t="shared" si="22"/>
        <v>4.6577245168448993</v>
      </c>
    </row>
    <row r="446" spans="2:5">
      <c r="B446">
        <v>436</v>
      </c>
      <c r="C446">
        <f>IF('Lab test'!AQ439&gt;0,'Lab test'!AQ439,NA())</f>
        <v>1.6705108341757928</v>
      </c>
      <c r="D446">
        <f>IF('Lab test'!AU439&gt;0,'Lab test'!AU439,NA())</f>
        <v>9.5221527074229373E-2</v>
      </c>
      <c r="E446">
        <f t="shared" si="22"/>
        <v>7.6820433367031713</v>
      </c>
    </row>
    <row r="447" spans="2:5">
      <c r="B447">
        <v>437</v>
      </c>
      <c r="C447">
        <f>IF('Lab test'!AQ440&gt;0,'Lab test'!AQ440,NA())</f>
        <v>0.69153065309309791</v>
      </c>
      <c r="D447">
        <f>IF('Lab test'!AU440&gt;0,'Lab test'!AU440,NA())</f>
        <v>0.59554011134042495</v>
      </c>
      <c r="E447">
        <f t="shared" si="22"/>
        <v>3.7661226123723917</v>
      </c>
    </row>
    <row r="448" spans="2:5">
      <c r="B448">
        <v>438</v>
      </c>
      <c r="C448">
        <f>IF('Lab test'!AQ441&gt;0,'Lab test'!AQ441,NA())</f>
        <v>0.69153065309309791</v>
      </c>
      <c r="D448">
        <f>IF('Lab test'!AU441&gt;0,'Lab test'!AU441,NA())</f>
        <v>0.73013217650336104</v>
      </c>
      <c r="E448">
        <f t="shared" si="22"/>
        <v>3.7661226123723917</v>
      </c>
    </row>
    <row r="449" spans="2:5">
      <c r="B449">
        <v>439</v>
      </c>
      <c r="C449">
        <f>IF('Lab test'!AQ442&gt;0,'Lab test'!AQ442,NA())</f>
        <v>0.69153065309309791</v>
      </c>
      <c r="D449">
        <f>IF('Lab test'!AU442&gt;0,'Lab test'!AU442,NA())</f>
        <v>0.72655893583531839</v>
      </c>
      <c r="E449">
        <f t="shared" si="22"/>
        <v>3.7661226123723917</v>
      </c>
    </row>
    <row r="450" spans="2:5">
      <c r="B450">
        <v>440</v>
      </c>
      <c r="C450">
        <f>IF('Lab test'!AQ443&gt;0,'Lab test'!AQ443,NA())</f>
        <v>0.69153065309309791</v>
      </c>
      <c r="D450">
        <f>IF('Lab test'!AU443&gt;0,'Lab test'!AU443,NA())</f>
        <v>0.78611294696936096</v>
      </c>
      <c r="E450">
        <f t="shared" si="22"/>
        <v>3.7661226123723917</v>
      </c>
    </row>
    <row r="451" spans="2:5">
      <c r="B451">
        <v>441</v>
      </c>
      <c r="C451">
        <f>IF('Lab test'!AQ444&gt;0,'Lab test'!AQ444,NA())</f>
        <v>0.87351472926276308</v>
      </c>
      <c r="D451">
        <f>IF('Lab test'!AU444&gt;0,'Lab test'!AU444,NA())</f>
        <v>0.42442100934506605</v>
      </c>
      <c r="E451">
        <f t="shared" si="22"/>
        <v>4.4940589170510528</v>
      </c>
    </row>
    <row r="452" spans="2:5">
      <c r="B452">
        <v>442</v>
      </c>
      <c r="C452">
        <f>IF('Lab test'!AQ445&gt;0,'Lab test'!AQ445,NA())</f>
        <v>0.87351472926276308</v>
      </c>
      <c r="D452">
        <f>IF('Lab test'!AU445&gt;0,'Lab test'!AU445,NA())</f>
        <v>0.48721799542163191</v>
      </c>
      <c r="E452">
        <f t="shared" si="22"/>
        <v>4.4940589170510528</v>
      </c>
    </row>
    <row r="453" spans="2:5">
      <c r="B453">
        <v>443</v>
      </c>
      <c r="C453">
        <f>IF('Lab test'!AQ446&gt;0,'Lab test'!AQ446,NA())</f>
        <v>1.3021588759859088</v>
      </c>
      <c r="D453">
        <f>IF('Lab test'!AU446&gt;0,'Lab test'!AU446,NA())</f>
        <v>0.33130823688670968</v>
      </c>
      <c r="E453">
        <f t="shared" si="22"/>
        <v>6.2086355039436354</v>
      </c>
    </row>
    <row r="454" spans="2:5">
      <c r="B454">
        <v>444</v>
      </c>
      <c r="C454">
        <f>IF('Lab test'!AQ447&gt;0,'Lab test'!AQ447,NA())</f>
        <v>1.3021588759859088</v>
      </c>
      <c r="D454">
        <f>IF('Lab test'!AU447&gt;0,'Lab test'!AU447,NA())</f>
        <v>0.24848117766503225</v>
      </c>
      <c r="E454">
        <f t="shared" si="22"/>
        <v>6.2086355039436354</v>
      </c>
    </row>
    <row r="455" spans="2:5">
      <c r="B455">
        <v>445</v>
      </c>
      <c r="C455">
        <f>IF('Lab test'!AQ448&gt;0,'Lab test'!AQ448,NA())</f>
        <v>1.7470294585255262</v>
      </c>
      <c r="D455">
        <f>IF('Lab test'!AU448&gt;0,'Lab test'!AU448,NA())</f>
        <v>0.10285713236678898</v>
      </c>
      <c r="E455">
        <f t="shared" si="22"/>
        <v>7.9881178341021046</v>
      </c>
    </row>
    <row r="456" spans="2:5">
      <c r="B456">
        <v>446</v>
      </c>
      <c r="C456">
        <f>IF('Lab test'!AQ449&gt;0,'Lab test'!AQ449,NA())</f>
        <v>1.7470294585255262</v>
      </c>
      <c r="D456">
        <f>IF('Lab test'!AU449&gt;0,'Lab test'!AU449,NA())</f>
        <v>0.18947366488619016</v>
      </c>
      <c r="E456">
        <f t="shared" si="22"/>
        <v>7.9881178341021046</v>
      </c>
    </row>
    <row r="457" spans="2:5">
      <c r="B457">
        <v>447</v>
      </c>
      <c r="C457">
        <f>IF('Lab test'!AQ450&gt;0,'Lab test'!AQ450,NA())</f>
        <v>1.9532383139788632</v>
      </c>
      <c r="D457">
        <f>IF('Lab test'!AU450&gt;0,'Lab test'!AU450,NA())</f>
        <v>7.7088713942267087E-2</v>
      </c>
      <c r="E457">
        <f t="shared" si="22"/>
        <v>8.8129532559154526</v>
      </c>
    </row>
    <row r="458" spans="2:5">
      <c r="B458">
        <v>448</v>
      </c>
      <c r="C458">
        <f>IF('Lab test'!AQ451&gt;0,'Lab test'!AQ451,NA())</f>
        <v>1.9532383139788632</v>
      </c>
      <c r="D458">
        <f>IF('Lab test'!AU451&gt;0,'Lab test'!AU451,NA())</f>
        <v>0.12342855884014675</v>
      </c>
      <c r="E458">
        <f t="shared" si="22"/>
        <v>8.8129532559154526</v>
      </c>
    </row>
    <row r="459" spans="2:5">
      <c r="B459">
        <v>449</v>
      </c>
      <c r="C459">
        <f>IF('Lab test'!AQ452&gt;0,'Lab test'!AQ452,NA())</f>
        <v>0.66791697647315873</v>
      </c>
      <c r="D459">
        <f>IF('Lab test'!AU452&gt;0,'Lab test'!AU452,NA())</f>
        <v>0.88888919547159806</v>
      </c>
      <c r="E459">
        <f t="shared" si="22"/>
        <v>3.6716679058926349</v>
      </c>
    </row>
    <row r="460" spans="2:5">
      <c r="B460">
        <v>450</v>
      </c>
      <c r="C460">
        <f>IF('Lab test'!AQ453&gt;0,'Lab test'!AQ453,NA())</f>
        <v>0.98406917019690632</v>
      </c>
      <c r="D460">
        <f>IF('Lab test'!AU453&gt;0,'Lab test'!AU453,NA())</f>
        <v>0.40948813843719867</v>
      </c>
      <c r="E460">
        <f t="shared" ref="E460:E523" si="23">C460*4+1</f>
        <v>4.9362766807876248</v>
      </c>
    </row>
    <row r="461" spans="2:5">
      <c r="B461">
        <v>451</v>
      </c>
      <c r="C461">
        <f>IF('Lab test'!AQ454&gt;0,'Lab test'!AQ454,NA())</f>
        <v>0.74675388136005527</v>
      </c>
      <c r="D461">
        <f>IF('Lab test'!AU454&gt;0,'Lab test'!AU454,NA())</f>
        <v>0.6962965364527518</v>
      </c>
      <c r="E461">
        <f t="shared" si="23"/>
        <v>3.9870155254402211</v>
      </c>
    </row>
    <row r="462" spans="2:5">
      <c r="B462">
        <v>452</v>
      </c>
      <c r="C462">
        <f>IF('Lab test'!AQ455&gt;0,'Lab test'!AQ455,NA())</f>
        <v>1.1002227795610464</v>
      </c>
      <c r="D462">
        <f>IF('Lab test'!AU455&gt;0,'Lab test'!AU455,NA())</f>
        <v>0.49138576612463836</v>
      </c>
      <c r="E462">
        <f t="shared" si="23"/>
        <v>5.4008911182441857</v>
      </c>
    </row>
    <row r="463" spans="2:5">
      <c r="B463">
        <v>453</v>
      </c>
      <c r="C463">
        <f>IF('Lab test'!AQ456&gt;0,'Lab test'!AQ456,NA())</f>
        <v>1.3916839668057024</v>
      </c>
      <c r="D463">
        <f>IF('Lab test'!AU456&gt;0,'Lab test'!AU456,NA())</f>
        <v>0.25593008652324917</v>
      </c>
      <c r="E463">
        <f t="shared" si="23"/>
        <v>6.5667358672228096</v>
      </c>
    </row>
    <row r="464" spans="2:5">
      <c r="B464">
        <v>454</v>
      </c>
      <c r="C464">
        <f>IF('Lab test'!AQ457&gt;0,'Lab test'!AQ457,NA())</f>
        <v>1.3916839668057024</v>
      </c>
      <c r="D464">
        <f>IF('Lab test'!AU457&gt;0,'Lab test'!AU457,NA())</f>
        <v>0.37536412690076543</v>
      </c>
      <c r="E464">
        <f t="shared" si="23"/>
        <v>6.5667358672228096</v>
      </c>
    </row>
    <row r="465" spans="2:5">
      <c r="B465">
        <v>455</v>
      </c>
      <c r="C465">
        <f>IF('Lab test'!AQ458&gt;0,'Lab test'!AQ458,NA())</f>
        <v>2.8014797159771994</v>
      </c>
      <c r="D465">
        <f>IF('Lab test'!AU458&gt;0,'Lab test'!AU458,NA())</f>
        <v>3.6842104087588902E-2</v>
      </c>
      <c r="E465">
        <f t="shared" si="23"/>
        <v>12.205918863908797</v>
      </c>
    </row>
    <row r="466" spans="2:5">
      <c r="B466">
        <v>456</v>
      </c>
      <c r="C466">
        <f>IF('Lab test'!AQ459&gt;0,'Lab test'!AQ459,NA())</f>
        <v>2.8014797159771994</v>
      </c>
      <c r="D466">
        <f>IF('Lab test'!AU459&gt;0,'Lab test'!AU459,NA())</f>
        <v>5.7894734994782565E-2</v>
      </c>
      <c r="E466">
        <f t="shared" si="23"/>
        <v>12.205918863908797</v>
      </c>
    </row>
    <row r="467" spans="2:5">
      <c r="B467">
        <v>457</v>
      </c>
      <c r="C467">
        <f>IF('Lab test'!AQ460&gt;0,'Lab test'!AQ460,NA())</f>
        <v>0.98406917019690632</v>
      </c>
      <c r="D467">
        <f>IF('Lab test'!AU460&gt;0,'Lab test'!AU460,NA())</f>
        <v>0.5971702018875813</v>
      </c>
      <c r="E467">
        <f t="shared" si="23"/>
        <v>4.9362766807876248</v>
      </c>
    </row>
    <row r="468" spans="2:5">
      <c r="B468">
        <v>458</v>
      </c>
      <c r="C468">
        <f>IF('Lab test'!AQ461&gt;0,'Lab test'!AQ461,NA())</f>
        <v>0.94457724666757248</v>
      </c>
      <c r="D468">
        <f>IF('Lab test'!AU461&gt;0,'Lab test'!AU461,NA())</f>
        <v>0.42592607283014072</v>
      </c>
      <c r="E468">
        <f t="shared" si="23"/>
        <v>4.7783089866702895</v>
      </c>
    </row>
    <row r="469" spans="2:5">
      <c r="B469">
        <v>459</v>
      </c>
      <c r="C469">
        <f>IF('Lab test'!AQ462&gt;0,'Lab test'!AQ462,NA())</f>
        <v>1.0988307805859157</v>
      </c>
      <c r="D469">
        <f>IF('Lab test'!AU462&gt;0,'Lab test'!AU462,NA())</f>
        <v>0.34894733730889366</v>
      </c>
      <c r="E469">
        <f t="shared" si="23"/>
        <v>5.3953231223436626</v>
      </c>
    </row>
    <row r="470" spans="2:5">
      <c r="B470">
        <v>460</v>
      </c>
      <c r="C470">
        <f>IF('Lab test'!AQ463&gt;0,'Lab test'!AQ463,NA())</f>
        <v>1.0988307805859157</v>
      </c>
      <c r="D470">
        <f>IF('Lab test'!AU463&gt;0,'Lab test'!AU463,NA())</f>
        <v>0.49947363967743619</v>
      </c>
      <c r="E470">
        <f t="shared" si="23"/>
        <v>5.3953231223436626</v>
      </c>
    </row>
    <row r="471" spans="2:5">
      <c r="B471">
        <v>461</v>
      </c>
      <c r="C471">
        <f>IF('Lab test'!AQ464&gt;0,'Lab test'!AQ464,NA())</f>
        <v>1.0588598348061427</v>
      </c>
      <c r="D471">
        <f>IF('Lab test'!AU464&gt;0,'Lab test'!AU464,NA())</f>
        <v>0.58947363165303313</v>
      </c>
      <c r="E471">
        <f t="shared" si="23"/>
        <v>5.2354393392245706</v>
      </c>
    </row>
    <row r="472" spans="2:5">
      <c r="B472">
        <v>462</v>
      </c>
      <c r="C472">
        <f>IF('Lab test'!AQ465&gt;0,'Lab test'!AQ465,NA())</f>
        <v>1.0988307805859157</v>
      </c>
      <c r="D472">
        <f>IF('Lab test'!AU465&gt;0,'Lab test'!AU465,NA())</f>
        <v>0.24768418844278331</v>
      </c>
      <c r="E472">
        <f t="shared" si="23"/>
        <v>5.3953231223436626</v>
      </c>
    </row>
    <row r="473" spans="2:5">
      <c r="B473">
        <v>463</v>
      </c>
      <c r="C473">
        <f>IF('Lab test'!AQ466&gt;0,'Lab test'!AQ466,NA())</f>
        <v>1.1436993375562656</v>
      </c>
      <c r="D473">
        <f>IF('Lab test'!AU466&gt;0,'Lab test'!AU466,NA())</f>
        <v>0.53052626848772988</v>
      </c>
      <c r="E473">
        <f t="shared" si="23"/>
        <v>5.5747973502250625</v>
      </c>
    </row>
    <row r="474" spans="2:5">
      <c r="B474">
        <v>464</v>
      </c>
      <c r="C474">
        <f>IF('Lab test'!AQ467&gt;0,'Lab test'!AQ467,NA())</f>
        <v>2.7489462732735608</v>
      </c>
      <c r="D474">
        <f>IF('Lab test'!AU467&gt;0,'Lab test'!AU467,NA())</f>
        <v>5.8846795262787806E-2</v>
      </c>
      <c r="E474">
        <f t="shared" si="23"/>
        <v>11.995785093094243</v>
      </c>
    </row>
    <row r="475" spans="2:5">
      <c r="B475">
        <v>465</v>
      </c>
      <c r="C475">
        <f>IF('Lab test'!AQ468&gt;0,'Lab test'!AQ468,NA())</f>
        <v>2.7219529368722433</v>
      </c>
      <c r="D475">
        <f>IF('Lab test'!AU468&gt;0,'Lab test'!AU468,NA())</f>
        <v>0.10403896169729526</v>
      </c>
      <c r="E475">
        <f t="shared" si="23"/>
        <v>11.887811747488973</v>
      </c>
    </row>
    <row r="476" spans="2:5">
      <c r="B476">
        <v>466</v>
      </c>
      <c r="C476">
        <f>IF('Lab test'!AQ469&gt;0,'Lab test'!AQ469,NA())</f>
        <v>2.7114739751962613</v>
      </c>
      <c r="D476">
        <f>IF('Lab test'!AU469&gt;0,'Lab test'!AU469,NA())</f>
        <v>5.7982056717038606E-2</v>
      </c>
      <c r="E476">
        <f t="shared" si="23"/>
        <v>11.845895900785045</v>
      </c>
    </row>
    <row r="477" spans="2:5">
      <c r="B477">
        <v>467</v>
      </c>
      <c r="C477">
        <f>IF('Lab test'!AQ470&gt;0,'Lab test'!AQ470,NA())</f>
        <v>2.7565554226210427</v>
      </c>
      <c r="D477">
        <f>IF('Lab test'!AU470&gt;0,'Lab test'!AU470,NA())</f>
        <v>5.7364641036656873E-2</v>
      </c>
      <c r="E477">
        <f t="shared" si="23"/>
        <v>12.026221690484171</v>
      </c>
    </row>
    <row r="478" spans="2:5">
      <c r="B478">
        <v>468</v>
      </c>
      <c r="C478">
        <f>IF('Lab test'!AQ471&gt;0,'Lab test'!AQ471,NA())</f>
        <v>2.926890565569622</v>
      </c>
      <c r="D478">
        <f>IF('Lab test'!AU471&gt;0,'Lab test'!AU471,NA())</f>
        <v>7.9947101535250295E-2</v>
      </c>
      <c r="E478">
        <f t="shared" si="23"/>
        <v>12.707562262278488</v>
      </c>
    </row>
    <row r="479" spans="2:5">
      <c r="B479">
        <v>469</v>
      </c>
      <c r="C479">
        <f>IF('Lab test'!AQ472&gt;0,'Lab test'!AQ472,NA())</f>
        <v>2.6116201014986458</v>
      </c>
      <c r="D479">
        <f>IF('Lab test'!AU472&gt;0,'Lab test'!AU472,NA())</f>
        <v>8.6441010463035081E-2</v>
      </c>
      <c r="E479">
        <f t="shared" si="23"/>
        <v>11.446480405994583</v>
      </c>
    </row>
    <row r="480" spans="2:5">
      <c r="B480">
        <v>470</v>
      </c>
      <c r="C480">
        <f>IF('Lab test'!AQ473&gt;0,'Lab test'!AQ473,NA())</f>
        <v>2.7974133101936434</v>
      </c>
      <c r="D480">
        <f>IF('Lab test'!AU473&gt;0,'Lab test'!AU473,NA())</f>
        <v>7.8223179068827683E-2</v>
      </c>
      <c r="E480">
        <f t="shared" si="23"/>
        <v>12.189653240774573</v>
      </c>
    </row>
    <row r="481" spans="2:5">
      <c r="B481">
        <v>471</v>
      </c>
      <c r="C481">
        <f>IF('Lab test'!AQ474&gt;0,'Lab test'!AQ474,NA())</f>
        <v>2.764820974673293</v>
      </c>
      <c r="D481">
        <f>IF('Lab test'!AU474&gt;0,'Lab test'!AU474,NA())</f>
        <v>7.5610290476078437E-2</v>
      </c>
      <c r="E481">
        <f t="shared" si="23"/>
        <v>12.059283898693172</v>
      </c>
    </row>
    <row r="482" spans="2:5">
      <c r="B482">
        <v>472</v>
      </c>
      <c r="C482">
        <f>IF('Lab test'!AQ475&gt;0,'Lab test'!AQ475,NA())</f>
        <v>2.7887007486023769</v>
      </c>
      <c r="D482">
        <f>IF('Lab test'!AU475&gt;0,'Lab test'!AU475,NA())</f>
        <v>7.8925050521305329E-2</v>
      </c>
      <c r="E482">
        <f t="shared" si="23"/>
        <v>12.154802994409508</v>
      </c>
    </row>
    <row r="483" spans="2:5">
      <c r="B483">
        <v>473</v>
      </c>
      <c r="C483" t="e">
        <f>IF('Lab test'!AQ476&gt;0,'Lab test'!AQ476,NA())</f>
        <v>#N/A</v>
      </c>
      <c r="D483" t="e">
        <f>IF('Lab test'!AU476&gt;0,'Lab test'!AU476,NA())</f>
        <v>#N/A</v>
      </c>
      <c r="E483" t="e">
        <f t="shared" si="23"/>
        <v>#N/A</v>
      </c>
    </row>
    <row r="484" spans="2:5">
      <c r="B484">
        <v>474</v>
      </c>
      <c r="C484" t="e">
        <f>IF('Lab test'!AQ477&gt;0,'Lab test'!AQ477,NA())</f>
        <v>#N/A</v>
      </c>
      <c r="D484" t="e">
        <f>IF('Lab test'!AU477&gt;0,'Lab test'!AU477,NA())</f>
        <v>#N/A</v>
      </c>
      <c r="E484" t="e">
        <f t="shared" si="23"/>
        <v>#N/A</v>
      </c>
    </row>
    <row r="485" spans="2:5">
      <c r="B485">
        <v>475</v>
      </c>
      <c r="C485" t="e">
        <f>IF('Lab test'!AQ478&gt;0,'Lab test'!AQ478,NA())</f>
        <v>#N/A</v>
      </c>
      <c r="D485" t="e">
        <f>IF('Lab test'!AU478&gt;0,'Lab test'!AU478,NA())</f>
        <v>#N/A</v>
      </c>
      <c r="E485" t="e">
        <f t="shared" si="23"/>
        <v>#N/A</v>
      </c>
    </row>
    <row r="486" spans="2:5">
      <c r="B486">
        <v>476</v>
      </c>
      <c r="C486" t="e">
        <f>IF('Lab test'!AQ479&gt;0,'Lab test'!AQ479,NA())</f>
        <v>#N/A</v>
      </c>
      <c r="D486" t="e">
        <f>IF('Lab test'!AU479&gt;0,'Lab test'!AU479,NA())</f>
        <v>#N/A</v>
      </c>
      <c r="E486" t="e">
        <f t="shared" si="23"/>
        <v>#N/A</v>
      </c>
    </row>
    <row r="487" spans="2:5">
      <c r="B487">
        <v>477</v>
      </c>
      <c r="C487" t="e">
        <f>IF('Lab test'!AQ480&gt;0,'Lab test'!AQ480,NA())</f>
        <v>#N/A</v>
      </c>
      <c r="D487" t="e">
        <f>IF('Lab test'!AU480&gt;0,'Lab test'!AU480,NA())</f>
        <v>#N/A</v>
      </c>
      <c r="E487" t="e">
        <f t="shared" si="23"/>
        <v>#N/A</v>
      </c>
    </row>
    <row r="488" spans="2:5">
      <c r="B488">
        <v>478</v>
      </c>
      <c r="C488" t="e">
        <f>IF('Lab test'!AQ481&gt;0,'Lab test'!AQ481,NA())</f>
        <v>#N/A</v>
      </c>
      <c r="D488" t="e">
        <f>IF('Lab test'!AU481&gt;0,'Lab test'!AU481,NA())</f>
        <v>#N/A</v>
      </c>
      <c r="E488" t="e">
        <f t="shared" si="23"/>
        <v>#N/A</v>
      </c>
    </row>
    <row r="489" spans="2:5">
      <c r="B489">
        <v>479</v>
      </c>
      <c r="C489" t="e">
        <f>IF('Lab test'!AQ482&gt;0,'Lab test'!AQ482,NA())</f>
        <v>#N/A</v>
      </c>
      <c r="D489" t="e">
        <f>IF('Lab test'!AU482&gt;0,'Lab test'!AU482,NA())</f>
        <v>#N/A</v>
      </c>
      <c r="E489" t="e">
        <f t="shared" si="23"/>
        <v>#N/A</v>
      </c>
    </row>
    <row r="490" spans="2:5">
      <c r="B490">
        <v>480</v>
      </c>
      <c r="C490" t="e">
        <f>IF('Lab test'!AQ483&gt;0,'Lab test'!AQ483,NA())</f>
        <v>#N/A</v>
      </c>
      <c r="D490" t="e">
        <f>IF('Lab test'!AU483&gt;0,'Lab test'!AU483,NA())</f>
        <v>#N/A</v>
      </c>
      <c r="E490" t="e">
        <f t="shared" si="23"/>
        <v>#N/A</v>
      </c>
    </row>
    <row r="491" spans="2:5">
      <c r="B491">
        <v>481</v>
      </c>
      <c r="C491" t="e">
        <f>IF('Lab test'!AQ484&gt;0,'Lab test'!AQ484,NA())</f>
        <v>#N/A</v>
      </c>
      <c r="D491" t="e">
        <f>IF('Lab test'!AU484&gt;0,'Lab test'!AU484,NA())</f>
        <v>#N/A</v>
      </c>
      <c r="E491" t="e">
        <f t="shared" si="23"/>
        <v>#N/A</v>
      </c>
    </row>
    <row r="492" spans="2:5">
      <c r="B492">
        <v>482</v>
      </c>
      <c r="C492" t="e">
        <f>IF('Lab test'!AQ485&gt;0,'Lab test'!AQ485,NA())</f>
        <v>#N/A</v>
      </c>
      <c r="D492" t="e">
        <f>IF('Lab test'!AU485&gt;0,'Lab test'!AU485,NA())</f>
        <v>#N/A</v>
      </c>
      <c r="E492" t="e">
        <f t="shared" si="23"/>
        <v>#N/A</v>
      </c>
    </row>
    <row r="493" spans="2:5">
      <c r="B493">
        <v>483</v>
      </c>
      <c r="C493" t="e">
        <f>IF('Lab test'!AQ486&gt;0,'Lab test'!AQ486,NA())</f>
        <v>#N/A</v>
      </c>
      <c r="D493" t="e">
        <f>IF('Lab test'!AU486&gt;0,'Lab test'!AU486,NA())</f>
        <v>#N/A</v>
      </c>
      <c r="E493" t="e">
        <f t="shared" si="23"/>
        <v>#N/A</v>
      </c>
    </row>
    <row r="494" spans="2:5">
      <c r="B494">
        <v>484</v>
      </c>
      <c r="C494" t="e">
        <f>IF('Lab test'!AQ487&gt;0,'Lab test'!AQ487,NA())</f>
        <v>#N/A</v>
      </c>
      <c r="D494" t="e">
        <f>IF('Lab test'!AU487&gt;0,'Lab test'!AU487,NA())</f>
        <v>#N/A</v>
      </c>
      <c r="E494" t="e">
        <f t="shared" si="23"/>
        <v>#N/A</v>
      </c>
    </row>
    <row r="495" spans="2:5">
      <c r="B495">
        <v>485</v>
      </c>
      <c r="C495" t="e">
        <f>IF('Lab test'!AQ488&gt;0,'Lab test'!AQ488,NA())</f>
        <v>#N/A</v>
      </c>
      <c r="D495" t="e">
        <f>IF('Lab test'!AU488&gt;0,'Lab test'!AU488,NA())</f>
        <v>#N/A</v>
      </c>
      <c r="E495" t="e">
        <f t="shared" si="23"/>
        <v>#N/A</v>
      </c>
    </row>
    <row r="496" spans="2:5">
      <c r="B496">
        <v>486</v>
      </c>
      <c r="C496" t="e">
        <f>IF('Lab test'!AQ489&gt;0,'Lab test'!AQ489,NA())</f>
        <v>#N/A</v>
      </c>
      <c r="D496" t="e">
        <f>IF('Lab test'!AU489&gt;0,'Lab test'!AU489,NA())</f>
        <v>#N/A</v>
      </c>
      <c r="E496" t="e">
        <f t="shared" si="23"/>
        <v>#N/A</v>
      </c>
    </row>
    <row r="497" spans="2:5">
      <c r="B497">
        <v>487</v>
      </c>
      <c r="C497" t="e">
        <f>IF('Lab test'!AQ490&gt;0,'Lab test'!AQ490,NA())</f>
        <v>#N/A</v>
      </c>
      <c r="D497" t="e">
        <f>IF('Lab test'!AU490&gt;0,'Lab test'!AU490,NA())</f>
        <v>#N/A</v>
      </c>
      <c r="E497" t="e">
        <f t="shared" si="23"/>
        <v>#N/A</v>
      </c>
    </row>
    <row r="498" spans="2:5">
      <c r="B498">
        <v>488</v>
      </c>
      <c r="C498" t="e">
        <f>IF('Lab test'!AQ491&gt;0,'Lab test'!AQ491,NA())</f>
        <v>#N/A</v>
      </c>
      <c r="D498" t="e">
        <f>IF('Lab test'!AU491&gt;0,'Lab test'!AU491,NA())</f>
        <v>#N/A</v>
      </c>
      <c r="E498" t="e">
        <f t="shared" si="23"/>
        <v>#N/A</v>
      </c>
    </row>
    <row r="499" spans="2:5">
      <c r="B499">
        <v>489</v>
      </c>
      <c r="C499" t="e">
        <f>IF('Lab test'!AQ492&gt;0,'Lab test'!AQ492,NA())</f>
        <v>#N/A</v>
      </c>
      <c r="D499" t="e">
        <f>IF('Lab test'!AU492&gt;0,'Lab test'!AU492,NA())</f>
        <v>#N/A</v>
      </c>
      <c r="E499" t="e">
        <f t="shared" si="23"/>
        <v>#N/A</v>
      </c>
    </row>
    <row r="500" spans="2:5">
      <c r="B500">
        <v>490</v>
      </c>
      <c r="C500" t="e">
        <f>IF('Lab test'!AQ493&gt;0,'Lab test'!AQ493,NA())</f>
        <v>#N/A</v>
      </c>
      <c r="D500" t="e">
        <f>IF('Lab test'!AU493&gt;0,'Lab test'!AU493,NA())</f>
        <v>#N/A</v>
      </c>
      <c r="E500" t="e">
        <f t="shared" si="23"/>
        <v>#N/A</v>
      </c>
    </row>
    <row r="501" spans="2:5">
      <c r="B501">
        <v>491</v>
      </c>
      <c r="C501" t="e">
        <f>IF('Lab test'!AQ494&gt;0,'Lab test'!AQ494,NA())</f>
        <v>#N/A</v>
      </c>
      <c r="D501" t="e">
        <f>IF('Lab test'!AU494&gt;0,'Lab test'!AU494,NA())</f>
        <v>#N/A</v>
      </c>
      <c r="E501" t="e">
        <f t="shared" si="23"/>
        <v>#N/A</v>
      </c>
    </row>
    <row r="502" spans="2:5">
      <c r="B502">
        <v>492</v>
      </c>
      <c r="C502" t="e">
        <f>IF('Lab test'!AQ495&gt;0,'Lab test'!AQ495,NA())</f>
        <v>#N/A</v>
      </c>
      <c r="D502" t="e">
        <f>IF('Lab test'!AU495&gt;0,'Lab test'!AU495,NA())</f>
        <v>#N/A</v>
      </c>
      <c r="E502" t="e">
        <f t="shared" si="23"/>
        <v>#N/A</v>
      </c>
    </row>
    <row r="503" spans="2:5">
      <c r="B503">
        <v>493</v>
      </c>
      <c r="C503">
        <f>IF('Lab test'!AQ496&gt;0,'Lab test'!AQ496,NA())</f>
        <v>0.46423445597154384</v>
      </c>
      <c r="D503">
        <f>IF('Lab test'!AU496&gt;0,'Lab test'!AU496,NA())</f>
        <v>0.82962962962962961</v>
      </c>
      <c r="E503">
        <f t="shared" si="23"/>
        <v>2.8569378238861756</v>
      </c>
    </row>
    <row r="504" spans="2:5">
      <c r="B504">
        <v>494</v>
      </c>
      <c r="C504">
        <f>IF('Lab test'!AQ497&gt;0,'Lab test'!AQ497,NA())</f>
        <v>0.55074084596637307</v>
      </c>
      <c r="D504">
        <f>IF('Lab test'!AU497&gt;0,'Lab test'!AU497,NA())</f>
        <v>0.9</v>
      </c>
      <c r="E504">
        <f t="shared" si="23"/>
        <v>3.2029633838654923</v>
      </c>
    </row>
    <row r="505" spans="2:5">
      <c r="B505">
        <v>495</v>
      </c>
      <c r="C505">
        <f>IF('Lab test'!AQ498&gt;0,'Lab test'!AQ498,NA())</f>
        <v>0.46423445597154384</v>
      </c>
      <c r="D505">
        <f>IF('Lab test'!AU498&gt;0,'Lab test'!AU498,NA())</f>
        <v>0.81481481481481477</v>
      </c>
      <c r="E505">
        <f t="shared" si="23"/>
        <v>2.8569378238861756</v>
      </c>
    </row>
    <row r="506" spans="2:5">
      <c r="B506">
        <v>496</v>
      </c>
      <c r="C506">
        <f>IF('Lab test'!AQ499&gt;0,'Lab test'!AQ499,NA())</f>
        <v>0.55074084596637307</v>
      </c>
      <c r="D506">
        <f>IF('Lab test'!AU499&gt;0,'Lab test'!AU499,NA())</f>
        <v>0.88500000000000001</v>
      </c>
      <c r="E506">
        <f t="shared" si="23"/>
        <v>3.2029633838654923</v>
      </c>
    </row>
    <row r="507" spans="2:5">
      <c r="B507">
        <v>497</v>
      </c>
      <c r="C507">
        <f>IF('Lab test'!AQ500&gt;0,'Lab test'!AQ500,NA())</f>
        <v>0.42378613917792241</v>
      </c>
      <c r="D507">
        <f>IF('Lab test'!AU500&gt;0,'Lab test'!AU500,NA())</f>
        <v>0.80888888888888888</v>
      </c>
      <c r="E507">
        <f t="shared" si="23"/>
        <v>2.6951445567116896</v>
      </c>
    </row>
    <row r="508" spans="2:5">
      <c r="B508">
        <v>498</v>
      </c>
      <c r="C508">
        <f>IF('Lab test'!AQ501&gt;0,'Lab test'!AQ501,NA())</f>
        <v>0.54783454153201261</v>
      </c>
      <c r="D508">
        <f>IF('Lab test'!AU501&gt;0,'Lab test'!AU501,NA())</f>
        <v>0.91249999999999998</v>
      </c>
      <c r="E508">
        <f t="shared" si="23"/>
        <v>3.1913381661280504</v>
      </c>
    </row>
    <row r="509" spans="2:5">
      <c r="B509">
        <v>499</v>
      </c>
      <c r="C509">
        <f>IF('Lab test'!AQ502&gt;0,'Lab test'!AQ502,NA())</f>
        <v>0.58243833816776025</v>
      </c>
      <c r="D509">
        <f>IF('Lab test'!AU502&gt;0,'Lab test'!AU502,NA())</f>
        <v>0.87058823529411766</v>
      </c>
      <c r="E509">
        <f t="shared" si="23"/>
        <v>3.329753352671041</v>
      </c>
    </row>
    <row r="510" spans="2:5">
      <c r="B510">
        <v>500</v>
      </c>
      <c r="C510">
        <f>IF('Lab test'!AQ503&gt;0,'Lab test'!AQ503,NA())</f>
        <v>0.56589512312144497</v>
      </c>
      <c r="D510">
        <f>IF('Lab test'!AU503&gt;0,'Lab test'!AU503,NA())</f>
        <v>0.91176470588235292</v>
      </c>
      <c r="E510">
        <f t="shared" si="23"/>
        <v>3.2635804924857799</v>
      </c>
    </row>
    <row r="511" spans="2:5">
      <c r="B511">
        <v>501</v>
      </c>
      <c r="C511">
        <f>IF('Lab test'!AQ504&gt;0,'Lab test'!AQ504,NA())</f>
        <v>0.58243833816776025</v>
      </c>
      <c r="D511">
        <f>IF('Lab test'!AU504&gt;0,'Lab test'!AU504,NA())</f>
        <v>0.90352941176470591</v>
      </c>
      <c r="E511">
        <f t="shared" si="23"/>
        <v>3.329753352671041</v>
      </c>
    </row>
    <row r="512" spans="2:5">
      <c r="B512">
        <v>502</v>
      </c>
      <c r="C512">
        <f>IF('Lab test'!AQ505&gt;0,'Lab test'!AQ505,NA())</f>
        <v>0.50775797138340706</v>
      </c>
      <c r="D512">
        <f>IF('Lab test'!AU505&gt;0,'Lab test'!AU505,NA())</f>
        <v>0.88823529411764701</v>
      </c>
      <c r="E512">
        <f t="shared" si="23"/>
        <v>3.0310318855336282</v>
      </c>
    </row>
    <row r="513" spans="2:5">
      <c r="B513">
        <v>503</v>
      </c>
      <c r="C513">
        <f>IF('Lab test'!AQ506&gt;0,'Lab test'!AQ506,NA())</f>
        <v>0.52094868673804884</v>
      </c>
      <c r="D513">
        <f>IF('Lab test'!AU506&gt;0,'Lab test'!AU506,NA())</f>
        <v>0.8529411764705882</v>
      </c>
      <c r="E513">
        <f t="shared" si="23"/>
        <v>3.0837947469521954</v>
      </c>
    </row>
    <row r="514" spans="2:5">
      <c r="B514">
        <v>504</v>
      </c>
      <c r="C514">
        <f>IF('Lab test'!AQ507&gt;0,'Lab test'!AQ507,NA())</f>
        <v>0.24129977859268206</v>
      </c>
      <c r="D514">
        <f>IF('Lab test'!AU507&gt;0,'Lab test'!AU507,NA())</f>
        <v>1.3702623906705538</v>
      </c>
      <c r="E514">
        <f t="shared" si="23"/>
        <v>1.9651991143707281</v>
      </c>
    </row>
    <row r="515" spans="2:5">
      <c r="B515">
        <v>505</v>
      </c>
      <c r="C515">
        <f>IF('Lab test'!AQ508&gt;0,'Lab test'!AQ508,NA())</f>
        <v>0.25647540059121776</v>
      </c>
      <c r="D515">
        <f>IF('Lab test'!AU508&gt;0,'Lab test'!AU508,NA())</f>
        <v>1.296774193548387</v>
      </c>
      <c r="E515">
        <f t="shared" si="23"/>
        <v>2.025901602364871</v>
      </c>
    </row>
    <row r="516" spans="2:5">
      <c r="B516">
        <v>506</v>
      </c>
      <c r="C516">
        <f>IF('Lab test'!AQ509&gt;0,'Lab test'!AQ509,NA())</f>
        <v>0.26341393509354877</v>
      </c>
      <c r="D516">
        <f>IF('Lab test'!AU509&gt;0,'Lab test'!AU509,NA())</f>
        <v>1.1559633027522933</v>
      </c>
      <c r="E516">
        <f t="shared" si="23"/>
        <v>2.0536557403741948</v>
      </c>
    </row>
    <row r="517" spans="2:5">
      <c r="B517">
        <v>507</v>
      </c>
      <c r="C517">
        <f>IF('Lab test'!AQ510&gt;0,'Lab test'!AQ510,NA())</f>
        <v>0.22800685913256571</v>
      </c>
      <c r="D517">
        <f>IF('Lab test'!AU510&gt;0,'Lab test'!AU510,NA())</f>
        <v>1.546938775510204</v>
      </c>
      <c r="E517">
        <f t="shared" si="23"/>
        <v>1.9120274365302627</v>
      </c>
    </row>
    <row r="518" spans="2:5">
      <c r="B518">
        <v>508</v>
      </c>
      <c r="C518">
        <f>IF('Lab test'!AQ511&gt;0,'Lab test'!AQ511,NA())</f>
        <v>0.25894552565918427</v>
      </c>
      <c r="D518">
        <f>IF('Lab test'!AU511&gt;0,'Lab test'!AU511,NA())</f>
        <v>1.221518987341772</v>
      </c>
      <c r="E518">
        <f t="shared" si="23"/>
        <v>2.0357821026367371</v>
      </c>
    </row>
    <row r="519" spans="2:5">
      <c r="B519">
        <v>509</v>
      </c>
      <c r="C519">
        <f>IF('Lab test'!AQ512&gt;0,'Lab test'!AQ512,NA())</f>
        <v>0.21635534258758049</v>
      </c>
      <c r="D519">
        <f>IF('Lab test'!AU512&gt;0,'Lab test'!AU512,NA())</f>
        <v>1.4732547597461469</v>
      </c>
      <c r="E519">
        <f t="shared" si="23"/>
        <v>1.865421370350322</v>
      </c>
    </row>
    <row r="520" spans="2:5">
      <c r="B520">
        <v>510</v>
      </c>
      <c r="C520">
        <f>IF('Lab test'!AQ513&gt;0,'Lab test'!AQ513,NA())</f>
        <v>0.21655140546658899</v>
      </c>
      <c r="D520">
        <f>IF('Lab test'!AU513&gt;0,'Lab test'!AU513,NA())</f>
        <v>1.5882352941176472</v>
      </c>
      <c r="E520">
        <f t="shared" si="23"/>
        <v>1.8662056218663561</v>
      </c>
    </row>
    <row r="521" spans="2:5">
      <c r="B521">
        <v>511</v>
      </c>
      <c r="C521">
        <f>IF('Lab test'!AQ514&gt;0,'Lab test'!AQ514,NA())</f>
        <v>0.1998584534906761</v>
      </c>
      <c r="D521">
        <f>IF('Lab test'!AU514&gt;0,'Lab test'!AU514,NA())</f>
        <v>1.5214723926380367</v>
      </c>
      <c r="E521">
        <f t="shared" si="23"/>
        <v>1.7994338139627044</v>
      </c>
    </row>
    <row r="522" spans="2:5">
      <c r="B522">
        <v>512</v>
      </c>
      <c r="C522">
        <f>IF('Lab test'!AQ515&gt;0,'Lab test'!AQ515,NA())</f>
        <v>0.28470595517876596</v>
      </c>
      <c r="D522">
        <f>IF('Lab test'!AU515&gt;0,'Lab test'!AU515,NA())</f>
        <v>1.2041884816753927</v>
      </c>
      <c r="E522">
        <f t="shared" si="23"/>
        <v>2.1388238207150638</v>
      </c>
    </row>
    <row r="523" spans="2:5">
      <c r="B523">
        <v>513</v>
      </c>
      <c r="C523">
        <f>IF('Lab test'!AQ516&gt;0,'Lab test'!AQ516,NA())</f>
        <v>0.27095858726259175</v>
      </c>
      <c r="D523">
        <f>IF('Lab test'!AU516&gt;0,'Lab test'!AU516,NA())</f>
        <v>1.3179190751445087</v>
      </c>
      <c r="E523">
        <f t="shared" si="23"/>
        <v>2.0838343490503668</v>
      </c>
    </row>
    <row r="524" spans="2:5">
      <c r="B524">
        <v>514</v>
      </c>
      <c r="C524">
        <f>IF('Lab test'!AQ517&gt;0,'Lab test'!AQ517,NA())</f>
        <v>0.26661665377238258</v>
      </c>
      <c r="D524">
        <f>IF('Lab test'!AU517&gt;0,'Lab test'!AU517,NA())</f>
        <v>1.3134328358208955</v>
      </c>
      <c r="E524">
        <f t="shared" ref="E524:E587" si="24">C524*4+1</f>
        <v>2.0664666150895306</v>
      </c>
    </row>
    <row r="525" spans="2:5">
      <c r="B525">
        <v>515</v>
      </c>
      <c r="C525">
        <f>IF('Lab test'!AQ518&gt;0,'Lab test'!AQ518,NA())</f>
        <v>0.29495570336891813</v>
      </c>
      <c r="D525">
        <f>IF('Lab test'!AU518&gt;0,'Lab test'!AU518,NA())</f>
        <v>1.0780487804878049</v>
      </c>
      <c r="E525">
        <f t="shared" si="24"/>
        <v>2.1798228134756723</v>
      </c>
    </row>
    <row r="526" spans="2:5">
      <c r="B526">
        <v>516</v>
      </c>
      <c r="C526">
        <f>IF('Lab test'!AQ519&gt;0,'Lab test'!AQ519,NA())</f>
        <v>0.29495570336891813</v>
      </c>
      <c r="D526">
        <f>IF('Lab test'!AU519&gt;0,'Lab test'!AU519,NA())</f>
        <v>1.1219512195121952</v>
      </c>
      <c r="E526">
        <f t="shared" si="24"/>
        <v>2.1798228134756723</v>
      </c>
    </row>
    <row r="527" spans="2:5">
      <c r="B527">
        <v>517</v>
      </c>
      <c r="C527">
        <f>IF('Lab test'!AQ520&gt;0,'Lab test'!AQ520,NA())</f>
        <v>0.27561724240749319</v>
      </c>
      <c r="D527">
        <f>IF('Lab test'!AU520&gt;0,'Lab test'!AU520,NA())</f>
        <v>1.240223463687151</v>
      </c>
      <c r="E527">
        <f t="shared" si="24"/>
        <v>2.1024689696299728</v>
      </c>
    </row>
    <row r="528" spans="2:5">
      <c r="B528">
        <v>518</v>
      </c>
      <c r="C528">
        <f>IF('Lab test'!AQ521&gt;0,'Lab test'!AQ521,NA())</f>
        <v>0.19641927636115525</v>
      </c>
      <c r="D528">
        <f>IF('Lab test'!AU521&gt;0,'Lab test'!AU521,NA())</f>
        <v>1.2529999999999999</v>
      </c>
      <c r="E528">
        <f t="shared" si="24"/>
        <v>1.785677105444621</v>
      </c>
    </row>
    <row r="529" spans="2:5">
      <c r="B529">
        <v>519</v>
      </c>
      <c r="C529">
        <f>IF('Lab test'!AQ522&gt;0,'Lab test'!AQ522,NA())</f>
        <v>0.19708753746486549</v>
      </c>
      <c r="D529">
        <f>IF('Lab test'!AU522&gt;0,'Lab test'!AU522,NA())</f>
        <v>1.2569999999999999</v>
      </c>
      <c r="E529">
        <f t="shared" si="24"/>
        <v>1.7883501498594621</v>
      </c>
    </row>
    <row r="530" spans="2:5">
      <c r="B530">
        <v>520</v>
      </c>
      <c r="C530">
        <f>IF('Lab test'!AQ523&gt;0,'Lab test'!AQ523,NA())</f>
        <v>0.25347229616623929</v>
      </c>
      <c r="D530">
        <f>IF('Lab test'!AU523&gt;0,'Lab test'!AU523,NA())</f>
        <v>1.135</v>
      </c>
      <c r="E530">
        <f t="shared" si="24"/>
        <v>2.0138891846649569</v>
      </c>
    </row>
    <row r="531" spans="2:5">
      <c r="B531">
        <v>521</v>
      </c>
      <c r="C531">
        <f>IF('Lab test'!AQ524&gt;0,'Lab test'!AQ524,NA())</f>
        <v>0.25355672553545666</v>
      </c>
      <c r="D531">
        <f>IF('Lab test'!AU524&gt;0,'Lab test'!AU524,NA())</f>
        <v>1.127</v>
      </c>
      <c r="E531">
        <f t="shared" si="24"/>
        <v>2.0142269021418269</v>
      </c>
    </row>
    <row r="532" spans="2:5">
      <c r="B532">
        <v>522</v>
      </c>
      <c r="C532">
        <f>IF('Lab test'!AQ525&gt;0,'Lab test'!AQ525,NA())</f>
        <v>0.24994717144247963</v>
      </c>
      <c r="D532">
        <f>IF('Lab test'!AU525&gt;0,'Lab test'!AU525,NA())</f>
        <v>1.1080000000000001</v>
      </c>
      <c r="E532">
        <f t="shared" si="24"/>
        <v>1.9997886857699185</v>
      </c>
    </row>
    <row r="533" spans="2:5">
      <c r="B533">
        <v>523</v>
      </c>
      <c r="C533">
        <f>IF('Lab test'!AQ526&gt;0,'Lab test'!AQ526,NA())</f>
        <v>0.29835528985461507</v>
      </c>
      <c r="D533">
        <f>IF('Lab test'!AU526&gt;0,'Lab test'!AU526,NA())</f>
        <v>1.115</v>
      </c>
      <c r="E533">
        <f t="shared" si="24"/>
        <v>2.1934211594184605</v>
      </c>
    </row>
    <row r="534" spans="2:5">
      <c r="B534">
        <v>524</v>
      </c>
      <c r="C534">
        <f>IF('Lab test'!AQ527&gt;0,'Lab test'!AQ527,NA())</f>
        <v>0.29831572196480871</v>
      </c>
      <c r="D534">
        <f>IF('Lab test'!AU527&gt;0,'Lab test'!AU527,NA())</f>
        <v>1.1100000000000001</v>
      </c>
      <c r="E534">
        <f t="shared" si="24"/>
        <v>2.1932628878592348</v>
      </c>
    </row>
    <row r="535" spans="2:5">
      <c r="B535">
        <v>525</v>
      </c>
      <c r="C535">
        <f>IF('Lab test'!AQ528&gt;0,'Lab test'!AQ528,NA())</f>
        <v>0.33020640121242489</v>
      </c>
      <c r="D535">
        <f>IF('Lab test'!AU528&gt;0,'Lab test'!AU528,NA())</f>
        <v>1.052</v>
      </c>
      <c r="E535">
        <f t="shared" si="24"/>
        <v>2.3208256048496994</v>
      </c>
    </row>
    <row r="536" spans="2:5">
      <c r="B536">
        <v>526</v>
      </c>
      <c r="C536">
        <f>IF('Lab test'!AQ529&gt;0,'Lab test'!AQ529,NA())</f>
        <v>0.3427884630065019</v>
      </c>
      <c r="D536">
        <f>IF('Lab test'!AU529&gt;0,'Lab test'!AU529,NA())</f>
        <v>1.0760000000000001</v>
      </c>
      <c r="E536">
        <f t="shared" si="24"/>
        <v>2.3711538520260076</v>
      </c>
    </row>
    <row r="537" spans="2:5">
      <c r="B537">
        <v>527</v>
      </c>
      <c r="C537">
        <f>IF('Lab test'!AQ530&gt;0,'Lab test'!AQ530,NA())</f>
        <v>0.34288490250275433</v>
      </c>
      <c r="D537">
        <f>IF('Lab test'!AU530&gt;0,'Lab test'!AU530,NA())</f>
        <v>1.069</v>
      </c>
      <c r="E537">
        <f t="shared" si="24"/>
        <v>2.3715396100110171</v>
      </c>
    </row>
    <row r="538" spans="2:5">
      <c r="B538">
        <v>528</v>
      </c>
      <c r="C538">
        <f>IF('Lab test'!AQ531&gt;0,'Lab test'!AQ531,NA())</f>
        <v>0.35500149749190096</v>
      </c>
      <c r="D538">
        <f>IF('Lab test'!AU531&gt;0,'Lab test'!AU531,NA())</f>
        <v>1.0189999999999999</v>
      </c>
      <c r="E538">
        <f t="shared" si="24"/>
        <v>2.4200059899676036</v>
      </c>
    </row>
    <row r="539" spans="2:5">
      <c r="B539">
        <v>529</v>
      </c>
      <c r="C539">
        <f>IF('Lab test'!AQ532&gt;0,'Lab test'!AQ532,NA())</f>
        <v>0.37213987056682507</v>
      </c>
      <c r="D539">
        <f>IF('Lab test'!AU532&gt;0,'Lab test'!AU532,NA())</f>
        <v>1.018</v>
      </c>
      <c r="E539">
        <f t="shared" si="24"/>
        <v>2.4885594822673003</v>
      </c>
    </row>
    <row r="540" spans="2:5">
      <c r="B540">
        <v>530</v>
      </c>
      <c r="C540">
        <f>IF('Lab test'!AQ533&gt;0,'Lab test'!AQ533,NA())</f>
        <v>0.38302528963221549</v>
      </c>
      <c r="D540">
        <f>IF('Lab test'!AU533&gt;0,'Lab test'!AU533,NA())</f>
        <v>0.94499999999999995</v>
      </c>
      <c r="E540">
        <f t="shared" si="24"/>
        <v>2.532101158528862</v>
      </c>
    </row>
    <row r="541" spans="2:5">
      <c r="B541">
        <v>531</v>
      </c>
      <c r="C541">
        <f>IF('Lab test'!AQ534&gt;0,'Lab test'!AQ534,NA())</f>
        <v>0.38368593487389618</v>
      </c>
      <c r="D541">
        <f>IF('Lab test'!AU534&gt;0,'Lab test'!AU534,NA())</f>
        <v>0.95899999999999996</v>
      </c>
      <c r="E541">
        <f t="shared" si="24"/>
        <v>2.5347437394955845</v>
      </c>
    </row>
    <row r="542" spans="2:5">
      <c r="B542">
        <v>532</v>
      </c>
      <c r="C542">
        <f>IF('Lab test'!AQ535&gt;0,'Lab test'!AQ535,NA())</f>
        <v>0.40707717152378514</v>
      </c>
      <c r="D542">
        <f>IF('Lab test'!AU535&gt;0,'Lab test'!AU535,NA())</f>
        <v>0.94599999999999995</v>
      </c>
      <c r="E542">
        <f t="shared" si="24"/>
        <v>2.6283086860951403</v>
      </c>
    </row>
    <row r="543" spans="2:5">
      <c r="B543">
        <v>533</v>
      </c>
      <c r="C543">
        <f>IF('Lab test'!AQ536&gt;0,'Lab test'!AQ536,NA())</f>
        <v>0.40363177156377028</v>
      </c>
      <c r="D543">
        <f>IF('Lab test'!AU536&gt;0,'Lab test'!AU536,NA())</f>
        <v>0.91700000000000004</v>
      </c>
      <c r="E543">
        <f t="shared" si="24"/>
        <v>2.6145270862550811</v>
      </c>
    </row>
    <row r="544" spans="2:5">
      <c r="B544">
        <v>534</v>
      </c>
      <c r="C544">
        <f>IF('Lab test'!AQ537&gt;0,'Lab test'!AQ537,NA())</f>
        <v>0.38134422624060965</v>
      </c>
      <c r="D544">
        <f>IF('Lab test'!AU537&gt;0,'Lab test'!AU537,NA())</f>
        <v>1.2390000000000001</v>
      </c>
      <c r="E544">
        <f t="shared" si="24"/>
        <v>2.5253769049624388</v>
      </c>
    </row>
    <row r="545" spans="2:5">
      <c r="B545">
        <v>535</v>
      </c>
      <c r="C545">
        <f>IF('Lab test'!AQ538&gt;0,'Lab test'!AQ538,NA())</f>
        <v>0.38312299356921936</v>
      </c>
      <c r="D545">
        <f>IF('Lab test'!AU538&gt;0,'Lab test'!AU538,NA())</f>
        <v>1.234</v>
      </c>
      <c r="E545">
        <f t="shared" si="24"/>
        <v>2.5324919742768772</v>
      </c>
    </row>
    <row r="546" spans="2:5">
      <c r="B546">
        <v>536</v>
      </c>
      <c r="C546">
        <f>IF('Lab test'!AQ539&gt;0,'Lab test'!AQ539,NA())</f>
        <v>0.43752387395572567</v>
      </c>
      <c r="D546">
        <f>IF('Lab test'!AU539&gt;0,'Lab test'!AU539,NA())</f>
        <v>1.056</v>
      </c>
      <c r="E546">
        <f t="shared" si="24"/>
        <v>2.7500954958229027</v>
      </c>
    </row>
    <row r="547" spans="2:5">
      <c r="B547">
        <v>537</v>
      </c>
      <c r="C547">
        <f>IF('Lab test'!AQ540&gt;0,'Lab test'!AQ540,NA())</f>
        <v>0.43766903544548874</v>
      </c>
      <c r="D547">
        <f>IF('Lab test'!AU540&gt;0,'Lab test'!AU540,NA())</f>
        <v>1.054</v>
      </c>
      <c r="E547">
        <f t="shared" si="24"/>
        <v>2.750676141781955</v>
      </c>
    </row>
    <row r="548" spans="2:5">
      <c r="B548">
        <v>538</v>
      </c>
      <c r="C548">
        <f>IF('Lab test'!AQ541&gt;0,'Lab test'!AQ541,NA())</f>
        <v>0.45089153443557384</v>
      </c>
      <c r="D548">
        <f>IF('Lab test'!AU541&gt;0,'Lab test'!AU541,NA())</f>
        <v>1.1319999999999999</v>
      </c>
      <c r="E548">
        <f t="shared" si="24"/>
        <v>2.8035661377422953</v>
      </c>
    </row>
    <row r="549" spans="2:5">
      <c r="B549">
        <v>539</v>
      </c>
      <c r="C549">
        <f>IF('Lab test'!AQ542&gt;0,'Lab test'!AQ542,NA())</f>
        <v>0.45138823940454592</v>
      </c>
      <c r="D549">
        <f>IF('Lab test'!AU542&gt;0,'Lab test'!AU542,NA())</f>
        <v>1.1319999999999999</v>
      </c>
      <c r="E549">
        <f t="shared" si="24"/>
        <v>2.8055529576181835</v>
      </c>
    </row>
    <row r="550" spans="2:5">
      <c r="B550">
        <v>540</v>
      </c>
      <c r="C550">
        <f>IF('Lab test'!AQ543&gt;0,'Lab test'!AQ543,NA())</f>
        <v>0.20832510228242127</v>
      </c>
      <c r="D550">
        <f>IF('Lab test'!AU543&gt;0,'Lab test'!AU543,NA())</f>
        <v>1.756</v>
      </c>
      <c r="E550">
        <f t="shared" si="24"/>
        <v>1.8333004091296852</v>
      </c>
    </row>
    <row r="551" spans="2:5">
      <c r="B551">
        <v>541</v>
      </c>
      <c r="C551">
        <f>IF('Lab test'!AQ544&gt;0,'Lab test'!AQ544,NA())</f>
        <v>0.20714343166888258</v>
      </c>
      <c r="D551">
        <f>IF('Lab test'!AU544&gt;0,'Lab test'!AU544,NA())</f>
        <v>1.6830000000000001</v>
      </c>
      <c r="E551">
        <f t="shared" si="24"/>
        <v>1.8285737266755304</v>
      </c>
    </row>
    <row r="552" spans="2:5">
      <c r="B552">
        <v>542</v>
      </c>
      <c r="C552">
        <f>IF('Lab test'!AQ545&gt;0,'Lab test'!AQ545,NA())</f>
        <v>0.23132968880070068</v>
      </c>
      <c r="D552">
        <f>IF('Lab test'!AU545&gt;0,'Lab test'!AU545,NA())</f>
        <v>1.494</v>
      </c>
      <c r="E552">
        <f t="shared" si="24"/>
        <v>1.9253187552028028</v>
      </c>
    </row>
    <row r="553" spans="2:5">
      <c r="B553">
        <v>543</v>
      </c>
      <c r="C553">
        <f>IF('Lab test'!AQ546&gt;0,'Lab test'!AQ546,NA())</f>
        <v>0.25965655543785615</v>
      </c>
      <c r="D553">
        <f>IF('Lab test'!AU546&gt;0,'Lab test'!AU546,NA())</f>
        <v>1.4159999999999999</v>
      </c>
      <c r="E553">
        <f t="shared" si="24"/>
        <v>2.0386262217514246</v>
      </c>
    </row>
    <row r="554" spans="2:5">
      <c r="B554">
        <v>544</v>
      </c>
      <c r="C554">
        <f>IF('Lab test'!AQ547&gt;0,'Lab test'!AQ547,NA())</f>
        <v>0.26029836722590582</v>
      </c>
      <c r="D554">
        <f>IF('Lab test'!AU547&gt;0,'Lab test'!AU547,NA())</f>
        <v>1.423</v>
      </c>
      <c r="E554">
        <f t="shared" si="24"/>
        <v>2.0411934689036233</v>
      </c>
    </row>
    <row r="555" spans="2:5">
      <c r="B555">
        <v>545</v>
      </c>
      <c r="C555">
        <f>IF('Lab test'!AQ548&gt;0,'Lab test'!AQ548,NA())</f>
        <v>0.28801808700427434</v>
      </c>
      <c r="D555">
        <f>IF('Lab test'!AU548&gt;0,'Lab test'!AU548,NA())</f>
        <v>1.3240000000000001</v>
      </c>
      <c r="E555">
        <f t="shared" si="24"/>
        <v>2.1520723480170973</v>
      </c>
    </row>
    <row r="556" spans="2:5">
      <c r="B556">
        <v>546</v>
      </c>
      <c r="C556">
        <f>IF('Lab test'!AQ549&gt;0,'Lab test'!AQ549,NA())</f>
        <v>0.27812101617518964</v>
      </c>
      <c r="D556">
        <f>IF('Lab test'!AU549&gt;0,'Lab test'!AU549,NA())</f>
        <v>1.431</v>
      </c>
      <c r="E556">
        <f t="shared" si="24"/>
        <v>2.1124840647007588</v>
      </c>
    </row>
    <row r="557" spans="2:5">
      <c r="B557">
        <v>547</v>
      </c>
      <c r="C557">
        <f>IF('Lab test'!AQ550&gt;0,'Lab test'!AQ550,NA())</f>
        <v>0.28948922286141932</v>
      </c>
      <c r="D557">
        <f>IF('Lab test'!AU550&gt;0,'Lab test'!AU550,NA())</f>
        <v>1.35</v>
      </c>
      <c r="E557">
        <f t="shared" si="24"/>
        <v>2.1579568914456773</v>
      </c>
    </row>
    <row r="558" spans="2:5">
      <c r="B558">
        <v>548</v>
      </c>
      <c r="C558">
        <f>IF('Lab test'!AQ551&gt;0,'Lab test'!AQ551,NA())</f>
        <v>0.27864177175816857</v>
      </c>
      <c r="D558">
        <f>IF('Lab test'!AU551&gt;0,'Lab test'!AU551,NA())</f>
        <v>1.413</v>
      </c>
      <c r="E558">
        <f t="shared" si="24"/>
        <v>2.1145670870326745</v>
      </c>
    </row>
    <row r="559" spans="2:5">
      <c r="B559">
        <v>549</v>
      </c>
      <c r="C559">
        <f>IF('Lab test'!AQ552&gt;0,'Lab test'!AQ552,NA())</f>
        <v>0.32329722449730114</v>
      </c>
      <c r="D559">
        <f>IF('Lab test'!AU552&gt;0,'Lab test'!AU552,NA())</f>
        <v>1.3280000000000001</v>
      </c>
      <c r="E559">
        <f t="shared" si="24"/>
        <v>2.2931888979892046</v>
      </c>
    </row>
    <row r="560" spans="2:5">
      <c r="B560">
        <v>550</v>
      </c>
      <c r="C560">
        <f>IF('Lab test'!AQ553&gt;0,'Lab test'!AQ553,NA())</f>
        <v>0.32329722449730114</v>
      </c>
      <c r="D560">
        <f>IF('Lab test'!AU553&gt;0,'Lab test'!AU553,NA())</f>
        <v>1.3280000000000001</v>
      </c>
      <c r="E560">
        <f t="shared" si="24"/>
        <v>2.2931888979892046</v>
      </c>
    </row>
    <row r="561" spans="2:5">
      <c r="B561">
        <v>551</v>
      </c>
      <c r="C561">
        <f>IF('Lab test'!AQ554&gt;0,'Lab test'!AQ554,NA())</f>
        <v>0.37636024351929254</v>
      </c>
      <c r="D561">
        <f>IF('Lab test'!AU554&gt;0,'Lab test'!AU554,NA())</f>
        <v>1.254</v>
      </c>
      <c r="E561">
        <f t="shared" si="24"/>
        <v>2.5054409740771701</v>
      </c>
    </row>
    <row r="562" spans="2:5">
      <c r="B562">
        <v>552</v>
      </c>
      <c r="C562">
        <f>IF('Lab test'!AQ555&gt;0,'Lab test'!AQ555,NA())</f>
        <v>0.37916969104399589</v>
      </c>
      <c r="D562">
        <f>IF('Lab test'!AU555&gt;0,'Lab test'!AU555,NA())</f>
        <v>1.2330000000000001</v>
      </c>
      <c r="E562">
        <f t="shared" si="24"/>
        <v>2.5166787641759836</v>
      </c>
    </row>
    <row r="563" spans="2:5">
      <c r="B563">
        <v>553</v>
      </c>
      <c r="C563">
        <f>IF('Lab test'!AQ556&gt;0,'Lab test'!AQ556,NA())</f>
        <v>0.39088439044414336</v>
      </c>
      <c r="D563">
        <f>IF('Lab test'!AU556&gt;0,'Lab test'!AU556,NA())</f>
        <v>1.198</v>
      </c>
      <c r="E563">
        <f t="shared" si="24"/>
        <v>2.5635375617765734</v>
      </c>
    </row>
    <row r="564" spans="2:5">
      <c r="B564">
        <v>554</v>
      </c>
      <c r="C564">
        <f>IF('Lab test'!AQ557&gt;0,'Lab test'!AQ557,NA())</f>
        <v>0.38997372249711054</v>
      </c>
      <c r="D564">
        <f>IF('Lab test'!AU557&gt;0,'Lab test'!AU557,NA())</f>
        <v>1.2110000000000001</v>
      </c>
      <c r="E564">
        <f t="shared" si="24"/>
        <v>2.5598948899884419</v>
      </c>
    </row>
    <row r="565" spans="2:5">
      <c r="B565">
        <v>555</v>
      </c>
      <c r="C565">
        <f>IF('Lab test'!AQ558&gt;0,'Lab test'!AQ558,NA())</f>
        <v>0.42425047498696711</v>
      </c>
      <c r="D565">
        <f>IF('Lab test'!AU558&gt;0,'Lab test'!AU558,NA())</f>
        <v>1.1779999999999999</v>
      </c>
      <c r="E565">
        <f t="shared" si="24"/>
        <v>2.6970018999478684</v>
      </c>
    </row>
    <row r="566" spans="2:5">
      <c r="B566">
        <v>556</v>
      </c>
      <c r="C566">
        <f>IF('Lab test'!AQ559&gt;0,'Lab test'!AQ559,NA())</f>
        <v>0.42342609902808787</v>
      </c>
      <c r="D566">
        <f>IF('Lab test'!AU559&gt;0,'Lab test'!AU559,NA())</f>
        <v>1.175</v>
      </c>
      <c r="E566">
        <f t="shared" si="24"/>
        <v>2.6937043961123512</v>
      </c>
    </row>
    <row r="567" spans="2:5">
      <c r="B567">
        <v>557</v>
      </c>
      <c r="C567">
        <f>IF('Lab test'!AQ560&gt;0,'Lab test'!AQ560,NA())</f>
        <v>0.43079623415356721</v>
      </c>
      <c r="D567">
        <f>IF('Lab test'!AU560&gt;0,'Lab test'!AU560,NA())</f>
        <v>1.1850000000000001</v>
      </c>
      <c r="E567">
        <f t="shared" si="24"/>
        <v>2.7231849366142686</v>
      </c>
    </row>
    <row r="568" spans="2:5">
      <c r="B568">
        <v>558</v>
      </c>
      <c r="C568">
        <f>IF('Lab test'!AQ561&gt;0,'Lab test'!AQ561,NA())</f>
        <v>0.43027148458141312</v>
      </c>
      <c r="D568">
        <f>IF('Lab test'!AU561&gt;0,'Lab test'!AU561,NA())</f>
        <v>1.1950000000000001</v>
      </c>
      <c r="E568">
        <f t="shared" si="24"/>
        <v>2.7210859383256523</v>
      </c>
    </row>
    <row r="569" spans="2:5">
      <c r="B569">
        <v>559</v>
      </c>
      <c r="C569">
        <f>IF('Lab test'!AQ562&gt;0,'Lab test'!AQ562,NA())</f>
        <v>0.43114690269690109</v>
      </c>
      <c r="D569">
        <f>IF('Lab test'!AU562&gt;0,'Lab test'!AU562,NA())</f>
        <v>1.1850000000000001</v>
      </c>
      <c r="E569">
        <f t="shared" si="24"/>
        <v>2.7245876107876041</v>
      </c>
    </row>
    <row r="570" spans="2:5">
      <c r="B570">
        <v>560</v>
      </c>
      <c r="C570">
        <f>IF('Lab test'!AQ563&gt;0,'Lab test'!AQ563,NA())</f>
        <v>0.43741115462777957</v>
      </c>
      <c r="D570">
        <f>IF('Lab test'!AU563&gt;0,'Lab test'!AU563,NA())</f>
        <v>1.1719999999999999</v>
      </c>
      <c r="E570">
        <f t="shared" si="24"/>
        <v>2.7496446185111183</v>
      </c>
    </row>
    <row r="571" spans="2:5">
      <c r="B571">
        <v>561</v>
      </c>
      <c r="C571">
        <f>IF('Lab test'!AQ564&gt;0,'Lab test'!AQ564,NA())</f>
        <v>0.45313135590429676</v>
      </c>
      <c r="D571">
        <f>IF('Lab test'!AU564&gt;0,'Lab test'!AU564,NA())</f>
        <v>1.145</v>
      </c>
      <c r="E571">
        <f t="shared" si="24"/>
        <v>2.812525423617187</v>
      </c>
    </row>
    <row r="572" spans="2:5">
      <c r="B572">
        <v>562</v>
      </c>
      <c r="C572">
        <f>IF('Lab test'!AQ565&gt;0,'Lab test'!AQ565,NA())</f>
        <v>0.45200557864972907</v>
      </c>
      <c r="D572">
        <f>IF('Lab test'!AU565&gt;0,'Lab test'!AU565,NA())</f>
        <v>1.141</v>
      </c>
      <c r="E572">
        <f t="shared" si="24"/>
        <v>2.808022314598916</v>
      </c>
    </row>
    <row r="573" spans="2:5">
      <c r="B573">
        <v>563</v>
      </c>
      <c r="C573">
        <f>IF('Lab test'!AQ566&gt;0,'Lab test'!AQ566,NA())</f>
        <v>0.50540328080046559</v>
      </c>
      <c r="D573">
        <f>IF('Lab test'!AU566&gt;0,'Lab test'!AU566,NA())</f>
        <v>1.038</v>
      </c>
      <c r="E573">
        <f t="shared" si="24"/>
        <v>3.0216131232018624</v>
      </c>
    </row>
    <row r="574" spans="2:5">
      <c r="B574">
        <v>564</v>
      </c>
      <c r="C574">
        <f>IF('Lab test'!AQ567&gt;0,'Lab test'!AQ567,NA())</f>
        <v>0.50745271177557061</v>
      </c>
      <c r="D574">
        <f>IF('Lab test'!AU567&gt;0,'Lab test'!AU567,NA())</f>
        <v>1.081</v>
      </c>
      <c r="E574">
        <f t="shared" si="24"/>
        <v>3.0298108471022824</v>
      </c>
    </row>
    <row r="575" spans="2:5">
      <c r="B575">
        <v>565</v>
      </c>
      <c r="C575">
        <f>IF('Lab test'!AQ568&gt;0,'Lab test'!AQ568,NA())</f>
        <v>0.50134190520437827</v>
      </c>
      <c r="D575">
        <f>IF('Lab test'!AU568&gt;0,'Lab test'!AU568,NA())</f>
        <v>1.109</v>
      </c>
      <c r="E575">
        <f t="shared" si="24"/>
        <v>3.0053676208175131</v>
      </c>
    </row>
    <row r="576" spans="2:5">
      <c r="B576">
        <v>566</v>
      </c>
      <c r="C576">
        <f>IF('Lab test'!AQ569&gt;0,'Lab test'!AQ569,NA())</f>
        <v>0.56685650811523136</v>
      </c>
      <c r="D576">
        <f>IF('Lab test'!AU569&gt;0,'Lab test'!AU569,NA())</f>
        <v>0.99399999999999999</v>
      </c>
      <c r="E576">
        <f t="shared" si="24"/>
        <v>3.2674260324609254</v>
      </c>
    </row>
    <row r="577" spans="2:5">
      <c r="B577">
        <v>567</v>
      </c>
      <c r="C577">
        <f>IF('Lab test'!AQ570&gt;0,'Lab test'!AQ570,NA())</f>
        <v>0.56733832443533361</v>
      </c>
      <c r="D577">
        <f>IF('Lab test'!AU570&gt;0,'Lab test'!AU570,NA())</f>
        <v>0.995</v>
      </c>
      <c r="E577">
        <f t="shared" si="24"/>
        <v>3.2693532977413344</v>
      </c>
    </row>
    <row r="578" spans="2:5">
      <c r="B578">
        <v>568</v>
      </c>
      <c r="C578" t="e">
        <f>IF('Lab test'!AQ571&gt;0,'Lab test'!AQ571,NA())</f>
        <v>#N/A</v>
      </c>
      <c r="D578" t="e">
        <f>IF('Lab test'!AU571&gt;0,'Lab test'!AU571,NA())</f>
        <v>#N/A</v>
      </c>
      <c r="E578" t="e">
        <f t="shared" si="24"/>
        <v>#N/A</v>
      </c>
    </row>
    <row r="579" spans="2:5">
      <c r="B579">
        <v>569</v>
      </c>
      <c r="C579" t="e">
        <f>IF('Lab test'!AQ572&gt;0,'Lab test'!AQ572,NA())</f>
        <v>#N/A</v>
      </c>
      <c r="D579" t="e">
        <f>IF('Lab test'!AU572&gt;0,'Lab test'!AU572,NA())</f>
        <v>#N/A</v>
      </c>
      <c r="E579" t="e">
        <f t="shared" si="24"/>
        <v>#N/A</v>
      </c>
    </row>
    <row r="580" spans="2:5">
      <c r="B580">
        <v>570</v>
      </c>
      <c r="C580">
        <f>IF('Lab test'!AQ573&gt;0,'Lab test'!AQ573,NA())</f>
        <v>0.65703084006372336</v>
      </c>
      <c r="D580">
        <f>IF('Lab test'!AU573&gt;0,'Lab test'!AU573,NA())</f>
        <v>0.61087866108786615</v>
      </c>
      <c r="E580">
        <f t="shared" si="24"/>
        <v>3.6281233602548935</v>
      </c>
    </row>
    <row r="581" spans="2:5">
      <c r="B581">
        <v>571</v>
      </c>
      <c r="C581">
        <f>IF('Lab test'!AQ574&gt;0,'Lab test'!AQ574,NA())</f>
        <v>0.59472075764221999</v>
      </c>
      <c r="D581">
        <f>IF('Lab test'!AU574&gt;0,'Lab test'!AU574,NA())</f>
        <v>0.60591133004926112</v>
      </c>
      <c r="E581">
        <f t="shared" si="24"/>
        <v>3.37888303056888</v>
      </c>
    </row>
    <row r="582" spans="2:5">
      <c r="B582">
        <v>572</v>
      </c>
      <c r="C582">
        <f>IF('Lab test'!AQ575&gt;0,'Lab test'!AQ575,NA())</f>
        <v>0.59472075764221999</v>
      </c>
      <c r="D582">
        <f>IF('Lab test'!AU575&gt;0,'Lab test'!AU575,NA())</f>
        <v>0.5714285714285714</v>
      </c>
      <c r="E582">
        <f t="shared" si="24"/>
        <v>3.37888303056888</v>
      </c>
    </row>
    <row r="583" spans="2:5">
      <c r="B583">
        <v>573</v>
      </c>
      <c r="C583">
        <f>IF('Lab test'!AQ576&gt;0,'Lab test'!AQ576,NA())</f>
        <v>0.67700045695184841</v>
      </c>
      <c r="D583">
        <f>IF('Lab test'!AU576&gt;0,'Lab test'!AU576,NA())</f>
        <v>0.60904255319148937</v>
      </c>
      <c r="E583">
        <f t="shared" si="24"/>
        <v>3.7080018278073936</v>
      </c>
    </row>
    <row r="584" spans="2:5">
      <c r="B584">
        <v>574</v>
      </c>
      <c r="C584">
        <f>IF('Lab test'!AQ577&gt;0,'Lab test'!AQ577,NA())</f>
        <v>0.74187580759138161</v>
      </c>
      <c r="D584">
        <f>IF('Lab test'!AU577&gt;0,'Lab test'!AU577,NA())</f>
        <v>0.57843137254901966</v>
      </c>
      <c r="E584">
        <f t="shared" si="24"/>
        <v>3.9675032303655264</v>
      </c>
    </row>
    <row r="585" spans="2:5">
      <c r="B585">
        <v>575</v>
      </c>
      <c r="C585" t="e">
        <f>IF('Lab test'!AQ578&gt;0,'Lab test'!AQ578,NA())</f>
        <v>#N/A</v>
      </c>
      <c r="D585" t="e">
        <f>IF('Lab test'!AU578&gt;0,'Lab test'!AU578,NA())</f>
        <v>#N/A</v>
      </c>
      <c r="E585" t="e">
        <f t="shared" si="24"/>
        <v>#N/A</v>
      </c>
    </row>
    <row r="586" spans="2:5">
      <c r="B586">
        <v>576</v>
      </c>
      <c r="C586" t="e">
        <f>IF('Lab test'!AQ579&gt;0,'Lab test'!AQ579,NA())</f>
        <v>#N/A</v>
      </c>
      <c r="D586" t="e">
        <f>IF('Lab test'!AU579&gt;0,'Lab test'!AU579,NA())</f>
        <v>#N/A</v>
      </c>
      <c r="E586" t="e">
        <f t="shared" si="24"/>
        <v>#N/A</v>
      </c>
    </row>
    <row r="587" spans="2:5">
      <c r="B587">
        <v>577</v>
      </c>
      <c r="C587" t="e">
        <f>IF('Lab test'!AQ580&gt;0,'Lab test'!AQ580,NA())</f>
        <v>#N/A</v>
      </c>
      <c r="D587" t="e">
        <f>IF('Lab test'!AU580&gt;0,'Lab test'!AU580,NA())</f>
        <v>#N/A</v>
      </c>
      <c r="E587" t="e">
        <f t="shared" si="24"/>
        <v>#N/A</v>
      </c>
    </row>
    <row r="588" spans="2:5">
      <c r="B588">
        <v>578</v>
      </c>
      <c r="C588" t="e">
        <f>IF('Lab test'!AQ581&gt;0,'Lab test'!AQ581,NA())</f>
        <v>#N/A</v>
      </c>
      <c r="D588" t="e">
        <f>IF('Lab test'!AU581&gt;0,'Lab test'!AU581,NA())</f>
        <v>#N/A</v>
      </c>
      <c r="E588" t="e">
        <f t="shared" ref="E588:E651" si="25">C588*4+1</f>
        <v>#N/A</v>
      </c>
    </row>
    <row r="589" spans="2:5">
      <c r="B589">
        <v>579</v>
      </c>
      <c r="C589" t="e">
        <f>IF('Lab test'!AQ582&gt;0,'Lab test'!AQ582,NA())</f>
        <v>#N/A</v>
      </c>
      <c r="D589" t="e">
        <f>IF('Lab test'!AU582&gt;0,'Lab test'!AU582,NA())</f>
        <v>#N/A</v>
      </c>
      <c r="E589" t="e">
        <f t="shared" si="25"/>
        <v>#N/A</v>
      </c>
    </row>
    <row r="590" spans="2:5">
      <c r="B590">
        <v>580</v>
      </c>
      <c r="C590" t="e">
        <f>IF('Lab test'!AQ583&gt;0,'Lab test'!AQ583,NA())</f>
        <v>#N/A</v>
      </c>
      <c r="D590" t="e">
        <f>IF('Lab test'!AU583&gt;0,'Lab test'!AU583,NA())</f>
        <v>#N/A</v>
      </c>
      <c r="E590" t="e">
        <f t="shared" si="25"/>
        <v>#N/A</v>
      </c>
    </row>
    <row r="591" spans="2:5">
      <c r="B591">
        <v>581</v>
      </c>
      <c r="C591" t="e">
        <f>IF('Lab test'!AQ584&gt;0,'Lab test'!AQ584,NA())</f>
        <v>#N/A</v>
      </c>
      <c r="D591" t="e">
        <f>IF('Lab test'!AU584&gt;0,'Lab test'!AU584,NA())</f>
        <v>#N/A</v>
      </c>
      <c r="E591" t="e">
        <f t="shared" si="25"/>
        <v>#N/A</v>
      </c>
    </row>
    <row r="592" spans="2:5">
      <c r="B592">
        <v>582</v>
      </c>
      <c r="C592" t="e">
        <f>IF('Lab test'!AQ585&gt;0,'Lab test'!AQ585,NA())</f>
        <v>#N/A</v>
      </c>
      <c r="D592" t="e">
        <f>IF('Lab test'!AU585&gt;0,'Lab test'!AU585,NA())</f>
        <v>#N/A</v>
      </c>
      <c r="E592" t="e">
        <f t="shared" si="25"/>
        <v>#N/A</v>
      </c>
    </row>
    <row r="593" spans="2:5">
      <c r="B593">
        <v>583</v>
      </c>
      <c r="C593" t="e">
        <f>IF('Lab test'!AQ586&gt;0,'Lab test'!AQ586,NA())</f>
        <v>#N/A</v>
      </c>
      <c r="D593" t="e">
        <f>IF('Lab test'!AU586&gt;0,'Lab test'!AU586,NA())</f>
        <v>#N/A</v>
      </c>
      <c r="E593" t="e">
        <f t="shared" si="25"/>
        <v>#N/A</v>
      </c>
    </row>
    <row r="594" spans="2:5">
      <c r="B594">
        <v>584</v>
      </c>
      <c r="C594" t="e">
        <f>IF('Lab test'!AQ587&gt;0,'Lab test'!AQ587,NA())</f>
        <v>#N/A</v>
      </c>
      <c r="D594" t="e">
        <f>IF('Lab test'!AU587&gt;0,'Lab test'!AU587,NA())</f>
        <v>#N/A</v>
      </c>
      <c r="E594" t="e">
        <f t="shared" si="25"/>
        <v>#N/A</v>
      </c>
    </row>
    <row r="595" spans="2:5">
      <c r="B595">
        <v>585</v>
      </c>
      <c r="C595" t="e">
        <f>IF('Lab test'!AQ588&gt;0,'Lab test'!AQ588,NA())</f>
        <v>#N/A</v>
      </c>
      <c r="D595" t="e">
        <f>IF('Lab test'!AU588&gt;0,'Lab test'!AU588,NA())</f>
        <v>#N/A</v>
      </c>
      <c r="E595" t="e">
        <f t="shared" si="25"/>
        <v>#N/A</v>
      </c>
    </row>
    <row r="596" spans="2:5">
      <c r="B596">
        <v>586</v>
      </c>
      <c r="C596">
        <f>IF('Lab test'!AQ589&gt;0,'Lab test'!AQ589,NA())</f>
        <v>1.6979927069158915</v>
      </c>
      <c r="D596">
        <f>IF('Lab test'!AU589&gt;0,'Lab test'!AU589,NA())</f>
        <v>6.8049186129352304E-2</v>
      </c>
      <c r="E596">
        <f t="shared" si="25"/>
        <v>7.7919708276635662</v>
      </c>
    </row>
    <row r="597" spans="2:5">
      <c r="B597">
        <v>587</v>
      </c>
      <c r="C597">
        <f>IF('Lab test'!AQ590&gt;0,'Lab test'!AQ590,NA())</f>
        <v>1.7160330855221739</v>
      </c>
      <c r="D597">
        <f>IF('Lab test'!AU590&gt;0,'Lab test'!AU590,NA())</f>
        <v>8.8463586674812938E-2</v>
      </c>
      <c r="E597">
        <f t="shared" si="25"/>
        <v>7.8641323420886957</v>
      </c>
    </row>
    <row r="598" spans="2:5">
      <c r="B598">
        <v>588</v>
      </c>
      <c r="C598">
        <f>IF('Lab test'!AQ591&gt;0,'Lab test'!AQ591,NA())</f>
        <v>1.7827465266850737</v>
      </c>
      <c r="D598">
        <f>IF('Lab test'!AU591&gt;0,'Lab test'!AU591,NA())</f>
        <v>8.6859004296075348E-2</v>
      </c>
      <c r="E598">
        <f t="shared" si="25"/>
        <v>8.1309861067402949</v>
      </c>
    </row>
    <row r="599" spans="2:5">
      <c r="B599">
        <v>589</v>
      </c>
      <c r="C599">
        <f>IF('Lab test'!AQ592&gt;0,'Lab test'!AQ592,NA())</f>
        <v>1.1699262352480448</v>
      </c>
      <c r="D599">
        <f>IF('Lab test'!AU592&gt;0,'Lab test'!AU592,NA())</f>
        <v>0.16166453715688101</v>
      </c>
      <c r="E599">
        <f t="shared" si="25"/>
        <v>5.6797049409921794</v>
      </c>
    </row>
    <row r="600" spans="2:5">
      <c r="B600">
        <v>590</v>
      </c>
      <c r="C600">
        <f>IF('Lab test'!AQ593&gt;0,'Lab test'!AQ593,NA())</f>
        <v>1.1071927501539178</v>
      </c>
      <c r="D600">
        <f>IF('Lab test'!AU593&gt;0,'Lab test'!AU593,NA())</f>
        <v>0.20237507600746862</v>
      </c>
      <c r="E600">
        <f t="shared" si="25"/>
        <v>5.4287710006156713</v>
      </c>
    </row>
    <row r="601" spans="2:5">
      <c r="B601">
        <v>591</v>
      </c>
      <c r="C601">
        <f>IF('Lab test'!AQ594&gt;0,'Lab test'!AQ594,NA())</f>
        <v>1.1027808496916107</v>
      </c>
      <c r="D601">
        <f>IF('Lab test'!AU594&gt;0,'Lab test'!AU594,NA())</f>
        <v>0.21007635078011105</v>
      </c>
      <c r="E601">
        <f t="shared" si="25"/>
        <v>5.4111233987664429</v>
      </c>
    </row>
    <row r="602" spans="2:5">
      <c r="B602">
        <v>592</v>
      </c>
      <c r="C602">
        <f>IF('Lab test'!AQ595&gt;0,'Lab test'!AQ595,NA())</f>
        <v>1.044830987952263</v>
      </c>
      <c r="D602">
        <f>IF('Lab test'!AU595&gt;0,'Lab test'!AU595,NA())</f>
        <v>0.21744061368289605</v>
      </c>
      <c r="E602">
        <f t="shared" si="25"/>
        <v>5.1793239518090521</v>
      </c>
    </row>
    <row r="603" spans="2:5">
      <c r="B603">
        <v>593</v>
      </c>
      <c r="C603">
        <f>IF('Lab test'!AQ596&gt;0,'Lab test'!AQ596,NA())</f>
        <v>1.0286412473130768</v>
      </c>
      <c r="D603">
        <f>IF('Lab test'!AU596&gt;0,'Lab test'!AU596,NA())</f>
        <v>0.21289086906615384</v>
      </c>
      <c r="E603">
        <f t="shared" si="25"/>
        <v>5.1145649892523073</v>
      </c>
    </row>
    <row r="604" spans="2:5">
      <c r="B604">
        <v>594</v>
      </c>
      <c r="C604">
        <f>IF('Lab test'!AQ597&gt;0,'Lab test'!AQ597,NA())</f>
        <v>0.88612731391844146</v>
      </c>
      <c r="D604">
        <f>IF('Lab test'!AU597&gt;0,'Lab test'!AU597,NA())</f>
        <v>0.43365045052971174</v>
      </c>
      <c r="E604">
        <f t="shared" si="25"/>
        <v>4.5445092556737663</v>
      </c>
    </row>
    <row r="605" spans="2:5">
      <c r="B605">
        <v>595</v>
      </c>
      <c r="C605">
        <f>IF('Lab test'!AQ598&gt;0,'Lab test'!AQ598,NA())</f>
        <v>0.78720599259469148</v>
      </c>
      <c r="D605">
        <f>IF('Lab test'!AU598&gt;0,'Lab test'!AU598,NA())</f>
        <v>0.49875947891637451</v>
      </c>
      <c r="E605">
        <f t="shared" si="25"/>
        <v>4.1488239703787659</v>
      </c>
    </row>
    <row r="606" spans="2:5">
      <c r="B606">
        <v>596</v>
      </c>
      <c r="C606">
        <f>IF('Lab test'!AQ599&gt;0,'Lab test'!AQ599,NA())</f>
        <v>0.7509519609161065</v>
      </c>
      <c r="D606">
        <f>IF('Lab test'!AU599&gt;0,'Lab test'!AU599,NA())</f>
        <v>0.53859593333860656</v>
      </c>
      <c r="E606">
        <f t="shared" si="25"/>
        <v>4.0038078436644255</v>
      </c>
    </row>
    <row r="607" spans="2:5">
      <c r="B607">
        <v>597</v>
      </c>
      <c r="C607">
        <f>IF('Lab test'!AQ600&gt;0,'Lab test'!AQ600,NA())</f>
        <v>0.69996069716312881</v>
      </c>
      <c r="D607">
        <f>IF('Lab test'!AU600&gt;0,'Lab test'!AU600,NA())</f>
        <v>0.57302113020946721</v>
      </c>
      <c r="E607">
        <f t="shared" si="25"/>
        <v>3.7998427886525152</v>
      </c>
    </row>
    <row r="608" spans="2:5">
      <c r="B608">
        <v>598</v>
      </c>
      <c r="C608">
        <f>IF('Lab test'!AQ601&gt;0,'Lab test'!AQ601,NA())</f>
        <v>0.64802419711259707</v>
      </c>
      <c r="D608">
        <f>IF('Lab test'!AU601&gt;0,'Lab test'!AU601,NA())</f>
        <v>0.67599178306953278</v>
      </c>
      <c r="E608">
        <f t="shared" si="25"/>
        <v>3.5920967884503883</v>
      </c>
    </row>
    <row r="609" spans="2:5">
      <c r="B609">
        <v>599</v>
      </c>
      <c r="C609">
        <f>IF('Lab test'!AQ602&gt;0,'Lab test'!AQ602,NA())</f>
        <v>0.63635091959803869</v>
      </c>
      <c r="D609">
        <f>IF('Lab test'!AU602&gt;0,'Lab test'!AU602,NA())</f>
        <v>0.71555018775255785</v>
      </c>
      <c r="E609">
        <f t="shared" si="25"/>
        <v>3.5454036783921548</v>
      </c>
    </row>
    <row r="610" spans="2:5">
      <c r="B610">
        <v>600</v>
      </c>
      <c r="C610">
        <f>IF('Lab test'!AQ603&gt;0,'Lab test'!AQ603,NA())</f>
        <v>0.62072394133270858</v>
      </c>
      <c r="D610">
        <f>IF('Lab test'!AU603&gt;0,'Lab test'!AU603,NA())</f>
        <v>0.69463068194469424</v>
      </c>
      <c r="E610">
        <f t="shared" si="25"/>
        <v>3.4828957653308343</v>
      </c>
    </row>
    <row r="611" spans="2:5">
      <c r="B611">
        <v>601</v>
      </c>
      <c r="C611">
        <f>IF('Lab test'!AQ604&gt;0,'Lab test'!AQ604,NA())</f>
        <v>0.62446595868682853</v>
      </c>
      <c r="D611">
        <f>IF('Lab test'!AU604&gt;0,'Lab test'!AU604,NA())</f>
        <v>0.62049036917671818</v>
      </c>
      <c r="E611">
        <f t="shared" si="25"/>
        <v>3.4978638347473141</v>
      </c>
    </row>
    <row r="612" spans="2:5">
      <c r="B612">
        <v>602</v>
      </c>
      <c r="C612" t="e">
        <f>IF('Lab test'!AQ605&gt;0,'Lab test'!AQ605,NA())</f>
        <v>#N/A</v>
      </c>
      <c r="D612" t="e">
        <f>IF('Lab test'!AU605&gt;0,'Lab test'!AU605,NA())</f>
        <v>#N/A</v>
      </c>
      <c r="E612" t="e">
        <f t="shared" si="25"/>
        <v>#N/A</v>
      </c>
    </row>
    <row r="613" spans="2:5">
      <c r="B613">
        <v>603</v>
      </c>
      <c r="C613" t="e">
        <f>IF('Lab test'!AQ606&gt;0,'Lab test'!AQ606,NA())</f>
        <v>#N/A</v>
      </c>
      <c r="D613" t="e">
        <f>IF('Lab test'!AU606&gt;0,'Lab test'!AU606,NA())</f>
        <v>#N/A</v>
      </c>
      <c r="E613" t="e">
        <f t="shared" si="25"/>
        <v>#N/A</v>
      </c>
    </row>
    <row r="614" spans="2:5">
      <c r="B614">
        <v>604</v>
      </c>
      <c r="C614" t="e">
        <f>IF('Lab test'!AQ607&gt;0,'Lab test'!AQ607,NA())</f>
        <v>#N/A</v>
      </c>
      <c r="D614" t="e">
        <f>IF('Lab test'!AU607&gt;0,'Lab test'!AU607,NA())</f>
        <v>#N/A</v>
      </c>
      <c r="E614" t="e">
        <f t="shared" si="25"/>
        <v>#N/A</v>
      </c>
    </row>
    <row r="615" spans="2:5">
      <c r="B615">
        <v>605</v>
      </c>
      <c r="C615" t="e">
        <f>IF('Lab test'!AQ608&gt;0,'Lab test'!AQ608,NA())</f>
        <v>#N/A</v>
      </c>
      <c r="D615" t="e">
        <f>IF('Lab test'!AU608&gt;0,'Lab test'!AU608,NA())</f>
        <v>#N/A</v>
      </c>
      <c r="E615" t="e">
        <f t="shared" si="25"/>
        <v>#N/A</v>
      </c>
    </row>
    <row r="616" spans="2:5">
      <c r="B616">
        <v>606</v>
      </c>
      <c r="C616" t="e">
        <f>IF('Lab test'!AQ609&gt;0,'Lab test'!AQ609,NA())</f>
        <v>#N/A</v>
      </c>
      <c r="D616" t="e">
        <f>IF('Lab test'!AU609&gt;0,'Lab test'!AU609,NA())</f>
        <v>#N/A</v>
      </c>
      <c r="E616" t="e">
        <f t="shared" si="25"/>
        <v>#N/A</v>
      </c>
    </row>
    <row r="617" spans="2:5">
      <c r="B617">
        <v>607</v>
      </c>
      <c r="C617" t="e">
        <f>IF('Lab test'!AQ610&gt;0,'Lab test'!AQ610,NA())</f>
        <v>#N/A</v>
      </c>
      <c r="D617" t="e">
        <f>IF('Lab test'!AU610&gt;0,'Lab test'!AU610,NA())</f>
        <v>#N/A</v>
      </c>
      <c r="E617" t="e">
        <f t="shared" si="25"/>
        <v>#N/A</v>
      </c>
    </row>
    <row r="618" spans="2:5">
      <c r="B618">
        <v>608</v>
      </c>
      <c r="C618" t="e">
        <f>IF('Lab test'!AQ611&gt;0,'Lab test'!AQ611,NA())</f>
        <v>#N/A</v>
      </c>
      <c r="D618" t="e">
        <f>IF('Lab test'!AU611&gt;0,'Lab test'!AU611,NA())</f>
        <v>#N/A</v>
      </c>
      <c r="E618" t="e">
        <f t="shared" si="25"/>
        <v>#N/A</v>
      </c>
    </row>
    <row r="619" spans="2:5">
      <c r="B619">
        <v>609</v>
      </c>
      <c r="C619" t="e">
        <f>IF('Lab test'!AQ612&gt;0,'Lab test'!AQ612,NA())</f>
        <v>#N/A</v>
      </c>
      <c r="D619" t="e">
        <f>IF('Lab test'!AU612&gt;0,'Lab test'!AU612,NA())</f>
        <v>#N/A</v>
      </c>
      <c r="E619" t="e">
        <f t="shared" si="25"/>
        <v>#N/A</v>
      </c>
    </row>
    <row r="620" spans="2:5">
      <c r="B620">
        <v>610</v>
      </c>
      <c r="C620" t="e">
        <f>IF('Lab test'!AQ613&gt;0,'Lab test'!AQ613,NA())</f>
        <v>#N/A</v>
      </c>
      <c r="D620" t="e">
        <f>IF('Lab test'!AU613&gt;0,'Lab test'!AU613,NA())</f>
        <v>#N/A</v>
      </c>
      <c r="E620" t="e">
        <f t="shared" si="25"/>
        <v>#N/A</v>
      </c>
    </row>
    <row r="621" spans="2:5">
      <c r="B621">
        <v>611</v>
      </c>
      <c r="C621" t="e">
        <f>IF('Lab test'!AQ614&gt;0,'Lab test'!AQ614,NA())</f>
        <v>#N/A</v>
      </c>
      <c r="D621" t="e">
        <f>IF('Lab test'!AU614&gt;0,'Lab test'!AU614,NA())</f>
        <v>#N/A</v>
      </c>
      <c r="E621" t="e">
        <f t="shared" si="25"/>
        <v>#N/A</v>
      </c>
    </row>
    <row r="622" spans="2:5">
      <c r="B622">
        <v>612</v>
      </c>
      <c r="C622" t="e">
        <f>IF('Lab test'!AQ615&gt;0,'Lab test'!AQ615,NA())</f>
        <v>#N/A</v>
      </c>
      <c r="D622" t="e">
        <f>IF('Lab test'!AU615&gt;0,'Lab test'!AU615,NA())</f>
        <v>#N/A</v>
      </c>
      <c r="E622" t="e">
        <f t="shared" si="25"/>
        <v>#N/A</v>
      </c>
    </row>
    <row r="623" spans="2:5">
      <c r="B623">
        <v>613</v>
      </c>
      <c r="C623" t="e">
        <f>IF('Lab test'!AQ616&gt;0,'Lab test'!AQ616,NA())</f>
        <v>#N/A</v>
      </c>
      <c r="D623" t="e">
        <f>IF('Lab test'!AU616&gt;0,'Lab test'!AU616,NA())</f>
        <v>#N/A</v>
      </c>
      <c r="E623" t="e">
        <f t="shared" si="25"/>
        <v>#N/A</v>
      </c>
    </row>
    <row r="624" spans="2:5">
      <c r="B624">
        <v>614</v>
      </c>
      <c r="C624" t="e">
        <f>IF('Lab test'!AQ617&gt;0,'Lab test'!AQ617,NA())</f>
        <v>#N/A</v>
      </c>
      <c r="D624" t="e">
        <f>IF('Lab test'!AU617&gt;0,'Lab test'!AU617,NA())</f>
        <v>#N/A</v>
      </c>
      <c r="E624" t="e">
        <f t="shared" si="25"/>
        <v>#N/A</v>
      </c>
    </row>
    <row r="625" spans="2:5">
      <c r="B625">
        <v>615</v>
      </c>
      <c r="C625" t="e">
        <f>IF('Lab test'!AQ618&gt;0,'Lab test'!AQ618,NA())</f>
        <v>#N/A</v>
      </c>
      <c r="D625" t="e">
        <f>IF('Lab test'!AU618&gt;0,'Lab test'!AU618,NA())</f>
        <v>#N/A</v>
      </c>
      <c r="E625" t="e">
        <f t="shared" si="25"/>
        <v>#N/A</v>
      </c>
    </row>
    <row r="626" spans="2:5">
      <c r="B626">
        <v>616</v>
      </c>
      <c r="C626" t="e">
        <f>IF('Lab test'!AQ619&gt;0,'Lab test'!AQ619,NA())</f>
        <v>#N/A</v>
      </c>
      <c r="D626" t="e">
        <f>IF('Lab test'!AU619&gt;0,'Lab test'!AU619,NA())</f>
        <v>#N/A</v>
      </c>
      <c r="E626" t="e">
        <f t="shared" si="25"/>
        <v>#N/A</v>
      </c>
    </row>
    <row r="627" spans="2:5">
      <c r="B627">
        <v>617</v>
      </c>
      <c r="C627" t="e">
        <f>IF('Lab test'!AQ620&gt;0,'Lab test'!AQ620,NA())</f>
        <v>#N/A</v>
      </c>
      <c r="D627" t="e">
        <f>IF('Lab test'!AU620&gt;0,'Lab test'!AU620,NA())</f>
        <v>#N/A</v>
      </c>
      <c r="E627" t="e">
        <f t="shared" si="25"/>
        <v>#N/A</v>
      </c>
    </row>
    <row r="628" spans="2:5">
      <c r="B628">
        <v>618</v>
      </c>
      <c r="C628" t="e">
        <f>IF('Lab test'!AQ621&gt;0,'Lab test'!AQ621,NA())</f>
        <v>#N/A</v>
      </c>
      <c r="D628" t="e">
        <f>IF('Lab test'!AU621&gt;0,'Lab test'!AU621,NA())</f>
        <v>#N/A</v>
      </c>
      <c r="E628" t="e">
        <f t="shared" si="25"/>
        <v>#N/A</v>
      </c>
    </row>
    <row r="629" spans="2:5">
      <c r="B629">
        <v>619</v>
      </c>
      <c r="C629" t="e">
        <f>IF('Lab test'!AQ622&gt;0,'Lab test'!AQ622,NA())</f>
        <v>#N/A</v>
      </c>
      <c r="D629" t="e">
        <f>IF('Lab test'!AU622&gt;0,'Lab test'!AU622,NA())</f>
        <v>#N/A</v>
      </c>
      <c r="E629" t="e">
        <f t="shared" si="25"/>
        <v>#N/A</v>
      </c>
    </row>
    <row r="630" spans="2:5">
      <c r="B630">
        <v>620</v>
      </c>
      <c r="C630" t="e">
        <f>IF('Lab test'!AQ623&gt;0,'Lab test'!AQ623,NA())</f>
        <v>#N/A</v>
      </c>
      <c r="D630" t="e">
        <f>IF('Lab test'!AU623&gt;0,'Lab test'!AU623,NA())</f>
        <v>#N/A</v>
      </c>
      <c r="E630" t="e">
        <f t="shared" si="25"/>
        <v>#N/A</v>
      </c>
    </row>
    <row r="631" spans="2:5">
      <c r="B631">
        <v>621</v>
      </c>
      <c r="C631" t="e">
        <f>IF('Lab test'!AQ624&gt;0,'Lab test'!AQ624,NA())</f>
        <v>#N/A</v>
      </c>
      <c r="D631" t="e">
        <f>IF('Lab test'!AU624&gt;0,'Lab test'!AU624,NA())</f>
        <v>#N/A</v>
      </c>
      <c r="E631" t="e">
        <f t="shared" si="25"/>
        <v>#N/A</v>
      </c>
    </row>
    <row r="632" spans="2:5">
      <c r="B632">
        <v>622</v>
      </c>
      <c r="C632" t="e">
        <f>IF('Lab test'!AQ625&gt;0,'Lab test'!AQ625,NA())</f>
        <v>#N/A</v>
      </c>
      <c r="D632" t="e">
        <f>IF('Lab test'!AU625&gt;0,'Lab test'!AU625,NA())</f>
        <v>#N/A</v>
      </c>
      <c r="E632" t="e">
        <f t="shared" si="25"/>
        <v>#N/A</v>
      </c>
    </row>
    <row r="633" spans="2:5">
      <c r="B633">
        <v>623</v>
      </c>
      <c r="C633" t="e">
        <f>IF('Lab test'!AQ626&gt;0,'Lab test'!AQ626,NA())</f>
        <v>#N/A</v>
      </c>
      <c r="D633" t="e">
        <f>IF('Lab test'!AU626&gt;0,'Lab test'!AU626,NA())</f>
        <v>#N/A</v>
      </c>
      <c r="E633" t="e">
        <f t="shared" si="25"/>
        <v>#N/A</v>
      </c>
    </row>
    <row r="634" spans="2:5">
      <c r="B634">
        <v>624</v>
      </c>
      <c r="C634" t="e">
        <f>IF('Lab test'!AQ627&gt;0,'Lab test'!AQ627,NA())</f>
        <v>#N/A</v>
      </c>
      <c r="D634" t="e">
        <f>IF('Lab test'!AU627&gt;0,'Lab test'!AU627,NA())</f>
        <v>#N/A</v>
      </c>
      <c r="E634" t="e">
        <f t="shared" si="25"/>
        <v>#N/A</v>
      </c>
    </row>
    <row r="635" spans="2:5">
      <c r="B635">
        <v>625</v>
      </c>
      <c r="C635" t="e">
        <f>IF('Lab test'!AQ628&gt;0,'Lab test'!AQ628,NA())</f>
        <v>#N/A</v>
      </c>
      <c r="D635" t="e">
        <f>IF('Lab test'!AU628&gt;0,'Lab test'!AU628,NA())</f>
        <v>#N/A</v>
      </c>
      <c r="E635" t="e">
        <f t="shared" si="25"/>
        <v>#N/A</v>
      </c>
    </row>
    <row r="636" spans="2:5">
      <c r="B636">
        <v>626</v>
      </c>
      <c r="C636" t="e">
        <f>IF('Lab test'!AQ629&gt;0,'Lab test'!AQ629,NA())</f>
        <v>#N/A</v>
      </c>
      <c r="D636" t="e">
        <f>IF('Lab test'!AU629&gt;0,'Lab test'!AU629,NA())</f>
        <v>#N/A</v>
      </c>
      <c r="E636" t="e">
        <f t="shared" si="25"/>
        <v>#N/A</v>
      </c>
    </row>
    <row r="637" spans="2:5">
      <c r="B637">
        <v>627</v>
      </c>
      <c r="C637" t="e">
        <f>IF('Lab test'!AQ630&gt;0,'Lab test'!AQ630,NA())</f>
        <v>#N/A</v>
      </c>
      <c r="D637" t="e">
        <f>IF('Lab test'!AU630&gt;0,'Lab test'!AU630,NA())</f>
        <v>#N/A</v>
      </c>
      <c r="E637" t="e">
        <f t="shared" si="25"/>
        <v>#N/A</v>
      </c>
    </row>
    <row r="638" spans="2:5">
      <c r="B638">
        <v>628</v>
      </c>
      <c r="C638" t="e">
        <f>IF('Lab test'!AQ631&gt;0,'Lab test'!AQ631,NA())</f>
        <v>#N/A</v>
      </c>
      <c r="D638" t="e">
        <f>IF('Lab test'!AU631&gt;0,'Lab test'!AU631,NA())</f>
        <v>#N/A</v>
      </c>
      <c r="E638" t="e">
        <f t="shared" si="25"/>
        <v>#N/A</v>
      </c>
    </row>
    <row r="639" spans="2:5">
      <c r="B639">
        <v>629</v>
      </c>
      <c r="C639">
        <f>IF('Lab test'!AQ632&gt;0,'Lab test'!AQ632,NA())</f>
        <v>0.78168035347984766</v>
      </c>
      <c r="D639">
        <f>IF('Lab test'!AU632&gt;0,'Lab test'!AU632,NA())</f>
        <v>0.65910423448974254</v>
      </c>
      <c r="E639">
        <f t="shared" si="25"/>
        <v>4.1267214139193911</v>
      </c>
    </row>
    <row r="640" spans="2:5">
      <c r="B640">
        <v>630</v>
      </c>
      <c r="C640">
        <f>IF('Lab test'!AQ633&gt;0,'Lab test'!AQ633,NA())</f>
        <v>0.78177993693823999</v>
      </c>
      <c r="D640">
        <f>IF('Lab test'!AU633&gt;0,'Lab test'!AU633,NA())</f>
        <v>0.73164020018185083</v>
      </c>
      <c r="E640">
        <f t="shared" si="25"/>
        <v>4.1271197477529604</v>
      </c>
    </row>
    <row r="641" spans="2:5">
      <c r="B641">
        <v>631</v>
      </c>
      <c r="C641">
        <f>IF('Lab test'!AQ634&gt;0,'Lab test'!AQ634,NA())</f>
        <v>0.78584018832874736</v>
      </c>
      <c r="D641">
        <f>IF('Lab test'!AU634&gt;0,'Lab test'!AU634,NA())</f>
        <v>0.74197367799895397</v>
      </c>
      <c r="E641">
        <f t="shared" si="25"/>
        <v>4.1433607533149894</v>
      </c>
    </row>
    <row r="642" spans="2:5">
      <c r="B642">
        <v>632</v>
      </c>
      <c r="C642">
        <f>IF('Lab test'!AQ635&gt;0,'Lab test'!AQ635,NA())</f>
        <v>0.97155641252055591</v>
      </c>
      <c r="D642">
        <f>IF('Lab test'!AU635&gt;0,'Lab test'!AU635,NA())</f>
        <v>0.59943327954300518</v>
      </c>
      <c r="E642">
        <f t="shared" si="25"/>
        <v>4.8862256500822241</v>
      </c>
    </row>
    <row r="643" spans="2:5">
      <c r="B643">
        <v>633</v>
      </c>
      <c r="C643">
        <f>IF('Lab test'!AQ636&gt;0,'Lab test'!AQ636,NA())</f>
        <v>1.1003752159579392</v>
      </c>
      <c r="D643">
        <f>IF('Lab test'!AU636&gt;0,'Lab test'!AU636,NA())</f>
        <v>0.47452014010224142</v>
      </c>
      <c r="E643">
        <f t="shared" si="25"/>
        <v>5.4015008638317568</v>
      </c>
    </row>
    <row r="644" spans="2:5">
      <c r="B644">
        <v>634</v>
      </c>
      <c r="C644">
        <f>IF('Lab test'!AQ637&gt;0,'Lab test'!AQ637,NA())</f>
        <v>1.2184529540321307</v>
      </c>
      <c r="D644">
        <f>IF('Lab test'!AU637&gt;0,'Lab test'!AU637,NA())</f>
        <v>0.41147872227061655</v>
      </c>
      <c r="E644">
        <f t="shared" si="25"/>
        <v>5.8738118161285229</v>
      </c>
    </row>
    <row r="645" spans="2:5">
      <c r="B645">
        <v>635</v>
      </c>
      <c r="C645">
        <f>IF('Lab test'!AQ638&gt;0,'Lab test'!AQ638,NA())</f>
        <v>1.2591363721062079</v>
      </c>
      <c r="D645">
        <f>IF('Lab test'!AU638&gt;0,'Lab test'!AU638,NA())</f>
        <v>0.43648770803450215</v>
      </c>
      <c r="E645">
        <f t="shared" si="25"/>
        <v>6.0365454884248315</v>
      </c>
    </row>
    <row r="646" spans="2:5">
      <c r="B646">
        <v>636</v>
      </c>
      <c r="C646">
        <f>IF('Lab test'!AQ639&gt;0,'Lab test'!AQ639,NA())</f>
        <v>1.2184529540321307</v>
      </c>
      <c r="D646">
        <f>IF('Lab test'!AU639&gt;0,'Lab test'!AU639,NA())</f>
        <v>0.42205831742746502</v>
      </c>
      <c r="E646">
        <f t="shared" si="25"/>
        <v>5.8738118161285229</v>
      </c>
    </row>
    <row r="647" spans="2:5">
      <c r="B647">
        <v>637</v>
      </c>
      <c r="C647">
        <f>IF('Lab test'!AQ640&gt;0,'Lab test'!AQ640,NA())</f>
        <v>1.699156790684943</v>
      </c>
      <c r="D647">
        <f>IF('Lab test'!AU640&gt;0,'Lab test'!AU640,NA())</f>
        <v>0.13837693892294989</v>
      </c>
      <c r="E647">
        <f t="shared" si="25"/>
        <v>7.7966271627397719</v>
      </c>
    </row>
    <row r="648" spans="2:5">
      <c r="B648">
        <v>638</v>
      </c>
      <c r="C648">
        <f>IF('Lab test'!AQ641&gt;0,'Lab test'!AQ641,NA())</f>
        <v>1.894386721273368</v>
      </c>
      <c r="D648">
        <f>IF('Lab test'!AU641&gt;0,'Lab test'!AU641,NA())</f>
        <v>7.4429044293290128E-2</v>
      </c>
      <c r="E648">
        <f t="shared" si="25"/>
        <v>8.5775468850934722</v>
      </c>
    </row>
    <row r="649" spans="2:5">
      <c r="B649">
        <v>639</v>
      </c>
      <c r="C649">
        <f>IF('Lab test'!AQ642&gt;0,'Lab test'!AQ642,NA())</f>
        <v>1.9545910119003018</v>
      </c>
      <c r="D649">
        <f>IF('Lab test'!AU642&gt;0,'Lab test'!AU642,NA())</f>
        <v>4.648752281897358E-2</v>
      </c>
      <c r="E649">
        <f t="shared" si="25"/>
        <v>8.8183640476012073</v>
      </c>
    </row>
    <row r="650" spans="2:5">
      <c r="B650">
        <v>640</v>
      </c>
      <c r="C650">
        <f>IF('Lab test'!AQ643&gt;0,'Lab test'!AQ643,NA())</f>
        <v>0.34281948099173432</v>
      </c>
      <c r="D650">
        <f>IF('Lab test'!AU643&gt;0,'Lab test'!AU643,NA())</f>
        <v>1.1842241731176193</v>
      </c>
      <c r="E650">
        <f t="shared" si="25"/>
        <v>2.3712779239669373</v>
      </c>
    </row>
    <row r="651" spans="2:5">
      <c r="B651">
        <v>641</v>
      </c>
      <c r="C651">
        <f>IF('Lab test'!AQ644&gt;0,'Lab test'!AQ644,NA())</f>
        <v>0.34281948099173432</v>
      </c>
      <c r="D651">
        <f>IF('Lab test'!AU644&gt;0,'Lab test'!AU644,NA())</f>
        <v>1.163077312883376</v>
      </c>
      <c r="E651">
        <f t="shared" si="25"/>
        <v>2.3712779239669373</v>
      </c>
    </row>
    <row r="652" spans="2:5">
      <c r="B652">
        <v>642</v>
      </c>
      <c r="C652">
        <f>IF('Lab test'!AQ645&gt;0,'Lab test'!AQ645,NA())</f>
        <v>0.34281948099173432</v>
      </c>
      <c r="D652">
        <f>IF('Lab test'!AU645&gt;0,'Lab test'!AU645,NA())</f>
        <v>1.1654269640205142</v>
      </c>
      <c r="E652">
        <f t="shared" ref="E652:E680" si="26">C652*4+1</f>
        <v>2.3712779239669373</v>
      </c>
    </row>
    <row r="653" spans="2:5">
      <c r="B653">
        <v>643</v>
      </c>
      <c r="C653">
        <f>IF('Lab test'!AQ646&gt;0,'Lab test'!AQ646,NA())</f>
        <v>0.39132885715957288</v>
      </c>
      <c r="D653">
        <f>IF('Lab test'!AU646&gt;0,'Lab test'!AU646,NA())</f>
        <v>1.1202160333442182</v>
      </c>
      <c r="E653">
        <f t="shared" si="26"/>
        <v>2.5653154286382915</v>
      </c>
    </row>
    <row r="654" spans="2:5">
      <c r="B654">
        <v>644</v>
      </c>
      <c r="C654">
        <f>IF('Lab test'!AQ647&gt;0,'Lab test'!AQ647,NA())</f>
        <v>0.42872945561881576</v>
      </c>
      <c r="D654">
        <f>IF('Lab test'!AU647&gt;0,'Lab test'!AU647,NA())</f>
        <v>1.1227301564840846</v>
      </c>
      <c r="E654">
        <f t="shared" si="26"/>
        <v>2.7149178224752628</v>
      </c>
    </row>
    <row r="655" spans="2:5">
      <c r="B655">
        <v>645</v>
      </c>
      <c r="C655">
        <f>IF('Lab test'!AQ648&gt;0,'Lab test'!AQ648,NA())</f>
        <v>0.54541103723030948</v>
      </c>
      <c r="D655">
        <f>IF('Lab test'!AU648&gt;0,'Lab test'!AU648,NA())</f>
        <v>0.96771139078826063</v>
      </c>
      <c r="E655">
        <f t="shared" si="26"/>
        <v>3.1816441489212379</v>
      </c>
    </row>
    <row r="656" spans="2:5">
      <c r="B656">
        <v>646</v>
      </c>
      <c r="C656">
        <f>IF('Lab test'!AQ649&gt;0,'Lab test'!AQ649,NA())</f>
        <v>0.42156225176784912</v>
      </c>
      <c r="D656">
        <f>IF('Lab test'!AU649&gt;0,'Lab test'!AU649,NA())</f>
        <v>1.1176821705798701</v>
      </c>
      <c r="E656">
        <f t="shared" si="26"/>
        <v>2.6862490070713965</v>
      </c>
    </row>
    <row r="657" spans="2:5">
      <c r="B657">
        <v>647</v>
      </c>
      <c r="C657">
        <f>IF('Lab test'!AQ650&gt;0,'Lab test'!AQ650,NA())</f>
        <v>0.49141257117512094</v>
      </c>
      <c r="D657">
        <f>IF('Lab test'!AU650&gt;0,'Lab test'!AU650,NA())</f>
        <v>0.96413522634375726</v>
      </c>
      <c r="E657">
        <f t="shared" si="26"/>
        <v>2.9656502847004838</v>
      </c>
    </row>
    <row r="658" spans="2:5">
      <c r="B658">
        <v>648</v>
      </c>
      <c r="C658">
        <f>IF('Lab test'!AQ651&gt;0,'Lab test'!AQ651,NA())</f>
        <v>0.241975947938706</v>
      </c>
      <c r="D658">
        <f>IF('Lab test'!AU651&gt;0,'Lab test'!AU651,NA())</f>
        <v>1.305863045228943</v>
      </c>
      <c r="E658">
        <f t="shared" si="26"/>
        <v>1.9679037917548241</v>
      </c>
    </row>
    <row r="659" spans="2:5">
      <c r="B659">
        <v>649</v>
      </c>
      <c r="C659">
        <f>IF('Lab test'!AQ652&gt;0,'Lab test'!AQ652,NA())</f>
        <v>0.4245053995073802</v>
      </c>
      <c r="D659">
        <f>IF('Lab test'!AU652&gt;0,'Lab test'!AU652,NA())</f>
        <v>1.082152328475152</v>
      </c>
      <c r="E659">
        <f t="shared" si="26"/>
        <v>2.6980215980295208</v>
      </c>
    </row>
    <row r="660" spans="2:5">
      <c r="B660">
        <v>650</v>
      </c>
      <c r="C660">
        <f>IF('Lab test'!AQ653&gt;0,'Lab test'!AQ653,NA())</f>
        <v>0.56320848058467998</v>
      </c>
      <c r="D660">
        <f>IF('Lab test'!AU653&gt;0,'Lab test'!AU653,NA())</f>
        <v>1.039820577489436</v>
      </c>
      <c r="E660">
        <f t="shared" si="26"/>
        <v>3.2528339223387199</v>
      </c>
    </row>
    <row r="661" spans="2:5">
      <c r="B661">
        <v>651</v>
      </c>
      <c r="C661">
        <f>IF('Lab test'!AQ654&gt;0,'Lab test'!AQ654,NA())</f>
        <v>0.71742518528170218</v>
      </c>
      <c r="D661">
        <f>IF('Lab test'!AU654&gt;0,'Lab test'!AU654,NA())</f>
        <v>0.93907398472989767</v>
      </c>
      <c r="E661">
        <f t="shared" si="26"/>
        <v>3.8697007411268087</v>
      </c>
    </row>
    <row r="662" spans="2:5">
      <c r="B662">
        <v>652</v>
      </c>
      <c r="C662">
        <f>IF('Lab test'!AQ655&gt;0,'Lab test'!AQ655,NA())</f>
        <v>0.86415918222963573</v>
      </c>
      <c r="D662">
        <f>IF('Lab test'!AU655&gt;0,'Lab test'!AU655,NA())</f>
        <v>0.83406953996785571</v>
      </c>
      <c r="E662">
        <f t="shared" si="26"/>
        <v>4.4566367289185429</v>
      </c>
    </row>
    <row r="663" spans="2:5">
      <c r="B663">
        <v>653</v>
      </c>
      <c r="C663">
        <f>IF('Lab test'!AQ656&gt;0,'Lab test'!AQ656,NA())</f>
        <v>0.9842089657928268</v>
      </c>
      <c r="D663">
        <f>IF('Lab test'!AU656&gt;0,'Lab test'!AU656,NA())</f>
        <v>0.76843352990906788</v>
      </c>
      <c r="E663">
        <f t="shared" si="26"/>
        <v>4.9368358631713072</v>
      </c>
    </row>
    <row r="664" spans="2:5">
      <c r="B664">
        <v>654</v>
      </c>
      <c r="C664">
        <f>IF('Lab test'!AQ657&gt;0,'Lab test'!AQ657,NA())</f>
        <v>0.24123225295325118</v>
      </c>
      <c r="D664">
        <f>IF('Lab test'!AU657&gt;0,'Lab test'!AU657,NA())</f>
        <v>1.2109756097560975</v>
      </c>
      <c r="E664">
        <f t="shared" si="26"/>
        <v>1.9649290118130047</v>
      </c>
    </row>
    <row r="665" spans="2:5">
      <c r="B665">
        <v>655</v>
      </c>
      <c r="C665">
        <f>IF('Lab test'!AQ658&gt;0,'Lab test'!AQ658,NA())</f>
        <v>0.42320071389874231</v>
      </c>
      <c r="D665">
        <f>IF('Lab test'!AU658&gt;0,'Lab test'!AU658,NA())</f>
        <v>1.0219512195121949</v>
      </c>
      <c r="E665">
        <f t="shared" si="26"/>
        <v>2.6928028555949695</v>
      </c>
    </row>
    <row r="666" spans="2:5">
      <c r="B666">
        <v>656</v>
      </c>
      <c r="C666">
        <f>IF('Lab test'!AQ659&gt;0,'Lab test'!AQ659,NA())</f>
        <v>0.56147750142603015</v>
      </c>
      <c r="D666">
        <f>IF('Lab test'!AU659&gt;0,'Lab test'!AU659,NA())</f>
        <v>0.97926829268292681</v>
      </c>
      <c r="E666">
        <f t="shared" si="26"/>
        <v>3.2459100057041206</v>
      </c>
    </row>
    <row r="667" spans="2:5">
      <c r="B667">
        <v>657</v>
      </c>
      <c r="C667">
        <f>IF('Lab test'!AQ660&gt;0,'Lab test'!AQ660,NA())</f>
        <v>0.71522023261066969</v>
      </c>
      <c r="D667">
        <f>IF('Lab test'!AU660&gt;0,'Lab test'!AU660,NA())</f>
        <v>0.89390243902439015</v>
      </c>
      <c r="E667">
        <f t="shared" si="26"/>
        <v>3.8608809304426788</v>
      </c>
    </row>
    <row r="668" spans="2:5">
      <c r="B668">
        <v>658</v>
      </c>
      <c r="C668">
        <f>IF('Lab test'!AQ661&gt;0,'Lab test'!AQ661,NA())</f>
        <v>0.86150325358906799</v>
      </c>
      <c r="D668">
        <f>IF('Lab test'!AU661&gt;0,'Lab test'!AU661,NA())</f>
        <v>0.83048780487804874</v>
      </c>
      <c r="E668">
        <f t="shared" si="26"/>
        <v>4.4460130143562715</v>
      </c>
    </row>
    <row r="669" spans="2:5">
      <c r="B669">
        <v>659</v>
      </c>
      <c r="C669">
        <f>IF('Lab test'!AQ662&gt;0,'Lab test'!AQ662,NA())</f>
        <v>0.98118407311760436</v>
      </c>
      <c r="D669">
        <f>IF('Lab test'!AU662&gt;0,'Lab test'!AU662,NA())</f>
        <v>0.73780487804878037</v>
      </c>
      <c r="E669">
        <f t="shared" si="26"/>
        <v>4.924736292470417</v>
      </c>
    </row>
    <row r="670" spans="2:5">
      <c r="B670">
        <v>660</v>
      </c>
      <c r="C670" t="e">
        <f>IF('Lab test'!AQ663&gt;0,'Lab test'!AQ663,NA())</f>
        <v>#N/A</v>
      </c>
      <c r="D670" t="e">
        <f>IF('Lab test'!AU663&gt;0,'Lab test'!AU663,NA())</f>
        <v>#N/A</v>
      </c>
      <c r="E670" t="e">
        <f t="shared" si="26"/>
        <v>#N/A</v>
      </c>
    </row>
    <row r="671" spans="2:5">
      <c r="B671">
        <v>661</v>
      </c>
      <c r="C671" t="e">
        <f>IF('Lab test'!AQ664&gt;0,'Lab test'!AQ664,NA())</f>
        <v>#N/A</v>
      </c>
      <c r="D671" t="e">
        <f>IF('Lab test'!AU664&gt;0,'Lab test'!AU664,NA())</f>
        <v>#N/A</v>
      </c>
      <c r="E671" t="e">
        <f t="shared" si="26"/>
        <v>#N/A</v>
      </c>
    </row>
    <row r="672" spans="2:5">
      <c r="B672">
        <v>662</v>
      </c>
      <c r="C672" t="e">
        <f>IF('Lab test'!AQ665&gt;0,'Lab test'!AQ665,NA())</f>
        <v>#N/A</v>
      </c>
      <c r="D672" t="e">
        <f>IF('Lab test'!AU665&gt;0,'Lab test'!AU665,NA())</f>
        <v>#N/A</v>
      </c>
      <c r="E672" t="e">
        <f t="shared" si="26"/>
        <v>#N/A</v>
      </c>
    </row>
    <row r="673" spans="2:5">
      <c r="B673">
        <v>663</v>
      </c>
      <c r="C673" t="e">
        <f>IF('Lab test'!AQ666&gt;0,'Lab test'!AQ666,NA())</f>
        <v>#N/A</v>
      </c>
      <c r="D673" t="e">
        <f>IF('Lab test'!AU666&gt;0,'Lab test'!AU666,NA())</f>
        <v>#N/A</v>
      </c>
      <c r="E673" t="e">
        <f t="shared" si="26"/>
        <v>#N/A</v>
      </c>
    </row>
    <row r="674" spans="2:5">
      <c r="B674">
        <v>664</v>
      </c>
      <c r="C674" t="e">
        <f>IF('Lab test'!AQ667&gt;0,'Lab test'!AQ667,NA())</f>
        <v>#N/A</v>
      </c>
      <c r="D674" t="e">
        <f>IF('Lab test'!AU667&gt;0,'Lab test'!AU667,NA())</f>
        <v>#N/A</v>
      </c>
      <c r="E674" t="e">
        <f t="shared" si="26"/>
        <v>#N/A</v>
      </c>
    </row>
    <row r="675" spans="2:5">
      <c r="B675">
        <v>665</v>
      </c>
      <c r="C675" t="e">
        <f>IF('Lab test'!AQ668&gt;0,'Lab test'!AQ668,NA())</f>
        <v>#N/A</v>
      </c>
      <c r="D675" t="e">
        <f>IF('Lab test'!AU668&gt;0,'Lab test'!AU668,NA())</f>
        <v>#N/A</v>
      </c>
      <c r="E675" t="e">
        <f t="shared" si="26"/>
        <v>#N/A</v>
      </c>
    </row>
    <row r="676" spans="2:5">
      <c r="B676">
        <v>666</v>
      </c>
      <c r="C676" t="e">
        <f>IF('Lab test'!AQ669&gt;0,'Lab test'!AQ669,NA())</f>
        <v>#N/A</v>
      </c>
      <c r="D676" t="e">
        <f>IF('Lab test'!AU669&gt;0,'Lab test'!AU669,NA())</f>
        <v>#N/A</v>
      </c>
      <c r="E676" t="e">
        <f t="shared" si="26"/>
        <v>#N/A</v>
      </c>
    </row>
    <row r="677" spans="2:5">
      <c r="B677">
        <v>667</v>
      </c>
      <c r="C677" t="e">
        <f>IF('Lab test'!AQ670&gt;0,'Lab test'!AQ670,NA())</f>
        <v>#N/A</v>
      </c>
      <c r="D677" t="e">
        <f>IF('Lab test'!AU670&gt;0,'Lab test'!AU670,NA())</f>
        <v>#N/A</v>
      </c>
      <c r="E677" t="e">
        <f t="shared" si="26"/>
        <v>#N/A</v>
      </c>
    </row>
    <row r="678" spans="2:5">
      <c r="B678">
        <v>668</v>
      </c>
      <c r="C678" t="e">
        <f>IF('Lab test'!AQ671&gt;0,'Lab test'!AQ671,NA())</f>
        <v>#N/A</v>
      </c>
      <c r="D678" t="e">
        <f>IF('Lab test'!AU671&gt;0,'Lab test'!AU671,NA())</f>
        <v>#N/A</v>
      </c>
      <c r="E678" t="e">
        <f t="shared" si="26"/>
        <v>#N/A</v>
      </c>
    </row>
    <row r="679" spans="2:5">
      <c r="B679">
        <v>669</v>
      </c>
      <c r="C679" t="e">
        <f>IF('Lab test'!AQ672&gt;0,'Lab test'!AQ672,NA())</f>
        <v>#N/A</v>
      </c>
      <c r="D679" t="e">
        <f>IF('Lab test'!AU672&gt;0,'Lab test'!AU672,NA())</f>
        <v>#N/A</v>
      </c>
      <c r="E679" t="e">
        <f t="shared" si="26"/>
        <v>#N/A</v>
      </c>
    </row>
    <row r="680" spans="2:5">
      <c r="B680">
        <v>670</v>
      </c>
      <c r="C680" t="e">
        <f>IF('Lab test'!AQ673&gt;0,'Lab test'!AQ673,NA())</f>
        <v>#N/A</v>
      </c>
      <c r="D680" t="e">
        <f>IF('Lab test'!AU673&gt;0,'Lab test'!AU673,NA())</f>
        <v>#N/A</v>
      </c>
      <c r="E680" t="e">
        <f t="shared" si="26"/>
        <v>#N/A</v>
      </c>
    </row>
  </sheetData>
  <mergeCells count="5">
    <mergeCell ref="G10:T10"/>
    <mergeCell ref="AB10:AM10"/>
    <mergeCell ref="B9:E9"/>
    <mergeCell ref="W9:Z9"/>
    <mergeCell ref="AO9:AQ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3FFA5-D184-4E5D-AA14-1F07F650A765}">
  <sheetPr>
    <tabColor theme="0" tint="-0.249977111117893"/>
  </sheetPr>
  <dimension ref="B9:CM718"/>
  <sheetViews>
    <sheetView zoomScale="60" zoomScaleNormal="60" workbookViewId="0"/>
  </sheetViews>
  <sheetFormatPr defaultRowHeight="15.75"/>
  <sheetData>
    <row r="9" spans="2:91">
      <c r="C9" s="1067" t="s">
        <v>1065</v>
      </c>
      <c r="D9" s="1067"/>
      <c r="E9" s="1067"/>
      <c r="F9" s="1067"/>
      <c r="G9" s="1067"/>
      <c r="H9" s="1067"/>
      <c r="I9" s="1067"/>
      <c r="J9" s="1067"/>
      <c r="K9" s="1067"/>
      <c r="L9" s="1067"/>
      <c r="O9" s="1067" t="s">
        <v>1069</v>
      </c>
      <c r="P9" s="1067"/>
      <c r="Q9" s="1067"/>
      <c r="R9" s="1067"/>
      <c r="S9" s="1067"/>
      <c r="T9" s="1067"/>
      <c r="U9" s="1067"/>
      <c r="X9" s="1067" t="s">
        <v>958</v>
      </c>
      <c r="Y9" s="1067"/>
      <c r="Z9" s="1067"/>
      <c r="AA9" s="1067"/>
      <c r="AB9" s="1067"/>
      <c r="AC9" s="1067"/>
      <c r="AD9" s="1067"/>
      <c r="AE9" s="1067"/>
      <c r="AF9" s="1067"/>
      <c r="AG9" s="1067"/>
      <c r="AH9" s="1067"/>
      <c r="AI9" s="1067"/>
      <c r="AJ9" s="1067"/>
      <c r="AK9" s="1067"/>
      <c r="AL9" s="1067"/>
      <c r="AM9" s="1067"/>
      <c r="AN9" s="24"/>
      <c r="AP9" s="1067" t="s">
        <v>871</v>
      </c>
      <c r="AQ9" s="1067"/>
      <c r="AR9" s="1067"/>
      <c r="AS9" s="1067"/>
      <c r="AT9" s="1067"/>
      <c r="AU9" s="1067"/>
      <c r="AV9" s="1067"/>
      <c r="AW9" s="1067"/>
      <c r="AX9" s="1067"/>
      <c r="AY9" s="1067"/>
      <c r="AZ9" s="1067"/>
      <c r="BA9" s="1067"/>
      <c r="BB9" s="1067"/>
      <c r="BC9" s="1067"/>
      <c r="BD9" s="1067"/>
      <c r="BE9" s="1067"/>
      <c r="BG9" s="1067" t="s">
        <v>898</v>
      </c>
      <c r="BH9" s="1067"/>
      <c r="BI9" s="1067"/>
      <c r="BJ9" s="1067"/>
      <c r="BK9" s="1067"/>
      <c r="BL9" s="1067"/>
      <c r="BM9" s="1067"/>
      <c r="BN9" s="1067"/>
      <c r="BO9" s="1067"/>
      <c r="BP9" s="1067"/>
      <c r="BQ9" s="1067"/>
      <c r="BR9" s="1067"/>
      <c r="BS9" s="1067"/>
      <c r="BT9" s="1067"/>
      <c r="BU9" s="1067"/>
      <c r="BV9" s="1067"/>
      <c r="BX9" s="1067" t="s">
        <v>956</v>
      </c>
      <c r="BY9" s="1067"/>
      <c r="BZ9" s="1067"/>
      <c r="CA9" s="1067"/>
      <c r="CB9" s="1067"/>
      <c r="CC9" s="1067"/>
      <c r="CD9" s="1067"/>
      <c r="CE9" s="1067"/>
      <c r="CF9" s="1067"/>
      <c r="CG9" s="1067"/>
      <c r="CH9" s="1067"/>
      <c r="CI9" s="1067"/>
      <c r="CJ9" s="1067"/>
      <c r="CK9" s="1067"/>
      <c r="CL9" s="1067"/>
      <c r="CM9" s="1067"/>
    </row>
    <row r="11" spans="2:91">
      <c r="AE11" t="s">
        <v>954</v>
      </c>
      <c r="AG11" t="s">
        <v>1096</v>
      </c>
      <c r="AJ11" t="s">
        <v>1095</v>
      </c>
      <c r="AK11" t="s">
        <v>957</v>
      </c>
      <c r="AL11" t="s">
        <v>1096</v>
      </c>
      <c r="AM11" t="s">
        <v>1097</v>
      </c>
      <c r="AW11" t="s">
        <v>954</v>
      </c>
      <c r="AY11" t="s">
        <v>1096</v>
      </c>
      <c r="AZ11" t="s">
        <v>1097</v>
      </c>
      <c r="BB11" t="s">
        <v>1095</v>
      </c>
      <c r="BC11" t="s">
        <v>957</v>
      </c>
      <c r="BD11" t="s">
        <v>1096</v>
      </c>
      <c r="BE11" t="s">
        <v>1097</v>
      </c>
      <c r="BN11" t="s">
        <v>954</v>
      </c>
      <c r="BP11" t="s">
        <v>1096</v>
      </c>
      <c r="BQ11" t="s">
        <v>1097</v>
      </c>
      <c r="BS11" t="s">
        <v>1095</v>
      </c>
      <c r="BT11" t="s">
        <v>957</v>
      </c>
      <c r="BU11" t="s">
        <v>1096</v>
      </c>
      <c r="BV11" t="s">
        <v>1097</v>
      </c>
      <c r="CE11" t="s">
        <v>954</v>
      </c>
      <c r="CG11" t="s">
        <v>1096</v>
      </c>
      <c r="CH11" t="s">
        <v>1097</v>
      </c>
      <c r="CJ11" t="s">
        <v>1095</v>
      </c>
      <c r="CK11" t="s">
        <v>957</v>
      </c>
      <c r="CL11" t="s">
        <v>1096</v>
      </c>
      <c r="CM11" t="s">
        <v>1097</v>
      </c>
    </row>
    <row r="12" spans="2:91">
      <c r="C12" t="s">
        <v>899</v>
      </c>
      <c r="D12" t="s">
        <v>871</v>
      </c>
      <c r="E12" t="s">
        <v>898</v>
      </c>
      <c r="F12" t="s">
        <v>950</v>
      </c>
      <c r="G12" t="s">
        <v>917</v>
      </c>
      <c r="H12" t="s">
        <v>925</v>
      </c>
      <c r="I12" t="s">
        <v>952</v>
      </c>
      <c r="J12" t="s">
        <v>1122</v>
      </c>
      <c r="K12" t="s">
        <v>1123</v>
      </c>
      <c r="L12" t="s">
        <v>875</v>
      </c>
      <c r="O12" t="s">
        <v>899</v>
      </c>
      <c r="P12" t="s">
        <v>900</v>
      </c>
      <c r="Q12" t="s">
        <v>871</v>
      </c>
      <c r="R12" t="s">
        <v>901</v>
      </c>
      <c r="S12" t="s">
        <v>955</v>
      </c>
      <c r="T12" t="s">
        <v>956</v>
      </c>
      <c r="X12" t="s">
        <v>899</v>
      </c>
      <c r="Y12" t="s">
        <v>951</v>
      </c>
      <c r="AB12" t="s">
        <v>953</v>
      </c>
      <c r="AE12">
        <v>0</v>
      </c>
      <c r="AF12">
        <f>AF13</f>
        <v>23.876000000000001</v>
      </c>
      <c r="AG12">
        <f>AF13-AF12</f>
        <v>0</v>
      </c>
      <c r="AJ12">
        <v>0</v>
      </c>
      <c r="AK12">
        <f>AK13</f>
        <v>23.876000000000001</v>
      </c>
      <c r="AL12">
        <f>AK13-AK12</f>
        <v>0</v>
      </c>
      <c r="AP12" t="s">
        <v>871</v>
      </c>
      <c r="AQ12" t="s">
        <v>951</v>
      </c>
      <c r="AT12" t="s">
        <v>953</v>
      </c>
      <c r="AW12">
        <v>0</v>
      </c>
      <c r="AX12">
        <f>AX13</f>
        <v>37.5</v>
      </c>
      <c r="AY12">
        <f>AX13-AX12</f>
        <v>0</v>
      </c>
      <c r="BB12">
        <v>0</v>
      </c>
      <c r="BC12">
        <f>BC13</f>
        <v>62.902132950405765</v>
      </c>
      <c r="BD12">
        <f>BC13-BC12</f>
        <v>0</v>
      </c>
      <c r="BG12" t="s">
        <v>898</v>
      </c>
      <c r="BH12" t="s">
        <v>951</v>
      </c>
      <c r="BK12" t="s">
        <v>953</v>
      </c>
      <c r="BN12">
        <v>0</v>
      </c>
      <c r="BO12">
        <f>BO13</f>
        <v>6.9489297296079994E-3</v>
      </c>
      <c r="BP12">
        <f>BO13-BO12</f>
        <v>0</v>
      </c>
      <c r="BS12">
        <v>0</v>
      </c>
      <c r="BT12">
        <f>BT13</f>
        <v>1.0655964094124308E-2</v>
      </c>
      <c r="BU12">
        <f>BT13-BT12</f>
        <v>0</v>
      </c>
      <c r="BX12" t="s">
        <v>956</v>
      </c>
      <c r="BY12" t="s">
        <v>951</v>
      </c>
      <c r="CB12" t="s">
        <v>953</v>
      </c>
      <c r="CE12">
        <v>0</v>
      </c>
      <c r="CF12">
        <f>CF13</f>
        <v>1.0984182776801405E-2</v>
      </c>
      <c r="CG12">
        <f>CF13-CF12</f>
        <v>0</v>
      </c>
      <c r="CJ12">
        <v>0</v>
      </c>
      <c r="CK12">
        <f>CK13</f>
        <v>1.09841827768E-2</v>
      </c>
      <c r="CL12">
        <f>CK13-CK12</f>
        <v>0</v>
      </c>
    </row>
    <row r="13" spans="2:91">
      <c r="B13">
        <v>1</v>
      </c>
      <c r="C13" t="e">
        <f>IF(ISNUMBER(K13),IF('Lab test'!N4&gt;0,'Lab test'!N4,NA()),NA())</f>
        <v>#N/A</v>
      </c>
      <c r="D13" t="e">
        <f>IF(ISNUMBER(K13),IF('Lab test'!Q4&gt;0,'Lab test'!Q4,NA()),NA())</f>
        <v>#N/A</v>
      </c>
      <c r="E13" t="e">
        <f>IF(ISNUMBER(K13),IF('Lab test'!P4&gt;0,'Lab test'!P4,NA()),NA())</f>
        <v>#N/A</v>
      </c>
      <c r="F13" t="e">
        <f>IF(ISNUMBER(K13),IF('Lab test'!AJ4&gt;0,'Lab test'!AJ4,NA()),NA())</f>
        <v>#N/A</v>
      </c>
      <c r="G13">
        <f>IF('Lab test'!V4&gt;0,'Lab test'!V4,NA())</f>
        <v>74463.38</v>
      </c>
      <c r="H13">
        <f>IF(MAX('Lab test'!W4,'Lab test'!X4)&gt;0,MAX('Lab test'!W4,'Lab test'!X4),NA())</f>
        <v>389.55</v>
      </c>
      <c r="I13">
        <f>IF('Lab test'!AU4&gt;0,'Lab test'!AU4,NA())</f>
        <v>1.0371782312925171</v>
      </c>
      <c r="J13">
        <f>IF('Lab test'!AT4&gt;0,'Lab test'!AT4,NA())</f>
        <v>0.23470631808912235</v>
      </c>
      <c r="K13" t="e">
        <f>IF(AND(OR(ISNUMBER(I13),ISNUMBER(J13)),ISNUMBER(G13),ISNUMBER(H13),L13="LTWb"),1,NA())</f>
        <v>#N/A</v>
      </c>
      <c r="L13" t="str">
        <f>'Lab test'!AC4</f>
        <v>Machined</v>
      </c>
      <c r="N13">
        <v>1</v>
      </c>
      <c r="O13">
        <v>100.170545229</v>
      </c>
      <c r="P13">
        <v>0.31866265779699998</v>
      </c>
      <c r="Q13">
        <f>O13/P13</f>
        <v>314.34666967728731</v>
      </c>
      <c r="R13">
        <v>81.115839629000007</v>
      </c>
      <c r="S13">
        <f>R13/O13*SQRT(P13/O13)</f>
        <v>4.5673174532152361E-2</v>
      </c>
      <c r="T13">
        <v>6.6613033950100001E-2</v>
      </c>
      <c r="U13">
        <f t="shared" ref="U13:U76" si="0">N13/COUNT($N$13:$N$236)</f>
        <v>4.464285714285714E-3</v>
      </c>
      <c r="W13">
        <v>1</v>
      </c>
      <c r="X13" cm="1">
        <f t="array" ref="X13:X682">_xlfn._xlws.SORT(C13:C682,1,1)</f>
        <v>23.876000000000001</v>
      </c>
      <c r="Y13">
        <f t="shared" ref="Y13:Y44" si="1">W13/COUNT($W$13:$W$175)</f>
        <v>6.1349693251533744E-3</v>
      </c>
      <c r="Z13" t="e">
        <f t="shared" ref="Z13:Z76" si="2">IF(X13=X14,NA(),Y13)</f>
        <v>#N/A</v>
      </c>
      <c r="AB13" t="e">
        <f t="shared" ref="AB13:AB44" si="3">Z13</f>
        <v>#N/A</v>
      </c>
      <c r="AC13">
        <f t="shared" ref="AC13:AC76" si="4">X13</f>
        <v>23.876000000000001</v>
      </c>
      <c r="AE13" cm="1">
        <f t="array" ref="AE13:AF682">_xlfn._xlws.SORT(AB13:AC682)</f>
        <v>7.9754601226993863E-2</v>
      </c>
      <c r="AF13">
        <v>23.876000000000001</v>
      </c>
      <c r="AG13">
        <f t="shared" ref="AG13:AG27" si="5">AF14-AF13</f>
        <v>6.3499999999997669E-2</v>
      </c>
      <c r="AH13">
        <f>AE13-AE12</f>
        <v>7.9754601226993863E-2</v>
      </c>
      <c r="AJ13">
        <f t="shared" ref="AJ13:AJ76" si="6">U13</f>
        <v>4.464285714285714E-3</v>
      </c>
      <c r="AK13" cm="1">
        <f t="array" ref="AK13:AK236">_xlfn._xlws.SORT(O13:O236)</f>
        <v>23.876000000000001</v>
      </c>
      <c r="AL13">
        <f t="shared" ref="AL13:AL76" si="7">AK14-AK13</f>
        <v>0</v>
      </c>
      <c r="AM13">
        <f>AJ13-AJ12</f>
        <v>4.464285714285714E-3</v>
      </c>
      <c r="AO13">
        <v>1</v>
      </c>
      <c r="AP13" cm="1">
        <f t="array" ref="AP13:AP682">_xlfn._xlws.SORT(D13:D682,1,1)</f>
        <v>37.5</v>
      </c>
      <c r="AQ13">
        <f>AO13/COUNT($AO$13:$AO$175)</f>
        <v>6.1349693251533744E-3</v>
      </c>
      <c r="AR13">
        <f t="shared" ref="AR13:AR76" si="8">IF(AP13=AP14,NA(),AQ13)</f>
        <v>6.1349693251533744E-3</v>
      </c>
      <c r="AT13">
        <f t="shared" ref="AT13:AT76" si="9">AR13</f>
        <v>6.1349693251533744E-3</v>
      </c>
      <c r="AU13">
        <f t="shared" ref="AU13:AU76" si="10">AP13</f>
        <v>37.5</v>
      </c>
      <c r="AW13" cm="1">
        <f t="array" ref="AW13:AX682">_xlfn._xlws.SORT(AT13:AU682)</f>
        <v>6.1349693251533744E-3</v>
      </c>
      <c r="AX13">
        <v>37.5</v>
      </c>
      <c r="AY13">
        <f t="shared" ref="AY13:AY76" si="11">AX14-AX13</f>
        <v>12.5</v>
      </c>
      <c r="AZ13">
        <f>AW13-AW12</f>
        <v>6.1349693251533744E-3</v>
      </c>
      <c r="BB13">
        <f t="shared" ref="BB13:BB76" si="12">U13</f>
        <v>4.464285714285714E-3</v>
      </c>
      <c r="BC13" cm="1">
        <f t="array" ref="BC13:BC236">_xlfn._xlws.SORT(Q13:Q236)</f>
        <v>62.902132950405765</v>
      </c>
      <c r="BD13">
        <f t="shared" ref="BD13:BD76" si="13">BC14-BC13</f>
        <v>56.88734028483956</v>
      </c>
      <c r="BE13">
        <f>BB13-BB12</f>
        <v>4.464285714285714E-3</v>
      </c>
      <c r="BF13">
        <v>1</v>
      </c>
      <c r="BG13" cm="1">
        <f t="array" ref="BG13:BG682">_xlfn._xlws.SORT(E13:E682,1,1)</f>
        <v>6.9489297296079994E-3</v>
      </c>
      <c r="BH13">
        <f t="shared" ref="BH13:BH44" si="14">BF13/COUNT($BF$13:$BF$159)</f>
        <v>6.8027210884353739E-3</v>
      </c>
      <c r="BI13">
        <f t="shared" ref="BI13:BI76" si="15">IF(BG13=BG14,NA(),BH13)</f>
        <v>6.8027210884353739E-3</v>
      </c>
      <c r="BK13">
        <f t="shared" ref="BK13:BK76" si="16">BI13</f>
        <v>6.8027210884353739E-3</v>
      </c>
      <c r="BL13">
        <f t="shared" ref="BL13:BL76" si="17">BG13</f>
        <v>6.9489297296079994E-3</v>
      </c>
      <c r="BN13" cm="1">
        <f t="array" ref="BN13:BO682">_xlfn._xlws.SORT(BK13:BL682)</f>
        <v>6.8027210884353739E-3</v>
      </c>
      <c r="BO13">
        <v>6.9489297296079994E-3</v>
      </c>
      <c r="BP13">
        <f t="shared" ref="BP13:BP76" si="18">BO14-BO13</f>
        <v>6.2238240186923846E-3</v>
      </c>
      <c r="BQ13">
        <f>BN13-BN12</f>
        <v>6.8027210884353739E-3</v>
      </c>
      <c r="BS13">
        <f t="shared" ref="BS13:BS76" si="19">U13</f>
        <v>4.464285714285714E-3</v>
      </c>
      <c r="BT13" cm="1">
        <f t="array" ref="BT13:BT236">_xlfn._xlws.SORT(S13:S236)</f>
        <v>1.0655964094124308E-2</v>
      </c>
      <c r="BU13">
        <f t="shared" ref="BU13:BU76" si="20">BT14-BT13</f>
        <v>2.4941527271602551E-3</v>
      </c>
      <c r="BV13">
        <f>BS13-BS12</f>
        <v>4.464285714285714E-3</v>
      </c>
      <c r="BW13">
        <v>1</v>
      </c>
      <c r="BX13" cm="1">
        <f t="array" ref="BX13:BX682">_xlfn._xlws.SORT(F13:F682,1,1)</f>
        <v>1.0984182776801405E-2</v>
      </c>
      <c r="BY13">
        <f t="shared" ref="BY13:BY44" si="21">BW13/COUNT($BW$13:$BW$147)</f>
        <v>7.4074074074074077E-3</v>
      </c>
      <c r="BZ13" t="e">
        <f t="shared" ref="BZ13:BZ76" si="22">IF(BX13=BX14,NA(),BY13)</f>
        <v>#N/A</v>
      </c>
      <c r="CB13" t="e">
        <f t="shared" ref="CB13:CB44" si="23">BZ13</f>
        <v>#N/A</v>
      </c>
      <c r="CC13">
        <f t="shared" ref="CC13:CC76" si="24">BX13</f>
        <v>1.0984182776801405E-2</v>
      </c>
      <c r="CE13" cm="1">
        <f t="array" ref="CE13:CF682">_xlfn._xlws.SORT(CB13:CC682)</f>
        <v>2.2222222222222223E-2</v>
      </c>
      <c r="CF13">
        <v>1.0984182776801405E-2</v>
      </c>
      <c r="CG13">
        <f t="shared" ref="CG13:CG22" si="25">CF14-CF13</f>
        <v>3.8744912792950878E-5</v>
      </c>
      <c r="CH13">
        <f>CE13-CE12</f>
        <v>2.2222222222222223E-2</v>
      </c>
      <c r="CJ13">
        <f t="shared" ref="CJ13:CJ76" si="26">U13</f>
        <v>4.464285714285714E-3</v>
      </c>
      <c r="CK13" cm="1">
        <f t="array" ref="CK13:CK236">_xlfn._xlws.SORT(T13:T236)</f>
        <v>1.09841827768E-2</v>
      </c>
      <c r="CL13">
        <f t="shared" ref="CL13:CL76" si="27">CK14-CK13</f>
        <v>0</v>
      </c>
      <c r="CM13">
        <f>CJ13-CJ12</f>
        <v>4.464285714285714E-3</v>
      </c>
    </row>
    <row r="14" spans="2:91">
      <c r="B14">
        <v>2</v>
      </c>
      <c r="C14" t="e">
        <f>IF(ISNUMBER(K14),IF('Lab test'!N5&gt;0,'Lab test'!N5,NA()),NA())</f>
        <v>#N/A</v>
      </c>
      <c r="D14" t="e">
        <f>IF(ISNUMBER(K14),IF('Lab test'!Q5&gt;0,'Lab test'!Q5,NA()),NA())</f>
        <v>#N/A</v>
      </c>
      <c r="E14" t="e">
        <f>IF(ISNUMBER(K14),IF('Lab test'!P5&gt;0,'Lab test'!P5,NA()),NA())</f>
        <v>#N/A</v>
      </c>
      <c r="F14" t="e">
        <f>IF(ISNUMBER(K14),IF('Lab test'!AJ5&gt;0,'Lab test'!AJ5,NA()),NA())</f>
        <v>#N/A</v>
      </c>
      <c r="G14">
        <f>IF('Lab test'!V5&gt;0,'Lab test'!V5,NA())</f>
        <v>74463.38</v>
      </c>
      <c r="H14">
        <f>IF(MAX('Lab test'!W5,'Lab test'!X5)&gt;0,MAX('Lab test'!W5,'Lab test'!X5),NA())</f>
        <v>389.55</v>
      </c>
      <c r="I14">
        <f>IF('Lab test'!AU5&gt;0,'Lab test'!AU5,NA())</f>
        <v>1.0106292902066485</v>
      </c>
      <c r="J14">
        <f>IF('Lab test'!AT5&gt;0,'Lab test'!AT5,NA())</f>
        <v>0.23096977394057869</v>
      </c>
      <c r="K14" t="e">
        <f t="shared" ref="K14:K77" si="28">IF(AND(OR(ISNUMBER(I14),ISNUMBER(J14)),ISNUMBER(G14),ISNUMBER(H14),L14="LTWb"),1,NA())</f>
        <v>#N/A</v>
      </c>
      <c r="L14" t="str">
        <f>'Lab test'!AC5</f>
        <v>Machined</v>
      </c>
      <c r="N14">
        <v>2</v>
      </c>
      <c r="O14">
        <v>101.12391793800001</v>
      </c>
      <c r="P14">
        <v>0.158553851242</v>
      </c>
      <c r="Q14">
        <f t="shared" ref="Q14:Q77" si="29">O14/P14</f>
        <v>637.789099071804</v>
      </c>
      <c r="R14">
        <v>325.87907786800002</v>
      </c>
      <c r="S14">
        <f t="shared" ref="S14:S77" si="30">R14/O14*SQRT(P14/O14)</f>
        <v>0.1276039285167036</v>
      </c>
      <c r="T14">
        <v>1.5762552794E-2</v>
      </c>
      <c r="U14">
        <f t="shared" si="0"/>
        <v>8.9285714285714281E-3</v>
      </c>
      <c r="W14">
        <v>2</v>
      </c>
      <c r="X14">
        <v>23.876000000000001</v>
      </c>
      <c r="Y14">
        <f t="shared" si="1"/>
        <v>1.2269938650306749E-2</v>
      </c>
      <c r="Z14" t="e">
        <f t="shared" si="2"/>
        <v>#N/A</v>
      </c>
      <c r="AB14" t="e">
        <f t="shared" si="3"/>
        <v>#N/A</v>
      </c>
      <c r="AC14">
        <f t="shared" si="4"/>
        <v>23.876000000000001</v>
      </c>
      <c r="AE14">
        <v>0.15337423312883436</v>
      </c>
      <c r="AF14">
        <v>23.939499999999999</v>
      </c>
      <c r="AG14">
        <f t="shared" si="5"/>
        <v>23.685500000000001</v>
      </c>
      <c r="AH14">
        <f t="shared" ref="AH14:AH28" si="31">AE14-AE13</f>
        <v>7.3619631901840496E-2</v>
      </c>
      <c r="AJ14">
        <f t="shared" si="6"/>
        <v>8.9285714285714281E-3</v>
      </c>
      <c r="AK14">
        <v>23.876000000000001</v>
      </c>
      <c r="AL14">
        <f t="shared" si="7"/>
        <v>0</v>
      </c>
      <c r="AM14">
        <f t="shared" ref="AM14:AM77" si="32">AJ14-AJ13</f>
        <v>4.464285714285714E-3</v>
      </c>
      <c r="AO14">
        <v>2</v>
      </c>
      <c r="AP14">
        <v>50</v>
      </c>
      <c r="AQ14">
        <f t="shared" ref="AQ14:AQ45" si="33">AO14/COUNT($W$13:$W$175)</f>
        <v>1.2269938650306749E-2</v>
      </c>
      <c r="AR14">
        <f t="shared" si="8"/>
        <v>1.2269938650306749E-2</v>
      </c>
      <c r="AT14">
        <f t="shared" si="9"/>
        <v>1.2269938650306749E-2</v>
      </c>
      <c r="AU14">
        <f t="shared" si="10"/>
        <v>50</v>
      </c>
      <c r="AW14">
        <v>1.2269938650306749E-2</v>
      </c>
      <c r="AX14">
        <v>50</v>
      </c>
      <c r="AY14">
        <f t="shared" si="11"/>
        <v>69</v>
      </c>
      <c r="AZ14">
        <f t="shared" ref="AZ14:AZ77" si="34">AW14-AW13</f>
        <v>6.1349693251533744E-3</v>
      </c>
      <c r="BB14">
        <f t="shared" si="12"/>
        <v>8.9285714285714281E-3</v>
      </c>
      <c r="BC14">
        <v>119.78947323524532</v>
      </c>
      <c r="BD14">
        <f t="shared" si="13"/>
        <v>4.5760263461921085</v>
      </c>
      <c r="BE14">
        <f t="shared" ref="BE14:BE77" si="35">BB14-BB13</f>
        <v>4.464285714285714E-3</v>
      </c>
      <c r="BF14">
        <v>2</v>
      </c>
      <c r="BG14">
        <v>1.3172753748300384E-2</v>
      </c>
      <c r="BH14">
        <f t="shared" si="14"/>
        <v>1.3605442176870748E-2</v>
      </c>
      <c r="BI14">
        <f t="shared" si="15"/>
        <v>1.3605442176870748E-2</v>
      </c>
      <c r="BK14">
        <f t="shared" si="16"/>
        <v>1.3605442176870748E-2</v>
      </c>
      <c r="BL14">
        <f t="shared" si="17"/>
        <v>1.3172753748300384E-2</v>
      </c>
      <c r="BN14">
        <v>1.3605442176870748E-2</v>
      </c>
      <c r="BO14">
        <v>1.3172753748300384E-2</v>
      </c>
      <c r="BP14">
        <f t="shared" si="18"/>
        <v>7.2510571091561477E-4</v>
      </c>
      <c r="BQ14">
        <f t="shared" ref="BQ14:BQ77" si="36">BN14-BN13</f>
        <v>6.8027210884353739E-3</v>
      </c>
      <c r="BS14">
        <f t="shared" si="19"/>
        <v>8.9285714285714281E-3</v>
      </c>
      <c r="BT14">
        <v>1.3150116821284563E-2</v>
      </c>
      <c r="BU14">
        <f t="shared" si="20"/>
        <v>1.5130471557406131E-3</v>
      </c>
      <c r="BV14">
        <f t="shared" ref="BV14:BV77" si="37">BS14-BS13</f>
        <v>4.464285714285714E-3</v>
      </c>
      <c r="BW14">
        <v>2</v>
      </c>
      <c r="BX14">
        <v>1.0984182776801405E-2</v>
      </c>
      <c r="BY14">
        <f t="shared" si="21"/>
        <v>1.4814814814814815E-2</v>
      </c>
      <c r="BZ14" t="e">
        <f t="shared" si="22"/>
        <v>#N/A</v>
      </c>
      <c r="CB14" t="e">
        <f t="shared" si="23"/>
        <v>#N/A</v>
      </c>
      <c r="CC14">
        <f t="shared" si="24"/>
        <v>1.0984182776801405E-2</v>
      </c>
      <c r="CE14">
        <v>0.1111111111111111</v>
      </c>
      <c r="CF14">
        <v>1.1022927689594356E-2</v>
      </c>
      <c r="CG14">
        <f t="shared" si="25"/>
        <v>5.6437389770723108E-3</v>
      </c>
      <c r="CH14">
        <f t="shared" ref="CH14:CH23" si="38">CE14-CE13</f>
        <v>8.8888888888888878E-2</v>
      </c>
      <c r="CJ14">
        <f t="shared" si="26"/>
        <v>8.9285714285714281E-3</v>
      </c>
      <c r="CK14">
        <v>1.09841827768E-2</v>
      </c>
      <c r="CL14">
        <f t="shared" si="27"/>
        <v>0</v>
      </c>
      <c r="CM14">
        <f t="shared" ref="CM14:CM77" si="39">CJ14-CJ13</f>
        <v>4.464285714285714E-3</v>
      </c>
    </row>
    <row r="15" spans="2:91">
      <c r="B15">
        <v>3</v>
      </c>
      <c r="C15" t="e">
        <f>IF(ISNUMBER(K15),IF('Lab test'!N6&gt;0,'Lab test'!N6,NA()),NA())</f>
        <v>#N/A</v>
      </c>
      <c r="D15" t="e">
        <f>IF(ISNUMBER(K15),IF('Lab test'!Q6&gt;0,'Lab test'!Q6,NA()),NA())</f>
        <v>#N/A</v>
      </c>
      <c r="E15" t="e">
        <f>IF(ISNUMBER(K15),IF('Lab test'!P6&gt;0,'Lab test'!P6,NA()),NA())</f>
        <v>#N/A</v>
      </c>
      <c r="F15" t="e">
        <f>IF(ISNUMBER(K15),IF('Lab test'!AJ6&gt;0,'Lab test'!AJ6,NA()),NA())</f>
        <v>#N/A</v>
      </c>
      <c r="G15">
        <f>IF('Lab test'!V6&gt;0,'Lab test'!V6,NA())</f>
        <v>74463.38</v>
      </c>
      <c r="H15">
        <f>IF(MAX('Lab test'!W6,'Lab test'!X6)&gt;0,MAX('Lab test'!W6,'Lab test'!X6),NA())</f>
        <v>389.55</v>
      </c>
      <c r="I15">
        <f>IF('Lab test'!AU6&gt;0,'Lab test'!AU6,NA())</f>
        <v>1.0292135541008856</v>
      </c>
      <c r="J15">
        <f>IF('Lab test'!AT6&gt;0,'Lab test'!AT6,NA())</f>
        <v>0.23290396628302373</v>
      </c>
      <c r="K15" t="e">
        <f t="shared" si="28"/>
        <v>#N/A</v>
      </c>
      <c r="L15" t="str">
        <f>'Lab test'!AC6</f>
        <v>Machined</v>
      </c>
      <c r="N15">
        <v>3</v>
      </c>
      <c r="O15">
        <v>101.891932166</v>
      </c>
      <c r="P15">
        <v>0.153865307068</v>
      </c>
      <c r="Q15">
        <f t="shared" si="29"/>
        <v>662.21511598432892</v>
      </c>
      <c r="R15">
        <v>332.16712841399999</v>
      </c>
      <c r="S15">
        <f t="shared" si="30"/>
        <v>0.1266826995108053</v>
      </c>
      <c r="T15">
        <v>3.0357870652100001E-2</v>
      </c>
      <c r="U15">
        <f t="shared" si="0"/>
        <v>1.3392857142857142E-2</v>
      </c>
      <c r="W15">
        <v>3</v>
      </c>
      <c r="X15">
        <v>23.876000000000001</v>
      </c>
      <c r="Y15">
        <f t="shared" si="1"/>
        <v>1.8404907975460124E-2</v>
      </c>
      <c r="Z15" t="e">
        <f t="shared" si="2"/>
        <v>#N/A</v>
      </c>
      <c r="AB15" t="e">
        <f t="shared" si="3"/>
        <v>#N/A</v>
      </c>
      <c r="AC15">
        <f t="shared" si="4"/>
        <v>23.876000000000001</v>
      </c>
      <c r="AE15">
        <v>0.25153374233128833</v>
      </c>
      <c r="AF15">
        <v>47.625</v>
      </c>
      <c r="AG15">
        <f t="shared" si="5"/>
        <v>12.700000000000003</v>
      </c>
      <c r="AH15">
        <f t="shared" si="31"/>
        <v>9.8159509202453976E-2</v>
      </c>
      <c r="AJ15">
        <f t="shared" si="6"/>
        <v>1.3392857142857142E-2</v>
      </c>
      <c r="AK15">
        <v>23.876000000000001</v>
      </c>
      <c r="AL15">
        <f t="shared" si="7"/>
        <v>0</v>
      </c>
      <c r="AM15">
        <f t="shared" si="32"/>
        <v>4.464285714285714E-3</v>
      </c>
      <c r="AO15">
        <v>3</v>
      </c>
      <c r="AP15">
        <v>119</v>
      </c>
      <c r="AQ15">
        <f t="shared" si="33"/>
        <v>1.8404907975460124E-2</v>
      </c>
      <c r="AR15" t="e">
        <f t="shared" si="8"/>
        <v>#N/A</v>
      </c>
      <c r="AT15" t="e">
        <f t="shared" si="9"/>
        <v>#N/A</v>
      </c>
      <c r="AU15">
        <f t="shared" si="10"/>
        <v>119</v>
      </c>
      <c r="AW15">
        <v>2.4539877300613498E-2</v>
      </c>
      <c r="AX15">
        <v>119</v>
      </c>
      <c r="AY15">
        <f t="shared" si="11"/>
        <v>16</v>
      </c>
      <c r="AZ15">
        <f t="shared" si="34"/>
        <v>1.2269938650306749E-2</v>
      </c>
      <c r="BB15">
        <f t="shared" si="12"/>
        <v>1.3392857142857142E-2</v>
      </c>
      <c r="BC15">
        <v>124.36549958143743</v>
      </c>
      <c r="BD15">
        <f t="shared" si="13"/>
        <v>4.6115129190408481</v>
      </c>
      <c r="BE15">
        <f t="shared" si="35"/>
        <v>4.464285714285714E-3</v>
      </c>
      <c r="BF15">
        <v>3</v>
      </c>
      <c r="BG15">
        <v>1.3897859459215999E-2</v>
      </c>
      <c r="BH15">
        <f t="shared" si="14"/>
        <v>2.0408163265306121E-2</v>
      </c>
      <c r="BI15">
        <f t="shared" si="15"/>
        <v>2.0408163265306121E-2</v>
      </c>
      <c r="BK15">
        <f t="shared" si="16"/>
        <v>2.0408163265306121E-2</v>
      </c>
      <c r="BL15">
        <f t="shared" si="17"/>
        <v>1.3897859459215999E-2</v>
      </c>
      <c r="BN15">
        <v>2.0408163265306121E-2</v>
      </c>
      <c r="BO15">
        <v>1.3897859459215999E-2</v>
      </c>
      <c r="BP15">
        <f t="shared" si="18"/>
        <v>3.2267204135745017E-3</v>
      </c>
      <c r="BQ15">
        <f t="shared" si="36"/>
        <v>6.802721088435373E-3</v>
      </c>
      <c r="BS15">
        <f t="shared" si="19"/>
        <v>1.3392857142857142E-2</v>
      </c>
      <c r="BT15">
        <v>1.4663163977025176E-2</v>
      </c>
      <c r="BU15">
        <f t="shared" si="20"/>
        <v>2.9090492984214823E-3</v>
      </c>
      <c r="BV15">
        <f t="shared" si="37"/>
        <v>4.464285714285714E-3</v>
      </c>
      <c r="BW15">
        <v>3</v>
      </c>
      <c r="BX15">
        <v>1.0984182776801405E-2</v>
      </c>
      <c r="BY15">
        <f t="shared" si="21"/>
        <v>2.2222222222222223E-2</v>
      </c>
      <c r="BZ15">
        <f t="shared" si="22"/>
        <v>2.2222222222222223E-2</v>
      </c>
      <c r="CB15">
        <f t="shared" si="23"/>
        <v>2.2222222222222223E-2</v>
      </c>
      <c r="CC15">
        <f t="shared" si="24"/>
        <v>1.0984182776801405E-2</v>
      </c>
      <c r="CE15">
        <v>0.22962962962962963</v>
      </c>
      <c r="CF15">
        <v>1.6666666666666666E-2</v>
      </c>
      <c r="CG15">
        <f t="shared" si="25"/>
        <v>1.111111111111111E-2</v>
      </c>
      <c r="CH15">
        <f t="shared" si="38"/>
        <v>0.11851851851851852</v>
      </c>
      <c r="CJ15">
        <f t="shared" si="26"/>
        <v>1.3392857142857142E-2</v>
      </c>
      <c r="CK15">
        <v>1.09841827768E-2</v>
      </c>
      <c r="CL15">
        <f t="shared" si="27"/>
        <v>5.0832109000000653E-6</v>
      </c>
      <c r="CM15">
        <f t="shared" si="39"/>
        <v>4.464285714285714E-3</v>
      </c>
    </row>
    <row r="16" spans="2:91">
      <c r="B16">
        <v>4</v>
      </c>
      <c r="C16" t="e">
        <f>IF(ISNUMBER(K16),IF('Lab test'!N7&gt;0,'Lab test'!N7,NA()),NA())</f>
        <v>#N/A</v>
      </c>
      <c r="D16" t="e">
        <f>IF(ISNUMBER(K16),IF('Lab test'!Q7&gt;0,'Lab test'!Q7,NA()),NA())</f>
        <v>#N/A</v>
      </c>
      <c r="E16" t="e">
        <f>IF(ISNUMBER(K16),IF('Lab test'!P7&gt;0,'Lab test'!P7,NA()),NA())</f>
        <v>#N/A</v>
      </c>
      <c r="F16" t="e">
        <f>IF(ISNUMBER(K16),IF('Lab test'!AJ7&gt;0,'Lab test'!AJ7,NA()),NA())</f>
        <v>#N/A</v>
      </c>
      <c r="G16">
        <f>IF('Lab test'!V7&gt;0,'Lab test'!V7,NA())</f>
        <v>74463.38</v>
      </c>
      <c r="H16">
        <f>IF(MAX('Lab test'!W7,'Lab test'!X7)&gt;0,MAX('Lab test'!W7,'Lab test'!X7),NA())</f>
        <v>389.55</v>
      </c>
      <c r="I16">
        <f>IF('Lab test'!AU7&gt;0,'Lab test'!AU7,NA())</f>
        <v>1.0548774996791168</v>
      </c>
      <c r="J16">
        <f>IF('Lab test'!AT7&gt;0,'Lab test'!AT7,NA())</f>
        <v>0.241082284074776</v>
      </c>
      <c r="K16" t="e">
        <f t="shared" si="28"/>
        <v>#N/A</v>
      </c>
      <c r="L16" t="str">
        <f>'Lab test'!AC7</f>
        <v>Machined</v>
      </c>
      <c r="N16">
        <v>4</v>
      </c>
      <c r="O16">
        <v>102.54146637700001</v>
      </c>
      <c r="P16">
        <v>0.34446622596400001</v>
      </c>
      <c r="Q16">
        <f t="shared" si="29"/>
        <v>297.68220698570479</v>
      </c>
      <c r="R16">
        <v>594.182623982</v>
      </c>
      <c r="S16">
        <f t="shared" si="30"/>
        <v>0.3358489425405774</v>
      </c>
      <c r="T16">
        <v>3.3209047136400001E-2</v>
      </c>
      <c r="U16">
        <f t="shared" si="0"/>
        <v>1.7857142857142856E-2</v>
      </c>
      <c r="W16">
        <v>4</v>
      </c>
      <c r="X16">
        <v>23.876000000000001</v>
      </c>
      <c r="Y16">
        <f t="shared" si="1"/>
        <v>2.4539877300613498E-2</v>
      </c>
      <c r="Z16" t="e">
        <f t="shared" si="2"/>
        <v>#N/A</v>
      </c>
      <c r="AB16" t="e">
        <f t="shared" si="3"/>
        <v>#N/A</v>
      </c>
      <c r="AC16">
        <f t="shared" si="4"/>
        <v>23.876000000000001</v>
      </c>
      <c r="AE16">
        <v>0.31288343558282211</v>
      </c>
      <c r="AF16">
        <v>60.325000000000003</v>
      </c>
      <c r="AG16">
        <f t="shared" si="5"/>
        <v>11.683999999999997</v>
      </c>
      <c r="AH16">
        <f t="shared" si="31"/>
        <v>6.1349693251533777E-2</v>
      </c>
      <c r="AJ16">
        <f t="shared" si="6"/>
        <v>1.7857142857142856E-2</v>
      </c>
      <c r="AK16">
        <v>23.876000000000001</v>
      </c>
      <c r="AL16">
        <f t="shared" si="7"/>
        <v>0</v>
      </c>
      <c r="AM16">
        <f t="shared" si="32"/>
        <v>4.464285714285714E-3</v>
      </c>
      <c r="AO16">
        <v>4</v>
      </c>
      <c r="AP16">
        <v>119</v>
      </c>
      <c r="AQ16">
        <f t="shared" si="33"/>
        <v>2.4539877300613498E-2</v>
      </c>
      <c r="AR16">
        <f t="shared" si="8"/>
        <v>2.4539877300613498E-2</v>
      </c>
      <c r="AT16">
        <f t="shared" si="9"/>
        <v>2.4539877300613498E-2</v>
      </c>
      <c r="AU16">
        <f t="shared" si="10"/>
        <v>119</v>
      </c>
      <c r="AW16">
        <v>4.2944785276073622E-2</v>
      </c>
      <c r="AX16">
        <v>135</v>
      </c>
      <c r="AY16">
        <f t="shared" si="11"/>
        <v>22.872696817420433</v>
      </c>
      <c r="AZ16">
        <f t="shared" si="34"/>
        <v>1.8404907975460124E-2</v>
      </c>
      <c r="BB16">
        <f t="shared" si="12"/>
        <v>1.7857142857142856E-2</v>
      </c>
      <c r="BC16">
        <v>128.97701250047828</v>
      </c>
      <c r="BD16">
        <f t="shared" si="13"/>
        <v>0.7446413127249798</v>
      </c>
      <c r="BE16">
        <f t="shared" si="35"/>
        <v>4.464285714285714E-3</v>
      </c>
      <c r="BF16">
        <v>4</v>
      </c>
      <c r="BG16">
        <v>1.71245798727905E-2</v>
      </c>
      <c r="BH16">
        <f t="shared" si="14"/>
        <v>2.7210884353741496E-2</v>
      </c>
      <c r="BI16">
        <f t="shared" si="15"/>
        <v>2.7210884353741496E-2</v>
      </c>
      <c r="BK16">
        <f t="shared" si="16"/>
        <v>2.7210884353741496E-2</v>
      </c>
      <c r="BL16">
        <f t="shared" si="17"/>
        <v>1.71245798727905E-2</v>
      </c>
      <c r="BN16">
        <v>2.7210884353741496E-2</v>
      </c>
      <c r="BO16">
        <v>1.71245798727905E-2</v>
      </c>
      <c r="BP16">
        <f t="shared" si="18"/>
        <v>9.0954728262073598E-4</v>
      </c>
      <c r="BQ16">
        <f t="shared" si="36"/>
        <v>6.8027210884353748E-3</v>
      </c>
      <c r="BS16">
        <f t="shared" si="19"/>
        <v>1.7857142857142856E-2</v>
      </c>
      <c r="BT16">
        <v>1.7572213275446658E-2</v>
      </c>
      <c r="BU16">
        <f t="shared" si="20"/>
        <v>4.6641467877984663E-4</v>
      </c>
      <c r="BV16">
        <f t="shared" si="37"/>
        <v>4.464285714285714E-3</v>
      </c>
      <c r="BW16">
        <v>4</v>
      </c>
      <c r="BX16">
        <v>1.1022927689594356E-2</v>
      </c>
      <c r="BY16">
        <f t="shared" si="21"/>
        <v>2.9629629629629631E-2</v>
      </c>
      <c r="BZ16" t="e">
        <f t="shared" si="22"/>
        <v>#N/A</v>
      </c>
      <c r="CB16" t="e">
        <f t="shared" si="23"/>
        <v>#N/A</v>
      </c>
      <c r="CC16">
        <f t="shared" si="24"/>
        <v>1.1022927689594356E-2</v>
      </c>
      <c r="CE16">
        <v>0.32592592592592595</v>
      </c>
      <c r="CF16">
        <v>2.7777777777777776E-2</v>
      </c>
      <c r="CG16">
        <f t="shared" si="25"/>
        <v>5.3787208959622732E-3</v>
      </c>
      <c r="CH16">
        <f t="shared" si="38"/>
        <v>9.6296296296296324E-2</v>
      </c>
      <c r="CJ16">
        <f t="shared" si="26"/>
        <v>1.7857142857142856E-2</v>
      </c>
      <c r="CK16">
        <v>1.09892659877E-2</v>
      </c>
      <c r="CL16">
        <f t="shared" si="27"/>
        <v>6.7147500000010185E-7</v>
      </c>
      <c r="CM16">
        <f t="shared" si="39"/>
        <v>4.464285714285714E-3</v>
      </c>
    </row>
    <row r="17" spans="2:91">
      <c r="B17">
        <v>5</v>
      </c>
      <c r="C17" t="e">
        <f>IF(ISNUMBER(K17),IF('Lab test'!N8&gt;0,'Lab test'!N8,NA()),NA())</f>
        <v>#N/A</v>
      </c>
      <c r="D17" t="e">
        <f>IF(ISNUMBER(K17),IF('Lab test'!Q8&gt;0,'Lab test'!Q8,NA()),NA())</f>
        <v>#N/A</v>
      </c>
      <c r="E17" t="e">
        <f>IF(ISNUMBER(K17),IF('Lab test'!P8&gt;0,'Lab test'!P8,NA()),NA())</f>
        <v>#N/A</v>
      </c>
      <c r="F17" t="e">
        <f>IF(ISNUMBER(K17),IF('Lab test'!AJ8&gt;0,'Lab test'!AJ8,NA()),NA())</f>
        <v>#N/A</v>
      </c>
      <c r="G17">
        <f>IF('Lab test'!V8&gt;0,'Lab test'!V8,NA())</f>
        <v>74463.38</v>
      </c>
      <c r="H17">
        <f>IF(MAX('Lab test'!W8,'Lab test'!X8)&gt;0,MAX('Lab test'!W8,'Lab test'!X8),NA())</f>
        <v>389.55</v>
      </c>
      <c r="I17">
        <f>IF('Lab test'!AU8&gt;0,'Lab test'!AU8,NA())</f>
        <v>1.0283285842638943</v>
      </c>
      <c r="J17">
        <f>IF('Lab test'!AT8&gt;0,'Lab test'!AT8,NA())</f>
        <v>0.23501478034097101</v>
      </c>
      <c r="K17" t="e">
        <f t="shared" si="28"/>
        <v>#N/A</v>
      </c>
      <c r="L17" t="str">
        <f>'Lab test'!AC8</f>
        <v>Machined</v>
      </c>
      <c r="N17">
        <v>5</v>
      </c>
      <c r="O17">
        <v>103.96605972099999</v>
      </c>
      <c r="P17">
        <v>0.577359257648</v>
      </c>
      <c r="Q17">
        <f t="shared" si="29"/>
        <v>180.07169425935703</v>
      </c>
      <c r="R17">
        <v>498.153668708</v>
      </c>
      <c r="S17">
        <f t="shared" si="30"/>
        <v>0.35706643130473964</v>
      </c>
      <c r="T17">
        <v>2.2901095187800001E-2</v>
      </c>
      <c r="U17">
        <f t="shared" si="0"/>
        <v>2.2321428571428572E-2</v>
      </c>
      <c r="W17">
        <v>5</v>
      </c>
      <c r="X17">
        <v>23.876000000000001</v>
      </c>
      <c r="Y17">
        <f t="shared" si="1"/>
        <v>3.0674846625766871E-2</v>
      </c>
      <c r="Z17" t="e">
        <f t="shared" si="2"/>
        <v>#N/A</v>
      </c>
      <c r="AB17" t="e">
        <f t="shared" si="3"/>
        <v>#N/A</v>
      </c>
      <c r="AC17">
        <f t="shared" si="4"/>
        <v>23.876000000000001</v>
      </c>
      <c r="AE17">
        <v>0.38650306748466257</v>
      </c>
      <c r="AF17">
        <v>72.009</v>
      </c>
      <c r="AG17">
        <f t="shared" si="5"/>
        <v>0.25400000000000489</v>
      </c>
      <c r="AH17">
        <f t="shared" si="31"/>
        <v>7.3619631901840454E-2</v>
      </c>
      <c r="AJ17">
        <f t="shared" si="6"/>
        <v>2.2321428571428572E-2</v>
      </c>
      <c r="AK17">
        <v>23.876000000000001</v>
      </c>
      <c r="AL17">
        <f t="shared" si="7"/>
        <v>0</v>
      </c>
      <c r="AM17">
        <f t="shared" si="32"/>
        <v>4.4642857142857158E-3</v>
      </c>
      <c r="AO17">
        <v>5</v>
      </c>
      <c r="AP17">
        <v>135</v>
      </c>
      <c r="AQ17">
        <f t="shared" si="33"/>
        <v>3.0674846625766871E-2</v>
      </c>
      <c r="AR17" t="e">
        <f t="shared" si="8"/>
        <v>#N/A</v>
      </c>
      <c r="AT17" t="e">
        <f t="shared" si="9"/>
        <v>#N/A</v>
      </c>
      <c r="AU17">
        <f t="shared" si="10"/>
        <v>135</v>
      </c>
      <c r="AW17">
        <v>4.9079754601226995E-2</v>
      </c>
      <c r="AX17">
        <v>157.87269681742043</v>
      </c>
      <c r="AY17">
        <f t="shared" si="11"/>
        <v>2.6894837617959126</v>
      </c>
      <c r="AZ17">
        <f t="shared" si="34"/>
        <v>6.1349693251533735E-3</v>
      </c>
      <c r="BB17">
        <f t="shared" si="12"/>
        <v>2.2321428571428572E-2</v>
      </c>
      <c r="BC17">
        <v>129.72165381320326</v>
      </c>
      <c r="BD17">
        <f t="shared" si="13"/>
        <v>0.8767802606220414</v>
      </c>
      <c r="BE17">
        <f t="shared" si="35"/>
        <v>4.4642857142857158E-3</v>
      </c>
      <c r="BF17">
        <v>5</v>
      </c>
      <c r="BG17">
        <v>1.8034127155411236E-2</v>
      </c>
      <c r="BH17">
        <f t="shared" si="14"/>
        <v>3.4013605442176874E-2</v>
      </c>
      <c r="BI17">
        <f t="shared" si="15"/>
        <v>3.4013605442176874E-2</v>
      </c>
      <c r="BK17">
        <f t="shared" si="16"/>
        <v>3.4013605442176874E-2</v>
      </c>
      <c r="BL17">
        <f t="shared" si="17"/>
        <v>1.8034127155411236E-2</v>
      </c>
      <c r="BN17">
        <v>3.4013605442176874E-2</v>
      </c>
      <c r="BO17">
        <v>1.8034127155411236E-2</v>
      </c>
      <c r="BP17">
        <f t="shared" si="18"/>
        <v>1.4427301724329045E-4</v>
      </c>
      <c r="BQ17">
        <f t="shared" si="36"/>
        <v>6.8027210884353782E-3</v>
      </c>
      <c r="BS17">
        <f t="shared" si="19"/>
        <v>2.2321428571428572E-2</v>
      </c>
      <c r="BT17">
        <v>1.8038627954226505E-2</v>
      </c>
      <c r="BU17">
        <f t="shared" si="20"/>
        <v>6.1178121404861091E-4</v>
      </c>
      <c r="BV17">
        <f t="shared" si="37"/>
        <v>4.4642857142857158E-3</v>
      </c>
      <c r="BW17">
        <v>5</v>
      </c>
      <c r="BX17">
        <v>1.1022927689594356E-2</v>
      </c>
      <c r="BY17">
        <f t="shared" si="21"/>
        <v>3.7037037037037035E-2</v>
      </c>
      <c r="BZ17" t="e">
        <f t="shared" si="22"/>
        <v>#N/A</v>
      </c>
      <c r="CB17" t="e">
        <f t="shared" si="23"/>
        <v>#N/A</v>
      </c>
      <c r="CC17">
        <f t="shared" si="24"/>
        <v>1.1022927689594356E-2</v>
      </c>
      <c r="CE17">
        <v>0.4148148148148148</v>
      </c>
      <c r="CF17">
        <v>3.3156498673740049E-2</v>
      </c>
      <c r="CG17">
        <f t="shared" si="25"/>
        <v>1.7683465959328348E-4</v>
      </c>
      <c r="CH17">
        <f t="shared" si="38"/>
        <v>8.8888888888888851E-2</v>
      </c>
      <c r="CJ17">
        <f t="shared" si="26"/>
        <v>2.2321428571428572E-2</v>
      </c>
      <c r="CK17">
        <v>1.09899374627E-2</v>
      </c>
      <c r="CL17">
        <f t="shared" si="27"/>
        <v>4.8595201000006805E-6</v>
      </c>
      <c r="CM17">
        <f t="shared" si="39"/>
        <v>4.4642857142857158E-3</v>
      </c>
    </row>
    <row r="18" spans="2:91">
      <c r="B18">
        <v>6</v>
      </c>
      <c r="C18" t="e">
        <f>IF(ISNUMBER(K18),IF('Lab test'!N9&gt;0,'Lab test'!N9,NA()),NA())</f>
        <v>#N/A</v>
      </c>
      <c r="D18" t="e">
        <f>IF(ISNUMBER(K18),IF('Lab test'!Q9&gt;0,'Lab test'!Q9,NA()),NA())</f>
        <v>#N/A</v>
      </c>
      <c r="E18" t="e">
        <f>IF(ISNUMBER(K18),IF('Lab test'!P9&gt;0,'Lab test'!P9,NA()),NA())</f>
        <v>#N/A</v>
      </c>
      <c r="F18" t="e">
        <f>IF(ISNUMBER(K18),IF('Lab test'!AJ9&gt;0,'Lab test'!AJ9,NA()),NA())</f>
        <v>#N/A</v>
      </c>
      <c r="G18">
        <f>IF('Lab test'!V9&gt;0,'Lab test'!V9,NA())</f>
        <v>74463.38</v>
      </c>
      <c r="H18">
        <f>IF(MAX('Lab test'!W9,'Lab test'!X9)&gt;0,MAX('Lab test'!W9,'Lab test'!X9),NA())</f>
        <v>389.55</v>
      </c>
      <c r="I18">
        <f>IF('Lab test'!AU9&gt;0,'Lab test'!AU9,NA())</f>
        <v>1.0300984982672314</v>
      </c>
      <c r="J18">
        <f>IF('Lab test'!AT9&gt;0,'Lab test'!AT9,NA())</f>
        <v>0.23648774618483362</v>
      </c>
      <c r="K18" t="e">
        <f t="shared" si="28"/>
        <v>#N/A</v>
      </c>
      <c r="L18" t="str">
        <f>'Lab test'!AC9</f>
        <v>Machined</v>
      </c>
      <c r="N18">
        <v>6</v>
      </c>
      <c r="O18">
        <v>104.17785010999999</v>
      </c>
      <c r="P18">
        <v>0.26135403856299999</v>
      </c>
      <c r="Q18">
        <f t="shared" si="29"/>
        <v>398.6081511607776</v>
      </c>
      <c r="R18">
        <v>393.73841843299999</v>
      </c>
      <c r="S18">
        <f t="shared" si="30"/>
        <v>0.1893037922180057</v>
      </c>
      <c r="T18">
        <v>2.6658577256600001E-2</v>
      </c>
      <c r="U18">
        <f t="shared" si="0"/>
        <v>2.6785714285714284E-2</v>
      </c>
      <c r="W18">
        <v>6</v>
      </c>
      <c r="X18">
        <v>23.876000000000001</v>
      </c>
      <c r="Y18">
        <f t="shared" si="1"/>
        <v>3.6809815950920248E-2</v>
      </c>
      <c r="Z18" t="e">
        <f t="shared" si="2"/>
        <v>#N/A</v>
      </c>
      <c r="AB18" t="e">
        <f t="shared" si="3"/>
        <v>#N/A</v>
      </c>
      <c r="AC18">
        <f t="shared" si="4"/>
        <v>23.876000000000001</v>
      </c>
      <c r="AE18">
        <v>0.40490797546012269</v>
      </c>
      <c r="AF18">
        <v>72.263000000000005</v>
      </c>
      <c r="AG18">
        <f t="shared" si="5"/>
        <v>2.7369999999999948</v>
      </c>
      <c r="AH18">
        <f t="shared" si="31"/>
        <v>1.8404907975460127E-2</v>
      </c>
      <c r="AJ18">
        <f t="shared" si="6"/>
        <v>2.6785714285714284E-2</v>
      </c>
      <c r="AK18">
        <v>23.876000000000001</v>
      </c>
      <c r="AL18">
        <f t="shared" si="7"/>
        <v>0</v>
      </c>
      <c r="AM18">
        <f t="shared" si="32"/>
        <v>4.4642857142857123E-3</v>
      </c>
      <c r="AO18">
        <v>6</v>
      </c>
      <c r="AP18">
        <v>135</v>
      </c>
      <c r="AQ18">
        <f t="shared" si="33"/>
        <v>3.6809815950920248E-2</v>
      </c>
      <c r="AR18" t="e">
        <f t="shared" si="8"/>
        <v>#N/A</v>
      </c>
      <c r="AT18" t="e">
        <f t="shared" si="9"/>
        <v>#N/A</v>
      </c>
      <c r="AU18">
        <f t="shared" si="10"/>
        <v>135</v>
      </c>
      <c r="AW18">
        <v>5.5214723926380369E-2</v>
      </c>
      <c r="AX18">
        <v>160.56218057921635</v>
      </c>
      <c r="AY18">
        <f t="shared" si="11"/>
        <v>1.1016273110066379</v>
      </c>
      <c r="AZ18">
        <f t="shared" si="34"/>
        <v>6.1349693251533735E-3</v>
      </c>
      <c r="BB18">
        <f t="shared" si="12"/>
        <v>2.6785714285714284E-2</v>
      </c>
      <c r="BC18">
        <v>130.5984340738253</v>
      </c>
      <c r="BD18">
        <f t="shared" si="13"/>
        <v>8.2951849972672562</v>
      </c>
      <c r="BE18">
        <f t="shared" si="35"/>
        <v>4.4642857142857123E-3</v>
      </c>
      <c r="BF18">
        <v>6</v>
      </c>
      <c r="BG18">
        <v>1.8178400172654527E-2</v>
      </c>
      <c r="BH18">
        <f t="shared" si="14"/>
        <v>4.0816326530612242E-2</v>
      </c>
      <c r="BI18">
        <f t="shared" si="15"/>
        <v>4.0816326530612242E-2</v>
      </c>
      <c r="BK18">
        <f t="shared" si="16"/>
        <v>4.0816326530612242E-2</v>
      </c>
      <c r="BL18">
        <f t="shared" si="17"/>
        <v>1.8178400172654527E-2</v>
      </c>
      <c r="BN18">
        <v>4.0816326530612242E-2</v>
      </c>
      <c r="BO18">
        <v>1.8178400172654527E-2</v>
      </c>
      <c r="BP18">
        <f t="shared" si="18"/>
        <v>4.4700984031117649E-4</v>
      </c>
      <c r="BQ18">
        <f t="shared" si="36"/>
        <v>6.8027210884353678E-3</v>
      </c>
      <c r="BS18">
        <f t="shared" si="19"/>
        <v>2.6785714285714284E-2</v>
      </c>
      <c r="BT18">
        <v>1.8650409168275116E-2</v>
      </c>
      <c r="BU18">
        <f t="shared" si="20"/>
        <v>3.3439985793138824E-4</v>
      </c>
      <c r="BV18">
        <f t="shared" si="37"/>
        <v>4.4642857142857123E-3</v>
      </c>
      <c r="BW18">
        <v>6</v>
      </c>
      <c r="BX18">
        <v>1.1022927689594356E-2</v>
      </c>
      <c r="BY18">
        <f t="shared" si="21"/>
        <v>4.4444444444444446E-2</v>
      </c>
      <c r="BZ18" t="e">
        <f t="shared" si="22"/>
        <v>#N/A</v>
      </c>
      <c r="CB18" t="e">
        <f t="shared" si="23"/>
        <v>#N/A</v>
      </c>
      <c r="CC18">
        <f t="shared" si="24"/>
        <v>1.1022927689594356E-2</v>
      </c>
      <c r="CE18">
        <v>0.54814814814814816</v>
      </c>
      <c r="CF18">
        <v>3.3333333333333333E-2</v>
      </c>
      <c r="CG18">
        <f t="shared" si="25"/>
        <v>1.3888888888888909E-3</v>
      </c>
      <c r="CH18">
        <f t="shared" si="38"/>
        <v>0.13333333333333336</v>
      </c>
      <c r="CJ18">
        <f t="shared" si="26"/>
        <v>2.6785714285714284E-2</v>
      </c>
      <c r="CK18">
        <v>1.09947969828E-2</v>
      </c>
      <c r="CL18">
        <f t="shared" si="27"/>
        <v>4.1240719999939557E-7</v>
      </c>
      <c r="CM18">
        <f t="shared" si="39"/>
        <v>4.4642857142857123E-3</v>
      </c>
    </row>
    <row r="19" spans="2:91">
      <c r="B19">
        <v>7</v>
      </c>
      <c r="C19" t="e">
        <f>IF(ISNUMBER(K19),IF('Lab test'!N10&gt;0,'Lab test'!N10,NA()),NA())</f>
        <v>#N/A</v>
      </c>
      <c r="D19" t="e">
        <f>IF(ISNUMBER(K19),IF('Lab test'!Q10&gt;0,'Lab test'!Q10,NA()),NA())</f>
        <v>#N/A</v>
      </c>
      <c r="E19" t="e">
        <f>IF(ISNUMBER(K19),IF('Lab test'!P10&gt;0,'Lab test'!P10,NA()),NA())</f>
        <v>#N/A</v>
      </c>
      <c r="F19" t="e">
        <f>IF(ISNUMBER(K19),IF('Lab test'!AJ10&gt;0,'Lab test'!AJ10,NA()),NA())</f>
        <v>#N/A</v>
      </c>
      <c r="G19">
        <f>IF('Lab test'!V10&gt;0,'Lab test'!V10,NA())</f>
        <v>74463.38</v>
      </c>
      <c r="H19">
        <f>IF(MAX('Lab test'!W10,'Lab test'!X10)&gt;0,MAX('Lab test'!W10,'Lab test'!X10),NA())</f>
        <v>389.55</v>
      </c>
      <c r="I19">
        <f>IF('Lab test'!AU10&gt;0,'Lab test'!AU10,NA())</f>
        <v>1.0300984982672314</v>
      </c>
      <c r="J19">
        <f>IF('Lab test'!AT10&gt;0,'Lab test'!AT10,NA())</f>
        <v>0.23693291615148723</v>
      </c>
      <c r="K19" t="e">
        <f t="shared" si="28"/>
        <v>#N/A</v>
      </c>
      <c r="L19" t="str">
        <f>'Lab test'!AC10</f>
        <v>Machined</v>
      </c>
      <c r="N19">
        <v>7</v>
      </c>
      <c r="O19">
        <v>104.34301467100001</v>
      </c>
      <c r="P19">
        <v>0.64883283028600003</v>
      </c>
      <c r="Q19">
        <f t="shared" si="29"/>
        <v>160.81648430922721</v>
      </c>
      <c r="R19">
        <v>75.781655999999998</v>
      </c>
      <c r="S19">
        <f t="shared" si="30"/>
        <v>5.7271087441229336E-2</v>
      </c>
      <c r="T19">
        <v>6.6612908408400007E-2</v>
      </c>
      <c r="U19">
        <f t="shared" si="0"/>
        <v>3.125E-2</v>
      </c>
      <c r="W19">
        <v>7</v>
      </c>
      <c r="X19">
        <v>23.876000000000001</v>
      </c>
      <c r="Y19">
        <f t="shared" si="1"/>
        <v>4.2944785276073622E-2</v>
      </c>
      <c r="Z19" t="e">
        <f t="shared" si="2"/>
        <v>#N/A</v>
      </c>
      <c r="AB19" t="e">
        <f t="shared" si="3"/>
        <v>#N/A</v>
      </c>
      <c r="AC19">
        <f t="shared" si="4"/>
        <v>23.876000000000001</v>
      </c>
      <c r="AE19">
        <v>0.41104294478527609</v>
      </c>
      <c r="AF19">
        <v>75</v>
      </c>
      <c r="AG19">
        <f t="shared" si="5"/>
        <v>0.89520000000000266</v>
      </c>
      <c r="AH19">
        <f t="shared" si="31"/>
        <v>6.1349693251533943E-3</v>
      </c>
      <c r="AJ19">
        <f t="shared" si="6"/>
        <v>3.125E-2</v>
      </c>
      <c r="AK19">
        <v>23.876000000000001</v>
      </c>
      <c r="AL19">
        <f t="shared" si="7"/>
        <v>7.6946258999974759E-3</v>
      </c>
      <c r="AM19">
        <f t="shared" si="32"/>
        <v>4.4642857142857158E-3</v>
      </c>
      <c r="AO19">
        <v>7</v>
      </c>
      <c r="AP19">
        <v>135</v>
      </c>
      <c r="AQ19">
        <f t="shared" si="33"/>
        <v>4.2944785276073622E-2</v>
      </c>
      <c r="AR19">
        <f t="shared" si="8"/>
        <v>4.2944785276073622E-2</v>
      </c>
      <c r="AT19">
        <f t="shared" si="9"/>
        <v>4.2944785276073622E-2</v>
      </c>
      <c r="AU19">
        <f t="shared" si="10"/>
        <v>135</v>
      </c>
      <c r="AW19">
        <v>6.1349693251533742E-2</v>
      </c>
      <c r="AX19">
        <v>161.66380789022298</v>
      </c>
      <c r="AY19">
        <f t="shared" si="11"/>
        <v>7.3361921097770164</v>
      </c>
      <c r="AZ19">
        <f t="shared" si="34"/>
        <v>6.1349693251533735E-3</v>
      </c>
      <c r="BB19">
        <f t="shared" si="12"/>
        <v>3.125E-2</v>
      </c>
      <c r="BC19">
        <v>138.89361907109256</v>
      </c>
      <c r="BD19">
        <f t="shared" si="13"/>
        <v>15.734765101406509</v>
      </c>
      <c r="BE19">
        <f t="shared" si="35"/>
        <v>4.4642857142857158E-3</v>
      </c>
      <c r="BF19">
        <v>7</v>
      </c>
      <c r="BG19">
        <v>1.8625410012965703E-2</v>
      </c>
      <c r="BH19">
        <f t="shared" si="14"/>
        <v>4.7619047619047616E-2</v>
      </c>
      <c r="BI19">
        <f t="shared" si="15"/>
        <v>4.7619047619047616E-2</v>
      </c>
      <c r="BK19">
        <f t="shared" si="16"/>
        <v>4.7619047619047616E-2</v>
      </c>
      <c r="BL19">
        <f t="shared" si="17"/>
        <v>1.8625410012965703E-2</v>
      </c>
      <c r="BN19">
        <v>4.7619047619047616E-2</v>
      </c>
      <c r="BO19">
        <v>1.8625410012965703E-2</v>
      </c>
      <c r="BP19">
        <f t="shared" si="18"/>
        <v>3.896529291415457E-4</v>
      </c>
      <c r="BQ19">
        <f t="shared" si="36"/>
        <v>6.8027210884353748E-3</v>
      </c>
      <c r="BS19">
        <f t="shared" si="19"/>
        <v>3.125E-2</v>
      </c>
      <c r="BT19">
        <v>1.8984809026206504E-2</v>
      </c>
      <c r="BU19">
        <f t="shared" si="20"/>
        <v>2.3641754073445986E-4</v>
      </c>
      <c r="BV19">
        <f t="shared" si="37"/>
        <v>4.4642857142857158E-3</v>
      </c>
      <c r="BW19">
        <v>7</v>
      </c>
      <c r="BX19">
        <v>1.1022927689594356E-2</v>
      </c>
      <c r="BY19">
        <f t="shared" si="21"/>
        <v>5.185185185185185E-2</v>
      </c>
      <c r="BZ19" t="e">
        <f t="shared" si="22"/>
        <v>#N/A</v>
      </c>
      <c r="CB19" t="e">
        <f t="shared" si="23"/>
        <v>#N/A</v>
      </c>
      <c r="CC19">
        <f t="shared" si="24"/>
        <v>1.1022927689594356E-2</v>
      </c>
      <c r="CE19">
        <v>0.57037037037037042</v>
      </c>
      <c r="CF19">
        <v>3.4722222222222224E-2</v>
      </c>
      <c r="CG19">
        <f t="shared" si="25"/>
        <v>1.157407407407407E-2</v>
      </c>
      <c r="CH19">
        <f t="shared" si="38"/>
        <v>2.2222222222222254E-2</v>
      </c>
      <c r="CJ19">
        <f t="shared" si="26"/>
        <v>3.125E-2</v>
      </c>
      <c r="CK19">
        <v>1.099520939E-2</v>
      </c>
      <c r="CL19">
        <f t="shared" si="27"/>
        <v>1.7220250000081483E-7</v>
      </c>
      <c r="CM19">
        <f t="shared" si="39"/>
        <v>4.4642857142857158E-3</v>
      </c>
    </row>
    <row r="20" spans="2:91">
      <c r="B20">
        <v>8</v>
      </c>
      <c r="C20" t="e">
        <f>IF(ISNUMBER(K20),IF('Lab test'!N11&gt;0,'Lab test'!N11,NA()),NA())</f>
        <v>#N/A</v>
      </c>
      <c r="D20" t="e">
        <f>IF(ISNUMBER(K20),IF('Lab test'!Q11&gt;0,'Lab test'!Q11,NA()),NA())</f>
        <v>#N/A</v>
      </c>
      <c r="E20" t="e">
        <f>IF(ISNUMBER(K20),IF('Lab test'!P11&gt;0,'Lab test'!P11,NA()),NA())</f>
        <v>#N/A</v>
      </c>
      <c r="F20" t="e">
        <f>IF(ISNUMBER(K20),IF('Lab test'!AJ11&gt;0,'Lab test'!AJ11,NA()),NA())</f>
        <v>#N/A</v>
      </c>
      <c r="G20">
        <f>IF('Lab test'!V11&gt;0,'Lab test'!V11,NA())</f>
        <v>74463.38</v>
      </c>
      <c r="H20">
        <f>IF(MAX('Lab test'!W11,'Lab test'!X11)&gt;0,MAX('Lab test'!W11,'Lab test'!X11),NA())</f>
        <v>389.55</v>
      </c>
      <c r="I20">
        <f>IF('Lab test'!AU11&gt;0,'Lab test'!AU11,NA())</f>
        <v>1.0543465280451803</v>
      </c>
      <c r="J20">
        <f>IF('Lab test'!AT11&gt;0,'Lab test'!AT11,NA())</f>
        <v>0.23640414346969585</v>
      </c>
      <c r="K20" t="e">
        <f t="shared" si="28"/>
        <v>#N/A</v>
      </c>
      <c r="L20" t="str">
        <f>'Lab test'!AC11</f>
        <v>Machined</v>
      </c>
      <c r="N20">
        <v>8</v>
      </c>
      <c r="O20">
        <v>104.48817232</v>
      </c>
      <c r="P20">
        <v>0.345279035397</v>
      </c>
      <c r="Q20">
        <f t="shared" si="29"/>
        <v>302.61950946387481</v>
      </c>
      <c r="R20">
        <v>70.963218626400007</v>
      </c>
      <c r="S20">
        <f t="shared" si="30"/>
        <v>3.9040710348732813E-2</v>
      </c>
      <c r="T20">
        <v>1.32374701793E-2</v>
      </c>
      <c r="U20">
        <f t="shared" si="0"/>
        <v>3.5714285714285712E-2</v>
      </c>
      <c r="W20">
        <v>8</v>
      </c>
      <c r="X20">
        <v>23.876000000000001</v>
      </c>
      <c r="Y20">
        <f t="shared" si="1"/>
        <v>4.9079754601226995E-2</v>
      </c>
      <c r="Z20" t="e">
        <f t="shared" si="2"/>
        <v>#N/A</v>
      </c>
      <c r="AB20" t="e">
        <f t="shared" si="3"/>
        <v>#N/A</v>
      </c>
      <c r="AC20">
        <f t="shared" si="4"/>
        <v>23.876000000000001</v>
      </c>
      <c r="AE20">
        <v>0.42331288343558282</v>
      </c>
      <c r="AF20">
        <v>75.895200000000003</v>
      </c>
      <c r="AG20">
        <f t="shared" si="5"/>
        <v>0.30480000000000018</v>
      </c>
      <c r="AH20">
        <f t="shared" si="31"/>
        <v>1.2269938650306733E-2</v>
      </c>
      <c r="AJ20">
        <f t="shared" si="6"/>
        <v>3.5714285714285712E-2</v>
      </c>
      <c r="AK20">
        <v>23.883694625899999</v>
      </c>
      <c r="AL20">
        <f t="shared" si="7"/>
        <v>2.6308897000006937E-3</v>
      </c>
      <c r="AM20">
        <f t="shared" si="32"/>
        <v>4.4642857142857123E-3</v>
      </c>
      <c r="AO20">
        <v>8</v>
      </c>
      <c r="AP20">
        <v>157.87269681742043</v>
      </c>
      <c r="AQ20">
        <f t="shared" si="33"/>
        <v>4.9079754601226995E-2</v>
      </c>
      <c r="AR20">
        <f t="shared" si="8"/>
        <v>4.9079754601226995E-2</v>
      </c>
      <c r="AT20">
        <f t="shared" si="9"/>
        <v>4.9079754601226995E-2</v>
      </c>
      <c r="AU20">
        <f t="shared" si="10"/>
        <v>157.87269681742043</v>
      </c>
      <c r="AW20">
        <v>7.3619631901840496E-2</v>
      </c>
      <c r="AX20">
        <v>169</v>
      </c>
      <c r="AY20">
        <f t="shared" si="11"/>
        <v>68.974683544303758</v>
      </c>
      <c r="AZ20">
        <f t="shared" si="34"/>
        <v>1.2269938650306754E-2</v>
      </c>
      <c r="BB20">
        <f t="shared" si="12"/>
        <v>3.5714285714285712E-2</v>
      </c>
      <c r="BC20">
        <v>154.62838417249907</v>
      </c>
      <c r="BD20">
        <f t="shared" si="13"/>
        <v>6.1881001367281385</v>
      </c>
      <c r="BE20">
        <f t="shared" si="35"/>
        <v>4.4642857142857123E-3</v>
      </c>
      <c r="BF20">
        <v>8</v>
      </c>
      <c r="BG20">
        <v>1.9015062942107249E-2</v>
      </c>
      <c r="BH20">
        <f t="shared" si="14"/>
        <v>5.4421768707482991E-2</v>
      </c>
      <c r="BI20">
        <f t="shared" si="15"/>
        <v>5.4421768707482991E-2</v>
      </c>
      <c r="BK20">
        <f t="shared" si="16"/>
        <v>5.4421768707482991E-2</v>
      </c>
      <c r="BL20">
        <f t="shared" si="17"/>
        <v>1.9015062942107249E-2</v>
      </c>
      <c r="BN20">
        <v>5.4421768707482991E-2</v>
      </c>
      <c r="BO20">
        <v>1.9015062942107249E-2</v>
      </c>
      <c r="BP20">
        <f t="shared" si="18"/>
        <v>4.8965827318730656E-4</v>
      </c>
      <c r="BQ20">
        <f t="shared" si="36"/>
        <v>6.8027210884353748E-3</v>
      </c>
      <c r="BS20">
        <f t="shared" si="19"/>
        <v>3.5714285714285712E-2</v>
      </c>
      <c r="BT20">
        <v>1.9221226566940964E-2</v>
      </c>
      <c r="BU20">
        <f t="shared" si="20"/>
        <v>3.1435170519253028E-4</v>
      </c>
      <c r="BV20">
        <f t="shared" si="37"/>
        <v>4.4642857142857123E-3</v>
      </c>
      <c r="BW20">
        <v>8</v>
      </c>
      <c r="BX20">
        <v>1.1022927689594356E-2</v>
      </c>
      <c r="BY20">
        <f t="shared" si="21"/>
        <v>5.9259259259259262E-2</v>
      </c>
      <c r="BZ20" t="e">
        <f t="shared" si="22"/>
        <v>#N/A</v>
      </c>
      <c r="CB20" t="e">
        <f t="shared" si="23"/>
        <v>#N/A</v>
      </c>
      <c r="CC20">
        <f t="shared" si="24"/>
        <v>1.1022927689594356E-2</v>
      </c>
      <c r="CE20">
        <v>0.6074074074074074</v>
      </c>
      <c r="CF20">
        <v>4.6296296296296294E-2</v>
      </c>
      <c r="CG20">
        <f t="shared" si="25"/>
        <v>2.0193065405831365E-2</v>
      </c>
      <c r="CH20">
        <f t="shared" si="38"/>
        <v>3.7037037037036979E-2</v>
      </c>
      <c r="CJ20">
        <f t="shared" si="26"/>
        <v>3.5714285714285712E-2</v>
      </c>
      <c r="CK20">
        <v>1.0995381592500001E-2</v>
      </c>
      <c r="CL20">
        <f t="shared" si="27"/>
        <v>2.5254929999999481E-6</v>
      </c>
      <c r="CM20">
        <f t="shared" si="39"/>
        <v>4.4642857142857123E-3</v>
      </c>
    </row>
    <row r="21" spans="2:91">
      <c r="B21">
        <v>9</v>
      </c>
      <c r="C21" t="e">
        <f>IF(ISNUMBER(K21),IF('Lab test'!N12&gt;0,'Lab test'!N12,NA()),NA())</f>
        <v>#N/A</v>
      </c>
      <c r="D21" t="e">
        <f>IF(ISNUMBER(K21),IF('Lab test'!Q12&gt;0,'Lab test'!Q12,NA()),NA())</f>
        <v>#N/A</v>
      </c>
      <c r="E21" t="e">
        <f>IF(ISNUMBER(K21),IF('Lab test'!P12&gt;0,'Lab test'!P12,NA()),NA())</f>
        <v>#N/A</v>
      </c>
      <c r="F21" t="e">
        <f>IF(ISNUMBER(K21),IF('Lab test'!AJ12&gt;0,'Lab test'!AJ12,NA()),NA())</f>
        <v>#N/A</v>
      </c>
      <c r="G21">
        <f>IF('Lab test'!V12&gt;0,'Lab test'!V12,NA())</f>
        <v>74463.38</v>
      </c>
      <c r="H21">
        <f>IF(MAX('Lab test'!W12,'Lab test'!X12)&gt;0,MAX('Lab test'!W12,'Lab test'!X12),NA())</f>
        <v>389.55</v>
      </c>
      <c r="I21">
        <f>IF('Lab test'!AU12&gt;0,'Lab test'!AU12,NA())</f>
        <v>1.040010114234373</v>
      </c>
      <c r="J21">
        <f>IF('Lab test'!AT12&gt;0,'Lab test'!AT12,NA())</f>
        <v>0.23265028588647044</v>
      </c>
      <c r="K21" t="e">
        <f t="shared" si="28"/>
        <v>#N/A</v>
      </c>
      <c r="L21" t="str">
        <f>'Lab test'!AC12</f>
        <v>Machined</v>
      </c>
      <c r="N21">
        <v>9</v>
      </c>
      <c r="O21">
        <v>105.04487877299999</v>
      </c>
      <c r="P21">
        <v>0.22828723837600001</v>
      </c>
      <c r="Q21">
        <f t="shared" si="29"/>
        <v>460.14345576333113</v>
      </c>
      <c r="R21">
        <v>164.667530185</v>
      </c>
      <c r="S21">
        <f t="shared" si="30"/>
        <v>7.3077967942405397E-2</v>
      </c>
      <c r="T21">
        <v>6.6537264165299995E-2</v>
      </c>
      <c r="U21">
        <f t="shared" si="0"/>
        <v>4.0178571428571432E-2</v>
      </c>
      <c r="W21">
        <v>9</v>
      </c>
      <c r="X21">
        <v>23.876000000000001</v>
      </c>
      <c r="Y21">
        <f t="shared" si="1"/>
        <v>5.5214723926380369E-2</v>
      </c>
      <c r="Z21" t="e">
        <f t="shared" si="2"/>
        <v>#N/A</v>
      </c>
      <c r="AB21" t="e">
        <f t="shared" si="3"/>
        <v>#N/A</v>
      </c>
      <c r="AC21">
        <f t="shared" si="4"/>
        <v>23.876000000000001</v>
      </c>
      <c r="AE21">
        <v>0.44785276073619634</v>
      </c>
      <c r="AF21">
        <v>76.2</v>
      </c>
      <c r="AG21">
        <f t="shared" si="5"/>
        <v>23.799999999999997</v>
      </c>
      <c r="AH21">
        <f t="shared" si="31"/>
        <v>2.4539877300613522E-2</v>
      </c>
      <c r="AJ21">
        <f t="shared" si="6"/>
        <v>4.0178571428571432E-2</v>
      </c>
      <c r="AK21">
        <v>23.886325515599999</v>
      </c>
      <c r="AL21">
        <f t="shared" si="7"/>
        <v>5.159775199999217E-3</v>
      </c>
      <c r="AM21">
        <f t="shared" si="32"/>
        <v>4.4642857142857192E-3</v>
      </c>
      <c r="AO21">
        <v>9</v>
      </c>
      <c r="AP21">
        <v>160.56218057921635</v>
      </c>
      <c r="AQ21">
        <f t="shared" si="33"/>
        <v>5.5214723926380369E-2</v>
      </c>
      <c r="AR21">
        <f t="shared" si="8"/>
        <v>5.5214723926380369E-2</v>
      </c>
      <c r="AT21">
        <f t="shared" si="9"/>
        <v>5.5214723926380369E-2</v>
      </c>
      <c r="AU21">
        <f t="shared" si="10"/>
        <v>160.56218057921635</v>
      </c>
      <c r="AW21">
        <v>9.815950920245399E-2</v>
      </c>
      <c r="AX21">
        <v>237.97468354430376</v>
      </c>
      <c r="AY21">
        <f t="shared" si="11"/>
        <v>11.025316455696242</v>
      </c>
      <c r="AZ21">
        <f t="shared" si="34"/>
        <v>2.4539877300613494E-2</v>
      </c>
      <c r="BB21">
        <f t="shared" si="12"/>
        <v>4.0178571428571432E-2</v>
      </c>
      <c r="BC21">
        <v>160.81648430922721</v>
      </c>
      <c r="BD21">
        <f t="shared" si="13"/>
        <v>0.2380664040726117</v>
      </c>
      <c r="BE21">
        <f t="shared" si="35"/>
        <v>4.4642857142857192E-3</v>
      </c>
      <c r="BF21">
        <v>9</v>
      </c>
      <c r="BG21">
        <v>1.9504721215294556E-2</v>
      </c>
      <c r="BH21">
        <f t="shared" si="14"/>
        <v>6.1224489795918366E-2</v>
      </c>
      <c r="BI21">
        <f t="shared" si="15"/>
        <v>6.1224489795918366E-2</v>
      </c>
      <c r="BK21">
        <f t="shared" si="16"/>
        <v>6.1224489795918366E-2</v>
      </c>
      <c r="BL21">
        <f t="shared" si="17"/>
        <v>1.9504721215294556E-2</v>
      </c>
      <c r="BN21">
        <v>6.1224489795918366E-2</v>
      </c>
      <c r="BO21">
        <v>1.9504721215294556E-2</v>
      </c>
      <c r="BP21">
        <f t="shared" si="18"/>
        <v>8.4072074203859343E-5</v>
      </c>
      <c r="BQ21">
        <f t="shared" si="36"/>
        <v>6.8027210884353748E-3</v>
      </c>
      <c r="BS21">
        <f t="shared" si="19"/>
        <v>4.0178571428571432E-2</v>
      </c>
      <c r="BT21">
        <v>1.9535578272133494E-2</v>
      </c>
      <c r="BU21">
        <f t="shared" si="20"/>
        <v>7.595529443415322E-6</v>
      </c>
      <c r="BV21">
        <f t="shared" si="37"/>
        <v>4.4642857142857192E-3</v>
      </c>
      <c r="BW21">
        <v>9</v>
      </c>
      <c r="BX21">
        <v>1.1022927689594356E-2</v>
      </c>
      <c r="BY21">
        <f t="shared" si="21"/>
        <v>6.6666666666666666E-2</v>
      </c>
      <c r="BZ21" t="e">
        <f t="shared" si="22"/>
        <v>#N/A</v>
      </c>
      <c r="CB21" t="e">
        <f t="shared" si="23"/>
        <v>#N/A</v>
      </c>
      <c r="CC21">
        <f t="shared" si="24"/>
        <v>1.1022927689594356E-2</v>
      </c>
      <c r="CE21">
        <v>0.70370370370370372</v>
      </c>
      <c r="CF21">
        <v>6.6489361702127658E-2</v>
      </c>
      <c r="CG21">
        <f t="shared" si="25"/>
        <v>1.7730496453900735E-4</v>
      </c>
      <c r="CH21">
        <f t="shared" si="38"/>
        <v>9.6296296296296324E-2</v>
      </c>
      <c r="CJ21">
        <f t="shared" si="26"/>
        <v>4.0178571428571432E-2</v>
      </c>
      <c r="CK21">
        <v>1.0997907085500001E-2</v>
      </c>
      <c r="CL21">
        <f t="shared" si="27"/>
        <v>8.0895749999913835E-7</v>
      </c>
      <c r="CM21">
        <f t="shared" si="39"/>
        <v>4.4642857142857192E-3</v>
      </c>
    </row>
    <row r="22" spans="2:91">
      <c r="B22">
        <v>10</v>
      </c>
      <c r="C22" t="e">
        <f>IF(ISNUMBER(K22),IF('Lab test'!N13&gt;0,'Lab test'!N13,NA()),NA())</f>
        <v>#N/A</v>
      </c>
      <c r="D22" t="e">
        <f>IF(ISNUMBER(K22),IF('Lab test'!Q13&gt;0,'Lab test'!Q13,NA()),NA())</f>
        <v>#N/A</v>
      </c>
      <c r="E22" t="e">
        <f>IF(ISNUMBER(K22),IF('Lab test'!P13&gt;0,'Lab test'!P13,NA()),NA())</f>
        <v>#N/A</v>
      </c>
      <c r="F22" t="e">
        <f>IF(ISNUMBER(K22),IF('Lab test'!AJ13&gt;0,'Lab test'!AJ13,NA()),NA())</f>
        <v>#N/A</v>
      </c>
      <c r="G22">
        <f>IF('Lab test'!V13&gt;0,'Lab test'!V13,NA())</f>
        <v>74463.38</v>
      </c>
      <c r="H22">
        <f>IF(MAX('Lab test'!W13,'Lab test'!X13)&gt;0,MAX('Lab test'!W13,'Lab test'!X13),NA())</f>
        <v>389.55</v>
      </c>
      <c r="I22" t="e">
        <f>IF('Lab test'!AU13&gt;0,'Lab test'!AU13,NA())</f>
        <v>#N/A</v>
      </c>
      <c r="J22" t="e">
        <f>IF('Lab test'!AT13&gt;0,'Lab test'!AT13,NA())</f>
        <v>#N/A</v>
      </c>
      <c r="K22" t="e">
        <f t="shared" si="28"/>
        <v>#N/A</v>
      </c>
      <c r="L22" t="str">
        <f>'Lab test'!AC13</f>
        <v>Machined</v>
      </c>
      <c r="N22">
        <v>10</v>
      </c>
      <c r="O22">
        <v>105.48744969000001</v>
      </c>
      <c r="P22">
        <v>0.119625708821</v>
      </c>
      <c r="Q22">
        <f t="shared" si="29"/>
        <v>881.81253619858967</v>
      </c>
      <c r="R22">
        <v>215.13020642500001</v>
      </c>
      <c r="S22">
        <f t="shared" si="30"/>
        <v>6.8677182033888937E-2</v>
      </c>
      <c r="T22">
        <v>6.7163080271799999E-2</v>
      </c>
      <c r="U22">
        <f t="shared" si="0"/>
        <v>4.4642857142857144E-2</v>
      </c>
      <c r="W22">
        <v>10</v>
      </c>
      <c r="X22">
        <v>23.876000000000001</v>
      </c>
      <c r="Y22">
        <f t="shared" si="1"/>
        <v>6.1349693251533742E-2</v>
      </c>
      <c r="Z22" t="e">
        <f t="shared" si="2"/>
        <v>#N/A</v>
      </c>
      <c r="AB22" t="e">
        <f t="shared" si="3"/>
        <v>#N/A</v>
      </c>
      <c r="AC22">
        <f t="shared" si="4"/>
        <v>23.876000000000001</v>
      </c>
      <c r="AE22">
        <v>0.45398773006134968</v>
      </c>
      <c r="AF22">
        <v>100</v>
      </c>
      <c r="AG22">
        <f t="shared" si="5"/>
        <v>14.299999999999997</v>
      </c>
      <c r="AH22">
        <f t="shared" si="31"/>
        <v>6.1349693251533388E-3</v>
      </c>
      <c r="AJ22">
        <f t="shared" si="6"/>
        <v>4.4642857142857144E-2</v>
      </c>
      <c r="AK22">
        <v>23.891485290799999</v>
      </c>
      <c r="AL22">
        <f t="shared" si="7"/>
        <v>2.0707242000028714E-3</v>
      </c>
      <c r="AM22">
        <f t="shared" si="32"/>
        <v>4.4642857142857123E-3</v>
      </c>
      <c r="AO22">
        <v>10</v>
      </c>
      <c r="AP22">
        <v>161.66380789022298</v>
      </c>
      <c r="AQ22">
        <f t="shared" si="33"/>
        <v>6.1349693251533742E-2</v>
      </c>
      <c r="AR22">
        <f t="shared" si="8"/>
        <v>6.1349693251533742E-2</v>
      </c>
      <c r="AT22">
        <f t="shared" si="9"/>
        <v>6.1349693251533742E-2</v>
      </c>
      <c r="AU22">
        <f t="shared" si="10"/>
        <v>161.66380789022298</v>
      </c>
      <c r="AW22">
        <v>0.11042944785276074</v>
      </c>
      <c r="AX22">
        <v>249</v>
      </c>
      <c r="AY22">
        <f t="shared" si="11"/>
        <v>14</v>
      </c>
      <c r="AZ22">
        <f t="shared" si="34"/>
        <v>1.2269938650306747E-2</v>
      </c>
      <c r="BB22">
        <f t="shared" si="12"/>
        <v>4.4642857142857144E-2</v>
      </c>
      <c r="BC22">
        <v>161.05455071329982</v>
      </c>
      <c r="BD22">
        <f t="shared" si="13"/>
        <v>4.3852574068391448</v>
      </c>
      <c r="BE22">
        <f t="shared" si="35"/>
        <v>4.4642857142857123E-3</v>
      </c>
      <c r="BF22">
        <v>10</v>
      </c>
      <c r="BG22">
        <v>1.9588793289498415E-2</v>
      </c>
      <c r="BH22">
        <f t="shared" si="14"/>
        <v>6.8027210884353748E-2</v>
      </c>
      <c r="BI22">
        <f t="shared" si="15"/>
        <v>6.8027210884353748E-2</v>
      </c>
      <c r="BK22">
        <f t="shared" si="16"/>
        <v>6.8027210884353748E-2</v>
      </c>
      <c r="BL22">
        <f t="shared" si="17"/>
        <v>1.9588793289498415E-2</v>
      </c>
      <c r="BN22">
        <v>6.8027210884353748E-2</v>
      </c>
      <c r="BO22">
        <v>1.9588793289498415E-2</v>
      </c>
      <c r="BP22">
        <f t="shared" si="18"/>
        <v>3.4366304016663837E-4</v>
      </c>
      <c r="BQ22">
        <f t="shared" si="36"/>
        <v>6.8027210884353817E-3</v>
      </c>
      <c r="BS22">
        <f t="shared" si="19"/>
        <v>4.4642857142857144E-2</v>
      </c>
      <c r="BT22">
        <v>1.954317380157691E-2</v>
      </c>
      <c r="BU22">
        <f t="shared" si="20"/>
        <v>3.6550552732976839E-3</v>
      </c>
      <c r="BV22">
        <f t="shared" si="37"/>
        <v>4.4642857142857123E-3</v>
      </c>
      <c r="BW22">
        <v>10</v>
      </c>
      <c r="BX22">
        <v>1.1022927689594356E-2</v>
      </c>
      <c r="BY22">
        <f t="shared" si="21"/>
        <v>7.407407407407407E-2</v>
      </c>
      <c r="BZ22" t="e">
        <f t="shared" si="22"/>
        <v>#N/A</v>
      </c>
      <c r="CB22" t="e">
        <f t="shared" si="23"/>
        <v>#N/A</v>
      </c>
      <c r="CC22">
        <f t="shared" si="24"/>
        <v>1.1022927689594356E-2</v>
      </c>
      <c r="CE22">
        <v>0.92592592592592593</v>
      </c>
      <c r="CF22">
        <v>6.6666666666666666E-2</v>
      </c>
      <c r="CG22">
        <f t="shared" si="25"/>
        <v>1.2280701754385961E-2</v>
      </c>
      <c r="CH22">
        <f t="shared" si="38"/>
        <v>0.22222222222222221</v>
      </c>
      <c r="CJ22">
        <f t="shared" si="26"/>
        <v>4.4642857142857144E-2</v>
      </c>
      <c r="CK22">
        <v>1.0998716043E-2</v>
      </c>
      <c r="CL22">
        <f t="shared" si="27"/>
        <v>2.0020600000059119E-7</v>
      </c>
      <c r="CM22">
        <f t="shared" si="39"/>
        <v>4.4642857142857123E-3</v>
      </c>
    </row>
    <row r="23" spans="2:91">
      <c r="B23">
        <v>11</v>
      </c>
      <c r="C23" t="e">
        <f>IF(ISNUMBER(K23),IF('Lab test'!N14&gt;0,'Lab test'!N14,NA()),NA())</f>
        <v>#N/A</v>
      </c>
      <c r="D23" t="e">
        <f>IF(ISNUMBER(K23),IF('Lab test'!Q14&gt;0,'Lab test'!Q14,NA()),NA())</f>
        <v>#N/A</v>
      </c>
      <c r="E23" t="e">
        <f>IF(ISNUMBER(K23),IF('Lab test'!P14&gt;0,'Lab test'!P14,NA()),NA())</f>
        <v>#N/A</v>
      </c>
      <c r="F23" t="e">
        <f>IF(ISNUMBER(K23),IF('Lab test'!AJ14&gt;0,'Lab test'!AJ14,NA()),NA())</f>
        <v>#N/A</v>
      </c>
      <c r="G23">
        <f>IF('Lab test'!V14&gt;0,'Lab test'!V14,NA())</f>
        <v>74463.38</v>
      </c>
      <c r="H23">
        <f>IF(MAX('Lab test'!W14,'Lab test'!X14)&gt;0,MAX('Lab test'!W14,'Lab test'!X14),NA())</f>
        <v>389.55</v>
      </c>
      <c r="I23">
        <f>IF('Lab test'!AU14&gt;0,'Lab test'!AU14,NA())</f>
        <v>0.5846074444872289</v>
      </c>
      <c r="J23">
        <f>IF('Lab test'!AT14&gt;0,'Lab test'!AT14,NA())</f>
        <v>0.57889405009843753</v>
      </c>
      <c r="K23" t="e">
        <f t="shared" si="28"/>
        <v>#N/A</v>
      </c>
      <c r="L23" t="str">
        <f>'Lab test'!AC14</f>
        <v>Machined</v>
      </c>
      <c r="N23">
        <v>11</v>
      </c>
      <c r="O23">
        <v>105.472047631</v>
      </c>
      <c r="P23">
        <v>0.14996652081100001</v>
      </c>
      <c r="Q23">
        <f t="shared" si="29"/>
        <v>703.30395784752807</v>
      </c>
      <c r="R23">
        <v>272.59012711299999</v>
      </c>
      <c r="S23">
        <f t="shared" si="30"/>
        <v>9.7454346589556248E-2</v>
      </c>
      <c r="T23">
        <v>6.0222823654800001E-2</v>
      </c>
      <c r="U23">
        <f t="shared" si="0"/>
        <v>4.9107142857142856E-2</v>
      </c>
      <c r="W23">
        <v>11</v>
      </c>
      <c r="X23">
        <v>23.876000000000001</v>
      </c>
      <c r="Y23">
        <f t="shared" si="1"/>
        <v>6.7484662576687116E-2</v>
      </c>
      <c r="Z23" t="e">
        <f t="shared" si="2"/>
        <v>#N/A</v>
      </c>
      <c r="AB23" t="e">
        <f t="shared" si="3"/>
        <v>#N/A</v>
      </c>
      <c r="AC23">
        <f t="shared" si="4"/>
        <v>23.876000000000001</v>
      </c>
      <c r="AE23">
        <v>0.53374233128834359</v>
      </c>
      <c r="AF23">
        <v>114.3</v>
      </c>
      <c r="AG23">
        <f t="shared" si="5"/>
        <v>22.86</v>
      </c>
      <c r="AH23">
        <f t="shared" si="31"/>
        <v>7.9754601226993904E-2</v>
      </c>
      <c r="AJ23">
        <f t="shared" si="6"/>
        <v>4.9107142857142856E-2</v>
      </c>
      <c r="AK23">
        <v>23.893556015000001</v>
      </c>
      <c r="AL23">
        <f t="shared" si="7"/>
        <v>6.6570751999996958E-3</v>
      </c>
      <c r="AM23">
        <f t="shared" si="32"/>
        <v>4.4642857142857123E-3</v>
      </c>
      <c r="AO23">
        <v>11</v>
      </c>
      <c r="AP23">
        <v>169</v>
      </c>
      <c r="AQ23">
        <f t="shared" si="33"/>
        <v>6.7484662576687116E-2</v>
      </c>
      <c r="AR23" t="e">
        <f t="shared" si="8"/>
        <v>#N/A</v>
      </c>
      <c r="AT23" t="e">
        <f t="shared" si="9"/>
        <v>#N/A</v>
      </c>
      <c r="AU23">
        <f t="shared" si="10"/>
        <v>169</v>
      </c>
      <c r="AW23">
        <v>0.12269938650306748</v>
      </c>
      <c r="AX23">
        <v>263</v>
      </c>
      <c r="AY23">
        <f t="shared" si="11"/>
        <v>7</v>
      </c>
      <c r="AZ23">
        <f t="shared" si="34"/>
        <v>1.2269938650306747E-2</v>
      </c>
      <c r="BB23">
        <f t="shared" si="12"/>
        <v>4.9107142857142856E-2</v>
      </c>
      <c r="BC23">
        <v>165.43980812013896</v>
      </c>
      <c r="BD23">
        <f t="shared" si="13"/>
        <v>0.47026130173460956</v>
      </c>
      <c r="BE23">
        <f t="shared" si="35"/>
        <v>4.4642857142857123E-3</v>
      </c>
      <c r="BF23">
        <v>11</v>
      </c>
      <c r="BG23">
        <v>1.9932456329665053E-2</v>
      </c>
      <c r="BH23">
        <f t="shared" si="14"/>
        <v>7.4829931972789115E-2</v>
      </c>
      <c r="BI23">
        <f t="shared" si="15"/>
        <v>7.4829931972789115E-2</v>
      </c>
      <c r="BK23">
        <f t="shared" si="16"/>
        <v>7.4829931972789115E-2</v>
      </c>
      <c r="BL23">
        <f t="shared" si="17"/>
        <v>1.9932456329665053E-2</v>
      </c>
      <c r="BN23">
        <v>7.4829931972789115E-2</v>
      </c>
      <c r="BO23">
        <v>1.9932456329665053E-2</v>
      </c>
      <c r="BP23">
        <f t="shared" si="18"/>
        <v>3.2888745538136172E-3</v>
      </c>
      <c r="BQ23">
        <f t="shared" si="36"/>
        <v>6.8027210884353678E-3</v>
      </c>
      <c r="BS23">
        <f t="shared" si="19"/>
        <v>4.9107142857142856E-2</v>
      </c>
      <c r="BT23">
        <v>2.3198229074874593E-2</v>
      </c>
      <c r="BU23">
        <f t="shared" si="20"/>
        <v>5.3723472239820824E-4</v>
      </c>
      <c r="BV23">
        <f t="shared" si="37"/>
        <v>4.4642857142857123E-3</v>
      </c>
      <c r="BW23">
        <v>11</v>
      </c>
      <c r="BX23">
        <v>1.1022927689594356E-2</v>
      </c>
      <c r="BY23">
        <f t="shared" si="21"/>
        <v>8.1481481481481488E-2</v>
      </c>
      <c r="BZ23" t="e">
        <f t="shared" si="22"/>
        <v>#N/A</v>
      </c>
      <c r="CB23" t="e">
        <f t="shared" si="23"/>
        <v>#N/A</v>
      </c>
      <c r="CC23">
        <f t="shared" si="24"/>
        <v>1.1022927689594356E-2</v>
      </c>
      <c r="CE23">
        <v>1</v>
      </c>
      <c r="CF23">
        <v>7.8947368421052627E-2</v>
      </c>
      <c r="CH23">
        <f t="shared" si="38"/>
        <v>7.407407407407407E-2</v>
      </c>
      <c r="CJ23">
        <f t="shared" si="26"/>
        <v>4.9107142857142856E-2</v>
      </c>
      <c r="CK23">
        <v>1.0998916249E-2</v>
      </c>
      <c r="CL23">
        <f t="shared" si="27"/>
        <v>2.083729099999071E-6</v>
      </c>
      <c r="CM23">
        <f t="shared" si="39"/>
        <v>4.4642857142857123E-3</v>
      </c>
    </row>
    <row r="24" spans="2:91">
      <c r="B24">
        <v>12</v>
      </c>
      <c r="C24" t="e">
        <f>IF(ISNUMBER(K24),IF('Lab test'!N15&gt;0,'Lab test'!N15,NA()),NA())</f>
        <v>#N/A</v>
      </c>
      <c r="D24" t="e">
        <f>IF(ISNUMBER(K24),IF('Lab test'!Q15&gt;0,'Lab test'!Q15,NA()),NA())</f>
        <v>#N/A</v>
      </c>
      <c r="E24" t="e">
        <f>IF(ISNUMBER(K24),IF('Lab test'!P15&gt;0,'Lab test'!P15,NA()),NA())</f>
        <v>#N/A</v>
      </c>
      <c r="F24" t="e">
        <f>IF(ISNUMBER(K24),IF('Lab test'!AJ15&gt;0,'Lab test'!AJ15,NA()),NA())</f>
        <v>#N/A</v>
      </c>
      <c r="G24">
        <f>IF('Lab test'!V15&gt;0,'Lab test'!V15,NA())</f>
        <v>74463.38</v>
      </c>
      <c r="H24">
        <f>IF(MAX('Lab test'!W15,'Lab test'!X15)&gt;0,MAX('Lab test'!W15,'Lab test'!X15),NA())</f>
        <v>389.55</v>
      </c>
      <c r="I24">
        <f>IF('Lab test'!AU15&gt;0,'Lab test'!AU15,NA())</f>
        <v>0.56230635348479008</v>
      </c>
      <c r="J24">
        <f>IF('Lab test'!AT15&gt;0,'Lab test'!AT15,NA())</f>
        <v>0.56677480467050978</v>
      </c>
      <c r="K24" t="e">
        <f t="shared" si="28"/>
        <v>#N/A</v>
      </c>
      <c r="L24" t="str">
        <f>'Lab test'!AC15</f>
        <v>Machined</v>
      </c>
      <c r="N24">
        <v>12</v>
      </c>
      <c r="O24">
        <v>106.122309012</v>
      </c>
      <c r="P24">
        <v>0.100868867493</v>
      </c>
      <c r="Q24">
        <f t="shared" si="29"/>
        <v>1052.0818925558431</v>
      </c>
      <c r="R24">
        <v>81.7013412469</v>
      </c>
      <c r="S24">
        <f t="shared" si="30"/>
        <v>2.3735463797272802E-2</v>
      </c>
      <c r="T24">
        <v>6.6569031618100002E-2</v>
      </c>
      <c r="U24">
        <f t="shared" si="0"/>
        <v>5.3571428571428568E-2</v>
      </c>
      <c r="W24">
        <v>12</v>
      </c>
      <c r="X24">
        <v>23.876000000000001</v>
      </c>
      <c r="Y24">
        <f t="shared" si="1"/>
        <v>7.3619631901840496E-2</v>
      </c>
      <c r="Z24" t="e">
        <f t="shared" si="2"/>
        <v>#N/A</v>
      </c>
      <c r="AB24" t="e">
        <f t="shared" si="3"/>
        <v>#N/A</v>
      </c>
      <c r="AC24">
        <f t="shared" si="4"/>
        <v>23.876000000000001</v>
      </c>
      <c r="AE24">
        <v>0.58282208588957052</v>
      </c>
      <c r="AF24">
        <v>137.16</v>
      </c>
      <c r="AG24">
        <f t="shared" si="5"/>
        <v>53.34</v>
      </c>
      <c r="AH24">
        <f t="shared" si="31"/>
        <v>4.9079754601226933E-2</v>
      </c>
      <c r="AJ24">
        <f t="shared" si="6"/>
        <v>5.3571428571428568E-2</v>
      </c>
      <c r="AK24">
        <v>23.900213090200001</v>
      </c>
      <c r="AL24">
        <f t="shared" si="7"/>
        <v>9.8400749999782988E-4</v>
      </c>
      <c r="AM24">
        <f t="shared" si="32"/>
        <v>4.4642857142857123E-3</v>
      </c>
      <c r="AO24">
        <v>12</v>
      </c>
      <c r="AP24">
        <v>169</v>
      </c>
      <c r="AQ24">
        <f t="shared" si="33"/>
        <v>7.3619631901840496E-2</v>
      </c>
      <c r="AR24">
        <f t="shared" si="8"/>
        <v>7.3619631901840496E-2</v>
      </c>
      <c r="AT24">
        <f t="shared" si="9"/>
        <v>7.3619631901840496E-2</v>
      </c>
      <c r="AU24">
        <f t="shared" si="10"/>
        <v>169</v>
      </c>
      <c r="AW24">
        <v>0.1411042944785276</v>
      </c>
      <c r="AX24">
        <v>270</v>
      </c>
      <c r="AY24">
        <f t="shared" si="11"/>
        <v>10</v>
      </c>
      <c r="AZ24">
        <f t="shared" si="34"/>
        <v>1.8404907975460114E-2</v>
      </c>
      <c r="BB24">
        <f t="shared" si="12"/>
        <v>5.3571428571428568E-2</v>
      </c>
      <c r="BC24">
        <v>165.91006942187357</v>
      </c>
      <c r="BD24">
        <f t="shared" si="13"/>
        <v>2.2530091431228811</v>
      </c>
      <c r="BE24">
        <f t="shared" si="35"/>
        <v>4.4642857142857123E-3</v>
      </c>
      <c r="BF24">
        <v>12</v>
      </c>
      <c r="BG24">
        <v>2.3221330883478671E-2</v>
      </c>
      <c r="BH24">
        <f t="shared" si="14"/>
        <v>8.1632653061224483E-2</v>
      </c>
      <c r="BI24">
        <f t="shared" si="15"/>
        <v>8.1632653061224483E-2</v>
      </c>
      <c r="BK24">
        <f t="shared" si="16"/>
        <v>8.1632653061224483E-2</v>
      </c>
      <c r="BL24">
        <f t="shared" si="17"/>
        <v>2.3221330883478671E-2</v>
      </c>
      <c r="BN24">
        <v>8.1632653061224483E-2</v>
      </c>
      <c r="BO24">
        <v>2.3221330883478671E-2</v>
      </c>
      <c r="BP24">
        <f t="shared" si="18"/>
        <v>1.9190097808307847E-3</v>
      </c>
      <c r="BQ24">
        <f t="shared" si="36"/>
        <v>6.8027210884353678E-3</v>
      </c>
      <c r="BS24">
        <f t="shared" si="19"/>
        <v>5.3571428571428568E-2</v>
      </c>
      <c r="BT24">
        <v>2.3735463797272802E-2</v>
      </c>
      <c r="BU24">
        <f t="shared" si="20"/>
        <v>1.4217492648077763E-3</v>
      </c>
      <c r="BV24">
        <f t="shared" si="37"/>
        <v>4.4642857142857123E-3</v>
      </c>
      <c r="BW24">
        <v>12</v>
      </c>
      <c r="BX24">
        <v>1.1022927689594356E-2</v>
      </c>
      <c r="BY24">
        <f t="shared" si="21"/>
        <v>8.8888888888888892E-2</v>
      </c>
      <c r="BZ24" t="e">
        <f t="shared" si="22"/>
        <v>#N/A</v>
      </c>
      <c r="CB24" t="e">
        <f t="shared" si="23"/>
        <v>#N/A</v>
      </c>
      <c r="CC24">
        <f t="shared" si="24"/>
        <v>1.1022927689594356E-2</v>
      </c>
      <c r="CE24" t="e">
        <v>#N/A</v>
      </c>
      <c r="CF24">
        <v>1.0984182776801405E-2</v>
      </c>
      <c r="CJ24">
        <f t="shared" si="26"/>
        <v>5.3571428571428568E-2</v>
      </c>
      <c r="CK24">
        <v>1.1000999978099999E-2</v>
      </c>
      <c r="CL24">
        <f t="shared" si="27"/>
        <v>4.4996300000224587E-8</v>
      </c>
      <c r="CM24">
        <f t="shared" si="39"/>
        <v>4.4642857142857123E-3</v>
      </c>
    </row>
    <row r="25" spans="2:91">
      <c r="B25">
        <v>13</v>
      </c>
      <c r="C25" t="e">
        <f>IF(ISNUMBER(K25),IF('Lab test'!N16&gt;0,'Lab test'!N16,NA()),NA())</f>
        <v>#N/A</v>
      </c>
      <c r="D25" t="e">
        <f>IF(ISNUMBER(K25),IF('Lab test'!Q16&gt;0,'Lab test'!Q16,NA()),NA())</f>
        <v>#N/A</v>
      </c>
      <c r="E25" t="e">
        <f>IF(ISNUMBER(K25),IF('Lab test'!P16&gt;0,'Lab test'!P16,NA()),NA())</f>
        <v>#N/A</v>
      </c>
      <c r="F25" t="e">
        <f>IF(ISNUMBER(K25),IF('Lab test'!AJ16&gt;0,'Lab test'!AJ16,NA()),NA())</f>
        <v>#N/A</v>
      </c>
      <c r="G25">
        <f>IF('Lab test'!V16&gt;0,'Lab test'!V16,NA())</f>
        <v>74463.38</v>
      </c>
      <c r="H25">
        <f>IF(MAX('Lab test'!W16,'Lab test'!X16)&gt;0,MAX('Lab test'!W16,'Lab test'!X16),NA())</f>
        <v>389.55</v>
      </c>
      <c r="I25">
        <f>IF('Lab test'!AU16&gt;0,'Lab test'!AU16,NA())</f>
        <v>0.63009462199974331</v>
      </c>
      <c r="J25">
        <f>IF('Lab test'!AT16&gt;0,'Lab test'!AT16,NA())</f>
        <v>0.61870822690062544</v>
      </c>
      <c r="K25" t="e">
        <f t="shared" si="28"/>
        <v>#N/A</v>
      </c>
      <c r="L25" t="str">
        <f>'Lab test'!AC16</f>
        <v>Machined</v>
      </c>
      <c r="N25">
        <v>13</v>
      </c>
      <c r="O25">
        <v>107.25075920499999</v>
      </c>
      <c r="P25">
        <v>0.53851788483600005</v>
      </c>
      <c r="Q25">
        <f t="shared" si="29"/>
        <v>199.15914071760511</v>
      </c>
      <c r="R25">
        <v>175.332955916</v>
      </c>
      <c r="S25">
        <f t="shared" si="30"/>
        <v>0.11584120261174465</v>
      </c>
      <c r="T25">
        <v>6.6500010138900001E-2</v>
      </c>
      <c r="U25">
        <f t="shared" si="0"/>
        <v>5.8035714285714288E-2</v>
      </c>
      <c r="W25">
        <v>13</v>
      </c>
      <c r="X25">
        <v>23.876000000000001</v>
      </c>
      <c r="Y25">
        <f t="shared" si="1"/>
        <v>7.9754601226993863E-2</v>
      </c>
      <c r="Z25">
        <f t="shared" si="2"/>
        <v>7.9754601226993863E-2</v>
      </c>
      <c r="AB25">
        <f t="shared" si="3"/>
        <v>7.9754601226993863E-2</v>
      </c>
      <c r="AC25">
        <f t="shared" si="4"/>
        <v>23.876000000000001</v>
      </c>
      <c r="AE25">
        <v>0.78527607361963192</v>
      </c>
      <c r="AF25">
        <v>190.5</v>
      </c>
      <c r="AG25">
        <f t="shared" si="5"/>
        <v>12.699999999999989</v>
      </c>
      <c r="AH25">
        <f t="shared" si="31"/>
        <v>0.2024539877300614</v>
      </c>
      <c r="AJ25">
        <f t="shared" si="6"/>
        <v>5.8035714285714288E-2</v>
      </c>
      <c r="AK25">
        <v>23.901197097699999</v>
      </c>
      <c r="AL25">
        <f t="shared" si="7"/>
        <v>5.0214976999995997E-3</v>
      </c>
      <c r="AM25">
        <f t="shared" si="32"/>
        <v>4.4642857142857192E-3</v>
      </c>
      <c r="AO25">
        <v>13</v>
      </c>
      <c r="AP25">
        <v>237.97468354430376</v>
      </c>
      <c r="AQ25">
        <f t="shared" si="33"/>
        <v>7.9754601226993863E-2</v>
      </c>
      <c r="AR25" t="e">
        <f t="shared" si="8"/>
        <v>#N/A</v>
      </c>
      <c r="AT25" t="e">
        <f t="shared" si="9"/>
        <v>#N/A</v>
      </c>
      <c r="AU25">
        <f t="shared" si="10"/>
        <v>237.97468354430376</v>
      </c>
      <c r="AW25">
        <v>0.16564417177914109</v>
      </c>
      <c r="AX25">
        <v>280</v>
      </c>
      <c r="AY25">
        <f t="shared" si="11"/>
        <v>13.750000000000057</v>
      </c>
      <c r="AZ25">
        <f t="shared" si="34"/>
        <v>2.4539877300613494E-2</v>
      </c>
      <c r="BB25">
        <f t="shared" si="12"/>
        <v>5.8035714285714288E-2</v>
      </c>
      <c r="BC25">
        <v>168.16307856499645</v>
      </c>
      <c r="BD25">
        <f t="shared" si="13"/>
        <v>0.53677434291842019</v>
      </c>
      <c r="BE25">
        <f t="shared" si="35"/>
        <v>4.4642857142857192E-3</v>
      </c>
      <c r="BF25">
        <v>13</v>
      </c>
      <c r="BG25">
        <v>2.5140340664309455E-2</v>
      </c>
      <c r="BH25">
        <f t="shared" si="14"/>
        <v>8.8435374149659865E-2</v>
      </c>
      <c r="BI25">
        <f t="shared" si="15"/>
        <v>8.8435374149659865E-2</v>
      </c>
      <c r="BK25">
        <f t="shared" si="16"/>
        <v>8.8435374149659865E-2</v>
      </c>
      <c r="BL25">
        <f t="shared" si="17"/>
        <v>2.5140340664309455E-2</v>
      </c>
      <c r="BN25">
        <v>8.8435374149659865E-2</v>
      </c>
      <c r="BO25">
        <v>2.5140340664309455E-2</v>
      </c>
      <c r="BP25">
        <f t="shared" si="18"/>
        <v>1.0743735326627576E-4</v>
      </c>
      <c r="BQ25">
        <f t="shared" si="36"/>
        <v>6.8027210884353817E-3</v>
      </c>
      <c r="BS25">
        <f t="shared" si="19"/>
        <v>5.8035714285714288E-2</v>
      </c>
      <c r="BT25">
        <v>2.5157213062080578E-2</v>
      </c>
      <c r="BU25">
        <f t="shared" si="20"/>
        <v>5.7153941954792703E-5</v>
      </c>
      <c r="BV25">
        <f t="shared" si="37"/>
        <v>4.4642857142857192E-3</v>
      </c>
      <c r="BW25">
        <v>13</v>
      </c>
      <c r="BX25">
        <v>1.1022927689594356E-2</v>
      </c>
      <c r="BY25">
        <f t="shared" si="21"/>
        <v>9.6296296296296297E-2</v>
      </c>
      <c r="BZ25" t="e">
        <f t="shared" si="22"/>
        <v>#N/A</v>
      </c>
      <c r="CB25" t="e">
        <f t="shared" si="23"/>
        <v>#N/A</v>
      </c>
      <c r="CC25">
        <f t="shared" si="24"/>
        <v>1.1022927689594356E-2</v>
      </c>
      <c r="CE25" t="e">
        <v>#N/A</v>
      </c>
      <c r="CF25">
        <v>1.0984182776801405E-2</v>
      </c>
      <c r="CJ25">
        <f t="shared" si="26"/>
        <v>5.8035714285714288E-2</v>
      </c>
      <c r="CK25">
        <v>1.10010449744E-2</v>
      </c>
      <c r="CL25">
        <f t="shared" si="27"/>
        <v>5.5256939000009747E-6</v>
      </c>
      <c r="CM25">
        <f t="shared" si="39"/>
        <v>4.4642857142857192E-3</v>
      </c>
    </row>
    <row r="26" spans="2:91">
      <c r="B26">
        <v>14</v>
      </c>
      <c r="C26" t="e">
        <f>IF(ISNUMBER(K26),IF('Lab test'!N17&gt;0,'Lab test'!N17,NA()),NA())</f>
        <v>#N/A</v>
      </c>
      <c r="D26" t="e">
        <f>IF(ISNUMBER(K26),IF('Lab test'!Q17&gt;0,'Lab test'!Q17,NA()),NA())</f>
        <v>#N/A</v>
      </c>
      <c r="E26" t="e">
        <f>IF(ISNUMBER(K26),IF('Lab test'!P17&gt;0,'Lab test'!P17,NA()),NA())</f>
        <v>#N/A</v>
      </c>
      <c r="F26" t="e">
        <f>IF(ISNUMBER(K26),IF('Lab test'!AJ17&gt;0,'Lab test'!AJ17,NA()),NA())</f>
        <v>#N/A</v>
      </c>
      <c r="G26">
        <f>IF('Lab test'!V17&gt;0,'Lab test'!V17,NA())</f>
        <v>74463.38</v>
      </c>
      <c r="H26">
        <f>IF(MAX('Lab test'!W17,'Lab test'!X17)&gt;0,MAX('Lab test'!W17,'Lab test'!X17),NA())</f>
        <v>389.55</v>
      </c>
      <c r="I26">
        <f>IF('Lab test'!AU17&gt;0,'Lab test'!AU17,NA())</f>
        <v>0.5877933256321396</v>
      </c>
      <c r="J26">
        <f>IF('Lab test'!AT17&gt;0,'Lab test'!AT17,NA())</f>
        <v>0.6160389674554354</v>
      </c>
      <c r="K26" t="e">
        <f t="shared" si="28"/>
        <v>#N/A</v>
      </c>
      <c r="L26" t="str">
        <f>'Lab test'!AC17</f>
        <v>Machined</v>
      </c>
      <c r="N26">
        <v>14</v>
      </c>
      <c r="O26">
        <v>108.757630398</v>
      </c>
      <c r="P26">
        <v>0.36756746626699999</v>
      </c>
      <c r="Q26">
        <f t="shared" si="29"/>
        <v>295.88481130427022</v>
      </c>
      <c r="R26">
        <v>626.20291936599995</v>
      </c>
      <c r="S26">
        <f t="shared" si="30"/>
        <v>0.33472952043638704</v>
      </c>
      <c r="T26">
        <v>3.1762340031499997E-2</v>
      </c>
      <c r="U26">
        <f t="shared" si="0"/>
        <v>6.25E-2</v>
      </c>
      <c r="W26">
        <v>14</v>
      </c>
      <c r="X26">
        <v>23.939499999999999</v>
      </c>
      <c r="Y26">
        <f t="shared" si="1"/>
        <v>8.5889570552147243E-2</v>
      </c>
      <c r="Z26" t="e">
        <f t="shared" si="2"/>
        <v>#N/A</v>
      </c>
      <c r="AB26" t="e">
        <f t="shared" si="3"/>
        <v>#N/A</v>
      </c>
      <c r="AC26">
        <f t="shared" si="4"/>
        <v>23.939499999999999</v>
      </c>
      <c r="AE26">
        <v>0.83435582822085885</v>
      </c>
      <c r="AF26">
        <v>203.2</v>
      </c>
      <c r="AG26">
        <f t="shared" si="5"/>
        <v>146.80000000000001</v>
      </c>
      <c r="AH26">
        <f t="shared" si="31"/>
        <v>4.9079754601226933E-2</v>
      </c>
      <c r="AJ26">
        <f t="shared" si="6"/>
        <v>6.25E-2</v>
      </c>
      <c r="AK26">
        <v>23.906218595399999</v>
      </c>
      <c r="AL26">
        <f t="shared" si="7"/>
        <v>2.0211728000028018E-3</v>
      </c>
      <c r="AM26">
        <f t="shared" si="32"/>
        <v>4.4642857142857123E-3</v>
      </c>
      <c r="AO26">
        <v>14</v>
      </c>
      <c r="AP26">
        <v>237.97468354430376</v>
      </c>
      <c r="AQ26">
        <f t="shared" si="33"/>
        <v>8.5889570552147243E-2</v>
      </c>
      <c r="AR26" t="e">
        <f t="shared" si="8"/>
        <v>#N/A</v>
      </c>
      <c r="AT26" t="e">
        <f t="shared" si="9"/>
        <v>#N/A</v>
      </c>
      <c r="AU26">
        <f t="shared" si="10"/>
        <v>237.97468354430376</v>
      </c>
      <c r="AW26">
        <v>0.17177914110429449</v>
      </c>
      <c r="AX26">
        <v>293.75000000000006</v>
      </c>
      <c r="AY26">
        <f t="shared" si="11"/>
        <v>6.25</v>
      </c>
      <c r="AZ26">
        <f t="shared" si="34"/>
        <v>6.1349693251533943E-3</v>
      </c>
      <c r="BB26">
        <f t="shared" si="12"/>
        <v>6.25E-2</v>
      </c>
      <c r="BC26">
        <v>168.69985290791487</v>
      </c>
      <c r="BD26">
        <f t="shared" si="13"/>
        <v>11.371841351442157</v>
      </c>
      <c r="BE26">
        <f t="shared" si="35"/>
        <v>4.4642857142857123E-3</v>
      </c>
      <c r="BF26">
        <v>14</v>
      </c>
      <c r="BG26">
        <v>2.5247778017575731E-2</v>
      </c>
      <c r="BH26">
        <f t="shared" si="14"/>
        <v>9.5238095238095233E-2</v>
      </c>
      <c r="BI26" t="e">
        <f t="shared" si="15"/>
        <v>#N/A</v>
      </c>
      <c r="BK26" t="e">
        <f t="shared" si="16"/>
        <v>#N/A</v>
      </c>
      <c r="BL26">
        <f t="shared" si="17"/>
        <v>2.5247778017575731E-2</v>
      </c>
      <c r="BN26">
        <v>0.10204081632653061</v>
      </c>
      <c r="BO26">
        <v>2.5247778017575731E-2</v>
      </c>
      <c r="BP26">
        <f t="shared" si="18"/>
        <v>1.1743152566314335E-3</v>
      </c>
      <c r="BQ26">
        <f t="shared" si="36"/>
        <v>1.360544217687075E-2</v>
      </c>
      <c r="BS26">
        <f t="shared" si="19"/>
        <v>6.25E-2</v>
      </c>
      <c r="BT26">
        <v>2.5214367004035371E-2</v>
      </c>
      <c r="BU26">
        <f t="shared" si="20"/>
        <v>2.9799546797842566E-4</v>
      </c>
      <c r="BV26">
        <f t="shared" si="37"/>
        <v>4.4642857142857123E-3</v>
      </c>
      <c r="BW26">
        <v>14</v>
      </c>
      <c r="BX26">
        <v>1.1022927689594356E-2</v>
      </c>
      <c r="BY26">
        <f t="shared" si="21"/>
        <v>0.1037037037037037</v>
      </c>
      <c r="BZ26" t="e">
        <f t="shared" si="22"/>
        <v>#N/A</v>
      </c>
      <c r="CB26" t="e">
        <f t="shared" si="23"/>
        <v>#N/A</v>
      </c>
      <c r="CC26">
        <f t="shared" si="24"/>
        <v>1.1022927689594356E-2</v>
      </c>
      <c r="CE26" t="e">
        <v>#N/A</v>
      </c>
      <c r="CF26">
        <v>1.1022927689594356E-2</v>
      </c>
      <c r="CJ26">
        <f t="shared" si="26"/>
        <v>6.25E-2</v>
      </c>
      <c r="CK26">
        <v>1.1006570668300001E-2</v>
      </c>
      <c r="CL26">
        <f t="shared" si="27"/>
        <v>3.0265919999904189E-7</v>
      </c>
      <c r="CM26">
        <f t="shared" si="39"/>
        <v>4.4642857142857123E-3</v>
      </c>
    </row>
    <row r="27" spans="2:91">
      <c r="B27">
        <v>15</v>
      </c>
      <c r="C27" t="e">
        <f>IF(ISNUMBER(K27),IF('Lab test'!N18&gt;0,'Lab test'!N18,NA()),NA())</f>
        <v>#N/A</v>
      </c>
      <c r="D27" t="e">
        <f>IF(ISNUMBER(K27),IF('Lab test'!Q18&gt;0,'Lab test'!Q18,NA()),NA())</f>
        <v>#N/A</v>
      </c>
      <c r="E27" t="e">
        <f>IF(ISNUMBER(K27),IF('Lab test'!P18&gt;0,'Lab test'!P18,NA()),NA())</f>
        <v>#N/A</v>
      </c>
      <c r="F27" t="e">
        <f>IF(ISNUMBER(K27),IF('Lab test'!AJ18&gt;0,'Lab test'!AJ18,NA()),NA())</f>
        <v>#N/A</v>
      </c>
      <c r="G27">
        <f>IF('Lab test'!V18&gt;0,'Lab test'!V18,NA())</f>
        <v>74463.38</v>
      </c>
      <c r="H27">
        <f>IF(MAX('Lab test'!W18,'Lab test'!X18)&gt;0,MAX('Lab test'!W18,'Lab test'!X18),NA())</f>
        <v>389.55</v>
      </c>
      <c r="I27">
        <f>IF('Lab test'!AU18&gt;0,'Lab test'!AU18,NA())</f>
        <v>1.2324013605442177</v>
      </c>
      <c r="J27">
        <f>IF('Lab test'!AT18&gt;0,'Lab test'!AT18,NA())</f>
        <v>0.10332983595783488</v>
      </c>
      <c r="K27" t="e">
        <f t="shared" si="28"/>
        <v>#N/A</v>
      </c>
      <c r="L27" t="str">
        <f>'Lab test'!AC18</f>
        <v>Machined</v>
      </c>
      <c r="N27">
        <v>15</v>
      </c>
      <c r="O27">
        <v>112.38783816900001</v>
      </c>
      <c r="P27">
        <v>0.29217598672400003</v>
      </c>
      <c r="Q27">
        <f t="shared" si="29"/>
        <v>384.65802555897795</v>
      </c>
      <c r="R27">
        <v>76.244787861199995</v>
      </c>
      <c r="S27">
        <f t="shared" si="30"/>
        <v>3.4590229535578457E-2</v>
      </c>
      <c r="T27">
        <v>6.6501710643800005E-2</v>
      </c>
      <c r="U27">
        <f t="shared" si="0"/>
        <v>6.6964285714285712E-2</v>
      </c>
      <c r="W27">
        <v>15</v>
      </c>
      <c r="X27">
        <v>23.939499999999999</v>
      </c>
      <c r="Y27">
        <f t="shared" si="1"/>
        <v>9.202453987730061E-2</v>
      </c>
      <c r="Z27" t="e">
        <f t="shared" si="2"/>
        <v>#N/A</v>
      </c>
      <c r="AB27" t="e">
        <f t="shared" si="3"/>
        <v>#N/A</v>
      </c>
      <c r="AC27">
        <f t="shared" si="4"/>
        <v>23.939499999999999</v>
      </c>
      <c r="AE27">
        <v>0.90797546012269936</v>
      </c>
      <c r="AF27">
        <v>350</v>
      </c>
      <c r="AG27">
        <f t="shared" si="5"/>
        <v>31</v>
      </c>
      <c r="AH27">
        <f t="shared" si="31"/>
        <v>7.361963190184051E-2</v>
      </c>
      <c r="AJ27">
        <f t="shared" si="6"/>
        <v>6.6964285714285712E-2</v>
      </c>
      <c r="AK27">
        <v>23.908239768200001</v>
      </c>
      <c r="AL27">
        <f t="shared" si="7"/>
        <v>4.4736360000001696E-3</v>
      </c>
      <c r="AM27">
        <f t="shared" si="32"/>
        <v>4.4642857142857123E-3</v>
      </c>
      <c r="AO27">
        <v>15</v>
      </c>
      <c r="AP27">
        <v>237.97468354430376</v>
      </c>
      <c r="AQ27">
        <f t="shared" si="33"/>
        <v>9.202453987730061E-2</v>
      </c>
      <c r="AR27" t="e">
        <f t="shared" si="8"/>
        <v>#N/A</v>
      </c>
      <c r="AT27" t="e">
        <f t="shared" si="9"/>
        <v>#N/A</v>
      </c>
      <c r="AU27">
        <f t="shared" si="10"/>
        <v>237.97468354430376</v>
      </c>
      <c r="AW27">
        <v>0.2392638036809816</v>
      </c>
      <c r="AX27">
        <v>300.00000000000006</v>
      </c>
      <c r="AY27">
        <f t="shared" si="11"/>
        <v>13.545150501672197</v>
      </c>
      <c r="AZ27">
        <f t="shared" si="34"/>
        <v>6.7484662576687116E-2</v>
      </c>
      <c r="BB27">
        <f t="shared" si="12"/>
        <v>6.6964285714285712E-2</v>
      </c>
      <c r="BC27">
        <v>180.07169425935703</v>
      </c>
      <c r="BD27">
        <f t="shared" si="13"/>
        <v>7.3699814496021645</v>
      </c>
      <c r="BE27">
        <f t="shared" si="35"/>
        <v>4.4642857142857123E-3</v>
      </c>
      <c r="BF27">
        <v>15</v>
      </c>
      <c r="BG27">
        <v>2.5247778017575731E-2</v>
      </c>
      <c r="BH27">
        <f t="shared" si="14"/>
        <v>0.10204081632653061</v>
      </c>
      <c r="BI27">
        <f t="shared" si="15"/>
        <v>0.10204081632653061</v>
      </c>
      <c r="BK27">
        <f t="shared" si="16"/>
        <v>0.10204081632653061</v>
      </c>
      <c r="BL27">
        <f t="shared" si="17"/>
        <v>2.5247778017575731E-2</v>
      </c>
      <c r="BN27">
        <v>0.11564625850340136</v>
      </c>
      <c r="BO27">
        <v>2.6422093274207165E-2</v>
      </c>
      <c r="BP27">
        <f t="shared" si="18"/>
        <v>1.545151653462376E-4</v>
      </c>
      <c r="BQ27">
        <f t="shared" si="36"/>
        <v>1.360544217687075E-2</v>
      </c>
      <c r="BS27">
        <f t="shared" si="19"/>
        <v>6.6964285714285712E-2</v>
      </c>
      <c r="BT27">
        <v>2.5512362472013796E-2</v>
      </c>
      <c r="BU27">
        <f t="shared" si="20"/>
        <v>6.3186084970802761E-4</v>
      </c>
      <c r="BV27">
        <f t="shared" si="37"/>
        <v>4.4642857142857123E-3</v>
      </c>
      <c r="BW27">
        <v>15</v>
      </c>
      <c r="BX27">
        <v>1.1022927689594356E-2</v>
      </c>
      <c r="BY27">
        <f t="shared" si="21"/>
        <v>0.1111111111111111</v>
      </c>
      <c r="BZ27">
        <f t="shared" si="22"/>
        <v>0.1111111111111111</v>
      </c>
      <c r="CB27">
        <f t="shared" si="23"/>
        <v>0.1111111111111111</v>
      </c>
      <c r="CC27">
        <f t="shared" si="24"/>
        <v>1.1022927689594356E-2</v>
      </c>
      <c r="CE27" t="e">
        <v>#N/A</v>
      </c>
      <c r="CF27">
        <v>1.1022927689594356E-2</v>
      </c>
      <c r="CJ27">
        <f t="shared" si="26"/>
        <v>6.6964285714285712E-2</v>
      </c>
      <c r="CK27">
        <v>1.10068733275E-2</v>
      </c>
      <c r="CL27">
        <f t="shared" si="27"/>
        <v>1.4886799999998951E-6</v>
      </c>
      <c r="CM27">
        <f t="shared" si="39"/>
        <v>4.4642857142857123E-3</v>
      </c>
    </row>
    <row r="28" spans="2:91">
      <c r="B28">
        <v>16</v>
      </c>
      <c r="C28" t="e">
        <f>IF(ISNUMBER(K28),IF('Lab test'!N19&gt;0,'Lab test'!N19,NA()),NA())</f>
        <v>#N/A</v>
      </c>
      <c r="D28" t="e">
        <f>IF(ISNUMBER(K28),IF('Lab test'!Q19&gt;0,'Lab test'!Q19,NA()),NA())</f>
        <v>#N/A</v>
      </c>
      <c r="E28" t="e">
        <f>IF(ISNUMBER(K28),IF('Lab test'!P19&gt;0,'Lab test'!P19,NA()),NA())</f>
        <v>#N/A</v>
      </c>
      <c r="F28" t="e">
        <f>IF(ISNUMBER(K28),IF('Lab test'!AJ19&gt;0,'Lab test'!AJ19,NA()),NA())</f>
        <v>#N/A</v>
      </c>
      <c r="G28">
        <f>IF('Lab test'!V19&gt;0,'Lab test'!V19,NA())</f>
        <v>74463.38</v>
      </c>
      <c r="H28">
        <f>IF(MAX('Lab test'!W19,'Lab test'!X19)&gt;0,MAX('Lab test'!W19,'Lab test'!X19),NA())</f>
        <v>389.55</v>
      </c>
      <c r="I28">
        <f>IF('Lab test'!AU19&gt;0,'Lab test'!AU19,NA())</f>
        <v>1.1347012963676038</v>
      </c>
      <c r="J28">
        <f>IF('Lab test'!AT19&gt;0,'Lab test'!AT19,NA())</f>
        <v>0.13750907512604812</v>
      </c>
      <c r="K28" t="e">
        <f t="shared" si="28"/>
        <v>#N/A</v>
      </c>
      <c r="L28" t="str">
        <f>'Lab test'!AC19</f>
        <v>Machined</v>
      </c>
      <c r="N28">
        <v>16</v>
      </c>
      <c r="O28">
        <v>112.752682128</v>
      </c>
      <c r="P28">
        <v>0.312362468941</v>
      </c>
      <c r="Q28">
        <f t="shared" si="29"/>
        <v>360.9674443612401</v>
      </c>
      <c r="R28">
        <v>106.724591792</v>
      </c>
      <c r="S28">
        <f t="shared" si="30"/>
        <v>4.9819986266173268E-2</v>
      </c>
      <c r="T28">
        <v>4.1239992863299997E-2</v>
      </c>
      <c r="U28">
        <f t="shared" si="0"/>
        <v>7.1428571428571425E-2</v>
      </c>
      <c r="W28">
        <v>16</v>
      </c>
      <c r="X28">
        <v>23.939499999999999</v>
      </c>
      <c r="Y28">
        <f t="shared" si="1"/>
        <v>9.815950920245399E-2</v>
      </c>
      <c r="Z28" t="e">
        <f t="shared" si="2"/>
        <v>#N/A</v>
      </c>
      <c r="AB28" t="e">
        <f t="shared" si="3"/>
        <v>#N/A</v>
      </c>
      <c r="AC28">
        <f t="shared" si="4"/>
        <v>23.939499999999999</v>
      </c>
      <c r="AE28">
        <v>1</v>
      </c>
      <c r="AF28">
        <v>381</v>
      </c>
      <c r="AH28">
        <f t="shared" si="31"/>
        <v>9.2024539877300637E-2</v>
      </c>
      <c r="AJ28">
        <f t="shared" si="6"/>
        <v>7.1428571428571425E-2</v>
      </c>
      <c r="AK28">
        <v>23.912713404200002</v>
      </c>
      <c r="AL28">
        <f t="shared" si="7"/>
        <v>4.0460963999997546E-3</v>
      </c>
      <c r="AM28">
        <f t="shared" si="32"/>
        <v>4.4642857142857123E-3</v>
      </c>
      <c r="AO28">
        <v>16</v>
      </c>
      <c r="AP28">
        <v>237.97468354430376</v>
      </c>
      <c r="AQ28">
        <f t="shared" si="33"/>
        <v>9.815950920245399E-2</v>
      </c>
      <c r="AR28">
        <f t="shared" si="8"/>
        <v>9.815950920245399E-2</v>
      </c>
      <c r="AT28">
        <f t="shared" si="9"/>
        <v>9.815950920245399E-2</v>
      </c>
      <c r="AU28">
        <f t="shared" si="10"/>
        <v>237.97468354430376</v>
      </c>
      <c r="AW28">
        <v>0.24539877300613497</v>
      </c>
      <c r="AX28">
        <v>313.54515050167225</v>
      </c>
      <c r="AY28">
        <f t="shared" si="11"/>
        <v>1.0521649345693618</v>
      </c>
      <c r="AZ28">
        <f t="shared" si="34"/>
        <v>6.1349693251533666E-3</v>
      </c>
      <c r="BB28">
        <f t="shared" si="12"/>
        <v>7.1428571428571425E-2</v>
      </c>
      <c r="BC28">
        <v>187.4416757089592</v>
      </c>
      <c r="BD28">
        <f t="shared" si="13"/>
        <v>1.7977095699608014</v>
      </c>
      <c r="BE28">
        <f t="shared" si="35"/>
        <v>4.4642857142857123E-3</v>
      </c>
      <c r="BF28">
        <v>16</v>
      </c>
      <c r="BG28">
        <v>2.6422093274207165E-2</v>
      </c>
      <c r="BH28">
        <f t="shared" si="14"/>
        <v>0.10884353741496598</v>
      </c>
      <c r="BI28" t="e">
        <f t="shared" si="15"/>
        <v>#N/A</v>
      </c>
      <c r="BK28" t="e">
        <f t="shared" si="16"/>
        <v>#N/A</v>
      </c>
      <c r="BL28">
        <f t="shared" si="17"/>
        <v>2.6422093274207165E-2</v>
      </c>
      <c r="BN28">
        <v>0.12244897959183673</v>
      </c>
      <c r="BO28">
        <v>2.6576608439553402E-2</v>
      </c>
      <c r="BP28">
        <f t="shared" si="18"/>
        <v>6.2363882619890648E-3</v>
      </c>
      <c r="BQ28">
        <f t="shared" si="36"/>
        <v>6.8027210884353678E-3</v>
      </c>
      <c r="BS28">
        <f t="shared" si="19"/>
        <v>7.1428571428571425E-2</v>
      </c>
      <c r="BT28">
        <v>2.6144223321721824E-2</v>
      </c>
      <c r="BU28">
        <f t="shared" si="20"/>
        <v>2.665674658667537E-4</v>
      </c>
      <c r="BV28">
        <f t="shared" si="37"/>
        <v>4.4642857142857123E-3</v>
      </c>
      <c r="BW28">
        <v>16</v>
      </c>
      <c r="BX28">
        <v>1.6666666666666666E-2</v>
      </c>
      <c r="BY28">
        <f t="shared" si="21"/>
        <v>0.11851851851851852</v>
      </c>
      <c r="BZ28" t="e">
        <f t="shared" si="22"/>
        <v>#N/A</v>
      </c>
      <c r="CB28" t="e">
        <f t="shared" si="23"/>
        <v>#N/A</v>
      </c>
      <c r="CC28">
        <f t="shared" si="24"/>
        <v>1.6666666666666666E-2</v>
      </c>
      <c r="CE28" t="e">
        <v>#N/A</v>
      </c>
      <c r="CF28">
        <v>1.1022927689594356E-2</v>
      </c>
      <c r="CJ28">
        <f t="shared" si="26"/>
        <v>7.1428571428571425E-2</v>
      </c>
      <c r="CK28">
        <v>1.10083620075E-2</v>
      </c>
      <c r="CL28">
        <f t="shared" si="27"/>
        <v>3.5466759000010034E-6</v>
      </c>
      <c r="CM28">
        <f t="shared" si="39"/>
        <v>4.4642857142857123E-3</v>
      </c>
    </row>
    <row r="29" spans="2:91">
      <c r="B29">
        <v>17</v>
      </c>
      <c r="C29" t="e">
        <f>IF(ISNUMBER(K29),IF('Lab test'!N20&gt;0,'Lab test'!N20,NA()),NA())</f>
        <v>#N/A</v>
      </c>
      <c r="D29" t="e">
        <f>IF(ISNUMBER(K29),IF('Lab test'!Q20&gt;0,'Lab test'!Q20,NA()),NA())</f>
        <v>#N/A</v>
      </c>
      <c r="E29" t="e">
        <f>IF(ISNUMBER(K29),IF('Lab test'!P20&gt;0,'Lab test'!P20,NA()),NA())</f>
        <v>#N/A</v>
      </c>
      <c r="F29" t="e">
        <f>IF(ISNUMBER(K29),IF('Lab test'!AJ20&gt;0,'Lab test'!AJ20,NA()),NA())</f>
        <v>#N/A</v>
      </c>
      <c r="G29">
        <f>IF('Lab test'!V20&gt;0,'Lab test'!V20,NA())</f>
        <v>74463.38</v>
      </c>
      <c r="H29">
        <f>IF(MAX('Lab test'!W20,'Lab test'!X20)&gt;0,MAX('Lab test'!W20,'Lab test'!X20),NA())</f>
        <v>389.55</v>
      </c>
      <c r="I29">
        <f>IF('Lab test'!AU20&gt;0,'Lab test'!AU20,NA())</f>
        <v>1.0899220895905533</v>
      </c>
      <c r="J29">
        <f>IF('Lab test'!AT20&gt;0,'Lab test'!AT20,NA())</f>
        <v>0.1856880104494715</v>
      </c>
      <c r="K29" t="e">
        <f t="shared" si="28"/>
        <v>#N/A</v>
      </c>
      <c r="L29" t="str">
        <f>'Lab test'!AC20</f>
        <v>Machined</v>
      </c>
      <c r="N29">
        <v>17</v>
      </c>
      <c r="O29">
        <v>113.211320035</v>
      </c>
      <c r="P29">
        <v>0.35475780141300001</v>
      </c>
      <c r="Q29">
        <f t="shared" si="29"/>
        <v>319.12284827586433</v>
      </c>
      <c r="R29">
        <v>589.09755449399995</v>
      </c>
      <c r="S29">
        <f t="shared" si="30"/>
        <v>0.29128519788421547</v>
      </c>
      <c r="T29">
        <v>1.2188104049E-2</v>
      </c>
      <c r="U29">
        <f t="shared" si="0"/>
        <v>7.5892857142857137E-2</v>
      </c>
      <c r="W29">
        <v>17</v>
      </c>
      <c r="X29">
        <v>23.939499999999999</v>
      </c>
      <c r="Y29">
        <f t="shared" si="1"/>
        <v>0.10429447852760736</v>
      </c>
      <c r="Z29" t="e">
        <f t="shared" si="2"/>
        <v>#N/A</v>
      </c>
      <c r="AB29" t="e">
        <f t="shared" si="3"/>
        <v>#N/A</v>
      </c>
      <c r="AC29">
        <f t="shared" si="4"/>
        <v>23.939499999999999</v>
      </c>
      <c r="AE29" t="e">
        <v>#N/A</v>
      </c>
      <c r="AF29">
        <v>23.876000000000001</v>
      </c>
      <c r="AJ29">
        <f t="shared" si="6"/>
        <v>7.5892857142857137E-2</v>
      </c>
      <c r="AK29">
        <v>23.916759500600001</v>
      </c>
      <c r="AL29">
        <f t="shared" si="7"/>
        <v>1.7013515999977358E-3</v>
      </c>
      <c r="AM29">
        <f t="shared" si="32"/>
        <v>4.4642857142857123E-3</v>
      </c>
      <c r="AO29">
        <v>17</v>
      </c>
      <c r="AP29">
        <v>249</v>
      </c>
      <c r="AQ29">
        <f t="shared" si="33"/>
        <v>0.10429447852760736</v>
      </c>
      <c r="AR29" t="e">
        <f t="shared" si="8"/>
        <v>#N/A</v>
      </c>
      <c r="AT29" t="e">
        <f t="shared" si="9"/>
        <v>#N/A</v>
      </c>
      <c r="AU29">
        <f t="shared" si="10"/>
        <v>249</v>
      </c>
      <c r="AW29">
        <v>0.25153374233128833</v>
      </c>
      <c r="AX29">
        <v>314.59731543624162</v>
      </c>
      <c r="AY29">
        <f t="shared" si="11"/>
        <v>2.661567812489352</v>
      </c>
      <c r="AZ29">
        <f t="shared" si="34"/>
        <v>6.1349693251533666E-3</v>
      </c>
      <c r="BB29">
        <f t="shared" si="12"/>
        <v>7.5892857142857137E-2</v>
      </c>
      <c r="BC29">
        <v>189.23938527892</v>
      </c>
      <c r="BD29">
        <f t="shared" si="13"/>
        <v>9.9197554386851152</v>
      </c>
      <c r="BE29">
        <f t="shared" si="35"/>
        <v>4.4642857142857123E-3</v>
      </c>
      <c r="BF29">
        <v>17</v>
      </c>
      <c r="BG29">
        <v>2.6422093274207165E-2</v>
      </c>
      <c r="BH29">
        <f t="shared" si="14"/>
        <v>0.11564625850340136</v>
      </c>
      <c r="BI29">
        <f t="shared" si="15"/>
        <v>0.11564625850340136</v>
      </c>
      <c r="BK29">
        <f t="shared" si="16"/>
        <v>0.11564625850340136</v>
      </c>
      <c r="BL29">
        <f t="shared" si="17"/>
        <v>2.6422093274207165E-2</v>
      </c>
      <c r="BN29">
        <v>0.12925170068027211</v>
      </c>
      <c r="BO29">
        <v>3.2812996701542467E-2</v>
      </c>
      <c r="BP29">
        <f t="shared" si="18"/>
        <v>2.3863997601122205E-4</v>
      </c>
      <c r="BQ29">
        <f t="shared" si="36"/>
        <v>6.8027210884353817E-3</v>
      </c>
      <c r="BS29">
        <f t="shared" si="19"/>
        <v>7.5892857142857137E-2</v>
      </c>
      <c r="BT29">
        <v>2.6410790787588578E-2</v>
      </c>
      <c r="BU29">
        <f t="shared" si="20"/>
        <v>4.3882431171076569E-5</v>
      </c>
      <c r="BV29">
        <f t="shared" si="37"/>
        <v>4.4642857142857123E-3</v>
      </c>
      <c r="BW29">
        <v>17</v>
      </c>
      <c r="BX29">
        <v>1.6666666666666666E-2</v>
      </c>
      <c r="BY29">
        <f t="shared" si="21"/>
        <v>0.12592592592592591</v>
      </c>
      <c r="BZ29" t="e">
        <f t="shared" si="22"/>
        <v>#N/A</v>
      </c>
      <c r="CB29" t="e">
        <f t="shared" si="23"/>
        <v>#N/A</v>
      </c>
      <c r="CC29">
        <f t="shared" si="24"/>
        <v>1.6666666666666666E-2</v>
      </c>
      <c r="CE29" t="e">
        <v>#N/A</v>
      </c>
      <c r="CF29">
        <v>1.1022927689594356E-2</v>
      </c>
      <c r="CJ29">
        <f t="shared" si="26"/>
        <v>7.5892857142857137E-2</v>
      </c>
      <c r="CK29">
        <v>1.1011908683400001E-2</v>
      </c>
      <c r="CL29">
        <f t="shared" si="27"/>
        <v>8.7296199999947754E-7</v>
      </c>
      <c r="CM29">
        <f t="shared" si="39"/>
        <v>4.4642857142857123E-3</v>
      </c>
    </row>
    <row r="30" spans="2:91">
      <c r="B30">
        <v>18</v>
      </c>
      <c r="C30" t="e">
        <f>IF(ISNUMBER(K30),IF('Lab test'!N21&gt;0,'Lab test'!N21,NA()),NA())</f>
        <v>#N/A</v>
      </c>
      <c r="D30" t="e">
        <f>IF(ISNUMBER(K30),IF('Lab test'!Q21&gt;0,'Lab test'!Q21,NA()),NA())</f>
        <v>#N/A</v>
      </c>
      <c r="E30" t="e">
        <f>IF(ISNUMBER(K30),IF('Lab test'!P21&gt;0,'Lab test'!P21,NA()),NA())</f>
        <v>#N/A</v>
      </c>
      <c r="F30" t="e">
        <f>IF(ISNUMBER(K30),IF('Lab test'!AJ21&gt;0,'Lab test'!AJ21,NA()),NA())</f>
        <v>#N/A</v>
      </c>
      <c r="G30">
        <f>IF('Lab test'!V21&gt;0,'Lab test'!V21,NA())</f>
        <v>74463.38</v>
      </c>
      <c r="H30">
        <f>IF(MAX('Lab test'!W21,'Lab test'!X21)&gt;0,MAX('Lab test'!W21,'Lab test'!X21),NA())</f>
        <v>389.55</v>
      </c>
      <c r="I30">
        <f>IF('Lab test'!AU21&gt;0,'Lab test'!AU21,NA())</f>
        <v>0.98213343601591574</v>
      </c>
      <c r="J30">
        <f>IF('Lab test'!AT21&gt;0,'Lab test'!AT21,NA())</f>
        <v>0.37938721618464943</v>
      </c>
      <c r="K30" t="e">
        <f t="shared" si="28"/>
        <v>#N/A</v>
      </c>
      <c r="L30" t="str">
        <f>'Lab test'!AC21</f>
        <v>Machined</v>
      </c>
      <c r="N30">
        <v>18</v>
      </c>
      <c r="O30">
        <v>113.321751234</v>
      </c>
      <c r="P30">
        <v>0.12167084161199999</v>
      </c>
      <c r="Q30">
        <f t="shared" si="29"/>
        <v>931.37969403857119</v>
      </c>
      <c r="R30">
        <v>525.51866490500004</v>
      </c>
      <c r="S30">
        <f t="shared" si="30"/>
        <v>0.15195377214043401</v>
      </c>
      <c r="T30">
        <v>2.4780033197399999E-2</v>
      </c>
      <c r="U30">
        <f t="shared" si="0"/>
        <v>8.0357142857142863E-2</v>
      </c>
      <c r="W30">
        <v>18</v>
      </c>
      <c r="X30">
        <v>23.939499999999999</v>
      </c>
      <c r="Y30">
        <f t="shared" si="1"/>
        <v>0.11042944785276074</v>
      </c>
      <c r="Z30" t="e">
        <f t="shared" si="2"/>
        <v>#N/A</v>
      </c>
      <c r="AB30" t="e">
        <f t="shared" si="3"/>
        <v>#N/A</v>
      </c>
      <c r="AC30">
        <f t="shared" si="4"/>
        <v>23.939499999999999</v>
      </c>
      <c r="AE30" t="e">
        <v>#N/A</v>
      </c>
      <c r="AF30">
        <v>23.876000000000001</v>
      </c>
      <c r="AJ30">
        <f t="shared" si="6"/>
        <v>8.0357142857142863E-2</v>
      </c>
      <c r="AK30">
        <v>23.918460852199999</v>
      </c>
      <c r="AL30">
        <f t="shared" si="7"/>
        <v>2.4818570000206819E-4</v>
      </c>
      <c r="AM30">
        <f t="shared" si="32"/>
        <v>4.4642857142857262E-3</v>
      </c>
      <c r="AO30">
        <v>18</v>
      </c>
      <c r="AP30">
        <v>249</v>
      </c>
      <c r="AQ30">
        <f t="shared" si="33"/>
        <v>0.11042944785276074</v>
      </c>
      <c r="AR30">
        <f t="shared" si="8"/>
        <v>0.11042944785276074</v>
      </c>
      <c r="AT30">
        <f t="shared" si="9"/>
        <v>0.11042944785276074</v>
      </c>
      <c r="AU30">
        <f t="shared" si="10"/>
        <v>249</v>
      </c>
      <c r="AW30">
        <v>0.25766871165644173</v>
      </c>
      <c r="AX30">
        <v>317.25888324873097</v>
      </c>
      <c r="AY30">
        <f t="shared" si="11"/>
        <v>0.53772692076051953</v>
      </c>
      <c r="AZ30">
        <f t="shared" si="34"/>
        <v>6.1349693251533943E-3</v>
      </c>
      <c r="BB30">
        <f t="shared" si="12"/>
        <v>8.0357142857142863E-2</v>
      </c>
      <c r="BC30">
        <v>199.15914071760511</v>
      </c>
      <c r="BD30">
        <f t="shared" si="13"/>
        <v>9.5410988346627903</v>
      </c>
      <c r="BE30">
        <f t="shared" si="35"/>
        <v>4.4642857142857262E-3</v>
      </c>
      <c r="BF30">
        <v>18</v>
      </c>
      <c r="BG30">
        <v>2.6576608439553402E-2</v>
      </c>
      <c r="BH30">
        <f t="shared" si="14"/>
        <v>0.12244897959183673</v>
      </c>
      <c r="BI30">
        <f t="shared" si="15"/>
        <v>0.12244897959183673</v>
      </c>
      <c r="BK30">
        <f t="shared" si="16"/>
        <v>0.12244897959183673</v>
      </c>
      <c r="BL30">
        <f t="shared" si="17"/>
        <v>2.6576608439553402E-2</v>
      </c>
      <c r="BN30">
        <v>0.1360544217687075</v>
      </c>
      <c r="BO30">
        <v>3.3051636677553689E-2</v>
      </c>
      <c r="BP30">
        <f t="shared" si="18"/>
        <v>2.3037023817736868E-3</v>
      </c>
      <c r="BQ30">
        <f t="shared" si="36"/>
        <v>6.8027210884353817E-3</v>
      </c>
      <c r="BS30">
        <f t="shared" si="19"/>
        <v>8.0357142857142863E-2</v>
      </c>
      <c r="BT30">
        <v>2.6454673218759654E-2</v>
      </c>
      <c r="BU30">
        <f t="shared" si="20"/>
        <v>8.2480383033156635E-5</v>
      </c>
      <c r="BV30">
        <f t="shared" si="37"/>
        <v>4.4642857142857262E-3</v>
      </c>
      <c r="BW30">
        <v>18</v>
      </c>
      <c r="BX30">
        <v>1.6666666666666666E-2</v>
      </c>
      <c r="BY30">
        <f t="shared" si="21"/>
        <v>0.13333333333333333</v>
      </c>
      <c r="BZ30" t="e">
        <f t="shared" si="22"/>
        <v>#N/A</v>
      </c>
      <c r="CB30" t="e">
        <f t="shared" si="23"/>
        <v>#N/A</v>
      </c>
      <c r="CC30">
        <f t="shared" si="24"/>
        <v>1.6666666666666666E-2</v>
      </c>
      <c r="CE30" t="e">
        <v>#N/A</v>
      </c>
      <c r="CF30">
        <v>1.1022927689594356E-2</v>
      </c>
      <c r="CJ30">
        <f t="shared" si="26"/>
        <v>8.0357142857142863E-2</v>
      </c>
      <c r="CK30">
        <v>1.10127816454E-2</v>
      </c>
      <c r="CL30">
        <f t="shared" si="27"/>
        <v>3.298065500000058E-6</v>
      </c>
      <c r="CM30">
        <f t="shared" si="39"/>
        <v>4.4642857142857262E-3</v>
      </c>
    </row>
    <row r="31" spans="2:91">
      <c r="B31">
        <v>19</v>
      </c>
      <c r="C31" t="e">
        <f>IF(ISNUMBER(K31),IF('Lab test'!N22&gt;0,'Lab test'!N22,NA()),NA())</f>
        <v>#N/A</v>
      </c>
      <c r="D31" t="e">
        <f>IF(ISNUMBER(K31),IF('Lab test'!Q22&gt;0,'Lab test'!Q22,NA()),NA())</f>
        <v>#N/A</v>
      </c>
      <c r="E31" t="e">
        <f>IF(ISNUMBER(K31),IF('Lab test'!P22&gt;0,'Lab test'!P22,NA()),NA())</f>
        <v>#N/A</v>
      </c>
      <c r="F31" t="e">
        <f>IF(ISNUMBER(K31),IF('Lab test'!AJ22&gt;0,'Lab test'!AJ22,NA()),NA())</f>
        <v>#N/A</v>
      </c>
      <c r="G31">
        <f>IF('Lab test'!V22&gt;0,'Lab test'!V22,NA())</f>
        <v>74463.38</v>
      </c>
      <c r="H31">
        <f>IF(MAX('Lab test'!W22,'Lab test'!X22)&gt;0,MAX('Lab test'!W22,'Lab test'!X22),NA())</f>
        <v>389.55</v>
      </c>
      <c r="I31">
        <f>IF('Lab test'!AU22&gt;0,'Lab test'!AU22,NA())</f>
        <v>0.90938937235271466</v>
      </c>
      <c r="J31">
        <f>IF('Lab test'!AT22&gt;0,'Lab test'!AT22,NA())</f>
        <v>0.44427694734093015</v>
      </c>
      <c r="K31" t="e">
        <f t="shared" si="28"/>
        <v>#N/A</v>
      </c>
      <c r="L31" t="str">
        <f>'Lab test'!AC22</f>
        <v>Machined</v>
      </c>
      <c r="N31">
        <v>19</v>
      </c>
      <c r="O31">
        <v>114.01895120099999</v>
      </c>
      <c r="P31">
        <v>0.24012521249900001</v>
      </c>
      <c r="Q31">
        <f t="shared" si="29"/>
        <v>474.83123498110314</v>
      </c>
      <c r="R31">
        <v>278.37471291100002</v>
      </c>
      <c r="S31">
        <f t="shared" si="30"/>
        <v>0.11204257993193283</v>
      </c>
      <c r="T31">
        <v>6.6592439883300006E-2</v>
      </c>
      <c r="U31">
        <f t="shared" si="0"/>
        <v>8.4821428571428575E-2</v>
      </c>
      <c r="W31">
        <v>19</v>
      </c>
      <c r="X31">
        <v>23.939499999999999</v>
      </c>
      <c r="Y31">
        <f t="shared" si="1"/>
        <v>0.1165644171779141</v>
      </c>
      <c r="Z31" t="e">
        <f t="shared" si="2"/>
        <v>#N/A</v>
      </c>
      <c r="AB31" t="e">
        <f t="shared" si="3"/>
        <v>#N/A</v>
      </c>
      <c r="AC31">
        <f t="shared" si="4"/>
        <v>23.939499999999999</v>
      </c>
      <c r="AE31" t="e">
        <v>#N/A</v>
      </c>
      <c r="AF31">
        <v>23.876000000000001</v>
      </c>
      <c r="AJ31">
        <f t="shared" si="6"/>
        <v>8.4821428571428575E-2</v>
      </c>
      <c r="AK31">
        <v>23.918709037900001</v>
      </c>
      <c r="AL31">
        <f t="shared" si="7"/>
        <v>4.5518345999973064E-3</v>
      </c>
      <c r="AM31">
        <f t="shared" si="32"/>
        <v>4.4642857142857123E-3</v>
      </c>
      <c r="AO31">
        <v>19</v>
      </c>
      <c r="AP31">
        <v>263</v>
      </c>
      <c r="AQ31">
        <f t="shared" si="33"/>
        <v>0.1165644171779141</v>
      </c>
      <c r="AR31" t="e">
        <f t="shared" si="8"/>
        <v>#N/A</v>
      </c>
      <c r="AT31" t="e">
        <f t="shared" si="9"/>
        <v>#N/A</v>
      </c>
      <c r="AU31">
        <f t="shared" si="10"/>
        <v>263</v>
      </c>
      <c r="AW31">
        <v>0.26380368098159507</v>
      </c>
      <c r="AX31">
        <v>317.79661016949149</v>
      </c>
      <c r="AY31">
        <f t="shared" si="11"/>
        <v>0.61555199267064609</v>
      </c>
      <c r="AZ31">
        <f t="shared" si="34"/>
        <v>6.1349693251533388E-3</v>
      </c>
      <c r="BB31">
        <f t="shared" si="12"/>
        <v>8.4821428571428575E-2</v>
      </c>
      <c r="BC31">
        <v>208.7002395522679</v>
      </c>
      <c r="BD31">
        <f t="shared" si="13"/>
        <v>25.622918497565678</v>
      </c>
      <c r="BE31">
        <f t="shared" si="35"/>
        <v>4.4642857142857123E-3</v>
      </c>
      <c r="BF31">
        <v>19</v>
      </c>
      <c r="BG31">
        <v>3.2812996701542467E-2</v>
      </c>
      <c r="BH31">
        <f t="shared" si="14"/>
        <v>0.12925170068027211</v>
      </c>
      <c r="BI31">
        <f t="shared" si="15"/>
        <v>0.12925170068027211</v>
      </c>
      <c r="BK31">
        <f t="shared" si="16"/>
        <v>0.12925170068027211</v>
      </c>
      <c r="BL31">
        <f t="shared" si="17"/>
        <v>3.2812996701542467E-2</v>
      </c>
      <c r="BN31">
        <v>0.14965986394557823</v>
      </c>
      <c r="BO31">
        <v>3.5355339059327376E-2</v>
      </c>
      <c r="BP31">
        <f t="shared" si="18"/>
        <v>1.8954809666040309E-3</v>
      </c>
      <c r="BQ31">
        <f t="shared" si="36"/>
        <v>1.3605442176870736E-2</v>
      </c>
      <c r="BS31">
        <f t="shared" si="19"/>
        <v>8.4821428571428575E-2</v>
      </c>
      <c r="BT31">
        <v>2.6537153601792811E-2</v>
      </c>
      <c r="BU31">
        <f t="shared" si="20"/>
        <v>6.3277948685341381E-3</v>
      </c>
      <c r="BV31">
        <f t="shared" si="37"/>
        <v>4.4642857142857123E-3</v>
      </c>
      <c r="BW31">
        <v>19</v>
      </c>
      <c r="BX31">
        <v>1.6666666666666666E-2</v>
      </c>
      <c r="BY31">
        <f t="shared" si="21"/>
        <v>0.14074074074074075</v>
      </c>
      <c r="BZ31" t="e">
        <f t="shared" si="22"/>
        <v>#N/A</v>
      </c>
      <c r="CB31" t="e">
        <f t="shared" si="23"/>
        <v>#N/A</v>
      </c>
      <c r="CC31">
        <f t="shared" si="24"/>
        <v>1.6666666666666666E-2</v>
      </c>
      <c r="CE31" t="e">
        <v>#N/A</v>
      </c>
      <c r="CF31">
        <v>1.1022927689594356E-2</v>
      </c>
      <c r="CJ31">
        <f t="shared" si="26"/>
        <v>8.4821428571428575E-2</v>
      </c>
      <c r="CK31">
        <v>1.10160797109E-2</v>
      </c>
      <c r="CL31">
        <f t="shared" si="27"/>
        <v>1.9931970000018617E-7</v>
      </c>
      <c r="CM31">
        <f t="shared" si="39"/>
        <v>4.4642857142857123E-3</v>
      </c>
    </row>
    <row r="32" spans="2:91">
      <c r="B32">
        <v>20</v>
      </c>
      <c r="C32" t="e">
        <f>IF(ISNUMBER(K32),IF('Lab test'!N23&gt;0,'Lab test'!N23,NA()),NA())</f>
        <v>#N/A</v>
      </c>
      <c r="D32" t="e">
        <f>IF(ISNUMBER(K32),IF('Lab test'!Q23&gt;0,'Lab test'!Q23,NA()),NA())</f>
        <v>#N/A</v>
      </c>
      <c r="E32" t="e">
        <f>IF(ISNUMBER(K32),IF('Lab test'!P23&gt;0,'Lab test'!P23,NA()),NA())</f>
        <v>#N/A</v>
      </c>
      <c r="F32" t="e">
        <f>IF(ISNUMBER(K32),IF('Lab test'!AJ23&gt;0,'Lab test'!AJ23,NA()),NA())</f>
        <v>#N/A</v>
      </c>
      <c r="G32">
        <f>IF('Lab test'!V23&gt;0,'Lab test'!V23,NA())</f>
        <v>74463.38</v>
      </c>
      <c r="H32">
        <f>IF(MAX('Lab test'!W23,'Lab test'!X23)&gt;0,MAX('Lab test'!W23,'Lab test'!X23),NA())</f>
        <v>389.55</v>
      </c>
      <c r="I32">
        <f>IF('Lab test'!AU23&gt;0,'Lab test'!AU23,NA())</f>
        <v>0.777883660634065</v>
      </c>
      <c r="J32">
        <f>IF('Lab test'!AT23&gt;0,'Lab test'!AT23,NA())</f>
        <v>0.60063939738644889</v>
      </c>
      <c r="K32" t="e">
        <f t="shared" si="28"/>
        <v>#N/A</v>
      </c>
      <c r="L32" t="str">
        <f>'Lab test'!AC23</f>
        <v>Machined</v>
      </c>
      <c r="N32">
        <v>20</v>
      </c>
      <c r="O32">
        <v>114.03583077499999</v>
      </c>
      <c r="P32">
        <v>0.381498156496</v>
      </c>
      <c r="Q32">
        <f t="shared" si="29"/>
        <v>298.91581081911642</v>
      </c>
      <c r="R32">
        <v>113.833838703</v>
      </c>
      <c r="S32">
        <f t="shared" si="30"/>
        <v>5.7737185145184722E-2</v>
      </c>
      <c r="T32">
        <v>4.2721416715800001E-2</v>
      </c>
      <c r="U32">
        <f t="shared" si="0"/>
        <v>8.9285714285714288E-2</v>
      </c>
      <c r="W32">
        <v>20</v>
      </c>
      <c r="X32">
        <v>23.939499999999999</v>
      </c>
      <c r="Y32">
        <f t="shared" si="1"/>
        <v>0.12269938650306748</v>
      </c>
      <c r="Z32" t="e">
        <f t="shared" si="2"/>
        <v>#N/A</v>
      </c>
      <c r="AB32" t="e">
        <f t="shared" si="3"/>
        <v>#N/A</v>
      </c>
      <c r="AC32">
        <f t="shared" si="4"/>
        <v>23.939499999999999</v>
      </c>
      <c r="AE32" t="e">
        <v>#N/A</v>
      </c>
      <c r="AF32">
        <v>23.876000000000001</v>
      </c>
      <c r="AJ32">
        <f t="shared" si="6"/>
        <v>8.9285714285714288E-2</v>
      </c>
      <c r="AK32">
        <v>23.923260872499998</v>
      </c>
      <c r="AL32">
        <f t="shared" si="7"/>
        <v>4.4498636000014358E-3</v>
      </c>
      <c r="AM32">
        <f t="shared" si="32"/>
        <v>4.4642857142857123E-3</v>
      </c>
      <c r="AO32">
        <v>20</v>
      </c>
      <c r="AP32">
        <v>263</v>
      </c>
      <c r="AQ32">
        <f t="shared" si="33"/>
        <v>0.12269938650306748</v>
      </c>
      <c r="AR32">
        <f t="shared" si="8"/>
        <v>0.12269938650306748</v>
      </c>
      <c r="AT32">
        <f t="shared" si="9"/>
        <v>0.12269938650306748</v>
      </c>
      <c r="AU32">
        <f t="shared" si="10"/>
        <v>263</v>
      </c>
      <c r="AW32">
        <v>0.26993865030674846</v>
      </c>
      <c r="AX32">
        <v>318.41216216216213</v>
      </c>
      <c r="AY32">
        <f t="shared" si="11"/>
        <v>0.23190563444808276</v>
      </c>
      <c r="AZ32">
        <f t="shared" si="34"/>
        <v>6.1349693251533943E-3</v>
      </c>
      <c r="BB32">
        <f t="shared" si="12"/>
        <v>8.9285714285714288E-2</v>
      </c>
      <c r="BC32">
        <v>234.32315804983358</v>
      </c>
      <c r="BD32">
        <f t="shared" si="13"/>
        <v>5.1274751069080367</v>
      </c>
      <c r="BE32">
        <f t="shared" si="35"/>
        <v>4.4642857142857123E-3</v>
      </c>
      <c r="BF32">
        <v>20</v>
      </c>
      <c r="BG32">
        <v>3.3051636677553689E-2</v>
      </c>
      <c r="BH32">
        <f t="shared" si="14"/>
        <v>0.1360544217687075</v>
      </c>
      <c r="BI32">
        <f t="shared" si="15"/>
        <v>0.1360544217687075</v>
      </c>
      <c r="BK32">
        <f t="shared" si="16"/>
        <v>0.1360544217687075</v>
      </c>
      <c r="BL32">
        <f t="shared" si="17"/>
        <v>3.3051636677553689E-2</v>
      </c>
      <c r="BN32">
        <v>0.15646258503401361</v>
      </c>
      <c r="BO32">
        <v>3.7250820025931407E-2</v>
      </c>
      <c r="BP32">
        <f t="shared" si="18"/>
        <v>7.793058582830914E-4</v>
      </c>
      <c r="BQ32">
        <f t="shared" si="36"/>
        <v>6.8027210884353817E-3</v>
      </c>
      <c r="BS32">
        <f t="shared" si="19"/>
        <v>8.9285714285714288E-2</v>
      </c>
      <c r="BT32">
        <v>3.2864948470326949E-2</v>
      </c>
      <c r="BU32">
        <f t="shared" si="20"/>
        <v>8.559316805489825E-6</v>
      </c>
      <c r="BV32">
        <f t="shared" si="37"/>
        <v>4.4642857142857123E-3</v>
      </c>
      <c r="BW32">
        <v>20</v>
      </c>
      <c r="BX32">
        <v>1.6666666666666666E-2</v>
      </c>
      <c r="BY32">
        <f t="shared" si="21"/>
        <v>0.14814814814814814</v>
      </c>
      <c r="BZ32" t="e">
        <f t="shared" si="22"/>
        <v>#N/A</v>
      </c>
      <c r="CB32" t="e">
        <f t="shared" si="23"/>
        <v>#N/A</v>
      </c>
      <c r="CC32">
        <f t="shared" si="24"/>
        <v>1.6666666666666666E-2</v>
      </c>
      <c r="CE32" t="e">
        <v>#N/A</v>
      </c>
      <c r="CF32">
        <v>1.1022927689594356E-2</v>
      </c>
      <c r="CJ32">
        <f t="shared" si="26"/>
        <v>8.9285714285714288E-2</v>
      </c>
      <c r="CK32">
        <v>1.10162790306E-2</v>
      </c>
      <c r="CL32">
        <f t="shared" si="27"/>
        <v>1.2446182999989452E-6</v>
      </c>
      <c r="CM32">
        <f t="shared" si="39"/>
        <v>4.4642857142857123E-3</v>
      </c>
    </row>
    <row r="33" spans="2:91">
      <c r="B33">
        <v>21</v>
      </c>
      <c r="C33" t="e">
        <f>IF(ISNUMBER(K33),IF('Lab test'!N24&gt;0,'Lab test'!N24,NA()),NA())</f>
        <v>#N/A</v>
      </c>
      <c r="D33" t="e">
        <f>IF(ISNUMBER(K33),IF('Lab test'!Q24&gt;0,'Lab test'!Q24,NA()),NA())</f>
        <v>#N/A</v>
      </c>
      <c r="E33" t="e">
        <f>IF(ISNUMBER(K33),IF('Lab test'!P24&gt;0,'Lab test'!P24,NA()),NA())</f>
        <v>#N/A</v>
      </c>
      <c r="F33" t="e">
        <f>IF(ISNUMBER(K33),IF('Lab test'!AJ24&gt;0,'Lab test'!AJ24,NA()),NA())</f>
        <v>#N/A</v>
      </c>
      <c r="G33">
        <f>IF('Lab test'!V24&gt;0,'Lab test'!V24,NA())</f>
        <v>74463.38</v>
      </c>
      <c r="H33">
        <f>IF(MAX('Lab test'!W24,'Lab test'!X24)&gt;0,MAX('Lab test'!W24,'Lab test'!X24),NA())</f>
        <v>389.55</v>
      </c>
      <c r="I33">
        <f>IF('Lab test'!AU24&gt;0,'Lab test'!AU24,NA())</f>
        <v>1.2389500962649211</v>
      </c>
      <c r="J33">
        <f>IF('Lab test'!AT24&gt;0,'Lab test'!AT24,NA())</f>
        <v>0.10452144329222224</v>
      </c>
      <c r="K33" t="e">
        <f t="shared" si="28"/>
        <v>#N/A</v>
      </c>
      <c r="L33" t="str">
        <f>'Lab test'!AC24</f>
        <v>Machined</v>
      </c>
      <c r="N33">
        <v>21</v>
      </c>
      <c r="O33">
        <v>114.067803236</v>
      </c>
      <c r="P33">
        <v>0.35821584800599998</v>
      </c>
      <c r="Q33">
        <f t="shared" si="29"/>
        <v>318.43315663155533</v>
      </c>
      <c r="R33">
        <v>156.77165529600001</v>
      </c>
      <c r="S33">
        <f t="shared" si="30"/>
        <v>7.7018547701940832E-2</v>
      </c>
      <c r="T33">
        <v>1.15264965946E-2</v>
      </c>
      <c r="U33">
        <f t="shared" si="0"/>
        <v>9.375E-2</v>
      </c>
      <c r="W33">
        <v>21</v>
      </c>
      <c r="X33">
        <v>23.939499999999999</v>
      </c>
      <c r="Y33">
        <f t="shared" si="1"/>
        <v>0.12883435582822086</v>
      </c>
      <c r="Z33" t="e">
        <f t="shared" si="2"/>
        <v>#N/A</v>
      </c>
      <c r="AB33" t="e">
        <f t="shared" si="3"/>
        <v>#N/A</v>
      </c>
      <c r="AC33">
        <f t="shared" si="4"/>
        <v>23.939499999999999</v>
      </c>
      <c r="AE33" t="e">
        <v>#N/A</v>
      </c>
      <c r="AF33">
        <v>23.876000000000001</v>
      </c>
      <c r="AJ33">
        <f t="shared" si="6"/>
        <v>9.375E-2</v>
      </c>
      <c r="AK33">
        <v>23.9277107361</v>
      </c>
      <c r="AL33">
        <f t="shared" si="7"/>
        <v>2.878727670000103E-2</v>
      </c>
      <c r="AM33">
        <f t="shared" si="32"/>
        <v>4.4642857142857123E-3</v>
      </c>
      <c r="AO33">
        <v>21</v>
      </c>
      <c r="AP33">
        <v>270</v>
      </c>
      <c r="AQ33">
        <f t="shared" si="33"/>
        <v>0.12883435582822086</v>
      </c>
      <c r="AR33" t="e">
        <f t="shared" si="8"/>
        <v>#N/A</v>
      </c>
      <c r="AT33" t="e">
        <f t="shared" si="9"/>
        <v>#N/A</v>
      </c>
      <c r="AU33">
        <f t="shared" si="10"/>
        <v>270</v>
      </c>
      <c r="AW33">
        <v>0.2822085889570552</v>
      </c>
      <c r="AX33">
        <v>318.64406779661022</v>
      </c>
      <c r="AY33">
        <f t="shared" si="11"/>
        <v>0.84745762711855832</v>
      </c>
      <c r="AZ33">
        <f t="shared" si="34"/>
        <v>1.2269938650306733E-2</v>
      </c>
      <c r="BB33">
        <f t="shared" si="12"/>
        <v>9.375E-2</v>
      </c>
      <c r="BC33">
        <v>239.45063315674162</v>
      </c>
      <c r="BD33">
        <f t="shared" si="13"/>
        <v>0.84694856939154306</v>
      </c>
      <c r="BE33">
        <f t="shared" si="35"/>
        <v>4.4642857142857123E-3</v>
      </c>
      <c r="BF33">
        <v>21</v>
      </c>
      <c r="BG33">
        <v>3.5355339059327376E-2</v>
      </c>
      <c r="BH33">
        <f t="shared" si="14"/>
        <v>0.14285714285714285</v>
      </c>
      <c r="BI33" t="e">
        <f t="shared" si="15"/>
        <v>#N/A</v>
      </c>
      <c r="BK33" t="e">
        <f t="shared" si="16"/>
        <v>#N/A</v>
      </c>
      <c r="BL33">
        <f t="shared" si="17"/>
        <v>3.5355339059327376E-2</v>
      </c>
      <c r="BN33">
        <v>0.16326530612244897</v>
      </c>
      <c r="BO33">
        <v>3.8030125884214498E-2</v>
      </c>
      <c r="BP33">
        <f t="shared" si="18"/>
        <v>4.8343380361288296E-4</v>
      </c>
      <c r="BQ33">
        <f t="shared" si="36"/>
        <v>6.8027210884353539E-3</v>
      </c>
      <c r="BS33">
        <f t="shared" si="19"/>
        <v>9.375E-2</v>
      </c>
      <c r="BT33">
        <v>3.2873507787132439E-2</v>
      </c>
      <c r="BU33">
        <f t="shared" si="20"/>
        <v>9.6855666184613581E-4</v>
      </c>
      <c r="BV33">
        <f t="shared" si="37"/>
        <v>4.4642857142857123E-3</v>
      </c>
      <c r="BW33">
        <v>21</v>
      </c>
      <c r="BX33">
        <v>1.6666666666666666E-2</v>
      </c>
      <c r="BY33">
        <f t="shared" si="21"/>
        <v>0.15555555555555556</v>
      </c>
      <c r="BZ33" t="e">
        <f t="shared" si="22"/>
        <v>#N/A</v>
      </c>
      <c r="CB33" t="e">
        <f t="shared" si="23"/>
        <v>#N/A</v>
      </c>
      <c r="CC33">
        <f t="shared" si="24"/>
        <v>1.6666666666666666E-2</v>
      </c>
      <c r="CE33" t="e">
        <v>#N/A</v>
      </c>
      <c r="CF33">
        <v>1.1022927689594356E-2</v>
      </c>
      <c r="CJ33">
        <f t="shared" si="26"/>
        <v>9.375E-2</v>
      </c>
      <c r="CK33">
        <v>1.1017523648899999E-2</v>
      </c>
      <c r="CL33">
        <f t="shared" si="27"/>
        <v>4.1645548000002891E-6</v>
      </c>
      <c r="CM33">
        <f t="shared" si="39"/>
        <v>4.4642857142857123E-3</v>
      </c>
    </row>
    <row r="34" spans="2:91">
      <c r="B34">
        <v>22</v>
      </c>
      <c r="C34" t="e">
        <f>IF(ISNUMBER(K34),IF('Lab test'!N25&gt;0,'Lab test'!N25,NA()),NA())</f>
        <v>#N/A</v>
      </c>
      <c r="D34" t="e">
        <f>IF(ISNUMBER(K34),IF('Lab test'!Q25&gt;0,'Lab test'!Q25,NA()),NA())</f>
        <v>#N/A</v>
      </c>
      <c r="E34" t="e">
        <f>IF(ISNUMBER(K34),IF('Lab test'!P25&gt;0,'Lab test'!P25,NA()),NA())</f>
        <v>#N/A</v>
      </c>
      <c r="F34" t="e">
        <f>IF(ISNUMBER(K34),IF('Lab test'!AJ25&gt;0,'Lab test'!AJ25,NA()),NA())</f>
        <v>#N/A</v>
      </c>
      <c r="G34">
        <f>IF('Lab test'!V25&gt;0,'Lab test'!V25,NA())</f>
        <v>74463.38</v>
      </c>
      <c r="H34">
        <f>IF(MAX('Lab test'!W25,'Lab test'!X25)&gt;0,MAX('Lab test'!W25,'Lab test'!X25),NA())</f>
        <v>389.55</v>
      </c>
      <c r="I34">
        <f>IF('Lab test'!AU25&gt;0,'Lab test'!AU25,NA())</f>
        <v>1.2269145937620329</v>
      </c>
      <c r="J34">
        <f>IF('Lab test'!AT25&gt;0,'Lab test'!AT25,NA())</f>
        <v>0.10350609438872335</v>
      </c>
      <c r="K34" t="e">
        <f t="shared" si="28"/>
        <v>#N/A</v>
      </c>
      <c r="L34" t="str">
        <f>'Lab test'!AC25</f>
        <v>Machined</v>
      </c>
      <c r="N34">
        <v>22</v>
      </c>
      <c r="O34">
        <v>116.37839322400001</v>
      </c>
      <c r="P34">
        <v>0.24299002266299999</v>
      </c>
      <c r="Q34">
        <f t="shared" si="29"/>
        <v>478.94309382983943</v>
      </c>
      <c r="R34">
        <v>90.359435255099996</v>
      </c>
      <c r="S34">
        <f t="shared" si="30"/>
        <v>3.5478005234588474E-2</v>
      </c>
      <c r="T34">
        <v>3.3314941217600001E-2</v>
      </c>
      <c r="U34">
        <f t="shared" si="0"/>
        <v>9.8214285714285712E-2</v>
      </c>
      <c r="W34">
        <v>22</v>
      </c>
      <c r="X34">
        <v>23.939499999999999</v>
      </c>
      <c r="Y34">
        <f t="shared" si="1"/>
        <v>0.13496932515337423</v>
      </c>
      <c r="Z34" t="e">
        <f t="shared" si="2"/>
        <v>#N/A</v>
      </c>
      <c r="AB34" t="e">
        <f t="shared" si="3"/>
        <v>#N/A</v>
      </c>
      <c r="AC34">
        <f t="shared" si="4"/>
        <v>23.939499999999999</v>
      </c>
      <c r="AE34" t="e">
        <v>#N/A</v>
      </c>
      <c r="AF34">
        <v>23.876000000000001</v>
      </c>
      <c r="AJ34">
        <f t="shared" si="6"/>
        <v>9.8214285714285712E-2</v>
      </c>
      <c r="AK34">
        <v>23.956498012800001</v>
      </c>
      <c r="AL34">
        <f t="shared" si="7"/>
        <v>1.0393199474999975</v>
      </c>
      <c r="AM34">
        <f t="shared" si="32"/>
        <v>4.4642857142857123E-3</v>
      </c>
      <c r="AO34">
        <v>22</v>
      </c>
      <c r="AP34">
        <v>270</v>
      </c>
      <c r="AQ34">
        <f t="shared" si="33"/>
        <v>0.13496932515337423</v>
      </c>
      <c r="AR34" t="e">
        <f t="shared" si="8"/>
        <v>#N/A</v>
      </c>
      <c r="AT34" t="e">
        <f t="shared" si="9"/>
        <v>#N/A</v>
      </c>
      <c r="AU34">
        <f t="shared" si="10"/>
        <v>270</v>
      </c>
      <c r="AW34">
        <v>0.28834355828220859</v>
      </c>
      <c r="AX34">
        <v>319.49152542372877</v>
      </c>
      <c r="AY34">
        <f t="shared" si="11"/>
        <v>12.374671759369846</v>
      </c>
      <c r="AZ34">
        <f t="shared" si="34"/>
        <v>6.1349693251533943E-3</v>
      </c>
      <c r="BB34">
        <f t="shared" si="12"/>
        <v>9.8214285714285712E-2</v>
      </c>
      <c r="BC34">
        <v>240.29758172613316</v>
      </c>
      <c r="BD34">
        <f t="shared" si="13"/>
        <v>0.15521878051202975</v>
      </c>
      <c r="BE34">
        <f t="shared" si="35"/>
        <v>4.4642857142857123E-3</v>
      </c>
      <c r="BF34">
        <v>22</v>
      </c>
      <c r="BG34">
        <v>3.5355339059327376E-2</v>
      </c>
      <c r="BH34">
        <f t="shared" si="14"/>
        <v>0.14965986394557823</v>
      </c>
      <c r="BI34">
        <f t="shared" si="15"/>
        <v>0.14965986394557823</v>
      </c>
      <c r="BK34">
        <f t="shared" si="16"/>
        <v>0.14965986394557823</v>
      </c>
      <c r="BL34">
        <f t="shared" si="17"/>
        <v>3.5355339059327376E-2</v>
      </c>
      <c r="BN34">
        <v>0.17006802721088435</v>
      </c>
      <c r="BO34">
        <v>3.8513559687827381E-2</v>
      </c>
      <c r="BP34">
        <f t="shared" si="18"/>
        <v>1.638874880333166E-4</v>
      </c>
      <c r="BQ34">
        <f t="shared" si="36"/>
        <v>6.8027210884353817E-3</v>
      </c>
      <c r="BS34">
        <f t="shared" si="19"/>
        <v>9.8214285714285712E-2</v>
      </c>
      <c r="BT34">
        <v>3.3842064448978575E-2</v>
      </c>
      <c r="BU34">
        <f t="shared" si="20"/>
        <v>5.5994305352242979E-4</v>
      </c>
      <c r="BV34">
        <f t="shared" si="37"/>
        <v>4.4642857142857123E-3</v>
      </c>
      <c r="BW34">
        <v>22</v>
      </c>
      <c r="BX34">
        <v>1.6666666666666666E-2</v>
      </c>
      <c r="BY34">
        <f t="shared" si="21"/>
        <v>0.16296296296296298</v>
      </c>
      <c r="BZ34" t="e">
        <f t="shared" si="22"/>
        <v>#N/A</v>
      </c>
      <c r="CB34" t="e">
        <f t="shared" si="23"/>
        <v>#N/A</v>
      </c>
      <c r="CC34">
        <f t="shared" si="24"/>
        <v>1.6666666666666666E-2</v>
      </c>
      <c r="CE34" t="e">
        <v>#N/A</v>
      </c>
      <c r="CF34">
        <v>1.1022927689594356E-2</v>
      </c>
      <c r="CJ34">
        <f t="shared" si="26"/>
        <v>9.8214285714285712E-2</v>
      </c>
      <c r="CK34">
        <v>1.10216882037E-2</v>
      </c>
      <c r="CL34">
        <f t="shared" si="27"/>
        <v>6.0121281500000179E-5</v>
      </c>
      <c r="CM34">
        <f t="shared" si="39"/>
        <v>4.4642857142857123E-3</v>
      </c>
    </row>
    <row r="35" spans="2:91">
      <c r="B35">
        <v>23</v>
      </c>
      <c r="C35" t="e">
        <f>IF(ISNUMBER(K35),IF('Lab test'!N26&gt;0,'Lab test'!N26,NA()),NA())</f>
        <v>#N/A</v>
      </c>
      <c r="D35" t="e">
        <f>IF(ISNUMBER(K35),IF('Lab test'!Q26&gt;0,'Lab test'!Q26,NA()),NA())</f>
        <v>#N/A</v>
      </c>
      <c r="E35" t="e">
        <f>IF(ISNUMBER(K35),IF('Lab test'!P26&gt;0,'Lab test'!P26,NA()),NA())</f>
        <v>#N/A</v>
      </c>
      <c r="F35" t="e">
        <f>IF(ISNUMBER(K35),IF('Lab test'!AJ26&gt;0,'Lab test'!AJ26,NA()),NA())</f>
        <v>#N/A</v>
      </c>
      <c r="G35">
        <f>IF('Lab test'!V26&gt;0,'Lab test'!V26,NA())</f>
        <v>74463.38</v>
      </c>
      <c r="H35">
        <f>IF(MAX('Lab test'!W26,'Lab test'!X26)&gt;0,MAX('Lab test'!W26,'Lab test'!X26),NA())</f>
        <v>389.55</v>
      </c>
      <c r="I35">
        <f>IF('Lab test'!AU26&gt;0,'Lab test'!AU26,NA())</f>
        <v>1.236118213323065</v>
      </c>
      <c r="J35">
        <f>IF('Lab test'!AT26&gt;0,'Lab test'!AT26,NA())</f>
        <v>0.10428253738857871</v>
      </c>
      <c r="K35" t="e">
        <f t="shared" si="28"/>
        <v>#N/A</v>
      </c>
      <c r="L35" t="str">
        <f>'Lab test'!AC26</f>
        <v>Machined</v>
      </c>
      <c r="N35">
        <v>23</v>
      </c>
      <c r="O35">
        <v>119.467682829</v>
      </c>
      <c r="P35">
        <v>0.17832558270900001</v>
      </c>
      <c r="Q35">
        <f t="shared" si="29"/>
        <v>669.94135678195391</v>
      </c>
      <c r="R35">
        <v>242.44349280599999</v>
      </c>
      <c r="S35">
        <f t="shared" si="30"/>
        <v>7.8404627821409723E-2</v>
      </c>
      <c r="T35">
        <v>6.6660074838000002E-2</v>
      </c>
      <c r="U35">
        <f t="shared" si="0"/>
        <v>0.10267857142857142</v>
      </c>
      <c r="W35">
        <v>23</v>
      </c>
      <c r="X35">
        <v>23.939499999999999</v>
      </c>
      <c r="Y35">
        <f t="shared" si="1"/>
        <v>0.1411042944785276</v>
      </c>
      <c r="Z35" t="e">
        <f t="shared" si="2"/>
        <v>#N/A</v>
      </c>
      <c r="AB35" t="e">
        <f t="shared" si="3"/>
        <v>#N/A</v>
      </c>
      <c r="AC35">
        <f t="shared" si="4"/>
        <v>23.939499999999999</v>
      </c>
      <c r="AE35" t="e">
        <v>#N/A</v>
      </c>
      <c r="AF35">
        <v>23.876000000000001</v>
      </c>
      <c r="AJ35">
        <f t="shared" si="6"/>
        <v>0.10267857142857142</v>
      </c>
      <c r="AK35">
        <v>24.995817960299998</v>
      </c>
      <c r="AL35">
        <f t="shared" si="7"/>
        <v>0.8917922735000019</v>
      </c>
      <c r="AM35">
        <f t="shared" si="32"/>
        <v>4.4642857142857123E-3</v>
      </c>
      <c r="AO35">
        <v>23</v>
      </c>
      <c r="AP35">
        <v>270</v>
      </c>
      <c r="AQ35">
        <f t="shared" si="33"/>
        <v>0.1411042944785276</v>
      </c>
      <c r="AR35">
        <f t="shared" si="8"/>
        <v>0.1411042944785276</v>
      </c>
      <c r="AT35">
        <f t="shared" si="9"/>
        <v>0.1411042944785276</v>
      </c>
      <c r="AU35">
        <f t="shared" si="10"/>
        <v>270</v>
      </c>
      <c r="AW35">
        <v>0.29447852760736198</v>
      </c>
      <c r="AX35">
        <v>331.86619718309862</v>
      </c>
      <c r="AY35">
        <f t="shared" si="11"/>
        <v>4.7409456740442693</v>
      </c>
      <c r="AZ35">
        <f t="shared" si="34"/>
        <v>6.1349693251533943E-3</v>
      </c>
      <c r="BB35">
        <f t="shared" si="12"/>
        <v>0.10267857142857142</v>
      </c>
      <c r="BC35">
        <v>240.45280050664519</v>
      </c>
      <c r="BD35">
        <f t="shared" si="13"/>
        <v>6.2586055113515044</v>
      </c>
      <c r="BE35">
        <f t="shared" si="35"/>
        <v>4.4642857142857123E-3</v>
      </c>
      <c r="BF35">
        <v>23</v>
      </c>
      <c r="BG35">
        <v>3.7250820025931407E-2</v>
      </c>
      <c r="BH35">
        <f t="shared" si="14"/>
        <v>0.15646258503401361</v>
      </c>
      <c r="BI35">
        <f t="shared" si="15"/>
        <v>0.15646258503401361</v>
      </c>
      <c r="BK35">
        <f t="shared" si="16"/>
        <v>0.15646258503401361</v>
      </c>
      <c r="BL35">
        <f t="shared" si="17"/>
        <v>3.7250820025931407E-2</v>
      </c>
      <c r="BN35">
        <v>0.17687074829931973</v>
      </c>
      <c r="BO35">
        <v>3.8677447175860698E-2</v>
      </c>
      <c r="BP35">
        <f t="shared" si="18"/>
        <v>5.0013940313613225E-4</v>
      </c>
      <c r="BQ35">
        <f t="shared" si="36"/>
        <v>6.8027210884353817E-3</v>
      </c>
      <c r="BS35">
        <f t="shared" si="19"/>
        <v>0.10267857142857142</v>
      </c>
      <c r="BT35">
        <v>3.4402007502501004E-2</v>
      </c>
      <c r="BU35">
        <f t="shared" si="20"/>
        <v>1.8822203307745228E-4</v>
      </c>
      <c r="BV35">
        <f t="shared" si="37"/>
        <v>4.4642857142857123E-3</v>
      </c>
      <c r="BW35">
        <v>23</v>
      </c>
      <c r="BX35">
        <v>1.6666666666666666E-2</v>
      </c>
      <c r="BY35">
        <f t="shared" si="21"/>
        <v>0.17037037037037037</v>
      </c>
      <c r="BZ35" t="e">
        <f t="shared" si="22"/>
        <v>#N/A</v>
      </c>
      <c r="CB35" t="e">
        <f t="shared" si="23"/>
        <v>#N/A</v>
      </c>
      <c r="CC35">
        <f t="shared" si="24"/>
        <v>1.6666666666666666E-2</v>
      </c>
      <c r="CE35" t="e">
        <v>#N/A</v>
      </c>
      <c r="CF35">
        <v>1.1022927689594356E-2</v>
      </c>
      <c r="CJ35">
        <f t="shared" si="26"/>
        <v>0.10267857142857142</v>
      </c>
      <c r="CK35">
        <v>1.10818094852E-2</v>
      </c>
      <c r="CL35">
        <f t="shared" si="27"/>
        <v>6.2682365200000117E-5</v>
      </c>
      <c r="CM35">
        <f t="shared" si="39"/>
        <v>4.4642857142857123E-3</v>
      </c>
    </row>
    <row r="36" spans="2:91">
      <c r="B36">
        <v>24</v>
      </c>
      <c r="C36" t="e">
        <f>IF(ISNUMBER(K36),IF('Lab test'!N27&gt;0,'Lab test'!N27,NA()),NA())</f>
        <v>#N/A</v>
      </c>
      <c r="D36" t="e">
        <f>IF(ISNUMBER(K36),IF('Lab test'!Q27&gt;0,'Lab test'!Q27,NA()),NA())</f>
        <v>#N/A</v>
      </c>
      <c r="E36" t="e">
        <f>IF(ISNUMBER(K36),IF('Lab test'!P27&gt;0,'Lab test'!P27,NA()),NA())</f>
        <v>#N/A</v>
      </c>
      <c r="F36" t="e">
        <f>IF(ISNUMBER(K36),IF('Lab test'!AJ27&gt;0,'Lab test'!AJ27,NA()),NA())</f>
        <v>#N/A</v>
      </c>
      <c r="G36">
        <f>IF('Lab test'!V27&gt;0,'Lab test'!V27,NA())</f>
        <v>74463.38</v>
      </c>
      <c r="H36">
        <f>IF(MAX('Lab test'!W27,'Lab test'!X27)&gt;0,MAX('Lab test'!W27,'Lab test'!X27),NA())</f>
        <v>389.55</v>
      </c>
      <c r="I36" t="e">
        <f>IF('Lab test'!AU27&gt;0,'Lab test'!AU27,NA())</f>
        <v>#N/A</v>
      </c>
      <c r="J36" t="e">
        <f>IF('Lab test'!AT27&gt;0,'Lab test'!AT27,NA())</f>
        <v>#N/A</v>
      </c>
      <c r="K36" t="e">
        <f t="shared" si="28"/>
        <v>#N/A</v>
      </c>
      <c r="L36" t="str">
        <f>'Lab test'!AC27</f>
        <v>Machined</v>
      </c>
      <c r="N36">
        <v>24</v>
      </c>
      <c r="O36">
        <v>121.3000062</v>
      </c>
      <c r="P36">
        <v>0.23458930520599999</v>
      </c>
      <c r="Q36">
        <f t="shared" si="29"/>
        <v>517.07389684062014</v>
      </c>
      <c r="R36">
        <v>308.485281069</v>
      </c>
      <c r="S36">
        <f t="shared" si="30"/>
        <v>0.11184004084914914</v>
      </c>
      <c r="T36">
        <v>6.6514052895600001E-2</v>
      </c>
      <c r="U36">
        <f t="shared" si="0"/>
        <v>0.10714285714285714</v>
      </c>
      <c r="W36">
        <v>24</v>
      </c>
      <c r="X36">
        <v>23.939499999999999</v>
      </c>
      <c r="Y36">
        <f t="shared" si="1"/>
        <v>0.14723926380368099</v>
      </c>
      <c r="Z36" t="e">
        <f t="shared" si="2"/>
        <v>#N/A</v>
      </c>
      <c r="AB36" t="e">
        <f t="shared" si="3"/>
        <v>#N/A</v>
      </c>
      <c r="AC36">
        <f t="shared" si="4"/>
        <v>23.939499999999999</v>
      </c>
      <c r="AE36" t="e">
        <v>#N/A</v>
      </c>
      <c r="AF36">
        <v>23.876000000000001</v>
      </c>
      <c r="AJ36">
        <f t="shared" si="6"/>
        <v>0.10714285714285714</v>
      </c>
      <c r="AK36">
        <v>25.8876102338</v>
      </c>
      <c r="AL36">
        <f t="shared" si="7"/>
        <v>0.10852002169999864</v>
      </c>
      <c r="AM36">
        <f t="shared" si="32"/>
        <v>4.4642857142857123E-3</v>
      </c>
      <c r="AO36">
        <v>24</v>
      </c>
      <c r="AP36">
        <v>280</v>
      </c>
      <c r="AQ36">
        <f t="shared" si="33"/>
        <v>0.14723926380368099</v>
      </c>
      <c r="AR36" t="e">
        <f t="shared" si="8"/>
        <v>#N/A</v>
      </c>
      <c r="AT36" t="e">
        <f t="shared" si="9"/>
        <v>#N/A</v>
      </c>
      <c r="AU36">
        <f t="shared" si="10"/>
        <v>280</v>
      </c>
      <c r="AW36">
        <v>0.30061349693251532</v>
      </c>
      <c r="AX36">
        <v>336.60714285714289</v>
      </c>
      <c r="AY36">
        <f t="shared" si="11"/>
        <v>7.3709593326381082</v>
      </c>
      <c r="AZ36">
        <f t="shared" si="34"/>
        <v>6.1349693251533388E-3</v>
      </c>
      <c r="BB36">
        <f t="shared" si="12"/>
        <v>0.10714285714285714</v>
      </c>
      <c r="BC36">
        <v>246.71140601799669</v>
      </c>
      <c r="BD36">
        <f t="shared" si="13"/>
        <v>13.125580785987381</v>
      </c>
      <c r="BE36">
        <f t="shared" si="35"/>
        <v>4.4642857142857123E-3</v>
      </c>
      <c r="BF36">
        <v>24</v>
      </c>
      <c r="BG36">
        <v>3.8030125884214498E-2</v>
      </c>
      <c r="BH36">
        <f t="shared" si="14"/>
        <v>0.16326530612244897</v>
      </c>
      <c r="BI36">
        <f t="shared" si="15"/>
        <v>0.16326530612244897</v>
      </c>
      <c r="BK36">
        <f t="shared" si="16"/>
        <v>0.16326530612244897</v>
      </c>
      <c r="BL36">
        <f t="shared" si="17"/>
        <v>3.8030125884214498E-2</v>
      </c>
      <c r="BN36">
        <v>0.19047619047619047</v>
      </c>
      <c r="BO36">
        <v>3.917758657899683E-2</v>
      </c>
      <c r="BP36">
        <f t="shared" si="18"/>
        <v>7.4336959149891371E-3</v>
      </c>
      <c r="BQ36">
        <f t="shared" si="36"/>
        <v>1.3605442176870736E-2</v>
      </c>
      <c r="BS36">
        <f t="shared" si="19"/>
        <v>0.10714285714285714</v>
      </c>
      <c r="BT36">
        <v>3.4590229535578457E-2</v>
      </c>
      <c r="BU36">
        <f t="shared" si="20"/>
        <v>5.0639013535586086E-4</v>
      </c>
      <c r="BV36">
        <f t="shared" si="37"/>
        <v>4.4642857142857123E-3</v>
      </c>
      <c r="BW36">
        <v>24</v>
      </c>
      <c r="BX36">
        <v>1.6666666666666666E-2</v>
      </c>
      <c r="BY36">
        <f t="shared" si="21"/>
        <v>0.17777777777777778</v>
      </c>
      <c r="BZ36" t="e">
        <f t="shared" si="22"/>
        <v>#N/A</v>
      </c>
      <c r="CB36" t="e">
        <f t="shared" si="23"/>
        <v>#N/A</v>
      </c>
      <c r="CC36">
        <f t="shared" si="24"/>
        <v>1.6666666666666666E-2</v>
      </c>
      <c r="CE36" t="e">
        <v>#N/A</v>
      </c>
      <c r="CF36">
        <v>1.1022927689594356E-2</v>
      </c>
      <c r="CJ36">
        <f t="shared" si="26"/>
        <v>0.10714285714285714</v>
      </c>
      <c r="CK36">
        <v>1.11444918504E-2</v>
      </c>
      <c r="CL36">
        <f t="shared" si="27"/>
        <v>3.8200474420000026E-4</v>
      </c>
      <c r="CM36">
        <f t="shared" si="39"/>
        <v>4.4642857142857123E-3</v>
      </c>
    </row>
    <row r="37" spans="2:91">
      <c r="B37">
        <v>25</v>
      </c>
      <c r="C37" t="e">
        <f>IF(ISNUMBER(K37),IF('Lab test'!N28&gt;0,'Lab test'!N28,NA()),NA())</f>
        <v>#N/A</v>
      </c>
      <c r="D37" t="e">
        <f>IF(ISNUMBER(K37),IF('Lab test'!Q28&gt;0,'Lab test'!Q28,NA()),NA())</f>
        <v>#N/A</v>
      </c>
      <c r="E37" t="e">
        <f>IF(ISNUMBER(K37),IF('Lab test'!P28&gt;0,'Lab test'!P28,NA()),NA())</f>
        <v>#N/A</v>
      </c>
      <c r="F37" t="e">
        <f>IF(ISNUMBER(K37),IF('Lab test'!AJ28&gt;0,'Lab test'!AJ28,NA()),NA())</f>
        <v>#N/A</v>
      </c>
      <c r="G37">
        <f>IF('Lab test'!V28&gt;0,'Lab test'!V28,NA())</f>
        <v>74463.38</v>
      </c>
      <c r="H37">
        <f>IF(MAX('Lab test'!W28,'Lab test'!X28)&gt;0,MAX('Lab test'!W28,'Lab test'!X28),NA())</f>
        <v>389.55</v>
      </c>
      <c r="I37">
        <f>IF('Lab test'!AU28&gt;0,'Lab test'!AU28,NA())</f>
        <v>1.1290375304838918</v>
      </c>
      <c r="J37">
        <f>IF('Lab test'!AT28&gt;0,'Lab test'!AT28,NA())</f>
        <v>0.13594438346449247</v>
      </c>
      <c r="K37" t="e">
        <f t="shared" si="28"/>
        <v>#N/A</v>
      </c>
      <c r="L37" t="str">
        <f>'Lab test'!AC28</f>
        <v>Machined</v>
      </c>
      <c r="N37">
        <v>25</v>
      </c>
      <c r="O37">
        <v>121.867230079</v>
      </c>
      <c r="P37">
        <v>0.40919575757499999</v>
      </c>
      <c r="Q37">
        <f t="shared" si="29"/>
        <v>297.821343019822</v>
      </c>
      <c r="R37">
        <v>674.88044935400001</v>
      </c>
      <c r="S37">
        <f t="shared" si="30"/>
        <v>0.3208942965569766</v>
      </c>
      <c r="T37">
        <v>6.6560110728299995E-2</v>
      </c>
      <c r="U37">
        <f t="shared" si="0"/>
        <v>0.11160714285714286</v>
      </c>
      <c r="W37">
        <v>25</v>
      </c>
      <c r="X37">
        <v>23.939499999999999</v>
      </c>
      <c r="Y37">
        <f t="shared" si="1"/>
        <v>0.15337423312883436</v>
      </c>
      <c r="Z37">
        <f t="shared" si="2"/>
        <v>0.15337423312883436</v>
      </c>
      <c r="AB37">
        <f t="shared" si="3"/>
        <v>0.15337423312883436</v>
      </c>
      <c r="AC37">
        <f t="shared" si="4"/>
        <v>23.939499999999999</v>
      </c>
      <c r="AE37" t="e">
        <v>#N/A</v>
      </c>
      <c r="AF37">
        <v>23.876000000000001</v>
      </c>
      <c r="AJ37">
        <f t="shared" si="6"/>
        <v>0.11160714285714286</v>
      </c>
      <c r="AK37">
        <v>25.996130255499999</v>
      </c>
      <c r="AL37">
        <f t="shared" si="7"/>
        <v>2.6865252478000023</v>
      </c>
      <c r="AM37">
        <f t="shared" si="32"/>
        <v>4.4642857142857262E-3</v>
      </c>
      <c r="AO37">
        <v>25</v>
      </c>
      <c r="AP37">
        <v>280</v>
      </c>
      <c r="AQ37">
        <f t="shared" si="33"/>
        <v>0.15337423312883436</v>
      </c>
      <c r="AR37" t="e">
        <f t="shared" si="8"/>
        <v>#N/A</v>
      </c>
      <c r="AT37" t="e">
        <f t="shared" si="9"/>
        <v>#N/A</v>
      </c>
      <c r="AU37">
        <f t="shared" si="10"/>
        <v>280</v>
      </c>
      <c r="AW37">
        <v>0.30674846625766872</v>
      </c>
      <c r="AX37">
        <v>343.978102189781</v>
      </c>
      <c r="AY37">
        <f t="shared" si="11"/>
        <v>1.739969021292211</v>
      </c>
      <c r="AZ37">
        <f t="shared" si="34"/>
        <v>6.1349693251533943E-3</v>
      </c>
      <c r="BB37">
        <f t="shared" si="12"/>
        <v>0.11160714285714286</v>
      </c>
      <c r="BC37">
        <v>259.83698680398408</v>
      </c>
      <c r="BD37">
        <f t="shared" si="13"/>
        <v>2.4671229563953148</v>
      </c>
      <c r="BE37">
        <f t="shared" si="35"/>
        <v>4.4642857142857262E-3</v>
      </c>
      <c r="BF37">
        <v>25</v>
      </c>
      <c r="BG37">
        <v>3.8513559687827381E-2</v>
      </c>
      <c r="BH37">
        <f t="shared" si="14"/>
        <v>0.17006802721088435</v>
      </c>
      <c r="BI37">
        <f t="shared" si="15"/>
        <v>0.17006802721088435</v>
      </c>
      <c r="BK37">
        <f t="shared" si="16"/>
        <v>0.17006802721088435</v>
      </c>
      <c r="BL37">
        <f t="shared" si="17"/>
        <v>3.8513559687827381E-2</v>
      </c>
      <c r="BN37">
        <v>0.21088435374149661</v>
      </c>
      <c r="BO37">
        <v>4.6611282493985967E-2</v>
      </c>
      <c r="BP37">
        <f t="shared" si="18"/>
        <v>2.4026434275251085E-4</v>
      </c>
      <c r="BQ37">
        <f t="shared" si="36"/>
        <v>2.0408163265306145E-2</v>
      </c>
      <c r="BS37">
        <f t="shared" si="19"/>
        <v>0.11160714285714286</v>
      </c>
      <c r="BT37">
        <v>3.5096619670934318E-2</v>
      </c>
      <c r="BU37">
        <f t="shared" si="20"/>
        <v>1.2110412849720281E-4</v>
      </c>
      <c r="BV37">
        <f t="shared" si="37"/>
        <v>4.4642857142857262E-3</v>
      </c>
      <c r="BW37">
        <v>25</v>
      </c>
      <c r="BX37">
        <v>1.6666666666666666E-2</v>
      </c>
      <c r="BY37">
        <f t="shared" si="21"/>
        <v>0.18518518518518517</v>
      </c>
      <c r="BZ37" t="e">
        <f t="shared" si="22"/>
        <v>#N/A</v>
      </c>
      <c r="CB37" t="e">
        <f t="shared" si="23"/>
        <v>#N/A</v>
      </c>
      <c r="CC37">
        <f t="shared" si="24"/>
        <v>1.6666666666666666E-2</v>
      </c>
      <c r="CE37" t="e">
        <v>#N/A</v>
      </c>
      <c r="CF37">
        <v>1.6666666666666666E-2</v>
      </c>
      <c r="CJ37">
        <f t="shared" si="26"/>
        <v>0.11160714285714286</v>
      </c>
      <c r="CK37">
        <v>1.15264965946E-2</v>
      </c>
      <c r="CL37">
        <f t="shared" si="27"/>
        <v>3.622956320999994E-4</v>
      </c>
      <c r="CM37">
        <f t="shared" si="39"/>
        <v>4.4642857142857262E-3</v>
      </c>
    </row>
    <row r="38" spans="2:91">
      <c r="B38">
        <v>26</v>
      </c>
      <c r="C38" t="e">
        <f>IF(ISNUMBER(K38),IF('Lab test'!N29&gt;0,'Lab test'!N29,NA()),NA())</f>
        <v>#N/A</v>
      </c>
      <c r="D38" t="e">
        <f>IF(ISNUMBER(K38),IF('Lab test'!Q29&gt;0,'Lab test'!Q29,NA()),NA())</f>
        <v>#N/A</v>
      </c>
      <c r="E38" t="e">
        <f>IF(ISNUMBER(K38),IF('Lab test'!P29&gt;0,'Lab test'!P29,NA()),NA())</f>
        <v>#N/A</v>
      </c>
      <c r="F38" t="e">
        <f>IF(ISNUMBER(K38),IF('Lab test'!AJ29&gt;0,'Lab test'!AJ29,NA()),NA())</f>
        <v>#N/A</v>
      </c>
      <c r="G38">
        <f>IF('Lab test'!V29&gt;0,'Lab test'!V29,NA())</f>
        <v>74463.38</v>
      </c>
      <c r="H38">
        <f>IF(MAX('Lab test'!W29,'Lab test'!X29)&gt;0,MAX('Lab test'!W29,'Lab test'!X29),NA())</f>
        <v>389.55</v>
      </c>
      <c r="I38">
        <f>IF('Lab test'!AU29&gt;0,'Lab test'!AU29,NA())</f>
        <v>1.0881521755872159</v>
      </c>
      <c r="J38">
        <f>IF('Lab test'!AT29&gt;0,'Lab test'!AT29,NA())</f>
        <v>0.18491617869933433</v>
      </c>
      <c r="K38" t="e">
        <f t="shared" si="28"/>
        <v>#N/A</v>
      </c>
      <c r="L38" t="str">
        <f>'Lab test'!AC29</f>
        <v>Machined</v>
      </c>
      <c r="N38">
        <v>26</v>
      </c>
      <c r="O38">
        <v>123.60815348</v>
      </c>
      <c r="P38">
        <v>0.259492143984</v>
      </c>
      <c r="Q38">
        <f t="shared" si="29"/>
        <v>476.34641874792766</v>
      </c>
      <c r="R38">
        <v>510.79323156499999</v>
      </c>
      <c r="S38">
        <f t="shared" si="30"/>
        <v>0.18933746705950569</v>
      </c>
      <c r="T38">
        <v>1.10160797109E-2</v>
      </c>
      <c r="U38">
        <f t="shared" si="0"/>
        <v>0.11607142857142858</v>
      </c>
      <c r="W38">
        <v>26</v>
      </c>
      <c r="X38">
        <v>47.625</v>
      </c>
      <c r="Y38">
        <f t="shared" si="1"/>
        <v>0.15950920245398773</v>
      </c>
      <c r="Z38" t="e">
        <f t="shared" si="2"/>
        <v>#N/A</v>
      </c>
      <c r="AB38" t="e">
        <f t="shared" si="3"/>
        <v>#N/A</v>
      </c>
      <c r="AC38">
        <f t="shared" si="4"/>
        <v>47.625</v>
      </c>
      <c r="AE38" t="e">
        <v>#N/A</v>
      </c>
      <c r="AF38">
        <v>23.876000000000001</v>
      </c>
      <c r="AJ38">
        <f t="shared" si="6"/>
        <v>0.11607142857142858</v>
      </c>
      <c r="AK38">
        <v>28.682655503300001</v>
      </c>
      <c r="AL38">
        <f t="shared" si="7"/>
        <v>1.7751055210999986</v>
      </c>
      <c r="AM38">
        <f t="shared" si="32"/>
        <v>4.4642857142857123E-3</v>
      </c>
      <c r="AO38">
        <v>26</v>
      </c>
      <c r="AP38">
        <v>280</v>
      </c>
      <c r="AQ38">
        <f t="shared" si="33"/>
        <v>0.15950920245398773</v>
      </c>
      <c r="AR38" t="e">
        <f t="shared" si="8"/>
        <v>#N/A</v>
      </c>
      <c r="AT38" t="e">
        <f t="shared" si="9"/>
        <v>#N/A</v>
      </c>
      <c r="AU38">
        <f t="shared" si="10"/>
        <v>280</v>
      </c>
      <c r="AW38">
        <v>0.31288343558282211</v>
      </c>
      <c r="AX38">
        <v>345.71807121107321</v>
      </c>
      <c r="AY38">
        <f t="shared" si="11"/>
        <v>0.78928173010325509</v>
      </c>
      <c r="AZ38">
        <f t="shared" si="34"/>
        <v>6.1349693251533943E-3</v>
      </c>
      <c r="BB38">
        <f t="shared" si="12"/>
        <v>0.11607142857142858</v>
      </c>
      <c r="BC38">
        <v>262.30410976037939</v>
      </c>
      <c r="BD38">
        <f t="shared" si="13"/>
        <v>2.5471762966212168</v>
      </c>
      <c r="BE38">
        <f t="shared" si="35"/>
        <v>4.4642857142857123E-3</v>
      </c>
      <c r="BF38">
        <v>26</v>
      </c>
      <c r="BG38">
        <v>3.8677447175860698E-2</v>
      </c>
      <c r="BH38">
        <f t="shared" si="14"/>
        <v>0.17687074829931973</v>
      </c>
      <c r="BI38">
        <f t="shared" si="15"/>
        <v>0.17687074829931973</v>
      </c>
      <c r="BK38">
        <f t="shared" si="16"/>
        <v>0.17687074829931973</v>
      </c>
      <c r="BL38">
        <f t="shared" si="17"/>
        <v>3.8677447175860698E-2</v>
      </c>
      <c r="BN38">
        <v>0.21768707482993196</v>
      </c>
      <c r="BO38">
        <v>4.6851546836738478E-2</v>
      </c>
      <c r="BP38">
        <f t="shared" si="18"/>
        <v>3.1484531632615248E-3</v>
      </c>
      <c r="BQ38">
        <f t="shared" si="36"/>
        <v>6.8027210884353539E-3</v>
      </c>
      <c r="BS38">
        <f t="shared" si="19"/>
        <v>0.11607142857142858</v>
      </c>
      <c r="BT38">
        <v>3.521772379943152E-2</v>
      </c>
      <c r="BU38">
        <f t="shared" si="20"/>
        <v>2.6028143515695323E-4</v>
      </c>
      <c r="BV38">
        <f t="shared" si="37"/>
        <v>4.4642857142857123E-3</v>
      </c>
      <c r="BW38">
        <v>26</v>
      </c>
      <c r="BX38">
        <v>1.6666666666666666E-2</v>
      </c>
      <c r="BY38">
        <f t="shared" si="21"/>
        <v>0.19259259259259259</v>
      </c>
      <c r="BZ38" t="e">
        <f t="shared" si="22"/>
        <v>#N/A</v>
      </c>
      <c r="CB38" t="e">
        <f t="shared" si="23"/>
        <v>#N/A</v>
      </c>
      <c r="CC38">
        <f t="shared" si="24"/>
        <v>1.6666666666666666E-2</v>
      </c>
      <c r="CE38" t="e">
        <v>#N/A</v>
      </c>
      <c r="CF38">
        <v>1.6666666666666666E-2</v>
      </c>
      <c r="CJ38">
        <f t="shared" si="26"/>
        <v>0.11607142857142858</v>
      </c>
      <c r="CK38">
        <v>1.18887922267E-2</v>
      </c>
      <c r="CL38">
        <f t="shared" si="27"/>
        <v>1.1829682700000357E-5</v>
      </c>
      <c r="CM38">
        <f t="shared" si="39"/>
        <v>4.4642857142857123E-3</v>
      </c>
    </row>
    <row r="39" spans="2:91">
      <c r="B39">
        <v>27</v>
      </c>
      <c r="C39" t="e">
        <f>IF(ISNUMBER(K39),IF('Lab test'!N30&gt;0,'Lab test'!N30,NA()),NA())</f>
        <v>#N/A</v>
      </c>
      <c r="D39" t="e">
        <f>IF(ISNUMBER(K39),IF('Lab test'!Q30&gt;0,'Lab test'!Q30,NA()),NA())</f>
        <v>#N/A</v>
      </c>
      <c r="E39" t="e">
        <f>IF(ISNUMBER(K39),IF('Lab test'!P30&gt;0,'Lab test'!P30,NA()),NA())</f>
        <v>#N/A</v>
      </c>
      <c r="F39" t="e">
        <f>IF(ISNUMBER(K39),IF('Lab test'!AJ30&gt;0,'Lab test'!AJ30,NA()),NA())</f>
        <v>#N/A</v>
      </c>
      <c r="G39">
        <f>IF('Lab test'!V30&gt;0,'Lab test'!V30,NA())</f>
        <v>74463.38</v>
      </c>
      <c r="H39">
        <f>IF(MAX('Lab test'!W30,'Lab test'!X30)&gt;0,MAX('Lab test'!W30,'Lab test'!X30),NA())</f>
        <v>389.55</v>
      </c>
      <c r="I39">
        <f>IF('Lab test'!AU30&gt;0,'Lab test'!AU30,NA())</f>
        <v>0.9447879347965602</v>
      </c>
      <c r="J39">
        <f>IF('Lab test'!AT30&gt;0,'Lab test'!AT30,NA())</f>
        <v>0.3608777315798819</v>
      </c>
      <c r="K39" t="e">
        <f t="shared" si="28"/>
        <v>#N/A</v>
      </c>
      <c r="L39" t="str">
        <f>'Lab test'!AC30</f>
        <v>Machined</v>
      </c>
      <c r="N39">
        <v>27</v>
      </c>
      <c r="O39">
        <v>125.014025266</v>
      </c>
      <c r="P39">
        <v>0.39244115316400002</v>
      </c>
      <c r="Q39">
        <f t="shared" si="29"/>
        <v>318.55483110803368</v>
      </c>
      <c r="R39">
        <v>401.54812991300003</v>
      </c>
      <c r="S39">
        <f t="shared" si="30"/>
        <v>0.17996446956642045</v>
      </c>
      <c r="T39">
        <v>1.099520939E-2</v>
      </c>
      <c r="U39">
        <f t="shared" si="0"/>
        <v>0.12053571428571429</v>
      </c>
      <c r="W39">
        <v>27</v>
      </c>
      <c r="X39">
        <v>47.625</v>
      </c>
      <c r="Y39">
        <f t="shared" si="1"/>
        <v>0.16564417177914109</v>
      </c>
      <c r="Z39" t="e">
        <f t="shared" si="2"/>
        <v>#N/A</v>
      </c>
      <c r="AB39" t="e">
        <f t="shared" si="3"/>
        <v>#N/A</v>
      </c>
      <c r="AC39">
        <f t="shared" si="4"/>
        <v>47.625</v>
      </c>
      <c r="AE39" t="e">
        <v>#N/A</v>
      </c>
      <c r="AF39">
        <v>23.876000000000001</v>
      </c>
      <c r="AJ39">
        <f t="shared" si="6"/>
        <v>0.12053571428571429</v>
      </c>
      <c r="AK39">
        <v>30.4577610244</v>
      </c>
      <c r="AL39">
        <f t="shared" si="7"/>
        <v>3.1984409821000028</v>
      </c>
      <c r="AM39">
        <f t="shared" si="32"/>
        <v>4.4642857142857123E-3</v>
      </c>
      <c r="AO39">
        <v>27</v>
      </c>
      <c r="AP39">
        <v>280</v>
      </c>
      <c r="AQ39">
        <f t="shared" si="33"/>
        <v>0.16564417177914109</v>
      </c>
      <c r="AR39">
        <f t="shared" si="8"/>
        <v>0.16564417177914109</v>
      </c>
      <c r="AT39">
        <f t="shared" si="9"/>
        <v>0.16564417177914109</v>
      </c>
      <c r="AU39">
        <f t="shared" si="10"/>
        <v>280</v>
      </c>
      <c r="AW39">
        <v>0.31901840490797545</v>
      </c>
      <c r="AX39">
        <v>346.50735294117646</v>
      </c>
      <c r="AY39">
        <f t="shared" si="11"/>
        <v>3.4926470588235361</v>
      </c>
      <c r="AZ39">
        <f t="shared" si="34"/>
        <v>6.1349693251533388E-3</v>
      </c>
      <c r="BB39">
        <f t="shared" si="12"/>
        <v>0.12053571428571429</v>
      </c>
      <c r="BC39">
        <v>264.85128605700061</v>
      </c>
      <c r="BD39">
        <f t="shared" si="13"/>
        <v>0.12775827765341319</v>
      </c>
      <c r="BE39">
        <f t="shared" si="35"/>
        <v>4.4642857142857123E-3</v>
      </c>
      <c r="BF39">
        <v>27</v>
      </c>
      <c r="BG39">
        <v>3.917758657899683E-2</v>
      </c>
      <c r="BH39">
        <f t="shared" si="14"/>
        <v>0.18367346938775511</v>
      </c>
      <c r="BI39" t="e">
        <f t="shared" si="15"/>
        <v>#N/A</v>
      </c>
      <c r="BK39" t="e">
        <f t="shared" si="16"/>
        <v>#N/A</v>
      </c>
      <c r="BL39">
        <f t="shared" si="17"/>
        <v>3.917758657899683E-2</v>
      </c>
      <c r="BN39">
        <v>0.23129251700680273</v>
      </c>
      <c r="BO39">
        <v>0.05</v>
      </c>
      <c r="BP39">
        <f t="shared" si="18"/>
        <v>2.5387288227009391E-3</v>
      </c>
      <c r="BQ39">
        <f t="shared" si="36"/>
        <v>1.3605442176870763E-2</v>
      </c>
      <c r="BS39">
        <f t="shared" si="19"/>
        <v>0.12053571428571429</v>
      </c>
      <c r="BT39">
        <v>3.5478005234588474E-2</v>
      </c>
      <c r="BU39">
        <f t="shared" si="20"/>
        <v>2.6296188514534219E-3</v>
      </c>
      <c r="BV39">
        <f t="shared" si="37"/>
        <v>4.4642857142857123E-3</v>
      </c>
      <c r="BW39">
        <v>27</v>
      </c>
      <c r="BX39">
        <v>1.6666666666666666E-2</v>
      </c>
      <c r="BY39">
        <f t="shared" si="21"/>
        <v>0.2</v>
      </c>
      <c r="BZ39" t="e">
        <f t="shared" si="22"/>
        <v>#N/A</v>
      </c>
      <c r="CB39" t="e">
        <f t="shared" si="23"/>
        <v>#N/A</v>
      </c>
      <c r="CC39">
        <f t="shared" si="24"/>
        <v>1.6666666666666666E-2</v>
      </c>
      <c r="CE39" t="e">
        <v>#N/A</v>
      </c>
      <c r="CF39">
        <v>1.6666666666666666E-2</v>
      </c>
      <c r="CJ39">
        <f t="shared" si="26"/>
        <v>0.12053571428571429</v>
      </c>
      <c r="CK39">
        <v>1.19006219094E-2</v>
      </c>
      <c r="CL39">
        <f t="shared" si="27"/>
        <v>6.5385727099999402E-5</v>
      </c>
      <c r="CM39">
        <f t="shared" si="39"/>
        <v>4.4642857142857123E-3</v>
      </c>
    </row>
    <row r="40" spans="2:91">
      <c r="B40">
        <v>28</v>
      </c>
      <c r="C40" t="e">
        <f>IF(ISNUMBER(K40),IF('Lab test'!N31&gt;0,'Lab test'!N31,NA()),NA())</f>
        <v>#N/A</v>
      </c>
      <c r="D40" t="e">
        <f>IF(ISNUMBER(K40),IF('Lab test'!Q31&gt;0,'Lab test'!Q31,NA()),NA())</f>
        <v>#N/A</v>
      </c>
      <c r="E40" t="e">
        <f>IF(ISNUMBER(K40),IF('Lab test'!P31&gt;0,'Lab test'!P31,NA()),NA())</f>
        <v>#N/A</v>
      </c>
      <c r="F40" t="e">
        <f>IF(ISNUMBER(K40),IF('Lab test'!AJ31&gt;0,'Lab test'!AJ31,NA()),NA())</f>
        <v>#N/A</v>
      </c>
      <c r="G40">
        <f>IF('Lab test'!V31&gt;0,'Lab test'!V31,NA())</f>
        <v>74463.38</v>
      </c>
      <c r="H40">
        <f>IF(MAX('Lab test'!W31,'Lab test'!X31)&gt;0,MAX('Lab test'!W31,'Lab test'!X31),NA())</f>
        <v>389.55</v>
      </c>
      <c r="I40">
        <f>IF('Lab test'!AU31&gt;0,'Lab test'!AU31,NA())</f>
        <v>0.89629190091130784</v>
      </c>
      <c r="J40">
        <f>IF('Lab test'!AT31&gt;0,'Lab test'!AT31,NA())</f>
        <v>0.42556011044727304</v>
      </c>
      <c r="K40" t="e">
        <f t="shared" si="28"/>
        <v>#N/A</v>
      </c>
      <c r="L40" t="str">
        <f>'Lab test'!AC31</f>
        <v>Machined</v>
      </c>
      <c r="N40">
        <v>28</v>
      </c>
      <c r="O40">
        <v>126.14684997099999</v>
      </c>
      <c r="P40">
        <v>0.32208598458499998</v>
      </c>
      <c r="Q40">
        <f t="shared" si="29"/>
        <v>391.65581865829142</v>
      </c>
      <c r="R40">
        <v>280.371263758</v>
      </c>
      <c r="S40">
        <f t="shared" si="30"/>
        <v>0.11230647535989148</v>
      </c>
      <c r="T40">
        <v>6.6476274796199997E-2</v>
      </c>
      <c r="U40">
        <f t="shared" si="0"/>
        <v>0.125</v>
      </c>
      <c r="W40">
        <v>28</v>
      </c>
      <c r="X40">
        <v>47.625</v>
      </c>
      <c r="Y40">
        <f t="shared" si="1"/>
        <v>0.17177914110429449</v>
      </c>
      <c r="Z40" t="e">
        <f t="shared" si="2"/>
        <v>#N/A</v>
      </c>
      <c r="AB40" t="e">
        <f t="shared" si="3"/>
        <v>#N/A</v>
      </c>
      <c r="AC40">
        <f t="shared" si="4"/>
        <v>47.625</v>
      </c>
      <c r="AE40" t="e">
        <v>#N/A</v>
      </c>
      <c r="AF40">
        <v>23.876000000000001</v>
      </c>
      <c r="AJ40">
        <f t="shared" si="6"/>
        <v>0.125</v>
      </c>
      <c r="AK40">
        <v>33.656202006500003</v>
      </c>
      <c r="AL40">
        <f t="shared" si="7"/>
        <v>0.64236606899999771</v>
      </c>
      <c r="AM40">
        <f t="shared" si="32"/>
        <v>4.4642857142857123E-3</v>
      </c>
      <c r="AO40">
        <v>28</v>
      </c>
      <c r="AP40">
        <v>293.75000000000006</v>
      </c>
      <c r="AQ40">
        <f t="shared" si="33"/>
        <v>0.17177914110429449</v>
      </c>
      <c r="AR40">
        <f t="shared" si="8"/>
        <v>0.17177914110429449</v>
      </c>
      <c r="AT40">
        <f t="shared" si="9"/>
        <v>0.17177914110429449</v>
      </c>
      <c r="AU40">
        <f t="shared" si="10"/>
        <v>293.75000000000006</v>
      </c>
      <c r="AW40">
        <v>0.34355828220858897</v>
      </c>
      <c r="AX40">
        <v>350</v>
      </c>
      <c r="AY40">
        <f t="shared" si="11"/>
        <v>8.1010265294769397</v>
      </c>
      <c r="AZ40">
        <f t="shared" si="34"/>
        <v>2.4539877300613522E-2</v>
      </c>
      <c r="BB40">
        <f t="shared" si="12"/>
        <v>0.125</v>
      </c>
      <c r="BC40">
        <v>264.97904433465402</v>
      </c>
      <c r="BD40">
        <f t="shared" si="13"/>
        <v>1.8023243430619686</v>
      </c>
      <c r="BE40">
        <f t="shared" si="35"/>
        <v>4.4642857142857123E-3</v>
      </c>
      <c r="BF40">
        <v>28</v>
      </c>
      <c r="BG40">
        <v>3.917758657899683E-2</v>
      </c>
      <c r="BH40">
        <f t="shared" si="14"/>
        <v>0.19047619047619047</v>
      </c>
      <c r="BI40">
        <f t="shared" si="15"/>
        <v>0.19047619047619047</v>
      </c>
      <c r="BK40">
        <f t="shared" si="16"/>
        <v>0.19047619047619047</v>
      </c>
      <c r="BL40">
        <f t="shared" si="17"/>
        <v>3.917758657899683E-2</v>
      </c>
      <c r="BN40">
        <v>0.24489795918367346</v>
      </c>
      <c r="BO40">
        <v>5.2538728822700942E-2</v>
      </c>
      <c r="BP40">
        <f t="shared" si="18"/>
        <v>3.0545772571338725E-4</v>
      </c>
      <c r="BQ40">
        <f t="shared" si="36"/>
        <v>1.3605442176870736E-2</v>
      </c>
      <c r="BS40">
        <f t="shared" si="19"/>
        <v>0.125</v>
      </c>
      <c r="BT40">
        <v>3.8107624086041895E-2</v>
      </c>
      <c r="BU40">
        <f t="shared" si="20"/>
        <v>1.6388360109532984E-4</v>
      </c>
      <c r="BV40">
        <f t="shared" si="37"/>
        <v>4.4642857142857123E-3</v>
      </c>
      <c r="BW40">
        <v>28</v>
      </c>
      <c r="BX40">
        <v>1.6666666666666666E-2</v>
      </c>
      <c r="BY40">
        <f t="shared" si="21"/>
        <v>0.2074074074074074</v>
      </c>
      <c r="BZ40" t="e">
        <f t="shared" si="22"/>
        <v>#N/A</v>
      </c>
      <c r="CB40" t="e">
        <f t="shared" si="23"/>
        <v>#N/A</v>
      </c>
      <c r="CC40">
        <f t="shared" si="24"/>
        <v>1.6666666666666666E-2</v>
      </c>
      <c r="CE40" t="e">
        <v>#N/A</v>
      </c>
      <c r="CF40">
        <v>1.6666666666666666E-2</v>
      </c>
      <c r="CJ40">
        <f t="shared" si="26"/>
        <v>0.125</v>
      </c>
      <c r="CK40">
        <v>1.1966007636499999E-2</v>
      </c>
      <c r="CL40">
        <f t="shared" si="27"/>
        <v>2.2209641250000092E-4</v>
      </c>
      <c r="CM40">
        <f t="shared" si="39"/>
        <v>4.4642857142857123E-3</v>
      </c>
    </row>
    <row r="41" spans="2:91">
      <c r="B41">
        <v>29</v>
      </c>
      <c r="C41" t="e">
        <f>IF(ISNUMBER(K41),IF('Lab test'!N32&gt;0,'Lab test'!N32,NA()),NA())</f>
        <v>#N/A</v>
      </c>
      <c r="D41" t="e">
        <f>IF(ISNUMBER(K41),IF('Lab test'!Q32&gt;0,'Lab test'!Q32,NA()),NA())</f>
        <v>#N/A</v>
      </c>
      <c r="E41" t="e">
        <f>IF(ISNUMBER(K41),IF('Lab test'!P32&gt;0,'Lab test'!P32,NA()),NA())</f>
        <v>#N/A</v>
      </c>
      <c r="F41" t="e">
        <f>IF(ISNUMBER(K41),IF('Lab test'!AJ32&gt;0,'Lab test'!AJ32,NA()),NA())</f>
        <v>#N/A</v>
      </c>
      <c r="G41">
        <f>IF('Lab test'!V32&gt;0,'Lab test'!V32,NA())</f>
        <v>74463.38</v>
      </c>
      <c r="H41">
        <f>IF(MAX('Lab test'!W32,'Lab test'!X32)&gt;0,MAX('Lab test'!W32,'Lab test'!X32),NA())</f>
        <v>389.55</v>
      </c>
      <c r="I41">
        <f>IF('Lab test'!AU32&gt;0,'Lab test'!AU32,NA())</f>
        <v>0.77328186368887175</v>
      </c>
      <c r="J41">
        <f>IF('Lab test'!AT32&gt;0,'Lab test'!AT32,NA())</f>
        <v>0.57449392656608378</v>
      </c>
      <c r="K41" t="e">
        <f t="shared" si="28"/>
        <v>#N/A</v>
      </c>
      <c r="L41" t="str">
        <f>'Lab test'!AC32</f>
        <v>Machined</v>
      </c>
      <c r="N41">
        <v>29</v>
      </c>
      <c r="O41">
        <v>128.03324405199999</v>
      </c>
      <c r="P41">
        <v>8.9237268592900001E-2</v>
      </c>
      <c r="Q41">
        <f t="shared" si="29"/>
        <v>1434.7508173528602</v>
      </c>
      <c r="R41">
        <v>256.21625627399999</v>
      </c>
      <c r="S41">
        <f t="shared" si="30"/>
        <v>5.2831834504152325E-2</v>
      </c>
      <c r="T41">
        <v>7.5502925849499997E-2</v>
      </c>
      <c r="U41">
        <f t="shared" si="0"/>
        <v>0.12946428571428573</v>
      </c>
      <c r="W41">
        <v>29</v>
      </c>
      <c r="X41">
        <v>47.625</v>
      </c>
      <c r="Y41">
        <f t="shared" si="1"/>
        <v>0.17791411042944785</v>
      </c>
      <c r="Z41" t="e">
        <f t="shared" si="2"/>
        <v>#N/A</v>
      </c>
      <c r="AB41" t="e">
        <f t="shared" si="3"/>
        <v>#N/A</v>
      </c>
      <c r="AC41">
        <f t="shared" si="4"/>
        <v>47.625</v>
      </c>
      <c r="AE41" t="e">
        <v>#N/A</v>
      </c>
      <c r="AF41">
        <v>23.939499999999999</v>
      </c>
      <c r="AJ41">
        <f t="shared" si="6"/>
        <v>0.12946428571428573</v>
      </c>
      <c r="AK41">
        <v>34.2985680755</v>
      </c>
      <c r="AL41">
        <f t="shared" si="7"/>
        <v>1.043538427999998</v>
      </c>
      <c r="AM41">
        <f t="shared" si="32"/>
        <v>4.4642857142857262E-3</v>
      </c>
      <c r="AO41">
        <v>29</v>
      </c>
      <c r="AP41">
        <v>300</v>
      </c>
      <c r="AQ41">
        <f t="shared" si="33"/>
        <v>0.17791411042944785</v>
      </c>
      <c r="AR41" t="e">
        <f t="shared" si="8"/>
        <v>#N/A</v>
      </c>
      <c r="AT41" t="e">
        <f t="shared" si="9"/>
        <v>#N/A</v>
      </c>
      <c r="AU41">
        <f t="shared" si="10"/>
        <v>300</v>
      </c>
      <c r="AW41">
        <v>0.35582822085889571</v>
      </c>
      <c r="AX41">
        <v>358.10102652947694</v>
      </c>
      <c r="AY41">
        <f t="shared" si="11"/>
        <v>4.1760699754148618</v>
      </c>
      <c r="AZ41">
        <f t="shared" si="34"/>
        <v>1.2269938650306733E-2</v>
      </c>
      <c r="BB41">
        <f t="shared" si="12"/>
        <v>0.12946428571428573</v>
      </c>
      <c r="BC41">
        <v>266.78136867771599</v>
      </c>
      <c r="BD41">
        <f t="shared" si="13"/>
        <v>2.0637430997555271</v>
      </c>
      <c r="BE41">
        <f t="shared" si="35"/>
        <v>4.4642857142857262E-3</v>
      </c>
      <c r="BF41">
        <v>29</v>
      </c>
      <c r="BG41">
        <v>4.6611282493985967E-2</v>
      </c>
      <c r="BH41">
        <f t="shared" si="14"/>
        <v>0.19727891156462585</v>
      </c>
      <c r="BI41" t="e">
        <f t="shared" si="15"/>
        <v>#N/A</v>
      </c>
      <c r="BK41" t="e">
        <f t="shared" si="16"/>
        <v>#N/A</v>
      </c>
      <c r="BL41">
        <f t="shared" si="17"/>
        <v>4.6611282493985967E-2</v>
      </c>
      <c r="BN41">
        <v>0.25170068027210885</v>
      </c>
      <c r="BO41">
        <v>5.2844186548414329E-2</v>
      </c>
      <c r="BP41">
        <f t="shared" si="18"/>
        <v>9.3806248310794593E-4</v>
      </c>
      <c r="BQ41">
        <f t="shared" si="36"/>
        <v>6.8027210884353817E-3</v>
      </c>
      <c r="BS41">
        <f t="shared" si="19"/>
        <v>0.12946428571428573</v>
      </c>
      <c r="BT41">
        <v>3.8271507687137225E-2</v>
      </c>
      <c r="BU41">
        <f t="shared" si="20"/>
        <v>3.779278361858221E-4</v>
      </c>
      <c r="BV41">
        <f t="shared" si="37"/>
        <v>4.4642857142857262E-3</v>
      </c>
      <c r="BW41">
        <v>29</v>
      </c>
      <c r="BX41">
        <v>1.6666666666666666E-2</v>
      </c>
      <c r="BY41">
        <f t="shared" si="21"/>
        <v>0.21481481481481482</v>
      </c>
      <c r="BZ41" t="e">
        <f t="shared" si="22"/>
        <v>#N/A</v>
      </c>
      <c r="CB41" t="e">
        <f t="shared" si="23"/>
        <v>#N/A</v>
      </c>
      <c r="CC41">
        <f t="shared" si="24"/>
        <v>1.6666666666666666E-2</v>
      </c>
      <c r="CE41" t="e">
        <v>#N/A</v>
      </c>
      <c r="CF41">
        <v>1.6666666666666666E-2</v>
      </c>
      <c r="CJ41">
        <f t="shared" si="26"/>
        <v>0.12946428571428573</v>
      </c>
      <c r="CK41">
        <v>1.2188104049E-2</v>
      </c>
      <c r="CL41">
        <f t="shared" si="27"/>
        <v>2.8846860639999972E-4</v>
      </c>
      <c r="CM41">
        <f t="shared" si="39"/>
        <v>4.4642857142857262E-3</v>
      </c>
    </row>
    <row r="42" spans="2:91">
      <c r="B42">
        <v>30</v>
      </c>
      <c r="C42" t="e">
        <f>IF(ISNUMBER(K42),IF('Lab test'!N33&gt;0,'Lab test'!N33,NA()),NA())</f>
        <v>#N/A</v>
      </c>
      <c r="D42" t="e">
        <f>IF(ISNUMBER(K42),IF('Lab test'!Q33&gt;0,'Lab test'!Q33,NA()),NA())</f>
        <v>#N/A</v>
      </c>
      <c r="E42" t="e">
        <f>IF(ISNUMBER(K42),IF('Lab test'!P33&gt;0,'Lab test'!P33,NA()),NA())</f>
        <v>#N/A</v>
      </c>
      <c r="F42" t="e">
        <f>IF(ISNUMBER(K42),IF('Lab test'!AJ33&gt;0,'Lab test'!AJ33,NA()),NA())</f>
        <v>#N/A</v>
      </c>
      <c r="G42">
        <f>IF('Lab test'!V33&gt;0,'Lab test'!V33,NA())</f>
        <v>74463.38</v>
      </c>
      <c r="H42">
        <f>IF(MAX('Lab test'!W33,'Lab test'!X33)&gt;0,MAX('Lab test'!W33,'Lab test'!X33),NA())</f>
        <v>389.55</v>
      </c>
      <c r="I42">
        <f>IF('Lab test'!AU33&gt;0,'Lab test'!AU33,NA())</f>
        <v>1.2253216531895776</v>
      </c>
      <c r="J42">
        <f>IF('Lab test'!AT33&gt;0,'Lab test'!AT33,NA())</f>
        <v>0.1027362191960427</v>
      </c>
      <c r="K42" t="e">
        <f t="shared" si="28"/>
        <v>#N/A</v>
      </c>
      <c r="L42" t="str">
        <f>'Lab test'!AC33</f>
        <v>Machined</v>
      </c>
      <c r="N42">
        <v>30</v>
      </c>
      <c r="O42">
        <v>129.04758303899999</v>
      </c>
      <c r="P42">
        <v>0.265363700865</v>
      </c>
      <c r="Q42">
        <f t="shared" si="29"/>
        <v>486.30457978369509</v>
      </c>
      <c r="R42">
        <v>212.909766881</v>
      </c>
      <c r="S42">
        <f t="shared" si="30"/>
        <v>7.4815490864977144E-2</v>
      </c>
      <c r="T42">
        <v>5.0264401875400003E-2</v>
      </c>
      <c r="U42">
        <f t="shared" si="0"/>
        <v>0.13392857142857142</v>
      </c>
      <c r="W42">
        <v>30</v>
      </c>
      <c r="X42">
        <v>47.625</v>
      </c>
      <c r="Y42">
        <f t="shared" si="1"/>
        <v>0.18404907975460122</v>
      </c>
      <c r="Z42" t="e">
        <f t="shared" si="2"/>
        <v>#N/A</v>
      </c>
      <c r="AB42" t="e">
        <f t="shared" si="3"/>
        <v>#N/A</v>
      </c>
      <c r="AC42">
        <f t="shared" si="4"/>
        <v>47.625</v>
      </c>
      <c r="AE42" t="e">
        <v>#N/A</v>
      </c>
      <c r="AF42">
        <v>23.939499999999999</v>
      </c>
      <c r="AJ42">
        <f t="shared" si="6"/>
        <v>0.13392857142857142</v>
      </c>
      <c r="AK42">
        <v>35.342106503499998</v>
      </c>
      <c r="AL42">
        <f t="shared" si="7"/>
        <v>1.367869065299999</v>
      </c>
      <c r="AM42">
        <f t="shared" si="32"/>
        <v>4.4642857142856984E-3</v>
      </c>
      <c r="AO42">
        <v>30</v>
      </c>
      <c r="AP42">
        <v>300</v>
      </c>
      <c r="AQ42">
        <f t="shared" si="33"/>
        <v>0.18404907975460122</v>
      </c>
      <c r="AR42" t="e">
        <f t="shared" si="8"/>
        <v>#N/A</v>
      </c>
      <c r="AT42" t="e">
        <f t="shared" si="9"/>
        <v>#N/A</v>
      </c>
      <c r="AU42">
        <f t="shared" si="10"/>
        <v>300</v>
      </c>
      <c r="AW42">
        <v>0.36809815950920244</v>
      </c>
      <c r="AX42">
        <v>362.2770965048918</v>
      </c>
      <c r="AY42">
        <f t="shared" si="11"/>
        <v>12.722903495108199</v>
      </c>
      <c r="AZ42">
        <f t="shared" si="34"/>
        <v>1.2269938650306733E-2</v>
      </c>
      <c r="BB42">
        <f t="shared" si="12"/>
        <v>0.13392857142857142</v>
      </c>
      <c r="BC42">
        <v>268.84511177747152</v>
      </c>
      <c r="BD42">
        <f t="shared" si="13"/>
        <v>2.2379654248679799</v>
      </c>
      <c r="BE42">
        <f t="shared" si="35"/>
        <v>4.4642857142856984E-3</v>
      </c>
      <c r="BF42">
        <v>30</v>
      </c>
      <c r="BG42">
        <v>4.6611282493985967E-2</v>
      </c>
      <c r="BH42">
        <f t="shared" si="14"/>
        <v>0.20408163265306123</v>
      </c>
      <c r="BI42" t="e">
        <f t="shared" si="15"/>
        <v>#N/A</v>
      </c>
      <c r="BK42" t="e">
        <f t="shared" si="16"/>
        <v>#N/A</v>
      </c>
      <c r="BL42">
        <f t="shared" si="17"/>
        <v>4.6611282493985967E-2</v>
      </c>
      <c r="BN42">
        <v>0.25850340136054423</v>
      </c>
      <c r="BO42">
        <v>5.3782249031522275E-2</v>
      </c>
      <c r="BP42">
        <f t="shared" si="18"/>
        <v>2.5710939468184743E-3</v>
      </c>
      <c r="BQ42">
        <f t="shared" si="36"/>
        <v>6.8027210884353817E-3</v>
      </c>
      <c r="BS42">
        <f t="shared" si="19"/>
        <v>0.13392857142857142</v>
      </c>
      <c r="BT42">
        <v>3.8649435523323047E-2</v>
      </c>
      <c r="BU42">
        <f t="shared" si="20"/>
        <v>1.614737258063409E-5</v>
      </c>
      <c r="BV42">
        <f t="shared" si="37"/>
        <v>4.4642857142856984E-3</v>
      </c>
      <c r="BW42">
        <v>30</v>
      </c>
      <c r="BX42">
        <v>1.6666666666666666E-2</v>
      </c>
      <c r="BY42">
        <f t="shared" si="21"/>
        <v>0.22222222222222221</v>
      </c>
      <c r="BZ42" t="e">
        <f t="shared" si="22"/>
        <v>#N/A</v>
      </c>
      <c r="CB42" t="e">
        <f t="shared" si="23"/>
        <v>#N/A</v>
      </c>
      <c r="CC42">
        <f t="shared" si="24"/>
        <v>1.6666666666666666E-2</v>
      </c>
      <c r="CE42" t="e">
        <v>#N/A</v>
      </c>
      <c r="CF42">
        <v>1.6666666666666666E-2</v>
      </c>
      <c r="CJ42">
        <f t="shared" si="26"/>
        <v>0.13392857142857142</v>
      </c>
      <c r="CK42">
        <v>1.24765726554E-2</v>
      </c>
      <c r="CL42">
        <f t="shared" si="27"/>
        <v>4.296135589999979E-5</v>
      </c>
      <c r="CM42">
        <f t="shared" si="39"/>
        <v>4.4642857142856984E-3</v>
      </c>
    </row>
    <row r="43" spans="2:91">
      <c r="B43">
        <v>31</v>
      </c>
      <c r="C43" t="e">
        <f>IF(ISNUMBER(K43),IF('Lab test'!N34&gt;0,'Lab test'!N34,NA()),NA())</f>
        <v>#N/A</v>
      </c>
      <c r="D43" t="e">
        <f>IF(ISNUMBER(K43),IF('Lab test'!Q34&gt;0,'Lab test'!Q34,NA()),NA())</f>
        <v>#N/A</v>
      </c>
      <c r="E43" t="e">
        <f>IF(ISNUMBER(K43),IF('Lab test'!P34&gt;0,'Lab test'!P34,NA()),NA())</f>
        <v>#N/A</v>
      </c>
      <c r="F43" t="e">
        <f>IF(ISNUMBER(K43),IF('Lab test'!AJ34&gt;0,'Lab test'!AJ34,NA()),NA())</f>
        <v>#N/A</v>
      </c>
      <c r="G43">
        <f>IF('Lab test'!V34&gt;0,'Lab test'!V34,NA())</f>
        <v>217184.9</v>
      </c>
      <c r="H43">
        <f>IF(MAX('Lab test'!W34,'Lab test'!X34)&gt;0,MAX('Lab test'!W34,'Lab test'!X34),NA())</f>
        <v>251.65860000000001</v>
      </c>
      <c r="I43">
        <f>IF('Lab test'!AU34&gt;0,'Lab test'!AU34,NA())</f>
        <v>1.2807080054902387</v>
      </c>
      <c r="J43">
        <f>IF('Lab test'!AT34&gt;0,'Lab test'!AT34,NA())</f>
        <v>4.634293759890018E-2</v>
      </c>
      <c r="K43" t="e">
        <f t="shared" si="28"/>
        <v>#N/A</v>
      </c>
      <c r="L43" t="str">
        <f>'Lab test'!AC34</f>
        <v>Tubes</v>
      </c>
      <c r="N43">
        <v>31</v>
      </c>
      <c r="O43">
        <v>130.746949121</v>
      </c>
      <c r="P43">
        <v>9.8823977900500001E-2</v>
      </c>
      <c r="Q43">
        <f t="shared" si="29"/>
        <v>1323.0285999278569</v>
      </c>
      <c r="R43">
        <v>201.60441633799999</v>
      </c>
      <c r="S43">
        <f t="shared" si="30"/>
        <v>4.2391995613102453E-2</v>
      </c>
      <c r="T43">
        <v>6.6573434432199999E-2</v>
      </c>
      <c r="U43">
        <f t="shared" si="0"/>
        <v>0.13839285714285715</v>
      </c>
      <c r="W43">
        <v>31</v>
      </c>
      <c r="X43">
        <v>47.625</v>
      </c>
      <c r="Y43">
        <f t="shared" si="1"/>
        <v>0.19018404907975461</v>
      </c>
      <c r="Z43" t="e">
        <f t="shared" si="2"/>
        <v>#N/A</v>
      </c>
      <c r="AB43" t="e">
        <f t="shared" si="3"/>
        <v>#N/A</v>
      </c>
      <c r="AC43">
        <f t="shared" si="4"/>
        <v>47.625</v>
      </c>
      <c r="AE43" t="e">
        <v>#N/A</v>
      </c>
      <c r="AF43">
        <v>23.939499999999999</v>
      </c>
      <c r="AJ43">
        <f t="shared" si="6"/>
        <v>0.13839285714285715</v>
      </c>
      <c r="AK43">
        <v>36.709975568799997</v>
      </c>
      <c r="AL43">
        <f t="shared" si="7"/>
        <v>0.43166839130000056</v>
      </c>
      <c r="AM43">
        <f t="shared" si="32"/>
        <v>4.4642857142857262E-3</v>
      </c>
      <c r="AO43">
        <v>31</v>
      </c>
      <c r="AP43">
        <v>300</v>
      </c>
      <c r="AQ43">
        <f t="shared" si="33"/>
        <v>0.19018404907975461</v>
      </c>
      <c r="AR43" t="e">
        <f t="shared" si="8"/>
        <v>#N/A</v>
      </c>
      <c r="AT43" t="e">
        <f t="shared" si="9"/>
        <v>#N/A</v>
      </c>
      <c r="AU43">
        <f t="shared" si="10"/>
        <v>300</v>
      </c>
      <c r="AW43">
        <v>0.37423312883435583</v>
      </c>
      <c r="AX43">
        <v>375</v>
      </c>
      <c r="AY43">
        <f t="shared" si="11"/>
        <v>25</v>
      </c>
      <c r="AZ43">
        <f t="shared" si="34"/>
        <v>6.1349693251533943E-3</v>
      </c>
      <c r="BB43">
        <f t="shared" si="12"/>
        <v>0.13839285714285715</v>
      </c>
      <c r="BC43">
        <v>271.0830772023395</v>
      </c>
      <c r="BD43">
        <f t="shared" si="13"/>
        <v>0.26333808950391813</v>
      </c>
      <c r="BE43">
        <f t="shared" si="35"/>
        <v>4.4642857142857262E-3</v>
      </c>
      <c r="BF43">
        <v>31</v>
      </c>
      <c r="BG43">
        <v>4.6611282493985967E-2</v>
      </c>
      <c r="BH43">
        <f t="shared" si="14"/>
        <v>0.21088435374149661</v>
      </c>
      <c r="BI43">
        <f t="shared" si="15"/>
        <v>0.21088435374149661</v>
      </c>
      <c r="BK43">
        <f t="shared" si="16"/>
        <v>0.21088435374149661</v>
      </c>
      <c r="BL43">
        <f t="shared" si="17"/>
        <v>4.6611282493985967E-2</v>
      </c>
      <c r="BN43">
        <v>0.26530612244897961</v>
      </c>
      <c r="BO43">
        <v>5.6353342978340749E-2</v>
      </c>
      <c r="BP43">
        <f t="shared" si="18"/>
        <v>9.3153151531847472E-4</v>
      </c>
      <c r="BQ43">
        <f t="shared" si="36"/>
        <v>6.8027210884353817E-3</v>
      </c>
      <c r="BS43">
        <f t="shared" si="19"/>
        <v>0.13839285714285715</v>
      </c>
      <c r="BT43">
        <v>3.8665582895903682E-2</v>
      </c>
      <c r="BU43">
        <f t="shared" si="20"/>
        <v>4.1782361420342196E-5</v>
      </c>
      <c r="BV43">
        <f t="shared" si="37"/>
        <v>4.4642857142857262E-3</v>
      </c>
      <c r="BW43">
        <v>31</v>
      </c>
      <c r="BX43">
        <v>1.6666666666666666E-2</v>
      </c>
      <c r="BY43">
        <f t="shared" si="21"/>
        <v>0.22962962962962963</v>
      </c>
      <c r="BZ43">
        <f t="shared" si="22"/>
        <v>0.22962962962962963</v>
      </c>
      <c r="CB43">
        <f t="shared" si="23"/>
        <v>0.22962962962962963</v>
      </c>
      <c r="CC43">
        <f t="shared" si="24"/>
        <v>1.6666666666666666E-2</v>
      </c>
      <c r="CE43" t="e">
        <v>#N/A</v>
      </c>
      <c r="CF43">
        <v>1.6666666666666666E-2</v>
      </c>
      <c r="CJ43">
        <f t="shared" si="26"/>
        <v>0.13839285714285715</v>
      </c>
      <c r="CK43">
        <v>1.25195340113E-2</v>
      </c>
      <c r="CL43">
        <f t="shared" si="27"/>
        <v>1.4630225510000108E-4</v>
      </c>
      <c r="CM43">
        <f t="shared" si="39"/>
        <v>4.4642857142857262E-3</v>
      </c>
    </row>
    <row r="44" spans="2:91">
      <c r="B44">
        <v>32</v>
      </c>
      <c r="C44" t="e">
        <f>IF(ISNUMBER(K44),IF('Lab test'!N35&gt;0,'Lab test'!N35,NA()),NA())</f>
        <v>#N/A</v>
      </c>
      <c r="D44" t="e">
        <f>IF(ISNUMBER(K44),IF('Lab test'!Q35&gt;0,'Lab test'!Q35,NA()),NA())</f>
        <v>#N/A</v>
      </c>
      <c r="E44" t="e">
        <f>IF(ISNUMBER(K44),IF('Lab test'!P35&gt;0,'Lab test'!P35,NA()),NA())</f>
        <v>#N/A</v>
      </c>
      <c r="F44" t="e">
        <f>IF(ISNUMBER(K44),IF('Lab test'!AJ35&gt;0,'Lab test'!AJ35,NA()),NA())</f>
        <v>#N/A</v>
      </c>
      <c r="G44">
        <f>IF('Lab test'!V35&gt;0,'Lab test'!V35,NA())</f>
        <v>217184.9</v>
      </c>
      <c r="H44">
        <f>IF(MAX('Lab test'!W35,'Lab test'!X35)&gt;0,MAX('Lab test'!W35,'Lab test'!X35),NA())</f>
        <v>251.65860000000001</v>
      </c>
      <c r="I44">
        <f>IF('Lab test'!AU35&gt;0,'Lab test'!AU35,NA())</f>
        <v>1.310877485246057</v>
      </c>
      <c r="J44">
        <f>IF('Lab test'!AT35&gt;0,'Lab test'!AT35,NA())</f>
        <v>4.641453281394127E-2</v>
      </c>
      <c r="K44" t="e">
        <f t="shared" si="28"/>
        <v>#N/A</v>
      </c>
      <c r="L44" t="str">
        <f>'Lab test'!AC35</f>
        <v>Tubes</v>
      </c>
      <c r="N44">
        <v>32</v>
      </c>
      <c r="O44">
        <v>134.43786147099999</v>
      </c>
      <c r="P44">
        <v>0.51739308989300004</v>
      </c>
      <c r="Q44">
        <f t="shared" si="29"/>
        <v>259.83698680398408</v>
      </c>
      <c r="R44">
        <v>241.71441126100001</v>
      </c>
      <c r="S44">
        <f t="shared" si="30"/>
        <v>0.11153995454356144</v>
      </c>
      <c r="T44">
        <v>6.6605795158100001E-2</v>
      </c>
      <c r="U44">
        <f t="shared" si="0"/>
        <v>0.14285714285714285</v>
      </c>
      <c r="W44">
        <v>32</v>
      </c>
      <c r="X44">
        <v>47.625</v>
      </c>
      <c r="Y44">
        <f t="shared" si="1"/>
        <v>0.19631901840490798</v>
      </c>
      <c r="Z44" t="e">
        <f t="shared" si="2"/>
        <v>#N/A</v>
      </c>
      <c r="AB44" t="e">
        <f t="shared" si="3"/>
        <v>#N/A</v>
      </c>
      <c r="AC44">
        <f t="shared" si="4"/>
        <v>47.625</v>
      </c>
      <c r="AE44" t="e">
        <v>#N/A</v>
      </c>
      <c r="AF44">
        <v>23.939499999999999</v>
      </c>
      <c r="AJ44">
        <f t="shared" si="6"/>
        <v>0.14285714285714285</v>
      </c>
      <c r="AK44">
        <v>37.141643960099998</v>
      </c>
      <c r="AL44">
        <f t="shared" si="7"/>
        <v>0.21264734150000209</v>
      </c>
      <c r="AM44">
        <f t="shared" si="32"/>
        <v>4.4642857142856984E-3</v>
      </c>
      <c r="AO44">
        <v>32</v>
      </c>
      <c r="AP44">
        <v>300</v>
      </c>
      <c r="AQ44">
        <f t="shared" si="33"/>
        <v>0.19631901840490798</v>
      </c>
      <c r="AR44" t="e">
        <f t="shared" si="8"/>
        <v>#N/A</v>
      </c>
      <c r="AT44" t="e">
        <f t="shared" si="9"/>
        <v>#N/A</v>
      </c>
      <c r="AU44">
        <f t="shared" si="10"/>
        <v>300</v>
      </c>
      <c r="AW44">
        <v>0.3987730061349693</v>
      </c>
      <c r="AX44">
        <v>400</v>
      </c>
      <c r="AY44">
        <f t="shared" si="11"/>
        <v>37.5</v>
      </c>
      <c r="AZ44">
        <f t="shared" si="34"/>
        <v>2.4539877300613466E-2</v>
      </c>
      <c r="BB44">
        <f t="shared" si="12"/>
        <v>0.14285714285714285</v>
      </c>
      <c r="BC44">
        <v>271.34641529184341</v>
      </c>
      <c r="BD44">
        <f t="shared" si="13"/>
        <v>1.9265626266391109</v>
      </c>
      <c r="BE44">
        <f t="shared" si="35"/>
        <v>4.4642857142856984E-3</v>
      </c>
      <c r="BF44">
        <v>32</v>
      </c>
      <c r="BG44">
        <v>4.6851546836738478E-2</v>
      </c>
      <c r="BH44">
        <f t="shared" si="14"/>
        <v>0.21768707482993196</v>
      </c>
      <c r="BI44">
        <f t="shared" si="15"/>
        <v>0.21768707482993196</v>
      </c>
      <c r="BK44">
        <f t="shared" si="16"/>
        <v>0.21768707482993196</v>
      </c>
      <c r="BL44">
        <f t="shared" si="17"/>
        <v>4.6851546836738478E-2</v>
      </c>
      <c r="BN44">
        <v>0.2857142857142857</v>
      </c>
      <c r="BO44">
        <v>5.7284874493659224E-2</v>
      </c>
      <c r="BP44">
        <f t="shared" si="18"/>
        <v>4.5015242530335037E-4</v>
      </c>
      <c r="BQ44">
        <f t="shared" si="36"/>
        <v>2.040816326530609E-2</v>
      </c>
      <c r="BS44">
        <f t="shared" si="19"/>
        <v>0.14285714285714285</v>
      </c>
      <c r="BT44">
        <v>3.8707365257324024E-2</v>
      </c>
      <c r="BU44">
        <f t="shared" si="20"/>
        <v>5.9384548268662241E-5</v>
      </c>
      <c r="BV44">
        <f t="shared" si="37"/>
        <v>4.4642857142856984E-3</v>
      </c>
      <c r="BW44">
        <v>32</v>
      </c>
      <c r="BX44">
        <v>2.7777777777777776E-2</v>
      </c>
      <c r="BY44">
        <f t="shared" si="21"/>
        <v>0.23703703703703705</v>
      </c>
      <c r="BZ44" t="e">
        <f t="shared" si="22"/>
        <v>#N/A</v>
      </c>
      <c r="CB44" t="e">
        <f t="shared" si="23"/>
        <v>#N/A</v>
      </c>
      <c r="CC44">
        <f t="shared" si="24"/>
        <v>2.7777777777777776E-2</v>
      </c>
      <c r="CE44" t="e">
        <v>#N/A</v>
      </c>
      <c r="CF44">
        <v>1.6666666666666666E-2</v>
      </c>
      <c r="CJ44">
        <f t="shared" si="26"/>
        <v>0.14285714285714285</v>
      </c>
      <c r="CK44">
        <v>1.2665836266400001E-2</v>
      </c>
      <c r="CL44">
        <f t="shared" si="27"/>
        <v>3.2182434509999899E-4</v>
      </c>
      <c r="CM44">
        <f t="shared" si="39"/>
        <v>4.4642857142856984E-3</v>
      </c>
    </row>
    <row r="45" spans="2:91">
      <c r="B45">
        <v>33</v>
      </c>
      <c r="C45" t="e">
        <f>IF(ISNUMBER(K45),IF('Lab test'!N36&gt;0,'Lab test'!N36,NA()),NA())</f>
        <v>#N/A</v>
      </c>
      <c r="D45" t="e">
        <f>IF(ISNUMBER(K45),IF('Lab test'!Q36&gt;0,'Lab test'!Q36,NA()),NA())</f>
        <v>#N/A</v>
      </c>
      <c r="E45" t="e">
        <f>IF(ISNUMBER(K45),IF('Lab test'!P36&gt;0,'Lab test'!P36,NA()),NA())</f>
        <v>#N/A</v>
      </c>
      <c r="F45" t="e">
        <f>IF(ISNUMBER(K45),IF('Lab test'!AJ36&gt;0,'Lab test'!AJ36,NA()),NA())</f>
        <v>#N/A</v>
      </c>
      <c r="G45">
        <f>IF('Lab test'!V36&gt;0,'Lab test'!V36,NA())</f>
        <v>217184.9</v>
      </c>
      <c r="H45">
        <f>IF(MAX('Lab test'!W36,'Lab test'!X36)&gt;0,MAX('Lab test'!W36,'Lab test'!X36),NA())</f>
        <v>251.65860000000001</v>
      </c>
      <c r="I45">
        <f>IF('Lab test'!AU36&gt;0,'Lab test'!AU36,NA())</f>
        <v>1.3383591935321377</v>
      </c>
      <c r="J45">
        <f>IF('Lab test'!AT36&gt;0,'Lab test'!AT36,NA())</f>
        <v>4.738758381632998E-2</v>
      </c>
      <c r="K45" t="e">
        <f t="shared" si="28"/>
        <v>#N/A</v>
      </c>
      <c r="L45" t="str">
        <f>'Lab test'!AC36</f>
        <v>Tubes</v>
      </c>
      <c r="N45">
        <v>33</v>
      </c>
      <c r="O45">
        <v>137.299963961</v>
      </c>
      <c r="P45">
        <v>0.33625797352800002</v>
      </c>
      <c r="Q45">
        <f t="shared" si="29"/>
        <v>408.31734789946063</v>
      </c>
      <c r="R45">
        <v>311.90340581499999</v>
      </c>
      <c r="S45">
        <f t="shared" si="30"/>
        <v>0.11242186298055486</v>
      </c>
      <c r="T45">
        <v>6.6631038266199996E-2</v>
      </c>
      <c r="U45">
        <f t="shared" si="0"/>
        <v>0.14732142857142858</v>
      </c>
      <c r="W45">
        <v>33</v>
      </c>
      <c r="X45">
        <v>47.625</v>
      </c>
      <c r="Y45">
        <f t="shared" ref="Y45:Y76" si="40">W45/COUNT($W$13:$W$175)</f>
        <v>0.20245398773006135</v>
      </c>
      <c r="Z45" t="e">
        <f t="shared" si="2"/>
        <v>#N/A</v>
      </c>
      <c r="AB45" t="e">
        <f t="shared" ref="AB45:AB76" si="41">Z45</f>
        <v>#N/A</v>
      </c>
      <c r="AC45">
        <f t="shared" si="4"/>
        <v>47.625</v>
      </c>
      <c r="AE45" t="e">
        <v>#N/A</v>
      </c>
      <c r="AF45">
        <v>23.939499999999999</v>
      </c>
      <c r="AJ45">
        <f t="shared" si="6"/>
        <v>0.14732142857142858</v>
      </c>
      <c r="AK45">
        <v>37.3542913016</v>
      </c>
      <c r="AL45">
        <f t="shared" si="7"/>
        <v>0.31799868299999901</v>
      </c>
      <c r="AM45">
        <f t="shared" si="32"/>
        <v>4.4642857142857262E-3</v>
      </c>
      <c r="AO45">
        <v>33</v>
      </c>
      <c r="AP45">
        <v>300</v>
      </c>
      <c r="AQ45">
        <f t="shared" si="33"/>
        <v>0.20245398773006135</v>
      </c>
      <c r="AR45" t="e">
        <f t="shared" si="8"/>
        <v>#N/A</v>
      </c>
      <c r="AT45" t="e">
        <f t="shared" si="9"/>
        <v>#N/A</v>
      </c>
      <c r="AU45">
        <f t="shared" si="10"/>
        <v>300</v>
      </c>
      <c r="AW45">
        <v>0.42331288343558282</v>
      </c>
      <c r="AX45">
        <v>437.5</v>
      </c>
      <c r="AY45">
        <f t="shared" si="11"/>
        <v>18.066868390460797</v>
      </c>
      <c r="AZ45">
        <f t="shared" si="34"/>
        <v>2.4539877300613522E-2</v>
      </c>
      <c r="BB45">
        <f t="shared" si="12"/>
        <v>0.14732142857142858</v>
      </c>
      <c r="BC45">
        <v>273.27297791848252</v>
      </c>
      <c r="BD45">
        <f t="shared" si="13"/>
        <v>5.7658661497780486</v>
      </c>
      <c r="BE45">
        <f t="shared" si="35"/>
        <v>4.4642857142857262E-3</v>
      </c>
      <c r="BF45">
        <v>33</v>
      </c>
      <c r="BG45">
        <v>0.05</v>
      </c>
      <c r="BH45">
        <f t="shared" ref="BH45:BH76" si="42">BF45/COUNT($BF$13:$BF$159)</f>
        <v>0.22448979591836735</v>
      </c>
      <c r="BI45" t="e">
        <f t="shared" si="15"/>
        <v>#N/A</v>
      </c>
      <c r="BK45" t="e">
        <f t="shared" si="16"/>
        <v>#N/A</v>
      </c>
      <c r="BL45">
        <f t="shared" si="17"/>
        <v>0.05</v>
      </c>
      <c r="BN45">
        <v>0.29251700680272108</v>
      </c>
      <c r="BO45">
        <v>5.7735026918962574E-2</v>
      </c>
      <c r="BP45">
        <f t="shared" si="18"/>
        <v>3.125572563600354E-6</v>
      </c>
      <c r="BQ45">
        <f t="shared" si="36"/>
        <v>6.8027210884353817E-3</v>
      </c>
      <c r="BS45">
        <f t="shared" si="19"/>
        <v>0.14732142857142858</v>
      </c>
      <c r="BT45">
        <v>3.8766749805592686E-2</v>
      </c>
      <c r="BU45">
        <f t="shared" si="20"/>
        <v>2.5360957946883589E-4</v>
      </c>
      <c r="BV45">
        <f t="shared" si="37"/>
        <v>4.4642857142857262E-3</v>
      </c>
      <c r="BW45">
        <v>33</v>
      </c>
      <c r="BX45">
        <v>2.7777777777777776E-2</v>
      </c>
      <c r="BY45">
        <f t="shared" ref="BY45:BY76" si="43">BW45/COUNT($BW$13:$BW$147)</f>
        <v>0.24444444444444444</v>
      </c>
      <c r="BZ45" t="e">
        <f t="shared" si="22"/>
        <v>#N/A</v>
      </c>
      <c r="CB45" t="e">
        <f t="shared" ref="CB45:CB76" si="44">BZ45</f>
        <v>#N/A</v>
      </c>
      <c r="CC45">
        <f t="shared" si="24"/>
        <v>2.7777777777777776E-2</v>
      </c>
      <c r="CE45" t="e">
        <v>#N/A</v>
      </c>
      <c r="CF45">
        <v>1.6666666666666666E-2</v>
      </c>
      <c r="CJ45">
        <f t="shared" si="26"/>
        <v>0.14732142857142858</v>
      </c>
      <c r="CK45">
        <v>1.29876606115E-2</v>
      </c>
      <c r="CL45">
        <f t="shared" si="27"/>
        <v>1.8368727800000331E-5</v>
      </c>
      <c r="CM45">
        <f t="shared" si="39"/>
        <v>4.4642857142857262E-3</v>
      </c>
    </row>
    <row r="46" spans="2:91">
      <c r="B46">
        <v>34</v>
      </c>
      <c r="C46" t="e">
        <f>IF(ISNUMBER(K46),IF('Lab test'!N37&gt;0,'Lab test'!N37,NA()),NA())</f>
        <v>#N/A</v>
      </c>
      <c r="D46" t="e">
        <f>IF(ISNUMBER(K46),IF('Lab test'!Q37&gt;0,'Lab test'!Q37,NA()),NA())</f>
        <v>#N/A</v>
      </c>
      <c r="E46" t="e">
        <f>IF(ISNUMBER(K46),IF('Lab test'!P37&gt;0,'Lab test'!P37,NA()),NA())</f>
        <v>#N/A</v>
      </c>
      <c r="F46" t="e">
        <f>IF(ISNUMBER(K46),IF('Lab test'!AJ37&gt;0,'Lab test'!AJ37,NA()),NA())</f>
        <v>#N/A</v>
      </c>
      <c r="G46">
        <f>IF('Lab test'!V37&gt;0,'Lab test'!V37,NA())</f>
        <v>217184.9</v>
      </c>
      <c r="H46">
        <f>IF(MAX('Lab test'!W37,'Lab test'!X37)&gt;0,MAX('Lab test'!W37,'Lab test'!X37),NA())</f>
        <v>251.65860000000001</v>
      </c>
      <c r="I46">
        <f>IF('Lab test'!AU37&gt;0,'Lab test'!AU37,NA())</f>
        <v>1.1507039699495796</v>
      </c>
      <c r="J46">
        <f>IF('Lab test'!AT37&gt;0,'Lab test'!AT37,NA())</f>
        <v>4.1065384964786705E-2</v>
      </c>
      <c r="K46" t="e">
        <f t="shared" si="28"/>
        <v>#N/A</v>
      </c>
      <c r="L46" t="str">
        <f>'Lab test'!AC37</f>
        <v>Tubes</v>
      </c>
      <c r="N46">
        <v>34</v>
      </c>
      <c r="O46">
        <v>138.261741548</v>
      </c>
      <c r="P46">
        <v>0.23168833620099999</v>
      </c>
      <c r="Q46">
        <f t="shared" si="29"/>
        <v>596.75745363397039</v>
      </c>
      <c r="R46">
        <v>143.96829611999999</v>
      </c>
      <c r="S46">
        <f t="shared" si="30"/>
        <v>4.2625149550158038E-2</v>
      </c>
      <c r="T46">
        <v>1.5555587047699999E-2</v>
      </c>
      <c r="U46">
        <f t="shared" si="0"/>
        <v>0.15178571428571427</v>
      </c>
      <c r="W46">
        <v>34</v>
      </c>
      <c r="X46">
        <v>47.625</v>
      </c>
      <c r="Y46">
        <f t="shared" si="40"/>
        <v>0.20858895705521471</v>
      </c>
      <c r="Z46" t="e">
        <f t="shared" si="2"/>
        <v>#N/A</v>
      </c>
      <c r="AB46" t="e">
        <f t="shared" si="41"/>
        <v>#N/A</v>
      </c>
      <c r="AC46">
        <f t="shared" si="4"/>
        <v>47.625</v>
      </c>
      <c r="AE46" t="e">
        <v>#N/A</v>
      </c>
      <c r="AF46">
        <v>23.939499999999999</v>
      </c>
      <c r="AJ46">
        <f t="shared" si="6"/>
        <v>0.15178571428571427</v>
      </c>
      <c r="AK46">
        <v>37.672289984599999</v>
      </c>
      <c r="AL46">
        <f t="shared" si="7"/>
        <v>0.6221125810999979</v>
      </c>
      <c r="AM46">
        <f t="shared" si="32"/>
        <v>4.4642857142856984E-3</v>
      </c>
      <c r="AO46">
        <v>34</v>
      </c>
      <c r="AP46">
        <v>300</v>
      </c>
      <c r="AQ46">
        <f t="shared" ref="AQ46:AQ77" si="45">AO46/COUNT($W$13:$W$175)</f>
        <v>0.20858895705521471</v>
      </c>
      <c r="AR46" t="e">
        <f t="shared" si="8"/>
        <v>#N/A</v>
      </c>
      <c r="AT46" t="e">
        <f t="shared" si="9"/>
        <v>#N/A</v>
      </c>
      <c r="AU46">
        <f t="shared" si="10"/>
        <v>300</v>
      </c>
      <c r="AW46">
        <v>0.42944785276073622</v>
      </c>
      <c r="AX46">
        <v>455.5668683904608</v>
      </c>
      <c r="AY46">
        <f t="shared" si="11"/>
        <v>4.1892291705148637</v>
      </c>
      <c r="AZ46">
        <f t="shared" si="34"/>
        <v>6.1349693251533943E-3</v>
      </c>
      <c r="BB46">
        <f t="shared" si="12"/>
        <v>0.15178571428571427</v>
      </c>
      <c r="BC46">
        <v>279.03884406826057</v>
      </c>
      <c r="BD46">
        <f t="shared" si="13"/>
        <v>0.66022433509522216</v>
      </c>
      <c r="BE46">
        <f t="shared" si="35"/>
        <v>4.4642857142856984E-3</v>
      </c>
      <c r="BF46">
        <v>34</v>
      </c>
      <c r="BG46">
        <v>0.05</v>
      </c>
      <c r="BH46">
        <f t="shared" si="42"/>
        <v>0.23129251700680273</v>
      </c>
      <c r="BI46">
        <f t="shared" si="15"/>
        <v>0.23129251700680273</v>
      </c>
      <c r="BK46">
        <f t="shared" si="16"/>
        <v>0.23129251700680273</v>
      </c>
      <c r="BL46">
        <f t="shared" si="17"/>
        <v>0.05</v>
      </c>
      <c r="BN46">
        <v>0.30612244897959184</v>
      </c>
      <c r="BO46">
        <v>5.7738152491526175E-2</v>
      </c>
      <c r="BP46">
        <f t="shared" si="18"/>
        <v>8.1516719331206633E-4</v>
      </c>
      <c r="BQ46">
        <f t="shared" si="36"/>
        <v>1.3605442176870763E-2</v>
      </c>
      <c r="BS46">
        <f t="shared" si="19"/>
        <v>0.15178571428571427</v>
      </c>
      <c r="BT46">
        <v>3.9020359385061522E-2</v>
      </c>
      <c r="BU46">
        <f t="shared" si="20"/>
        <v>2.0350963671290911E-5</v>
      </c>
      <c r="BV46">
        <f t="shared" si="37"/>
        <v>4.4642857142856984E-3</v>
      </c>
      <c r="BW46">
        <v>34</v>
      </c>
      <c r="BX46">
        <v>2.7777777777777776E-2</v>
      </c>
      <c r="BY46">
        <f t="shared" si="43"/>
        <v>0.25185185185185183</v>
      </c>
      <c r="BZ46" t="e">
        <f t="shared" si="22"/>
        <v>#N/A</v>
      </c>
      <c r="CB46" t="e">
        <f t="shared" si="44"/>
        <v>#N/A</v>
      </c>
      <c r="CC46">
        <f t="shared" si="24"/>
        <v>2.7777777777777776E-2</v>
      </c>
      <c r="CE46" t="e">
        <v>#N/A</v>
      </c>
      <c r="CF46">
        <v>1.6666666666666666E-2</v>
      </c>
      <c r="CJ46">
        <f t="shared" si="26"/>
        <v>0.15178571428571427</v>
      </c>
      <c r="CK46">
        <v>1.30060293393E-2</v>
      </c>
      <c r="CL46">
        <f t="shared" si="27"/>
        <v>1.7253316130000015E-4</v>
      </c>
      <c r="CM46">
        <f t="shared" si="39"/>
        <v>4.4642857142856984E-3</v>
      </c>
    </row>
    <row r="47" spans="2:91">
      <c r="B47">
        <v>35</v>
      </c>
      <c r="C47" t="e">
        <f>IF(ISNUMBER(K47),IF('Lab test'!N38&gt;0,'Lab test'!N38,NA()),NA())</f>
        <v>#N/A</v>
      </c>
      <c r="D47" t="e">
        <f>IF(ISNUMBER(K47),IF('Lab test'!Q38&gt;0,'Lab test'!Q38,NA()),NA())</f>
        <v>#N/A</v>
      </c>
      <c r="E47" t="e">
        <f>IF(ISNUMBER(K47),IF('Lab test'!P38&gt;0,'Lab test'!P38,NA()),NA())</f>
        <v>#N/A</v>
      </c>
      <c r="F47" t="e">
        <f>IF(ISNUMBER(K47),IF('Lab test'!AJ38&gt;0,'Lab test'!AJ38,NA()),NA())</f>
        <v>#N/A</v>
      </c>
      <c r="G47">
        <f>IF('Lab test'!V38&gt;0,'Lab test'!V38,NA())</f>
        <v>216055</v>
      </c>
      <c r="H47">
        <f>IF(MAX('Lab test'!W38,'Lab test'!X38)&gt;0,MAX('Lab test'!W38,'Lab test'!X38),NA())</f>
        <v>404</v>
      </c>
      <c r="I47">
        <f>IF('Lab test'!AU38&gt;0,'Lab test'!AU38,NA())</f>
        <v>0.42822134440814413</v>
      </c>
      <c r="J47">
        <f>IF('Lab test'!AT38&gt;0,'Lab test'!AT38,NA())</f>
        <v>0.52920832717373667</v>
      </c>
      <c r="K47" t="e">
        <f t="shared" si="28"/>
        <v>#N/A</v>
      </c>
      <c r="L47" t="str">
        <f>'Lab test'!AC38</f>
        <v>LTWa</v>
      </c>
      <c r="N47">
        <v>35</v>
      </c>
      <c r="O47">
        <v>138.28375474399999</v>
      </c>
      <c r="P47">
        <v>0.28436207255899998</v>
      </c>
      <c r="Q47">
        <f t="shared" si="29"/>
        <v>486.29465068801892</v>
      </c>
      <c r="R47">
        <v>390.26959499499998</v>
      </c>
      <c r="S47">
        <f t="shared" si="30"/>
        <v>0.12798050171489231</v>
      </c>
      <c r="T47">
        <v>6.6656627465000007E-2</v>
      </c>
      <c r="U47">
        <f t="shared" si="0"/>
        <v>0.15625</v>
      </c>
      <c r="W47">
        <v>35</v>
      </c>
      <c r="X47">
        <v>47.625</v>
      </c>
      <c r="Y47">
        <f t="shared" si="40"/>
        <v>0.21472392638036811</v>
      </c>
      <c r="Z47" t="e">
        <f t="shared" si="2"/>
        <v>#N/A</v>
      </c>
      <c r="AB47" t="e">
        <f t="shared" si="41"/>
        <v>#N/A</v>
      </c>
      <c r="AC47">
        <f t="shared" si="4"/>
        <v>47.625</v>
      </c>
      <c r="AE47" t="e">
        <v>#N/A</v>
      </c>
      <c r="AF47">
        <v>23.939499999999999</v>
      </c>
      <c r="AJ47">
        <f t="shared" si="6"/>
        <v>0.15625</v>
      </c>
      <c r="AK47">
        <v>38.294402565699997</v>
      </c>
      <c r="AL47">
        <f t="shared" si="7"/>
        <v>5.1728311600001575E-2</v>
      </c>
      <c r="AM47">
        <f t="shared" si="32"/>
        <v>4.4642857142857262E-3</v>
      </c>
      <c r="AO47">
        <v>35</v>
      </c>
      <c r="AP47">
        <v>300</v>
      </c>
      <c r="AQ47">
        <f t="shared" si="45"/>
        <v>0.21472392638036811</v>
      </c>
      <c r="AR47" t="e">
        <f t="shared" si="8"/>
        <v>#N/A</v>
      </c>
      <c r="AT47" t="e">
        <f t="shared" si="9"/>
        <v>#N/A</v>
      </c>
      <c r="AU47">
        <f t="shared" si="10"/>
        <v>300</v>
      </c>
      <c r="AW47">
        <v>0.43558282208588955</v>
      </c>
      <c r="AX47">
        <v>459.75609756097566</v>
      </c>
      <c r="AY47">
        <f t="shared" si="11"/>
        <v>0.51944103364854755</v>
      </c>
      <c r="AZ47">
        <f t="shared" si="34"/>
        <v>6.1349693251533388E-3</v>
      </c>
      <c r="BB47">
        <f t="shared" si="12"/>
        <v>0.15625</v>
      </c>
      <c r="BC47">
        <v>279.6990684033558</v>
      </c>
      <c r="BD47">
        <f t="shared" si="13"/>
        <v>4.613952981265129</v>
      </c>
      <c r="BE47">
        <f t="shared" si="35"/>
        <v>4.4642857142857262E-3</v>
      </c>
      <c r="BF47">
        <v>35</v>
      </c>
      <c r="BG47">
        <v>5.2538728822700942E-2</v>
      </c>
      <c r="BH47">
        <f t="shared" si="42"/>
        <v>0.23809523809523808</v>
      </c>
      <c r="BI47" t="e">
        <f t="shared" si="15"/>
        <v>#N/A</v>
      </c>
      <c r="BK47" t="e">
        <f t="shared" si="16"/>
        <v>#N/A</v>
      </c>
      <c r="BL47">
        <f t="shared" si="17"/>
        <v>5.2538728822700942E-2</v>
      </c>
      <c r="BN47">
        <v>0.31292517006802723</v>
      </c>
      <c r="BO47">
        <v>5.8553319684838241E-2</v>
      </c>
      <c r="BP47">
        <f t="shared" si="18"/>
        <v>4.6746009650761727E-4</v>
      </c>
      <c r="BQ47">
        <f t="shared" si="36"/>
        <v>6.8027210884353817E-3</v>
      </c>
      <c r="BS47">
        <f t="shared" si="19"/>
        <v>0.15625</v>
      </c>
      <c r="BT47">
        <v>3.9040710348732813E-2</v>
      </c>
      <c r="BU47">
        <f t="shared" si="20"/>
        <v>1.9674670163896471E-3</v>
      </c>
      <c r="BV47">
        <f t="shared" si="37"/>
        <v>4.4642857142857262E-3</v>
      </c>
      <c r="BW47">
        <v>35</v>
      </c>
      <c r="BX47">
        <v>2.7777777777777776E-2</v>
      </c>
      <c r="BY47">
        <f t="shared" si="43"/>
        <v>0.25925925925925924</v>
      </c>
      <c r="BZ47" t="e">
        <f t="shared" si="22"/>
        <v>#N/A</v>
      </c>
      <c r="CB47" t="e">
        <f t="shared" si="44"/>
        <v>#N/A</v>
      </c>
      <c r="CC47">
        <f t="shared" si="24"/>
        <v>2.7777777777777776E-2</v>
      </c>
      <c r="CE47" t="e">
        <v>#N/A</v>
      </c>
      <c r="CF47">
        <v>1.6666666666666666E-2</v>
      </c>
      <c r="CJ47">
        <f t="shared" si="26"/>
        <v>0.15625</v>
      </c>
      <c r="CK47">
        <v>1.31785625006E-2</v>
      </c>
      <c r="CL47">
        <f t="shared" si="27"/>
        <v>5.8907678699999383E-5</v>
      </c>
      <c r="CM47">
        <f t="shared" si="39"/>
        <v>4.4642857142857262E-3</v>
      </c>
    </row>
    <row r="48" spans="2:91">
      <c r="B48">
        <v>36</v>
      </c>
      <c r="C48" t="e">
        <f>IF(ISNUMBER(K48),IF('Lab test'!N39&gt;0,'Lab test'!N39,NA()),NA())</f>
        <v>#N/A</v>
      </c>
      <c r="D48" t="e">
        <f>IF(ISNUMBER(K48),IF('Lab test'!Q39&gt;0,'Lab test'!Q39,NA()),NA())</f>
        <v>#N/A</v>
      </c>
      <c r="E48" t="e">
        <f>IF(ISNUMBER(K48),IF('Lab test'!P39&gt;0,'Lab test'!P39,NA()),NA())</f>
        <v>#N/A</v>
      </c>
      <c r="F48" t="e">
        <f>IF(ISNUMBER(K48),IF('Lab test'!AJ39&gt;0,'Lab test'!AJ39,NA()),NA())</f>
        <v>#N/A</v>
      </c>
      <c r="G48">
        <f>IF('Lab test'!V39&gt;0,'Lab test'!V39,NA())</f>
        <v>216055</v>
      </c>
      <c r="H48">
        <f>IF(MAX('Lab test'!W39,'Lab test'!X39)&gt;0,MAX('Lab test'!W39,'Lab test'!X39),NA())</f>
        <v>404</v>
      </c>
      <c r="I48">
        <f>IF('Lab test'!AU39&gt;0,'Lab test'!AU39,NA())</f>
        <v>0.28915774314220588</v>
      </c>
      <c r="J48">
        <f>IF('Lab test'!AT39&gt;0,'Lab test'!AT39,NA())</f>
        <v>0.35734950519367314</v>
      </c>
      <c r="K48" t="e">
        <f t="shared" si="28"/>
        <v>#N/A</v>
      </c>
      <c r="L48" t="str">
        <f>'Lab test'!AC39</f>
        <v>LTWa</v>
      </c>
      <c r="N48">
        <v>36</v>
      </c>
      <c r="O48">
        <v>138.886915574</v>
      </c>
      <c r="P48">
        <v>0.129600221343</v>
      </c>
      <c r="Q48">
        <f t="shared" si="29"/>
        <v>1071.6564689069614</v>
      </c>
      <c r="R48">
        <v>349.10138927700001</v>
      </c>
      <c r="S48">
        <f t="shared" si="30"/>
        <v>7.6782535473688684E-2</v>
      </c>
      <c r="T48">
        <v>3.1614703907699999E-2</v>
      </c>
      <c r="U48">
        <f t="shared" si="0"/>
        <v>0.16071428571428573</v>
      </c>
      <c r="W48">
        <v>36</v>
      </c>
      <c r="X48">
        <v>47.625</v>
      </c>
      <c r="Y48">
        <f t="shared" si="40"/>
        <v>0.22085889570552147</v>
      </c>
      <c r="Z48" t="e">
        <f t="shared" si="2"/>
        <v>#N/A</v>
      </c>
      <c r="AB48" t="e">
        <f t="shared" si="41"/>
        <v>#N/A</v>
      </c>
      <c r="AC48">
        <f t="shared" si="4"/>
        <v>47.625</v>
      </c>
      <c r="AE48" t="e">
        <v>#N/A</v>
      </c>
      <c r="AF48">
        <v>23.939499999999999</v>
      </c>
      <c r="AJ48">
        <f t="shared" si="6"/>
        <v>0.16071428571428573</v>
      </c>
      <c r="AK48">
        <v>38.346130877299998</v>
      </c>
      <c r="AL48">
        <f t="shared" si="7"/>
        <v>1.9219391338000023</v>
      </c>
      <c r="AM48">
        <f t="shared" si="32"/>
        <v>4.4642857142857262E-3</v>
      </c>
      <c r="AO48">
        <v>36</v>
      </c>
      <c r="AP48">
        <v>300</v>
      </c>
      <c r="AQ48">
        <f t="shared" si="45"/>
        <v>0.22085889570552147</v>
      </c>
      <c r="AR48" t="e">
        <f t="shared" si="8"/>
        <v>#N/A</v>
      </c>
      <c r="AT48" t="e">
        <f t="shared" si="9"/>
        <v>#N/A</v>
      </c>
      <c r="AU48">
        <f t="shared" si="10"/>
        <v>300</v>
      </c>
      <c r="AW48">
        <v>0.45398773006134968</v>
      </c>
      <c r="AX48">
        <v>460.27553859462421</v>
      </c>
      <c r="AY48">
        <f t="shared" si="11"/>
        <v>0.50877513086595627</v>
      </c>
      <c r="AZ48">
        <f t="shared" si="34"/>
        <v>1.8404907975460127E-2</v>
      </c>
      <c r="BB48">
        <f t="shared" si="12"/>
        <v>0.16071428571428573</v>
      </c>
      <c r="BC48">
        <v>284.31302138462092</v>
      </c>
      <c r="BD48">
        <f t="shared" si="13"/>
        <v>0.17681933404873007</v>
      </c>
      <c r="BE48">
        <f t="shared" si="35"/>
        <v>4.4642857142857262E-3</v>
      </c>
      <c r="BF48">
        <v>36</v>
      </c>
      <c r="BG48">
        <v>5.2538728822700942E-2</v>
      </c>
      <c r="BH48">
        <f t="shared" si="42"/>
        <v>0.24489795918367346</v>
      </c>
      <c r="BI48">
        <f t="shared" si="15"/>
        <v>0.24489795918367346</v>
      </c>
      <c r="BK48">
        <f t="shared" si="16"/>
        <v>0.24489795918367346</v>
      </c>
      <c r="BL48">
        <f t="shared" si="17"/>
        <v>5.2538728822700942E-2</v>
      </c>
      <c r="BN48">
        <v>0.31972789115646261</v>
      </c>
      <c r="BO48">
        <v>5.9020779781345858E-2</v>
      </c>
      <c r="BP48">
        <f t="shared" si="18"/>
        <v>2.566120860058585E-4</v>
      </c>
      <c r="BQ48">
        <f t="shared" si="36"/>
        <v>6.8027210884353817E-3</v>
      </c>
      <c r="BS48">
        <f t="shared" si="19"/>
        <v>0.16071428571428573</v>
      </c>
      <c r="BT48">
        <v>4.100817736512246E-2</v>
      </c>
      <c r="BU48">
        <f t="shared" si="20"/>
        <v>8.407232584199606E-4</v>
      </c>
      <c r="BV48">
        <f t="shared" si="37"/>
        <v>4.4642857142857262E-3</v>
      </c>
      <c r="BW48">
        <v>36</v>
      </c>
      <c r="BX48">
        <v>2.7777777777777776E-2</v>
      </c>
      <c r="BY48">
        <f t="shared" si="43"/>
        <v>0.26666666666666666</v>
      </c>
      <c r="BZ48" t="e">
        <f t="shared" si="22"/>
        <v>#N/A</v>
      </c>
      <c r="CB48" t="e">
        <f t="shared" si="44"/>
        <v>#N/A</v>
      </c>
      <c r="CC48">
        <f t="shared" si="24"/>
        <v>2.7777777777777776E-2</v>
      </c>
      <c r="CE48" t="e">
        <v>#N/A</v>
      </c>
      <c r="CF48">
        <v>1.6666666666666666E-2</v>
      </c>
      <c r="CJ48">
        <f t="shared" si="26"/>
        <v>0.16071428571428573</v>
      </c>
      <c r="CK48">
        <v>1.32374701793E-2</v>
      </c>
      <c r="CL48">
        <f t="shared" si="27"/>
        <v>1.7836451700000561E-5</v>
      </c>
      <c r="CM48">
        <f t="shared" si="39"/>
        <v>4.4642857142857262E-3</v>
      </c>
    </row>
    <row r="49" spans="2:91">
      <c r="B49">
        <v>37</v>
      </c>
      <c r="C49" t="e">
        <f>IF(ISNUMBER(K49),IF('Lab test'!N40&gt;0,'Lab test'!N40,NA()),NA())</f>
        <v>#N/A</v>
      </c>
      <c r="D49" t="e">
        <f>IF(ISNUMBER(K49),IF('Lab test'!Q40&gt;0,'Lab test'!Q40,NA()),NA())</f>
        <v>#N/A</v>
      </c>
      <c r="E49" t="e">
        <f>IF(ISNUMBER(K49),IF('Lab test'!P40&gt;0,'Lab test'!P40,NA()),NA())</f>
        <v>#N/A</v>
      </c>
      <c r="F49" t="e">
        <f>IF(ISNUMBER(K49),IF('Lab test'!AJ40&gt;0,'Lab test'!AJ40,NA()),NA())</f>
        <v>#N/A</v>
      </c>
      <c r="G49">
        <f>IF('Lab test'!V40&gt;0,'Lab test'!V40,NA())</f>
        <v>216055</v>
      </c>
      <c r="H49">
        <f>IF(MAX('Lab test'!W40,'Lab test'!X40)&gt;0,MAX('Lab test'!W40,'Lab test'!X40),NA())</f>
        <v>404</v>
      </c>
      <c r="I49">
        <f>IF('Lab test'!AU40&gt;0,'Lab test'!AU40,NA())</f>
        <v>0.65657979823389157</v>
      </c>
      <c r="J49">
        <f>IF('Lab test'!AT40&gt;0,'Lab test'!AT40,NA())</f>
        <v>0.30428261682022567</v>
      </c>
      <c r="K49" t="e">
        <f t="shared" si="28"/>
        <v>#N/A</v>
      </c>
      <c r="L49" t="str">
        <f>'Lab test'!AC40</f>
        <v>LTWa</v>
      </c>
      <c r="N49">
        <v>37</v>
      </c>
      <c r="O49">
        <v>140.33665076099999</v>
      </c>
      <c r="P49">
        <v>0.30488946452799998</v>
      </c>
      <c r="Q49">
        <f t="shared" si="29"/>
        <v>460.28697967066671</v>
      </c>
      <c r="R49">
        <v>177.044041932</v>
      </c>
      <c r="S49">
        <f t="shared" si="30"/>
        <v>5.8802509867401001E-2</v>
      </c>
      <c r="T49">
        <v>1.0998916249E-2</v>
      </c>
      <c r="U49">
        <f t="shared" si="0"/>
        <v>0.16517857142857142</v>
      </c>
      <c r="W49">
        <v>37</v>
      </c>
      <c r="X49">
        <v>47.625</v>
      </c>
      <c r="Y49">
        <f t="shared" si="40"/>
        <v>0.22699386503067484</v>
      </c>
      <c r="Z49" t="e">
        <f t="shared" si="2"/>
        <v>#N/A</v>
      </c>
      <c r="AB49" t="e">
        <f t="shared" si="41"/>
        <v>#N/A</v>
      </c>
      <c r="AC49">
        <f t="shared" si="4"/>
        <v>47.625</v>
      </c>
      <c r="AE49" t="e">
        <v>#N/A</v>
      </c>
      <c r="AF49">
        <v>23.939499999999999</v>
      </c>
      <c r="AJ49">
        <f t="shared" si="6"/>
        <v>0.16517857142857142</v>
      </c>
      <c r="AK49">
        <v>40.268070011100001</v>
      </c>
      <c r="AL49">
        <f t="shared" si="7"/>
        <v>1.2007424589000024</v>
      </c>
      <c r="AM49">
        <f t="shared" si="32"/>
        <v>4.4642857142856984E-3</v>
      </c>
      <c r="AO49">
        <v>37</v>
      </c>
      <c r="AP49">
        <v>300</v>
      </c>
      <c r="AQ49">
        <f t="shared" si="45"/>
        <v>0.22699386503067484</v>
      </c>
      <c r="AR49" t="e">
        <f t="shared" si="8"/>
        <v>#N/A</v>
      </c>
      <c r="AT49" t="e">
        <f t="shared" si="9"/>
        <v>#N/A</v>
      </c>
      <c r="AU49">
        <f t="shared" si="10"/>
        <v>300</v>
      </c>
      <c r="AW49">
        <v>0.49079754601226994</v>
      </c>
      <c r="AX49">
        <v>460.78431372549016</v>
      </c>
      <c r="AY49">
        <f t="shared" si="11"/>
        <v>3.5014005602241696</v>
      </c>
      <c r="AZ49">
        <f t="shared" si="34"/>
        <v>3.6809815950920255E-2</v>
      </c>
      <c r="BB49">
        <f t="shared" si="12"/>
        <v>0.16517857142857142</v>
      </c>
      <c r="BC49">
        <v>284.48984071866965</v>
      </c>
      <c r="BD49">
        <f t="shared" si="13"/>
        <v>0.38740130398525707</v>
      </c>
      <c r="BE49">
        <f t="shared" si="35"/>
        <v>4.4642857142856984E-3</v>
      </c>
      <c r="BF49">
        <v>37</v>
      </c>
      <c r="BG49">
        <v>5.2844186548414329E-2</v>
      </c>
      <c r="BH49">
        <f t="shared" si="42"/>
        <v>0.25170068027210885</v>
      </c>
      <c r="BI49">
        <f t="shared" si="15"/>
        <v>0.25170068027210885</v>
      </c>
      <c r="BK49">
        <f t="shared" si="16"/>
        <v>0.25170068027210885</v>
      </c>
      <c r="BL49">
        <f t="shared" si="17"/>
        <v>5.2844186548414329E-2</v>
      </c>
      <c r="BN49">
        <v>0.33333333333333331</v>
      </c>
      <c r="BO49">
        <v>5.9277391867351717E-2</v>
      </c>
      <c r="BP49">
        <f t="shared" si="18"/>
        <v>2.1915080412742427E-3</v>
      </c>
      <c r="BQ49">
        <f t="shared" si="36"/>
        <v>1.3605442176870708E-2</v>
      </c>
      <c r="BS49">
        <f t="shared" si="19"/>
        <v>0.16517857142857142</v>
      </c>
      <c r="BT49">
        <v>4.184890062354242E-2</v>
      </c>
      <c r="BU49">
        <f t="shared" si="20"/>
        <v>5.7035315105098683E-5</v>
      </c>
      <c r="BV49">
        <f t="shared" si="37"/>
        <v>4.4642857142856984E-3</v>
      </c>
      <c r="BW49">
        <v>37</v>
      </c>
      <c r="BX49">
        <v>2.7777777777777776E-2</v>
      </c>
      <c r="BY49">
        <f t="shared" si="43"/>
        <v>0.27407407407407408</v>
      </c>
      <c r="BZ49" t="e">
        <f t="shared" si="22"/>
        <v>#N/A</v>
      </c>
      <c r="CB49" t="e">
        <f t="shared" si="44"/>
        <v>#N/A</v>
      </c>
      <c r="CC49">
        <f t="shared" si="24"/>
        <v>2.7777777777777776E-2</v>
      </c>
      <c r="CE49" t="e">
        <v>#N/A</v>
      </c>
      <c r="CF49">
        <v>1.6666666666666666E-2</v>
      </c>
      <c r="CJ49">
        <f t="shared" si="26"/>
        <v>0.16517857142857142</v>
      </c>
      <c r="CK49">
        <v>1.3255306631E-2</v>
      </c>
      <c r="CL49">
        <f t="shared" si="27"/>
        <v>9.4594336669999966E-4</v>
      </c>
      <c r="CM49">
        <f t="shared" si="39"/>
        <v>4.4642857142856984E-3</v>
      </c>
    </row>
    <row r="50" spans="2:91">
      <c r="B50">
        <v>38</v>
      </c>
      <c r="C50" t="e">
        <f>IF(ISNUMBER(K50),IF('Lab test'!N41&gt;0,'Lab test'!N41,NA()),NA())</f>
        <v>#N/A</v>
      </c>
      <c r="D50" t="e">
        <f>IF(ISNUMBER(K50),IF('Lab test'!Q41&gt;0,'Lab test'!Q41,NA()),NA())</f>
        <v>#N/A</v>
      </c>
      <c r="E50" t="e">
        <f>IF(ISNUMBER(K50),IF('Lab test'!P41&gt;0,'Lab test'!P41,NA()),NA())</f>
        <v>#N/A</v>
      </c>
      <c r="F50" t="e">
        <f>IF(ISNUMBER(K50),IF('Lab test'!AJ41&gt;0,'Lab test'!AJ41,NA()),NA())</f>
        <v>#N/A</v>
      </c>
      <c r="G50">
        <f>IF('Lab test'!V41&gt;0,'Lab test'!V41,NA())</f>
        <v>216055</v>
      </c>
      <c r="H50">
        <f>IF(MAX('Lab test'!W41,'Lab test'!X41)&gt;0,MAX('Lab test'!W41,'Lab test'!X41),NA())</f>
        <v>404</v>
      </c>
      <c r="I50">
        <f>IF('Lab test'!AU41&gt;0,'Lab test'!AU41,NA())</f>
        <v>0.74324833160076531</v>
      </c>
      <c r="J50">
        <f>IF('Lab test'!AT41&gt;0,'Lab test'!AT41,NA())</f>
        <v>0.34444792224049547</v>
      </c>
      <c r="K50" t="e">
        <f t="shared" si="28"/>
        <v>#N/A</v>
      </c>
      <c r="L50" t="str">
        <f>'Lab test'!AC41</f>
        <v>LTWa</v>
      </c>
      <c r="N50">
        <v>38</v>
      </c>
      <c r="O50">
        <v>140.69696757299999</v>
      </c>
      <c r="P50">
        <v>0.296204338086</v>
      </c>
      <c r="Q50">
        <f t="shared" si="29"/>
        <v>474.99968596729337</v>
      </c>
      <c r="R50">
        <v>81.121094155999998</v>
      </c>
      <c r="S50">
        <f t="shared" si="30"/>
        <v>2.6454673218759654E-2</v>
      </c>
      <c r="T50">
        <v>7.7335951358300001E-2</v>
      </c>
      <c r="U50">
        <f t="shared" si="0"/>
        <v>0.16964285714285715</v>
      </c>
      <c r="W50">
        <v>38</v>
      </c>
      <c r="X50">
        <v>47.625</v>
      </c>
      <c r="Y50">
        <f t="shared" si="40"/>
        <v>0.23312883435582821</v>
      </c>
      <c r="Z50" t="e">
        <f t="shared" si="2"/>
        <v>#N/A</v>
      </c>
      <c r="AB50" t="e">
        <f t="shared" si="41"/>
        <v>#N/A</v>
      </c>
      <c r="AC50">
        <f t="shared" si="4"/>
        <v>47.625</v>
      </c>
      <c r="AE50" t="e">
        <v>#N/A</v>
      </c>
      <c r="AF50">
        <v>23.939499999999999</v>
      </c>
      <c r="AJ50">
        <f t="shared" si="6"/>
        <v>0.16964285714285715</v>
      </c>
      <c r="AK50">
        <v>41.468812470000003</v>
      </c>
      <c r="AL50">
        <f t="shared" si="7"/>
        <v>0.42499544319999671</v>
      </c>
      <c r="AM50">
        <f t="shared" si="32"/>
        <v>4.4642857142857262E-3</v>
      </c>
      <c r="AO50">
        <v>38</v>
      </c>
      <c r="AP50">
        <v>300.00000000000006</v>
      </c>
      <c r="AQ50">
        <f t="shared" si="45"/>
        <v>0.23312883435582821</v>
      </c>
      <c r="AR50" t="e">
        <f t="shared" si="8"/>
        <v>#N/A</v>
      </c>
      <c r="AT50" t="e">
        <f t="shared" si="9"/>
        <v>#N/A</v>
      </c>
      <c r="AU50">
        <f t="shared" si="10"/>
        <v>300.00000000000006</v>
      </c>
      <c r="AW50">
        <v>0.49693251533742333</v>
      </c>
      <c r="AX50">
        <v>464.28571428571433</v>
      </c>
      <c r="AY50">
        <f t="shared" si="11"/>
        <v>9.3323761665469647</v>
      </c>
      <c r="AZ50">
        <f t="shared" si="34"/>
        <v>6.1349693251533943E-3</v>
      </c>
      <c r="BB50">
        <f t="shared" si="12"/>
        <v>0.16964285714285715</v>
      </c>
      <c r="BC50">
        <v>284.87724202265491</v>
      </c>
      <c r="BD50">
        <f t="shared" si="13"/>
        <v>8.9830834934263066</v>
      </c>
      <c r="BE50">
        <f t="shared" si="35"/>
        <v>4.4642857142857262E-3</v>
      </c>
      <c r="BF50">
        <v>38</v>
      </c>
      <c r="BG50">
        <v>5.3782249031522275E-2</v>
      </c>
      <c r="BH50">
        <f t="shared" si="42"/>
        <v>0.25850340136054423</v>
      </c>
      <c r="BI50">
        <f t="shared" si="15"/>
        <v>0.25850340136054423</v>
      </c>
      <c r="BK50">
        <f t="shared" si="16"/>
        <v>0.25850340136054423</v>
      </c>
      <c r="BL50">
        <f t="shared" si="17"/>
        <v>5.3782249031522275E-2</v>
      </c>
      <c r="BN50">
        <v>0.36054421768707484</v>
      </c>
      <c r="BO50">
        <v>6.146889990862596E-2</v>
      </c>
      <c r="BP50">
        <f t="shared" si="18"/>
        <v>4.8052328638685665E-3</v>
      </c>
      <c r="BQ50">
        <f t="shared" si="36"/>
        <v>2.7210884353741527E-2</v>
      </c>
      <c r="BS50">
        <f t="shared" si="19"/>
        <v>0.16964285714285715</v>
      </c>
      <c r="BT50">
        <v>4.1905935938647519E-2</v>
      </c>
      <c r="BU50">
        <f t="shared" si="20"/>
        <v>4.8605967445493337E-4</v>
      </c>
      <c r="BV50">
        <f t="shared" si="37"/>
        <v>4.4642857142857262E-3</v>
      </c>
      <c r="BW50">
        <v>38</v>
      </c>
      <c r="BX50">
        <v>2.7777777777777776E-2</v>
      </c>
      <c r="BY50">
        <f t="shared" si="43"/>
        <v>0.2814814814814815</v>
      </c>
      <c r="BZ50" t="e">
        <f t="shared" si="22"/>
        <v>#N/A</v>
      </c>
      <c r="CB50" t="e">
        <f t="shared" si="44"/>
        <v>#N/A</v>
      </c>
      <c r="CC50">
        <f t="shared" si="24"/>
        <v>2.7777777777777776E-2</v>
      </c>
      <c r="CE50" t="e">
        <v>#N/A</v>
      </c>
      <c r="CF50">
        <v>1.6666666666666666E-2</v>
      </c>
      <c r="CJ50">
        <f t="shared" si="26"/>
        <v>0.16964285714285715</v>
      </c>
      <c r="CK50">
        <v>1.42012499977E-2</v>
      </c>
      <c r="CL50">
        <f t="shared" si="27"/>
        <v>2.8739702340000069E-4</v>
      </c>
      <c r="CM50">
        <f t="shared" si="39"/>
        <v>4.4642857142857262E-3</v>
      </c>
    </row>
    <row r="51" spans="2:91">
      <c r="B51">
        <v>39</v>
      </c>
      <c r="C51" t="e">
        <f>IF(ISNUMBER(K51),IF('Lab test'!N42&gt;0,'Lab test'!N42,NA()),NA())</f>
        <v>#N/A</v>
      </c>
      <c r="D51" t="e">
        <f>IF(ISNUMBER(K51),IF('Lab test'!Q42&gt;0,'Lab test'!Q42,NA()),NA())</f>
        <v>#N/A</v>
      </c>
      <c r="E51" t="e">
        <f>IF(ISNUMBER(K51),IF('Lab test'!P42&gt;0,'Lab test'!P42,NA()),NA())</f>
        <v>#N/A</v>
      </c>
      <c r="F51" t="e">
        <f>IF(ISNUMBER(K51),IF('Lab test'!AJ42&gt;0,'Lab test'!AJ42,NA()),NA())</f>
        <v>#N/A</v>
      </c>
      <c r="G51">
        <f>IF('Lab test'!V42&gt;0,'Lab test'!V42,NA())</f>
        <v>216055</v>
      </c>
      <c r="H51">
        <f>IF(MAX('Lab test'!W42,'Lab test'!X42)&gt;0,MAX('Lab test'!W42,'Lab test'!X42),NA())</f>
        <v>404</v>
      </c>
      <c r="I51">
        <f>IF('Lab test'!AU42&gt;0,'Lab test'!AU42,NA())</f>
        <v>0.89163536600162485</v>
      </c>
      <c r="J51">
        <f>IF('Lab test'!AT42&gt;0,'Lab test'!AT42,NA())</f>
        <v>0.1377385978806222</v>
      </c>
      <c r="K51" t="e">
        <f t="shared" si="28"/>
        <v>#N/A</v>
      </c>
      <c r="L51" t="str">
        <f>'Lab test'!AC42</f>
        <v>LTWa</v>
      </c>
      <c r="N51">
        <v>39</v>
      </c>
      <c r="O51">
        <v>141.171963191</v>
      </c>
      <c r="P51">
        <v>0.22125677659599999</v>
      </c>
      <c r="Q51">
        <f t="shared" si="29"/>
        <v>638.04582785172965</v>
      </c>
      <c r="R51">
        <v>210.32291672900001</v>
      </c>
      <c r="S51">
        <f t="shared" si="30"/>
        <v>5.8981009980634706E-2</v>
      </c>
      <c r="T51">
        <v>3.1518063921399997E-2</v>
      </c>
      <c r="U51">
        <f t="shared" si="0"/>
        <v>0.17410714285714285</v>
      </c>
      <c r="W51">
        <v>39</v>
      </c>
      <c r="X51">
        <v>47.625</v>
      </c>
      <c r="Y51">
        <f t="shared" si="40"/>
        <v>0.2392638036809816</v>
      </c>
      <c r="Z51" t="e">
        <f t="shared" si="2"/>
        <v>#N/A</v>
      </c>
      <c r="AB51" t="e">
        <f t="shared" si="41"/>
        <v>#N/A</v>
      </c>
      <c r="AC51">
        <f t="shared" si="4"/>
        <v>47.625</v>
      </c>
      <c r="AE51" t="e">
        <v>#N/A</v>
      </c>
      <c r="AF51">
        <v>23.939499999999999</v>
      </c>
      <c r="AJ51">
        <f t="shared" si="6"/>
        <v>0.17410714285714285</v>
      </c>
      <c r="AK51">
        <v>41.8938079132</v>
      </c>
      <c r="AL51">
        <f t="shared" si="7"/>
        <v>4.4890636899</v>
      </c>
      <c r="AM51">
        <f t="shared" si="32"/>
        <v>4.4642857142856984E-3</v>
      </c>
      <c r="AO51">
        <v>39</v>
      </c>
      <c r="AP51">
        <v>300.00000000000006</v>
      </c>
      <c r="AQ51">
        <f t="shared" si="45"/>
        <v>0.2392638036809816</v>
      </c>
      <c r="AR51">
        <f t="shared" si="8"/>
        <v>0.2392638036809816</v>
      </c>
      <c r="AT51">
        <f t="shared" si="9"/>
        <v>0.2392638036809816</v>
      </c>
      <c r="AU51">
        <f t="shared" si="10"/>
        <v>300.00000000000006</v>
      </c>
      <c r="AW51">
        <v>0.50306748466257667</v>
      </c>
      <c r="AX51">
        <v>473.6180904522613</v>
      </c>
      <c r="AY51">
        <f t="shared" si="11"/>
        <v>1.3819095477387009</v>
      </c>
      <c r="AZ51">
        <f t="shared" si="34"/>
        <v>6.1349693251533388E-3</v>
      </c>
      <c r="BB51">
        <f t="shared" si="12"/>
        <v>0.17410714285714285</v>
      </c>
      <c r="BC51">
        <v>293.86032551608122</v>
      </c>
      <c r="BD51">
        <f t="shared" si="13"/>
        <v>0.39414400903183378</v>
      </c>
      <c r="BE51">
        <f t="shared" si="35"/>
        <v>4.4642857142856984E-3</v>
      </c>
      <c r="BF51">
        <v>39</v>
      </c>
      <c r="BG51">
        <v>5.6353342978340749E-2</v>
      </c>
      <c r="BH51">
        <f t="shared" si="42"/>
        <v>0.26530612244897961</v>
      </c>
      <c r="BI51">
        <f t="shared" si="15"/>
        <v>0.26530612244897961</v>
      </c>
      <c r="BK51">
        <f t="shared" si="16"/>
        <v>0.26530612244897961</v>
      </c>
      <c r="BL51">
        <f t="shared" si="17"/>
        <v>5.6353342978340749E-2</v>
      </c>
      <c r="BN51">
        <v>0.36734693877551022</v>
      </c>
      <c r="BO51">
        <v>6.6274132772494526E-2</v>
      </c>
      <c r="BP51">
        <f t="shared" si="18"/>
        <v>1.1814501176299758E-3</v>
      </c>
      <c r="BQ51">
        <f t="shared" si="36"/>
        <v>6.8027210884353817E-3</v>
      </c>
      <c r="BS51">
        <f t="shared" si="19"/>
        <v>0.17410714285714285</v>
      </c>
      <c r="BT51">
        <v>4.2391995613102453E-2</v>
      </c>
      <c r="BU51">
        <f t="shared" si="20"/>
        <v>2.3315393705558574E-4</v>
      </c>
      <c r="BV51">
        <f t="shared" si="37"/>
        <v>4.4642857142856984E-3</v>
      </c>
      <c r="BW51">
        <v>39</v>
      </c>
      <c r="BX51">
        <v>2.7777777777777776E-2</v>
      </c>
      <c r="BY51">
        <f t="shared" si="43"/>
        <v>0.28888888888888886</v>
      </c>
      <c r="BZ51" t="e">
        <f t="shared" si="22"/>
        <v>#N/A</v>
      </c>
      <c r="CB51" t="e">
        <f t="shared" si="44"/>
        <v>#N/A</v>
      </c>
      <c r="CC51">
        <f t="shared" si="24"/>
        <v>2.7777777777777776E-2</v>
      </c>
      <c r="CE51" t="e">
        <v>#N/A</v>
      </c>
      <c r="CF51">
        <v>1.6666666666666666E-2</v>
      </c>
      <c r="CJ51">
        <f t="shared" si="26"/>
        <v>0.17410714285714285</v>
      </c>
      <c r="CK51">
        <v>1.4488647021100001E-2</v>
      </c>
      <c r="CL51">
        <f t="shared" si="27"/>
        <v>1.9758681180000008E-4</v>
      </c>
      <c r="CM51">
        <f t="shared" si="39"/>
        <v>4.4642857142856984E-3</v>
      </c>
    </row>
    <row r="52" spans="2:91">
      <c r="B52">
        <v>40</v>
      </c>
      <c r="C52" t="e">
        <f>IF(ISNUMBER(K52),IF('Lab test'!N43&gt;0,'Lab test'!N43,NA()),NA())</f>
        <v>#N/A</v>
      </c>
      <c r="D52" t="e">
        <f>IF(ISNUMBER(K52),IF('Lab test'!Q43&gt;0,'Lab test'!Q43,NA()),NA())</f>
        <v>#N/A</v>
      </c>
      <c r="E52" t="e">
        <f>IF(ISNUMBER(K52),IF('Lab test'!P43&gt;0,'Lab test'!P43,NA()),NA())</f>
        <v>#N/A</v>
      </c>
      <c r="F52" t="e">
        <f>IF(ISNUMBER(K52),IF('Lab test'!AJ43&gt;0,'Lab test'!AJ43,NA()),NA())</f>
        <v>#N/A</v>
      </c>
      <c r="G52">
        <f>IF('Lab test'!V43&gt;0,'Lab test'!V43,NA())</f>
        <v>216055</v>
      </c>
      <c r="H52">
        <f>IF(MAX('Lab test'!W43,'Lab test'!X43)&gt;0,MAX('Lab test'!W43,'Lab test'!X43),NA())</f>
        <v>404</v>
      </c>
      <c r="I52">
        <f>IF('Lab test'!AU43&gt;0,'Lab test'!AU43,NA())</f>
        <v>0.9018780108540736</v>
      </c>
      <c r="J52">
        <f>IF('Lab test'!AT43&gt;0,'Lab test'!AT43,NA())</f>
        <v>0.13932086748808736</v>
      </c>
      <c r="K52" t="e">
        <f t="shared" si="28"/>
        <v>#N/A</v>
      </c>
      <c r="L52" t="str">
        <f>'Lab test'!AC43</f>
        <v>LTWa</v>
      </c>
      <c r="N52">
        <v>40</v>
      </c>
      <c r="O52">
        <v>143.682486987</v>
      </c>
      <c r="P52">
        <v>0.40057434663000002</v>
      </c>
      <c r="Q52">
        <f t="shared" si="29"/>
        <v>358.69118478452077</v>
      </c>
      <c r="R52">
        <v>155.41381678100001</v>
      </c>
      <c r="S52">
        <f t="shared" si="30"/>
        <v>5.71117460711787E-2</v>
      </c>
      <c r="T52">
        <v>5.1420002583499998E-2</v>
      </c>
      <c r="U52">
        <f t="shared" si="0"/>
        <v>0.17857142857142858</v>
      </c>
      <c r="W52">
        <v>40</v>
      </c>
      <c r="X52">
        <v>47.625</v>
      </c>
      <c r="Y52">
        <f t="shared" si="40"/>
        <v>0.24539877300613497</v>
      </c>
      <c r="Z52" t="e">
        <f t="shared" si="2"/>
        <v>#N/A</v>
      </c>
      <c r="AB52" t="e">
        <f t="shared" si="41"/>
        <v>#N/A</v>
      </c>
      <c r="AC52">
        <f t="shared" si="4"/>
        <v>47.625</v>
      </c>
      <c r="AE52" t="e">
        <v>#N/A</v>
      </c>
      <c r="AF52">
        <v>47.625</v>
      </c>
      <c r="AJ52">
        <f t="shared" si="6"/>
        <v>0.17857142857142858</v>
      </c>
      <c r="AK52">
        <v>46.3828716031</v>
      </c>
      <c r="AL52">
        <f t="shared" si="7"/>
        <v>0.43837965550000035</v>
      </c>
      <c r="AM52">
        <f t="shared" si="32"/>
        <v>4.4642857142857262E-3</v>
      </c>
      <c r="AO52">
        <v>40</v>
      </c>
      <c r="AP52">
        <v>313.54515050167225</v>
      </c>
      <c r="AQ52">
        <f t="shared" si="45"/>
        <v>0.24539877300613497</v>
      </c>
      <c r="AR52">
        <f t="shared" si="8"/>
        <v>0.24539877300613497</v>
      </c>
      <c r="AT52">
        <f t="shared" si="9"/>
        <v>0.24539877300613497</v>
      </c>
      <c r="AU52">
        <f t="shared" si="10"/>
        <v>313.54515050167225</v>
      </c>
      <c r="AW52">
        <v>0.51533742331288346</v>
      </c>
      <c r="AX52">
        <v>475</v>
      </c>
      <c r="AY52">
        <f t="shared" si="11"/>
        <v>3.8851351351351582</v>
      </c>
      <c r="AZ52">
        <f t="shared" si="34"/>
        <v>1.2269938650306789E-2</v>
      </c>
      <c r="BB52">
        <f t="shared" si="12"/>
        <v>0.17857142857142858</v>
      </c>
      <c r="BC52">
        <v>294.25446952511305</v>
      </c>
      <c r="BD52">
        <f t="shared" si="13"/>
        <v>0.12401449398817022</v>
      </c>
      <c r="BE52">
        <f t="shared" si="35"/>
        <v>4.4642857142857262E-3</v>
      </c>
      <c r="BF52">
        <v>40</v>
      </c>
      <c r="BG52">
        <v>5.7284874493659224E-2</v>
      </c>
      <c r="BH52">
        <f t="shared" si="42"/>
        <v>0.27210884353741499</v>
      </c>
      <c r="BI52" t="e">
        <f t="shared" si="15"/>
        <v>#N/A</v>
      </c>
      <c r="BK52" t="e">
        <f t="shared" si="16"/>
        <v>#N/A</v>
      </c>
      <c r="BL52">
        <f t="shared" si="17"/>
        <v>5.7284874493659224E-2</v>
      </c>
      <c r="BN52">
        <v>0.37414965986394561</v>
      </c>
      <c r="BO52">
        <v>6.7455582890124502E-2</v>
      </c>
      <c r="BP52">
        <f t="shared" si="18"/>
        <v>1.1611107882121274E-3</v>
      </c>
      <c r="BQ52">
        <f t="shared" si="36"/>
        <v>6.8027210884353817E-3</v>
      </c>
      <c r="BS52">
        <f t="shared" si="19"/>
        <v>0.17857142857142858</v>
      </c>
      <c r="BT52">
        <v>4.2625149550158038E-2</v>
      </c>
      <c r="BU52">
        <f t="shared" si="20"/>
        <v>1.2997425747842892E-3</v>
      </c>
      <c r="BV52">
        <f t="shared" si="37"/>
        <v>4.4642857142857262E-3</v>
      </c>
      <c r="BW52">
        <v>40</v>
      </c>
      <c r="BX52">
        <v>2.7777777777777776E-2</v>
      </c>
      <c r="BY52">
        <f t="shared" si="43"/>
        <v>0.29629629629629628</v>
      </c>
      <c r="BZ52" t="e">
        <f t="shared" si="22"/>
        <v>#N/A</v>
      </c>
      <c r="CB52" t="e">
        <f t="shared" si="44"/>
        <v>#N/A</v>
      </c>
      <c r="CC52">
        <f t="shared" si="24"/>
        <v>2.7777777777777776E-2</v>
      </c>
      <c r="CE52" t="e">
        <v>#N/A</v>
      </c>
      <c r="CF52">
        <v>2.7777777777777776E-2</v>
      </c>
      <c r="CJ52">
        <f t="shared" si="26"/>
        <v>0.17857142857142858</v>
      </c>
      <c r="CK52">
        <v>1.4686233832900001E-2</v>
      </c>
      <c r="CL52">
        <f t="shared" si="27"/>
        <v>1.6423832210000003E-4</v>
      </c>
      <c r="CM52">
        <f t="shared" si="39"/>
        <v>4.4642857142857262E-3</v>
      </c>
    </row>
    <row r="53" spans="2:91">
      <c r="B53">
        <v>41</v>
      </c>
      <c r="C53" t="e">
        <f>IF(ISNUMBER(K53),IF('Lab test'!N44&gt;0,'Lab test'!N44,NA()),NA())</f>
        <v>#N/A</v>
      </c>
      <c r="D53" t="e">
        <f>IF(ISNUMBER(K53),IF('Lab test'!Q44&gt;0,'Lab test'!Q44,NA()),NA())</f>
        <v>#N/A</v>
      </c>
      <c r="E53" t="e">
        <f>IF(ISNUMBER(K53),IF('Lab test'!P44&gt;0,'Lab test'!P44,NA()),NA())</f>
        <v>#N/A</v>
      </c>
      <c r="F53" t="e">
        <f>IF(ISNUMBER(K53),IF('Lab test'!AJ44&gt;0,'Lab test'!AJ44,NA()),NA())</f>
        <v>#N/A</v>
      </c>
      <c r="G53">
        <f>IF('Lab test'!V44&gt;0,'Lab test'!V44,NA())</f>
        <v>216213</v>
      </c>
      <c r="H53">
        <f>IF(MAX('Lab test'!W44,'Lab test'!X44)&gt;0,MAX('Lab test'!W44,'Lab test'!X44),NA())</f>
        <v>768</v>
      </c>
      <c r="I53">
        <f>IF('Lab test'!AU44&gt;0,'Lab test'!AU44,NA())</f>
        <v>0.1533524191250033</v>
      </c>
      <c r="J53">
        <f>IF('Lab test'!AT44&gt;0,'Lab test'!AT44,NA())</f>
        <v>0.30000612220387285</v>
      </c>
      <c r="K53" t="e">
        <f t="shared" si="28"/>
        <v>#N/A</v>
      </c>
      <c r="L53" t="str">
        <f>'Lab test'!AC44</f>
        <v>LTWa</v>
      </c>
      <c r="N53">
        <v>41</v>
      </c>
      <c r="O53">
        <v>145.28032259299999</v>
      </c>
      <c r="P53">
        <v>0.182604978714</v>
      </c>
      <c r="Q53">
        <f t="shared" si="29"/>
        <v>795.59891310817591</v>
      </c>
      <c r="R53">
        <v>757.16474880700002</v>
      </c>
      <c r="S53">
        <f t="shared" si="30"/>
        <v>0.1847721449027046</v>
      </c>
      <c r="T53">
        <v>1.09841827768E-2</v>
      </c>
      <c r="U53">
        <f t="shared" si="0"/>
        <v>0.18303571428571427</v>
      </c>
      <c r="W53">
        <v>41</v>
      </c>
      <c r="X53">
        <v>47.625</v>
      </c>
      <c r="Y53">
        <f t="shared" si="40"/>
        <v>0.25153374233128833</v>
      </c>
      <c r="Z53">
        <f t="shared" si="2"/>
        <v>0.25153374233128833</v>
      </c>
      <c r="AB53">
        <f t="shared" si="41"/>
        <v>0.25153374233128833</v>
      </c>
      <c r="AC53">
        <f t="shared" si="4"/>
        <v>47.625</v>
      </c>
      <c r="AE53" t="e">
        <v>#N/A</v>
      </c>
      <c r="AF53">
        <v>47.625</v>
      </c>
      <c r="AJ53">
        <f t="shared" si="6"/>
        <v>0.18303571428571427</v>
      </c>
      <c r="AK53">
        <v>46.8212512586</v>
      </c>
      <c r="AL53">
        <f t="shared" si="7"/>
        <v>1.0850060325999991</v>
      </c>
      <c r="AM53">
        <f t="shared" si="32"/>
        <v>4.4642857142856984E-3</v>
      </c>
      <c r="AO53">
        <v>41</v>
      </c>
      <c r="AP53">
        <v>314.59731543624162</v>
      </c>
      <c r="AQ53">
        <f t="shared" si="45"/>
        <v>0.25153374233128833</v>
      </c>
      <c r="AR53">
        <f t="shared" si="8"/>
        <v>0.25153374233128833</v>
      </c>
      <c r="AT53">
        <f t="shared" si="9"/>
        <v>0.25153374233128833</v>
      </c>
      <c r="AU53">
        <f t="shared" si="10"/>
        <v>314.59731543624162</v>
      </c>
      <c r="AW53">
        <v>0.5214723926380368</v>
      </c>
      <c r="AX53">
        <v>478.88513513513516</v>
      </c>
      <c r="AY53">
        <f t="shared" si="11"/>
        <v>7.109382109388207E-2</v>
      </c>
      <c r="AZ53">
        <f t="shared" si="34"/>
        <v>6.1349693251533388E-3</v>
      </c>
      <c r="BB53">
        <f t="shared" si="12"/>
        <v>0.18303571428571427</v>
      </c>
      <c r="BC53">
        <v>294.37848401910122</v>
      </c>
      <c r="BD53">
        <f t="shared" si="13"/>
        <v>4.6572303601692511E-2</v>
      </c>
      <c r="BE53">
        <f t="shared" si="35"/>
        <v>4.4642857142856984E-3</v>
      </c>
      <c r="BF53">
        <v>41</v>
      </c>
      <c r="BG53">
        <v>5.7284874493659224E-2</v>
      </c>
      <c r="BH53">
        <f t="shared" si="42"/>
        <v>0.27891156462585032</v>
      </c>
      <c r="BI53" t="e">
        <f t="shared" si="15"/>
        <v>#N/A</v>
      </c>
      <c r="BK53" t="e">
        <f t="shared" si="16"/>
        <v>#N/A</v>
      </c>
      <c r="BL53">
        <f t="shared" si="17"/>
        <v>5.7284874493659224E-2</v>
      </c>
      <c r="BN53">
        <v>0.38095238095238093</v>
      </c>
      <c r="BO53">
        <v>6.8616693678336629E-2</v>
      </c>
      <c r="BP53">
        <f t="shared" si="18"/>
        <v>1.0762567057250039E-4</v>
      </c>
      <c r="BQ53">
        <f t="shared" si="36"/>
        <v>6.8027210884353262E-3</v>
      </c>
      <c r="BS53">
        <f t="shared" si="19"/>
        <v>0.18303571428571427</v>
      </c>
      <c r="BT53">
        <v>4.3924892124942327E-2</v>
      </c>
      <c r="BU53">
        <f t="shared" si="20"/>
        <v>1.6117614057270802E-3</v>
      </c>
      <c r="BV53">
        <f t="shared" si="37"/>
        <v>4.4642857142856984E-3</v>
      </c>
      <c r="BW53">
        <v>41</v>
      </c>
      <c r="BX53">
        <v>2.7777777777777776E-2</v>
      </c>
      <c r="BY53">
        <f t="shared" si="43"/>
        <v>0.3037037037037037</v>
      </c>
      <c r="BZ53" t="e">
        <f t="shared" si="22"/>
        <v>#N/A</v>
      </c>
      <c r="CB53" t="e">
        <f t="shared" si="44"/>
        <v>#N/A</v>
      </c>
      <c r="CC53">
        <f t="shared" si="24"/>
        <v>2.7777777777777776E-2</v>
      </c>
      <c r="CE53" t="e">
        <v>#N/A</v>
      </c>
      <c r="CF53">
        <v>2.7777777777777776E-2</v>
      </c>
      <c r="CJ53">
        <f t="shared" si="26"/>
        <v>0.18303571428571427</v>
      </c>
      <c r="CK53">
        <v>1.4850472155000001E-2</v>
      </c>
      <c r="CL53">
        <f t="shared" si="27"/>
        <v>8.4439727999988806E-6</v>
      </c>
      <c r="CM53">
        <f t="shared" si="39"/>
        <v>4.4642857142856984E-3</v>
      </c>
    </row>
    <row r="54" spans="2:91">
      <c r="B54">
        <v>42</v>
      </c>
      <c r="C54" t="e">
        <f>IF(ISNUMBER(K54),IF('Lab test'!N45&gt;0,'Lab test'!N45,NA()),NA())</f>
        <v>#N/A</v>
      </c>
      <c r="D54" t="e">
        <f>IF(ISNUMBER(K54),IF('Lab test'!Q45&gt;0,'Lab test'!Q45,NA()),NA())</f>
        <v>#N/A</v>
      </c>
      <c r="E54" t="e">
        <f>IF(ISNUMBER(K54),IF('Lab test'!P45&gt;0,'Lab test'!P45,NA()),NA())</f>
        <v>#N/A</v>
      </c>
      <c r="F54" t="e">
        <f>IF(ISNUMBER(K54),IF('Lab test'!AJ45&gt;0,'Lab test'!AJ45,NA()),NA())</f>
        <v>#N/A</v>
      </c>
      <c r="G54">
        <f>IF('Lab test'!V45&gt;0,'Lab test'!V45,NA())</f>
        <v>216213</v>
      </c>
      <c r="H54">
        <f>IF(MAX('Lab test'!W45,'Lab test'!X45)&gt;0,MAX('Lab test'!W45,'Lab test'!X45),NA())</f>
        <v>768</v>
      </c>
      <c r="I54">
        <f>IF('Lab test'!AU45&gt;0,'Lab test'!AU45,NA())</f>
        <v>0.19082705307784759</v>
      </c>
      <c r="J54">
        <f>IF('Lab test'!AT45&gt;0,'Lab test'!AT45,NA())</f>
        <v>0.37331842909378327</v>
      </c>
      <c r="K54" t="e">
        <f t="shared" si="28"/>
        <v>#N/A</v>
      </c>
      <c r="L54" t="str">
        <f>'Lab test'!AC45</f>
        <v>LTWa</v>
      </c>
      <c r="N54">
        <v>42</v>
      </c>
      <c r="O54">
        <v>146.04076389799999</v>
      </c>
      <c r="P54">
        <v>0.29483444782500001</v>
      </c>
      <c r="Q54">
        <f t="shared" si="29"/>
        <v>495.33141386749685</v>
      </c>
      <c r="R54">
        <v>612.75937608300001</v>
      </c>
      <c r="S54">
        <f t="shared" si="30"/>
        <v>0.1885245589574871</v>
      </c>
      <c r="T54">
        <v>6.6620666435500006E-2</v>
      </c>
      <c r="U54">
        <f t="shared" si="0"/>
        <v>0.1875</v>
      </c>
      <c r="W54">
        <v>42</v>
      </c>
      <c r="X54">
        <v>60.325000000000003</v>
      </c>
      <c r="Y54">
        <f t="shared" si="40"/>
        <v>0.25766871165644173</v>
      </c>
      <c r="Z54" t="e">
        <f t="shared" si="2"/>
        <v>#N/A</v>
      </c>
      <c r="AB54" t="e">
        <f t="shared" si="41"/>
        <v>#N/A</v>
      </c>
      <c r="AC54">
        <f t="shared" si="4"/>
        <v>60.325000000000003</v>
      </c>
      <c r="AE54" t="e">
        <v>#N/A</v>
      </c>
      <c r="AF54">
        <v>47.625</v>
      </c>
      <c r="AJ54">
        <f t="shared" si="6"/>
        <v>0.1875</v>
      </c>
      <c r="AK54">
        <v>47.906257291199999</v>
      </c>
      <c r="AL54">
        <f t="shared" si="7"/>
        <v>1.1031132968999984</v>
      </c>
      <c r="AM54">
        <f t="shared" si="32"/>
        <v>4.4642857142857262E-3</v>
      </c>
      <c r="AO54">
        <v>42</v>
      </c>
      <c r="AP54">
        <v>317.25888324873097</v>
      </c>
      <c r="AQ54">
        <f t="shared" si="45"/>
        <v>0.25766871165644173</v>
      </c>
      <c r="AR54">
        <f t="shared" si="8"/>
        <v>0.25766871165644173</v>
      </c>
      <c r="AT54">
        <f t="shared" si="9"/>
        <v>0.25766871165644173</v>
      </c>
      <c r="AU54">
        <f t="shared" si="10"/>
        <v>317.25888324873097</v>
      </c>
      <c r="AW54">
        <v>0.52760736196319014</v>
      </c>
      <c r="AX54">
        <v>478.95622895622904</v>
      </c>
      <c r="AY54">
        <f t="shared" si="11"/>
        <v>7.3216441140968982</v>
      </c>
      <c r="AZ54">
        <f t="shared" si="34"/>
        <v>6.1349693251533388E-3</v>
      </c>
      <c r="BB54">
        <f t="shared" si="12"/>
        <v>0.1875</v>
      </c>
      <c r="BC54">
        <v>294.42505632270291</v>
      </c>
      <c r="BD54">
        <f t="shared" si="13"/>
        <v>0.70370064852500036</v>
      </c>
      <c r="BE54">
        <f t="shared" si="35"/>
        <v>4.4642857142857262E-3</v>
      </c>
      <c r="BF54">
        <v>42</v>
      </c>
      <c r="BG54">
        <v>5.7284874493659224E-2</v>
      </c>
      <c r="BH54">
        <f t="shared" si="42"/>
        <v>0.2857142857142857</v>
      </c>
      <c r="BI54">
        <f t="shared" si="15"/>
        <v>0.2857142857142857</v>
      </c>
      <c r="BK54">
        <f t="shared" si="16"/>
        <v>0.2857142857142857</v>
      </c>
      <c r="BL54">
        <f t="shared" si="17"/>
        <v>5.7284874493659224E-2</v>
      </c>
      <c r="BN54">
        <v>0.40816326530612246</v>
      </c>
      <c r="BO54">
        <v>6.872431934890913E-2</v>
      </c>
      <c r="BP54">
        <f t="shared" si="18"/>
        <v>1.986358769745622E-3</v>
      </c>
      <c r="BQ54">
        <f t="shared" si="36"/>
        <v>2.7210884353741527E-2</v>
      </c>
      <c r="BS54">
        <f t="shared" si="19"/>
        <v>0.1875</v>
      </c>
      <c r="BT54">
        <v>4.5536653530669408E-2</v>
      </c>
      <c r="BU54">
        <f t="shared" si="20"/>
        <v>1.3652100148295321E-4</v>
      </c>
      <c r="BV54">
        <f t="shared" si="37"/>
        <v>4.4642857142857262E-3</v>
      </c>
      <c r="BW54">
        <v>42</v>
      </c>
      <c r="BX54">
        <v>2.7777777777777776E-2</v>
      </c>
      <c r="BY54">
        <f t="shared" si="43"/>
        <v>0.31111111111111112</v>
      </c>
      <c r="BZ54" t="e">
        <f t="shared" si="22"/>
        <v>#N/A</v>
      </c>
      <c r="CB54" t="e">
        <f t="shared" si="44"/>
        <v>#N/A</v>
      </c>
      <c r="CC54">
        <f t="shared" si="24"/>
        <v>2.7777777777777776E-2</v>
      </c>
      <c r="CE54" t="e">
        <v>#N/A</v>
      </c>
      <c r="CF54">
        <v>2.7777777777777776E-2</v>
      </c>
      <c r="CJ54">
        <f t="shared" si="26"/>
        <v>0.1875</v>
      </c>
      <c r="CK54">
        <v>1.48589161278E-2</v>
      </c>
      <c r="CL54">
        <f t="shared" si="27"/>
        <v>2.9720716100000918E-5</v>
      </c>
      <c r="CM54">
        <f t="shared" si="39"/>
        <v>4.4642857142857262E-3</v>
      </c>
    </row>
    <row r="55" spans="2:91">
      <c r="B55">
        <v>43</v>
      </c>
      <c r="C55" t="e">
        <f>IF(ISNUMBER(K55),IF('Lab test'!N46&gt;0,'Lab test'!N46,NA()),NA())</f>
        <v>#N/A</v>
      </c>
      <c r="D55" t="e">
        <f>IF(ISNUMBER(K55),IF('Lab test'!Q46&gt;0,'Lab test'!Q46,NA()),NA())</f>
        <v>#N/A</v>
      </c>
      <c r="E55" t="e">
        <f>IF(ISNUMBER(K55),IF('Lab test'!P46&gt;0,'Lab test'!P46,NA()),NA())</f>
        <v>#N/A</v>
      </c>
      <c r="F55" t="e">
        <f>IF(ISNUMBER(K55),IF('Lab test'!AJ46&gt;0,'Lab test'!AJ46,NA()),NA())</f>
        <v>#N/A</v>
      </c>
      <c r="G55">
        <f>IF('Lab test'!V46&gt;0,'Lab test'!V46,NA())</f>
        <v>216213</v>
      </c>
      <c r="H55">
        <f>IF(MAX('Lab test'!W46,'Lab test'!X46)&gt;0,MAX('Lab test'!W46,'Lab test'!X46),NA())</f>
        <v>768</v>
      </c>
      <c r="I55">
        <f>IF('Lab test'!AU46&gt;0,'Lab test'!AU46,NA())</f>
        <v>0.51366152640248863</v>
      </c>
      <c r="J55">
        <f>IF('Lab test'!AT46&gt;0,'Lab test'!AT46,NA())</f>
        <v>0.45219841717054027</v>
      </c>
      <c r="K55" t="e">
        <f t="shared" si="28"/>
        <v>#N/A</v>
      </c>
      <c r="L55" t="str">
        <f>'Lab test'!AC46</f>
        <v>LTWa</v>
      </c>
      <c r="N55">
        <v>43</v>
      </c>
      <c r="O55">
        <v>147.21412729599999</v>
      </c>
      <c r="P55">
        <v>0.227454068904</v>
      </c>
      <c r="Q55">
        <f t="shared" si="29"/>
        <v>647.22573663051799</v>
      </c>
      <c r="R55">
        <v>192.46350805500001</v>
      </c>
      <c r="S55">
        <f t="shared" si="30"/>
        <v>5.1389100913457872E-2</v>
      </c>
      <c r="T55">
        <v>3.1058133818699998E-2</v>
      </c>
      <c r="U55">
        <f t="shared" si="0"/>
        <v>0.19196428571428573</v>
      </c>
      <c r="W55">
        <v>43</v>
      </c>
      <c r="X55">
        <v>60.325000000000003</v>
      </c>
      <c r="Y55">
        <f t="shared" si="40"/>
        <v>0.26380368098159507</v>
      </c>
      <c r="Z55" t="e">
        <f t="shared" si="2"/>
        <v>#N/A</v>
      </c>
      <c r="AB55" t="e">
        <f t="shared" si="41"/>
        <v>#N/A</v>
      </c>
      <c r="AC55">
        <f t="shared" si="4"/>
        <v>60.325000000000003</v>
      </c>
      <c r="AE55" t="e">
        <v>#N/A</v>
      </c>
      <c r="AF55">
        <v>47.625</v>
      </c>
      <c r="AJ55">
        <f t="shared" si="6"/>
        <v>0.19196428571428573</v>
      </c>
      <c r="AK55">
        <v>49.009370588099998</v>
      </c>
      <c r="AL55">
        <f t="shared" si="7"/>
        <v>0.42177322510000437</v>
      </c>
      <c r="AM55">
        <f t="shared" si="32"/>
        <v>4.4642857142857262E-3</v>
      </c>
      <c r="AO55">
        <v>43</v>
      </c>
      <c r="AP55">
        <v>317.79661016949149</v>
      </c>
      <c r="AQ55">
        <f t="shared" si="45"/>
        <v>0.26380368098159507</v>
      </c>
      <c r="AR55">
        <f t="shared" si="8"/>
        <v>0.26380368098159507</v>
      </c>
      <c r="AT55">
        <f t="shared" si="9"/>
        <v>0.26380368098159507</v>
      </c>
      <c r="AU55">
        <f t="shared" si="10"/>
        <v>317.79661016949149</v>
      </c>
      <c r="AW55">
        <v>0.53374233128834359</v>
      </c>
      <c r="AX55">
        <v>486.27787307032594</v>
      </c>
      <c r="AY55">
        <f t="shared" si="11"/>
        <v>4.6913254460491771E-2</v>
      </c>
      <c r="AZ55">
        <f t="shared" si="34"/>
        <v>6.1349693251534498E-3</v>
      </c>
      <c r="BB55">
        <f t="shared" si="12"/>
        <v>0.19196428571428573</v>
      </c>
      <c r="BC55">
        <v>295.12875697122792</v>
      </c>
      <c r="BD55">
        <f t="shared" si="13"/>
        <v>0.13335790141252346</v>
      </c>
      <c r="BE55">
        <f t="shared" si="35"/>
        <v>4.4642857142857262E-3</v>
      </c>
      <c r="BF55">
        <v>43</v>
      </c>
      <c r="BG55">
        <v>5.7735026918962574E-2</v>
      </c>
      <c r="BH55">
        <f t="shared" si="42"/>
        <v>0.29251700680272108</v>
      </c>
      <c r="BI55">
        <f t="shared" si="15"/>
        <v>0.29251700680272108</v>
      </c>
      <c r="BK55">
        <f t="shared" si="16"/>
        <v>0.29251700680272108</v>
      </c>
      <c r="BL55">
        <f t="shared" si="17"/>
        <v>5.7735026918962574E-2</v>
      </c>
      <c r="BN55">
        <v>0.42176870748299322</v>
      </c>
      <c r="BO55">
        <v>7.0710678118654752E-2</v>
      </c>
      <c r="BP55">
        <f t="shared" si="18"/>
        <v>6.1254467671277013E-3</v>
      </c>
      <c r="BQ55">
        <f t="shared" si="36"/>
        <v>1.3605442176870763E-2</v>
      </c>
      <c r="BS55">
        <f t="shared" si="19"/>
        <v>0.19196428571428573</v>
      </c>
      <c r="BT55">
        <v>4.5673174532152361E-2</v>
      </c>
      <c r="BU55">
        <f t="shared" si="20"/>
        <v>4.1726143757463141E-5</v>
      </c>
      <c r="BV55">
        <f t="shared" si="37"/>
        <v>4.4642857142857262E-3</v>
      </c>
      <c r="BW55">
        <v>43</v>
      </c>
      <c r="BX55">
        <v>2.7777777777777776E-2</v>
      </c>
      <c r="BY55">
        <f t="shared" si="43"/>
        <v>0.31851851851851853</v>
      </c>
      <c r="BZ55" t="e">
        <f t="shared" si="22"/>
        <v>#N/A</v>
      </c>
      <c r="CB55" t="e">
        <f t="shared" si="44"/>
        <v>#N/A</v>
      </c>
      <c r="CC55">
        <f t="shared" si="24"/>
        <v>2.7777777777777776E-2</v>
      </c>
      <c r="CE55" t="e">
        <v>#N/A</v>
      </c>
      <c r="CF55">
        <v>2.7777777777777776E-2</v>
      </c>
      <c r="CJ55">
        <f t="shared" si="26"/>
        <v>0.19196428571428573</v>
      </c>
      <c r="CK55">
        <v>1.48886368439E-2</v>
      </c>
      <c r="CL55">
        <f t="shared" si="27"/>
        <v>2.0202779269999985E-4</v>
      </c>
      <c r="CM55">
        <f t="shared" si="39"/>
        <v>4.4642857142857262E-3</v>
      </c>
    </row>
    <row r="56" spans="2:91">
      <c r="B56">
        <v>44</v>
      </c>
      <c r="C56" t="e">
        <f>IF(ISNUMBER(K56),IF('Lab test'!N47&gt;0,'Lab test'!N47,NA()),NA())</f>
        <v>#N/A</v>
      </c>
      <c r="D56" t="e">
        <f>IF(ISNUMBER(K56),IF('Lab test'!Q47&gt;0,'Lab test'!Q47,NA()),NA())</f>
        <v>#N/A</v>
      </c>
      <c r="E56" t="e">
        <f>IF(ISNUMBER(K56),IF('Lab test'!P47&gt;0,'Lab test'!P47,NA()),NA())</f>
        <v>#N/A</v>
      </c>
      <c r="F56" t="e">
        <f>IF(ISNUMBER(K56),IF('Lab test'!AJ47&gt;0,'Lab test'!AJ47,NA()),NA())</f>
        <v>#N/A</v>
      </c>
      <c r="G56">
        <f>IF('Lab test'!V47&gt;0,'Lab test'!V47,NA())</f>
        <v>216213</v>
      </c>
      <c r="H56">
        <f>IF(MAX('Lab test'!W47,'Lab test'!X47)&gt;0,MAX('Lab test'!W47,'Lab test'!X47),NA())</f>
        <v>768</v>
      </c>
      <c r="I56">
        <f>IF('Lab test'!AU47&gt;0,'Lab test'!AU47,NA())</f>
        <v>0.53549006894460627</v>
      </c>
      <c r="J56">
        <f>IF('Lab test'!AT47&gt;0,'Lab test'!AT47,NA())</f>
        <v>0.47141502553873432</v>
      </c>
      <c r="K56" t="e">
        <f t="shared" si="28"/>
        <v>#N/A</v>
      </c>
      <c r="L56" t="str">
        <f>'Lab test'!AC47</f>
        <v>LTWa</v>
      </c>
      <c r="N56">
        <v>44</v>
      </c>
      <c r="O56">
        <v>148.661955159</v>
      </c>
      <c r="P56">
        <v>0.106310571822</v>
      </c>
      <c r="Q56">
        <f t="shared" si="29"/>
        <v>1398.3741467208981</v>
      </c>
      <c r="R56">
        <v>593.183609101</v>
      </c>
      <c r="S56">
        <f t="shared" si="30"/>
        <v>0.10670324049145351</v>
      </c>
      <c r="T56">
        <v>6.6561553969900003E-2</v>
      </c>
      <c r="U56">
        <f t="shared" si="0"/>
        <v>0.19642857142857142</v>
      </c>
      <c r="W56">
        <v>44</v>
      </c>
      <c r="X56">
        <v>60.325000000000003</v>
      </c>
      <c r="Y56">
        <f t="shared" si="40"/>
        <v>0.26993865030674846</v>
      </c>
      <c r="Z56" t="e">
        <f t="shared" si="2"/>
        <v>#N/A</v>
      </c>
      <c r="AB56" t="e">
        <f t="shared" si="41"/>
        <v>#N/A</v>
      </c>
      <c r="AC56">
        <f t="shared" si="4"/>
        <v>60.325000000000003</v>
      </c>
      <c r="AE56" t="e">
        <v>#N/A</v>
      </c>
      <c r="AF56">
        <v>47.625</v>
      </c>
      <c r="AJ56">
        <f t="shared" si="6"/>
        <v>0.19642857142857142</v>
      </c>
      <c r="AK56">
        <v>49.431143813200002</v>
      </c>
      <c r="AL56">
        <f t="shared" si="7"/>
        <v>0.38059970599999815</v>
      </c>
      <c r="AM56">
        <f t="shared" si="32"/>
        <v>4.4642857142856984E-3</v>
      </c>
      <c r="AO56">
        <v>44</v>
      </c>
      <c r="AP56">
        <v>318.41216216216213</v>
      </c>
      <c r="AQ56">
        <f t="shared" si="45"/>
        <v>0.26993865030674846</v>
      </c>
      <c r="AR56">
        <f t="shared" si="8"/>
        <v>0.26993865030674846</v>
      </c>
      <c r="AT56">
        <f t="shared" si="9"/>
        <v>0.26993865030674846</v>
      </c>
      <c r="AU56">
        <f t="shared" si="10"/>
        <v>318.41216216216213</v>
      </c>
      <c r="AW56">
        <v>0.54601226993865026</v>
      </c>
      <c r="AX56">
        <v>486.32478632478643</v>
      </c>
      <c r="AY56">
        <f t="shared" si="11"/>
        <v>76.17521367521357</v>
      </c>
      <c r="AZ56">
        <f t="shared" si="34"/>
        <v>1.2269938650306678E-2</v>
      </c>
      <c r="BB56">
        <f t="shared" si="12"/>
        <v>0.19642857142857142</v>
      </c>
      <c r="BC56">
        <v>295.26211487264044</v>
      </c>
      <c r="BD56">
        <f t="shared" si="13"/>
        <v>0.24610183721233625</v>
      </c>
      <c r="BE56">
        <f t="shared" si="35"/>
        <v>4.4642857142856984E-3</v>
      </c>
      <c r="BF56">
        <v>44</v>
      </c>
      <c r="BG56">
        <v>5.7738152491526175E-2</v>
      </c>
      <c r="BH56">
        <f t="shared" si="42"/>
        <v>0.29931972789115646</v>
      </c>
      <c r="BI56" t="e">
        <f t="shared" si="15"/>
        <v>#N/A</v>
      </c>
      <c r="BK56" t="e">
        <f t="shared" si="16"/>
        <v>#N/A</v>
      </c>
      <c r="BL56">
        <f t="shared" si="17"/>
        <v>5.7738152491526175E-2</v>
      </c>
      <c r="BN56">
        <v>0.44897959183673469</v>
      </c>
      <c r="BO56">
        <v>7.6836124885782453E-2</v>
      </c>
      <c r="BP56">
        <f t="shared" si="18"/>
        <v>1.9099448987230927E-4</v>
      </c>
      <c r="BQ56">
        <f t="shared" si="36"/>
        <v>2.7210884353741471E-2</v>
      </c>
      <c r="BS56">
        <f t="shared" si="19"/>
        <v>0.19642857142857142</v>
      </c>
      <c r="BT56">
        <v>4.5714900675909824E-2</v>
      </c>
      <c r="BU56">
        <f t="shared" si="20"/>
        <v>1.0612430527699862E-3</v>
      </c>
      <c r="BV56">
        <f t="shared" si="37"/>
        <v>4.4642857142856984E-3</v>
      </c>
      <c r="BW56">
        <v>44</v>
      </c>
      <c r="BX56">
        <v>2.7777777777777776E-2</v>
      </c>
      <c r="BY56">
        <f t="shared" si="43"/>
        <v>0.32592592592592595</v>
      </c>
      <c r="BZ56">
        <f t="shared" si="22"/>
        <v>0.32592592592592595</v>
      </c>
      <c r="CB56">
        <f t="shared" si="44"/>
        <v>0.32592592592592595</v>
      </c>
      <c r="CC56">
        <f t="shared" si="24"/>
        <v>2.7777777777777776E-2</v>
      </c>
      <c r="CE56" t="e">
        <v>#N/A</v>
      </c>
      <c r="CF56">
        <v>2.7777777777777776E-2</v>
      </c>
      <c r="CJ56">
        <f t="shared" si="26"/>
        <v>0.19642857142857142</v>
      </c>
      <c r="CK56">
        <v>1.50906646366E-2</v>
      </c>
      <c r="CL56">
        <f t="shared" si="27"/>
        <v>1.9263660209999957E-4</v>
      </c>
      <c r="CM56">
        <f t="shared" si="39"/>
        <v>4.4642857142856984E-3</v>
      </c>
    </row>
    <row r="57" spans="2:91">
      <c r="B57">
        <v>45</v>
      </c>
      <c r="C57" t="e">
        <f>IF(ISNUMBER(K57),IF('Lab test'!N48&gt;0,'Lab test'!N48,NA()),NA())</f>
        <v>#N/A</v>
      </c>
      <c r="D57" t="e">
        <f>IF(ISNUMBER(K57),IF('Lab test'!Q48&gt;0,'Lab test'!Q48,NA()),NA())</f>
        <v>#N/A</v>
      </c>
      <c r="E57" t="e">
        <f>IF(ISNUMBER(K57),IF('Lab test'!P48&gt;0,'Lab test'!P48,NA()),NA())</f>
        <v>#N/A</v>
      </c>
      <c r="F57" t="e">
        <f>IF(ISNUMBER(K57),IF('Lab test'!AJ48&gt;0,'Lab test'!AJ48,NA()),NA())</f>
        <v>#N/A</v>
      </c>
      <c r="G57">
        <f>IF('Lab test'!V48&gt;0,'Lab test'!V48,NA())</f>
        <v>216213</v>
      </c>
      <c r="H57">
        <f>IF(MAX('Lab test'!W48,'Lab test'!X48)&gt;0,MAX('Lab test'!W48,'Lab test'!X48),NA())</f>
        <v>768</v>
      </c>
      <c r="I57">
        <f>IF('Lab test'!AU48&gt;0,'Lab test'!AU48,NA())</f>
        <v>0.83137273947858403</v>
      </c>
      <c r="J57">
        <f>IF('Lab test'!AT48&gt;0,'Lab test'!AT48,NA())</f>
        <v>0.24396443802461787</v>
      </c>
      <c r="K57" t="e">
        <f t="shared" si="28"/>
        <v>#N/A</v>
      </c>
      <c r="L57" t="str">
        <f>'Lab test'!AC48</f>
        <v>LTWa</v>
      </c>
      <c r="N57">
        <v>45</v>
      </c>
      <c r="O57">
        <v>148.96036988700001</v>
      </c>
      <c r="P57">
        <v>0.21746800745299999</v>
      </c>
      <c r="Q57">
        <f t="shared" si="29"/>
        <v>684.97601845730753</v>
      </c>
      <c r="R57">
        <v>57.165777775599999</v>
      </c>
      <c r="S57">
        <f t="shared" si="30"/>
        <v>1.4663163977025176E-2</v>
      </c>
      <c r="T57">
        <v>1.5398848990599999E-2</v>
      </c>
      <c r="U57">
        <f t="shared" si="0"/>
        <v>0.20089285714285715</v>
      </c>
      <c r="W57">
        <v>45</v>
      </c>
      <c r="X57">
        <v>60.325000000000003</v>
      </c>
      <c r="Y57">
        <f t="shared" si="40"/>
        <v>0.27607361963190186</v>
      </c>
      <c r="Z57" t="e">
        <f t="shared" si="2"/>
        <v>#N/A</v>
      </c>
      <c r="AB57" t="e">
        <f t="shared" si="41"/>
        <v>#N/A</v>
      </c>
      <c r="AC57">
        <f t="shared" si="4"/>
        <v>60.325000000000003</v>
      </c>
      <c r="AE57" t="e">
        <v>#N/A</v>
      </c>
      <c r="AF57">
        <v>47.625</v>
      </c>
      <c r="AJ57">
        <f t="shared" si="6"/>
        <v>0.20089285714285715</v>
      </c>
      <c r="AK57">
        <v>49.8117435192</v>
      </c>
      <c r="AL57">
        <f t="shared" si="7"/>
        <v>0.74045880909999795</v>
      </c>
      <c r="AM57">
        <f t="shared" si="32"/>
        <v>4.4642857142857262E-3</v>
      </c>
      <c r="AO57">
        <v>45</v>
      </c>
      <c r="AP57">
        <v>318.64406779661022</v>
      </c>
      <c r="AQ57">
        <f t="shared" si="45"/>
        <v>0.27607361963190186</v>
      </c>
      <c r="AR57" t="e">
        <f t="shared" si="8"/>
        <v>#N/A</v>
      </c>
      <c r="AT57" t="e">
        <f t="shared" si="9"/>
        <v>#N/A</v>
      </c>
      <c r="AU57">
        <f t="shared" si="10"/>
        <v>318.64406779661022</v>
      </c>
      <c r="AW57">
        <v>0.57668711656441718</v>
      </c>
      <c r="AX57">
        <v>562.5</v>
      </c>
      <c r="AY57">
        <f t="shared" si="11"/>
        <v>31.5</v>
      </c>
      <c r="AZ57">
        <f t="shared" si="34"/>
        <v>3.0674846625766916E-2</v>
      </c>
      <c r="BB57">
        <f t="shared" si="12"/>
        <v>0.20089285714285715</v>
      </c>
      <c r="BC57">
        <v>295.50821670985277</v>
      </c>
      <c r="BD57">
        <f t="shared" si="13"/>
        <v>0.37659459441744048</v>
      </c>
      <c r="BE57">
        <f t="shared" si="35"/>
        <v>4.4642857142857262E-3</v>
      </c>
      <c r="BF57">
        <v>45</v>
      </c>
      <c r="BG57">
        <v>5.7738152491526175E-2</v>
      </c>
      <c r="BH57">
        <f t="shared" si="42"/>
        <v>0.30612244897959184</v>
      </c>
      <c r="BI57">
        <f t="shared" si="15"/>
        <v>0.30612244897959184</v>
      </c>
      <c r="BK57">
        <f t="shared" si="16"/>
        <v>0.30612244897959184</v>
      </c>
      <c r="BL57">
        <f t="shared" si="17"/>
        <v>5.7738152491526175E-2</v>
      </c>
      <c r="BN57">
        <v>0.45578231292517007</v>
      </c>
      <c r="BO57">
        <v>7.7027119375654762E-2</v>
      </c>
      <c r="BP57">
        <f t="shared" si="18"/>
        <v>6.5835144765517828E-4</v>
      </c>
      <c r="BQ57">
        <f t="shared" si="36"/>
        <v>6.8027210884353817E-3</v>
      </c>
      <c r="BS57">
        <f t="shared" si="19"/>
        <v>0.20089285714285715</v>
      </c>
      <c r="BT57">
        <v>4.677614372867981E-2</v>
      </c>
      <c r="BU57">
        <f t="shared" si="20"/>
        <v>1.2090924958265553E-3</v>
      </c>
      <c r="BV57">
        <f t="shared" si="37"/>
        <v>4.4642857142857262E-3</v>
      </c>
      <c r="BW57">
        <v>45</v>
      </c>
      <c r="BX57">
        <v>3.3156498673740049E-2</v>
      </c>
      <c r="BY57">
        <f t="shared" si="43"/>
        <v>0.33333333333333331</v>
      </c>
      <c r="BZ57" t="e">
        <f t="shared" si="22"/>
        <v>#N/A</v>
      </c>
      <c r="CB57" t="e">
        <f t="shared" si="44"/>
        <v>#N/A</v>
      </c>
      <c r="CC57">
        <f t="shared" si="24"/>
        <v>3.3156498673740049E-2</v>
      </c>
      <c r="CE57" t="e">
        <v>#N/A</v>
      </c>
      <c r="CF57">
        <v>2.7777777777777776E-2</v>
      </c>
      <c r="CJ57">
        <f t="shared" si="26"/>
        <v>0.20089285714285715</v>
      </c>
      <c r="CK57">
        <v>1.52833012387E-2</v>
      </c>
      <c r="CL57">
        <f t="shared" si="27"/>
        <v>1.1554775189999943E-4</v>
      </c>
      <c r="CM57">
        <f t="shared" si="39"/>
        <v>4.4642857142857262E-3</v>
      </c>
    </row>
    <row r="58" spans="2:91">
      <c r="B58">
        <v>46</v>
      </c>
      <c r="C58" t="e">
        <f>IF(ISNUMBER(K58),IF('Lab test'!N49&gt;0,'Lab test'!N49,NA()),NA())</f>
        <v>#N/A</v>
      </c>
      <c r="D58" t="e">
        <f>IF(ISNUMBER(K58),IF('Lab test'!Q49&gt;0,'Lab test'!Q49,NA()),NA())</f>
        <v>#N/A</v>
      </c>
      <c r="E58" t="e">
        <f>IF(ISNUMBER(K58),IF('Lab test'!P49&gt;0,'Lab test'!P49,NA()),NA())</f>
        <v>#N/A</v>
      </c>
      <c r="F58" t="e">
        <f>IF(ISNUMBER(K58),IF('Lab test'!AJ49&gt;0,'Lab test'!AJ49,NA()),NA())</f>
        <v>#N/A</v>
      </c>
      <c r="G58">
        <f>IF('Lab test'!V49&gt;0,'Lab test'!V49,NA())</f>
        <v>216213</v>
      </c>
      <c r="H58">
        <f>IF(MAX('Lab test'!W49,'Lab test'!X49)&gt;0,MAX('Lab test'!W49,'Lab test'!X49),NA())</f>
        <v>768</v>
      </c>
      <c r="I58">
        <f>IF('Lab test'!AU49&gt;0,'Lab test'!AU49,NA())</f>
        <v>0.84251726963721796</v>
      </c>
      <c r="J58">
        <f>IF('Lab test'!AT49&gt;0,'Lab test'!AT49,NA())</f>
        <v>0.24723477503242589</v>
      </c>
      <c r="K58" t="e">
        <f t="shared" si="28"/>
        <v>#N/A</v>
      </c>
      <c r="L58" t="str">
        <f>'Lab test'!AC49</f>
        <v>LTWa</v>
      </c>
      <c r="N58">
        <v>46</v>
      </c>
      <c r="O58">
        <v>149.15434293600001</v>
      </c>
      <c r="P58">
        <v>0.21764189085499999</v>
      </c>
      <c r="Q58">
        <f t="shared" si="29"/>
        <v>685.32001054600016</v>
      </c>
      <c r="R58">
        <v>268.276889896</v>
      </c>
      <c r="S58">
        <f t="shared" si="30"/>
        <v>6.8706947349716524E-2</v>
      </c>
      <c r="T58">
        <v>1.10068733275E-2</v>
      </c>
      <c r="U58">
        <f t="shared" si="0"/>
        <v>0.20535714285714285</v>
      </c>
      <c r="W58">
        <v>46</v>
      </c>
      <c r="X58">
        <v>60.325000000000003</v>
      </c>
      <c r="Y58">
        <f t="shared" si="40"/>
        <v>0.2822085889570552</v>
      </c>
      <c r="Z58" t="e">
        <f t="shared" si="2"/>
        <v>#N/A</v>
      </c>
      <c r="AB58" t="e">
        <f t="shared" si="41"/>
        <v>#N/A</v>
      </c>
      <c r="AC58">
        <f t="shared" si="4"/>
        <v>60.325000000000003</v>
      </c>
      <c r="AE58" t="e">
        <v>#N/A</v>
      </c>
      <c r="AF58">
        <v>47.625</v>
      </c>
      <c r="AJ58">
        <f t="shared" si="6"/>
        <v>0.20535714285714285</v>
      </c>
      <c r="AK58">
        <v>50.552202328299998</v>
      </c>
      <c r="AL58">
        <f t="shared" si="7"/>
        <v>0.63155426990000052</v>
      </c>
      <c r="AM58">
        <f t="shared" si="32"/>
        <v>4.4642857142856984E-3</v>
      </c>
      <c r="AO58">
        <v>46</v>
      </c>
      <c r="AP58">
        <v>318.64406779661022</v>
      </c>
      <c r="AQ58">
        <f t="shared" si="45"/>
        <v>0.2822085889570552</v>
      </c>
      <c r="AR58">
        <f t="shared" si="8"/>
        <v>0.2822085889570552</v>
      </c>
      <c r="AT58">
        <f t="shared" si="9"/>
        <v>0.2822085889570552</v>
      </c>
      <c r="AU58">
        <f t="shared" si="10"/>
        <v>318.64406779661022</v>
      </c>
      <c r="AW58">
        <v>0.58895705521472397</v>
      </c>
      <c r="AX58">
        <v>594</v>
      </c>
      <c r="AY58">
        <f t="shared" si="11"/>
        <v>35.242961165100496</v>
      </c>
      <c r="AZ58">
        <f t="shared" si="34"/>
        <v>1.2269938650306789E-2</v>
      </c>
      <c r="BB58">
        <f t="shared" si="12"/>
        <v>0.20535714285714285</v>
      </c>
      <c r="BC58">
        <v>295.88481130427022</v>
      </c>
      <c r="BD58">
        <f t="shared" si="13"/>
        <v>0.81173071596788304</v>
      </c>
      <c r="BE58">
        <f t="shared" si="35"/>
        <v>4.4642857142856984E-3</v>
      </c>
      <c r="BF58">
        <v>46</v>
      </c>
      <c r="BG58">
        <v>5.8553319684838241E-2</v>
      </c>
      <c r="BH58">
        <f t="shared" si="42"/>
        <v>0.31292517006802723</v>
      </c>
      <c r="BI58">
        <f t="shared" si="15"/>
        <v>0.31292517006802723</v>
      </c>
      <c r="BK58">
        <f t="shared" si="16"/>
        <v>0.31292517006802723</v>
      </c>
      <c r="BL58">
        <f t="shared" si="17"/>
        <v>5.8553319684838241E-2</v>
      </c>
      <c r="BN58">
        <v>0.46258503401360546</v>
      </c>
      <c r="BO58">
        <v>7.7685470823309941E-2</v>
      </c>
      <c r="BP58">
        <f t="shared" si="18"/>
        <v>2.0443544953502729E-3</v>
      </c>
      <c r="BQ58">
        <f t="shared" si="36"/>
        <v>6.8027210884353817E-3</v>
      </c>
      <c r="BS58">
        <f t="shared" si="19"/>
        <v>0.20535714285714285</v>
      </c>
      <c r="BT58">
        <v>4.7985236224506365E-2</v>
      </c>
      <c r="BU58">
        <f t="shared" si="20"/>
        <v>5.5549790383181696E-4</v>
      </c>
      <c r="BV58">
        <f t="shared" si="37"/>
        <v>4.4642857142856984E-3</v>
      </c>
      <c r="BW58">
        <v>46</v>
      </c>
      <c r="BX58">
        <v>3.3156498673740049E-2</v>
      </c>
      <c r="BY58">
        <f t="shared" si="43"/>
        <v>0.34074074074074073</v>
      </c>
      <c r="BZ58" t="e">
        <f t="shared" si="22"/>
        <v>#N/A</v>
      </c>
      <c r="CB58" t="e">
        <f t="shared" si="44"/>
        <v>#N/A</v>
      </c>
      <c r="CC58">
        <f t="shared" si="24"/>
        <v>3.3156498673740049E-2</v>
      </c>
      <c r="CE58" t="e">
        <v>#N/A</v>
      </c>
      <c r="CF58">
        <v>2.7777777777777776E-2</v>
      </c>
      <c r="CJ58">
        <f t="shared" si="26"/>
        <v>0.20535714285714285</v>
      </c>
      <c r="CK58">
        <v>1.5398848990599999E-2</v>
      </c>
      <c r="CL58">
        <f t="shared" si="27"/>
        <v>1.5673805710000009E-4</v>
      </c>
      <c r="CM58">
        <f t="shared" si="39"/>
        <v>4.4642857142856984E-3</v>
      </c>
    </row>
    <row r="59" spans="2:91">
      <c r="B59">
        <v>47</v>
      </c>
      <c r="C59" t="e">
        <f>IF(ISNUMBER(K59),IF('Lab test'!N50&gt;0,'Lab test'!N50,NA()),NA())</f>
        <v>#N/A</v>
      </c>
      <c r="D59" t="e">
        <f>IF(ISNUMBER(K59),IF('Lab test'!Q50&gt;0,'Lab test'!Q50,NA()),NA())</f>
        <v>#N/A</v>
      </c>
      <c r="E59" t="e">
        <f>IF(ISNUMBER(K59),IF('Lab test'!P50&gt;0,'Lab test'!P50,NA()),NA())</f>
        <v>#N/A</v>
      </c>
      <c r="F59" t="e">
        <f>IF(ISNUMBER(K59),IF('Lab test'!AJ50&gt;0,'Lab test'!AJ50,NA()),NA())</f>
        <v>#N/A</v>
      </c>
      <c r="G59">
        <f>IF('Lab test'!V50&gt;0,'Lab test'!V50,NA())</f>
        <v>193000</v>
      </c>
      <c r="H59">
        <f>IF(MAX('Lab test'!W50,'Lab test'!X50)&gt;0,MAX('Lab test'!W50,'Lab test'!X50),NA())</f>
        <v>215</v>
      </c>
      <c r="I59">
        <f>IF('Lab test'!AU50&gt;0,'Lab test'!AU50,NA())</f>
        <v>0.41572751646701595</v>
      </c>
      <c r="J59">
        <f>IF('Lab test'!AT50&gt;0,'Lab test'!AT50,NA())</f>
        <v>0.38259672626337743</v>
      </c>
      <c r="K59" t="e">
        <f t="shared" si="28"/>
        <v>#N/A</v>
      </c>
      <c r="L59" t="str">
        <f>'Lab test'!AC50</f>
        <v>LTWa</v>
      </c>
      <c r="M59" s="145"/>
      <c r="N59">
        <v>47</v>
      </c>
      <c r="O59">
        <v>149.93641802100001</v>
      </c>
      <c r="P59">
        <v>0.30489719053499997</v>
      </c>
      <c r="Q59">
        <f t="shared" si="29"/>
        <v>491.76057594334702</v>
      </c>
      <c r="R59">
        <v>373.111848452</v>
      </c>
      <c r="S59">
        <f t="shared" si="30"/>
        <v>0.1122160699996741</v>
      </c>
      <c r="T59">
        <v>3.0607546668300002E-2</v>
      </c>
      <c r="U59">
        <f t="shared" si="0"/>
        <v>0.20982142857142858</v>
      </c>
      <c r="W59">
        <v>47</v>
      </c>
      <c r="X59">
        <v>60.325000000000003</v>
      </c>
      <c r="Y59">
        <f t="shared" si="40"/>
        <v>0.28834355828220859</v>
      </c>
      <c r="Z59" t="e">
        <f t="shared" si="2"/>
        <v>#N/A</v>
      </c>
      <c r="AB59" t="e">
        <f t="shared" si="41"/>
        <v>#N/A</v>
      </c>
      <c r="AC59">
        <f t="shared" si="4"/>
        <v>60.325000000000003</v>
      </c>
      <c r="AE59" t="e">
        <v>#N/A</v>
      </c>
      <c r="AF59">
        <v>47.625</v>
      </c>
      <c r="AJ59">
        <f t="shared" si="6"/>
        <v>0.20982142857142858</v>
      </c>
      <c r="AK59">
        <v>51.183756598199999</v>
      </c>
      <c r="AL59">
        <f t="shared" si="7"/>
        <v>0.44739004619999889</v>
      </c>
      <c r="AM59">
        <f t="shared" si="32"/>
        <v>4.4642857142857262E-3</v>
      </c>
      <c r="AO59">
        <v>47</v>
      </c>
      <c r="AP59">
        <v>319.49152542372877</v>
      </c>
      <c r="AQ59">
        <f t="shared" si="45"/>
        <v>0.28834355828220859</v>
      </c>
      <c r="AR59">
        <f t="shared" si="8"/>
        <v>0.28834355828220859</v>
      </c>
      <c r="AT59">
        <f t="shared" si="9"/>
        <v>0.28834355828220859</v>
      </c>
      <c r="AU59">
        <f t="shared" si="10"/>
        <v>319.49152542372877</v>
      </c>
      <c r="AW59">
        <v>0.60122699386503065</v>
      </c>
      <c r="AX59">
        <v>629.2429611651005</v>
      </c>
      <c r="AY59">
        <f t="shared" si="11"/>
        <v>5.5317796485926465</v>
      </c>
      <c r="AZ59">
        <f t="shared" si="34"/>
        <v>1.2269938650306678E-2</v>
      </c>
      <c r="BB59">
        <f t="shared" si="12"/>
        <v>0.20982142857142858</v>
      </c>
      <c r="BC59">
        <v>296.6965420202381</v>
      </c>
      <c r="BD59">
        <f t="shared" si="13"/>
        <v>2.6852913017137325E-2</v>
      </c>
      <c r="BE59">
        <f t="shared" si="35"/>
        <v>4.4642857142857262E-3</v>
      </c>
      <c r="BF59">
        <v>47</v>
      </c>
      <c r="BG59">
        <v>5.9020779781345858E-2</v>
      </c>
      <c r="BH59">
        <f t="shared" si="42"/>
        <v>0.31972789115646261</v>
      </c>
      <c r="BI59">
        <f t="shared" si="15"/>
        <v>0.31972789115646261</v>
      </c>
      <c r="BK59">
        <f t="shared" si="16"/>
        <v>0.31972789115646261</v>
      </c>
      <c r="BL59">
        <f t="shared" si="17"/>
        <v>5.9020779781345858E-2</v>
      </c>
      <c r="BN59">
        <v>0.46938775510204084</v>
      </c>
      <c r="BO59">
        <v>7.9729825318660213E-2</v>
      </c>
      <c r="BP59">
        <f t="shared" si="18"/>
        <v>1.6244691183914944E-2</v>
      </c>
      <c r="BQ59">
        <f t="shared" si="36"/>
        <v>6.8027210884353817E-3</v>
      </c>
      <c r="BS59">
        <f t="shared" si="19"/>
        <v>0.20982142857142858</v>
      </c>
      <c r="BT59">
        <v>4.8540734128338182E-2</v>
      </c>
      <c r="BU59">
        <f t="shared" si="20"/>
        <v>1.9649211196679645E-4</v>
      </c>
      <c r="BV59">
        <f t="shared" si="37"/>
        <v>4.4642857142857262E-3</v>
      </c>
      <c r="BW59">
        <v>47</v>
      </c>
      <c r="BX59">
        <v>3.3156498673740049E-2</v>
      </c>
      <c r="BY59">
        <f t="shared" si="43"/>
        <v>0.34814814814814815</v>
      </c>
      <c r="BZ59" t="e">
        <f t="shared" si="22"/>
        <v>#N/A</v>
      </c>
      <c r="CB59" t="e">
        <f t="shared" si="44"/>
        <v>#N/A</v>
      </c>
      <c r="CC59">
        <f t="shared" si="24"/>
        <v>3.3156498673740049E-2</v>
      </c>
      <c r="CE59" t="e">
        <v>#N/A</v>
      </c>
      <c r="CF59">
        <v>2.7777777777777776E-2</v>
      </c>
      <c r="CJ59">
        <f t="shared" si="26"/>
        <v>0.20982142857142858</v>
      </c>
      <c r="CK59">
        <v>1.5555587047699999E-2</v>
      </c>
      <c r="CL59">
        <f t="shared" si="27"/>
        <v>2.0696574630000089E-4</v>
      </c>
      <c r="CM59">
        <f t="shared" si="39"/>
        <v>4.4642857142857262E-3</v>
      </c>
    </row>
    <row r="60" spans="2:91">
      <c r="B60">
        <v>48</v>
      </c>
      <c r="C60">
        <f>IF(ISNUMBER(K60),IF('Lab test'!N51&gt;0,'Lab test'!N51,NA()),NA())</f>
        <v>350</v>
      </c>
      <c r="D60">
        <f>IF(ISNUMBER(K60),IF('Lab test'!Q51&gt;0,'Lab test'!Q51,NA()),NA())</f>
        <v>437.5</v>
      </c>
      <c r="E60">
        <f>IF(ISNUMBER(K60),IF('Lab test'!P51&gt;0,'Lab test'!P51,NA()),NA())</f>
        <v>6.146889990862596E-2</v>
      </c>
      <c r="F60" t="e">
        <f>IF(ISNUMBER(K60),IF('Lab test'!AJ51&gt;0,'Lab test'!AJ51,NA()),NA())</f>
        <v>#N/A</v>
      </c>
      <c r="G60">
        <f>IF('Lab test'!V51&gt;0,'Lab test'!V51,NA())</f>
        <v>205000</v>
      </c>
      <c r="H60">
        <f>IF(MAX('Lab test'!W51,'Lab test'!X51)&gt;0,MAX('Lab test'!W51,'Lab test'!X51),NA())</f>
        <v>310</v>
      </c>
      <c r="I60">
        <f>IF('Lab test'!AU51&gt;0,'Lab test'!AU51,NA())</f>
        <v>0.29887391387072509</v>
      </c>
      <c r="J60">
        <f>IF('Lab test'!AT51&gt;0,'Lab test'!AT51,NA())</f>
        <v>0.32670458130080182</v>
      </c>
      <c r="K60">
        <f t="shared" si="28"/>
        <v>1</v>
      </c>
      <c r="L60" t="str">
        <f>'Lab test'!AC51</f>
        <v>LTWb</v>
      </c>
      <c r="N60">
        <v>48</v>
      </c>
      <c r="O60">
        <v>150.43963798600001</v>
      </c>
      <c r="P60">
        <v>0.16413723083199999</v>
      </c>
      <c r="Q60">
        <f t="shared" si="29"/>
        <v>916.54792287790008</v>
      </c>
      <c r="R60">
        <v>268.98608062699998</v>
      </c>
      <c r="S60">
        <f t="shared" si="30"/>
        <v>5.9059523467783988E-2</v>
      </c>
      <c r="T60">
        <v>6.6587685145700001E-2</v>
      </c>
      <c r="U60">
        <f t="shared" si="0"/>
        <v>0.21428571428571427</v>
      </c>
      <c r="W60">
        <v>48</v>
      </c>
      <c r="X60">
        <v>60.325000000000003</v>
      </c>
      <c r="Y60">
        <f t="shared" si="40"/>
        <v>0.29447852760736198</v>
      </c>
      <c r="Z60" t="e">
        <f t="shared" si="2"/>
        <v>#N/A</v>
      </c>
      <c r="AB60" t="e">
        <f t="shared" si="41"/>
        <v>#N/A</v>
      </c>
      <c r="AC60">
        <f t="shared" si="4"/>
        <v>60.325000000000003</v>
      </c>
      <c r="AE60" t="e">
        <v>#N/A</v>
      </c>
      <c r="AF60">
        <v>47.625</v>
      </c>
      <c r="AJ60">
        <f t="shared" si="6"/>
        <v>0.21428571428571427</v>
      </c>
      <c r="AK60">
        <v>51.631146644399998</v>
      </c>
      <c r="AL60">
        <f t="shared" si="7"/>
        <v>0.22349588520000196</v>
      </c>
      <c r="AM60">
        <f t="shared" si="32"/>
        <v>4.4642857142856984E-3</v>
      </c>
      <c r="AO60">
        <v>48</v>
      </c>
      <c r="AP60">
        <v>331.86619718309862</v>
      </c>
      <c r="AQ60">
        <f t="shared" si="45"/>
        <v>0.29447852760736198</v>
      </c>
      <c r="AR60">
        <f t="shared" si="8"/>
        <v>0.29447852760736198</v>
      </c>
      <c r="AT60">
        <f t="shared" si="9"/>
        <v>0.29447852760736198</v>
      </c>
      <c r="AU60">
        <f t="shared" si="10"/>
        <v>331.86619718309862</v>
      </c>
      <c r="AW60">
        <v>0.6073619631901841</v>
      </c>
      <c r="AX60">
        <v>634.77474081369314</v>
      </c>
      <c r="AY60">
        <f t="shared" si="11"/>
        <v>0.81847952528994483</v>
      </c>
      <c r="AZ60">
        <f t="shared" si="34"/>
        <v>6.1349693251534498E-3</v>
      </c>
      <c r="BB60">
        <f t="shared" si="12"/>
        <v>0.21428571428571427</v>
      </c>
      <c r="BC60">
        <v>296.72339493325524</v>
      </c>
      <c r="BD60">
        <f t="shared" si="13"/>
        <v>0.74858729832232029</v>
      </c>
      <c r="BE60">
        <f t="shared" si="35"/>
        <v>4.4642857142856984E-3</v>
      </c>
      <c r="BF60">
        <v>48</v>
      </c>
      <c r="BG60">
        <v>5.9277391867351717E-2</v>
      </c>
      <c r="BH60">
        <f t="shared" si="42"/>
        <v>0.32653061224489793</v>
      </c>
      <c r="BI60" t="e">
        <f t="shared" si="15"/>
        <v>#N/A</v>
      </c>
      <c r="BK60" t="e">
        <f t="shared" si="16"/>
        <v>#N/A</v>
      </c>
      <c r="BL60">
        <f t="shared" si="17"/>
        <v>5.9277391867351717E-2</v>
      </c>
      <c r="BN60">
        <v>0.47619047619047616</v>
      </c>
      <c r="BO60">
        <v>9.5974516502575158E-2</v>
      </c>
      <c r="BP60">
        <f t="shared" si="18"/>
        <v>1.9694499449169206E-3</v>
      </c>
      <c r="BQ60">
        <f t="shared" si="36"/>
        <v>6.8027210884353262E-3</v>
      </c>
      <c r="BS60">
        <f t="shared" si="19"/>
        <v>0.21428571428571427</v>
      </c>
      <c r="BT60">
        <v>4.8737226240304979E-2</v>
      </c>
      <c r="BU60">
        <f t="shared" si="20"/>
        <v>1.0827600258682887E-3</v>
      </c>
      <c r="BV60">
        <f t="shared" si="37"/>
        <v>4.4642857142856984E-3</v>
      </c>
      <c r="BW60">
        <v>48</v>
      </c>
      <c r="BX60">
        <v>3.3156498673740049E-2</v>
      </c>
      <c r="BY60">
        <f t="shared" si="43"/>
        <v>0.35555555555555557</v>
      </c>
      <c r="BZ60" t="e">
        <f t="shared" si="22"/>
        <v>#N/A</v>
      </c>
      <c r="CB60" t="e">
        <f t="shared" si="44"/>
        <v>#N/A</v>
      </c>
      <c r="CC60">
        <f t="shared" si="24"/>
        <v>3.3156498673740049E-2</v>
      </c>
      <c r="CE60" t="e">
        <v>#N/A</v>
      </c>
      <c r="CF60">
        <v>2.7777777777777776E-2</v>
      </c>
      <c r="CJ60">
        <f t="shared" si="26"/>
        <v>0.21428571428571427</v>
      </c>
      <c r="CK60">
        <v>1.5762552794E-2</v>
      </c>
      <c r="CL60">
        <f t="shared" si="27"/>
        <v>4.3816286210000138E-4</v>
      </c>
      <c r="CM60">
        <f t="shared" si="39"/>
        <v>4.4642857142856984E-3</v>
      </c>
    </row>
    <row r="61" spans="2:91">
      <c r="B61">
        <v>49</v>
      </c>
      <c r="C61">
        <f>IF(ISNUMBER(K61),IF('Lab test'!N52&gt;0,'Lab test'!N52,NA()),NA())</f>
        <v>350</v>
      </c>
      <c r="D61">
        <f>IF(ISNUMBER(K61),IF('Lab test'!Q52&gt;0,'Lab test'!Q52,NA()),NA())</f>
        <v>437.5</v>
      </c>
      <c r="E61">
        <f>IF(ISNUMBER(K61),IF('Lab test'!P52&gt;0,'Lab test'!P52,NA()),NA())</f>
        <v>6.146889990862596E-2</v>
      </c>
      <c r="F61" t="e">
        <f>IF(ISNUMBER(K61),IF('Lab test'!AJ52&gt;0,'Lab test'!AJ52,NA()),NA())</f>
        <v>#N/A</v>
      </c>
      <c r="G61">
        <f>IF('Lab test'!V52&gt;0,'Lab test'!V52,NA())</f>
        <v>205000</v>
      </c>
      <c r="H61">
        <f>IF(MAX('Lab test'!W52,'Lab test'!X52)&gt;0,MAX('Lab test'!W52,'Lab test'!X52),NA())</f>
        <v>310</v>
      </c>
      <c r="I61">
        <f>IF('Lab test'!AU52&gt;0,'Lab test'!AU52,NA())</f>
        <v>0.24918383371184996</v>
      </c>
      <c r="J61">
        <f>IF('Lab test'!AT52&gt;0,'Lab test'!AT52,NA())</f>
        <v>0.2723874392563127</v>
      </c>
      <c r="K61">
        <f t="shared" si="28"/>
        <v>1</v>
      </c>
      <c r="L61" t="str">
        <f>'Lab test'!AC52</f>
        <v>LTWb</v>
      </c>
      <c r="N61">
        <v>49</v>
      </c>
      <c r="O61">
        <v>150.69951531199999</v>
      </c>
      <c r="P61">
        <v>0.19497103833400001</v>
      </c>
      <c r="Q61">
        <f t="shared" si="29"/>
        <v>772.93282427844701</v>
      </c>
      <c r="R61">
        <v>201.04365357399999</v>
      </c>
      <c r="S61">
        <f t="shared" si="30"/>
        <v>4.7985236224506365E-2</v>
      </c>
      <c r="T61">
        <v>3.3299253104899999E-2</v>
      </c>
      <c r="U61">
        <f t="shared" si="0"/>
        <v>0.21875</v>
      </c>
      <c r="W61">
        <v>49</v>
      </c>
      <c r="X61">
        <v>60.325000000000003</v>
      </c>
      <c r="Y61">
        <f t="shared" si="40"/>
        <v>0.30061349693251532</v>
      </c>
      <c r="Z61" t="e">
        <f t="shared" si="2"/>
        <v>#N/A</v>
      </c>
      <c r="AB61" t="e">
        <f t="shared" si="41"/>
        <v>#N/A</v>
      </c>
      <c r="AC61">
        <f t="shared" si="4"/>
        <v>60.325000000000003</v>
      </c>
      <c r="AE61" t="e">
        <v>#N/A</v>
      </c>
      <c r="AF61">
        <v>47.625</v>
      </c>
      <c r="AJ61">
        <f t="shared" si="6"/>
        <v>0.21875</v>
      </c>
      <c r="AK61">
        <v>51.8546425296</v>
      </c>
      <c r="AL61">
        <f t="shared" si="7"/>
        <v>0.66711486820000232</v>
      </c>
      <c r="AM61">
        <f t="shared" si="32"/>
        <v>4.4642857142857262E-3</v>
      </c>
      <c r="AO61">
        <v>49</v>
      </c>
      <c r="AP61">
        <v>336.60714285714289</v>
      </c>
      <c r="AQ61">
        <f t="shared" si="45"/>
        <v>0.30061349693251532</v>
      </c>
      <c r="AR61">
        <f t="shared" si="8"/>
        <v>0.30061349693251532</v>
      </c>
      <c r="AT61">
        <f t="shared" si="9"/>
        <v>0.30061349693251532</v>
      </c>
      <c r="AU61">
        <f t="shared" si="10"/>
        <v>336.60714285714289</v>
      </c>
      <c r="AW61">
        <v>0.61963190184049077</v>
      </c>
      <c r="AX61">
        <v>635.59322033898309</v>
      </c>
      <c r="AY61">
        <f t="shared" si="11"/>
        <v>4.7375092246097665</v>
      </c>
      <c r="AZ61">
        <f t="shared" si="34"/>
        <v>1.2269938650306678E-2</v>
      </c>
      <c r="BB61">
        <f t="shared" si="12"/>
        <v>0.21875</v>
      </c>
      <c r="BC61">
        <v>297.47198223157756</v>
      </c>
      <c r="BD61">
        <f t="shared" si="13"/>
        <v>0.10065151852040799</v>
      </c>
      <c r="BE61">
        <f t="shared" si="35"/>
        <v>4.4642857142857262E-3</v>
      </c>
      <c r="BF61">
        <v>49</v>
      </c>
      <c r="BG61">
        <v>5.9277391867351717E-2</v>
      </c>
      <c r="BH61">
        <f t="shared" si="42"/>
        <v>0.33333333333333331</v>
      </c>
      <c r="BI61">
        <f t="shared" si="15"/>
        <v>0.33333333333333331</v>
      </c>
      <c r="BK61">
        <f t="shared" si="16"/>
        <v>0.33333333333333331</v>
      </c>
      <c r="BL61">
        <f t="shared" si="17"/>
        <v>5.9277391867351717E-2</v>
      </c>
      <c r="BN61">
        <v>0.48299319727891155</v>
      </c>
      <c r="BO61">
        <v>9.7943966447492078E-2</v>
      </c>
      <c r="BP61">
        <f t="shared" si="18"/>
        <v>1.2831087307531713E-3</v>
      </c>
      <c r="BQ61">
        <f t="shared" si="36"/>
        <v>6.8027210884353817E-3</v>
      </c>
      <c r="BS61">
        <f t="shared" si="19"/>
        <v>0.21875</v>
      </c>
      <c r="BT61">
        <v>4.9819986266173268E-2</v>
      </c>
      <c r="BU61">
        <f t="shared" si="20"/>
        <v>1.5691146472846043E-3</v>
      </c>
      <c r="BV61">
        <f t="shared" si="37"/>
        <v>4.4642857142857262E-3</v>
      </c>
      <c r="BW61">
        <v>49</v>
      </c>
      <c r="BX61">
        <v>3.3156498673740049E-2</v>
      </c>
      <c r="BY61">
        <f t="shared" si="43"/>
        <v>0.36296296296296299</v>
      </c>
      <c r="BZ61" t="e">
        <f t="shared" si="22"/>
        <v>#N/A</v>
      </c>
      <c r="CB61" t="e">
        <f t="shared" si="44"/>
        <v>#N/A</v>
      </c>
      <c r="CC61">
        <f t="shared" si="24"/>
        <v>3.3156498673740049E-2</v>
      </c>
      <c r="CE61" t="e">
        <v>#N/A</v>
      </c>
      <c r="CF61">
        <v>2.7777777777777776E-2</v>
      </c>
      <c r="CJ61">
        <f t="shared" si="26"/>
        <v>0.21875</v>
      </c>
      <c r="CK61">
        <v>1.6200715656100002E-2</v>
      </c>
      <c r="CL61">
        <f t="shared" si="27"/>
        <v>4.5128878499996888E-5</v>
      </c>
      <c r="CM61">
        <f t="shared" si="39"/>
        <v>4.4642857142857262E-3</v>
      </c>
    </row>
    <row r="62" spans="2:91">
      <c r="B62">
        <v>50</v>
      </c>
      <c r="C62">
        <f>IF(ISNUMBER(K62),IF('Lab test'!N53&gt;0,'Lab test'!N53,NA()),NA())</f>
        <v>350</v>
      </c>
      <c r="D62">
        <f>IF(ISNUMBER(K62),IF('Lab test'!Q53&gt;0,'Lab test'!Q53,NA()),NA())</f>
        <v>437.5</v>
      </c>
      <c r="E62">
        <f>IF(ISNUMBER(K62),IF('Lab test'!P53&gt;0,'Lab test'!P53,NA()),NA())</f>
        <v>6.146889990862596E-2</v>
      </c>
      <c r="F62" t="e">
        <f>IF(ISNUMBER(K62),IF('Lab test'!AJ53&gt;0,'Lab test'!AJ53,NA()),NA())</f>
        <v>#N/A</v>
      </c>
      <c r="G62">
        <f>IF('Lab test'!V53&gt;0,'Lab test'!V53,NA())</f>
        <v>205000</v>
      </c>
      <c r="H62">
        <f>IF(MAX('Lab test'!W53,'Lab test'!X53)&gt;0,MAX('Lab test'!W53,'Lab test'!X53),NA())</f>
        <v>310</v>
      </c>
      <c r="I62">
        <f>IF('Lab test'!AU53&gt;0,'Lab test'!AU53,NA())</f>
        <v>0.25780167049217145</v>
      </c>
      <c r="J62">
        <f>IF('Lab test'!AT53&gt;0,'Lab test'!AT53,NA())</f>
        <v>0.2818077554042499</v>
      </c>
      <c r="K62">
        <f t="shared" si="28"/>
        <v>1</v>
      </c>
      <c r="L62" t="str">
        <f>'Lab test'!AC53</f>
        <v>LTWb</v>
      </c>
      <c r="N62">
        <v>50</v>
      </c>
      <c r="O62">
        <v>151.10829291799999</v>
      </c>
      <c r="P62">
        <v>0.116183270799</v>
      </c>
      <c r="Q62">
        <f t="shared" si="29"/>
        <v>1300.6028482312327</v>
      </c>
      <c r="R62">
        <v>419.57114315500002</v>
      </c>
      <c r="S62">
        <f t="shared" si="30"/>
        <v>7.6991886546120658E-2</v>
      </c>
      <c r="T62">
        <v>2.9696552738600002E-2</v>
      </c>
      <c r="U62">
        <f t="shared" si="0"/>
        <v>0.22321428571428573</v>
      </c>
      <c r="W62">
        <v>50</v>
      </c>
      <c r="X62">
        <v>60.325000000000003</v>
      </c>
      <c r="Y62">
        <f t="shared" si="40"/>
        <v>0.30674846625766872</v>
      </c>
      <c r="Z62" t="e">
        <f t="shared" si="2"/>
        <v>#N/A</v>
      </c>
      <c r="AB62" t="e">
        <f t="shared" si="41"/>
        <v>#N/A</v>
      </c>
      <c r="AC62">
        <f t="shared" si="4"/>
        <v>60.325000000000003</v>
      </c>
      <c r="AE62" t="e">
        <v>#N/A</v>
      </c>
      <c r="AF62">
        <v>47.625</v>
      </c>
      <c r="AJ62">
        <f t="shared" si="6"/>
        <v>0.22321428571428573</v>
      </c>
      <c r="AK62">
        <v>52.521757397800002</v>
      </c>
      <c r="AL62">
        <f t="shared" si="7"/>
        <v>0.11411332069999958</v>
      </c>
      <c r="AM62">
        <f t="shared" si="32"/>
        <v>4.4642857142857262E-3</v>
      </c>
      <c r="AO62">
        <v>50</v>
      </c>
      <c r="AP62">
        <v>343.978102189781</v>
      </c>
      <c r="AQ62">
        <f t="shared" si="45"/>
        <v>0.30674846625766872</v>
      </c>
      <c r="AR62">
        <f t="shared" si="8"/>
        <v>0.30674846625766872</v>
      </c>
      <c r="AT62">
        <f t="shared" si="9"/>
        <v>0.30674846625766872</v>
      </c>
      <c r="AU62">
        <f t="shared" si="10"/>
        <v>343.978102189781</v>
      </c>
      <c r="AW62">
        <v>0.6380368098159509</v>
      </c>
      <c r="AX62">
        <v>640.33072956359285</v>
      </c>
      <c r="AY62">
        <f t="shared" si="11"/>
        <v>1.7925581076400476</v>
      </c>
      <c r="AZ62">
        <f t="shared" si="34"/>
        <v>1.8404907975460127E-2</v>
      </c>
      <c r="BB62">
        <f t="shared" si="12"/>
        <v>0.22321428571428573</v>
      </c>
      <c r="BC62">
        <v>297.57263375009796</v>
      </c>
      <c r="BD62">
        <f t="shared" si="13"/>
        <v>0.10957323560683108</v>
      </c>
      <c r="BE62">
        <f t="shared" si="35"/>
        <v>4.4642857142857262E-3</v>
      </c>
      <c r="BF62">
        <v>50</v>
      </c>
      <c r="BG62">
        <v>6.146889990862596E-2</v>
      </c>
      <c r="BH62">
        <f t="shared" si="42"/>
        <v>0.3401360544217687</v>
      </c>
      <c r="BI62" t="e">
        <f t="shared" si="15"/>
        <v>#N/A</v>
      </c>
      <c r="BK62" t="e">
        <f t="shared" si="16"/>
        <v>#N/A</v>
      </c>
      <c r="BL62">
        <f t="shared" si="17"/>
        <v>6.146889990862596E-2</v>
      </c>
      <c r="BN62">
        <v>0.48979591836734693</v>
      </c>
      <c r="BO62">
        <v>9.922707517824525E-2</v>
      </c>
      <c r="BP62">
        <f t="shared" si="18"/>
        <v>7.7292482175475574E-4</v>
      </c>
      <c r="BQ62">
        <f t="shared" si="36"/>
        <v>6.8027210884353817E-3</v>
      </c>
      <c r="BS62">
        <f t="shared" si="19"/>
        <v>0.22321428571428573</v>
      </c>
      <c r="BT62">
        <v>5.1389100913457872E-2</v>
      </c>
      <c r="BU62">
        <f t="shared" si="20"/>
        <v>1.2467776590747298E-3</v>
      </c>
      <c r="BV62">
        <f t="shared" si="37"/>
        <v>4.4642857142857262E-3</v>
      </c>
      <c r="BW62">
        <v>50</v>
      </c>
      <c r="BX62">
        <v>3.3156498673740049E-2</v>
      </c>
      <c r="BY62">
        <f t="shared" si="43"/>
        <v>0.37037037037037035</v>
      </c>
      <c r="BZ62" t="e">
        <f t="shared" si="22"/>
        <v>#N/A</v>
      </c>
      <c r="CB62" t="e">
        <f t="shared" si="44"/>
        <v>#N/A</v>
      </c>
      <c r="CC62">
        <f t="shared" si="24"/>
        <v>3.3156498673740049E-2</v>
      </c>
      <c r="CE62" t="e">
        <v>#N/A</v>
      </c>
      <c r="CF62">
        <v>2.7777777777777776E-2</v>
      </c>
      <c r="CJ62">
        <f t="shared" si="26"/>
        <v>0.22321428571428573</v>
      </c>
      <c r="CK62">
        <v>1.6245844534599999E-2</v>
      </c>
      <c r="CL62">
        <f t="shared" si="27"/>
        <v>7.9493746480000307E-4</v>
      </c>
      <c r="CM62">
        <f t="shared" si="39"/>
        <v>4.4642857142857262E-3</v>
      </c>
    </row>
    <row r="63" spans="2:91">
      <c r="B63">
        <v>51</v>
      </c>
      <c r="C63">
        <f>IF(ISNUMBER(K63),IF('Lab test'!N54&gt;0,'Lab test'!N54,NA()),NA())</f>
        <v>350</v>
      </c>
      <c r="D63">
        <f>IF(ISNUMBER(K63),IF('Lab test'!Q54&gt;0,'Lab test'!Q54,NA()),NA())</f>
        <v>437.5</v>
      </c>
      <c r="E63">
        <f>IF(ISNUMBER(K63),IF('Lab test'!P54&gt;0,'Lab test'!P54,NA()),NA())</f>
        <v>6.146889990862596E-2</v>
      </c>
      <c r="F63" t="e">
        <f>IF(ISNUMBER(K63),IF('Lab test'!AJ54&gt;0,'Lab test'!AJ54,NA()),NA())</f>
        <v>#N/A</v>
      </c>
      <c r="G63">
        <f>IF('Lab test'!V54&gt;0,'Lab test'!V54,NA())</f>
        <v>205000</v>
      </c>
      <c r="H63">
        <f>IF(MAX('Lab test'!W54,'Lab test'!X54)&gt;0,MAX('Lab test'!W54,'Lab test'!X54),NA())</f>
        <v>310</v>
      </c>
      <c r="I63">
        <f>IF('Lab test'!AU54&gt;0,'Lab test'!AU54,NA())</f>
        <v>0.25670152111596023</v>
      </c>
      <c r="J63">
        <f>IF('Lab test'!AT54&gt;0,'Lab test'!AT54,NA())</f>
        <v>0.28060516185344947</v>
      </c>
      <c r="K63">
        <f t="shared" si="28"/>
        <v>1</v>
      </c>
      <c r="L63" t="str">
        <f>'Lab test'!AC54</f>
        <v>LTWb</v>
      </c>
      <c r="N63">
        <v>51</v>
      </c>
      <c r="O63">
        <v>153.38768654200001</v>
      </c>
      <c r="P63">
        <v>0.42644600575899999</v>
      </c>
      <c r="Q63">
        <f t="shared" si="29"/>
        <v>359.68841182835445</v>
      </c>
      <c r="R63">
        <v>132.46917504800001</v>
      </c>
      <c r="S63">
        <f t="shared" si="30"/>
        <v>4.5536653530669408E-2</v>
      </c>
      <c r="T63">
        <v>6.6511185993500005E-2</v>
      </c>
      <c r="U63">
        <f t="shared" si="0"/>
        <v>0.22767857142857142</v>
      </c>
      <c r="W63">
        <v>51</v>
      </c>
      <c r="X63">
        <v>60.325000000000003</v>
      </c>
      <c r="Y63">
        <f t="shared" si="40"/>
        <v>0.31288343558282211</v>
      </c>
      <c r="Z63">
        <f t="shared" si="2"/>
        <v>0.31288343558282211</v>
      </c>
      <c r="AB63">
        <f t="shared" si="41"/>
        <v>0.31288343558282211</v>
      </c>
      <c r="AC63">
        <f t="shared" si="4"/>
        <v>60.325000000000003</v>
      </c>
      <c r="AE63" t="e">
        <v>#N/A</v>
      </c>
      <c r="AF63">
        <v>47.625</v>
      </c>
      <c r="AJ63">
        <f t="shared" si="6"/>
        <v>0.22767857142857142</v>
      </c>
      <c r="AK63">
        <v>52.635870718500001</v>
      </c>
      <c r="AL63">
        <f t="shared" si="7"/>
        <v>0.92181650819999561</v>
      </c>
      <c r="AM63">
        <f t="shared" si="32"/>
        <v>4.4642857142856984E-3</v>
      </c>
      <c r="AO63">
        <v>51</v>
      </c>
      <c r="AP63">
        <v>345.71807121107321</v>
      </c>
      <c r="AQ63">
        <f t="shared" si="45"/>
        <v>0.31288343558282211</v>
      </c>
      <c r="AR63">
        <f t="shared" si="8"/>
        <v>0.31288343558282211</v>
      </c>
      <c r="AT63">
        <f t="shared" si="9"/>
        <v>0.31288343558282211</v>
      </c>
      <c r="AU63">
        <f t="shared" si="10"/>
        <v>345.71807121107321</v>
      </c>
      <c r="AW63">
        <v>0.64417177914110424</v>
      </c>
      <c r="AX63">
        <v>642.1232876712329</v>
      </c>
      <c r="AY63">
        <f t="shared" si="11"/>
        <v>3.7876397435665012</v>
      </c>
      <c r="AZ63">
        <f t="shared" si="34"/>
        <v>6.1349693251533388E-3</v>
      </c>
      <c r="BB63">
        <f t="shared" si="12"/>
        <v>0.22767857142857142</v>
      </c>
      <c r="BC63">
        <v>297.68220698570479</v>
      </c>
      <c r="BD63">
        <f t="shared" si="13"/>
        <v>6.0913798126875918E-2</v>
      </c>
      <c r="BE63">
        <f t="shared" si="35"/>
        <v>4.4642857142856984E-3</v>
      </c>
      <c r="BF63">
        <v>51</v>
      </c>
      <c r="BG63">
        <v>6.146889990862596E-2</v>
      </c>
      <c r="BH63">
        <f t="shared" si="42"/>
        <v>0.34693877551020408</v>
      </c>
      <c r="BI63" t="e">
        <f t="shared" si="15"/>
        <v>#N/A</v>
      </c>
      <c r="BK63" t="e">
        <f t="shared" si="16"/>
        <v>#N/A</v>
      </c>
      <c r="BL63">
        <f t="shared" si="17"/>
        <v>6.146889990862596E-2</v>
      </c>
      <c r="BN63">
        <v>0.50340136054421769</v>
      </c>
      <c r="BO63">
        <v>0.1</v>
      </c>
      <c r="BP63">
        <f t="shared" si="18"/>
        <v>3.2795558988644447E-3</v>
      </c>
      <c r="BQ63">
        <f t="shared" si="36"/>
        <v>1.3605442176870763E-2</v>
      </c>
      <c r="BS63">
        <f t="shared" si="19"/>
        <v>0.22767857142857142</v>
      </c>
      <c r="BT63">
        <v>5.2635878572532602E-2</v>
      </c>
      <c r="BU63">
        <f t="shared" si="20"/>
        <v>6.5777321728022198E-6</v>
      </c>
      <c r="BV63">
        <f t="shared" si="37"/>
        <v>4.4642857142856984E-3</v>
      </c>
      <c r="BW63">
        <v>51</v>
      </c>
      <c r="BX63">
        <v>3.3156498673740049E-2</v>
      </c>
      <c r="BY63">
        <f t="shared" si="43"/>
        <v>0.37777777777777777</v>
      </c>
      <c r="BZ63" t="e">
        <f t="shared" si="22"/>
        <v>#N/A</v>
      </c>
      <c r="CB63" t="e">
        <f t="shared" si="44"/>
        <v>#N/A</v>
      </c>
      <c r="CC63">
        <f t="shared" si="24"/>
        <v>3.3156498673740049E-2</v>
      </c>
      <c r="CE63" t="e">
        <v>#N/A</v>
      </c>
      <c r="CF63">
        <v>2.7777777777777776E-2</v>
      </c>
      <c r="CJ63">
        <f t="shared" si="26"/>
        <v>0.22767857142857142</v>
      </c>
      <c r="CK63">
        <v>1.7040781999400002E-2</v>
      </c>
      <c r="CL63">
        <f t="shared" si="27"/>
        <v>1.2833558044999978E-3</v>
      </c>
      <c r="CM63">
        <f t="shared" si="39"/>
        <v>4.4642857142856984E-3</v>
      </c>
    </row>
    <row r="64" spans="2:91">
      <c r="B64">
        <v>52</v>
      </c>
      <c r="C64">
        <f>IF(ISNUMBER(K64),IF('Lab test'!N55&gt;0,'Lab test'!N55,NA()),NA())</f>
        <v>350</v>
      </c>
      <c r="D64">
        <f>IF(ISNUMBER(K64),IF('Lab test'!Q55&gt;0,'Lab test'!Q55,NA()),NA())</f>
        <v>350</v>
      </c>
      <c r="E64">
        <f>IF(ISNUMBER(K64),IF('Lab test'!P55&gt;0,'Lab test'!P55,NA()),NA())</f>
        <v>6.872431934890913E-2</v>
      </c>
      <c r="F64" t="e">
        <f>IF(ISNUMBER(K64),IF('Lab test'!AJ55&gt;0,'Lab test'!AJ55,NA()),NA())</f>
        <v>#N/A</v>
      </c>
      <c r="G64">
        <f>IF('Lab test'!V55&gt;0,'Lab test'!V55,NA())</f>
        <v>205000</v>
      </c>
      <c r="H64">
        <f>IF(MAX('Lab test'!W55,'Lab test'!X55)&gt;0,MAX('Lab test'!W55,'Lab test'!X55),NA())</f>
        <v>310</v>
      </c>
      <c r="I64">
        <f>IF('Lab test'!AU55&gt;0,'Lab test'!AU55,NA())</f>
        <v>0.35527490522448896</v>
      </c>
      <c r="J64">
        <f>IF('Lab test'!AT55&gt;0,'Lab test'!AT55,NA())</f>
        <v>0.31068603520413929</v>
      </c>
      <c r="K64">
        <f t="shared" si="28"/>
        <v>1</v>
      </c>
      <c r="L64" t="str">
        <f>'Lab test'!AC55</f>
        <v>LTWb</v>
      </c>
      <c r="N64">
        <v>52</v>
      </c>
      <c r="O64">
        <v>154.444564853</v>
      </c>
      <c r="P64">
        <v>0.43997227469400002</v>
      </c>
      <c r="Q64">
        <f t="shared" si="29"/>
        <v>351.03249394616046</v>
      </c>
      <c r="R64">
        <v>335.61757965599998</v>
      </c>
      <c r="S64">
        <f t="shared" si="30"/>
        <v>0.11598408800113842</v>
      </c>
      <c r="T64">
        <v>2.00504027351E-2</v>
      </c>
      <c r="U64">
        <f t="shared" si="0"/>
        <v>0.23214285714285715</v>
      </c>
      <c r="W64">
        <v>52</v>
      </c>
      <c r="X64">
        <v>72.009</v>
      </c>
      <c r="Y64">
        <f t="shared" si="40"/>
        <v>0.31901840490797545</v>
      </c>
      <c r="Z64" t="e">
        <f t="shared" si="2"/>
        <v>#N/A</v>
      </c>
      <c r="AB64" t="e">
        <f t="shared" si="41"/>
        <v>#N/A</v>
      </c>
      <c r="AC64">
        <f t="shared" si="4"/>
        <v>72.009</v>
      </c>
      <c r="AE64" t="e">
        <v>#N/A</v>
      </c>
      <c r="AF64">
        <v>47.625</v>
      </c>
      <c r="AJ64">
        <f t="shared" si="6"/>
        <v>0.23214285714285715</v>
      </c>
      <c r="AK64">
        <v>53.557687226699997</v>
      </c>
      <c r="AL64">
        <f t="shared" si="7"/>
        <v>0.52082077920000103</v>
      </c>
      <c r="AM64">
        <f t="shared" si="32"/>
        <v>4.4642857142857262E-3</v>
      </c>
      <c r="AO64">
        <v>52</v>
      </c>
      <c r="AP64">
        <v>346.50735294117646</v>
      </c>
      <c r="AQ64">
        <f t="shared" si="45"/>
        <v>0.31901840490797545</v>
      </c>
      <c r="AR64">
        <f t="shared" si="8"/>
        <v>0.31901840490797545</v>
      </c>
      <c r="AT64">
        <f t="shared" si="9"/>
        <v>0.31901840490797545</v>
      </c>
      <c r="AU64">
        <f t="shared" si="10"/>
        <v>346.50735294117646</v>
      </c>
      <c r="AW64">
        <v>0.65030674846625769</v>
      </c>
      <c r="AX64">
        <v>645.9109274147994</v>
      </c>
      <c r="AY64">
        <f t="shared" si="11"/>
        <v>5.6044069525129316</v>
      </c>
      <c r="AZ64">
        <f t="shared" si="34"/>
        <v>6.1349693251534498E-3</v>
      </c>
      <c r="BB64">
        <f t="shared" si="12"/>
        <v>0.23214285714285715</v>
      </c>
      <c r="BC64">
        <v>297.74312078383167</v>
      </c>
      <c r="BD64">
        <f t="shared" si="13"/>
        <v>7.8222235990324407E-2</v>
      </c>
      <c r="BE64">
        <f t="shared" si="35"/>
        <v>4.4642857142857262E-3</v>
      </c>
      <c r="BF64">
        <v>52</v>
      </c>
      <c r="BG64">
        <v>6.146889990862596E-2</v>
      </c>
      <c r="BH64">
        <f t="shared" si="42"/>
        <v>0.35374149659863946</v>
      </c>
      <c r="BI64" t="e">
        <f t="shared" si="15"/>
        <v>#N/A</v>
      </c>
      <c r="BK64" t="e">
        <f t="shared" si="16"/>
        <v>#N/A</v>
      </c>
      <c r="BL64">
        <f t="shared" si="17"/>
        <v>6.146889990862596E-2</v>
      </c>
      <c r="BN64">
        <v>0.51020408163265307</v>
      </c>
      <c r="BO64">
        <v>0.10327955589886445</v>
      </c>
      <c r="BP64">
        <f t="shared" si="18"/>
        <v>3.0452295464868939E-3</v>
      </c>
      <c r="BQ64">
        <f t="shared" si="36"/>
        <v>6.8027210884353817E-3</v>
      </c>
      <c r="BS64">
        <f t="shared" si="19"/>
        <v>0.23214285714285715</v>
      </c>
      <c r="BT64">
        <v>5.2642456304705404E-2</v>
      </c>
      <c r="BU64">
        <f t="shared" si="20"/>
        <v>1.6547140354352535E-4</v>
      </c>
      <c r="BV64">
        <f t="shared" si="37"/>
        <v>4.4642857142857262E-3</v>
      </c>
      <c r="BW64">
        <v>52</v>
      </c>
      <c r="BX64">
        <v>3.3156498673740049E-2</v>
      </c>
      <c r="BY64">
        <f t="shared" si="43"/>
        <v>0.38518518518518519</v>
      </c>
      <c r="BZ64" t="e">
        <f t="shared" si="22"/>
        <v>#N/A</v>
      </c>
      <c r="CB64" t="e">
        <f t="shared" si="44"/>
        <v>#N/A</v>
      </c>
      <c r="CC64">
        <f t="shared" si="24"/>
        <v>3.3156498673740049E-2</v>
      </c>
      <c r="CE64" t="e">
        <v>#N/A</v>
      </c>
      <c r="CF64">
        <v>3.3156498673740049E-2</v>
      </c>
      <c r="CJ64">
        <f t="shared" si="26"/>
        <v>0.23214285714285715</v>
      </c>
      <c r="CK64">
        <v>1.8324137803899999E-2</v>
      </c>
      <c r="CL64">
        <f t="shared" si="27"/>
        <v>4.5227436949999908E-4</v>
      </c>
      <c r="CM64">
        <f t="shared" si="39"/>
        <v>4.4642857142857262E-3</v>
      </c>
    </row>
    <row r="65" spans="2:91">
      <c r="B65">
        <v>53</v>
      </c>
      <c r="C65">
        <f>IF(ISNUMBER(K65),IF('Lab test'!N56&gt;0,'Lab test'!N56,NA()),NA())</f>
        <v>350</v>
      </c>
      <c r="D65">
        <f>IF(ISNUMBER(K65),IF('Lab test'!Q56&gt;0,'Lab test'!Q56,NA()),NA())</f>
        <v>350</v>
      </c>
      <c r="E65">
        <f>IF(ISNUMBER(K65),IF('Lab test'!P56&gt;0,'Lab test'!P56,NA()),NA())</f>
        <v>6.872431934890913E-2</v>
      </c>
      <c r="F65" t="e">
        <f>IF(ISNUMBER(K65),IF('Lab test'!AJ56&gt;0,'Lab test'!AJ56,NA()),NA())</f>
        <v>#N/A</v>
      </c>
      <c r="G65">
        <f>IF('Lab test'!V56&gt;0,'Lab test'!V56,NA())</f>
        <v>205000</v>
      </c>
      <c r="H65">
        <f>IF(MAX('Lab test'!W56,'Lab test'!X56)&gt;0,MAX('Lab test'!W56,'Lab test'!X56),NA())</f>
        <v>310</v>
      </c>
      <c r="I65">
        <f>IF('Lab test'!AU56&gt;0,'Lab test'!AU56,NA())</f>
        <v>0.34104630662549001</v>
      </c>
      <c r="J65">
        <f>IF('Lab test'!AT56&gt;0,'Lab test'!AT56,NA())</f>
        <v>0.29824320059852344</v>
      </c>
      <c r="K65">
        <f t="shared" si="28"/>
        <v>1</v>
      </c>
      <c r="L65" t="str">
        <f>'Lab test'!AC56</f>
        <v>LTWb</v>
      </c>
      <c r="N65">
        <v>53</v>
      </c>
      <c r="O65">
        <v>154.71006901800001</v>
      </c>
      <c r="P65">
        <v>0.41137862031200001</v>
      </c>
      <c r="Q65">
        <f t="shared" si="29"/>
        <v>376.07707688032974</v>
      </c>
      <c r="R65">
        <v>571.88802081799997</v>
      </c>
      <c r="S65">
        <f t="shared" si="30"/>
        <v>0.19061364597906982</v>
      </c>
      <c r="T65">
        <v>3.3321172699100003E-2</v>
      </c>
      <c r="U65">
        <f t="shared" si="0"/>
        <v>0.23660714285714285</v>
      </c>
      <c r="W65">
        <v>53</v>
      </c>
      <c r="X65">
        <v>72.009</v>
      </c>
      <c r="Y65">
        <f t="shared" si="40"/>
        <v>0.32515337423312884</v>
      </c>
      <c r="Z65" t="e">
        <f t="shared" si="2"/>
        <v>#N/A</v>
      </c>
      <c r="AB65" t="e">
        <f t="shared" si="41"/>
        <v>#N/A</v>
      </c>
      <c r="AC65">
        <f t="shared" si="4"/>
        <v>72.009</v>
      </c>
      <c r="AE65" t="e">
        <v>#N/A</v>
      </c>
      <c r="AF65">
        <v>47.625</v>
      </c>
      <c r="AJ65">
        <f t="shared" si="6"/>
        <v>0.23660714285714285</v>
      </c>
      <c r="AK65">
        <v>54.078508005899998</v>
      </c>
      <c r="AL65">
        <f t="shared" si="7"/>
        <v>0.29290169740000493</v>
      </c>
      <c r="AM65">
        <f t="shared" si="32"/>
        <v>4.4642857142856984E-3</v>
      </c>
      <c r="AO65">
        <v>53</v>
      </c>
      <c r="AP65">
        <v>350</v>
      </c>
      <c r="AQ65">
        <f t="shared" si="45"/>
        <v>0.32515337423312884</v>
      </c>
      <c r="AR65" t="e">
        <f t="shared" si="8"/>
        <v>#N/A</v>
      </c>
      <c r="AT65" t="e">
        <f t="shared" si="9"/>
        <v>#N/A</v>
      </c>
      <c r="AU65">
        <f t="shared" si="10"/>
        <v>350</v>
      </c>
      <c r="AW65">
        <v>0.67484662576687116</v>
      </c>
      <c r="AX65">
        <v>651.51533436731233</v>
      </c>
      <c r="AY65">
        <f t="shared" si="11"/>
        <v>5.6286160538198828</v>
      </c>
      <c r="AZ65">
        <f t="shared" si="34"/>
        <v>2.4539877300613466E-2</v>
      </c>
      <c r="BB65">
        <f t="shared" si="12"/>
        <v>0.23660714285714285</v>
      </c>
      <c r="BC65">
        <v>297.821343019822</v>
      </c>
      <c r="BD65">
        <f t="shared" si="13"/>
        <v>1.0944677992944207</v>
      </c>
      <c r="BE65">
        <f t="shared" si="35"/>
        <v>4.4642857142856984E-3</v>
      </c>
      <c r="BF65">
        <v>53</v>
      </c>
      <c r="BG65">
        <v>6.146889990862596E-2</v>
      </c>
      <c r="BH65">
        <f t="shared" si="42"/>
        <v>0.36054421768707484</v>
      </c>
      <c r="BI65">
        <f t="shared" si="15"/>
        <v>0.36054421768707484</v>
      </c>
      <c r="BK65">
        <f t="shared" si="16"/>
        <v>0.36054421768707484</v>
      </c>
      <c r="BL65">
        <f t="shared" si="17"/>
        <v>6.146889990862596E-2</v>
      </c>
      <c r="BN65">
        <v>0.51700680272108845</v>
      </c>
      <c r="BO65">
        <v>0.10632478544535134</v>
      </c>
      <c r="BP65">
        <f t="shared" si="18"/>
        <v>1.5299316513060351E-3</v>
      </c>
      <c r="BQ65">
        <f t="shared" si="36"/>
        <v>6.8027210884353817E-3</v>
      </c>
      <c r="BS65">
        <f t="shared" si="19"/>
        <v>0.23660714285714285</v>
      </c>
      <c r="BT65">
        <v>5.2807927708248929E-2</v>
      </c>
      <c r="BU65">
        <f t="shared" si="20"/>
        <v>2.3906795903395894E-5</v>
      </c>
      <c r="BV65">
        <f t="shared" si="37"/>
        <v>4.4642857142856984E-3</v>
      </c>
      <c r="BW65">
        <v>53</v>
      </c>
      <c r="BX65">
        <v>3.3156498673740049E-2</v>
      </c>
      <c r="BY65">
        <f t="shared" si="43"/>
        <v>0.3925925925925926</v>
      </c>
      <c r="BZ65" t="e">
        <f t="shared" si="22"/>
        <v>#N/A</v>
      </c>
      <c r="CB65" t="e">
        <f t="shared" si="44"/>
        <v>#N/A</v>
      </c>
      <c r="CC65">
        <f t="shared" si="24"/>
        <v>3.3156498673740049E-2</v>
      </c>
      <c r="CE65" t="e">
        <v>#N/A</v>
      </c>
      <c r="CF65">
        <v>3.3156498673740049E-2</v>
      </c>
      <c r="CJ65">
        <f t="shared" si="26"/>
        <v>0.23660714285714285</v>
      </c>
      <c r="CK65">
        <v>1.8776412173399998E-2</v>
      </c>
      <c r="CL65">
        <f t="shared" si="27"/>
        <v>1.2739905617000016E-3</v>
      </c>
      <c r="CM65">
        <f t="shared" si="39"/>
        <v>4.4642857142856984E-3</v>
      </c>
    </row>
    <row r="66" spans="2:91">
      <c r="B66">
        <v>54</v>
      </c>
      <c r="C66">
        <f>IF(ISNUMBER(K66),IF('Lab test'!N57&gt;0,'Lab test'!N57,NA()),NA())</f>
        <v>350</v>
      </c>
      <c r="D66">
        <f>IF(ISNUMBER(K66),IF('Lab test'!Q57&gt;0,'Lab test'!Q57,NA()),NA())</f>
        <v>350</v>
      </c>
      <c r="E66">
        <f>IF(ISNUMBER(K66),IF('Lab test'!P57&gt;0,'Lab test'!P57,NA()),NA())</f>
        <v>6.872431934890913E-2</v>
      </c>
      <c r="F66" t="e">
        <f>IF(ISNUMBER(K66),IF('Lab test'!AJ57&gt;0,'Lab test'!AJ57,NA()),NA())</f>
        <v>#N/A</v>
      </c>
      <c r="G66">
        <f>IF('Lab test'!V57&gt;0,'Lab test'!V57,NA())</f>
        <v>205000</v>
      </c>
      <c r="H66">
        <f>IF(MAX('Lab test'!W57,'Lab test'!X57)&gt;0,MAX('Lab test'!W57,'Lab test'!X57),NA())</f>
        <v>310</v>
      </c>
      <c r="I66">
        <f>IF('Lab test'!AU57&gt;0,'Lab test'!AU57,NA())</f>
        <v>0.32197705077116157</v>
      </c>
      <c r="J66">
        <f>IF('Lab test'!AT57&gt;0,'Lab test'!AT57,NA())</f>
        <v>0.2815672366940899</v>
      </c>
      <c r="K66">
        <f t="shared" si="28"/>
        <v>1</v>
      </c>
      <c r="L66" t="str">
        <f>'Lab test'!AC57</f>
        <v>LTWb</v>
      </c>
      <c r="N66">
        <v>54</v>
      </c>
      <c r="O66">
        <v>156.01801878800001</v>
      </c>
      <c r="P66">
        <v>0.24525391452799999</v>
      </c>
      <c r="Q66">
        <f t="shared" si="29"/>
        <v>636.14894420039047</v>
      </c>
      <c r="R66">
        <v>280.55755912799998</v>
      </c>
      <c r="S66">
        <f t="shared" si="30"/>
        <v>7.1296434323905825E-2</v>
      </c>
      <c r="T66">
        <v>6.6537767259600006E-2</v>
      </c>
      <c r="U66">
        <f t="shared" si="0"/>
        <v>0.24107142857142858</v>
      </c>
      <c r="W66">
        <v>54</v>
      </c>
      <c r="X66">
        <v>72.009</v>
      </c>
      <c r="Y66">
        <f t="shared" si="40"/>
        <v>0.33128834355828218</v>
      </c>
      <c r="Z66" t="e">
        <f t="shared" si="2"/>
        <v>#N/A</v>
      </c>
      <c r="AB66" t="e">
        <f t="shared" si="41"/>
        <v>#N/A</v>
      </c>
      <c r="AC66">
        <f t="shared" si="4"/>
        <v>72.009</v>
      </c>
      <c r="AE66" t="e">
        <v>#N/A</v>
      </c>
      <c r="AF66">
        <v>47.625</v>
      </c>
      <c r="AJ66">
        <f t="shared" si="6"/>
        <v>0.24107142857142858</v>
      </c>
      <c r="AK66">
        <v>54.371409703300003</v>
      </c>
      <c r="AL66">
        <f t="shared" si="7"/>
        <v>0.62813852779999735</v>
      </c>
      <c r="AM66">
        <f t="shared" si="32"/>
        <v>4.4642857142857262E-3</v>
      </c>
      <c r="AO66">
        <v>54</v>
      </c>
      <c r="AP66">
        <v>350</v>
      </c>
      <c r="AQ66">
        <f t="shared" si="45"/>
        <v>0.33128834355828218</v>
      </c>
      <c r="AR66" t="e">
        <f t="shared" si="8"/>
        <v>#N/A</v>
      </c>
      <c r="AT66" t="e">
        <f t="shared" si="9"/>
        <v>#N/A</v>
      </c>
      <c r="AU66">
        <f t="shared" si="10"/>
        <v>350</v>
      </c>
      <c r="AW66">
        <v>0.68098159509202449</v>
      </c>
      <c r="AX66">
        <v>657.14395042113222</v>
      </c>
      <c r="AY66">
        <f t="shared" si="11"/>
        <v>5.6528251551266067</v>
      </c>
      <c r="AZ66">
        <f t="shared" si="34"/>
        <v>6.1349693251533388E-3</v>
      </c>
      <c r="BB66">
        <f t="shared" si="12"/>
        <v>0.24107142857142858</v>
      </c>
      <c r="BC66">
        <v>298.91581081911642</v>
      </c>
      <c r="BD66">
        <f t="shared" si="13"/>
        <v>1.0841891804097372</v>
      </c>
      <c r="BE66">
        <f t="shared" si="35"/>
        <v>4.4642857142857262E-3</v>
      </c>
      <c r="BF66">
        <v>54</v>
      </c>
      <c r="BG66">
        <v>6.6274132772494526E-2</v>
      </c>
      <c r="BH66">
        <f t="shared" si="42"/>
        <v>0.36734693877551022</v>
      </c>
      <c r="BI66">
        <f t="shared" si="15"/>
        <v>0.36734693877551022</v>
      </c>
      <c r="BK66">
        <f t="shared" si="16"/>
        <v>0.36734693877551022</v>
      </c>
      <c r="BL66">
        <f t="shared" si="17"/>
        <v>6.6274132772494526E-2</v>
      </c>
      <c r="BN66">
        <v>0.53061224489795922</v>
      </c>
      <c r="BO66">
        <v>0.10785471709665738</v>
      </c>
      <c r="BP66">
        <f t="shared" si="18"/>
        <v>1.2585573783883419E-3</v>
      </c>
      <c r="BQ66">
        <f t="shared" si="36"/>
        <v>1.3605442176870763E-2</v>
      </c>
      <c r="BS66">
        <f t="shared" si="19"/>
        <v>0.24107142857142858</v>
      </c>
      <c r="BT66">
        <v>5.2831834504152325E-2</v>
      </c>
      <c r="BU66">
        <f t="shared" si="20"/>
        <v>2.1569279487194948E-4</v>
      </c>
      <c r="BV66">
        <f t="shared" si="37"/>
        <v>4.4642857142857262E-3</v>
      </c>
      <c r="BW66">
        <v>54</v>
      </c>
      <c r="BX66">
        <v>3.3156498673740049E-2</v>
      </c>
      <c r="BY66">
        <f t="shared" si="43"/>
        <v>0.4</v>
      </c>
      <c r="BZ66" t="e">
        <f t="shared" si="22"/>
        <v>#N/A</v>
      </c>
      <c r="CB66" t="e">
        <f t="shared" si="44"/>
        <v>#N/A</v>
      </c>
      <c r="CC66">
        <f t="shared" si="24"/>
        <v>3.3156498673740049E-2</v>
      </c>
      <c r="CE66" t="e">
        <v>#N/A</v>
      </c>
      <c r="CF66">
        <v>3.3156498673740049E-2</v>
      </c>
      <c r="CJ66">
        <f t="shared" si="26"/>
        <v>0.24107142857142858</v>
      </c>
      <c r="CK66">
        <v>2.00504027351E-2</v>
      </c>
      <c r="CL66">
        <f t="shared" si="27"/>
        <v>3.2752618170000039E-4</v>
      </c>
      <c r="CM66">
        <f t="shared" si="39"/>
        <v>4.4642857142857262E-3</v>
      </c>
    </row>
    <row r="67" spans="2:91">
      <c r="B67">
        <v>55</v>
      </c>
      <c r="C67">
        <f>IF(ISNUMBER(K67),IF('Lab test'!N58&gt;0,'Lab test'!N58,NA()),NA())</f>
        <v>350</v>
      </c>
      <c r="D67">
        <f>IF(ISNUMBER(K67),IF('Lab test'!Q58&gt;0,'Lab test'!Q58,NA()),NA())</f>
        <v>350</v>
      </c>
      <c r="E67">
        <f>IF(ISNUMBER(K67),IF('Lab test'!P58&gt;0,'Lab test'!P58,NA()),NA())</f>
        <v>6.872431934890913E-2</v>
      </c>
      <c r="F67" t="e">
        <f>IF(ISNUMBER(K67),IF('Lab test'!AJ58&gt;0,'Lab test'!AJ58,NA()),NA())</f>
        <v>#N/A</v>
      </c>
      <c r="G67">
        <f>IF('Lab test'!V58&gt;0,'Lab test'!V58,NA())</f>
        <v>205000</v>
      </c>
      <c r="H67">
        <f>IF(MAX('Lab test'!W58,'Lab test'!X58)&gt;0,MAX('Lab test'!W58,'Lab test'!X58),NA())</f>
        <v>310</v>
      </c>
      <c r="I67">
        <f>IF('Lab test'!AU58&gt;0,'Lab test'!AU58,NA())</f>
        <v>0.36246254781573584</v>
      </c>
      <c r="J67">
        <f>IF('Lab test'!AT58&gt;0,'Lab test'!AT58,NA())</f>
        <v>0.31697159082965648</v>
      </c>
      <c r="K67">
        <f t="shared" si="28"/>
        <v>1</v>
      </c>
      <c r="L67" t="str">
        <f>'Lab test'!AC58</f>
        <v>LTWb</v>
      </c>
      <c r="N67">
        <v>55</v>
      </c>
      <c r="O67">
        <v>158.20957005400001</v>
      </c>
      <c r="P67">
        <v>0.18431757165000001</v>
      </c>
      <c r="Q67">
        <f t="shared" si="29"/>
        <v>858.35315991696984</v>
      </c>
      <c r="R67">
        <v>318.21012981199999</v>
      </c>
      <c r="S67">
        <f t="shared" si="30"/>
        <v>6.8651217755963612E-2</v>
      </c>
      <c r="T67">
        <v>1.1000999978099999E-2</v>
      </c>
      <c r="U67">
        <f t="shared" si="0"/>
        <v>0.24553571428571427</v>
      </c>
      <c r="W67">
        <v>55</v>
      </c>
      <c r="X67">
        <v>72.009</v>
      </c>
      <c r="Y67">
        <f t="shared" si="40"/>
        <v>0.33742331288343558</v>
      </c>
      <c r="Z67" t="e">
        <f t="shared" si="2"/>
        <v>#N/A</v>
      </c>
      <c r="AB67" t="e">
        <f t="shared" si="41"/>
        <v>#N/A</v>
      </c>
      <c r="AC67">
        <f t="shared" si="4"/>
        <v>72.009</v>
      </c>
      <c r="AE67" t="e">
        <v>#N/A</v>
      </c>
      <c r="AF67">
        <v>60.325000000000003</v>
      </c>
      <c r="AJ67">
        <f t="shared" si="6"/>
        <v>0.24553571428571427</v>
      </c>
      <c r="AK67">
        <v>54.9995482311</v>
      </c>
      <c r="AL67">
        <f t="shared" si="7"/>
        <v>3.4377064200000973E-2</v>
      </c>
      <c r="AM67">
        <f t="shared" si="32"/>
        <v>4.4642857142856984E-3</v>
      </c>
      <c r="AO67">
        <v>55</v>
      </c>
      <c r="AP67">
        <v>350</v>
      </c>
      <c r="AQ67">
        <f t="shared" si="45"/>
        <v>0.33742331288343558</v>
      </c>
      <c r="AR67" t="e">
        <f t="shared" si="8"/>
        <v>#N/A</v>
      </c>
      <c r="AT67" t="e">
        <f t="shared" si="9"/>
        <v>#N/A</v>
      </c>
      <c r="AU67">
        <f t="shared" si="10"/>
        <v>350</v>
      </c>
      <c r="AW67">
        <v>0.69938650306748462</v>
      </c>
      <c r="AX67">
        <v>662.79677557625882</v>
      </c>
      <c r="AY67">
        <f t="shared" si="11"/>
        <v>5.6770342564333305</v>
      </c>
      <c r="AZ67">
        <f t="shared" si="34"/>
        <v>1.8404907975460127E-2</v>
      </c>
      <c r="BB67">
        <f t="shared" si="12"/>
        <v>0.24553571428571427</v>
      </c>
      <c r="BC67">
        <v>299.99999999952615</v>
      </c>
      <c r="BD67">
        <f t="shared" si="13"/>
        <v>5.9935700846835971E-10</v>
      </c>
      <c r="BE67">
        <f t="shared" si="35"/>
        <v>4.4642857142856984E-3</v>
      </c>
      <c r="BF67">
        <v>55</v>
      </c>
      <c r="BG67">
        <v>6.7455582890124502E-2</v>
      </c>
      <c r="BH67">
        <f t="shared" si="42"/>
        <v>0.37414965986394561</v>
      </c>
      <c r="BI67">
        <f t="shared" si="15"/>
        <v>0.37414965986394561</v>
      </c>
      <c r="BK67">
        <f t="shared" si="16"/>
        <v>0.37414965986394561</v>
      </c>
      <c r="BL67">
        <f t="shared" si="17"/>
        <v>6.7455582890124502E-2</v>
      </c>
      <c r="BN67">
        <v>0.5374149659863946</v>
      </c>
      <c r="BO67">
        <v>0.10911327447504572</v>
      </c>
      <c r="BP67">
        <f t="shared" si="18"/>
        <v>1.3277192581569452E-3</v>
      </c>
      <c r="BQ67">
        <f t="shared" si="36"/>
        <v>6.8027210884353817E-3</v>
      </c>
      <c r="BS67">
        <f t="shared" si="19"/>
        <v>0.24553571428571427</v>
      </c>
      <c r="BT67">
        <v>5.3047527299024275E-2</v>
      </c>
      <c r="BU67">
        <f t="shared" si="20"/>
        <v>4.4719060517489639E-4</v>
      </c>
      <c r="BV67">
        <f t="shared" si="37"/>
        <v>4.4642857142856984E-3</v>
      </c>
      <c r="BW67">
        <v>55</v>
      </c>
      <c r="BX67">
        <v>3.3156498673740049E-2</v>
      </c>
      <c r="BY67">
        <f t="shared" si="43"/>
        <v>0.40740740740740738</v>
      </c>
      <c r="BZ67" t="e">
        <f t="shared" si="22"/>
        <v>#N/A</v>
      </c>
      <c r="CB67" t="e">
        <f t="shared" si="44"/>
        <v>#N/A</v>
      </c>
      <c r="CC67">
        <f t="shared" si="24"/>
        <v>3.3156498673740049E-2</v>
      </c>
      <c r="CE67" t="e">
        <v>#N/A</v>
      </c>
      <c r="CF67">
        <v>3.3156498673740049E-2</v>
      </c>
      <c r="CJ67">
        <f t="shared" si="26"/>
        <v>0.24553571428571427</v>
      </c>
      <c r="CK67">
        <v>2.0377928916800001E-2</v>
      </c>
      <c r="CL67">
        <f t="shared" si="27"/>
        <v>5.0393872710000065E-4</v>
      </c>
      <c r="CM67">
        <f t="shared" si="39"/>
        <v>4.4642857142856984E-3</v>
      </c>
    </row>
    <row r="68" spans="2:91">
      <c r="B68">
        <v>56</v>
      </c>
      <c r="C68">
        <f>IF(ISNUMBER(K68),IF('Lab test'!N59&gt;0,'Lab test'!N59,NA()),NA())</f>
        <v>350</v>
      </c>
      <c r="D68">
        <f>IF(ISNUMBER(K68),IF('Lab test'!Q59&gt;0,'Lab test'!Q59,NA()),NA())</f>
        <v>280</v>
      </c>
      <c r="E68">
        <f>IF(ISNUMBER(K68),IF('Lab test'!P59&gt;0,'Lab test'!P59,NA()),NA())</f>
        <v>7.6836124885782453E-2</v>
      </c>
      <c r="F68" t="e">
        <f>IF(ISNUMBER(K68),IF('Lab test'!AJ59&gt;0,'Lab test'!AJ59,NA()),NA())</f>
        <v>#N/A</v>
      </c>
      <c r="G68">
        <f>IF('Lab test'!V59&gt;0,'Lab test'!V59,NA())</f>
        <v>205000</v>
      </c>
      <c r="H68">
        <f>IF(MAX('Lab test'!W59,'Lab test'!X59)&gt;0,MAX('Lab test'!W59,'Lab test'!X59),NA())</f>
        <v>310</v>
      </c>
      <c r="I68">
        <f>IF('Lab test'!AU59&gt;0,'Lab test'!AU59,NA())</f>
        <v>0.375635003013572</v>
      </c>
      <c r="J68">
        <f>IF('Lab test'!AT59&gt;0,'Lab test'!AT59,NA())</f>
        <v>0.2627926668706061</v>
      </c>
      <c r="K68">
        <f t="shared" si="28"/>
        <v>1</v>
      </c>
      <c r="L68" t="str">
        <f>'Lab test'!AC59</f>
        <v>LTWb</v>
      </c>
      <c r="N68">
        <v>56</v>
      </c>
      <c r="O68">
        <v>158.47115180700001</v>
      </c>
      <c r="P68">
        <v>0.24956982695999999</v>
      </c>
      <c r="Q68">
        <f t="shared" si="29"/>
        <v>634.97720753077692</v>
      </c>
      <c r="R68">
        <v>497.97029349299999</v>
      </c>
      <c r="S68">
        <f t="shared" si="30"/>
        <v>0.1247022107508093</v>
      </c>
      <c r="T68">
        <v>3.3325772306E-2</v>
      </c>
      <c r="U68">
        <f t="shared" si="0"/>
        <v>0.25</v>
      </c>
      <c r="W68">
        <v>56</v>
      </c>
      <c r="X68">
        <v>72.009</v>
      </c>
      <c r="Y68">
        <f t="shared" si="40"/>
        <v>0.34355828220858897</v>
      </c>
      <c r="Z68" t="e">
        <f t="shared" si="2"/>
        <v>#N/A</v>
      </c>
      <c r="AB68" t="e">
        <f t="shared" si="41"/>
        <v>#N/A</v>
      </c>
      <c r="AC68">
        <f t="shared" si="4"/>
        <v>72.009</v>
      </c>
      <c r="AE68" t="e">
        <v>#N/A</v>
      </c>
      <c r="AF68">
        <v>60.325000000000003</v>
      </c>
      <c r="AJ68">
        <f t="shared" si="6"/>
        <v>0.25</v>
      </c>
      <c r="AK68">
        <v>55.033925295300001</v>
      </c>
      <c r="AL68">
        <f t="shared" si="7"/>
        <v>9.7751489899998489E-2</v>
      </c>
      <c r="AM68">
        <f t="shared" si="32"/>
        <v>4.4642857142857262E-3</v>
      </c>
      <c r="AO68">
        <v>56</v>
      </c>
      <c r="AP68">
        <v>350</v>
      </c>
      <c r="AQ68">
        <f t="shared" si="45"/>
        <v>0.34355828220858897</v>
      </c>
      <c r="AR68">
        <f t="shared" si="8"/>
        <v>0.34355828220858897</v>
      </c>
      <c r="AT68">
        <f t="shared" si="9"/>
        <v>0.34355828220858897</v>
      </c>
      <c r="AU68">
        <f t="shared" si="10"/>
        <v>350</v>
      </c>
      <c r="AW68">
        <v>0.71165644171779141</v>
      </c>
      <c r="AX68">
        <v>668.47380983269215</v>
      </c>
      <c r="AY68">
        <f t="shared" si="11"/>
        <v>5.7012433577403954</v>
      </c>
      <c r="AZ68">
        <f t="shared" si="34"/>
        <v>1.2269938650306789E-2</v>
      </c>
      <c r="BB68">
        <f t="shared" si="12"/>
        <v>0.25</v>
      </c>
      <c r="BC68">
        <v>300.00000000012551</v>
      </c>
      <c r="BD68">
        <f t="shared" si="13"/>
        <v>2.6195094637492957</v>
      </c>
      <c r="BE68">
        <f t="shared" si="35"/>
        <v>4.4642857142857262E-3</v>
      </c>
      <c r="BF68">
        <v>56</v>
      </c>
      <c r="BG68">
        <v>6.8616693678336629E-2</v>
      </c>
      <c r="BH68">
        <f t="shared" si="42"/>
        <v>0.38095238095238093</v>
      </c>
      <c r="BI68">
        <f t="shared" si="15"/>
        <v>0.38095238095238093</v>
      </c>
      <c r="BK68">
        <f t="shared" si="16"/>
        <v>0.38095238095238093</v>
      </c>
      <c r="BL68">
        <f t="shared" si="17"/>
        <v>6.8616693678336629E-2</v>
      </c>
      <c r="BN68">
        <v>0.54421768707482998</v>
      </c>
      <c r="BO68">
        <v>0.11044099373320267</v>
      </c>
      <c r="BP68">
        <f t="shared" si="18"/>
        <v>1.7035606093861178E-3</v>
      </c>
      <c r="BQ68">
        <f t="shared" si="36"/>
        <v>6.8027210884353817E-3</v>
      </c>
      <c r="BS68">
        <f t="shared" si="19"/>
        <v>0.25</v>
      </c>
      <c r="BT68">
        <v>5.3494717904199171E-2</v>
      </c>
      <c r="BU68">
        <f t="shared" si="20"/>
        <v>9.4421289276072629E-5</v>
      </c>
      <c r="BV68">
        <f t="shared" si="37"/>
        <v>4.4642857142857262E-3</v>
      </c>
      <c r="BW68">
        <v>56</v>
      </c>
      <c r="BX68">
        <v>3.3156498673740049E-2</v>
      </c>
      <c r="BY68">
        <f t="shared" si="43"/>
        <v>0.4148148148148148</v>
      </c>
      <c r="BZ68">
        <f t="shared" si="22"/>
        <v>0.4148148148148148</v>
      </c>
      <c r="CB68">
        <f t="shared" si="44"/>
        <v>0.4148148148148148</v>
      </c>
      <c r="CC68">
        <f t="shared" si="24"/>
        <v>3.3156498673740049E-2</v>
      </c>
      <c r="CE68" t="e">
        <v>#N/A</v>
      </c>
      <c r="CF68">
        <v>3.3156498673740049E-2</v>
      </c>
      <c r="CJ68">
        <f t="shared" si="26"/>
        <v>0.25</v>
      </c>
      <c r="CK68">
        <v>2.0881867643900001E-2</v>
      </c>
      <c r="CL68">
        <f t="shared" si="27"/>
        <v>7.2194817229999722E-4</v>
      </c>
      <c r="CM68">
        <f t="shared" si="39"/>
        <v>4.4642857142857262E-3</v>
      </c>
    </row>
    <row r="69" spans="2:91">
      <c r="B69">
        <v>57</v>
      </c>
      <c r="C69">
        <f>IF(ISNUMBER(K69),IF('Lab test'!N60&gt;0,'Lab test'!N60,NA()),NA())</f>
        <v>350</v>
      </c>
      <c r="D69">
        <f>IF(ISNUMBER(K69),IF('Lab test'!Q60&gt;0,'Lab test'!Q60,NA()),NA())</f>
        <v>280</v>
      </c>
      <c r="E69">
        <f>IF(ISNUMBER(K69),IF('Lab test'!P60&gt;0,'Lab test'!P60,NA()),NA())</f>
        <v>7.6836124885782453E-2</v>
      </c>
      <c r="F69" t="e">
        <f>IF(ISNUMBER(K69),IF('Lab test'!AJ60&gt;0,'Lab test'!AJ60,NA()),NA())</f>
        <v>#N/A</v>
      </c>
      <c r="G69">
        <f>IF('Lab test'!V60&gt;0,'Lab test'!V60,NA())</f>
        <v>205000</v>
      </c>
      <c r="H69">
        <f>IF(MAX('Lab test'!W60,'Lab test'!X60)&gt;0,MAX('Lab test'!W60,'Lab test'!X60),NA())</f>
        <v>310</v>
      </c>
      <c r="I69">
        <f>IF('Lab test'!AU60&gt;0,'Lab test'!AU60,NA())</f>
        <v>0.37669114641473478</v>
      </c>
      <c r="J69">
        <f>IF('Lab test'!AT60&gt;0,'Lab test'!AT60,NA())</f>
        <v>0.26353154034821785</v>
      </c>
      <c r="K69">
        <f t="shared" si="28"/>
        <v>1</v>
      </c>
      <c r="L69" t="str">
        <f>'Lab test'!AC60</f>
        <v>LTWb</v>
      </c>
      <c r="N69">
        <v>57</v>
      </c>
      <c r="O69">
        <v>159.59966018200001</v>
      </c>
      <c r="P69">
        <v>0.57196216073399997</v>
      </c>
      <c r="Q69">
        <f t="shared" si="29"/>
        <v>279.03884406826057</v>
      </c>
      <c r="R69">
        <v>565.80518893600004</v>
      </c>
      <c r="S69">
        <f t="shared" si="30"/>
        <v>0.21222797567786247</v>
      </c>
      <c r="T69">
        <v>3.36577441541E-2</v>
      </c>
      <c r="U69">
        <f t="shared" si="0"/>
        <v>0.2544642857142857</v>
      </c>
      <c r="W69">
        <v>57</v>
      </c>
      <c r="X69">
        <v>72.009</v>
      </c>
      <c r="Y69">
        <f t="shared" si="40"/>
        <v>0.34969325153374231</v>
      </c>
      <c r="Z69" t="e">
        <f t="shared" si="2"/>
        <v>#N/A</v>
      </c>
      <c r="AB69" t="e">
        <f t="shared" si="41"/>
        <v>#N/A</v>
      </c>
      <c r="AC69">
        <f t="shared" si="4"/>
        <v>72.009</v>
      </c>
      <c r="AE69" t="e">
        <v>#N/A</v>
      </c>
      <c r="AF69">
        <v>60.325000000000003</v>
      </c>
      <c r="AJ69">
        <f t="shared" si="6"/>
        <v>0.2544642857142857</v>
      </c>
      <c r="AK69">
        <v>55.1316767852</v>
      </c>
      <c r="AL69">
        <f t="shared" si="7"/>
        <v>3.2326442771000004</v>
      </c>
      <c r="AM69">
        <f t="shared" si="32"/>
        <v>4.4642857142856984E-3</v>
      </c>
      <c r="AO69">
        <v>57</v>
      </c>
      <c r="AP69">
        <v>358.10102652947694</v>
      </c>
      <c r="AQ69">
        <f t="shared" si="45"/>
        <v>0.34969325153374231</v>
      </c>
      <c r="AR69" t="e">
        <f t="shared" si="8"/>
        <v>#N/A</v>
      </c>
      <c r="AT69" t="e">
        <f t="shared" si="9"/>
        <v>#N/A</v>
      </c>
      <c r="AU69">
        <f t="shared" si="10"/>
        <v>358.10102652947694</v>
      </c>
      <c r="AW69">
        <v>0.7239263803680982</v>
      </c>
      <c r="AX69">
        <v>674.17505319043255</v>
      </c>
      <c r="AY69">
        <f t="shared" si="11"/>
        <v>0.28537846424376312</v>
      </c>
      <c r="AZ69">
        <f t="shared" si="34"/>
        <v>1.2269938650306789E-2</v>
      </c>
      <c r="BB69">
        <f t="shared" si="12"/>
        <v>0.2544642857142857</v>
      </c>
      <c r="BC69">
        <v>302.61950946387481</v>
      </c>
      <c r="BD69">
        <f t="shared" si="13"/>
        <v>8.0851662961201782</v>
      </c>
      <c r="BE69">
        <f t="shared" si="35"/>
        <v>4.4642857142856984E-3</v>
      </c>
      <c r="BF69">
        <v>57</v>
      </c>
      <c r="BG69">
        <v>6.872431934890913E-2</v>
      </c>
      <c r="BH69">
        <f t="shared" si="42"/>
        <v>0.38775510204081631</v>
      </c>
      <c r="BI69" t="e">
        <f t="shared" si="15"/>
        <v>#N/A</v>
      </c>
      <c r="BK69" t="e">
        <f t="shared" si="16"/>
        <v>#N/A</v>
      </c>
      <c r="BL69">
        <f t="shared" si="17"/>
        <v>6.872431934890913E-2</v>
      </c>
      <c r="BN69">
        <v>0.55102040816326525</v>
      </c>
      <c r="BO69">
        <v>0.11214455434258878</v>
      </c>
      <c r="BP69">
        <f t="shared" si="18"/>
        <v>2.9325324371562433E-4</v>
      </c>
      <c r="BQ69">
        <f t="shared" si="36"/>
        <v>6.8027210884352707E-3</v>
      </c>
      <c r="BS69">
        <f t="shared" si="19"/>
        <v>0.2544642857142857</v>
      </c>
      <c r="BT69">
        <v>5.3589139193475244E-2</v>
      </c>
      <c r="BU69">
        <f t="shared" si="20"/>
        <v>1.2437681903074704E-3</v>
      </c>
      <c r="BV69">
        <f t="shared" si="37"/>
        <v>4.4642857142856984E-3</v>
      </c>
      <c r="BW69">
        <v>57</v>
      </c>
      <c r="BX69">
        <v>3.3333333333333333E-2</v>
      </c>
      <c r="BY69">
        <f t="shared" si="43"/>
        <v>0.42222222222222222</v>
      </c>
      <c r="BZ69" t="e">
        <f t="shared" si="22"/>
        <v>#N/A</v>
      </c>
      <c r="CB69" t="e">
        <f t="shared" si="44"/>
        <v>#N/A</v>
      </c>
      <c r="CC69">
        <f t="shared" si="24"/>
        <v>3.3333333333333333E-2</v>
      </c>
      <c r="CE69" t="e">
        <v>#N/A</v>
      </c>
      <c r="CF69">
        <v>3.3156498673740049E-2</v>
      </c>
      <c r="CJ69">
        <f t="shared" si="26"/>
        <v>0.2544642857142857</v>
      </c>
      <c r="CK69">
        <v>2.1603815816199998E-2</v>
      </c>
      <c r="CL69">
        <f t="shared" si="27"/>
        <v>4.0011057500000113E-4</v>
      </c>
      <c r="CM69">
        <f t="shared" si="39"/>
        <v>4.4642857142856984E-3</v>
      </c>
    </row>
    <row r="70" spans="2:91">
      <c r="B70">
        <v>58</v>
      </c>
      <c r="C70">
        <f>IF(ISNUMBER(K70),IF('Lab test'!N61&gt;0,'Lab test'!N61,NA()),NA())</f>
        <v>350</v>
      </c>
      <c r="D70">
        <f>IF(ISNUMBER(K70),IF('Lab test'!Q61&gt;0,'Lab test'!Q61,NA()),NA())</f>
        <v>280</v>
      </c>
      <c r="E70">
        <f>IF(ISNUMBER(K70),IF('Lab test'!P61&gt;0,'Lab test'!P61,NA()),NA())</f>
        <v>7.6836124885782453E-2</v>
      </c>
      <c r="F70" t="e">
        <f>IF(ISNUMBER(K70),IF('Lab test'!AJ61&gt;0,'Lab test'!AJ61,NA()),NA())</f>
        <v>#N/A</v>
      </c>
      <c r="G70">
        <f>IF('Lab test'!V61&gt;0,'Lab test'!V61,NA())</f>
        <v>205000</v>
      </c>
      <c r="H70">
        <f>IF(MAX('Lab test'!W61,'Lab test'!X61)&gt;0,MAX('Lab test'!W61,'Lab test'!X61),NA())</f>
        <v>310</v>
      </c>
      <c r="I70">
        <f>IF('Lab test'!AU61&gt;0,'Lab test'!AU61,NA())</f>
        <v>0.36354802853359763</v>
      </c>
      <c r="J70">
        <f>IF('Lab test'!AT61&gt;0,'Lab test'!AT61,NA())</f>
        <v>0.25433667040460406</v>
      </c>
      <c r="K70">
        <f t="shared" si="28"/>
        <v>1</v>
      </c>
      <c r="L70" t="str">
        <f>'Lab test'!AC61</f>
        <v>LTWb</v>
      </c>
      <c r="N70">
        <v>58</v>
      </c>
      <c r="O70">
        <v>160.46995638300001</v>
      </c>
      <c r="P70">
        <v>0.33814140393499997</v>
      </c>
      <c r="Q70">
        <f t="shared" si="29"/>
        <v>474.56464814893451</v>
      </c>
      <c r="R70">
        <v>358.58709718599999</v>
      </c>
      <c r="S70">
        <f t="shared" si="30"/>
        <v>0.10257776504098032</v>
      </c>
      <c r="T70">
        <v>2.9420656043599999E-2</v>
      </c>
      <c r="U70">
        <f t="shared" si="0"/>
        <v>0.25892857142857145</v>
      </c>
      <c r="W70">
        <v>58</v>
      </c>
      <c r="X70">
        <v>72.009</v>
      </c>
      <c r="Y70">
        <f t="shared" si="40"/>
        <v>0.35582822085889571</v>
      </c>
      <c r="Z70" t="e">
        <f t="shared" si="2"/>
        <v>#N/A</v>
      </c>
      <c r="AB70" t="e">
        <f t="shared" si="41"/>
        <v>#N/A</v>
      </c>
      <c r="AC70">
        <f t="shared" si="4"/>
        <v>72.009</v>
      </c>
      <c r="AE70" t="e">
        <v>#N/A</v>
      </c>
      <c r="AF70">
        <v>60.325000000000003</v>
      </c>
      <c r="AJ70">
        <f t="shared" si="6"/>
        <v>0.25892857142857145</v>
      </c>
      <c r="AK70">
        <v>58.3643210623</v>
      </c>
      <c r="AL70">
        <f t="shared" si="7"/>
        <v>0.66851281129999762</v>
      </c>
      <c r="AM70">
        <f t="shared" si="32"/>
        <v>4.4642857142857539E-3</v>
      </c>
      <c r="AO70">
        <v>58</v>
      </c>
      <c r="AP70">
        <v>358.10102652947694</v>
      </c>
      <c r="AQ70">
        <f t="shared" si="45"/>
        <v>0.35582822085889571</v>
      </c>
      <c r="AR70">
        <f t="shared" si="8"/>
        <v>0.35582822085889571</v>
      </c>
      <c r="AT70">
        <f t="shared" si="9"/>
        <v>0.35582822085889571</v>
      </c>
      <c r="AU70">
        <f t="shared" si="10"/>
        <v>358.10102652947694</v>
      </c>
      <c r="AW70">
        <v>0.73006134969325154</v>
      </c>
      <c r="AX70">
        <v>674.46043165467631</v>
      </c>
      <c r="AY70">
        <f t="shared" si="11"/>
        <v>9.8461376883893763</v>
      </c>
      <c r="AZ70">
        <f t="shared" si="34"/>
        <v>6.1349693251533388E-3</v>
      </c>
      <c r="BB70">
        <f t="shared" si="12"/>
        <v>0.25892857142857145</v>
      </c>
      <c r="BC70">
        <v>310.70467575999498</v>
      </c>
      <c r="BD70">
        <f t="shared" si="13"/>
        <v>3.641993917292325</v>
      </c>
      <c r="BE70">
        <f t="shared" si="35"/>
        <v>4.4642857142857539E-3</v>
      </c>
      <c r="BF70">
        <v>58</v>
      </c>
      <c r="BG70">
        <v>6.872431934890913E-2</v>
      </c>
      <c r="BH70">
        <f t="shared" si="42"/>
        <v>0.39455782312925169</v>
      </c>
      <c r="BI70" t="e">
        <f t="shared" si="15"/>
        <v>#N/A</v>
      </c>
      <c r="BK70" t="e">
        <f t="shared" si="16"/>
        <v>#N/A</v>
      </c>
      <c r="BL70">
        <f t="shared" si="17"/>
        <v>6.872431934890913E-2</v>
      </c>
      <c r="BN70">
        <v>0.56462585034013602</v>
      </c>
      <c r="BO70">
        <v>0.11243780758630441</v>
      </c>
      <c r="BP70">
        <f t="shared" si="18"/>
        <v>3.0322462516207405E-3</v>
      </c>
      <c r="BQ70">
        <f t="shared" si="36"/>
        <v>1.3605442176870763E-2</v>
      </c>
      <c r="BS70">
        <f t="shared" si="19"/>
        <v>0.25892857142857145</v>
      </c>
      <c r="BT70">
        <v>5.4832907383782714E-2</v>
      </c>
      <c r="BU70">
        <f t="shared" si="20"/>
        <v>2.1049463500127791E-3</v>
      </c>
      <c r="BV70">
        <f t="shared" si="37"/>
        <v>4.4642857142857539E-3</v>
      </c>
      <c r="BW70">
        <v>58</v>
      </c>
      <c r="BX70">
        <v>3.3333333333333333E-2</v>
      </c>
      <c r="BY70">
        <f t="shared" si="43"/>
        <v>0.42962962962962964</v>
      </c>
      <c r="BZ70" t="e">
        <f t="shared" si="22"/>
        <v>#N/A</v>
      </c>
      <c r="CB70" t="e">
        <f t="shared" si="44"/>
        <v>#N/A</v>
      </c>
      <c r="CC70">
        <f t="shared" si="24"/>
        <v>3.3333333333333333E-2</v>
      </c>
      <c r="CE70" t="e">
        <v>#N/A</v>
      </c>
      <c r="CF70">
        <v>3.3156498673740049E-2</v>
      </c>
      <c r="CJ70">
        <f t="shared" si="26"/>
        <v>0.25892857142857145</v>
      </c>
      <c r="CK70">
        <v>2.20039263912E-2</v>
      </c>
      <c r="CL70">
        <f t="shared" si="27"/>
        <v>7.630350072999996E-4</v>
      </c>
      <c r="CM70">
        <f t="shared" si="39"/>
        <v>4.4642857142857539E-3</v>
      </c>
    </row>
    <row r="71" spans="2:91">
      <c r="B71">
        <v>59</v>
      </c>
      <c r="C71">
        <f>IF(ISNUMBER(K71),IF('Lab test'!N62&gt;0,'Lab test'!N62,NA()),NA())</f>
        <v>350</v>
      </c>
      <c r="D71">
        <f>IF(ISNUMBER(K71),IF('Lab test'!Q62&gt;0,'Lab test'!Q62,NA()),NA())</f>
        <v>280</v>
      </c>
      <c r="E71">
        <f>IF(ISNUMBER(K71),IF('Lab test'!P62&gt;0,'Lab test'!P62,NA()),NA())</f>
        <v>7.6836124885782453E-2</v>
      </c>
      <c r="F71" t="e">
        <f>IF(ISNUMBER(K71),IF('Lab test'!AJ62&gt;0,'Lab test'!AJ62,NA()),NA())</f>
        <v>#N/A</v>
      </c>
      <c r="G71">
        <f>IF('Lab test'!V62&gt;0,'Lab test'!V62,NA())</f>
        <v>205000</v>
      </c>
      <c r="H71">
        <f>IF(MAX('Lab test'!W62,'Lab test'!X62)&gt;0,MAX('Lab test'!W62,'Lab test'!X62),NA())</f>
        <v>310</v>
      </c>
      <c r="I71">
        <f>IF('Lab test'!AU62&gt;0,'Lab test'!AU62,NA())</f>
        <v>0.33644034790375221</v>
      </c>
      <c r="J71">
        <f>IF('Lab test'!AT62&gt;0,'Lab test'!AT62,NA())</f>
        <v>0.23537225114590049</v>
      </c>
      <c r="K71">
        <f t="shared" si="28"/>
        <v>1</v>
      </c>
      <c r="L71" t="str">
        <f>'Lab test'!AC62</f>
        <v>LTWb</v>
      </c>
      <c r="N71">
        <v>59</v>
      </c>
      <c r="O71">
        <v>162.68754856699999</v>
      </c>
      <c r="P71">
        <v>0.236932624914</v>
      </c>
      <c r="Q71">
        <f t="shared" si="29"/>
        <v>686.64055288312909</v>
      </c>
      <c r="R71">
        <v>285.39082500400002</v>
      </c>
      <c r="S71">
        <f t="shared" si="30"/>
        <v>6.6945434897605696E-2</v>
      </c>
      <c r="T71">
        <v>1.25195340113E-2</v>
      </c>
      <c r="U71">
        <f t="shared" si="0"/>
        <v>0.26339285714285715</v>
      </c>
      <c r="W71">
        <v>59</v>
      </c>
      <c r="X71">
        <v>72.009</v>
      </c>
      <c r="Y71">
        <f t="shared" si="40"/>
        <v>0.3619631901840491</v>
      </c>
      <c r="Z71" t="e">
        <f t="shared" si="2"/>
        <v>#N/A</v>
      </c>
      <c r="AB71" t="e">
        <f t="shared" si="41"/>
        <v>#N/A</v>
      </c>
      <c r="AC71">
        <f t="shared" si="4"/>
        <v>72.009</v>
      </c>
      <c r="AE71" t="e">
        <v>#N/A</v>
      </c>
      <c r="AF71">
        <v>60.325000000000003</v>
      </c>
      <c r="AJ71">
        <f t="shared" si="6"/>
        <v>0.26339285714285715</v>
      </c>
      <c r="AK71">
        <v>59.032833873599998</v>
      </c>
      <c r="AL71">
        <f t="shared" si="7"/>
        <v>0.53808946280000214</v>
      </c>
      <c r="AM71">
        <f t="shared" si="32"/>
        <v>4.4642857142856984E-3</v>
      </c>
      <c r="AO71">
        <v>59</v>
      </c>
      <c r="AP71">
        <v>362.2770965048918</v>
      </c>
      <c r="AQ71">
        <f t="shared" si="45"/>
        <v>0.3619631901840491</v>
      </c>
      <c r="AR71" t="e">
        <f t="shared" si="8"/>
        <v>#N/A</v>
      </c>
      <c r="AT71" t="e">
        <f t="shared" si="9"/>
        <v>#N/A</v>
      </c>
      <c r="AU71">
        <f t="shared" si="10"/>
        <v>362.2770965048918</v>
      </c>
      <c r="AW71">
        <v>0.73619631901840488</v>
      </c>
      <c r="AX71">
        <v>684.30656934306569</v>
      </c>
      <c r="AY71">
        <f t="shared" si="11"/>
        <v>1.3435978667671407</v>
      </c>
      <c r="AZ71">
        <f t="shared" si="34"/>
        <v>6.1349693251533388E-3</v>
      </c>
      <c r="BB71">
        <f t="shared" si="12"/>
        <v>0.26339285714285715</v>
      </c>
      <c r="BC71">
        <v>314.34666967728731</v>
      </c>
      <c r="BD71">
        <f t="shared" si="13"/>
        <v>1.2199368174845517</v>
      </c>
      <c r="BE71">
        <f t="shared" si="35"/>
        <v>4.4642857142856984E-3</v>
      </c>
      <c r="BF71">
        <v>59</v>
      </c>
      <c r="BG71">
        <v>6.872431934890913E-2</v>
      </c>
      <c r="BH71">
        <f t="shared" si="42"/>
        <v>0.40136054421768708</v>
      </c>
      <c r="BI71" t="e">
        <f t="shared" si="15"/>
        <v>#N/A</v>
      </c>
      <c r="BK71" t="e">
        <f t="shared" si="16"/>
        <v>#N/A</v>
      </c>
      <c r="BL71">
        <f t="shared" si="17"/>
        <v>6.872431934890913E-2</v>
      </c>
      <c r="BN71">
        <v>0.5714285714285714</v>
      </c>
      <c r="BO71">
        <v>0.11547005383792515</v>
      </c>
      <c r="BP71">
        <f t="shared" si="18"/>
        <v>6.061461796767198E-4</v>
      </c>
      <c r="BQ71">
        <f t="shared" si="36"/>
        <v>6.8027210884353817E-3</v>
      </c>
      <c r="BS71">
        <f t="shared" si="19"/>
        <v>0.26339285714285715</v>
      </c>
      <c r="BT71">
        <v>5.6937853733795493E-2</v>
      </c>
      <c r="BU71">
        <f t="shared" si="20"/>
        <v>1.3738388396008355E-4</v>
      </c>
      <c r="BV71">
        <f t="shared" si="37"/>
        <v>4.4642857142856984E-3</v>
      </c>
      <c r="BW71">
        <v>59</v>
      </c>
      <c r="BX71">
        <v>3.3333333333333333E-2</v>
      </c>
      <c r="BY71">
        <f t="shared" si="43"/>
        <v>0.43703703703703706</v>
      </c>
      <c r="BZ71" t="e">
        <f t="shared" si="22"/>
        <v>#N/A</v>
      </c>
      <c r="CB71" t="e">
        <f t="shared" si="44"/>
        <v>#N/A</v>
      </c>
      <c r="CC71">
        <f t="shared" si="24"/>
        <v>3.3333333333333333E-2</v>
      </c>
      <c r="CE71" t="e">
        <v>#N/A</v>
      </c>
      <c r="CF71">
        <v>3.3156498673740049E-2</v>
      </c>
      <c r="CJ71">
        <f t="shared" si="26"/>
        <v>0.26339285714285715</v>
      </c>
      <c r="CK71">
        <v>2.2766961398499999E-2</v>
      </c>
      <c r="CL71">
        <f t="shared" si="27"/>
        <v>1.3413378930000192E-4</v>
      </c>
      <c r="CM71">
        <f t="shared" si="39"/>
        <v>4.4642857142856984E-3</v>
      </c>
    </row>
    <row r="72" spans="2:91">
      <c r="B72">
        <v>60</v>
      </c>
      <c r="C72" t="e">
        <f>IF(ISNUMBER(K72),IF('Lab test'!N63&gt;0,'Lab test'!N63,NA()),NA())</f>
        <v>#N/A</v>
      </c>
      <c r="D72" t="e">
        <f>IF(ISNUMBER(K72),IF('Lab test'!Q63&gt;0,'Lab test'!Q63,NA()),NA())</f>
        <v>#N/A</v>
      </c>
      <c r="E72" t="e">
        <f>IF(ISNUMBER(K72),IF('Lab test'!P63&gt;0,'Lab test'!P63,NA()),NA())</f>
        <v>#N/A</v>
      </c>
      <c r="F72" t="e">
        <f>IF(ISNUMBER(K72),IF('Lab test'!AJ63&gt;0,'Lab test'!AJ63,NA()),NA())</f>
        <v>#N/A</v>
      </c>
      <c r="G72">
        <f>IF('Lab test'!V63&gt;0,'Lab test'!V63,NA())</f>
        <v>89631.844811188712</v>
      </c>
      <c r="H72" t="e">
        <f>IF(MAX('Lab test'!W63,'Lab test'!X63)&gt;0,MAX('Lab test'!W63,'Lab test'!X63),NA())</f>
        <v>#N/A</v>
      </c>
      <c r="I72" t="e">
        <f>IF('Lab test'!AU63&gt;0,'Lab test'!AU63,NA())</f>
        <v>#N/A</v>
      </c>
      <c r="J72">
        <f>IF('Lab test'!AT63&gt;0,'Lab test'!AT63,NA())</f>
        <v>0.76004473552548202</v>
      </c>
      <c r="K72" t="e">
        <f t="shared" si="28"/>
        <v>#N/A</v>
      </c>
      <c r="L72" t="str">
        <f>'Lab test'!AC63</f>
        <v>Electroforming</v>
      </c>
      <c r="N72">
        <v>60</v>
      </c>
      <c r="O72">
        <v>163.02237973300001</v>
      </c>
      <c r="P72">
        <v>1.17372116029</v>
      </c>
      <c r="Q72">
        <f t="shared" si="29"/>
        <v>138.89361907109256</v>
      </c>
      <c r="R72">
        <v>80.512612751600003</v>
      </c>
      <c r="S72">
        <f t="shared" si="30"/>
        <v>4.1905935938647519E-2</v>
      </c>
      <c r="T72">
        <v>6.9256411875400006E-2</v>
      </c>
      <c r="U72">
        <f t="shared" si="0"/>
        <v>0.26785714285714285</v>
      </c>
      <c r="W72">
        <v>60</v>
      </c>
      <c r="X72">
        <v>72.009</v>
      </c>
      <c r="Y72">
        <f t="shared" si="40"/>
        <v>0.36809815950920244</v>
      </c>
      <c r="Z72" t="e">
        <f t="shared" si="2"/>
        <v>#N/A</v>
      </c>
      <c r="AB72" t="e">
        <f t="shared" si="41"/>
        <v>#N/A</v>
      </c>
      <c r="AC72">
        <f t="shared" si="4"/>
        <v>72.009</v>
      </c>
      <c r="AE72" t="e">
        <v>#N/A</v>
      </c>
      <c r="AF72">
        <v>60.325000000000003</v>
      </c>
      <c r="AJ72">
        <f t="shared" si="6"/>
        <v>0.26785714285714285</v>
      </c>
      <c r="AK72">
        <v>59.5709233364</v>
      </c>
      <c r="AL72">
        <f t="shared" si="7"/>
        <v>2.613721351099997</v>
      </c>
      <c r="AM72">
        <f t="shared" si="32"/>
        <v>4.4642857142856984E-3</v>
      </c>
      <c r="AO72">
        <v>60</v>
      </c>
      <c r="AP72">
        <v>362.2770965048918</v>
      </c>
      <c r="AQ72">
        <f t="shared" si="45"/>
        <v>0.36809815950920244</v>
      </c>
      <c r="AR72">
        <f t="shared" si="8"/>
        <v>0.36809815950920244</v>
      </c>
      <c r="AT72">
        <f t="shared" si="9"/>
        <v>0.36809815950920244</v>
      </c>
      <c r="AU72">
        <f t="shared" si="10"/>
        <v>362.2770965048918</v>
      </c>
      <c r="AW72">
        <v>0.754601226993865</v>
      </c>
      <c r="AX72">
        <v>685.65016720983283</v>
      </c>
      <c r="AY72">
        <f t="shared" si="11"/>
        <v>5.7738706616602258</v>
      </c>
      <c r="AZ72">
        <f t="shared" si="34"/>
        <v>1.8404907975460127E-2</v>
      </c>
      <c r="BB72">
        <f t="shared" si="12"/>
        <v>0.26785714285714285</v>
      </c>
      <c r="BC72">
        <v>315.56660649477186</v>
      </c>
      <c r="BD72">
        <f t="shared" si="13"/>
        <v>2.8665501367834736</v>
      </c>
      <c r="BE72">
        <f t="shared" si="35"/>
        <v>4.4642857142856984E-3</v>
      </c>
      <c r="BF72">
        <v>60</v>
      </c>
      <c r="BG72">
        <v>6.872431934890913E-2</v>
      </c>
      <c r="BH72">
        <f t="shared" si="42"/>
        <v>0.40816326530612246</v>
      </c>
      <c r="BI72">
        <f t="shared" si="15"/>
        <v>0.40816326530612246</v>
      </c>
      <c r="BK72">
        <f t="shared" si="16"/>
        <v>0.40816326530612246</v>
      </c>
      <c r="BL72">
        <f t="shared" si="17"/>
        <v>6.872431934890913E-2</v>
      </c>
      <c r="BN72">
        <v>0.58503401360544216</v>
      </c>
      <c r="BO72">
        <v>0.11607620001760187</v>
      </c>
      <c r="BP72">
        <f t="shared" si="18"/>
        <v>2.4785837171015651E-3</v>
      </c>
      <c r="BQ72">
        <f t="shared" si="36"/>
        <v>1.3605442176870763E-2</v>
      </c>
      <c r="BS72">
        <f t="shared" si="19"/>
        <v>0.26785714285714285</v>
      </c>
      <c r="BT72">
        <v>5.7075237617755577E-2</v>
      </c>
      <c r="BU72">
        <f t="shared" si="20"/>
        <v>3.6508453423123033E-5</v>
      </c>
      <c r="BV72">
        <f t="shared" si="37"/>
        <v>4.4642857142856984E-3</v>
      </c>
      <c r="BW72">
        <v>60</v>
      </c>
      <c r="BX72">
        <v>3.3333333333333333E-2</v>
      </c>
      <c r="BY72">
        <f t="shared" si="43"/>
        <v>0.44444444444444442</v>
      </c>
      <c r="BZ72" t="e">
        <f t="shared" si="22"/>
        <v>#N/A</v>
      </c>
      <c r="CB72" t="e">
        <f t="shared" si="44"/>
        <v>#N/A</v>
      </c>
      <c r="CC72">
        <f t="shared" si="24"/>
        <v>3.3333333333333333E-2</v>
      </c>
      <c r="CE72" t="e">
        <v>#N/A</v>
      </c>
      <c r="CF72">
        <v>3.3156498673740049E-2</v>
      </c>
      <c r="CJ72">
        <f t="shared" si="26"/>
        <v>0.26785714285714285</v>
      </c>
      <c r="CK72">
        <v>2.2901095187800001E-2</v>
      </c>
      <c r="CL72">
        <f t="shared" si="27"/>
        <v>2.7450521559999747E-4</v>
      </c>
      <c r="CM72">
        <f t="shared" si="39"/>
        <v>4.4642857142856984E-3</v>
      </c>
    </row>
    <row r="73" spans="2:91">
      <c r="B73">
        <v>61</v>
      </c>
      <c r="C73" t="e">
        <f>IF(ISNUMBER(K73),IF('Lab test'!N64&gt;0,'Lab test'!N64,NA()),NA())</f>
        <v>#N/A</v>
      </c>
      <c r="D73" t="e">
        <f>IF(ISNUMBER(K73),IF('Lab test'!Q64&gt;0,'Lab test'!Q64,NA()),NA())</f>
        <v>#N/A</v>
      </c>
      <c r="E73" t="e">
        <f>IF(ISNUMBER(K73),IF('Lab test'!P64&gt;0,'Lab test'!P64,NA()),NA())</f>
        <v>#N/A</v>
      </c>
      <c r="F73" t="e">
        <f>IF(ISNUMBER(K73),IF('Lab test'!AJ64&gt;0,'Lab test'!AJ64,NA()),NA())</f>
        <v>#N/A</v>
      </c>
      <c r="G73">
        <f>IF('Lab test'!V64&gt;0,'Lab test'!V64,NA())</f>
        <v>89631.844811188712</v>
      </c>
      <c r="H73" t="e">
        <f>IF(MAX('Lab test'!W64,'Lab test'!X64)&gt;0,MAX('Lab test'!W64,'Lab test'!X64),NA())</f>
        <v>#N/A</v>
      </c>
      <c r="I73" t="e">
        <f>IF('Lab test'!AU64&gt;0,'Lab test'!AU64,NA())</f>
        <v>#N/A</v>
      </c>
      <c r="J73">
        <f>IF('Lab test'!AT64&gt;0,'Lab test'!AT64,NA())</f>
        <v>0.72369476991339388</v>
      </c>
      <c r="K73" t="e">
        <f t="shared" si="28"/>
        <v>#N/A</v>
      </c>
      <c r="L73" t="str">
        <f>'Lab test'!AC64</f>
        <v>Electroforming</v>
      </c>
      <c r="N73">
        <v>61</v>
      </c>
      <c r="O73">
        <v>165.52906852000001</v>
      </c>
      <c r="P73">
        <v>0.981204581194</v>
      </c>
      <c r="Q73">
        <f t="shared" si="29"/>
        <v>168.69985290791487</v>
      </c>
      <c r="R73">
        <v>113.53525725199999</v>
      </c>
      <c r="S73">
        <f t="shared" si="30"/>
        <v>5.2807927708248929E-2</v>
      </c>
      <c r="T73">
        <v>6.64961320474E-2</v>
      </c>
      <c r="U73">
        <f t="shared" si="0"/>
        <v>0.27232142857142855</v>
      </c>
      <c r="W73">
        <v>61</v>
      </c>
      <c r="X73">
        <v>72.009</v>
      </c>
      <c r="Y73">
        <f t="shared" si="40"/>
        <v>0.37423312883435583</v>
      </c>
      <c r="Z73" t="e">
        <f t="shared" si="2"/>
        <v>#N/A</v>
      </c>
      <c r="AB73" t="e">
        <f t="shared" si="41"/>
        <v>#N/A</v>
      </c>
      <c r="AC73">
        <f t="shared" si="4"/>
        <v>72.009</v>
      </c>
      <c r="AE73" t="e">
        <v>#N/A</v>
      </c>
      <c r="AF73">
        <v>60.325000000000003</v>
      </c>
      <c r="AJ73">
        <f t="shared" si="6"/>
        <v>0.27232142857142855</v>
      </c>
      <c r="AK73">
        <v>62.184644687499997</v>
      </c>
      <c r="AL73">
        <f t="shared" si="7"/>
        <v>0.57699563440000645</v>
      </c>
      <c r="AM73">
        <f t="shared" si="32"/>
        <v>4.4642857142856984E-3</v>
      </c>
      <c r="AO73">
        <v>61</v>
      </c>
      <c r="AP73">
        <v>375</v>
      </c>
      <c r="AQ73">
        <f t="shared" si="45"/>
        <v>0.37423312883435583</v>
      </c>
      <c r="AR73">
        <f t="shared" si="8"/>
        <v>0.37423312883435583</v>
      </c>
      <c r="AT73">
        <f t="shared" si="9"/>
        <v>0.37423312883435583</v>
      </c>
      <c r="AU73">
        <f t="shared" si="10"/>
        <v>375</v>
      </c>
      <c r="AW73">
        <v>0.76687116564417179</v>
      </c>
      <c r="AX73">
        <v>691.42403787149306</v>
      </c>
      <c r="AY73">
        <f t="shared" si="11"/>
        <v>29.232489827903237</v>
      </c>
      <c r="AZ73">
        <f t="shared" si="34"/>
        <v>1.2269938650306789E-2</v>
      </c>
      <c r="BB73">
        <f t="shared" si="12"/>
        <v>0.27232142857142855</v>
      </c>
      <c r="BC73">
        <v>318.43315663155533</v>
      </c>
      <c r="BD73">
        <f t="shared" si="13"/>
        <v>7.1790120118180312E-2</v>
      </c>
      <c r="BE73">
        <f t="shared" si="35"/>
        <v>4.4642857142856984E-3</v>
      </c>
      <c r="BF73">
        <v>61</v>
      </c>
      <c r="BG73">
        <v>7.0710678118654752E-2</v>
      </c>
      <c r="BH73">
        <f t="shared" si="42"/>
        <v>0.41496598639455784</v>
      </c>
      <c r="BI73" t="e">
        <f t="shared" si="15"/>
        <v>#N/A</v>
      </c>
      <c r="BK73" t="e">
        <f t="shared" si="16"/>
        <v>#N/A</v>
      </c>
      <c r="BL73">
        <f t="shared" si="17"/>
        <v>7.0710678118654752E-2</v>
      </c>
      <c r="BN73">
        <v>0.59183673469387754</v>
      </c>
      <c r="BO73">
        <v>0.11855478373470343</v>
      </c>
      <c r="BP73">
        <f t="shared" si="18"/>
        <v>4.6625310658823804E-3</v>
      </c>
      <c r="BQ73">
        <f t="shared" si="36"/>
        <v>6.8027210884353817E-3</v>
      </c>
      <c r="BS73">
        <f t="shared" si="19"/>
        <v>0.27232142857142855</v>
      </c>
      <c r="BT73">
        <v>5.71117460711787E-2</v>
      </c>
      <c r="BU73">
        <f t="shared" si="20"/>
        <v>1.4130230466829347E-4</v>
      </c>
      <c r="BV73">
        <f t="shared" si="37"/>
        <v>4.4642857142856984E-3</v>
      </c>
      <c r="BW73">
        <v>61</v>
      </c>
      <c r="BX73">
        <v>3.3333333333333333E-2</v>
      </c>
      <c r="BY73">
        <f t="shared" si="43"/>
        <v>0.45185185185185184</v>
      </c>
      <c r="BZ73" t="e">
        <f t="shared" si="22"/>
        <v>#N/A</v>
      </c>
      <c r="CB73" t="e">
        <f t="shared" si="44"/>
        <v>#N/A</v>
      </c>
      <c r="CC73">
        <f t="shared" si="24"/>
        <v>3.3333333333333333E-2</v>
      </c>
      <c r="CE73" t="e">
        <v>#N/A</v>
      </c>
      <c r="CF73">
        <v>3.3156498673740049E-2</v>
      </c>
      <c r="CJ73">
        <f t="shared" si="26"/>
        <v>0.27232142857142855</v>
      </c>
      <c r="CK73">
        <v>2.3175600403399998E-2</v>
      </c>
      <c r="CL73">
        <f t="shared" si="27"/>
        <v>1.0356615090000021E-4</v>
      </c>
      <c r="CM73">
        <f t="shared" si="39"/>
        <v>4.4642857142856984E-3</v>
      </c>
    </row>
    <row r="74" spans="2:91">
      <c r="B74">
        <v>62</v>
      </c>
      <c r="C74" t="e">
        <f>IF(ISNUMBER(K74),IF('Lab test'!N65&gt;0,'Lab test'!N65,NA()),NA())</f>
        <v>#N/A</v>
      </c>
      <c r="D74" t="e">
        <f>IF(ISNUMBER(K74),IF('Lab test'!Q65&gt;0,'Lab test'!Q65,NA()),NA())</f>
        <v>#N/A</v>
      </c>
      <c r="E74" t="e">
        <f>IF(ISNUMBER(K74),IF('Lab test'!P65&gt;0,'Lab test'!P65,NA()),NA())</f>
        <v>#N/A</v>
      </c>
      <c r="F74" t="e">
        <f>IF(ISNUMBER(K74),IF('Lab test'!AJ65&gt;0,'Lab test'!AJ65,NA()),NA())</f>
        <v>#N/A</v>
      </c>
      <c r="G74">
        <f>IF('Lab test'!V65&gt;0,'Lab test'!V65,NA())</f>
        <v>89631.844811188712</v>
      </c>
      <c r="H74" t="e">
        <f>IF(MAX('Lab test'!W65,'Lab test'!X65)&gt;0,MAX('Lab test'!W65,'Lab test'!X65),NA())</f>
        <v>#N/A</v>
      </c>
      <c r="I74" t="e">
        <f>IF('Lab test'!AU65&gt;0,'Lab test'!AU65,NA())</f>
        <v>#N/A</v>
      </c>
      <c r="J74">
        <f>IF('Lab test'!AT65&gt;0,'Lab test'!AT65,NA())</f>
        <v>0.71873795642083627</v>
      </c>
      <c r="K74" t="e">
        <f t="shared" si="28"/>
        <v>#N/A</v>
      </c>
      <c r="L74" t="str">
        <f>'Lab test'!AC65</f>
        <v>Electroforming</v>
      </c>
      <c r="N74">
        <v>62</v>
      </c>
      <c r="O74">
        <v>165.79607578900001</v>
      </c>
      <c r="P74">
        <v>0.24852530954900001</v>
      </c>
      <c r="Q74">
        <f t="shared" si="29"/>
        <v>667.11948207557168</v>
      </c>
      <c r="R74">
        <v>227.16488740200001</v>
      </c>
      <c r="S74">
        <f t="shared" si="30"/>
        <v>5.3047527299024275E-2</v>
      </c>
      <c r="T74">
        <v>1.0998716043E-2</v>
      </c>
      <c r="U74">
        <f t="shared" si="0"/>
        <v>0.2767857142857143</v>
      </c>
      <c r="W74">
        <v>62</v>
      </c>
      <c r="X74">
        <v>72.009</v>
      </c>
      <c r="Y74">
        <f t="shared" si="40"/>
        <v>0.38036809815950923</v>
      </c>
      <c r="Z74" t="e">
        <f t="shared" si="2"/>
        <v>#N/A</v>
      </c>
      <c r="AB74" t="e">
        <f t="shared" si="41"/>
        <v>#N/A</v>
      </c>
      <c r="AC74">
        <f t="shared" si="4"/>
        <v>72.009</v>
      </c>
      <c r="AE74" t="e">
        <v>#N/A</v>
      </c>
      <c r="AF74">
        <v>60.325000000000003</v>
      </c>
      <c r="AJ74">
        <f t="shared" si="6"/>
        <v>0.2767857142857143</v>
      </c>
      <c r="AK74">
        <v>62.761640321900003</v>
      </c>
      <c r="AL74">
        <f t="shared" si="7"/>
        <v>0.3826594640999943</v>
      </c>
      <c r="AM74">
        <f t="shared" si="32"/>
        <v>4.4642857142857539E-3</v>
      </c>
      <c r="AO74">
        <v>62</v>
      </c>
      <c r="AP74">
        <v>400</v>
      </c>
      <c r="AQ74">
        <f t="shared" si="45"/>
        <v>0.38036809815950923</v>
      </c>
      <c r="AR74" t="e">
        <f t="shared" si="8"/>
        <v>#N/A</v>
      </c>
      <c r="AT74" t="e">
        <f t="shared" si="9"/>
        <v>#N/A</v>
      </c>
      <c r="AU74">
        <f t="shared" si="10"/>
        <v>400</v>
      </c>
      <c r="AW74">
        <v>0.77914110429447858</v>
      </c>
      <c r="AX74">
        <v>720.65652769939629</v>
      </c>
      <c r="AY74">
        <f t="shared" si="11"/>
        <v>35.877888136606657</v>
      </c>
      <c r="AZ74">
        <f t="shared" si="34"/>
        <v>1.2269938650306789E-2</v>
      </c>
      <c r="BB74">
        <f t="shared" si="12"/>
        <v>0.2767857142857143</v>
      </c>
      <c r="BC74">
        <v>318.50494675167351</v>
      </c>
      <c r="BD74">
        <f t="shared" si="13"/>
        <v>4.9884356360166748E-2</v>
      </c>
      <c r="BE74">
        <f t="shared" si="35"/>
        <v>4.4642857142857539E-3</v>
      </c>
      <c r="BF74">
        <v>62</v>
      </c>
      <c r="BG74">
        <v>7.0710678118654752E-2</v>
      </c>
      <c r="BH74">
        <f t="shared" si="42"/>
        <v>0.42176870748299322</v>
      </c>
      <c r="BI74">
        <f t="shared" si="15"/>
        <v>0.42176870748299322</v>
      </c>
      <c r="BK74">
        <f t="shared" si="16"/>
        <v>0.42176870748299322</v>
      </c>
      <c r="BL74">
        <f t="shared" si="17"/>
        <v>7.0710678118654752E-2</v>
      </c>
      <c r="BN74">
        <v>0.59863945578231292</v>
      </c>
      <c r="BO74">
        <v>0.12321731480058581</v>
      </c>
      <c r="BP74">
        <f t="shared" si="18"/>
        <v>3.0644864747101097E-3</v>
      </c>
      <c r="BQ74">
        <f t="shared" si="36"/>
        <v>6.8027210884353817E-3</v>
      </c>
      <c r="BS74">
        <f t="shared" si="19"/>
        <v>0.2767857142857143</v>
      </c>
      <c r="BT74">
        <v>5.7253048375846993E-2</v>
      </c>
      <c r="BU74">
        <f t="shared" si="20"/>
        <v>1.8039065382342845E-5</v>
      </c>
      <c r="BV74">
        <f t="shared" si="37"/>
        <v>4.4642857142857539E-3</v>
      </c>
      <c r="BW74">
        <v>62</v>
      </c>
      <c r="BX74">
        <v>3.3333333333333333E-2</v>
      </c>
      <c r="BY74">
        <f t="shared" si="43"/>
        <v>0.45925925925925926</v>
      </c>
      <c r="BZ74" t="e">
        <f t="shared" si="22"/>
        <v>#N/A</v>
      </c>
      <c r="CB74" t="e">
        <f t="shared" si="44"/>
        <v>#N/A</v>
      </c>
      <c r="CC74">
        <f t="shared" si="24"/>
        <v>3.3333333333333333E-2</v>
      </c>
      <c r="CE74" t="e">
        <v>#N/A</v>
      </c>
      <c r="CF74">
        <v>3.3156498673740049E-2</v>
      </c>
      <c r="CJ74">
        <f t="shared" si="26"/>
        <v>0.2767857142857143</v>
      </c>
      <c r="CK74">
        <v>2.3279166554299999E-2</v>
      </c>
      <c r="CL74">
        <f t="shared" si="27"/>
        <v>5.0831142380000291E-4</v>
      </c>
      <c r="CM74">
        <f t="shared" si="39"/>
        <v>4.4642857142857539E-3</v>
      </c>
    </row>
    <row r="75" spans="2:91">
      <c r="B75">
        <v>63</v>
      </c>
      <c r="C75">
        <f>IF(ISNUMBER(K75),IF('Lab test'!N66&gt;0,'Lab test'!N66,NA()),NA())</f>
        <v>203.2</v>
      </c>
      <c r="D75">
        <f>IF(ISNUMBER(K75),IF('Lab test'!Q66&gt;0,'Lab test'!Q66,NA()),NA())</f>
        <v>800</v>
      </c>
      <c r="E75">
        <f>IF(ISNUMBER(K75),IF('Lab test'!P66&gt;0,'Lab test'!P66,NA()),NA())</f>
        <v>7.0710678118654752E-2</v>
      </c>
      <c r="F75" t="e">
        <f>IF(ISNUMBER(K75),IF('Lab test'!AJ66&gt;0,'Lab test'!AJ66,NA()),NA())</f>
        <v>#N/A</v>
      </c>
      <c r="G75">
        <f>IF('Lab test'!V66&gt;0,'Lab test'!V66,NA())</f>
        <v>208911.228</v>
      </c>
      <c r="H75">
        <f>IF(MAX('Lab test'!W66,'Lab test'!X66)&gt;0,MAX('Lab test'!W66,'Lab test'!X66),NA())</f>
        <v>268.89553443356607</v>
      </c>
      <c r="I75">
        <f>IF('Lab test'!AU66&gt;0,'Lab test'!AU66,NA())</f>
        <v>0.30105781050075592</v>
      </c>
      <c r="J75">
        <f>IF('Lab test'!AT66&gt;0,'Lab test'!AT66,NA())</f>
        <v>0.51220406089760762</v>
      </c>
      <c r="K75">
        <f t="shared" si="28"/>
        <v>1</v>
      </c>
      <c r="L75" t="str">
        <f>'Lab test'!AC66</f>
        <v>LTWb</v>
      </c>
      <c r="N75">
        <v>63</v>
      </c>
      <c r="O75">
        <v>166.75511340899999</v>
      </c>
      <c r="P75">
        <v>0.52342272928699995</v>
      </c>
      <c r="Q75">
        <f t="shared" si="29"/>
        <v>318.58592315269107</v>
      </c>
      <c r="R75">
        <v>130.73839674300001</v>
      </c>
      <c r="S75">
        <f t="shared" si="30"/>
        <v>4.3924892124942327E-2</v>
      </c>
      <c r="T75">
        <v>3.3218133369699997E-2</v>
      </c>
      <c r="U75">
        <f t="shared" si="0"/>
        <v>0.28125</v>
      </c>
      <c r="W75">
        <v>63</v>
      </c>
      <c r="X75">
        <v>72.009</v>
      </c>
      <c r="Y75">
        <f t="shared" si="40"/>
        <v>0.38650306748466257</v>
      </c>
      <c r="Z75">
        <f t="shared" si="2"/>
        <v>0.38650306748466257</v>
      </c>
      <c r="AB75">
        <f t="shared" si="41"/>
        <v>0.38650306748466257</v>
      </c>
      <c r="AC75">
        <f t="shared" si="4"/>
        <v>72.009</v>
      </c>
      <c r="AE75" t="e">
        <v>#N/A</v>
      </c>
      <c r="AF75">
        <v>60.325000000000003</v>
      </c>
      <c r="AJ75">
        <f t="shared" si="6"/>
        <v>0.28125</v>
      </c>
      <c r="AK75">
        <v>63.144299785999998</v>
      </c>
      <c r="AL75">
        <f t="shared" si="7"/>
        <v>0.16535203050000291</v>
      </c>
      <c r="AM75">
        <f t="shared" si="32"/>
        <v>4.4642857142856984E-3</v>
      </c>
      <c r="AO75">
        <v>63</v>
      </c>
      <c r="AP75">
        <v>400</v>
      </c>
      <c r="AQ75">
        <f t="shared" si="45"/>
        <v>0.38650306748466257</v>
      </c>
      <c r="AR75" t="e">
        <f t="shared" si="8"/>
        <v>#N/A</v>
      </c>
      <c r="AT75" t="e">
        <f t="shared" si="9"/>
        <v>#N/A</v>
      </c>
      <c r="AU75">
        <f t="shared" si="10"/>
        <v>400</v>
      </c>
      <c r="AW75">
        <v>0.78527607361963192</v>
      </c>
      <c r="AX75">
        <v>756.53441583600295</v>
      </c>
      <c r="AY75">
        <f t="shared" si="11"/>
        <v>12.15296885598957</v>
      </c>
      <c r="AZ75">
        <f t="shared" si="34"/>
        <v>6.1349693251533388E-3</v>
      </c>
      <c r="BB75">
        <f t="shared" si="12"/>
        <v>0.28125</v>
      </c>
      <c r="BC75">
        <v>318.55483110803368</v>
      </c>
      <c r="BD75">
        <f t="shared" si="13"/>
        <v>3.1092044657384577E-2</v>
      </c>
      <c r="BE75">
        <f t="shared" si="35"/>
        <v>4.4642857142856984E-3</v>
      </c>
      <c r="BF75">
        <v>63</v>
      </c>
      <c r="BG75">
        <v>7.6836124885782453E-2</v>
      </c>
      <c r="BH75">
        <f t="shared" si="42"/>
        <v>0.42857142857142855</v>
      </c>
      <c r="BI75" t="e">
        <f t="shared" si="15"/>
        <v>#N/A</v>
      </c>
      <c r="BK75" t="e">
        <f t="shared" si="16"/>
        <v>#N/A</v>
      </c>
      <c r="BL75">
        <f t="shared" si="17"/>
        <v>7.6836124885782453E-2</v>
      </c>
      <c r="BN75">
        <v>0.60544217687074831</v>
      </c>
      <c r="BO75">
        <v>0.12628180127529592</v>
      </c>
      <c r="BP75">
        <f t="shared" si="18"/>
        <v>4.6304882959966043E-4</v>
      </c>
      <c r="BQ75">
        <f t="shared" si="36"/>
        <v>6.8027210884353817E-3</v>
      </c>
      <c r="BS75">
        <f t="shared" si="19"/>
        <v>0.28125</v>
      </c>
      <c r="BT75">
        <v>5.7271087441229336E-2</v>
      </c>
      <c r="BU75">
        <f t="shared" si="20"/>
        <v>9.4714170542770093E-6</v>
      </c>
      <c r="BV75">
        <f t="shared" si="37"/>
        <v>4.4642857142856984E-3</v>
      </c>
      <c r="BW75">
        <v>63</v>
      </c>
      <c r="BX75">
        <v>3.3333333333333333E-2</v>
      </c>
      <c r="BY75">
        <f t="shared" si="43"/>
        <v>0.46666666666666667</v>
      </c>
      <c r="BZ75" t="e">
        <f t="shared" si="22"/>
        <v>#N/A</v>
      </c>
      <c r="CB75" t="e">
        <f t="shared" si="44"/>
        <v>#N/A</v>
      </c>
      <c r="CC75">
        <f t="shared" si="24"/>
        <v>3.3333333333333333E-2</v>
      </c>
      <c r="CE75" t="e">
        <v>#N/A</v>
      </c>
      <c r="CF75">
        <v>3.3333333333333333E-2</v>
      </c>
      <c r="CJ75">
        <f t="shared" si="26"/>
        <v>0.28125</v>
      </c>
      <c r="CK75">
        <v>2.3787477978100002E-2</v>
      </c>
      <c r="CL75">
        <f t="shared" si="27"/>
        <v>2.598281941000001E-4</v>
      </c>
      <c r="CM75">
        <f t="shared" si="39"/>
        <v>4.4642857142856984E-3</v>
      </c>
    </row>
    <row r="76" spans="2:91">
      <c r="B76">
        <v>64</v>
      </c>
      <c r="C76">
        <f>IF(ISNUMBER(K76),IF('Lab test'!N67&gt;0,'Lab test'!N67,NA()),NA())</f>
        <v>203.2</v>
      </c>
      <c r="D76">
        <f>IF(ISNUMBER(K76),IF('Lab test'!Q67&gt;0,'Lab test'!Q67,NA()),NA())</f>
        <v>800</v>
      </c>
      <c r="E76">
        <f>IF(ISNUMBER(K76),IF('Lab test'!P67&gt;0,'Lab test'!P67,NA()),NA())</f>
        <v>7.0710678118654752E-2</v>
      </c>
      <c r="F76" t="e">
        <f>IF(ISNUMBER(K76),IF('Lab test'!AJ67&gt;0,'Lab test'!AJ67,NA()),NA())</f>
        <v>#N/A</v>
      </c>
      <c r="G76">
        <f>IF('Lab test'!V67&gt;0,'Lab test'!V67,NA())</f>
        <v>208911.228</v>
      </c>
      <c r="H76">
        <f>IF(MAX('Lab test'!W67,'Lab test'!X67)&gt;0,MAX('Lab test'!W67,'Lab test'!X67),NA())</f>
        <v>268.89553443356607</v>
      </c>
      <c r="I76">
        <f>IF('Lab test'!AU67&gt;0,'Lab test'!AU67,NA())</f>
        <v>0.25929817872161881</v>
      </c>
      <c r="J76">
        <f>IF('Lab test'!AT67&gt;0,'Lab test'!AT67,NA())</f>
        <v>0.44115640083761687</v>
      </c>
      <c r="K76">
        <f t="shared" si="28"/>
        <v>1</v>
      </c>
      <c r="L76" t="str">
        <f>'Lab test'!AC67</f>
        <v>LTWb</v>
      </c>
      <c r="N76">
        <v>64</v>
      </c>
      <c r="O76">
        <v>167.80347686100001</v>
      </c>
      <c r="P76">
        <v>0.44652902847800002</v>
      </c>
      <c r="Q76">
        <f t="shared" si="29"/>
        <v>375.79522530250796</v>
      </c>
      <c r="R76">
        <v>350.06053186700001</v>
      </c>
      <c r="S76">
        <f t="shared" si="30"/>
        <v>0.10761345236343921</v>
      </c>
      <c r="T76">
        <v>6.65167883672E-2</v>
      </c>
      <c r="U76">
        <f t="shared" si="0"/>
        <v>0.2857142857142857</v>
      </c>
      <c r="W76">
        <v>64</v>
      </c>
      <c r="X76">
        <v>72.263000000000005</v>
      </c>
      <c r="Y76">
        <f t="shared" si="40"/>
        <v>0.39263803680981596</v>
      </c>
      <c r="Z76" t="e">
        <f t="shared" si="2"/>
        <v>#N/A</v>
      </c>
      <c r="AB76" t="e">
        <f t="shared" si="41"/>
        <v>#N/A</v>
      </c>
      <c r="AC76">
        <f t="shared" si="4"/>
        <v>72.263000000000005</v>
      </c>
      <c r="AE76" t="e">
        <v>#N/A</v>
      </c>
      <c r="AF76">
        <v>72.009</v>
      </c>
      <c r="AJ76">
        <f t="shared" si="6"/>
        <v>0.2857142857142857</v>
      </c>
      <c r="AK76">
        <v>63.309651816500001</v>
      </c>
      <c r="AL76">
        <f t="shared" si="7"/>
        <v>1.4779702900000302E-2</v>
      </c>
      <c r="AM76">
        <f t="shared" si="32"/>
        <v>4.4642857142856984E-3</v>
      </c>
      <c r="AO76">
        <v>64</v>
      </c>
      <c r="AP76">
        <v>400</v>
      </c>
      <c r="AQ76">
        <f t="shared" si="45"/>
        <v>0.39263803680981596</v>
      </c>
      <c r="AR76" t="e">
        <f t="shared" si="8"/>
        <v>#N/A</v>
      </c>
      <c r="AT76" t="e">
        <f t="shared" si="9"/>
        <v>#N/A</v>
      </c>
      <c r="AU76">
        <f t="shared" si="10"/>
        <v>400</v>
      </c>
      <c r="AW76">
        <v>0.79141104294478526</v>
      </c>
      <c r="AX76">
        <v>768.68738469199252</v>
      </c>
      <c r="AY76">
        <f t="shared" si="11"/>
        <v>31.31261530800748</v>
      </c>
      <c r="AZ76">
        <f t="shared" si="34"/>
        <v>6.1349693251533388E-3</v>
      </c>
      <c r="BB76">
        <f t="shared" si="12"/>
        <v>0.2857142857142857</v>
      </c>
      <c r="BC76">
        <v>318.58592315269107</v>
      </c>
      <c r="BD76">
        <f t="shared" si="13"/>
        <v>2.6233413356692381E-2</v>
      </c>
      <c r="BE76">
        <f t="shared" si="35"/>
        <v>4.4642857142856984E-3</v>
      </c>
      <c r="BF76">
        <v>64</v>
      </c>
      <c r="BG76">
        <v>7.6836124885782453E-2</v>
      </c>
      <c r="BH76">
        <f t="shared" si="42"/>
        <v>0.43537414965986393</v>
      </c>
      <c r="BI76" t="e">
        <f t="shared" si="15"/>
        <v>#N/A</v>
      </c>
      <c r="BK76" t="e">
        <f t="shared" si="16"/>
        <v>#N/A</v>
      </c>
      <c r="BL76">
        <f t="shared" si="17"/>
        <v>7.6836124885782453E-2</v>
      </c>
      <c r="BN76">
        <v>0.61224489795918369</v>
      </c>
      <c r="BO76">
        <v>0.12674485010489558</v>
      </c>
      <c r="BP76">
        <f t="shared" si="18"/>
        <v>2.422757152124061E-3</v>
      </c>
      <c r="BQ76">
        <f t="shared" si="36"/>
        <v>6.8027210884353817E-3</v>
      </c>
      <c r="BS76">
        <f t="shared" si="19"/>
        <v>0.2857142857142857</v>
      </c>
      <c r="BT76">
        <v>5.7280558858283613E-2</v>
      </c>
      <c r="BU76">
        <f t="shared" si="20"/>
        <v>1.8790857607094841E-4</v>
      </c>
      <c r="BV76">
        <f t="shared" si="37"/>
        <v>4.4642857142856984E-3</v>
      </c>
      <c r="BW76">
        <v>64</v>
      </c>
      <c r="BX76">
        <v>3.3333333333333333E-2</v>
      </c>
      <c r="BY76">
        <f t="shared" si="43"/>
        <v>0.47407407407407409</v>
      </c>
      <c r="BZ76" t="e">
        <f t="shared" si="22"/>
        <v>#N/A</v>
      </c>
      <c r="CB76" t="e">
        <f t="shared" si="44"/>
        <v>#N/A</v>
      </c>
      <c r="CC76">
        <f t="shared" si="24"/>
        <v>3.3333333333333333E-2</v>
      </c>
      <c r="CE76" t="e">
        <v>#N/A</v>
      </c>
      <c r="CF76">
        <v>3.3333333333333333E-2</v>
      </c>
      <c r="CJ76">
        <f t="shared" si="26"/>
        <v>0.2857142857142857</v>
      </c>
      <c r="CK76">
        <v>2.4047306172200002E-2</v>
      </c>
      <c r="CL76">
        <f t="shared" si="27"/>
        <v>7.2655135889999889E-4</v>
      </c>
      <c r="CM76">
        <f t="shared" si="39"/>
        <v>4.4642857142856984E-3</v>
      </c>
    </row>
    <row r="77" spans="2:91">
      <c r="B77">
        <v>65</v>
      </c>
      <c r="C77">
        <f>IF(ISNUMBER(K77),IF('Lab test'!N68&gt;0,'Lab test'!N68,NA()),NA())</f>
        <v>203.2</v>
      </c>
      <c r="D77">
        <f>IF(ISNUMBER(K77),IF('Lab test'!Q68&gt;0,'Lab test'!Q68,NA()),NA())</f>
        <v>800</v>
      </c>
      <c r="E77">
        <f>IF(ISNUMBER(K77),IF('Lab test'!P68&gt;0,'Lab test'!P68,NA()),NA())</f>
        <v>3.5355339059327376E-2</v>
      </c>
      <c r="F77" t="e">
        <f>IF(ISNUMBER(K77),IF('Lab test'!AJ68&gt;0,'Lab test'!AJ68,NA()),NA())</f>
        <v>#N/A</v>
      </c>
      <c r="G77">
        <f>IF('Lab test'!V68&gt;0,'Lab test'!V68,NA())</f>
        <v>208911.228</v>
      </c>
      <c r="H77">
        <f>IF(MAX('Lab test'!W68,'Lab test'!X68)&gt;0,MAX('Lab test'!W68,'Lab test'!X68),NA())</f>
        <v>268.89553443356607</v>
      </c>
      <c r="I77">
        <f>IF('Lab test'!AU68&gt;0,'Lab test'!AU68,NA())</f>
        <v>0.32533666618630075</v>
      </c>
      <c r="J77">
        <f>IF('Lab test'!AT68&gt;0,'Lab test'!AT68,NA())</f>
        <v>0.55351084000225337</v>
      </c>
      <c r="K77">
        <f t="shared" si="28"/>
        <v>1</v>
      </c>
      <c r="L77" t="str">
        <f>'Lab test'!AC68</f>
        <v>LTWb</v>
      </c>
      <c r="N77">
        <v>65</v>
      </c>
      <c r="O77">
        <v>168.602031291</v>
      </c>
      <c r="P77">
        <v>0.57273897531200002</v>
      </c>
      <c r="Q77">
        <f t="shared" si="29"/>
        <v>294.37848401910122</v>
      </c>
      <c r="R77">
        <v>111.972002589</v>
      </c>
      <c r="S77">
        <f t="shared" si="30"/>
        <v>3.8707365257324024E-2</v>
      </c>
      <c r="T77">
        <v>6.6527827537600004E-2</v>
      </c>
      <c r="U77">
        <f t="shared" ref="U77:U140" si="46">N77/COUNT($N$13:$N$236)</f>
        <v>0.29017857142857145</v>
      </c>
      <c r="W77">
        <v>65</v>
      </c>
      <c r="X77">
        <v>72.263000000000005</v>
      </c>
      <c r="Y77">
        <f t="shared" ref="Y77:Y108" si="47">W77/COUNT($W$13:$W$175)</f>
        <v>0.3987730061349693</v>
      </c>
      <c r="Z77" t="e">
        <f t="shared" ref="Z77:Z140" si="48">IF(X77=X78,NA(),Y77)</f>
        <v>#N/A</v>
      </c>
      <c r="AB77" t="e">
        <f t="shared" ref="AB77:AB108" si="49">Z77</f>
        <v>#N/A</v>
      </c>
      <c r="AC77">
        <f t="shared" ref="AC77:AC140" si="50">X77</f>
        <v>72.263000000000005</v>
      </c>
      <c r="AE77" t="e">
        <v>#N/A</v>
      </c>
      <c r="AF77">
        <v>72.009</v>
      </c>
      <c r="AJ77">
        <f t="shared" ref="AJ77:AJ140" si="51">U77</f>
        <v>0.29017857142857145</v>
      </c>
      <c r="AK77">
        <v>63.324431519400001</v>
      </c>
      <c r="AL77">
        <f t="shared" ref="AL77:AL140" si="52">AK78-AK77</f>
        <v>0.17040214379999696</v>
      </c>
      <c r="AM77">
        <f t="shared" si="32"/>
        <v>4.4642857142857539E-3</v>
      </c>
      <c r="AO77">
        <v>65</v>
      </c>
      <c r="AP77">
        <v>400</v>
      </c>
      <c r="AQ77">
        <f t="shared" si="45"/>
        <v>0.3987730061349693</v>
      </c>
      <c r="AR77">
        <f t="shared" ref="AR77:AR140" si="53">IF(AP77=AP78,NA(),AQ77)</f>
        <v>0.3987730061349693</v>
      </c>
      <c r="AT77">
        <f t="shared" ref="AT77:AT140" si="54">AR77</f>
        <v>0.3987730061349693</v>
      </c>
      <c r="AU77">
        <f t="shared" ref="AU77:AU140" si="55">AP77</f>
        <v>400</v>
      </c>
      <c r="AW77">
        <v>0.81595092024539873</v>
      </c>
      <c r="AX77">
        <v>800</v>
      </c>
      <c r="AY77">
        <f t="shared" ref="AY77:AY98" si="56">AX78-AX77</f>
        <v>60.091743119266084</v>
      </c>
      <c r="AZ77">
        <f t="shared" si="34"/>
        <v>2.4539877300613466E-2</v>
      </c>
      <c r="BB77">
        <f t="shared" ref="BB77:BB140" si="57">U77</f>
        <v>0.29017857142857145</v>
      </c>
      <c r="BC77">
        <v>318.61215656604776</v>
      </c>
      <c r="BD77">
        <f t="shared" ref="BD77:BD140" si="58">BC78-BC77</f>
        <v>0.51069170981656953</v>
      </c>
      <c r="BE77">
        <f t="shared" si="35"/>
        <v>4.4642857142857539E-3</v>
      </c>
      <c r="BF77">
        <v>65</v>
      </c>
      <c r="BG77">
        <v>7.6836124885782453E-2</v>
      </c>
      <c r="BH77">
        <f t="shared" ref="BH77:BH108" si="59">BF77/COUNT($BF$13:$BF$159)</f>
        <v>0.44217687074829931</v>
      </c>
      <c r="BI77" t="e">
        <f t="shared" ref="BI77:BI140" si="60">IF(BG77=BG78,NA(),BH77)</f>
        <v>#N/A</v>
      </c>
      <c r="BK77" t="e">
        <f t="shared" ref="BK77:BK140" si="61">BI77</f>
        <v>#N/A</v>
      </c>
      <c r="BL77">
        <f t="shared" ref="BL77:BL140" si="62">BG77</f>
        <v>7.6836124885782453E-2</v>
      </c>
      <c r="BN77">
        <v>0.61904761904761907</v>
      </c>
      <c r="BO77">
        <v>0.12916760725701965</v>
      </c>
      <c r="BP77">
        <f t="shared" ref="BP77:BP114" si="63">BO78-BO77</f>
        <v>5.033689593626145E-2</v>
      </c>
      <c r="BQ77">
        <f t="shared" si="36"/>
        <v>6.8027210884353817E-3</v>
      </c>
      <c r="BS77">
        <f t="shared" ref="BS77:BS140" si="64">U77</f>
        <v>0.29017857142857145</v>
      </c>
      <c r="BT77">
        <v>5.7468467434354562E-2</v>
      </c>
      <c r="BU77">
        <f t="shared" ref="BU77:BU140" si="65">BT78-BT77</f>
        <v>2.0777938808270308E-4</v>
      </c>
      <c r="BV77">
        <f t="shared" si="37"/>
        <v>4.4642857142857539E-3</v>
      </c>
      <c r="BW77">
        <v>65</v>
      </c>
      <c r="BX77">
        <v>3.3333333333333333E-2</v>
      </c>
      <c r="BY77">
        <f t="shared" ref="BY77:BY108" si="66">BW77/COUNT($BW$13:$BW$147)</f>
        <v>0.48148148148148145</v>
      </c>
      <c r="BZ77" t="e">
        <f t="shared" ref="BZ77:BZ140" si="67">IF(BX77=BX78,NA(),BY77)</f>
        <v>#N/A</v>
      </c>
      <c r="CB77" t="e">
        <f t="shared" ref="CB77:CB108" si="68">BZ77</f>
        <v>#N/A</v>
      </c>
      <c r="CC77">
        <f t="shared" ref="CC77:CC140" si="69">BX77</f>
        <v>3.3333333333333333E-2</v>
      </c>
      <c r="CE77" t="e">
        <v>#N/A</v>
      </c>
      <c r="CF77">
        <v>3.3333333333333333E-2</v>
      </c>
      <c r="CJ77">
        <f t="shared" ref="CJ77:CJ140" si="70">U77</f>
        <v>0.29017857142857145</v>
      </c>
      <c r="CK77">
        <v>2.4773857531100001E-2</v>
      </c>
      <c r="CL77">
        <f t="shared" ref="CL77:CL140" si="71">CK78-CK77</f>
        <v>6.1756662999984391E-6</v>
      </c>
      <c r="CM77">
        <f t="shared" si="39"/>
        <v>4.4642857142857539E-3</v>
      </c>
    </row>
    <row r="78" spans="2:91">
      <c r="B78">
        <v>66</v>
      </c>
      <c r="C78">
        <f>IF(ISNUMBER(K78),IF('Lab test'!N69&gt;0,'Lab test'!N69,NA()),NA())</f>
        <v>203.2</v>
      </c>
      <c r="D78">
        <f>IF(ISNUMBER(K78),IF('Lab test'!Q69&gt;0,'Lab test'!Q69,NA()),NA())</f>
        <v>800</v>
      </c>
      <c r="E78">
        <f>IF(ISNUMBER(K78),IF('Lab test'!P69&gt;0,'Lab test'!P69,NA()),NA())</f>
        <v>3.5355339059327376E-2</v>
      </c>
      <c r="F78" t="e">
        <f>IF(ISNUMBER(K78),IF('Lab test'!AJ69&gt;0,'Lab test'!AJ69,NA()),NA())</f>
        <v>#N/A</v>
      </c>
      <c r="G78">
        <f>IF('Lab test'!V69&gt;0,'Lab test'!V69,NA())</f>
        <v>208911.228</v>
      </c>
      <c r="H78">
        <f>IF(MAX('Lab test'!W69,'Lab test'!X69)&gt;0,MAX('Lab test'!W69,'Lab test'!X69),NA())</f>
        <v>268.89553443356607</v>
      </c>
      <c r="I78">
        <f>IF('Lab test'!AU69&gt;0,'Lab test'!AU69,NA())</f>
        <v>0.25832702449419703</v>
      </c>
      <c r="J78">
        <f>IF('Lab test'!AT69&gt;0,'Lab test'!AT69,NA())</f>
        <v>0.43950412967343105</v>
      </c>
      <c r="K78">
        <f t="shared" ref="K78:K141" si="72">IF(AND(OR(ISNUMBER(I78),ISNUMBER(J78)),ISNUMBER(G78),ISNUMBER(H78),L78="LTWb"),1,NA())</f>
        <v>1</v>
      </c>
      <c r="L78" t="str">
        <f>'Lab test'!AC69</f>
        <v>LTWb</v>
      </c>
      <c r="N78">
        <v>66</v>
      </c>
      <c r="O78">
        <v>168.893783125</v>
      </c>
      <c r="P78">
        <v>0.347303312202</v>
      </c>
      <c r="Q78">
        <f t="shared" ref="Q78:Q141" si="73">O78/P78</f>
        <v>486.30052519270907</v>
      </c>
      <c r="R78">
        <v>290.69424926099998</v>
      </c>
      <c r="S78">
        <f t="shared" ref="S78:S141" si="74">R78/O78*SQRT(P78/O78)</f>
        <v>7.8049550682987592E-2</v>
      </c>
      <c r="T78">
        <v>1.1966007636499999E-2</v>
      </c>
      <c r="U78">
        <f t="shared" si="46"/>
        <v>0.29464285714285715</v>
      </c>
      <c r="W78">
        <v>66</v>
      </c>
      <c r="X78">
        <v>72.263000000000005</v>
      </c>
      <c r="Y78">
        <f t="shared" si="47"/>
        <v>0.40490797546012269</v>
      </c>
      <c r="Z78">
        <f t="shared" si="48"/>
        <v>0.40490797546012269</v>
      </c>
      <c r="AB78">
        <f t="shared" si="49"/>
        <v>0.40490797546012269</v>
      </c>
      <c r="AC78">
        <f t="shared" si="50"/>
        <v>72.263000000000005</v>
      </c>
      <c r="AE78" t="e">
        <v>#N/A</v>
      </c>
      <c r="AF78">
        <v>72.009</v>
      </c>
      <c r="AJ78">
        <f t="shared" si="51"/>
        <v>0.29464285714285715</v>
      </c>
      <c r="AK78">
        <v>63.494833663199998</v>
      </c>
      <c r="AL78">
        <f t="shared" si="52"/>
        <v>1.0990543400005492E-2</v>
      </c>
      <c r="AM78">
        <f t="shared" ref="AM78:AM141" si="75">AJ78-AJ77</f>
        <v>4.4642857142856984E-3</v>
      </c>
      <c r="AO78">
        <v>66</v>
      </c>
      <c r="AP78">
        <v>437.5</v>
      </c>
      <c r="AQ78">
        <f t="shared" ref="AQ78:AQ109" si="76">AO78/COUNT($W$13:$W$175)</f>
        <v>0.40490797546012269</v>
      </c>
      <c r="AR78" t="e">
        <f t="shared" si="53"/>
        <v>#N/A</v>
      </c>
      <c r="AT78" t="e">
        <f t="shared" si="54"/>
        <v>#N/A</v>
      </c>
      <c r="AU78">
        <f t="shared" si="55"/>
        <v>437.5</v>
      </c>
      <c r="AW78">
        <v>0.82208588957055218</v>
      </c>
      <c r="AX78">
        <v>860.09174311926608</v>
      </c>
      <c r="AY78">
        <f t="shared" si="56"/>
        <v>20.189947021578973</v>
      </c>
      <c r="AZ78">
        <f t="shared" ref="AZ78:AZ98" si="77">AW78-AW77</f>
        <v>6.1349693251534498E-3</v>
      </c>
      <c r="BB78">
        <f t="shared" si="57"/>
        <v>0.29464285714285715</v>
      </c>
      <c r="BC78">
        <v>319.12284827586433</v>
      </c>
      <c r="BD78">
        <f t="shared" si="58"/>
        <v>22.490067993230355</v>
      </c>
      <c r="BE78">
        <f t="shared" ref="BE78:BE141" si="78">BB78-BB77</f>
        <v>4.4642857142856984E-3</v>
      </c>
      <c r="BF78">
        <v>66</v>
      </c>
      <c r="BG78">
        <v>7.6836124885782453E-2</v>
      </c>
      <c r="BH78">
        <f t="shared" si="59"/>
        <v>0.44897959183673469</v>
      </c>
      <c r="BI78">
        <f t="shared" si="60"/>
        <v>0.44897959183673469</v>
      </c>
      <c r="BK78">
        <f t="shared" si="61"/>
        <v>0.44897959183673469</v>
      </c>
      <c r="BL78">
        <f t="shared" si="62"/>
        <v>7.6836124885782453E-2</v>
      </c>
      <c r="BN78">
        <v>0.62585034013605445</v>
      </c>
      <c r="BO78">
        <v>0.1795045031932811</v>
      </c>
      <c r="BP78">
        <f t="shared" si="63"/>
        <v>9.104259746418597E-4</v>
      </c>
      <c r="BQ78">
        <f t="shared" ref="BQ78:BQ115" si="79">BN78-BN77</f>
        <v>6.8027210884353817E-3</v>
      </c>
      <c r="BS78">
        <f t="shared" si="64"/>
        <v>0.29464285714285715</v>
      </c>
      <c r="BT78">
        <v>5.7676246822437265E-2</v>
      </c>
      <c r="BU78">
        <f t="shared" si="65"/>
        <v>6.0938322747457196E-5</v>
      </c>
      <c r="BV78">
        <f t="shared" ref="BV78:BV141" si="80">BS78-BS77</f>
        <v>4.4642857142856984E-3</v>
      </c>
      <c r="BW78">
        <v>66</v>
      </c>
      <c r="BX78">
        <v>3.3333333333333333E-2</v>
      </c>
      <c r="BY78">
        <f t="shared" si="66"/>
        <v>0.48888888888888887</v>
      </c>
      <c r="BZ78" t="e">
        <f t="shared" si="67"/>
        <v>#N/A</v>
      </c>
      <c r="CB78" t="e">
        <f t="shared" si="68"/>
        <v>#N/A</v>
      </c>
      <c r="CC78">
        <f t="shared" si="69"/>
        <v>3.3333333333333333E-2</v>
      </c>
      <c r="CE78" t="e">
        <v>#N/A</v>
      </c>
      <c r="CF78">
        <v>3.3333333333333333E-2</v>
      </c>
      <c r="CJ78">
        <f t="shared" si="70"/>
        <v>0.29464285714285715</v>
      </c>
      <c r="CK78">
        <v>2.4780033197399999E-2</v>
      </c>
      <c r="CL78">
        <f t="shared" si="71"/>
        <v>1.2583700960000152E-4</v>
      </c>
      <c r="CM78">
        <f t="shared" ref="CM78:CM141" si="81">CJ78-CJ77</f>
        <v>4.4642857142856984E-3</v>
      </c>
    </row>
    <row r="79" spans="2:91">
      <c r="B79">
        <v>67</v>
      </c>
      <c r="C79">
        <f>IF(ISNUMBER(K79),IF('Lab test'!N70&gt;0,'Lab test'!N70,NA()),NA())</f>
        <v>203.2</v>
      </c>
      <c r="D79">
        <f>IF(ISNUMBER(K79),IF('Lab test'!Q70&gt;0,'Lab test'!Q70,NA()),NA())</f>
        <v>400</v>
      </c>
      <c r="E79">
        <f>IF(ISNUMBER(K79),IF('Lab test'!P70&gt;0,'Lab test'!P70,NA()),NA())</f>
        <v>0.1</v>
      </c>
      <c r="F79" t="e">
        <f>IF(ISNUMBER(K79),IF('Lab test'!AJ70&gt;0,'Lab test'!AJ70,NA()),NA())</f>
        <v>#N/A</v>
      </c>
      <c r="G79">
        <f>IF('Lab test'!V70&gt;0,'Lab test'!V70,NA())</f>
        <v>208911.228</v>
      </c>
      <c r="H79">
        <f>IF(MAX('Lab test'!W70,'Lab test'!X70)&gt;0,MAX('Lab test'!W70,'Lab test'!X70),NA())</f>
        <v>530.89631157396377</v>
      </c>
      <c r="I79">
        <f>IF('Lab test'!AU70&gt;0,'Lab test'!AU70,NA())</f>
        <v>0.35612351643482798</v>
      </c>
      <c r="J79">
        <f>IF('Lab test'!AT70&gt;0,'Lab test'!AT70,NA())</f>
        <v>0.59812216143527075</v>
      </c>
      <c r="K79">
        <f t="shared" si="72"/>
        <v>1</v>
      </c>
      <c r="L79" t="str">
        <f>'Lab test'!AC70</f>
        <v>LTWb</v>
      </c>
      <c r="N79">
        <v>67</v>
      </c>
      <c r="O79">
        <v>170.49878929299999</v>
      </c>
      <c r="P79">
        <v>1.3055194000000001</v>
      </c>
      <c r="Q79">
        <f t="shared" si="73"/>
        <v>130.5984340738253</v>
      </c>
      <c r="R79">
        <v>106.83942896799999</v>
      </c>
      <c r="S79">
        <f t="shared" si="74"/>
        <v>5.4832907383782714E-2</v>
      </c>
      <c r="T79">
        <v>6.6642938649400005E-2</v>
      </c>
      <c r="U79">
        <f t="shared" si="46"/>
        <v>0.29910714285714285</v>
      </c>
      <c r="W79">
        <v>67</v>
      </c>
      <c r="X79">
        <v>75</v>
      </c>
      <c r="Y79">
        <f t="shared" si="47"/>
        <v>0.41104294478527609</v>
      </c>
      <c r="Z79">
        <f t="shared" si="48"/>
        <v>0.41104294478527609</v>
      </c>
      <c r="AB79">
        <f t="shared" si="49"/>
        <v>0.41104294478527609</v>
      </c>
      <c r="AC79">
        <f t="shared" si="50"/>
        <v>75</v>
      </c>
      <c r="AE79" t="e">
        <v>#N/A</v>
      </c>
      <c r="AF79">
        <v>72.009</v>
      </c>
      <c r="AJ79">
        <f t="shared" si="51"/>
        <v>0.29910714285714285</v>
      </c>
      <c r="AK79">
        <v>63.505824206600003</v>
      </c>
      <c r="AL79">
        <f t="shared" si="52"/>
        <v>0.5822495418000031</v>
      </c>
      <c r="AM79">
        <f t="shared" si="75"/>
        <v>4.4642857142856984E-3</v>
      </c>
      <c r="AO79">
        <v>67</v>
      </c>
      <c r="AP79">
        <v>437.5</v>
      </c>
      <c r="AQ79">
        <f t="shared" si="76"/>
        <v>0.41104294478527609</v>
      </c>
      <c r="AR79" t="e">
        <f t="shared" si="53"/>
        <v>#N/A</v>
      </c>
      <c r="AT79" t="e">
        <f t="shared" si="54"/>
        <v>#N/A</v>
      </c>
      <c r="AU79">
        <f t="shared" si="55"/>
        <v>437.5</v>
      </c>
      <c r="AW79">
        <v>0.83435582822085885</v>
      </c>
      <c r="AX79">
        <v>880.28169014084506</v>
      </c>
      <c r="AY79">
        <f t="shared" si="56"/>
        <v>25.51541130843043</v>
      </c>
      <c r="AZ79">
        <f t="shared" si="77"/>
        <v>1.2269938650306678E-2</v>
      </c>
      <c r="BB79">
        <f t="shared" si="57"/>
        <v>0.29910714285714285</v>
      </c>
      <c r="BC79">
        <v>341.61291626909468</v>
      </c>
      <c r="BD79">
        <f t="shared" si="58"/>
        <v>3.2304826860474236</v>
      </c>
      <c r="BE79">
        <f t="shared" si="78"/>
        <v>4.4642857142856984E-3</v>
      </c>
      <c r="BF79">
        <v>67</v>
      </c>
      <c r="BG79">
        <v>7.7027119375654762E-2</v>
      </c>
      <c r="BH79">
        <f t="shared" si="59"/>
        <v>0.45578231292517007</v>
      </c>
      <c r="BI79">
        <f t="shared" si="60"/>
        <v>0.45578231292517007</v>
      </c>
      <c r="BK79">
        <f t="shared" si="61"/>
        <v>0.45578231292517007</v>
      </c>
      <c r="BL79">
        <f t="shared" si="62"/>
        <v>7.7027119375654762E-2</v>
      </c>
      <c r="BN79">
        <v>0.63265306122448983</v>
      </c>
      <c r="BO79">
        <v>0.18041492916792295</v>
      </c>
      <c r="BP79">
        <f t="shared" si="63"/>
        <v>7.9330967306568967E-3</v>
      </c>
      <c r="BQ79">
        <f t="shared" si="79"/>
        <v>6.8027210884353817E-3</v>
      </c>
      <c r="BS79">
        <f t="shared" si="64"/>
        <v>0.29910714285714285</v>
      </c>
      <c r="BT79">
        <v>5.7737185145184722E-2</v>
      </c>
      <c r="BU79">
        <f t="shared" si="65"/>
        <v>7.3225458361442231E-7</v>
      </c>
      <c r="BV79">
        <f t="shared" si="80"/>
        <v>4.4642857142856984E-3</v>
      </c>
      <c r="BW79">
        <v>67</v>
      </c>
      <c r="BX79">
        <v>3.3333333333333333E-2</v>
      </c>
      <c r="BY79">
        <f t="shared" si="66"/>
        <v>0.49629629629629629</v>
      </c>
      <c r="BZ79" t="e">
        <f t="shared" si="67"/>
        <v>#N/A</v>
      </c>
      <c r="CB79" t="e">
        <f t="shared" si="68"/>
        <v>#N/A</v>
      </c>
      <c r="CC79">
        <f t="shared" si="69"/>
        <v>3.3333333333333333E-2</v>
      </c>
      <c r="CE79" t="e">
        <v>#N/A</v>
      </c>
      <c r="CF79">
        <v>3.3333333333333333E-2</v>
      </c>
      <c r="CJ79">
        <f t="shared" si="70"/>
        <v>0.29910714285714285</v>
      </c>
      <c r="CK79">
        <v>2.4905870207000001E-2</v>
      </c>
      <c r="CL79">
        <f t="shared" si="71"/>
        <v>1.5704203298999991E-3</v>
      </c>
      <c r="CM79">
        <f t="shared" si="81"/>
        <v>4.4642857142856984E-3</v>
      </c>
    </row>
    <row r="80" spans="2:91">
      <c r="B80">
        <v>68</v>
      </c>
      <c r="C80">
        <f>IF(ISNUMBER(K80),IF('Lab test'!N71&gt;0,'Lab test'!N71,NA()),NA())</f>
        <v>203.2</v>
      </c>
      <c r="D80">
        <f>IF(ISNUMBER(K80),IF('Lab test'!Q71&gt;0,'Lab test'!Q71,NA()),NA())</f>
        <v>400</v>
      </c>
      <c r="E80">
        <f>IF(ISNUMBER(K80),IF('Lab test'!P71&gt;0,'Lab test'!P71,NA()),NA())</f>
        <v>0.1</v>
      </c>
      <c r="F80" t="e">
        <f>IF(ISNUMBER(K80),IF('Lab test'!AJ71&gt;0,'Lab test'!AJ71,NA()),NA())</f>
        <v>#N/A</v>
      </c>
      <c r="G80">
        <f>IF('Lab test'!V71&gt;0,'Lab test'!V71,NA())</f>
        <v>208911.228</v>
      </c>
      <c r="H80">
        <f>IF(MAX('Lab test'!W71,'Lab test'!X71)&gt;0,MAX('Lab test'!W71,'Lab test'!X71),NA())</f>
        <v>530.89631157396377</v>
      </c>
      <c r="I80">
        <f>IF('Lab test'!AU71&gt;0,'Lab test'!AU71,NA())</f>
        <v>0.29316245275574232</v>
      </c>
      <c r="J80">
        <f>IF('Lab test'!AT71&gt;0,'Lab test'!AT71,NA())</f>
        <v>0.49237680692737751</v>
      </c>
      <c r="K80">
        <f t="shared" si="72"/>
        <v>1</v>
      </c>
      <c r="L80" t="str">
        <f>'Lab test'!AC71</f>
        <v>LTWb</v>
      </c>
      <c r="N80">
        <v>68</v>
      </c>
      <c r="O80">
        <v>170.887592638</v>
      </c>
      <c r="P80">
        <v>0.217803687917</v>
      </c>
      <c r="Q80">
        <f t="shared" si="73"/>
        <v>784.59457813736083</v>
      </c>
      <c r="R80">
        <v>93.510300873199995</v>
      </c>
      <c r="S80">
        <f t="shared" si="74"/>
        <v>1.9535578272133494E-2</v>
      </c>
      <c r="T80">
        <v>2.6900617520399999E-2</v>
      </c>
      <c r="U80">
        <f t="shared" si="46"/>
        <v>0.30357142857142855</v>
      </c>
      <c r="W80">
        <v>68</v>
      </c>
      <c r="X80">
        <v>75.895200000000003</v>
      </c>
      <c r="Y80">
        <f t="shared" si="47"/>
        <v>0.41717791411042943</v>
      </c>
      <c r="Z80" t="e">
        <f t="shared" si="48"/>
        <v>#N/A</v>
      </c>
      <c r="AB80" t="e">
        <f t="shared" si="49"/>
        <v>#N/A</v>
      </c>
      <c r="AC80">
        <f t="shared" si="50"/>
        <v>75.895200000000003</v>
      </c>
      <c r="AE80" t="e">
        <v>#N/A</v>
      </c>
      <c r="AF80">
        <v>72.009</v>
      </c>
      <c r="AJ80">
        <f t="shared" si="51"/>
        <v>0.30357142857142855</v>
      </c>
      <c r="AK80">
        <v>64.088073748400006</v>
      </c>
      <c r="AL80">
        <f t="shared" si="52"/>
        <v>1.4021708499996066E-2</v>
      </c>
      <c r="AM80">
        <f t="shared" si="75"/>
        <v>4.4642857142856984E-3</v>
      </c>
      <c r="AO80">
        <v>68</v>
      </c>
      <c r="AP80">
        <v>437.5</v>
      </c>
      <c r="AQ80">
        <f t="shared" si="76"/>
        <v>0.41717791411042943</v>
      </c>
      <c r="AR80" t="e">
        <f t="shared" si="53"/>
        <v>#N/A</v>
      </c>
      <c r="AT80" t="e">
        <f t="shared" si="54"/>
        <v>#N/A</v>
      </c>
      <c r="AU80">
        <f t="shared" si="55"/>
        <v>437.5</v>
      </c>
      <c r="AW80">
        <v>0.84662576687116564</v>
      </c>
      <c r="AX80">
        <v>905.79710144927549</v>
      </c>
      <c r="AY80">
        <f t="shared" si="56"/>
        <v>9.609541712287978</v>
      </c>
      <c r="AZ80">
        <f t="shared" si="77"/>
        <v>1.2269938650306789E-2</v>
      </c>
      <c r="BB80">
        <f t="shared" si="57"/>
        <v>0.30357142857142855</v>
      </c>
      <c r="BC80">
        <v>344.84339895514211</v>
      </c>
      <c r="BD80">
        <f t="shared" si="58"/>
        <v>1.3155680881366152</v>
      </c>
      <c r="BE80">
        <f t="shared" si="78"/>
        <v>4.4642857142856984E-3</v>
      </c>
      <c r="BF80">
        <v>68</v>
      </c>
      <c r="BG80">
        <v>7.7685470823309941E-2</v>
      </c>
      <c r="BH80">
        <f t="shared" si="59"/>
        <v>0.46258503401360546</v>
      </c>
      <c r="BI80">
        <f t="shared" si="60"/>
        <v>0.46258503401360546</v>
      </c>
      <c r="BK80">
        <f t="shared" si="61"/>
        <v>0.46258503401360546</v>
      </c>
      <c r="BL80">
        <f t="shared" si="62"/>
        <v>7.7685470823309941E-2</v>
      </c>
      <c r="BN80">
        <v>0.6462585034013606</v>
      </c>
      <c r="BO80">
        <v>0.18834802589857985</v>
      </c>
      <c r="BP80">
        <f t="shared" si="63"/>
        <v>2.9170922133119337E-3</v>
      </c>
      <c r="BQ80">
        <f t="shared" si="79"/>
        <v>1.3605442176870763E-2</v>
      </c>
      <c r="BS80">
        <f t="shared" si="64"/>
        <v>0.30357142857142855</v>
      </c>
      <c r="BT80">
        <v>5.7737917399768336E-2</v>
      </c>
      <c r="BU80">
        <f t="shared" si="65"/>
        <v>1.3492301626727432E-4</v>
      </c>
      <c r="BV80">
        <f t="shared" si="80"/>
        <v>4.4642857142856984E-3</v>
      </c>
      <c r="BW80">
        <v>68</v>
      </c>
      <c r="BX80">
        <v>3.3333333333333333E-2</v>
      </c>
      <c r="BY80">
        <f t="shared" si="66"/>
        <v>0.50370370370370365</v>
      </c>
      <c r="BZ80" t="e">
        <f t="shared" si="67"/>
        <v>#N/A</v>
      </c>
      <c r="CB80" t="e">
        <f t="shared" si="68"/>
        <v>#N/A</v>
      </c>
      <c r="CC80">
        <f t="shared" si="69"/>
        <v>3.3333333333333333E-2</v>
      </c>
      <c r="CE80" t="e">
        <v>#N/A</v>
      </c>
      <c r="CF80">
        <v>3.3333333333333333E-2</v>
      </c>
      <c r="CJ80">
        <f t="shared" si="70"/>
        <v>0.30357142857142855</v>
      </c>
      <c r="CK80">
        <v>2.64762905369E-2</v>
      </c>
      <c r="CL80">
        <f t="shared" si="71"/>
        <v>1.8228671970000124E-4</v>
      </c>
      <c r="CM80">
        <f t="shared" si="81"/>
        <v>4.4642857142856984E-3</v>
      </c>
    </row>
    <row r="81" spans="2:91">
      <c r="B81">
        <v>69</v>
      </c>
      <c r="C81">
        <f>IF(ISNUMBER(K81),IF('Lab test'!N72&gt;0,'Lab test'!N72,NA()),NA())</f>
        <v>203.2</v>
      </c>
      <c r="D81">
        <f>IF(ISNUMBER(K81),IF('Lab test'!Q72&gt;0,'Lab test'!Q72,NA()),NA())</f>
        <v>400</v>
      </c>
      <c r="E81">
        <f>IF(ISNUMBER(K81),IF('Lab test'!P72&gt;0,'Lab test'!P72,NA()),NA())</f>
        <v>0.05</v>
      </c>
      <c r="F81" t="e">
        <f>IF(ISNUMBER(K81),IF('Lab test'!AJ72&gt;0,'Lab test'!AJ72,NA()),NA())</f>
        <v>#N/A</v>
      </c>
      <c r="G81">
        <f>IF('Lab test'!V72&gt;0,'Lab test'!V72,NA())</f>
        <v>208911.228</v>
      </c>
      <c r="H81">
        <f>IF(MAX('Lab test'!W72,'Lab test'!X72)&gt;0,MAX('Lab test'!W72,'Lab test'!X72),NA())</f>
        <v>530.89631157396377</v>
      </c>
      <c r="I81">
        <f>IF('Lab test'!AU72&gt;0,'Lab test'!AU72,NA())</f>
        <v>0.26364945415617097</v>
      </c>
      <c r="J81">
        <f>IF('Lab test'!AT72&gt;0,'Lab test'!AT72,NA())</f>
        <v>0.44280867200180263</v>
      </c>
      <c r="K81">
        <f t="shared" si="72"/>
        <v>1</v>
      </c>
      <c r="L81" t="str">
        <f>'Lab test'!AC72</f>
        <v>LTWb</v>
      </c>
      <c r="N81">
        <v>69</v>
      </c>
      <c r="O81">
        <v>172.115947788</v>
      </c>
      <c r="P81">
        <v>1.0235061659</v>
      </c>
      <c r="Q81">
        <f t="shared" si="73"/>
        <v>168.16307856499645</v>
      </c>
      <c r="R81">
        <v>40.261498855399999</v>
      </c>
      <c r="S81">
        <f t="shared" si="74"/>
        <v>1.8038627954226505E-2</v>
      </c>
      <c r="T81">
        <v>3.0272134449299999E-2</v>
      </c>
      <c r="U81">
        <f t="shared" si="46"/>
        <v>0.3080357142857143</v>
      </c>
      <c r="W81">
        <v>69</v>
      </c>
      <c r="X81">
        <v>75.895200000000003</v>
      </c>
      <c r="Y81">
        <f t="shared" si="47"/>
        <v>0.42331288343558282</v>
      </c>
      <c r="Z81">
        <f t="shared" si="48"/>
        <v>0.42331288343558282</v>
      </c>
      <c r="AB81">
        <f t="shared" si="49"/>
        <v>0.42331288343558282</v>
      </c>
      <c r="AC81">
        <f t="shared" si="50"/>
        <v>75.895200000000003</v>
      </c>
      <c r="AE81" t="e">
        <v>#N/A</v>
      </c>
      <c r="AF81">
        <v>72.009</v>
      </c>
      <c r="AJ81">
        <f t="shared" si="51"/>
        <v>0.3080357142857143</v>
      </c>
      <c r="AK81">
        <v>64.102095456900003</v>
      </c>
      <c r="AL81">
        <f t="shared" si="52"/>
        <v>0.48412653999999122</v>
      </c>
      <c r="AM81">
        <f t="shared" si="75"/>
        <v>4.4642857142857539E-3</v>
      </c>
      <c r="AO81">
        <v>69</v>
      </c>
      <c r="AP81">
        <v>437.5</v>
      </c>
      <c r="AQ81">
        <f t="shared" si="76"/>
        <v>0.42331288343558282</v>
      </c>
      <c r="AR81">
        <f t="shared" si="53"/>
        <v>0.42331288343558282</v>
      </c>
      <c r="AT81">
        <f t="shared" si="54"/>
        <v>0.42331288343558282</v>
      </c>
      <c r="AU81">
        <f t="shared" si="55"/>
        <v>437.5</v>
      </c>
      <c r="AW81">
        <v>0.85276073619631898</v>
      </c>
      <c r="AX81">
        <v>915.40664316156347</v>
      </c>
      <c r="AY81">
        <f t="shared" si="56"/>
        <v>3.7110038972599568</v>
      </c>
      <c r="AZ81">
        <f t="shared" si="77"/>
        <v>6.1349693251533388E-3</v>
      </c>
      <c r="BB81">
        <f t="shared" si="57"/>
        <v>0.3080357142857143</v>
      </c>
      <c r="BC81">
        <v>346.15896704327872</v>
      </c>
      <c r="BD81">
        <f t="shared" si="58"/>
        <v>0.50235944913265485</v>
      </c>
      <c r="BE81">
        <f t="shared" si="78"/>
        <v>4.4642857142857539E-3</v>
      </c>
      <c r="BF81">
        <v>69</v>
      </c>
      <c r="BG81">
        <v>7.9729825318660213E-2</v>
      </c>
      <c r="BH81">
        <f t="shared" si="59"/>
        <v>0.46938775510204084</v>
      </c>
      <c r="BI81">
        <f t="shared" si="60"/>
        <v>0.46938775510204084</v>
      </c>
      <c r="BK81">
        <f t="shared" si="61"/>
        <v>0.46938775510204084</v>
      </c>
      <c r="BL81">
        <f t="shared" si="62"/>
        <v>7.9729825318660213E-2</v>
      </c>
      <c r="BN81">
        <v>0.65986394557823125</v>
      </c>
      <c r="BO81">
        <v>0.19126511811189179</v>
      </c>
      <c r="BP81">
        <f t="shared" si="63"/>
        <v>1.4656545226303108E-3</v>
      </c>
      <c r="BQ81">
        <f t="shared" si="79"/>
        <v>1.3605442176870652E-2</v>
      </c>
      <c r="BS81">
        <f t="shared" si="64"/>
        <v>0.3080357142857143</v>
      </c>
      <c r="BT81">
        <v>5.7872840416035611E-2</v>
      </c>
      <c r="BU81">
        <f t="shared" si="65"/>
        <v>8.117257356088578E-4</v>
      </c>
      <c r="BV81">
        <f t="shared" si="80"/>
        <v>4.4642857142857539E-3</v>
      </c>
      <c r="BW81">
        <v>69</v>
      </c>
      <c r="BX81">
        <v>3.3333333333333333E-2</v>
      </c>
      <c r="BY81">
        <f t="shared" si="66"/>
        <v>0.51111111111111107</v>
      </c>
      <c r="BZ81" t="e">
        <f t="shared" si="67"/>
        <v>#N/A</v>
      </c>
      <c r="CB81" t="e">
        <f t="shared" si="68"/>
        <v>#N/A</v>
      </c>
      <c r="CC81">
        <f t="shared" si="69"/>
        <v>3.3333333333333333E-2</v>
      </c>
      <c r="CE81" t="e">
        <v>#N/A</v>
      </c>
      <c r="CF81">
        <v>3.3333333333333333E-2</v>
      </c>
      <c r="CJ81">
        <f t="shared" si="70"/>
        <v>0.3080357142857143</v>
      </c>
      <c r="CK81">
        <v>2.6658577256600001E-2</v>
      </c>
      <c r="CL81">
        <f t="shared" si="71"/>
        <v>4.8652380999998635E-5</v>
      </c>
      <c r="CM81">
        <f t="shared" si="81"/>
        <v>4.4642857142857539E-3</v>
      </c>
    </row>
    <row r="82" spans="2:91">
      <c r="B82">
        <v>70</v>
      </c>
      <c r="C82">
        <f>IF(ISNUMBER(K82),IF('Lab test'!N73&gt;0,'Lab test'!N73,NA()),NA())</f>
        <v>203.2</v>
      </c>
      <c r="D82">
        <f>IF(ISNUMBER(K82),IF('Lab test'!Q73&gt;0,'Lab test'!Q73,NA()),NA())</f>
        <v>400</v>
      </c>
      <c r="E82">
        <f>IF(ISNUMBER(K82),IF('Lab test'!P73&gt;0,'Lab test'!P73,NA()),NA())</f>
        <v>0.05</v>
      </c>
      <c r="F82" t="e">
        <f>IF(ISNUMBER(K82),IF('Lab test'!AJ73&gt;0,'Lab test'!AJ73,NA()),NA())</f>
        <v>#N/A</v>
      </c>
      <c r="G82">
        <f>IF('Lab test'!V73&gt;0,'Lab test'!V73,NA())</f>
        <v>208911.228</v>
      </c>
      <c r="H82">
        <f>IF(MAX('Lab test'!W73,'Lab test'!X73)&gt;0,MAX('Lab test'!W73,'Lab test'!X73),NA())</f>
        <v>530.89631157396377</v>
      </c>
      <c r="I82">
        <f>IF('Lab test'!AU73&gt;0,'Lab test'!AU73,NA())</f>
        <v>0.34038325051505652</v>
      </c>
      <c r="J82">
        <f>IF('Lab test'!AT73&gt;0,'Lab test'!AT73,NA())</f>
        <v>0.57168582280829738</v>
      </c>
      <c r="K82">
        <f t="shared" si="72"/>
        <v>1</v>
      </c>
      <c r="L82" t="str">
        <f>'Lab test'!AC73</f>
        <v>LTWb</v>
      </c>
      <c r="N82">
        <v>70</v>
      </c>
      <c r="O82">
        <v>173.16013863399999</v>
      </c>
      <c r="P82">
        <v>0.50023300021100003</v>
      </c>
      <c r="Q82">
        <f t="shared" si="73"/>
        <v>346.15896704327872</v>
      </c>
      <c r="R82">
        <v>326.515726008</v>
      </c>
      <c r="S82">
        <f t="shared" si="74"/>
        <v>0.10134874731526328</v>
      </c>
      <c r="T82">
        <v>6.6631401308999999E-2</v>
      </c>
      <c r="U82">
        <f t="shared" si="46"/>
        <v>0.3125</v>
      </c>
      <c r="W82">
        <v>70</v>
      </c>
      <c r="X82">
        <v>76.2</v>
      </c>
      <c r="Y82">
        <f t="shared" si="47"/>
        <v>0.42944785276073622</v>
      </c>
      <c r="Z82" t="e">
        <f t="shared" si="48"/>
        <v>#N/A</v>
      </c>
      <c r="AB82" t="e">
        <f t="shared" si="49"/>
        <v>#N/A</v>
      </c>
      <c r="AC82">
        <f t="shared" si="50"/>
        <v>76.2</v>
      </c>
      <c r="AE82" t="e">
        <v>#N/A</v>
      </c>
      <c r="AF82">
        <v>72.009</v>
      </c>
      <c r="AJ82">
        <f t="shared" si="51"/>
        <v>0.3125</v>
      </c>
      <c r="AK82">
        <v>64.586221996899994</v>
      </c>
      <c r="AL82">
        <f t="shared" si="52"/>
        <v>0.91591335809999919</v>
      </c>
      <c r="AM82">
        <f t="shared" si="75"/>
        <v>4.4642857142856984E-3</v>
      </c>
      <c r="AO82">
        <v>70</v>
      </c>
      <c r="AP82">
        <v>455.5668683904608</v>
      </c>
      <c r="AQ82">
        <f t="shared" si="76"/>
        <v>0.42944785276073622</v>
      </c>
      <c r="AR82">
        <f t="shared" si="53"/>
        <v>0.42944785276073622</v>
      </c>
      <c r="AT82">
        <f t="shared" si="54"/>
        <v>0.42944785276073622</v>
      </c>
      <c r="AU82">
        <f t="shared" si="55"/>
        <v>455.5668683904608</v>
      </c>
      <c r="AW82">
        <v>0.85889570552147243</v>
      </c>
      <c r="AX82">
        <v>919.11764705882342</v>
      </c>
      <c r="AY82">
        <f t="shared" si="56"/>
        <v>9.6524200240672826</v>
      </c>
      <c r="AZ82">
        <f t="shared" si="77"/>
        <v>6.1349693251534498E-3</v>
      </c>
      <c r="BB82">
        <f t="shared" si="57"/>
        <v>0.3125</v>
      </c>
      <c r="BC82">
        <v>346.66132649241138</v>
      </c>
      <c r="BD82">
        <f t="shared" si="58"/>
        <v>0.49058450667172337</v>
      </c>
      <c r="BE82">
        <f t="shared" si="78"/>
        <v>4.4642857142856984E-3</v>
      </c>
      <c r="BF82">
        <v>70</v>
      </c>
      <c r="BG82">
        <v>9.5974516502575158E-2</v>
      </c>
      <c r="BH82">
        <f t="shared" si="59"/>
        <v>0.47619047619047616</v>
      </c>
      <c r="BI82">
        <f t="shared" si="60"/>
        <v>0.47619047619047616</v>
      </c>
      <c r="BK82">
        <f t="shared" si="61"/>
        <v>0.47619047619047616</v>
      </c>
      <c r="BL82">
        <f t="shared" si="62"/>
        <v>9.5974516502575158E-2</v>
      </c>
      <c r="BN82">
        <v>0.66666666666666663</v>
      </c>
      <c r="BO82">
        <v>0.1927307726345221</v>
      </c>
      <c r="BP82">
        <f t="shared" si="63"/>
        <v>1.6814258325412584E-2</v>
      </c>
      <c r="BQ82">
        <f t="shared" si="79"/>
        <v>6.8027210884353817E-3</v>
      </c>
      <c r="BS82">
        <f t="shared" si="64"/>
        <v>0.3125</v>
      </c>
      <c r="BT82">
        <v>5.8684566151644468E-2</v>
      </c>
      <c r="BU82">
        <f t="shared" si="65"/>
        <v>1.1794371575653273E-4</v>
      </c>
      <c r="BV82">
        <f t="shared" si="80"/>
        <v>4.4642857142856984E-3</v>
      </c>
      <c r="BW82">
        <v>70</v>
      </c>
      <c r="BX82">
        <v>3.3333333333333333E-2</v>
      </c>
      <c r="BY82">
        <f t="shared" si="66"/>
        <v>0.51851851851851849</v>
      </c>
      <c r="BZ82" t="e">
        <f t="shared" si="67"/>
        <v>#N/A</v>
      </c>
      <c r="CB82" t="e">
        <f t="shared" si="68"/>
        <v>#N/A</v>
      </c>
      <c r="CC82">
        <f t="shared" si="69"/>
        <v>3.3333333333333333E-2</v>
      </c>
      <c r="CE82" t="e">
        <v>#N/A</v>
      </c>
      <c r="CF82">
        <v>3.3333333333333333E-2</v>
      </c>
      <c r="CJ82">
        <f t="shared" si="70"/>
        <v>0.3125</v>
      </c>
      <c r="CK82">
        <v>2.67072296376E-2</v>
      </c>
      <c r="CL82">
        <f t="shared" si="71"/>
        <v>1.9338788279999949E-4</v>
      </c>
      <c r="CM82">
        <f t="shared" si="81"/>
        <v>4.4642857142856984E-3</v>
      </c>
    </row>
    <row r="83" spans="2:91">
      <c r="B83">
        <v>71</v>
      </c>
      <c r="C83">
        <f>IF(ISNUMBER(K83),IF('Lab test'!N74&gt;0,'Lab test'!N74,NA()),NA())</f>
        <v>76.2</v>
      </c>
      <c r="D83">
        <f>IF(ISNUMBER(K83),IF('Lab test'!Q74&gt;0,'Lab test'!Q74,NA()),NA())</f>
        <v>375</v>
      </c>
      <c r="E83">
        <f>IF(ISNUMBER(K83),IF('Lab test'!P74&gt;0,'Lab test'!P74,NA()),NA())</f>
        <v>0.10327955589886445</v>
      </c>
      <c r="F83" t="e">
        <f>IF(ISNUMBER(K83),IF('Lab test'!AJ74&gt;0,'Lab test'!AJ74,NA()),NA())</f>
        <v>#N/A</v>
      </c>
      <c r="G83">
        <f>IF('Lab test'!V74&gt;0,'Lab test'!V74,NA())</f>
        <v>223390.22399999999</v>
      </c>
      <c r="H83">
        <f>IF(MAX('Lab test'!W74,'Lab test'!X74)&gt;0,MAX('Lab test'!W74,'Lab test'!X74),NA())</f>
        <v>268.89553443356607</v>
      </c>
      <c r="I83">
        <f>IF('Lab test'!AU74&gt;0,'Lab test'!AU74,NA())</f>
        <v>0.71778489718164218</v>
      </c>
      <c r="J83">
        <f>IF('Lab test'!AT74&gt;0,'Lab test'!AT74,NA())</f>
        <v>0.53533585719620902</v>
      </c>
      <c r="K83">
        <f t="shared" si="72"/>
        <v>1</v>
      </c>
      <c r="L83" t="str">
        <f>'Lab test'!AC74</f>
        <v>LTWb</v>
      </c>
      <c r="N83">
        <v>71</v>
      </c>
      <c r="O83">
        <v>175.152388535</v>
      </c>
      <c r="P83">
        <v>0.38083119161500001</v>
      </c>
      <c r="Q83">
        <f t="shared" si="73"/>
        <v>459.92133100292295</v>
      </c>
      <c r="R83">
        <v>215.86759642800001</v>
      </c>
      <c r="S83">
        <f t="shared" si="74"/>
        <v>5.7468467434354562E-2</v>
      </c>
      <c r="T83">
        <v>6.6494166307100006E-2</v>
      </c>
      <c r="U83">
        <f t="shared" si="46"/>
        <v>0.3169642857142857</v>
      </c>
      <c r="W83">
        <v>71</v>
      </c>
      <c r="X83">
        <v>76.2</v>
      </c>
      <c r="Y83">
        <f t="shared" si="47"/>
        <v>0.43558282208588955</v>
      </c>
      <c r="Z83" t="e">
        <f t="shared" si="48"/>
        <v>#N/A</v>
      </c>
      <c r="AB83" t="e">
        <f t="shared" si="49"/>
        <v>#N/A</v>
      </c>
      <c r="AC83">
        <f t="shared" si="50"/>
        <v>76.2</v>
      </c>
      <c r="AE83" t="e">
        <v>#N/A</v>
      </c>
      <c r="AF83">
        <v>72.009</v>
      </c>
      <c r="AJ83">
        <f t="shared" si="51"/>
        <v>0.3169642857142857</v>
      </c>
      <c r="AK83">
        <v>65.502135354999993</v>
      </c>
      <c r="AL83">
        <f t="shared" si="52"/>
        <v>0.33367657730001099</v>
      </c>
      <c r="AM83">
        <f t="shared" si="75"/>
        <v>4.4642857142856984E-3</v>
      </c>
      <c r="AO83">
        <v>71</v>
      </c>
      <c r="AP83">
        <v>459.75609756097566</v>
      </c>
      <c r="AQ83">
        <f t="shared" si="76"/>
        <v>0.43558282208588955</v>
      </c>
      <c r="AR83">
        <f t="shared" si="53"/>
        <v>0.43558282208588955</v>
      </c>
      <c r="AT83">
        <f t="shared" si="54"/>
        <v>0.43558282208588955</v>
      </c>
      <c r="AU83">
        <f t="shared" si="55"/>
        <v>459.75609756097566</v>
      </c>
      <c r="AW83">
        <v>0.86503067484662577</v>
      </c>
      <c r="AX83">
        <v>928.77006708289071</v>
      </c>
      <c r="AY83">
        <f t="shared" si="56"/>
        <v>4.0657538126318968</v>
      </c>
      <c r="AZ83">
        <f t="shared" si="77"/>
        <v>6.1349693251533388E-3</v>
      </c>
      <c r="BB83">
        <f t="shared" si="57"/>
        <v>0.3169642857142857</v>
      </c>
      <c r="BC83">
        <v>347.1519109990831</v>
      </c>
      <c r="BD83">
        <f t="shared" si="58"/>
        <v>0.1083282386326232</v>
      </c>
      <c r="BE83">
        <f t="shared" si="78"/>
        <v>4.4642857142856984E-3</v>
      </c>
      <c r="BF83">
        <v>71</v>
      </c>
      <c r="BG83">
        <v>9.7943966447492078E-2</v>
      </c>
      <c r="BH83">
        <f t="shared" si="59"/>
        <v>0.48299319727891155</v>
      </c>
      <c r="BI83">
        <f t="shared" si="60"/>
        <v>0.48299319727891155</v>
      </c>
      <c r="BK83">
        <f t="shared" si="61"/>
        <v>0.48299319727891155</v>
      </c>
      <c r="BL83">
        <f t="shared" si="62"/>
        <v>9.7943966447492078E-2</v>
      </c>
      <c r="BN83">
        <v>0.67346938775510201</v>
      </c>
      <c r="BO83">
        <v>0.20954503095993468</v>
      </c>
      <c r="BP83">
        <f t="shared" si="63"/>
        <v>1.0344637086230624E-3</v>
      </c>
      <c r="BQ83">
        <f t="shared" si="79"/>
        <v>6.8027210884353817E-3</v>
      </c>
      <c r="BS83">
        <f t="shared" si="64"/>
        <v>0.3169642857142857</v>
      </c>
      <c r="BT83">
        <v>5.8802509867401001E-2</v>
      </c>
      <c r="BU83">
        <f t="shared" si="65"/>
        <v>1.2987348901212503E-5</v>
      </c>
      <c r="BV83">
        <f t="shared" si="80"/>
        <v>4.4642857142856984E-3</v>
      </c>
      <c r="BW83">
        <v>71</v>
      </c>
      <c r="BX83">
        <v>3.3333333333333333E-2</v>
      </c>
      <c r="BY83">
        <f t="shared" si="66"/>
        <v>0.52592592592592591</v>
      </c>
      <c r="BZ83" t="e">
        <f t="shared" si="67"/>
        <v>#N/A</v>
      </c>
      <c r="CB83" t="e">
        <f t="shared" si="68"/>
        <v>#N/A</v>
      </c>
      <c r="CC83">
        <f t="shared" si="69"/>
        <v>3.3333333333333333E-2</v>
      </c>
      <c r="CE83" t="e">
        <v>#N/A</v>
      </c>
      <c r="CF83">
        <v>3.3333333333333333E-2</v>
      </c>
      <c r="CJ83">
        <f t="shared" si="70"/>
        <v>0.3169642857142857</v>
      </c>
      <c r="CK83">
        <v>2.6900617520399999E-2</v>
      </c>
      <c r="CL83">
        <f t="shared" si="71"/>
        <v>5.9087079620000205E-4</v>
      </c>
      <c r="CM83">
        <f t="shared" si="81"/>
        <v>4.4642857142856984E-3</v>
      </c>
    </row>
    <row r="84" spans="2:91">
      <c r="B84">
        <v>72</v>
      </c>
      <c r="C84">
        <f>IF(ISNUMBER(K84),IF('Lab test'!N75&gt;0,'Lab test'!N75,NA()),NA())</f>
        <v>76.2</v>
      </c>
      <c r="D84">
        <f>IF(ISNUMBER(K84),IF('Lab test'!Q75&gt;0,'Lab test'!Q75,NA()),NA())</f>
        <v>300</v>
      </c>
      <c r="E84">
        <f>IF(ISNUMBER(K84),IF('Lab test'!P75&gt;0,'Lab test'!P75,NA()),NA())</f>
        <v>0.11547005383792515</v>
      </c>
      <c r="F84" t="e">
        <f>IF(ISNUMBER(K84),IF('Lab test'!AJ75&gt;0,'Lab test'!AJ75,NA()),NA())</f>
        <v>#N/A</v>
      </c>
      <c r="G84">
        <f>IF('Lab test'!V75&gt;0,'Lab test'!V75,NA())</f>
        <v>237179.74400000001</v>
      </c>
      <c r="H84">
        <f>IF(MAX('Lab test'!W75,'Lab test'!X75)&gt;0,MAX('Lab test'!W75,'Lab test'!X75),NA())</f>
        <v>268.89553443356607</v>
      </c>
      <c r="I84">
        <f>IF('Lab test'!AU75&gt;0,'Lab test'!AU75,NA())</f>
        <v>0.80266698178777074</v>
      </c>
      <c r="J84">
        <f>IF('Lab test'!AT75&gt;0,'Lab test'!AT75,NA())</f>
        <v>0.45107002782273187</v>
      </c>
      <c r="K84">
        <f t="shared" si="72"/>
        <v>1</v>
      </c>
      <c r="L84" t="str">
        <f>'Lab test'!AC75</f>
        <v>LTWb</v>
      </c>
      <c r="N84">
        <v>72</v>
      </c>
      <c r="O84">
        <v>175.62902477399999</v>
      </c>
      <c r="P84">
        <v>0.30433056971099998</v>
      </c>
      <c r="Q84">
        <f t="shared" si="73"/>
        <v>577.09951695218047</v>
      </c>
      <c r="R84">
        <v>148.58772327599999</v>
      </c>
      <c r="S84">
        <f t="shared" si="74"/>
        <v>3.521772379943152E-2</v>
      </c>
      <c r="T84">
        <v>5.7655323379500002E-2</v>
      </c>
      <c r="U84">
        <f t="shared" si="46"/>
        <v>0.32142857142857145</v>
      </c>
      <c r="W84">
        <v>72</v>
      </c>
      <c r="X84">
        <v>76.2</v>
      </c>
      <c r="Y84">
        <f t="shared" si="47"/>
        <v>0.44171779141104295</v>
      </c>
      <c r="Z84" t="e">
        <f t="shared" si="48"/>
        <v>#N/A</v>
      </c>
      <c r="AB84" t="e">
        <f t="shared" si="49"/>
        <v>#N/A</v>
      </c>
      <c r="AC84">
        <f t="shared" si="50"/>
        <v>76.2</v>
      </c>
      <c r="AE84" t="e">
        <v>#N/A</v>
      </c>
      <c r="AF84">
        <v>72.009</v>
      </c>
      <c r="AJ84">
        <f t="shared" si="51"/>
        <v>0.32142857142857145</v>
      </c>
      <c r="AK84">
        <v>65.835811932300004</v>
      </c>
      <c r="AL84">
        <f t="shared" si="52"/>
        <v>0.17139134199999262</v>
      </c>
      <c r="AM84">
        <f t="shared" si="75"/>
        <v>4.4642857142857539E-3</v>
      </c>
      <c r="AO84">
        <v>72</v>
      </c>
      <c r="AP84">
        <v>460.27553859462421</v>
      </c>
      <c r="AQ84">
        <f t="shared" si="76"/>
        <v>0.44171779141104295</v>
      </c>
      <c r="AR84" t="e">
        <f t="shared" si="53"/>
        <v>#N/A</v>
      </c>
      <c r="AT84" t="e">
        <f t="shared" si="54"/>
        <v>#N/A</v>
      </c>
      <c r="AU84">
        <f t="shared" si="55"/>
        <v>460.27553859462421</v>
      </c>
      <c r="AW84">
        <v>0.87116564417177911</v>
      </c>
      <c r="AX84">
        <v>932.8358208955226</v>
      </c>
      <c r="AY84">
        <f t="shared" si="56"/>
        <v>18.506460983672127</v>
      </c>
      <c r="AZ84">
        <f t="shared" si="77"/>
        <v>6.1349693251533388E-3</v>
      </c>
      <c r="BB84">
        <f t="shared" si="57"/>
        <v>0.32142857142857145</v>
      </c>
      <c r="BC84">
        <v>347.26023923771572</v>
      </c>
      <c r="BD84">
        <f t="shared" si="58"/>
        <v>1.0958451487661591</v>
      </c>
      <c r="BE84">
        <f t="shared" si="78"/>
        <v>4.4642857142857539E-3</v>
      </c>
      <c r="BF84">
        <v>72</v>
      </c>
      <c r="BG84">
        <v>9.922707517824525E-2</v>
      </c>
      <c r="BH84">
        <f t="shared" si="59"/>
        <v>0.48979591836734693</v>
      </c>
      <c r="BI84">
        <f t="shared" si="60"/>
        <v>0.48979591836734693</v>
      </c>
      <c r="BK84">
        <f t="shared" si="61"/>
        <v>0.48979591836734693</v>
      </c>
      <c r="BL84">
        <f t="shared" si="62"/>
        <v>9.922707517824525E-2</v>
      </c>
      <c r="BN84">
        <v>0.68707482993197277</v>
      </c>
      <c r="BO84">
        <v>0.21057949466855774</v>
      </c>
      <c r="BP84">
        <f t="shared" si="63"/>
        <v>2.0700762221449454E-3</v>
      </c>
      <c r="BQ84">
        <f t="shared" si="79"/>
        <v>1.3605442176870763E-2</v>
      </c>
      <c r="BS84">
        <f t="shared" si="64"/>
        <v>0.32142857142857145</v>
      </c>
      <c r="BT84">
        <v>5.8815497216302214E-2</v>
      </c>
      <c r="BU84">
        <f t="shared" si="65"/>
        <v>1.6551276433249273E-4</v>
      </c>
      <c r="BV84">
        <f t="shared" si="80"/>
        <v>4.4642857142857539E-3</v>
      </c>
      <c r="BW84">
        <v>72</v>
      </c>
      <c r="BX84">
        <v>3.3333333333333333E-2</v>
      </c>
      <c r="BY84">
        <f t="shared" si="66"/>
        <v>0.53333333333333333</v>
      </c>
      <c r="BZ84" t="e">
        <f t="shared" si="67"/>
        <v>#N/A</v>
      </c>
      <c r="CB84" t="e">
        <f t="shared" si="68"/>
        <v>#N/A</v>
      </c>
      <c r="CC84">
        <f t="shared" si="69"/>
        <v>3.3333333333333333E-2</v>
      </c>
      <c r="CE84" t="e">
        <v>#N/A</v>
      </c>
      <c r="CF84">
        <v>3.3333333333333333E-2</v>
      </c>
      <c r="CJ84">
        <f t="shared" si="70"/>
        <v>0.32142857142857145</v>
      </c>
      <c r="CK84">
        <v>2.7491488316600001E-2</v>
      </c>
      <c r="CL84">
        <f t="shared" si="71"/>
        <v>2.6331171279999829E-4</v>
      </c>
      <c r="CM84">
        <f t="shared" si="81"/>
        <v>4.4642857142857539E-3</v>
      </c>
    </row>
    <row r="85" spans="2:91">
      <c r="B85">
        <v>73</v>
      </c>
      <c r="C85">
        <f>IF(ISNUMBER(K85),IF('Lab test'!N76&gt;0,'Lab test'!N76,NA()),NA())</f>
        <v>76.2</v>
      </c>
      <c r="D85">
        <f>IF(ISNUMBER(K85),IF('Lab test'!Q76&gt;0,'Lab test'!Q76,NA()),NA())</f>
        <v>300</v>
      </c>
      <c r="E85">
        <f>IF(ISNUMBER(K85),IF('Lab test'!P76&gt;0,'Lab test'!P76,NA()),NA())</f>
        <v>0.28867513459481287</v>
      </c>
      <c r="F85" t="e">
        <f>IF(ISNUMBER(K85),IF('Lab test'!AJ76&gt;0,'Lab test'!AJ76,NA()),NA())</f>
        <v>#N/A</v>
      </c>
      <c r="G85">
        <f>IF('Lab test'!V76&gt;0,'Lab test'!V76,NA())</f>
        <v>208911.228</v>
      </c>
      <c r="H85">
        <f>IF(MAX('Lab test'!W76,'Lab test'!X76)&gt;0,MAX('Lab test'!W76,'Lab test'!X76),NA())</f>
        <v>268.89553443356607</v>
      </c>
      <c r="I85">
        <f>IF('Lab test'!AU76&gt;0,'Lab test'!AU76,NA())</f>
        <v>0.72771823441473038</v>
      </c>
      <c r="J85">
        <f>IF('Lab test'!AT76&gt;0,'Lab test'!AT76,NA())</f>
        <v>0.46428819713621844</v>
      </c>
      <c r="K85">
        <f t="shared" si="72"/>
        <v>1</v>
      </c>
      <c r="L85" t="str">
        <f>'Lab test'!AC76</f>
        <v>LTWb</v>
      </c>
      <c r="N85">
        <v>73</v>
      </c>
      <c r="O85">
        <v>175.707222255</v>
      </c>
      <c r="P85">
        <v>0.27648842514100003</v>
      </c>
      <c r="Q85">
        <f t="shared" si="73"/>
        <v>635.49576140626891</v>
      </c>
      <c r="R85">
        <v>207.19074760999999</v>
      </c>
      <c r="S85">
        <f t="shared" si="74"/>
        <v>4.677614372867981E-2</v>
      </c>
      <c r="T85">
        <v>2.8198113360800001E-2</v>
      </c>
      <c r="U85">
        <f t="shared" si="46"/>
        <v>0.32589285714285715</v>
      </c>
      <c r="W85">
        <v>73</v>
      </c>
      <c r="X85">
        <v>76.2</v>
      </c>
      <c r="Y85">
        <f t="shared" si="47"/>
        <v>0.44785276073619634</v>
      </c>
      <c r="Z85">
        <f t="shared" si="48"/>
        <v>0.44785276073619634</v>
      </c>
      <c r="AB85">
        <f t="shared" si="49"/>
        <v>0.44785276073619634</v>
      </c>
      <c r="AC85">
        <f t="shared" si="50"/>
        <v>76.2</v>
      </c>
      <c r="AE85" t="e">
        <v>#N/A</v>
      </c>
      <c r="AF85">
        <v>72.009</v>
      </c>
      <c r="AJ85">
        <f t="shared" si="51"/>
        <v>0.32589285714285715</v>
      </c>
      <c r="AK85">
        <v>66.007203274299997</v>
      </c>
      <c r="AL85">
        <f t="shared" si="52"/>
        <v>0.50319780430000094</v>
      </c>
      <c r="AM85">
        <f t="shared" si="75"/>
        <v>4.4642857142856984E-3</v>
      </c>
      <c r="AO85">
        <v>73</v>
      </c>
      <c r="AP85">
        <v>460.27553859462421</v>
      </c>
      <c r="AQ85">
        <f t="shared" si="76"/>
        <v>0.44785276073619634</v>
      </c>
      <c r="AR85" t="e">
        <f t="shared" si="53"/>
        <v>#N/A</v>
      </c>
      <c r="AT85" t="e">
        <f t="shared" si="54"/>
        <v>#N/A</v>
      </c>
      <c r="AU85">
        <f t="shared" si="55"/>
        <v>460.27553859462421</v>
      </c>
      <c r="AW85">
        <v>0.87730061349693256</v>
      </c>
      <c r="AX85">
        <v>951.34228187919473</v>
      </c>
      <c r="AY85">
        <f t="shared" si="56"/>
        <v>33.032718120805384</v>
      </c>
      <c r="AZ85">
        <f t="shared" si="77"/>
        <v>6.1349693251534498E-3</v>
      </c>
      <c r="BB85">
        <f t="shared" si="57"/>
        <v>0.32589285714285715</v>
      </c>
      <c r="BC85">
        <v>348.35608438648188</v>
      </c>
      <c r="BD85">
        <f t="shared" si="58"/>
        <v>0.46511980364419969</v>
      </c>
      <c r="BE85">
        <f t="shared" si="78"/>
        <v>4.4642857142856984E-3</v>
      </c>
      <c r="BF85">
        <v>73</v>
      </c>
      <c r="BG85">
        <v>0.1</v>
      </c>
      <c r="BH85">
        <f t="shared" si="59"/>
        <v>0.49659863945578231</v>
      </c>
      <c r="BI85" t="e">
        <f t="shared" si="60"/>
        <v>#N/A</v>
      </c>
      <c r="BK85" t="e">
        <f t="shared" si="61"/>
        <v>#N/A</v>
      </c>
      <c r="BL85">
        <f t="shared" si="62"/>
        <v>0.1</v>
      </c>
      <c r="BN85">
        <v>0.69387755102040816</v>
      </c>
      <c r="BO85">
        <v>0.21264957089070269</v>
      </c>
      <c r="BP85">
        <f t="shared" si="63"/>
        <v>3.2005724031220734E-2</v>
      </c>
      <c r="BQ85">
        <f t="shared" si="79"/>
        <v>6.8027210884353817E-3</v>
      </c>
      <c r="BS85">
        <f t="shared" si="64"/>
        <v>0.32589285714285715</v>
      </c>
      <c r="BT85">
        <v>5.8981009980634706E-2</v>
      </c>
      <c r="BU85">
        <f t="shared" si="65"/>
        <v>3.9019981472578069E-5</v>
      </c>
      <c r="BV85">
        <f t="shared" si="80"/>
        <v>4.4642857142856984E-3</v>
      </c>
      <c r="BW85">
        <v>73</v>
      </c>
      <c r="BX85">
        <v>3.3333333333333333E-2</v>
      </c>
      <c r="BY85">
        <f t="shared" si="66"/>
        <v>0.54074074074074074</v>
      </c>
      <c r="BZ85" t="e">
        <f t="shared" si="67"/>
        <v>#N/A</v>
      </c>
      <c r="CB85" t="e">
        <f t="shared" si="68"/>
        <v>#N/A</v>
      </c>
      <c r="CC85">
        <f t="shared" si="69"/>
        <v>3.3333333333333333E-2</v>
      </c>
      <c r="CE85" t="e">
        <v>#N/A</v>
      </c>
      <c r="CF85">
        <v>3.3333333333333333E-2</v>
      </c>
      <c r="CJ85">
        <f t="shared" si="70"/>
        <v>0.32589285714285715</v>
      </c>
      <c r="CK85">
        <v>2.7754800029399999E-2</v>
      </c>
      <c r="CL85">
        <f t="shared" si="71"/>
        <v>5.3119402000000038E-5</v>
      </c>
      <c r="CM85">
        <f t="shared" si="81"/>
        <v>4.4642857142856984E-3</v>
      </c>
    </row>
    <row r="86" spans="2:91">
      <c r="B86">
        <v>74</v>
      </c>
      <c r="C86">
        <f>IF(ISNUMBER(K86),IF('Lab test'!N77&gt;0,'Lab test'!N77,NA()),NA())</f>
        <v>76.2</v>
      </c>
      <c r="D86">
        <f>IF(ISNUMBER(K86),IF('Lab test'!Q77&gt;0,'Lab test'!Q77,NA()),NA())</f>
        <v>300</v>
      </c>
      <c r="E86">
        <f>IF(ISNUMBER(K86),IF('Lab test'!P77&gt;0,'Lab test'!P77,NA()),NA())</f>
        <v>5.7735026918962574E-2</v>
      </c>
      <c r="F86" t="e">
        <f>IF(ISNUMBER(K86),IF('Lab test'!AJ77&gt;0,'Lab test'!AJ77,NA()),NA())</f>
        <v>#N/A</v>
      </c>
      <c r="G86">
        <f>IF('Lab test'!V77&gt;0,'Lab test'!V77,NA())</f>
        <v>208911.228</v>
      </c>
      <c r="H86">
        <f>IF(MAX('Lab test'!W77,'Lab test'!X77)&gt;0,MAX('Lab test'!W77,'Lab test'!X77),NA())</f>
        <v>268.89553443356607</v>
      </c>
      <c r="I86">
        <f>IF('Lab test'!AU77&gt;0,'Lab test'!AU77,NA())</f>
        <v>0.78469261575680871</v>
      </c>
      <c r="J86">
        <f>IF('Lab test'!AT77&gt;0,'Lab test'!AT77,NA())</f>
        <v>0.50063816274830664</v>
      </c>
      <c r="K86">
        <f t="shared" si="72"/>
        <v>1</v>
      </c>
      <c r="L86" t="str">
        <f>'Lab test'!AC77</f>
        <v>LTWb</v>
      </c>
      <c r="N86">
        <v>74</v>
      </c>
      <c r="O86">
        <v>176.021407302</v>
      </c>
      <c r="P86">
        <v>0.250215640199</v>
      </c>
      <c r="Q86">
        <f t="shared" si="73"/>
        <v>703.4788359432996</v>
      </c>
      <c r="R86">
        <v>245.73831915700001</v>
      </c>
      <c r="S86">
        <f t="shared" si="74"/>
        <v>5.2635878572532602E-2</v>
      </c>
      <c r="T86">
        <v>1.10818094852E-2</v>
      </c>
      <c r="U86">
        <f t="shared" si="46"/>
        <v>0.33035714285714285</v>
      </c>
      <c r="W86">
        <v>74</v>
      </c>
      <c r="X86">
        <v>100</v>
      </c>
      <c r="Y86">
        <f t="shared" si="47"/>
        <v>0.45398773006134968</v>
      </c>
      <c r="Z86">
        <f t="shared" si="48"/>
        <v>0.45398773006134968</v>
      </c>
      <c r="AB86">
        <f t="shared" si="49"/>
        <v>0.45398773006134968</v>
      </c>
      <c r="AC86">
        <f t="shared" si="50"/>
        <v>100</v>
      </c>
      <c r="AE86" t="e">
        <v>#N/A</v>
      </c>
      <c r="AF86">
        <v>72.009</v>
      </c>
      <c r="AJ86">
        <f t="shared" si="51"/>
        <v>0.33035714285714285</v>
      </c>
      <c r="AK86">
        <v>66.510401078599998</v>
      </c>
      <c r="AL86">
        <f t="shared" si="52"/>
        <v>0.78028491039999892</v>
      </c>
      <c r="AM86">
        <f t="shared" si="75"/>
        <v>4.4642857142856984E-3</v>
      </c>
      <c r="AO86">
        <v>74</v>
      </c>
      <c r="AP86">
        <v>460.27553859462421</v>
      </c>
      <c r="AQ86">
        <f t="shared" si="76"/>
        <v>0.45398773006134968</v>
      </c>
      <c r="AR86">
        <f t="shared" si="53"/>
        <v>0.45398773006134968</v>
      </c>
      <c r="AT86">
        <f t="shared" si="54"/>
        <v>0.45398773006134968</v>
      </c>
      <c r="AU86">
        <f t="shared" si="55"/>
        <v>460.27553859462421</v>
      </c>
      <c r="AW86">
        <v>0.8834355828220859</v>
      </c>
      <c r="AX86">
        <v>984.37500000000011</v>
      </c>
      <c r="AY86">
        <f t="shared" si="56"/>
        <v>35.409172661870457</v>
      </c>
      <c r="AZ86">
        <f t="shared" si="77"/>
        <v>6.1349693251533388E-3</v>
      </c>
      <c r="BB86">
        <f t="shared" si="57"/>
        <v>0.33035714285714285</v>
      </c>
      <c r="BC86">
        <v>348.82120419012608</v>
      </c>
      <c r="BD86">
        <f t="shared" si="58"/>
        <v>2.2112897560343754</v>
      </c>
      <c r="BE86">
        <f t="shared" si="78"/>
        <v>4.4642857142856984E-3</v>
      </c>
      <c r="BF86">
        <v>74</v>
      </c>
      <c r="BG86">
        <v>0.1</v>
      </c>
      <c r="BH86">
        <f t="shared" si="59"/>
        <v>0.50340136054421769</v>
      </c>
      <c r="BI86">
        <f t="shared" si="60"/>
        <v>0.50340136054421769</v>
      </c>
      <c r="BK86">
        <f t="shared" si="61"/>
        <v>0.50340136054421769</v>
      </c>
      <c r="BL86">
        <f t="shared" si="62"/>
        <v>0.1</v>
      </c>
      <c r="BN86">
        <v>0.70068027210884354</v>
      </c>
      <c r="BO86">
        <v>0.24465529492192342</v>
      </c>
      <c r="BP86">
        <f t="shared" si="63"/>
        <v>8.834405287867747E-3</v>
      </c>
      <c r="BQ86">
        <f t="shared" si="79"/>
        <v>6.8027210884353817E-3</v>
      </c>
      <c r="BS86">
        <f t="shared" si="64"/>
        <v>0.33035714285714285</v>
      </c>
      <c r="BT86">
        <v>5.9020029962107284E-2</v>
      </c>
      <c r="BU86">
        <f t="shared" si="65"/>
        <v>3.9493505676703455E-5</v>
      </c>
      <c r="BV86">
        <f t="shared" si="80"/>
        <v>4.4642857142856984E-3</v>
      </c>
      <c r="BW86">
        <v>74</v>
      </c>
      <c r="BX86">
        <v>3.3333333333333333E-2</v>
      </c>
      <c r="BY86">
        <f t="shared" si="66"/>
        <v>0.54814814814814816</v>
      </c>
      <c r="BZ86">
        <f t="shared" si="67"/>
        <v>0.54814814814814816</v>
      </c>
      <c r="CB86">
        <f t="shared" si="68"/>
        <v>0.54814814814814816</v>
      </c>
      <c r="CC86">
        <f t="shared" si="69"/>
        <v>3.3333333333333333E-2</v>
      </c>
      <c r="CE86" t="e">
        <v>#N/A</v>
      </c>
      <c r="CF86">
        <v>3.3333333333333333E-2</v>
      </c>
      <c r="CJ86">
        <f t="shared" si="70"/>
        <v>0.33035714285714285</v>
      </c>
      <c r="CK86">
        <v>2.7807919431399999E-2</v>
      </c>
      <c r="CL86">
        <f t="shared" si="71"/>
        <v>1.3168433370000163E-4</v>
      </c>
      <c r="CM86">
        <f t="shared" si="81"/>
        <v>4.4642857142856984E-3</v>
      </c>
    </row>
    <row r="87" spans="2:91">
      <c r="B87">
        <v>75</v>
      </c>
      <c r="C87">
        <f>IF(ISNUMBER(K87),IF('Lab test'!N78&gt;0,'Lab test'!N78,NA()),NA())</f>
        <v>75.895200000000003</v>
      </c>
      <c r="D87">
        <f>IF(ISNUMBER(K87),IF('Lab test'!Q78&gt;0,'Lab test'!Q78,NA()),NA())</f>
        <v>249</v>
      </c>
      <c r="E87">
        <f>IF(ISNUMBER(K87),IF('Lab test'!P78&gt;0,'Lab test'!P78,NA()),NA())</f>
        <v>0.25348970020979117</v>
      </c>
      <c r="F87" t="e">
        <f>IF(ISNUMBER(K87),IF('Lab test'!AJ78&gt;0,'Lab test'!AJ78,NA()),NA())</f>
        <v>#N/A</v>
      </c>
      <c r="G87">
        <f>IF('Lab test'!V78&gt;0,'Lab test'!V78,NA())</f>
        <v>224769.17600000001</v>
      </c>
      <c r="H87">
        <f>IF(MAX('Lab test'!W78,'Lab test'!X78)&gt;0,MAX('Lab test'!W78,'Lab test'!X78),NA())</f>
        <v>268.89553443356607</v>
      </c>
      <c r="I87">
        <f>IF('Lab test'!AU78&gt;0,'Lab test'!AU78,NA())</f>
        <v>0.83589776406469851</v>
      </c>
      <c r="J87">
        <f>IF('Lab test'!AT78&gt;0,'Lab test'!AT78,NA())</f>
        <v>0.41141551988227176</v>
      </c>
      <c r="K87">
        <f t="shared" si="72"/>
        <v>1</v>
      </c>
      <c r="L87" t="str">
        <f>'Lab test'!AC78</f>
        <v>LTWb</v>
      </c>
      <c r="N87">
        <v>75</v>
      </c>
      <c r="O87">
        <v>176.584395814</v>
      </c>
      <c r="P87">
        <v>0.38605205486100003</v>
      </c>
      <c r="Q87">
        <f t="shared" si="73"/>
        <v>457.41084289158908</v>
      </c>
      <c r="R87">
        <v>592.44334478799999</v>
      </c>
      <c r="S87">
        <f t="shared" si="74"/>
        <v>0.15687049746679832</v>
      </c>
      <c r="T87">
        <v>6.6503675811100005E-2</v>
      </c>
      <c r="U87">
        <f t="shared" si="46"/>
        <v>0.33482142857142855</v>
      </c>
      <c r="W87">
        <v>75</v>
      </c>
      <c r="X87">
        <v>114.3</v>
      </c>
      <c r="Y87">
        <f t="shared" si="47"/>
        <v>0.46012269938650308</v>
      </c>
      <c r="Z87" t="e">
        <f t="shared" si="48"/>
        <v>#N/A</v>
      </c>
      <c r="AB87" t="e">
        <f t="shared" si="49"/>
        <v>#N/A</v>
      </c>
      <c r="AC87">
        <f t="shared" si="50"/>
        <v>114.3</v>
      </c>
      <c r="AE87" t="e">
        <v>#N/A</v>
      </c>
      <c r="AF87">
        <v>72.263000000000005</v>
      </c>
      <c r="AJ87">
        <f t="shared" si="51"/>
        <v>0.33482142857142855</v>
      </c>
      <c r="AK87">
        <v>67.290685988999996</v>
      </c>
      <c r="AL87">
        <f t="shared" si="52"/>
        <v>0.97246030210000356</v>
      </c>
      <c r="AM87">
        <f t="shared" si="75"/>
        <v>4.4642857142856984E-3</v>
      </c>
      <c r="AO87">
        <v>75</v>
      </c>
      <c r="AP87">
        <v>460.78431372549016</v>
      </c>
      <c r="AQ87">
        <f t="shared" si="76"/>
        <v>0.46012269938650308</v>
      </c>
      <c r="AR87" t="e">
        <f t="shared" si="53"/>
        <v>#N/A</v>
      </c>
      <c r="AT87" t="e">
        <f t="shared" si="54"/>
        <v>#N/A</v>
      </c>
      <c r="AU87">
        <f t="shared" si="55"/>
        <v>460.78431372549016</v>
      </c>
      <c r="AW87">
        <v>0.88957055214723924</v>
      </c>
      <c r="AX87">
        <v>1019.7841726618706</v>
      </c>
      <c r="AY87">
        <f t="shared" si="56"/>
        <v>51.644398766700988</v>
      </c>
      <c r="AZ87">
        <f t="shared" si="77"/>
        <v>6.1349693251533388E-3</v>
      </c>
      <c r="BB87">
        <f t="shared" si="57"/>
        <v>0.33482142857142855</v>
      </c>
      <c r="BC87">
        <v>351.03249394616046</v>
      </c>
      <c r="BD87">
        <f t="shared" si="58"/>
        <v>2.4865895896322172</v>
      </c>
      <c r="BE87">
        <f t="shared" si="78"/>
        <v>4.4642857142856984E-3</v>
      </c>
      <c r="BF87">
        <v>75</v>
      </c>
      <c r="BG87">
        <v>0.10327955589886445</v>
      </c>
      <c r="BH87">
        <f t="shared" si="59"/>
        <v>0.51020408163265307</v>
      </c>
      <c r="BI87">
        <f t="shared" si="60"/>
        <v>0.51020408163265307</v>
      </c>
      <c r="BK87">
        <f t="shared" si="61"/>
        <v>0.51020408163265307</v>
      </c>
      <c r="BL87">
        <f t="shared" si="62"/>
        <v>0.10327955589886445</v>
      </c>
      <c r="BN87">
        <v>0.70748299319727892</v>
      </c>
      <c r="BO87">
        <v>0.25348970020979117</v>
      </c>
      <c r="BP87">
        <f t="shared" si="63"/>
        <v>9.916851019771411E-3</v>
      </c>
      <c r="BQ87">
        <f t="shared" si="79"/>
        <v>6.8027210884353817E-3</v>
      </c>
      <c r="BS87">
        <f t="shared" si="64"/>
        <v>0.33482142857142855</v>
      </c>
      <c r="BT87">
        <v>5.9059523467783988E-2</v>
      </c>
      <c r="BU87">
        <f t="shared" si="65"/>
        <v>1.0624278597021197E-5</v>
      </c>
      <c r="BV87">
        <f t="shared" si="80"/>
        <v>4.4642857142856984E-3</v>
      </c>
      <c r="BW87">
        <v>75</v>
      </c>
      <c r="BX87">
        <v>3.4722222222222224E-2</v>
      </c>
      <c r="BY87">
        <f t="shared" si="66"/>
        <v>0.55555555555555558</v>
      </c>
      <c r="BZ87" t="e">
        <f t="shared" si="67"/>
        <v>#N/A</v>
      </c>
      <c r="CB87" t="e">
        <f t="shared" si="68"/>
        <v>#N/A</v>
      </c>
      <c r="CC87">
        <f t="shared" si="69"/>
        <v>3.4722222222222224E-2</v>
      </c>
      <c r="CE87" t="e">
        <v>#N/A</v>
      </c>
      <c r="CF87">
        <v>3.3333333333333333E-2</v>
      </c>
      <c r="CJ87">
        <f t="shared" si="70"/>
        <v>0.33482142857142855</v>
      </c>
      <c r="CK87">
        <v>2.7939603765100001E-2</v>
      </c>
      <c r="CL87">
        <f t="shared" si="71"/>
        <v>2.5850959570000026E-4</v>
      </c>
      <c r="CM87">
        <f t="shared" si="81"/>
        <v>4.4642857142856984E-3</v>
      </c>
    </row>
    <row r="88" spans="2:91">
      <c r="B88">
        <v>76</v>
      </c>
      <c r="C88">
        <f>IF(ISNUMBER(K88),IF('Lab test'!N79&gt;0,'Lab test'!N79,NA()),NA())</f>
        <v>75.895200000000003</v>
      </c>
      <c r="D88">
        <f>IF(ISNUMBER(K88),IF('Lab test'!Q79&gt;0,'Lab test'!Q79,NA()),NA())</f>
        <v>249</v>
      </c>
      <c r="E88">
        <f>IF(ISNUMBER(K88),IF('Lab test'!P79&gt;0,'Lab test'!P79,NA()),NA())</f>
        <v>0.12674485010489558</v>
      </c>
      <c r="F88" t="e">
        <f>IF(ISNUMBER(K88),IF('Lab test'!AJ79&gt;0,'Lab test'!AJ79,NA()),NA())</f>
        <v>#N/A</v>
      </c>
      <c r="G88">
        <f>IF('Lab test'!V79&gt;0,'Lab test'!V79,NA())</f>
        <v>224769.17600000001</v>
      </c>
      <c r="H88">
        <f>IF(MAX('Lab test'!W79,'Lab test'!X79)&gt;0,MAX('Lab test'!W79,'Lab test'!X79),NA())</f>
        <v>268.89553443356607</v>
      </c>
      <c r="I88">
        <f>IF('Lab test'!AU79&gt;0,'Lab test'!AU79,NA())</f>
        <v>0.8627539171270181</v>
      </c>
      <c r="J88">
        <f>IF('Lab test'!AT79&gt;0,'Lab test'!AT79,NA())</f>
        <v>0.42463368919575839</v>
      </c>
      <c r="K88">
        <f t="shared" si="72"/>
        <v>1</v>
      </c>
      <c r="L88" t="str">
        <f>'Lab test'!AC79</f>
        <v>LTWb</v>
      </c>
      <c r="N88">
        <v>76</v>
      </c>
      <c r="O88">
        <v>177.17842678299999</v>
      </c>
      <c r="P88">
        <v>0.597170514953</v>
      </c>
      <c r="Q88">
        <f t="shared" si="73"/>
        <v>296.6965420202381</v>
      </c>
      <c r="R88">
        <v>561.21741358999998</v>
      </c>
      <c r="S88">
        <f t="shared" si="74"/>
        <v>0.18389251585778929</v>
      </c>
      <c r="T88">
        <v>3.0569950394100001E-2</v>
      </c>
      <c r="U88">
        <f t="shared" si="46"/>
        <v>0.3392857142857143</v>
      </c>
      <c r="W88">
        <v>76</v>
      </c>
      <c r="X88">
        <v>114.3</v>
      </c>
      <c r="Y88">
        <f t="shared" si="47"/>
        <v>0.46625766871165641</v>
      </c>
      <c r="Z88" t="e">
        <f t="shared" si="48"/>
        <v>#N/A</v>
      </c>
      <c r="AB88" t="e">
        <f t="shared" si="49"/>
        <v>#N/A</v>
      </c>
      <c r="AC88">
        <f t="shared" si="50"/>
        <v>114.3</v>
      </c>
      <c r="AE88" t="e">
        <v>#N/A</v>
      </c>
      <c r="AF88">
        <v>72.263000000000005</v>
      </c>
      <c r="AJ88">
        <f t="shared" si="51"/>
        <v>0.3392857142857143</v>
      </c>
      <c r="AK88">
        <v>68.2631462911</v>
      </c>
      <c r="AL88">
        <f t="shared" si="52"/>
        <v>0.12512594320000403</v>
      </c>
      <c r="AM88">
        <f t="shared" si="75"/>
        <v>4.4642857142857539E-3</v>
      </c>
      <c r="AO88">
        <v>76</v>
      </c>
      <c r="AP88">
        <v>460.78431372549016</v>
      </c>
      <c r="AQ88">
        <f t="shared" si="76"/>
        <v>0.46625766871165641</v>
      </c>
      <c r="AR88" t="e">
        <f t="shared" si="53"/>
        <v>#N/A</v>
      </c>
      <c r="AT88" t="e">
        <f t="shared" si="54"/>
        <v>#N/A</v>
      </c>
      <c r="AU88">
        <f t="shared" si="55"/>
        <v>460.78431372549016</v>
      </c>
      <c r="AW88">
        <v>0.90797546012269936</v>
      </c>
      <c r="AX88">
        <v>1071.4285714285716</v>
      </c>
      <c r="AY88">
        <f t="shared" si="56"/>
        <v>2.4350649350649292</v>
      </c>
      <c r="AZ88">
        <f t="shared" si="77"/>
        <v>1.8404907975460127E-2</v>
      </c>
      <c r="BB88">
        <f t="shared" si="57"/>
        <v>0.3392857142857143</v>
      </c>
      <c r="BC88">
        <v>353.51908353579267</v>
      </c>
      <c r="BD88">
        <f t="shared" si="58"/>
        <v>5.1721012487280973</v>
      </c>
      <c r="BE88">
        <f t="shared" si="78"/>
        <v>4.4642857142857539E-3</v>
      </c>
      <c r="BF88">
        <v>76</v>
      </c>
      <c r="BG88">
        <v>0.10632478544535134</v>
      </c>
      <c r="BH88">
        <f t="shared" si="59"/>
        <v>0.51700680272108845</v>
      </c>
      <c r="BI88">
        <f t="shared" si="60"/>
        <v>0.51700680272108845</v>
      </c>
      <c r="BK88">
        <f t="shared" si="61"/>
        <v>0.51700680272108845</v>
      </c>
      <c r="BL88">
        <f t="shared" si="62"/>
        <v>0.10632478544535134</v>
      </c>
      <c r="BN88">
        <v>0.72789115646258506</v>
      </c>
      <c r="BO88">
        <v>0.26340655122956258</v>
      </c>
      <c r="BP88">
        <f t="shared" si="63"/>
        <v>7.0737240816305946E-3</v>
      </c>
      <c r="BQ88">
        <f t="shared" si="79"/>
        <v>2.0408163265306145E-2</v>
      </c>
      <c r="BS88">
        <f t="shared" si="64"/>
        <v>0.3392857142857143</v>
      </c>
      <c r="BT88">
        <v>5.9070147746381009E-2</v>
      </c>
      <c r="BU88">
        <f t="shared" si="65"/>
        <v>5.4093280450452641E-5</v>
      </c>
      <c r="BV88">
        <f t="shared" si="80"/>
        <v>4.4642857142857539E-3</v>
      </c>
      <c r="BW88">
        <v>76</v>
      </c>
      <c r="BX88">
        <v>3.4722222222222224E-2</v>
      </c>
      <c r="BY88">
        <f t="shared" si="66"/>
        <v>0.562962962962963</v>
      </c>
      <c r="BZ88" t="e">
        <f t="shared" si="67"/>
        <v>#N/A</v>
      </c>
      <c r="CB88" t="e">
        <f t="shared" si="68"/>
        <v>#N/A</v>
      </c>
      <c r="CC88">
        <f t="shared" si="69"/>
        <v>3.4722222222222224E-2</v>
      </c>
      <c r="CE88" t="e">
        <v>#N/A</v>
      </c>
      <c r="CF88">
        <v>3.3333333333333333E-2</v>
      </c>
      <c r="CJ88">
        <f t="shared" si="70"/>
        <v>0.3392857142857143</v>
      </c>
      <c r="CK88">
        <v>2.8198113360800001E-2</v>
      </c>
      <c r="CL88">
        <f t="shared" si="71"/>
        <v>1.2225426827999972E-3</v>
      </c>
      <c r="CM88">
        <f t="shared" si="81"/>
        <v>4.4642857142857539E-3</v>
      </c>
    </row>
    <row r="89" spans="2:91">
      <c r="B89">
        <v>77</v>
      </c>
      <c r="C89">
        <f>IF(ISNUMBER(K89),IF('Lab test'!N80&gt;0,'Lab test'!N80,NA()),NA())</f>
        <v>72.009</v>
      </c>
      <c r="D89">
        <f>IF(ISNUMBER(K89),IF('Lab test'!Q80&gt;0,'Lab test'!Q80,NA()),NA())</f>
        <v>984.37500000000011</v>
      </c>
      <c r="E89">
        <f>IF(ISNUMBER(K89),IF('Lab test'!P80&gt;0,'Lab test'!P80,NA()),NA())</f>
        <v>6.7455582890124502E-2</v>
      </c>
      <c r="F89">
        <f>IF(ISNUMBER(K89),IF('Lab test'!AJ80&gt;0,'Lab test'!AJ80,NA()),NA())</f>
        <v>1.1022927689594356E-2</v>
      </c>
      <c r="G89">
        <f>IF('Lab test'!V80&gt;0,'Lab test'!V80,NA())</f>
        <v>215805.90327000001</v>
      </c>
      <c r="H89">
        <f>IF(MAX('Lab test'!W80,'Lab test'!X80)&gt;0,MAX('Lab test'!W80,'Lab test'!X80),NA())</f>
        <v>393.00116496000004</v>
      </c>
      <c r="I89">
        <f>IF('Lab test'!AU80&gt;0,'Lab test'!AU80,NA())</f>
        <v>8.1418793104341983E-2</v>
      </c>
      <c r="J89">
        <f>IF('Lab test'!AT80&gt;0,'Lab test'!AT80,NA())</f>
        <v>0.2411554474956889</v>
      </c>
      <c r="K89">
        <f t="shared" si="72"/>
        <v>1</v>
      </c>
      <c r="L89" t="str">
        <f>'Lab test'!AC80</f>
        <v>LTWb</v>
      </c>
      <c r="N89">
        <v>77</v>
      </c>
      <c r="O89">
        <v>177.426385087</v>
      </c>
      <c r="P89">
        <v>0.330903255146</v>
      </c>
      <c r="Q89">
        <f t="shared" si="73"/>
        <v>536.1880922226544</v>
      </c>
      <c r="R89">
        <v>282.00273633900002</v>
      </c>
      <c r="S89">
        <f t="shared" si="74"/>
        <v>6.8639883182882097E-2</v>
      </c>
      <c r="T89">
        <v>4.7931986962299999E-2</v>
      </c>
      <c r="U89">
        <f t="shared" si="46"/>
        <v>0.34375</v>
      </c>
      <c r="W89">
        <v>77</v>
      </c>
      <c r="X89">
        <v>114.3</v>
      </c>
      <c r="Y89">
        <f t="shared" si="47"/>
        <v>0.47239263803680981</v>
      </c>
      <c r="Z89" t="e">
        <f t="shared" si="48"/>
        <v>#N/A</v>
      </c>
      <c r="AB89" t="e">
        <f t="shared" si="49"/>
        <v>#N/A</v>
      </c>
      <c r="AC89">
        <f t="shared" si="50"/>
        <v>114.3</v>
      </c>
      <c r="AE89" t="e">
        <v>#N/A</v>
      </c>
      <c r="AF89">
        <v>75.895200000000003</v>
      </c>
      <c r="AJ89">
        <f t="shared" si="51"/>
        <v>0.34375</v>
      </c>
      <c r="AK89">
        <v>68.388272234300004</v>
      </c>
      <c r="AL89">
        <f t="shared" si="52"/>
        <v>0.35855113959999585</v>
      </c>
      <c r="AM89">
        <f t="shared" si="75"/>
        <v>4.4642857142856984E-3</v>
      </c>
      <c r="AO89">
        <v>77</v>
      </c>
      <c r="AP89">
        <v>460.78431372549016</v>
      </c>
      <c r="AQ89">
        <f t="shared" si="76"/>
        <v>0.47239263803680981</v>
      </c>
      <c r="AR89" t="e">
        <f t="shared" si="53"/>
        <v>#N/A</v>
      </c>
      <c r="AT89" t="e">
        <f t="shared" si="54"/>
        <v>#N/A</v>
      </c>
      <c r="AU89">
        <f t="shared" si="55"/>
        <v>460.78431372549016</v>
      </c>
      <c r="AW89">
        <v>0.91411042944785281</v>
      </c>
      <c r="AX89">
        <v>1073.8636363636365</v>
      </c>
      <c r="AY89">
        <f t="shared" si="56"/>
        <v>111.13636363636351</v>
      </c>
      <c r="AZ89">
        <f t="shared" si="77"/>
        <v>6.1349693251534498E-3</v>
      </c>
      <c r="BB89">
        <f t="shared" si="57"/>
        <v>0.34375</v>
      </c>
      <c r="BC89">
        <v>358.69118478452077</v>
      </c>
      <c r="BD89">
        <f t="shared" si="58"/>
        <v>0.997227043833675</v>
      </c>
      <c r="BE89">
        <f t="shared" si="78"/>
        <v>4.4642857142856984E-3</v>
      </c>
      <c r="BF89">
        <v>77</v>
      </c>
      <c r="BG89">
        <v>0.10785471709665738</v>
      </c>
      <c r="BH89">
        <f t="shared" si="59"/>
        <v>0.52380952380952384</v>
      </c>
      <c r="BI89" t="e">
        <f t="shared" si="60"/>
        <v>#N/A</v>
      </c>
      <c r="BK89" t="e">
        <f t="shared" si="61"/>
        <v>#N/A</v>
      </c>
      <c r="BL89">
        <f t="shared" si="62"/>
        <v>0.10785471709665738</v>
      </c>
      <c r="BN89">
        <v>0.74829931972789121</v>
      </c>
      <c r="BO89">
        <v>0.27048027531119317</v>
      </c>
      <c r="BP89">
        <f t="shared" si="63"/>
        <v>1.2041763536676631E-2</v>
      </c>
      <c r="BQ89">
        <f t="shared" si="79"/>
        <v>2.0408163265306145E-2</v>
      </c>
      <c r="BS89">
        <f t="shared" si="64"/>
        <v>0.34375</v>
      </c>
      <c r="BT89">
        <v>5.9124241026831462E-2</v>
      </c>
      <c r="BU89">
        <f t="shared" si="65"/>
        <v>3.6781535930459353E-5</v>
      </c>
      <c r="BV89">
        <f t="shared" si="80"/>
        <v>4.4642857142856984E-3</v>
      </c>
      <c r="BW89">
        <v>77</v>
      </c>
      <c r="BX89">
        <v>3.4722222222222224E-2</v>
      </c>
      <c r="BY89">
        <f t="shared" si="66"/>
        <v>0.57037037037037042</v>
      </c>
      <c r="BZ89">
        <f t="shared" si="67"/>
        <v>0.57037037037037042</v>
      </c>
      <c r="CB89">
        <f t="shared" si="68"/>
        <v>0.57037037037037042</v>
      </c>
      <c r="CC89">
        <f t="shared" si="69"/>
        <v>3.4722222222222224E-2</v>
      </c>
      <c r="CE89" t="e">
        <v>#N/A</v>
      </c>
      <c r="CF89">
        <v>3.3333333333333333E-2</v>
      </c>
      <c r="CJ89">
        <f t="shared" si="70"/>
        <v>0.34375</v>
      </c>
      <c r="CK89">
        <v>2.9420656043599999E-2</v>
      </c>
      <c r="CL89">
        <f t="shared" si="71"/>
        <v>2.7589669500000316E-4</v>
      </c>
      <c r="CM89">
        <f t="shared" si="81"/>
        <v>4.4642857142856984E-3</v>
      </c>
    </row>
    <row r="90" spans="2:91">
      <c r="B90">
        <v>78</v>
      </c>
      <c r="C90">
        <f>IF(ISNUMBER(K90),IF('Lab test'!N81&gt;0,'Lab test'!N81,NA()),NA())</f>
        <v>72.009</v>
      </c>
      <c r="D90">
        <f>IF(ISNUMBER(K90),IF('Lab test'!Q81&gt;0,'Lab test'!Q81,NA()),NA())</f>
        <v>1019.7841726618706</v>
      </c>
      <c r="E90">
        <f>IF(ISNUMBER(K90),IF('Lab test'!P81&gt;0,'Lab test'!P81,NA()),NA())</f>
        <v>6.6274132772494526E-2</v>
      </c>
      <c r="F90">
        <f>IF(ISNUMBER(K90),IF('Lab test'!AJ81&gt;0,'Lab test'!AJ81,NA()),NA())</f>
        <v>1.1022927689594356E-2</v>
      </c>
      <c r="G90">
        <f>IF('Lab test'!V81&gt;0,'Lab test'!V81,NA())</f>
        <v>215805.90327000001</v>
      </c>
      <c r="H90">
        <f>IF(MAX('Lab test'!W81,'Lab test'!X81)&gt;0,MAX('Lab test'!W81,'Lab test'!X81),NA())</f>
        <v>393.00116496000004</v>
      </c>
      <c r="I90">
        <f>IF('Lab test'!AU81&gt;0,'Lab test'!AU81,NA())</f>
        <v>8.6828336277165408E-2</v>
      </c>
      <c r="J90">
        <f>IF('Lab test'!AT81&gt;0,'Lab test'!AT81,NA())</f>
        <v>0.26642905703710262</v>
      </c>
      <c r="K90">
        <f t="shared" si="72"/>
        <v>1</v>
      </c>
      <c r="L90" t="str">
        <f>'Lab test'!AC81</f>
        <v>LTWb</v>
      </c>
      <c r="N90">
        <v>78</v>
      </c>
      <c r="O90">
        <v>178.04273254099999</v>
      </c>
      <c r="P90">
        <v>0.23993049135899999</v>
      </c>
      <c r="Q90">
        <f t="shared" si="73"/>
        <v>742.05963374034275</v>
      </c>
      <c r="R90">
        <v>338.95324724199997</v>
      </c>
      <c r="S90">
        <f t="shared" si="74"/>
        <v>6.9886959100341262E-2</v>
      </c>
      <c r="T90">
        <v>6.6496838737199998E-2</v>
      </c>
      <c r="U90">
        <f t="shared" si="46"/>
        <v>0.3482142857142857</v>
      </c>
      <c r="W90">
        <v>78</v>
      </c>
      <c r="X90">
        <v>114.3</v>
      </c>
      <c r="Y90">
        <f t="shared" si="47"/>
        <v>0.4785276073619632</v>
      </c>
      <c r="Z90" t="e">
        <f t="shared" si="48"/>
        <v>#N/A</v>
      </c>
      <c r="AB90" t="e">
        <f t="shared" si="49"/>
        <v>#N/A</v>
      </c>
      <c r="AC90">
        <f t="shared" si="50"/>
        <v>114.3</v>
      </c>
      <c r="AE90" t="e">
        <v>#N/A</v>
      </c>
      <c r="AF90">
        <v>76.2</v>
      </c>
      <c r="AJ90">
        <f t="shared" si="51"/>
        <v>0.3482142857142857</v>
      </c>
      <c r="AK90">
        <v>68.7468233739</v>
      </c>
      <c r="AL90">
        <f t="shared" si="52"/>
        <v>1.5153527157000042</v>
      </c>
      <c r="AM90">
        <f t="shared" si="75"/>
        <v>4.4642857142856984E-3</v>
      </c>
      <c r="AO90">
        <v>78</v>
      </c>
      <c r="AP90">
        <v>460.78431372549016</v>
      </c>
      <c r="AQ90">
        <f t="shared" si="76"/>
        <v>0.4785276073619632</v>
      </c>
      <c r="AR90" t="e">
        <f t="shared" si="53"/>
        <v>#N/A</v>
      </c>
      <c r="AT90" t="e">
        <f t="shared" si="54"/>
        <v>#N/A</v>
      </c>
      <c r="AU90">
        <f t="shared" si="55"/>
        <v>460.78431372549016</v>
      </c>
      <c r="AW90">
        <v>0.92638036809815949</v>
      </c>
      <c r="AX90">
        <v>1185</v>
      </c>
      <c r="AY90">
        <f t="shared" si="56"/>
        <v>109.32749681484734</v>
      </c>
      <c r="AZ90">
        <f t="shared" si="77"/>
        <v>1.2269938650306678E-2</v>
      </c>
      <c r="BB90">
        <f t="shared" si="57"/>
        <v>0.3482142857142857</v>
      </c>
      <c r="BC90">
        <v>359.68841182835445</v>
      </c>
      <c r="BD90">
        <f t="shared" si="58"/>
        <v>0.98662176095268705</v>
      </c>
      <c r="BE90">
        <f t="shared" si="78"/>
        <v>4.4642857142856984E-3</v>
      </c>
      <c r="BF90">
        <v>78</v>
      </c>
      <c r="BG90">
        <v>0.10785471709665738</v>
      </c>
      <c r="BH90">
        <f t="shared" si="59"/>
        <v>0.53061224489795922</v>
      </c>
      <c r="BI90">
        <f t="shared" si="60"/>
        <v>0.53061224489795922</v>
      </c>
      <c r="BK90">
        <f t="shared" si="61"/>
        <v>0.53061224489795922</v>
      </c>
      <c r="BL90">
        <f t="shared" si="62"/>
        <v>0.10785471709665738</v>
      </c>
      <c r="BN90">
        <v>0.76190476190476186</v>
      </c>
      <c r="BO90">
        <v>0.28252203884786981</v>
      </c>
      <c r="BP90">
        <f t="shared" si="63"/>
        <v>6.1530957469430603E-3</v>
      </c>
      <c r="BQ90">
        <f t="shared" si="79"/>
        <v>1.3605442176870652E-2</v>
      </c>
      <c r="BS90">
        <f t="shared" si="64"/>
        <v>0.3482142857142857</v>
      </c>
      <c r="BT90">
        <v>5.9161022562761921E-2</v>
      </c>
      <c r="BU90">
        <f t="shared" si="65"/>
        <v>6.4547491913632959E-5</v>
      </c>
      <c r="BV90">
        <f t="shared" si="80"/>
        <v>4.4642857142856984E-3</v>
      </c>
      <c r="BW90">
        <v>78</v>
      </c>
      <c r="BX90">
        <v>4.6296296296296294E-2</v>
      </c>
      <c r="BY90">
        <f t="shared" si="66"/>
        <v>0.57777777777777772</v>
      </c>
      <c r="BZ90" t="e">
        <f t="shared" si="67"/>
        <v>#N/A</v>
      </c>
      <c r="CB90" t="e">
        <f t="shared" si="68"/>
        <v>#N/A</v>
      </c>
      <c r="CC90">
        <f t="shared" si="69"/>
        <v>4.6296296296296294E-2</v>
      </c>
      <c r="CE90" t="e">
        <v>#N/A</v>
      </c>
      <c r="CF90">
        <v>3.3333333333333333E-2</v>
      </c>
      <c r="CJ90">
        <f t="shared" si="70"/>
        <v>0.3482142857142857</v>
      </c>
      <c r="CK90">
        <v>2.9696552738600002E-2</v>
      </c>
      <c r="CL90">
        <f t="shared" si="71"/>
        <v>7.5700174799998854E-5</v>
      </c>
      <c r="CM90">
        <f t="shared" si="81"/>
        <v>4.4642857142856984E-3</v>
      </c>
    </row>
    <row r="91" spans="2:91">
      <c r="B91">
        <v>79</v>
      </c>
      <c r="C91">
        <f>IF(ISNUMBER(K91),IF('Lab test'!N82&gt;0,'Lab test'!N82,NA()),NA())</f>
        <v>47.625</v>
      </c>
      <c r="D91">
        <f>IF(ISNUMBER(K91),IF('Lab test'!Q82&gt;0,'Lab test'!Q82,NA()),NA())</f>
        <v>642.1232876712329</v>
      </c>
      <c r="E91">
        <f>IF(ISNUMBER(K91),IF('Lab test'!P82&gt;0,'Lab test'!P82,NA()),NA())</f>
        <v>0.12628180127529592</v>
      </c>
      <c r="F91">
        <f>IF(ISNUMBER(K91),IF('Lab test'!AJ82&gt;0,'Lab test'!AJ82,NA()),NA())</f>
        <v>1.6666666666666666E-2</v>
      </c>
      <c r="G91">
        <f>IF('Lab test'!V82&gt;0,'Lab test'!V82,NA())</f>
        <v>215805.90327000001</v>
      </c>
      <c r="H91">
        <f>IF(MAX('Lab test'!W82,'Lab test'!X82)&gt;0,MAX('Lab test'!W82,'Lab test'!X82),NA())</f>
        <v>393.00116496000004</v>
      </c>
      <c r="I91">
        <f>IF('Lab test'!AU82&gt;0,'Lab test'!AU82,NA())</f>
        <v>0.12447982158240503</v>
      </c>
      <c r="J91">
        <f>IF('Lab test'!AT82&gt;0,'Lab test'!AT82,NA())</f>
        <v>0.24050782929894216</v>
      </c>
      <c r="K91">
        <f t="shared" si="72"/>
        <v>1</v>
      </c>
      <c r="L91" t="str">
        <f>'Lab test'!AC82</f>
        <v>LTWb</v>
      </c>
      <c r="N91">
        <v>79</v>
      </c>
      <c r="O91">
        <v>178.26201393299999</v>
      </c>
      <c r="P91">
        <v>1.0744496374100001</v>
      </c>
      <c r="Q91">
        <f t="shared" si="73"/>
        <v>165.91006942187357</v>
      </c>
      <c r="R91">
        <v>252.07570439200001</v>
      </c>
      <c r="S91">
        <f t="shared" si="74"/>
        <v>0.10978318043860563</v>
      </c>
      <c r="T91">
        <v>5.2862704663399998E-2</v>
      </c>
      <c r="U91">
        <f t="shared" si="46"/>
        <v>0.35267857142857145</v>
      </c>
      <c r="W91">
        <v>79</v>
      </c>
      <c r="X91">
        <v>114.3</v>
      </c>
      <c r="Y91">
        <f t="shared" si="47"/>
        <v>0.48466257668711654</v>
      </c>
      <c r="Z91" t="e">
        <f t="shared" si="48"/>
        <v>#N/A</v>
      </c>
      <c r="AB91" t="e">
        <f t="shared" si="49"/>
        <v>#N/A</v>
      </c>
      <c r="AC91">
        <f t="shared" si="50"/>
        <v>114.3</v>
      </c>
      <c r="AE91" t="e">
        <v>#N/A</v>
      </c>
      <c r="AF91">
        <v>76.2</v>
      </c>
      <c r="AJ91">
        <f t="shared" si="51"/>
        <v>0.35267857142857145</v>
      </c>
      <c r="AK91">
        <v>70.262176089600004</v>
      </c>
      <c r="AL91">
        <f t="shared" si="52"/>
        <v>1.1433079341999957</v>
      </c>
      <c r="AM91">
        <f t="shared" si="75"/>
        <v>4.4642857142857539E-3</v>
      </c>
      <c r="AO91">
        <v>79</v>
      </c>
      <c r="AP91">
        <v>460.78431372549016</v>
      </c>
      <c r="AQ91">
        <f t="shared" si="76"/>
        <v>0.48466257668711654</v>
      </c>
      <c r="AR91" t="e">
        <f t="shared" si="53"/>
        <v>#N/A</v>
      </c>
      <c r="AT91" t="e">
        <f t="shared" si="54"/>
        <v>#N/A</v>
      </c>
      <c r="AU91">
        <f t="shared" si="55"/>
        <v>460.78431372549016</v>
      </c>
      <c r="AW91">
        <v>0.93865030674846628</v>
      </c>
      <c r="AX91">
        <v>1294.3274968148473</v>
      </c>
      <c r="AY91">
        <f t="shared" si="56"/>
        <v>12.124116088378514</v>
      </c>
      <c r="AZ91">
        <f t="shared" si="77"/>
        <v>1.2269938650306789E-2</v>
      </c>
      <c r="BB91">
        <f t="shared" si="57"/>
        <v>0.35267857142857145</v>
      </c>
      <c r="BC91">
        <v>360.67503358930713</v>
      </c>
      <c r="BD91">
        <f t="shared" si="58"/>
        <v>0.29241077193296405</v>
      </c>
      <c r="BE91">
        <f t="shared" si="78"/>
        <v>4.4642857142857539E-3</v>
      </c>
      <c r="BF91">
        <v>79</v>
      </c>
      <c r="BG91">
        <v>0.10911327447504572</v>
      </c>
      <c r="BH91">
        <f t="shared" si="59"/>
        <v>0.5374149659863946</v>
      </c>
      <c r="BI91">
        <f t="shared" si="60"/>
        <v>0.5374149659863946</v>
      </c>
      <c r="BK91">
        <f t="shared" si="61"/>
        <v>0.5374149659863946</v>
      </c>
      <c r="BL91">
        <f t="shared" si="62"/>
        <v>0.10911327447504572</v>
      </c>
      <c r="BN91">
        <v>0.76870748299319724</v>
      </c>
      <c r="BO91">
        <v>0.28867513459481287</v>
      </c>
      <c r="BP91">
        <f t="shared" si="63"/>
        <v>6.7702643816902608E-3</v>
      </c>
      <c r="BQ91">
        <f t="shared" si="79"/>
        <v>6.8027210884353817E-3</v>
      </c>
      <c r="BS91">
        <f t="shared" si="64"/>
        <v>0.35267857142857145</v>
      </c>
      <c r="BT91">
        <v>5.9225570054675554E-2</v>
      </c>
      <c r="BU91">
        <f t="shared" si="65"/>
        <v>2.2378471149567258E-4</v>
      </c>
      <c r="BV91">
        <f t="shared" si="80"/>
        <v>4.4642857142857539E-3</v>
      </c>
      <c r="BW91">
        <v>79</v>
      </c>
      <c r="BX91">
        <v>4.6296296296296294E-2</v>
      </c>
      <c r="BY91">
        <f t="shared" si="66"/>
        <v>0.58518518518518514</v>
      </c>
      <c r="BZ91" t="e">
        <f t="shared" si="67"/>
        <v>#N/A</v>
      </c>
      <c r="CB91" t="e">
        <f t="shared" si="68"/>
        <v>#N/A</v>
      </c>
      <c r="CC91">
        <f t="shared" si="69"/>
        <v>4.6296296296296294E-2</v>
      </c>
      <c r="CE91" t="e">
        <v>#N/A</v>
      </c>
      <c r="CF91">
        <v>3.3333333333333333E-2</v>
      </c>
      <c r="CJ91">
        <f t="shared" si="70"/>
        <v>0.35267857142857145</v>
      </c>
      <c r="CK91">
        <v>2.9772252913400001E-2</v>
      </c>
      <c r="CL91">
        <f t="shared" si="71"/>
        <v>3.1279904599999797E-4</v>
      </c>
      <c r="CM91">
        <f t="shared" si="81"/>
        <v>4.4642857142857539E-3</v>
      </c>
    </row>
    <row r="92" spans="2:91">
      <c r="B92">
        <v>80</v>
      </c>
      <c r="C92">
        <f>IF(ISNUMBER(K92),IF('Lab test'!N83&gt;0,'Lab test'!N83,NA()),NA())</f>
        <v>47.625</v>
      </c>
      <c r="D92">
        <f>IF(ISNUMBER(K92),IF('Lab test'!Q83&gt;0,'Lab test'!Q83,NA()),NA())</f>
        <v>674.46043165467631</v>
      </c>
      <c r="E92">
        <f>IF(ISNUMBER(K92),IF('Lab test'!P83&gt;0,'Lab test'!P83,NA()),NA())</f>
        <v>0.12321731480058581</v>
      </c>
      <c r="F92">
        <f>IF(ISNUMBER(K92),IF('Lab test'!AJ83&gt;0,'Lab test'!AJ83,NA()),NA())</f>
        <v>1.6666666666666666E-2</v>
      </c>
      <c r="G92">
        <f>IF('Lab test'!V83&gt;0,'Lab test'!V83,NA())</f>
        <v>215805.90327000001</v>
      </c>
      <c r="H92">
        <f>IF(MAX('Lab test'!W83,'Lab test'!X83)&gt;0,MAX('Lab test'!W83,'Lab test'!X83),NA())</f>
        <v>393.00116496000004</v>
      </c>
      <c r="I92">
        <f>IF('Lab test'!AU83&gt;0,'Lab test'!AU83,NA())</f>
        <v>0.16397159184501497</v>
      </c>
      <c r="J92">
        <f>IF('Lab test'!AT83&gt;0,'Lab test'!AT83,NA())</f>
        <v>0.33276445491164647</v>
      </c>
      <c r="K92">
        <f t="shared" si="72"/>
        <v>1</v>
      </c>
      <c r="L92" t="str">
        <f>'Lab test'!AC83</f>
        <v>LTWb</v>
      </c>
      <c r="N92">
        <v>80</v>
      </c>
      <c r="O92">
        <v>179.37346673100001</v>
      </c>
      <c r="P92">
        <v>0.286483074718</v>
      </c>
      <c r="Q92">
        <f t="shared" si="73"/>
        <v>626.12238753569136</v>
      </c>
      <c r="R92">
        <v>205.18499528000001</v>
      </c>
      <c r="S92">
        <f t="shared" si="74"/>
        <v>4.5714900675909824E-2</v>
      </c>
      <c r="T92">
        <v>1.24765726554E-2</v>
      </c>
      <c r="U92">
        <f t="shared" si="46"/>
        <v>0.35714285714285715</v>
      </c>
      <c r="W92">
        <v>80</v>
      </c>
      <c r="X92">
        <v>114.3</v>
      </c>
      <c r="Y92">
        <f t="shared" si="47"/>
        <v>0.49079754601226994</v>
      </c>
      <c r="Z92" t="e">
        <f t="shared" si="48"/>
        <v>#N/A</v>
      </c>
      <c r="AB92" t="e">
        <f t="shared" si="49"/>
        <v>#N/A</v>
      </c>
      <c r="AC92">
        <f t="shared" si="50"/>
        <v>114.3</v>
      </c>
      <c r="AE92" t="e">
        <v>#N/A</v>
      </c>
      <c r="AF92">
        <v>76.2</v>
      </c>
      <c r="AJ92">
        <f t="shared" si="51"/>
        <v>0.35714285714285715</v>
      </c>
      <c r="AK92">
        <v>71.4054840238</v>
      </c>
      <c r="AL92">
        <f t="shared" si="52"/>
        <v>0.1766747270000053</v>
      </c>
      <c r="AM92">
        <f t="shared" si="75"/>
        <v>4.4642857142856984E-3</v>
      </c>
      <c r="AO92">
        <v>80</v>
      </c>
      <c r="AP92">
        <v>460.78431372549016</v>
      </c>
      <c r="AQ92">
        <f t="shared" si="76"/>
        <v>0.49079754601226994</v>
      </c>
      <c r="AR92">
        <f t="shared" si="53"/>
        <v>0.49079754601226994</v>
      </c>
      <c r="AT92">
        <f t="shared" si="54"/>
        <v>0.49079754601226994</v>
      </c>
      <c r="AU92">
        <f t="shared" si="55"/>
        <v>460.78431372549016</v>
      </c>
      <c r="AW92">
        <v>0.94478527607361962</v>
      </c>
      <c r="AX92">
        <v>1306.4516129032259</v>
      </c>
      <c r="AY92">
        <f t="shared" si="56"/>
        <v>37.150282831371442</v>
      </c>
      <c r="AZ92">
        <f t="shared" si="77"/>
        <v>6.1349693251533388E-3</v>
      </c>
      <c r="BB92">
        <f t="shared" si="57"/>
        <v>0.35714285714285715</v>
      </c>
      <c r="BC92">
        <v>360.9674443612401</v>
      </c>
      <c r="BD92">
        <f t="shared" si="58"/>
        <v>0.46293436900219831</v>
      </c>
      <c r="BE92">
        <f t="shared" si="78"/>
        <v>4.4642857142856984E-3</v>
      </c>
      <c r="BF92">
        <v>80</v>
      </c>
      <c r="BG92">
        <v>0.11044099373320267</v>
      </c>
      <c r="BH92">
        <f t="shared" si="59"/>
        <v>0.54421768707482998</v>
      </c>
      <c r="BI92">
        <f t="shared" si="60"/>
        <v>0.54421768707482998</v>
      </c>
      <c r="BK92">
        <f t="shared" si="61"/>
        <v>0.54421768707482998</v>
      </c>
      <c r="BL92">
        <f t="shared" si="62"/>
        <v>0.11044099373320267</v>
      </c>
      <c r="BN92">
        <v>0.77551020408163263</v>
      </c>
      <c r="BO92">
        <v>0.29544539897650313</v>
      </c>
      <c r="BP92">
        <f t="shared" si="63"/>
        <v>1.4518288854509231E-3</v>
      </c>
      <c r="BQ92">
        <f t="shared" si="79"/>
        <v>6.8027210884353817E-3</v>
      </c>
      <c r="BS92">
        <f t="shared" si="64"/>
        <v>0.35714285714285715</v>
      </c>
      <c r="BT92">
        <v>5.9449354766171227E-2</v>
      </c>
      <c r="BU92">
        <f t="shared" si="65"/>
        <v>2.0945787686858092E-4</v>
      </c>
      <c r="BV92">
        <f t="shared" si="80"/>
        <v>4.4642857142856984E-3</v>
      </c>
      <c r="BW92">
        <v>80</v>
      </c>
      <c r="BX92">
        <v>4.6296296296296294E-2</v>
      </c>
      <c r="BY92">
        <f t="shared" si="66"/>
        <v>0.59259259259259256</v>
      </c>
      <c r="BZ92" t="e">
        <f t="shared" si="67"/>
        <v>#N/A</v>
      </c>
      <c r="CB92" t="e">
        <f t="shared" si="68"/>
        <v>#N/A</v>
      </c>
      <c r="CC92">
        <f t="shared" si="69"/>
        <v>4.6296296296296294E-2</v>
      </c>
      <c r="CE92" t="e">
        <v>#N/A</v>
      </c>
      <c r="CF92">
        <v>3.4722222222222224E-2</v>
      </c>
      <c r="CJ92">
        <f t="shared" si="70"/>
        <v>0.35714285714285715</v>
      </c>
      <c r="CK92">
        <v>3.0085051959399998E-2</v>
      </c>
      <c r="CL92">
        <f t="shared" si="71"/>
        <v>1.8708248990000065E-4</v>
      </c>
      <c r="CM92">
        <f t="shared" si="81"/>
        <v>4.4642857142856984E-3</v>
      </c>
    </row>
    <row r="93" spans="2:91">
      <c r="B93">
        <v>81</v>
      </c>
      <c r="C93">
        <f>IF(ISNUMBER(K93),IF('Lab test'!N84&gt;0,'Lab test'!N84,NA()),NA())</f>
        <v>23.939499999999999</v>
      </c>
      <c r="D93">
        <f>IF(ISNUMBER(K93),IF('Lab test'!Q84&gt;0,'Lab test'!Q84,NA()),NA())</f>
        <v>331.86619718309862</v>
      </c>
      <c r="E93">
        <f>IF(ISNUMBER(K93),IF('Lab test'!P84&gt;0,'Lab test'!P84,NA()),NA())</f>
        <v>0.34945268531428747</v>
      </c>
      <c r="F93">
        <f>IF(ISNUMBER(K93),IF('Lab test'!AJ84&gt;0,'Lab test'!AJ84,NA()),NA())</f>
        <v>3.3156498673740049E-2</v>
      </c>
      <c r="G93">
        <f>IF('Lab test'!V84&gt;0,'Lab test'!V84,NA())</f>
        <v>215805.90327000001</v>
      </c>
      <c r="H93">
        <f>IF(MAX('Lab test'!W84,'Lab test'!X84)&gt;0,MAX('Lab test'!W84,'Lab test'!X84),NA())</f>
        <v>393.00116496000004</v>
      </c>
      <c r="I93">
        <f>IF('Lab test'!AU84&gt;0,'Lab test'!AU84,NA())</f>
        <v>0.29426774669959133</v>
      </c>
      <c r="J93">
        <f>IF('Lab test'!AT84&gt;0,'Lab test'!AT84,NA())</f>
        <v>0.29384447099213151</v>
      </c>
      <c r="K93">
        <f t="shared" si="72"/>
        <v>1</v>
      </c>
      <c r="L93" t="str">
        <f>'Lab test'!AC84</f>
        <v>LTWb</v>
      </c>
      <c r="N93">
        <v>81</v>
      </c>
      <c r="O93">
        <v>180.71822982899999</v>
      </c>
      <c r="P93">
        <v>0.273636301443</v>
      </c>
      <c r="Q93">
        <f t="shared" si="73"/>
        <v>660.43221924867532</v>
      </c>
      <c r="R93">
        <v>370.15284282699997</v>
      </c>
      <c r="S93">
        <f t="shared" si="74"/>
        <v>7.9701225482499999E-2</v>
      </c>
      <c r="T93">
        <v>3.3160433719000001E-2</v>
      </c>
      <c r="U93">
        <f t="shared" si="46"/>
        <v>0.36160714285714285</v>
      </c>
      <c r="W93">
        <v>81</v>
      </c>
      <c r="X93">
        <v>114.3</v>
      </c>
      <c r="Y93">
        <f t="shared" si="47"/>
        <v>0.49693251533742333</v>
      </c>
      <c r="Z93" t="e">
        <f t="shared" si="48"/>
        <v>#N/A</v>
      </c>
      <c r="AB93" t="e">
        <f t="shared" si="49"/>
        <v>#N/A</v>
      </c>
      <c r="AC93">
        <f t="shared" si="50"/>
        <v>114.3</v>
      </c>
      <c r="AE93" t="e">
        <v>#N/A</v>
      </c>
      <c r="AF93">
        <v>114.3</v>
      </c>
      <c r="AJ93">
        <f t="shared" si="51"/>
        <v>0.36160714285714285</v>
      </c>
      <c r="AK93">
        <v>71.582158750800005</v>
      </c>
      <c r="AL93">
        <f t="shared" si="52"/>
        <v>0.47476978569999062</v>
      </c>
      <c r="AM93">
        <f t="shared" si="75"/>
        <v>4.4642857142856984E-3</v>
      </c>
      <c r="AO93">
        <v>81</v>
      </c>
      <c r="AP93">
        <v>464.28571428571433</v>
      </c>
      <c r="AQ93">
        <f t="shared" si="76"/>
        <v>0.49693251533742333</v>
      </c>
      <c r="AR93">
        <f t="shared" si="53"/>
        <v>0.49693251533742333</v>
      </c>
      <c r="AT93">
        <f t="shared" si="54"/>
        <v>0.49693251533742333</v>
      </c>
      <c r="AU93">
        <f t="shared" si="55"/>
        <v>464.28571428571433</v>
      </c>
      <c r="AW93">
        <v>0.95705521472392641</v>
      </c>
      <c r="AX93">
        <v>1343.6018957345973</v>
      </c>
      <c r="AY93">
        <f t="shared" si="56"/>
        <v>66.845865459432844</v>
      </c>
      <c r="AZ93">
        <f t="shared" si="77"/>
        <v>1.2269938650306789E-2</v>
      </c>
      <c r="BB93">
        <f t="shared" si="57"/>
        <v>0.36160714285714285</v>
      </c>
      <c r="BC93">
        <v>361.4303787302423</v>
      </c>
      <c r="BD93">
        <f t="shared" si="58"/>
        <v>0.46481127006626366</v>
      </c>
      <c r="BE93">
        <f t="shared" si="78"/>
        <v>4.4642857142856984E-3</v>
      </c>
      <c r="BF93">
        <v>81</v>
      </c>
      <c r="BG93">
        <v>0.11214455434258878</v>
      </c>
      <c r="BH93">
        <f t="shared" si="59"/>
        <v>0.55102040816326525</v>
      </c>
      <c r="BI93">
        <f t="shared" si="60"/>
        <v>0.55102040816326525</v>
      </c>
      <c r="BK93">
        <f t="shared" si="61"/>
        <v>0.55102040816326525</v>
      </c>
      <c r="BL93">
        <f t="shared" si="62"/>
        <v>0.11214455434258878</v>
      </c>
      <c r="BN93">
        <v>0.78231292517006801</v>
      </c>
      <c r="BO93">
        <v>0.29689722786195405</v>
      </c>
      <c r="BP93">
        <f t="shared" si="63"/>
        <v>1.9857055525540845E-2</v>
      </c>
      <c r="BQ93">
        <f t="shared" si="79"/>
        <v>6.8027210884353817E-3</v>
      </c>
      <c r="BS93">
        <f t="shared" si="64"/>
        <v>0.36160714285714285</v>
      </c>
      <c r="BT93">
        <v>5.9658812643039807E-2</v>
      </c>
      <c r="BU93">
        <f t="shared" si="65"/>
        <v>1.2496011013200803E-4</v>
      </c>
      <c r="BV93">
        <f t="shared" si="80"/>
        <v>4.4642857142856984E-3</v>
      </c>
      <c r="BW93">
        <v>81</v>
      </c>
      <c r="BX93">
        <v>4.6296296296296294E-2</v>
      </c>
      <c r="BY93">
        <f t="shared" si="66"/>
        <v>0.6</v>
      </c>
      <c r="BZ93" t="e">
        <f t="shared" si="67"/>
        <v>#N/A</v>
      </c>
      <c r="CB93" t="e">
        <f t="shared" si="68"/>
        <v>#N/A</v>
      </c>
      <c r="CC93">
        <f t="shared" si="69"/>
        <v>4.6296296296296294E-2</v>
      </c>
      <c r="CE93" t="e">
        <v>#N/A</v>
      </c>
      <c r="CF93">
        <v>3.4722222222222224E-2</v>
      </c>
      <c r="CJ93">
        <f t="shared" si="70"/>
        <v>0.36160714285714285</v>
      </c>
      <c r="CK93">
        <v>3.0272134449299999E-2</v>
      </c>
      <c r="CL93">
        <f t="shared" si="71"/>
        <v>8.5736202800001937E-5</v>
      </c>
      <c r="CM93">
        <f t="shared" si="81"/>
        <v>4.4642857142856984E-3</v>
      </c>
    </row>
    <row r="94" spans="2:91">
      <c r="B94">
        <v>82</v>
      </c>
      <c r="C94">
        <f>IF(ISNUMBER(K94),IF('Lab test'!N85&gt;0,'Lab test'!N85,NA()),NA())</f>
        <v>23.939499999999999</v>
      </c>
      <c r="D94">
        <f>IF(ISNUMBER(K94),IF('Lab test'!Q85&gt;0,'Lab test'!Q85,NA()),NA())</f>
        <v>346.50735294117646</v>
      </c>
      <c r="E94">
        <f>IF(ISNUMBER(K94),IF('Lab test'!P85&gt;0,'Lab test'!P85,NA()),NA())</f>
        <v>0.34199020228509303</v>
      </c>
      <c r="F94">
        <f>IF(ISNUMBER(K94),IF('Lab test'!AJ85&gt;0,'Lab test'!AJ85,NA()),NA())</f>
        <v>3.3156498673740049E-2</v>
      </c>
      <c r="G94">
        <f>IF('Lab test'!V85&gt;0,'Lab test'!V85,NA())</f>
        <v>215805.90327000001</v>
      </c>
      <c r="H94">
        <f>IF(MAX('Lab test'!W85,'Lab test'!X85)&gt;0,MAX('Lab test'!W85,'Lab test'!X85),NA())</f>
        <v>393.00116496000004</v>
      </c>
      <c r="I94">
        <f>IF('Lab test'!AU85&gt;0,'Lab test'!AU85,NA())</f>
        <v>0.41620410022873988</v>
      </c>
      <c r="J94">
        <f>IF('Lab test'!AT85&gt;0,'Lab test'!AT85,NA())</f>
        <v>0.43394096457861686</v>
      </c>
      <c r="K94">
        <f t="shared" si="72"/>
        <v>1</v>
      </c>
      <c r="L94" t="str">
        <f>'Lab test'!AC85</f>
        <v>LTWb</v>
      </c>
      <c r="N94">
        <v>82</v>
      </c>
      <c r="O94">
        <v>182.673251107</v>
      </c>
      <c r="P94">
        <v>0.29999772007100001</v>
      </c>
      <c r="Q94">
        <f t="shared" si="73"/>
        <v>608.91546463675456</v>
      </c>
      <c r="R94">
        <v>309.526935374</v>
      </c>
      <c r="S94">
        <f t="shared" si="74"/>
        <v>6.866651203340958E-2</v>
      </c>
      <c r="T94">
        <v>7.3091383544700003E-2</v>
      </c>
      <c r="U94">
        <f t="shared" si="46"/>
        <v>0.36607142857142855</v>
      </c>
      <c r="W94">
        <v>82</v>
      </c>
      <c r="X94">
        <v>114.3</v>
      </c>
      <c r="Y94">
        <f t="shared" si="47"/>
        <v>0.50306748466257667</v>
      </c>
      <c r="Z94" t="e">
        <f t="shared" si="48"/>
        <v>#N/A</v>
      </c>
      <c r="AB94" t="e">
        <f t="shared" si="49"/>
        <v>#N/A</v>
      </c>
      <c r="AC94">
        <f t="shared" si="50"/>
        <v>114.3</v>
      </c>
      <c r="AE94" t="e">
        <v>#N/A</v>
      </c>
      <c r="AF94">
        <v>114.3</v>
      </c>
      <c r="AJ94">
        <f t="shared" si="51"/>
        <v>0.36607142857142855</v>
      </c>
      <c r="AK94">
        <v>72.056928536499996</v>
      </c>
      <c r="AL94">
        <f t="shared" si="52"/>
        <v>2.798045760000889E-2</v>
      </c>
      <c r="AM94">
        <f t="shared" si="75"/>
        <v>4.4642857142856984E-3</v>
      </c>
      <c r="AO94">
        <v>82</v>
      </c>
      <c r="AP94">
        <v>473.6180904522613</v>
      </c>
      <c r="AQ94">
        <f t="shared" si="76"/>
        <v>0.50306748466257667</v>
      </c>
      <c r="AR94">
        <f t="shared" si="53"/>
        <v>0.50306748466257667</v>
      </c>
      <c r="AT94">
        <f t="shared" si="54"/>
        <v>0.50306748466257667</v>
      </c>
      <c r="AU94">
        <f t="shared" si="55"/>
        <v>473.6180904522613</v>
      </c>
      <c r="AW94">
        <v>0.96319018404907975</v>
      </c>
      <c r="AX94">
        <v>1410.4477611940301</v>
      </c>
      <c r="AY94">
        <f t="shared" si="56"/>
        <v>5.3489014274462079</v>
      </c>
      <c r="AZ94">
        <f t="shared" si="77"/>
        <v>6.1349693251533388E-3</v>
      </c>
      <c r="BB94">
        <f t="shared" si="57"/>
        <v>0.36607142857142855</v>
      </c>
      <c r="BC94">
        <v>361.89519000030856</v>
      </c>
      <c r="BD94">
        <f t="shared" si="58"/>
        <v>13.900035302199399</v>
      </c>
      <c r="BE94">
        <f t="shared" si="78"/>
        <v>4.4642857142856984E-3</v>
      </c>
      <c r="BF94">
        <v>82</v>
      </c>
      <c r="BG94">
        <v>0.11243780758630441</v>
      </c>
      <c r="BH94">
        <f t="shared" si="59"/>
        <v>0.55782312925170063</v>
      </c>
      <c r="BI94" t="e">
        <f t="shared" si="60"/>
        <v>#N/A</v>
      </c>
      <c r="BK94" t="e">
        <f t="shared" si="61"/>
        <v>#N/A</v>
      </c>
      <c r="BL94">
        <f t="shared" si="62"/>
        <v>0.11243780758630441</v>
      </c>
      <c r="BN94">
        <v>0.79591836734693877</v>
      </c>
      <c r="BO94">
        <v>0.31675428338749489</v>
      </c>
      <c r="BP94">
        <f t="shared" si="63"/>
        <v>1.3148878234338912E-2</v>
      </c>
      <c r="BQ94">
        <f t="shared" si="79"/>
        <v>1.3605442176870763E-2</v>
      </c>
      <c r="BS94">
        <f t="shared" si="64"/>
        <v>0.36607142857142855</v>
      </c>
      <c r="BT94">
        <v>5.9783772753171815E-2</v>
      </c>
      <c r="BU94">
        <f t="shared" si="65"/>
        <v>6.1515129555819725E-4</v>
      </c>
      <c r="BV94">
        <f t="shared" si="80"/>
        <v>4.4642857142856984E-3</v>
      </c>
      <c r="BW94">
        <v>82</v>
      </c>
      <c r="BX94">
        <v>4.6296296296296294E-2</v>
      </c>
      <c r="BY94">
        <f t="shared" si="66"/>
        <v>0.6074074074074074</v>
      </c>
      <c r="BZ94">
        <f t="shared" si="67"/>
        <v>0.6074074074074074</v>
      </c>
      <c r="CB94">
        <f t="shared" si="68"/>
        <v>0.6074074074074074</v>
      </c>
      <c r="CC94">
        <f t="shared" si="69"/>
        <v>4.6296296296296294E-2</v>
      </c>
      <c r="CE94" t="e">
        <v>#N/A</v>
      </c>
      <c r="CF94">
        <v>4.6296296296296294E-2</v>
      </c>
      <c r="CJ94">
        <f t="shared" si="70"/>
        <v>0.36607142857142855</v>
      </c>
      <c r="CK94">
        <v>3.0357870652100001E-2</v>
      </c>
      <c r="CL94">
        <f t="shared" si="71"/>
        <v>2.1207974200000007E-4</v>
      </c>
      <c r="CM94">
        <f t="shared" si="81"/>
        <v>4.4642857142856984E-3</v>
      </c>
    </row>
    <row r="95" spans="2:91">
      <c r="B95">
        <v>83</v>
      </c>
      <c r="C95">
        <f>IF(ISNUMBER(K95),IF('Lab test'!N86&gt;0,'Lab test'!N86,NA()),NA())</f>
        <v>72.009</v>
      </c>
      <c r="D95">
        <f>IF(ISNUMBER(K95),IF('Lab test'!Q86&gt;0,'Lab test'!Q86,NA()),NA())</f>
        <v>1306.4516129032259</v>
      </c>
      <c r="E95">
        <f>IF(ISNUMBER(K95),IF('Lab test'!P86&gt;0,'Lab test'!P86,NA()),NA())</f>
        <v>5.8553319684838241E-2</v>
      </c>
      <c r="F95">
        <f>IF(ISNUMBER(K95),IF('Lab test'!AJ86&gt;0,'Lab test'!AJ86,NA()),NA())</f>
        <v>1.1022927689594356E-2</v>
      </c>
      <c r="G95">
        <f>IF('Lab test'!V86&gt;0,'Lab test'!V86,NA())</f>
        <v>215805.90327000001</v>
      </c>
      <c r="H95">
        <f>IF(MAX('Lab test'!W86,'Lab test'!X86)&gt;0,MAX('Lab test'!W86,'Lab test'!X86),NA())</f>
        <v>393.00116496000004</v>
      </c>
      <c r="I95">
        <f>IF('Lab test'!AU86&gt;0,'Lab test'!AU86,NA())</f>
        <v>3.4505954836150668E-2</v>
      </c>
      <c r="J95">
        <f>IF('Lab test'!AT86&gt;0,'Lab test'!AT86,NA())</f>
        <v>0.13564357259641754</v>
      </c>
      <c r="K95">
        <f t="shared" si="72"/>
        <v>1</v>
      </c>
      <c r="L95" t="str">
        <f>'Lab test'!AC86</f>
        <v>LTWb</v>
      </c>
      <c r="N95">
        <v>83</v>
      </c>
      <c r="O95">
        <v>183.795440418</v>
      </c>
      <c r="P95">
        <v>0.28247013753900002</v>
      </c>
      <c r="Q95">
        <f t="shared" si="73"/>
        <v>650.67211004782325</v>
      </c>
      <c r="R95">
        <v>228.49496673199999</v>
      </c>
      <c r="S95">
        <f t="shared" si="74"/>
        <v>4.8737226240304979E-2</v>
      </c>
      <c r="T95">
        <v>6.1025035743599999E-2</v>
      </c>
      <c r="U95">
        <f t="shared" si="46"/>
        <v>0.3705357142857143</v>
      </c>
      <c r="W95">
        <v>83</v>
      </c>
      <c r="X95">
        <v>114.3</v>
      </c>
      <c r="Y95">
        <f t="shared" si="47"/>
        <v>0.50920245398773001</v>
      </c>
      <c r="Z95" t="e">
        <f t="shared" si="48"/>
        <v>#N/A</v>
      </c>
      <c r="AB95" t="e">
        <f t="shared" si="49"/>
        <v>#N/A</v>
      </c>
      <c r="AC95">
        <f t="shared" si="50"/>
        <v>114.3</v>
      </c>
      <c r="AE95" t="e">
        <v>#N/A</v>
      </c>
      <c r="AF95">
        <v>114.3</v>
      </c>
      <c r="AJ95">
        <f t="shared" si="51"/>
        <v>0.3705357142857143</v>
      </c>
      <c r="AK95">
        <v>72.084908994100005</v>
      </c>
      <c r="AL95">
        <f t="shared" si="52"/>
        <v>0.13957478089999142</v>
      </c>
      <c r="AM95">
        <f t="shared" si="75"/>
        <v>4.4642857142857539E-3</v>
      </c>
      <c r="AO95">
        <v>83</v>
      </c>
      <c r="AP95">
        <v>475</v>
      </c>
      <c r="AQ95">
        <f t="shared" si="76"/>
        <v>0.50920245398773001</v>
      </c>
      <c r="AR95" t="e">
        <f t="shared" si="53"/>
        <v>#N/A</v>
      </c>
      <c r="AT95" t="e">
        <f t="shared" si="54"/>
        <v>#N/A</v>
      </c>
      <c r="AU95">
        <f t="shared" si="55"/>
        <v>475</v>
      </c>
      <c r="AW95">
        <v>0.96932515337423308</v>
      </c>
      <c r="AX95">
        <v>1415.7966626214763</v>
      </c>
      <c r="AY95">
        <f t="shared" si="56"/>
        <v>8.8264529564130498</v>
      </c>
      <c r="AZ95">
        <f t="shared" si="77"/>
        <v>6.1349693251533388E-3</v>
      </c>
      <c r="BB95">
        <f t="shared" si="57"/>
        <v>0.3705357142857143</v>
      </c>
      <c r="BC95">
        <v>375.79522530250796</v>
      </c>
      <c r="BD95">
        <f t="shared" si="58"/>
        <v>0.28185157782178294</v>
      </c>
      <c r="BE95">
        <f t="shared" si="78"/>
        <v>4.4642857142857539E-3</v>
      </c>
      <c r="BF95">
        <v>83</v>
      </c>
      <c r="BG95">
        <v>0.11243780758630441</v>
      </c>
      <c r="BH95">
        <f t="shared" si="59"/>
        <v>0.56462585034013602</v>
      </c>
      <c r="BI95">
        <f t="shared" si="60"/>
        <v>0.56462585034013602</v>
      </c>
      <c r="BK95">
        <f t="shared" si="61"/>
        <v>0.56462585034013602</v>
      </c>
      <c r="BL95">
        <f t="shared" si="62"/>
        <v>0.11243780758630441</v>
      </c>
      <c r="BN95">
        <v>0.80272108843537415</v>
      </c>
      <c r="BO95">
        <v>0.32990316162183381</v>
      </c>
      <c r="BP95">
        <f t="shared" si="63"/>
        <v>1.2087040663259219E-2</v>
      </c>
      <c r="BQ95">
        <f t="shared" si="79"/>
        <v>6.8027210884353817E-3</v>
      </c>
      <c r="BS95">
        <f t="shared" si="64"/>
        <v>0.3705357142857143</v>
      </c>
      <c r="BT95">
        <v>6.0398924048730013E-2</v>
      </c>
      <c r="BU95">
        <f t="shared" si="65"/>
        <v>4.9831291442126863E-4</v>
      </c>
      <c r="BV95">
        <f t="shared" si="80"/>
        <v>4.4642857142857539E-3</v>
      </c>
      <c r="BW95">
        <v>83</v>
      </c>
      <c r="BX95">
        <v>6.6489361702127658E-2</v>
      </c>
      <c r="BY95">
        <f t="shared" si="66"/>
        <v>0.61481481481481481</v>
      </c>
      <c r="BZ95" t="e">
        <f t="shared" si="67"/>
        <v>#N/A</v>
      </c>
      <c r="CB95" t="e">
        <f t="shared" si="68"/>
        <v>#N/A</v>
      </c>
      <c r="CC95">
        <f t="shared" si="69"/>
        <v>6.6489361702127658E-2</v>
      </c>
      <c r="CE95" t="e">
        <v>#N/A</v>
      </c>
      <c r="CF95">
        <v>4.6296296296296294E-2</v>
      </c>
      <c r="CJ95">
        <f t="shared" si="70"/>
        <v>0.3705357142857143</v>
      </c>
      <c r="CK95">
        <v>3.0569950394100001E-2</v>
      </c>
      <c r="CL95">
        <f t="shared" si="71"/>
        <v>3.7596274200000362E-5</v>
      </c>
      <c r="CM95">
        <f t="shared" si="81"/>
        <v>4.4642857142857539E-3</v>
      </c>
    </row>
    <row r="96" spans="2:91">
      <c r="B96">
        <v>84</v>
      </c>
      <c r="C96">
        <f>IF(ISNUMBER(K96),IF('Lab test'!N87&gt;0,'Lab test'!N87,NA()),NA())</f>
        <v>72.009</v>
      </c>
      <c r="D96">
        <f>IF(ISNUMBER(K96),IF('Lab test'!Q87&gt;0,'Lab test'!Q87,NA()),NA())</f>
        <v>1343.6018957345973</v>
      </c>
      <c r="E96">
        <f>IF(ISNUMBER(K96),IF('Lab test'!P87&gt;0,'Lab test'!P87,NA()),NA())</f>
        <v>5.7738152491526175E-2</v>
      </c>
      <c r="F96">
        <f>IF(ISNUMBER(K96),IF('Lab test'!AJ87&gt;0,'Lab test'!AJ87,NA()),NA())</f>
        <v>1.1022927689594356E-2</v>
      </c>
      <c r="G96">
        <f>IF('Lab test'!V87&gt;0,'Lab test'!V87,NA())</f>
        <v>215805.90327000001</v>
      </c>
      <c r="H96">
        <f>IF(MAX('Lab test'!W87,'Lab test'!X87)&gt;0,MAX('Lab test'!W87,'Lab test'!X87),NA())</f>
        <v>393.00116496000004</v>
      </c>
      <c r="I96">
        <f>IF('Lab test'!AU87&gt;0,'Lab test'!AU87,NA())</f>
        <v>3.8288785255329569E-2</v>
      </c>
      <c r="J96">
        <f>IF('Lab test'!AT87&gt;0,'Lab test'!AT87,NA())</f>
        <v>0.15479396936850673</v>
      </c>
      <c r="K96">
        <f t="shared" si="72"/>
        <v>1</v>
      </c>
      <c r="L96" t="str">
        <f>'Lab test'!AC87</f>
        <v>LTWb</v>
      </c>
      <c r="N96">
        <v>84</v>
      </c>
      <c r="O96">
        <v>184.85889297700001</v>
      </c>
      <c r="P96">
        <v>1.43327007963</v>
      </c>
      <c r="Q96">
        <f t="shared" si="73"/>
        <v>128.97701250047828</v>
      </c>
      <c r="R96">
        <v>68.996881201500003</v>
      </c>
      <c r="S96">
        <f t="shared" si="74"/>
        <v>3.2864948470326949E-2</v>
      </c>
      <c r="T96">
        <v>1.48589161278E-2</v>
      </c>
      <c r="U96">
        <f t="shared" si="46"/>
        <v>0.375</v>
      </c>
      <c r="W96">
        <v>84</v>
      </c>
      <c r="X96">
        <v>114.3</v>
      </c>
      <c r="Y96">
        <f t="shared" si="47"/>
        <v>0.51533742331288346</v>
      </c>
      <c r="Z96" t="e">
        <f t="shared" si="48"/>
        <v>#N/A</v>
      </c>
      <c r="AB96" t="e">
        <f t="shared" si="49"/>
        <v>#N/A</v>
      </c>
      <c r="AC96">
        <f t="shared" si="50"/>
        <v>114.3</v>
      </c>
      <c r="AE96" t="e">
        <v>#N/A</v>
      </c>
      <c r="AF96">
        <v>114.3</v>
      </c>
      <c r="AJ96">
        <f t="shared" si="51"/>
        <v>0.375</v>
      </c>
      <c r="AK96">
        <v>72.224483774999996</v>
      </c>
      <c r="AL96">
        <f t="shared" si="52"/>
        <v>1.4835246399997004E-2</v>
      </c>
      <c r="AM96">
        <f t="shared" si="75"/>
        <v>4.4642857142856984E-3</v>
      </c>
      <c r="AO96">
        <v>84</v>
      </c>
      <c r="AP96">
        <v>475</v>
      </c>
      <c r="AQ96">
        <f t="shared" si="76"/>
        <v>0.51533742331288346</v>
      </c>
      <c r="AR96">
        <f t="shared" si="53"/>
        <v>0.51533742331288346</v>
      </c>
      <c r="AT96">
        <f t="shared" si="54"/>
        <v>0.51533742331288346</v>
      </c>
      <c r="AU96">
        <f t="shared" si="55"/>
        <v>475</v>
      </c>
      <c r="AW96">
        <v>0.97546012269938653</v>
      </c>
      <c r="AX96">
        <v>1424.6231155778894</v>
      </c>
      <c r="AY96">
        <f t="shared" si="56"/>
        <v>7.7809905400183652</v>
      </c>
      <c r="AZ96">
        <f t="shared" si="77"/>
        <v>6.1349693251534498E-3</v>
      </c>
      <c r="BB96">
        <f t="shared" si="57"/>
        <v>0.375</v>
      </c>
      <c r="BC96">
        <v>376.07707688032974</v>
      </c>
      <c r="BD96">
        <f t="shared" si="58"/>
        <v>8.5809486786482125</v>
      </c>
      <c r="BE96">
        <f t="shared" si="78"/>
        <v>4.4642857142856984E-3</v>
      </c>
      <c r="BF96">
        <v>84</v>
      </c>
      <c r="BG96">
        <v>0.11547005383792515</v>
      </c>
      <c r="BH96">
        <f t="shared" si="59"/>
        <v>0.5714285714285714</v>
      </c>
      <c r="BI96">
        <f t="shared" si="60"/>
        <v>0.5714285714285714</v>
      </c>
      <c r="BK96">
        <f t="shared" si="61"/>
        <v>0.5714285714285714</v>
      </c>
      <c r="BL96">
        <f t="shared" si="62"/>
        <v>0.11547005383792515</v>
      </c>
      <c r="BN96">
        <v>0.80952380952380953</v>
      </c>
      <c r="BO96">
        <v>0.34199020228509303</v>
      </c>
      <c r="BP96">
        <f t="shared" si="63"/>
        <v>1.4329056801853923E-4</v>
      </c>
      <c r="BQ96">
        <f t="shared" si="79"/>
        <v>6.8027210884353817E-3</v>
      </c>
      <c r="BS96">
        <f t="shared" si="64"/>
        <v>0.375</v>
      </c>
      <c r="BT96">
        <v>6.0897236963151281E-2</v>
      </c>
      <c r="BU96">
        <f t="shared" si="65"/>
        <v>1.8742773048178313E-4</v>
      </c>
      <c r="BV96">
        <f t="shared" si="80"/>
        <v>4.4642857142856984E-3</v>
      </c>
      <c r="BW96">
        <v>84</v>
      </c>
      <c r="BX96">
        <v>6.6489361702127658E-2</v>
      </c>
      <c r="BY96">
        <f t="shared" si="66"/>
        <v>0.62222222222222223</v>
      </c>
      <c r="BZ96" t="e">
        <f t="shared" si="67"/>
        <v>#N/A</v>
      </c>
      <c r="CB96" t="e">
        <f t="shared" si="68"/>
        <v>#N/A</v>
      </c>
      <c r="CC96">
        <f t="shared" si="69"/>
        <v>6.6489361702127658E-2</v>
      </c>
      <c r="CE96" t="e">
        <v>#N/A</v>
      </c>
      <c r="CF96">
        <v>4.6296296296296294E-2</v>
      </c>
      <c r="CJ96">
        <f t="shared" si="70"/>
        <v>0.375</v>
      </c>
      <c r="CK96">
        <v>3.0607546668300002E-2</v>
      </c>
      <c r="CL96">
        <f t="shared" si="71"/>
        <v>1.7622554469999899E-4</v>
      </c>
      <c r="CM96">
        <f t="shared" si="81"/>
        <v>4.4642857142856984E-3</v>
      </c>
    </row>
    <row r="97" spans="2:91">
      <c r="B97">
        <v>85</v>
      </c>
      <c r="C97">
        <f>IF(ISNUMBER(K97),IF('Lab test'!N88&gt;0,'Lab test'!N88,NA()),NA())</f>
        <v>47.625</v>
      </c>
      <c r="D97">
        <f>IF(ISNUMBER(K97),IF('Lab test'!Q88&gt;0,'Lab test'!Q88,NA()),NA())</f>
        <v>860.09174311926608</v>
      </c>
      <c r="E97">
        <f>IF(ISNUMBER(K97),IF('Lab test'!P88&gt;0,'Lab test'!P88,NA()),NA())</f>
        <v>0.10911327447504572</v>
      </c>
      <c r="F97">
        <f>IF(ISNUMBER(K97),IF('Lab test'!AJ88&gt;0,'Lab test'!AJ88,NA()),NA())</f>
        <v>1.6666666666666666E-2</v>
      </c>
      <c r="G97">
        <f>IF('Lab test'!V88&gt;0,'Lab test'!V88,NA())</f>
        <v>215805.90327000001</v>
      </c>
      <c r="H97">
        <f>IF(MAX('Lab test'!W88,'Lab test'!X88)&gt;0,MAX('Lab test'!W88,'Lab test'!X88),NA())</f>
        <v>393.00116496000004</v>
      </c>
      <c r="I97">
        <f>IF('Lab test'!AU88&gt;0,'Lab test'!AU88,NA())</f>
        <v>9.0883936512525992E-2</v>
      </c>
      <c r="J97">
        <f>IF('Lab test'!AT88&gt;0,'Lab test'!AT88,NA())</f>
        <v>0.2352034831345686</v>
      </c>
      <c r="K97">
        <f t="shared" si="72"/>
        <v>1</v>
      </c>
      <c r="L97" t="str">
        <f>'Lab test'!AC88</f>
        <v>LTWb</v>
      </c>
      <c r="N97">
        <v>85</v>
      </c>
      <c r="O97">
        <v>185.30600348199999</v>
      </c>
      <c r="P97">
        <v>0.28055108490899999</v>
      </c>
      <c r="Q97">
        <f t="shared" si="73"/>
        <v>660.50717124158029</v>
      </c>
      <c r="R97">
        <v>254.76464580999999</v>
      </c>
      <c r="S97">
        <f t="shared" si="74"/>
        <v>5.3494717904199171E-2</v>
      </c>
      <c r="T97">
        <v>3.3270960801799997E-2</v>
      </c>
      <c r="U97">
        <f t="shared" si="46"/>
        <v>0.3794642857142857</v>
      </c>
      <c r="W97">
        <v>85</v>
      </c>
      <c r="X97">
        <v>114.3</v>
      </c>
      <c r="Y97">
        <f t="shared" si="47"/>
        <v>0.5214723926380368</v>
      </c>
      <c r="Z97" t="e">
        <f t="shared" si="48"/>
        <v>#N/A</v>
      </c>
      <c r="AB97" t="e">
        <f t="shared" si="49"/>
        <v>#N/A</v>
      </c>
      <c r="AC97">
        <f t="shared" si="50"/>
        <v>114.3</v>
      </c>
      <c r="AE97" t="e">
        <v>#N/A</v>
      </c>
      <c r="AF97">
        <v>114.3</v>
      </c>
      <c r="AJ97">
        <f t="shared" si="51"/>
        <v>0.3794642857142857</v>
      </c>
      <c r="AK97">
        <v>72.239319021399993</v>
      </c>
      <c r="AL97">
        <f t="shared" si="52"/>
        <v>1.2994196500002886E-2</v>
      </c>
      <c r="AM97">
        <f t="shared" si="75"/>
        <v>4.4642857142856984E-3</v>
      </c>
      <c r="AO97">
        <v>85</v>
      </c>
      <c r="AP97">
        <v>478.88513513513516</v>
      </c>
      <c r="AQ97">
        <f t="shared" si="76"/>
        <v>0.5214723926380368</v>
      </c>
      <c r="AR97">
        <f t="shared" si="53"/>
        <v>0.5214723926380368</v>
      </c>
      <c r="AT97">
        <f t="shared" si="54"/>
        <v>0.5214723926380368</v>
      </c>
      <c r="AU97">
        <f t="shared" si="55"/>
        <v>478.88513513513516</v>
      </c>
      <c r="AW97">
        <v>0.98159509202453987</v>
      </c>
      <c r="AX97">
        <v>1432.4041061179078</v>
      </c>
      <c r="AY97">
        <f t="shared" si="56"/>
        <v>8.3400354001760206</v>
      </c>
      <c r="AZ97">
        <f t="shared" si="77"/>
        <v>6.1349693251533388E-3</v>
      </c>
      <c r="BB97">
        <f t="shared" si="57"/>
        <v>0.3794642857142857</v>
      </c>
      <c r="BC97">
        <v>384.65802555897795</v>
      </c>
      <c r="BD97">
        <f t="shared" si="58"/>
        <v>3.7477258057314202</v>
      </c>
      <c r="BE97">
        <f t="shared" si="78"/>
        <v>4.4642857142856984E-3</v>
      </c>
      <c r="BF97">
        <v>85</v>
      </c>
      <c r="BG97">
        <v>0.11607620001760187</v>
      </c>
      <c r="BH97">
        <f t="shared" si="59"/>
        <v>0.57823129251700678</v>
      </c>
      <c r="BI97" t="e">
        <f t="shared" si="60"/>
        <v>#N/A</v>
      </c>
      <c r="BK97" t="e">
        <f t="shared" si="61"/>
        <v>#N/A</v>
      </c>
      <c r="BL97">
        <f t="shared" si="62"/>
        <v>0.11607620001760187</v>
      </c>
      <c r="BN97">
        <v>0.8231292517006803</v>
      </c>
      <c r="BO97">
        <v>0.34213349285311156</v>
      </c>
      <c r="BP97">
        <f t="shared" si="63"/>
        <v>7.3191924611759052E-3</v>
      </c>
      <c r="BQ97">
        <f t="shared" si="79"/>
        <v>1.3605442176870763E-2</v>
      </c>
      <c r="BS97">
        <f t="shared" si="64"/>
        <v>0.3794642857142857</v>
      </c>
      <c r="BT97">
        <v>6.1084664693633065E-2</v>
      </c>
      <c r="BU97">
        <f t="shared" si="65"/>
        <v>4.4354206704144417E-3</v>
      </c>
      <c r="BV97">
        <f t="shared" si="80"/>
        <v>4.4642857142856984E-3</v>
      </c>
      <c r="BW97">
        <v>85</v>
      </c>
      <c r="BX97">
        <v>6.6489361702127658E-2</v>
      </c>
      <c r="BY97">
        <f t="shared" si="66"/>
        <v>0.62962962962962965</v>
      </c>
      <c r="BZ97" t="e">
        <f t="shared" si="67"/>
        <v>#N/A</v>
      </c>
      <c r="CB97" t="e">
        <f t="shared" si="68"/>
        <v>#N/A</v>
      </c>
      <c r="CC97">
        <f t="shared" si="69"/>
        <v>6.6489361702127658E-2</v>
      </c>
      <c r="CE97" t="e">
        <v>#N/A</v>
      </c>
      <c r="CF97">
        <v>4.6296296296296294E-2</v>
      </c>
      <c r="CJ97">
        <f t="shared" si="70"/>
        <v>0.3794642857142857</v>
      </c>
      <c r="CK97">
        <v>3.0783772213E-2</v>
      </c>
      <c r="CL97">
        <f t="shared" si="71"/>
        <v>2.7436160569999785E-4</v>
      </c>
      <c r="CM97">
        <f t="shared" si="81"/>
        <v>4.4642857142856984E-3</v>
      </c>
    </row>
    <row r="98" spans="2:91">
      <c r="B98">
        <v>86</v>
      </c>
      <c r="C98">
        <f>IF(ISNUMBER(K98),IF('Lab test'!N89&gt;0,'Lab test'!N89,NA()),NA())</f>
        <v>47.625</v>
      </c>
      <c r="D98">
        <f>IF(ISNUMBER(K98),IF('Lab test'!Q89&gt;0,'Lab test'!Q89,NA()),NA())</f>
        <v>880.28169014084506</v>
      </c>
      <c r="E98">
        <f>IF(ISNUMBER(K98),IF('Lab test'!P89&gt;0,'Lab test'!P89,NA()),NA())</f>
        <v>0.10785471709665738</v>
      </c>
      <c r="F98">
        <f>IF(ISNUMBER(K98),IF('Lab test'!AJ89&gt;0,'Lab test'!AJ89,NA()),NA())</f>
        <v>1.6666666666666666E-2</v>
      </c>
      <c r="G98">
        <f>IF('Lab test'!V89&gt;0,'Lab test'!V89,NA())</f>
        <v>215805.90327000001</v>
      </c>
      <c r="H98">
        <f>IF(MAX('Lab test'!W89,'Lab test'!X89)&gt;0,MAX('Lab test'!W89,'Lab test'!X89),NA())</f>
        <v>393.00116496000004</v>
      </c>
      <c r="I98">
        <f>IF('Lab test'!AU89&gt;0,'Lab test'!AU89,NA())</f>
        <v>0.11120120750457747</v>
      </c>
      <c r="J98">
        <f>IF('Lab test'!AT89&gt;0,'Lab test'!AT89,NA())</f>
        <v>0.29453913877225468</v>
      </c>
      <c r="K98">
        <f t="shared" si="72"/>
        <v>1</v>
      </c>
      <c r="L98" t="str">
        <f>'Lab test'!AC89</f>
        <v>LTWb</v>
      </c>
      <c r="N98">
        <v>86</v>
      </c>
      <c r="O98">
        <v>185.383148775</v>
      </c>
      <c r="P98">
        <v>0.40506316545900001</v>
      </c>
      <c r="Q98">
        <f t="shared" si="73"/>
        <v>457.66479053935171</v>
      </c>
      <c r="R98">
        <v>139.19040387999999</v>
      </c>
      <c r="S98">
        <f t="shared" si="74"/>
        <v>3.5096619670934318E-2</v>
      </c>
      <c r="T98">
        <v>1.6245844534599999E-2</v>
      </c>
      <c r="U98">
        <f t="shared" si="46"/>
        <v>0.38392857142857145</v>
      </c>
      <c r="W98">
        <v>86</v>
      </c>
      <c r="X98">
        <v>114.3</v>
      </c>
      <c r="Y98">
        <f t="shared" si="47"/>
        <v>0.52760736196319014</v>
      </c>
      <c r="Z98" t="e">
        <f t="shared" si="48"/>
        <v>#N/A</v>
      </c>
      <c r="AB98" t="e">
        <f t="shared" si="49"/>
        <v>#N/A</v>
      </c>
      <c r="AC98">
        <f t="shared" si="50"/>
        <v>114.3</v>
      </c>
      <c r="AE98" t="e">
        <v>#N/A</v>
      </c>
      <c r="AF98">
        <v>114.3</v>
      </c>
      <c r="AJ98">
        <f t="shared" si="51"/>
        <v>0.38392857142857145</v>
      </c>
      <c r="AK98">
        <v>72.252313217899996</v>
      </c>
      <c r="AL98">
        <f t="shared" si="52"/>
        <v>0.39645272410000132</v>
      </c>
      <c r="AM98">
        <f t="shared" si="75"/>
        <v>4.4642857142857539E-3</v>
      </c>
      <c r="AO98">
        <v>86</v>
      </c>
      <c r="AP98">
        <v>478.95622895622904</v>
      </c>
      <c r="AQ98">
        <f t="shared" si="76"/>
        <v>0.52760736196319014</v>
      </c>
      <c r="AR98">
        <f t="shared" si="53"/>
        <v>0.52760736196319014</v>
      </c>
      <c r="AT98">
        <f t="shared" si="54"/>
        <v>0.52760736196319014</v>
      </c>
      <c r="AU98">
        <f t="shared" si="55"/>
        <v>478.95622895622904</v>
      </c>
      <c r="AW98">
        <v>0.99386503067484666</v>
      </c>
      <c r="AX98">
        <v>1440.7441415180838</v>
      </c>
      <c r="AY98">
        <f t="shared" si="56"/>
        <v>28.167775580361877</v>
      </c>
      <c r="AZ98">
        <f t="shared" si="77"/>
        <v>1.2269938650306789E-2</v>
      </c>
      <c r="BB98">
        <f t="shared" si="57"/>
        <v>0.38392857142857145</v>
      </c>
      <c r="BC98">
        <v>388.40575136470937</v>
      </c>
      <c r="BD98">
        <f t="shared" si="58"/>
        <v>3.2500672935820489</v>
      </c>
      <c r="BE98">
        <f t="shared" si="78"/>
        <v>4.4642857142857539E-3</v>
      </c>
      <c r="BF98">
        <v>86</v>
      </c>
      <c r="BG98">
        <v>0.11607620001760187</v>
      </c>
      <c r="BH98">
        <f t="shared" si="59"/>
        <v>0.58503401360544216</v>
      </c>
      <c r="BI98">
        <f t="shared" si="60"/>
        <v>0.58503401360544216</v>
      </c>
      <c r="BK98">
        <f t="shared" si="61"/>
        <v>0.58503401360544216</v>
      </c>
      <c r="BL98">
        <f t="shared" si="62"/>
        <v>0.11607620001760187</v>
      </c>
      <c r="BN98">
        <v>0.82993197278911568</v>
      </c>
      <c r="BO98">
        <v>0.34945268531428747</v>
      </c>
      <c r="BP98">
        <f t="shared" si="63"/>
        <v>6.7032777410431788E-3</v>
      </c>
      <c r="BQ98">
        <f t="shared" si="79"/>
        <v>6.8027210884353817E-3</v>
      </c>
      <c r="BS98">
        <f t="shared" si="64"/>
        <v>0.38392857142857145</v>
      </c>
      <c r="BT98">
        <v>6.5520085364047506E-2</v>
      </c>
      <c r="BU98">
        <f t="shared" si="65"/>
        <v>3.0168377921224732E-4</v>
      </c>
      <c r="BV98">
        <f t="shared" si="80"/>
        <v>4.4642857142857539E-3</v>
      </c>
      <c r="BW98">
        <v>86</v>
      </c>
      <c r="BX98">
        <v>6.6489361702127658E-2</v>
      </c>
      <c r="BY98">
        <f t="shared" si="66"/>
        <v>0.63703703703703707</v>
      </c>
      <c r="BZ98" t="e">
        <f t="shared" si="67"/>
        <v>#N/A</v>
      </c>
      <c r="CB98" t="e">
        <f t="shared" si="68"/>
        <v>#N/A</v>
      </c>
      <c r="CC98">
        <f t="shared" si="69"/>
        <v>6.6489361702127658E-2</v>
      </c>
      <c r="CE98" t="e">
        <v>#N/A</v>
      </c>
      <c r="CF98">
        <v>6.6489361702127658E-2</v>
      </c>
      <c r="CJ98">
        <f t="shared" si="70"/>
        <v>0.38392857142857145</v>
      </c>
      <c r="CK98">
        <v>3.1058133818699998E-2</v>
      </c>
      <c r="CL98">
        <f t="shared" si="71"/>
        <v>4.5993010269999857E-4</v>
      </c>
      <c r="CM98">
        <f t="shared" si="81"/>
        <v>4.4642857142857539E-3</v>
      </c>
    </row>
    <row r="99" spans="2:91">
      <c r="B99">
        <v>87</v>
      </c>
      <c r="C99">
        <f>IF(ISNUMBER(K99),IF('Lab test'!N90&gt;0,'Lab test'!N90,NA()),NA())</f>
        <v>23.939499999999999</v>
      </c>
      <c r="D99">
        <f>IF(ISNUMBER(K99),IF('Lab test'!Q90&gt;0,'Lab test'!Q90,NA()),NA())</f>
        <v>459.75609756097566</v>
      </c>
      <c r="E99">
        <f>IF(ISNUMBER(K99),IF('Lab test'!P90&gt;0,'Lab test'!P90,NA()),NA())</f>
        <v>0.29689722786195405</v>
      </c>
      <c r="F99">
        <f>IF(ISNUMBER(K99),IF('Lab test'!AJ90&gt;0,'Lab test'!AJ90,NA()),NA())</f>
        <v>3.3156498673740049E-2</v>
      </c>
      <c r="G99">
        <f>IF('Lab test'!V90&gt;0,'Lab test'!V90,NA())</f>
        <v>215805.90327000001</v>
      </c>
      <c r="H99">
        <f>IF(MAX('Lab test'!W90,'Lab test'!X90)&gt;0,MAX('Lab test'!W90,'Lab test'!X90),NA())</f>
        <v>393.00116496000004</v>
      </c>
      <c r="I99">
        <f>IF('Lab test'!AU90&gt;0,'Lab test'!AU90,NA())</f>
        <v>0.19371481349938846</v>
      </c>
      <c r="J99">
        <f>IF('Lab test'!AT90&gt;0,'Lab test'!AT90,NA())</f>
        <v>0.26797986958233588</v>
      </c>
      <c r="K99">
        <f t="shared" si="72"/>
        <v>1</v>
      </c>
      <c r="L99" t="str">
        <f>'Lab test'!AC90</f>
        <v>LTWb</v>
      </c>
      <c r="N99">
        <v>87</v>
      </c>
      <c r="O99">
        <v>187.66699812600001</v>
      </c>
      <c r="P99">
        <v>0.14333574792000001</v>
      </c>
      <c r="Q99">
        <f t="shared" si="73"/>
        <v>1309.282581974893</v>
      </c>
      <c r="R99">
        <v>446.96565525400001</v>
      </c>
      <c r="S99">
        <f t="shared" si="74"/>
        <v>6.5821769143259753E-2</v>
      </c>
      <c r="T99">
        <v>6.6369311141500006E-2</v>
      </c>
      <c r="U99">
        <f t="shared" si="46"/>
        <v>0.38839285714285715</v>
      </c>
      <c r="W99">
        <v>87</v>
      </c>
      <c r="X99">
        <v>114.3</v>
      </c>
      <c r="Y99">
        <f t="shared" si="47"/>
        <v>0.53374233128834359</v>
      </c>
      <c r="Z99">
        <f t="shared" si="48"/>
        <v>0.53374233128834359</v>
      </c>
      <c r="AB99">
        <f t="shared" si="49"/>
        <v>0.53374233128834359</v>
      </c>
      <c r="AC99">
        <f t="shared" si="50"/>
        <v>114.3</v>
      </c>
      <c r="AE99" t="e">
        <v>#N/A</v>
      </c>
      <c r="AF99">
        <v>114.3</v>
      </c>
      <c r="AJ99">
        <f t="shared" si="51"/>
        <v>0.38839285714285715</v>
      </c>
      <c r="AK99">
        <v>72.648765941999997</v>
      </c>
      <c r="AL99">
        <f t="shared" si="52"/>
        <v>0.76973469960000784</v>
      </c>
      <c r="AM99">
        <f t="shared" si="75"/>
        <v>4.4642857142856984E-3</v>
      </c>
      <c r="AO99">
        <v>87</v>
      </c>
      <c r="AP99">
        <v>486.27787307032594</v>
      </c>
      <c r="AQ99">
        <f t="shared" si="76"/>
        <v>0.53374233128834359</v>
      </c>
      <c r="AR99">
        <f t="shared" si="53"/>
        <v>0.53374233128834359</v>
      </c>
      <c r="AT99">
        <f t="shared" si="54"/>
        <v>0.53374233128834359</v>
      </c>
      <c r="AU99">
        <f t="shared" si="55"/>
        <v>486.27787307032594</v>
      </c>
      <c r="AW99">
        <v>1</v>
      </c>
      <c r="AX99">
        <v>1468.9119170984457</v>
      </c>
      <c r="AZ99">
        <f>AW99-AW98</f>
        <v>6.1349693251533388E-3</v>
      </c>
      <c r="BB99">
        <f t="shared" si="57"/>
        <v>0.38839285714285715</v>
      </c>
      <c r="BC99">
        <v>391.65581865829142</v>
      </c>
      <c r="BD99">
        <f t="shared" si="58"/>
        <v>0.34653253595820388</v>
      </c>
      <c r="BE99">
        <f t="shared" si="78"/>
        <v>4.4642857142856984E-3</v>
      </c>
      <c r="BF99">
        <v>87</v>
      </c>
      <c r="BG99">
        <v>0.11855478373470343</v>
      </c>
      <c r="BH99">
        <f t="shared" si="59"/>
        <v>0.59183673469387754</v>
      </c>
      <c r="BI99">
        <f t="shared" si="60"/>
        <v>0.59183673469387754</v>
      </c>
      <c r="BK99">
        <f t="shared" si="61"/>
        <v>0.59183673469387754</v>
      </c>
      <c r="BL99">
        <f t="shared" si="62"/>
        <v>0.11855478373470343</v>
      </c>
      <c r="BN99">
        <v>0.83673469387755106</v>
      </c>
      <c r="BO99">
        <v>0.35615596305533065</v>
      </c>
      <c r="BP99">
        <f t="shared" si="63"/>
        <v>6.031434685729864E-4</v>
      </c>
      <c r="BQ99">
        <f t="shared" si="79"/>
        <v>6.8027210884353817E-3</v>
      </c>
      <c r="BS99">
        <f t="shared" si="64"/>
        <v>0.38839285714285715</v>
      </c>
      <c r="BT99">
        <v>6.5821769143259753E-2</v>
      </c>
      <c r="BU99">
        <f t="shared" si="65"/>
        <v>1.1236657543459427E-3</v>
      </c>
      <c r="BV99">
        <f t="shared" si="80"/>
        <v>4.4642857142856984E-3</v>
      </c>
      <c r="BW99">
        <v>87</v>
      </c>
      <c r="BX99">
        <v>6.6489361702127658E-2</v>
      </c>
      <c r="BY99">
        <f t="shared" si="66"/>
        <v>0.64444444444444449</v>
      </c>
      <c r="BZ99" t="e">
        <f t="shared" si="67"/>
        <v>#N/A</v>
      </c>
      <c r="CB99" t="e">
        <f t="shared" si="68"/>
        <v>#N/A</v>
      </c>
      <c r="CC99">
        <f t="shared" si="69"/>
        <v>6.6489361702127658E-2</v>
      </c>
      <c r="CE99" t="e">
        <v>#N/A</v>
      </c>
      <c r="CF99">
        <v>6.6489361702127658E-2</v>
      </c>
      <c r="CJ99">
        <f t="shared" si="70"/>
        <v>0.38839285714285715</v>
      </c>
      <c r="CK99">
        <v>3.1518063921399997E-2</v>
      </c>
      <c r="CL99">
        <f t="shared" si="71"/>
        <v>8.8698071300005732E-5</v>
      </c>
      <c r="CM99">
        <f t="shared" si="81"/>
        <v>4.4642857142856984E-3</v>
      </c>
    </row>
    <row r="100" spans="2:91">
      <c r="B100">
        <v>88</v>
      </c>
      <c r="C100">
        <f>IF(ISNUMBER(K100),IF('Lab test'!N91&gt;0,'Lab test'!N91,NA()),NA())</f>
        <v>23.939499999999999</v>
      </c>
      <c r="D100">
        <f>IF(ISNUMBER(K100),IF('Lab test'!Q91&gt;0,'Lab test'!Q91,NA()),NA())</f>
        <v>464.28571428571433</v>
      </c>
      <c r="E100">
        <f>IF(ISNUMBER(K100),IF('Lab test'!P91&gt;0,'Lab test'!P91,NA()),NA())</f>
        <v>0.29544539897650313</v>
      </c>
      <c r="F100">
        <f>IF(ISNUMBER(K100),IF('Lab test'!AJ91&gt;0,'Lab test'!AJ91,NA()),NA())</f>
        <v>3.3156498673740049E-2</v>
      </c>
      <c r="G100">
        <f>IF('Lab test'!V91&gt;0,'Lab test'!V91,NA())</f>
        <v>215805.90327000001</v>
      </c>
      <c r="H100">
        <f>IF(MAX('Lab test'!W91,'Lab test'!X91)&gt;0,MAX('Lab test'!W91,'Lab test'!X91),NA())</f>
        <v>393.00116496000004</v>
      </c>
      <c r="I100">
        <f>IF('Lab test'!AU91&gt;0,'Lab test'!AU91,NA())</f>
        <v>0.23212022446925107</v>
      </c>
      <c r="J100">
        <f>IF('Lab test'!AT91&gt;0,'Lab test'!AT91,NA())</f>
        <v>0.32427251782276756</v>
      </c>
      <c r="K100">
        <f t="shared" si="72"/>
        <v>1</v>
      </c>
      <c r="L100" t="str">
        <f>'Lab test'!AC91</f>
        <v>LTWb</v>
      </c>
      <c r="N100">
        <v>88</v>
      </c>
      <c r="O100">
        <v>188.04334643499999</v>
      </c>
      <c r="P100">
        <v>0.29377198400299998</v>
      </c>
      <c r="Q100">
        <f t="shared" si="73"/>
        <v>640.09965781175276</v>
      </c>
      <c r="R100">
        <v>283.828743385</v>
      </c>
      <c r="S100">
        <f t="shared" si="74"/>
        <v>5.9658812643039807E-2</v>
      </c>
      <c r="T100">
        <v>3.3312887263400003E-2</v>
      </c>
      <c r="U100">
        <f t="shared" si="46"/>
        <v>0.39285714285714285</v>
      </c>
      <c r="W100">
        <v>88</v>
      </c>
      <c r="X100">
        <v>137.16</v>
      </c>
      <c r="Y100">
        <f t="shared" si="47"/>
        <v>0.53987730061349692</v>
      </c>
      <c r="Z100" t="e">
        <f t="shared" si="48"/>
        <v>#N/A</v>
      </c>
      <c r="AB100" t="e">
        <f t="shared" si="49"/>
        <v>#N/A</v>
      </c>
      <c r="AC100">
        <f t="shared" si="50"/>
        <v>137.16</v>
      </c>
      <c r="AE100" t="e">
        <v>#N/A</v>
      </c>
      <c r="AF100">
        <v>114.3</v>
      </c>
      <c r="AJ100">
        <f t="shared" si="51"/>
        <v>0.39285714285714285</v>
      </c>
      <c r="AK100">
        <v>73.418500641600005</v>
      </c>
      <c r="AL100">
        <f t="shared" si="52"/>
        <v>0.65818953809998959</v>
      </c>
      <c r="AM100">
        <f t="shared" si="75"/>
        <v>4.4642857142856984E-3</v>
      </c>
      <c r="AO100">
        <v>88</v>
      </c>
      <c r="AP100">
        <v>486.32478632478643</v>
      </c>
      <c r="AQ100">
        <f t="shared" si="76"/>
        <v>0.53987730061349692</v>
      </c>
      <c r="AR100" t="e">
        <f t="shared" si="53"/>
        <v>#N/A</v>
      </c>
      <c r="AT100" t="e">
        <f t="shared" si="54"/>
        <v>#N/A</v>
      </c>
      <c r="AU100">
        <f t="shared" si="55"/>
        <v>486.32478632478643</v>
      </c>
      <c r="AW100" t="e">
        <v>#N/A</v>
      </c>
      <c r="AX100">
        <v>119</v>
      </c>
      <c r="BB100">
        <f t="shared" si="57"/>
        <v>0.39285714285714285</v>
      </c>
      <c r="BC100">
        <v>392.00235119424963</v>
      </c>
      <c r="BD100">
        <f t="shared" si="58"/>
        <v>5.2194701349729371</v>
      </c>
      <c r="BE100">
        <f t="shared" si="78"/>
        <v>4.4642857142856984E-3</v>
      </c>
      <c r="BF100">
        <v>88</v>
      </c>
      <c r="BG100">
        <v>0.12321731480058581</v>
      </c>
      <c r="BH100">
        <f t="shared" si="59"/>
        <v>0.59863945578231292</v>
      </c>
      <c r="BI100">
        <f t="shared" si="60"/>
        <v>0.59863945578231292</v>
      </c>
      <c r="BK100">
        <f t="shared" si="61"/>
        <v>0.59863945578231292</v>
      </c>
      <c r="BL100">
        <f t="shared" si="62"/>
        <v>0.12321731480058581</v>
      </c>
      <c r="BN100">
        <v>0.84353741496598644</v>
      </c>
      <c r="BO100">
        <v>0.35675910652390364</v>
      </c>
      <c r="BP100">
        <f t="shared" si="63"/>
        <v>4.6756639857047921E-3</v>
      </c>
      <c r="BQ100">
        <f t="shared" si="79"/>
        <v>6.8027210884353817E-3</v>
      </c>
      <c r="BS100">
        <f t="shared" si="64"/>
        <v>0.39285714285714285</v>
      </c>
      <c r="BT100">
        <v>6.6945434897605696E-2</v>
      </c>
      <c r="BU100">
        <f t="shared" si="65"/>
        <v>1.4705238470143212E-4</v>
      </c>
      <c r="BV100">
        <f t="shared" si="80"/>
        <v>4.4642857142856984E-3</v>
      </c>
      <c r="BW100">
        <v>88</v>
      </c>
      <c r="BX100">
        <v>6.6489361702127658E-2</v>
      </c>
      <c r="BY100">
        <f t="shared" si="66"/>
        <v>0.6518518518518519</v>
      </c>
      <c r="BZ100" t="e">
        <f t="shared" si="67"/>
        <v>#N/A</v>
      </c>
      <c r="CB100" t="e">
        <f t="shared" si="68"/>
        <v>#N/A</v>
      </c>
      <c r="CC100">
        <f t="shared" si="69"/>
        <v>6.6489361702127658E-2</v>
      </c>
      <c r="CE100" t="e">
        <v>#N/A</v>
      </c>
      <c r="CF100">
        <v>6.6489361702127658E-2</v>
      </c>
      <c r="CJ100">
        <f t="shared" si="70"/>
        <v>0.39285714285714285</v>
      </c>
      <c r="CK100">
        <v>3.1606761992700003E-2</v>
      </c>
      <c r="CL100">
        <f t="shared" si="71"/>
        <v>7.9419149999968019E-6</v>
      </c>
      <c r="CM100">
        <f t="shared" si="81"/>
        <v>4.4642857142856984E-3</v>
      </c>
    </row>
    <row r="101" spans="2:91">
      <c r="B101">
        <v>89</v>
      </c>
      <c r="C101">
        <f>IF(ISNUMBER(K101),IF('Lab test'!N92&gt;0,'Lab test'!N92,NA()),NA())</f>
        <v>72.009</v>
      </c>
      <c r="D101">
        <f>IF(ISNUMBER(K101),IF('Lab test'!Q92&gt;0,'Lab test'!Q92,NA()),NA())</f>
        <v>1073.8636363636365</v>
      </c>
      <c r="E101">
        <f>IF(ISNUMBER(K101),IF('Lab test'!P92&gt;0,'Lab test'!P92,NA()),NA())</f>
        <v>0.12916760725701965</v>
      </c>
      <c r="F101">
        <f>IF(ISNUMBER(K101),IF('Lab test'!AJ92&gt;0,'Lab test'!AJ92,NA()),NA())</f>
        <v>1.1022927689594356E-2</v>
      </c>
      <c r="G101">
        <f>IF('Lab test'!V92&gt;0,'Lab test'!V92,NA())</f>
        <v>215805.90327000001</v>
      </c>
      <c r="H101">
        <f>IF(MAX('Lab test'!W92,'Lab test'!X92)&gt;0,MAX('Lab test'!W92,'Lab test'!X92),NA())</f>
        <v>393.00116496000004</v>
      </c>
      <c r="I101">
        <f>IF('Lab test'!AU92&gt;0,'Lab test'!AU92,NA())</f>
        <v>6.7548364638132477E-2</v>
      </c>
      <c r="J101">
        <f>IF('Lab test'!AT92&gt;0,'Lab test'!AT92,NA())</f>
        <v>0.21826083698616702</v>
      </c>
      <c r="K101">
        <f t="shared" si="72"/>
        <v>1</v>
      </c>
      <c r="L101" t="str">
        <f>'Lab test'!AC92</f>
        <v>LTWb</v>
      </c>
      <c r="N101">
        <v>89</v>
      </c>
      <c r="O101">
        <v>189.28504104800001</v>
      </c>
      <c r="P101">
        <v>0.27647094761899998</v>
      </c>
      <c r="Q101">
        <f t="shared" si="73"/>
        <v>684.64713084012931</v>
      </c>
      <c r="R101">
        <v>528.57195996999997</v>
      </c>
      <c r="S101">
        <f t="shared" si="74"/>
        <v>0.10672211681987687</v>
      </c>
      <c r="T101">
        <v>2.3175600403399998E-2</v>
      </c>
      <c r="U101">
        <f t="shared" si="46"/>
        <v>0.39732142857142855</v>
      </c>
      <c r="W101">
        <v>89</v>
      </c>
      <c r="X101">
        <v>137.16</v>
      </c>
      <c r="Y101">
        <f t="shared" si="47"/>
        <v>0.54601226993865026</v>
      </c>
      <c r="Z101" t="e">
        <f t="shared" si="48"/>
        <v>#N/A</v>
      </c>
      <c r="AB101" t="e">
        <f t="shared" si="49"/>
        <v>#N/A</v>
      </c>
      <c r="AC101">
        <f t="shared" si="50"/>
        <v>137.16</v>
      </c>
      <c r="AE101" t="e">
        <v>#N/A</v>
      </c>
      <c r="AF101">
        <v>114.3</v>
      </c>
      <c r="AJ101">
        <f t="shared" si="51"/>
        <v>0.39732142857142855</v>
      </c>
      <c r="AK101">
        <v>74.076690179699995</v>
      </c>
      <c r="AL101">
        <f t="shared" si="52"/>
        <v>0.93689432310000598</v>
      </c>
      <c r="AM101">
        <f t="shared" si="75"/>
        <v>4.4642857142856984E-3</v>
      </c>
      <c r="AO101">
        <v>89</v>
      </c>
      <c r="AP101">
        <v>486.32478632478643</v>
      </c>
      <c r="AQ101">
        <f t="shared" si="76"/>
        <v>0.54601226993865026</v>
      </c>
      <c r="AR101">
        <f t="shared" si="53"/>
        <v>0.54601226993865026</v>
      </c>
      <c r="AT101">
        <f t="shared" si="54"/>
        <v>0.54601226993865026</v>
      </c>
      <c r="AU101">
        <f t="shared" si="55"/>
        <v>486.32478632478643</v>
      </c>
      <c r="AW101" t="e">
        <v>#N/A</v>
      </c>
      <c r="AX101">
        <v>135</v>
      </c>
      <c r="BB101">
        <f t="shared" si="57"/>
        <v>0.39732142857142855</v>
      </c>
      <c r="BC101">
        <v>397.22182132922256</v>
      </c>
      <c r="BD101">
        <f t="shared" si="58"/>
        <v>1.386329831555031</v>
      </c>
      <c r="BE101">
        <f t="shared" si="78"/>
        <v>4.4642857142856984E-3</v>
      </c>
      <c r="BF101">
        <v>89</v>
      </c>
      <c r="BG101">
        <v>0.12628180127529592</v>
      </c>
      <c r="BH101">
        <f t="shared" si="59"/>
        <v>0.60544217687074831</v>
      </c>
      <c r="BI101">
        <f t="shared" si="60"/>
        <v>0.60544217687074831</v>
      </c>
      <c r="BK101">
        <f t="shared" si="61"/>
        <v>0.60544217687074831</v>
      </c>
      <c r="BL101">
        <f t="shared" si="62"/>
        <v>0.12628180127529592</v>
      </c>
      <c r="BN101">
        <v>0.85034013605442171</v>
      </c>
      <c r="BO101">
        <v>0.36143477050960843</v>
      </c>
      <c r="BP101">
        <f t="shared" si="63"/>
        <v>5.0956594131348898E-3</v>
      </c>
      <c r="BQ101">
        <f t="shared" si="79"/>
        <v>6.8027210884352707E-3</v>
      </c>
      <c r="BS101">
        <f t="shared" si="64"/>
        <v>0.39732142857142855</v>
      </c>
      <c r="BT101">
        <v>6.7092487282307128E-2</v>
      </c>
      <c r="BU101">
        <f t="shared" si="65"/>
        <v>1.5473959005749688E-3</v>
      </c>
      <c r="BV101">
        <f t="shared" si="80"/>
        <v>4.4642857142856984E-3</v>
      </c>
      <c r="BW101">
        <v>89</v>
      </c>
      <c r="BX101">
        <v>6.6489361702127658E-2</v>
      </c>
      <c r="BY101">
        <f t="shared" si="66"/>
        <v>0.65925925925925921</v>
      </c>
      <c r="BZ101" t="e">
        <f t="shared" si="67"/>
        <v>#N/A</v>
      </c>
      <c r="CB101" t="e">
        <f t="shared" si="68"/>
        <v>#N/A</v>
      </c>
      <c r="CC101">
        <f t="shared" si="69"/>
        <v>6.6489361702127658E-2</v>
      </c>
      <c r="CE101" t="e">
        <v>#N/A</v>
      </c>
      <c r="CF101">
        <v>6.6489361702127658E-2</v>
      </c>
      <c r="CJ101">
        <f t="shared" si="70"/>
        <v>0.39732142857142855</v>
      </c>
      <c r="CK101">
        <v>3.1614703907699999E-2</v>
      </c>
      <c r="CL101">
        <f t="shared" si="71"/>
        <v>1.4763612379999763E-4</v>
      </c>
      <c r="CM101">
        <f t="shared" si="81"/>
        <v>4.4642857142856984E-3</v>
      </c>
    </row>
    <row r="102" spans="2:91">
      <c r="B102">
        <v>90</v>
      </c>
      <c r="C102">
        <f>IF(ISNUMBER(K102),IF('Lab test'!N93&gt;0,'Lab test'!N93,NA()),NA())</f>
        <v>47.625</v>
      </c>
      <c r="D102">
        <f>IF(ISNUMBER(K102),IF('Lab test'!Q93&gt;0,'Lab test'!Q93,NA()),NA())</f>
        <v>684.30656934306569</v>
      </c>
      <c r="E102">
        <f>IF(ISNUMBER(K102),IF('Lab test'!P93&gt;0,'Lab test'!P93,NA()),NA())</f>
        <v>0.24465529492192342</v>
      </c>
      <c r="F102">
        <f>IF(ISNUMBER(K102),IF('Lab test'!AJ93&gt;0,'Lab test'!AJ93,NA()),NA())</f>
        <v>1.6666666666666666E-2</v>
      </c>
      <c r="G102">
        <f>IF('Lab test'!V93&gt;0,'Lab test'!V93,NA())</f>
        <v>215805.90327000001</v>
      </c>
      <c r="H102">
        <f>IF(MAX('Lab test'!W93,'Lab test'!X93)&gt;0,MAX('Lab test'!W93,'Lab test'!X93),NA())</f>
        <v>393.00116496000004</v>
      </c>
      <c r="I102">
        <f>IF('Lab test'!AU93&gt;0,'Lab test'!AU93,NA())</f>
        <v>0.15059868805898122</v>
      </c>
      <c r="J102">
        <f>IF('Lab test'!AT93&gt;0,'Lab test'!AT93,NA())</f>
        <v>0.31008712796085569</v>
      </c>
      <c r="K102">
        <f t="shared" si="72"/>
        <v>1</v>
      </c>
      <c r="L102" t="str">
        <f>'Lab test'!AC93</f>
        <v>LTWb</v>
      </c>
      <c r="N102">
        <v>90</v>
      </c>
      <c r="O102">
        <v>190.92378208400001</v>
      </c>
      <c r="P102">
        <v>0.41344833862699998</v>
      </c>
      <c r="Q102">
        <f t="shared" si="73"/>
        <v>461.78388990031812</v>
      </c>
      <c r="R102">
        <v>103.214792946</v>
      </c>
      <c r="S102">
        <f t="shared" si="74"/>
        <v>2.5157213062080578E-2</v>
      </c>
      <c r="T102">
        <v>6.6643110879100007E-2</v>
      </c>
      <c r="U102">
        <f t="shared" si="46"/>
        <v>0.4017857142857143</v>
      </c>
      <c r="W102">
        <v>90</v>
      </c>
      <c r="X102">
        <v>137.16</v>
      </c>
      <c r="Y102">
        <f t="shared" si="47"/>
        <v>0.55214723926380371</v>
      </c>
      <c r="Z102" t="e">
        <f t="shared" si="48"/>
        <v>#N/A</v>
      </c>
      <c r="AB102" t="e">
        <f t="shared" si="49"/>
        <v>#N/A</v>
      </c>
      <c r="AC102">
        <f t="shared" si="50"/>
        <v>137.16</v>
      </c>
      <c r="AE102" t="e">
        <v>#N/A</v>
      </c>
      <c r="AF102">
        <v>114.3</v>
      </c>
      <c r="AJ102">
        <f t="shared" si="51"/>
        <v>0.4017857142857143</v>
      </c>
      <c r="AK102">
        <v>75.013584502800001</v>
      </c>
      <c r="AL102">
        <f t="shared" si="52"/>
        <v>0.41803247510000574</v>
      </c>
      <c r="AM102">
        <f t="shared" si="75"/>
        <v>4.4642857142857539E-3</v>
      </c>
      <c r="AO102">
        <v>90</v>
      </c>
      <c r="AP102">
        <v>562.5</v>
      </c>
      <c r="AQ102">
        <f t="shared" si="76"/>
        <v>0.55214723926380371</v>
      </c>
      <c r="AR102" t="e">
        <f t="shared" si="53"/>
        <v>#N/A</v>
      </c>
      <c r="AT102" t="e">
        <f t="shared" si="54"/>
        <v>#N/A</v>
      </c>
      <c r="AU102">
        <f t="shared" si="55"/>
        <v>562.5</v>
      </c>
      <c r="AW102" t="e">
        <v>#N/A</v>
      </c>
      <c r="AX102">
        <v>135</v>
      </c>
      <c r="BB102">
        <f t="shared" si="57"/>
        <v>0.4017857142857143</v>
      </c>
      <c r="BC102">
        <v>398.6081511607776</v>
      </c>
      <c r="BD102">
        <f t="shared" si="58"/>
        <v>4.6050291685964453</v>
      </c>
      <c r="BE102">
        <f t="shared" si="78"/>
        <v>4.4642857142857539E-3</v>
      </c>
      <c r="BF102">
        <v>90</v>
      </c>
      <c r="BG102">
        <v>0.12674485010489558</v>
      </c>
      <c r="BH102">
        <f t="shared" si="59"/>
        <v>0.61224489795918369</v>
      </c>
      <c r="BI102">
        <f t="shared" si="60"/>
        <v>0.61224489795918369</v>
      </c>
      <c r="BK102">
        <f t="shared" si="61"/>
        <v>0.61224489795918369</v>
      </c>
      <c r="BL102">
        <f t="shared" si="62"/>
        <v>0.12674485010489558</v>
      </c>
      <c r="BN102">
        <v>0.87755102040816324</v>
      </c>
      <c r="BO102">
        <v>0.36653042992274332</v>
      </c>
      <c r="BP102">
        <f t="shared" si="63"/>
        <v>1.5986443776754677E-2</v>
      </c>
      <c r="BQ102">
        <f t="shared" si="79"/>
        <v>2.7210884353741527E-2</v>
      </c>
      <c r="BS102">
        <f t="shared" si="64"/>
        <v>0.4017857142857143</v>
      </c>
      <c r="BT102">
        <v>6.8639883182882097E-2</v>
      </c>
      <c r="BU102">
        <f t="shared" si="65"/>
        <v>1.1334573081514532E-5</v>
      </c>
      <c r="BV102">
        <f t="shared" si="80"/>
        <v>4.4642857142857539E-3</v>
      </c>
      <c r="BW102">
        <v>90</v>
      </c>
      <c r="BX102">
        <v>6.6489361702127658E-2</v>
      </c>
      <c r="BY102">
        <f t="shared" si="66"/>
        <v>0.66666666666666663</v>
      </c>
      <c r="BZ102" t="e">
        <f t="shared" si="67"/>
        <v>#N/A</v>
      </c>
      <c r="CB102" t="e">
        <f t="shared" si="68"/>
        <v>#N/A</v>
      </c>
      <c r="CC102">
        <f t="shared" si="69"/>
        <v>6.6489361702127658E-2</v>
      </c>
      <c r="CE102" t="e">
        <v>#N/A</v>
      </c>
      <c r="CF102">
        <v>6.6489361702127658E-2</v>
      </c>
      <c r="CJ102">
        <f t="shared" si="70"/>
        <v>0.4017857142857143</v>
      </c>
      <c r="CK102">
        <v>3.1762340031499997E-2</v>
      </c>
      <c r="CL102">
        <f t="shared" si="71"/>
        <v>8.0749329270000253E-4</v>
      </c>
      <c r="CM102">
        <f t="shared" si="81"/>
        <v>4.4642857142857539E-3</v>
      </c>
    </row>
    <row r="103" spans="2:91">
      <c r="B103">
        <v>91</v>
      </c>
      <c r="C103">
        <f>IF(ISNUMBER(K103),IF('Lab test'!N94&gt;0,'Lab test'!N94,NA()),NA())</f>
        <v>23.939499999999999</v>
      </c>
      <c r="D103">
        <f>IF(ISNUMBER(K103),IF('Lab test'!Q94&gt;0,'Lab test'!Q94,NA()),NA())</f>
        <v>343.978102189781</v>
      </c>
      <c r="E103">
        <f>IF(ISNUMBER(K103),IF('Lab test'!P94&gt;0,'Lab test'!P94,NA()),NA())</f>
        <v>0.68649043283858446</v>
      </c>
      <c r="F103">
        <f>IF(ISNUMBER(K103),IF('Lab test'!AJ94&gt;0,'Lab test'!AJ94,NA()),NA())</f>
        <v>3.3156498673740049E-2</v>
      </c>
      <c r="G103">
        <f>IF('Lab test'!V94&gt;0,'Lab test'!V94,NA())</f>
        <v>215805.90327000001</v>
      </c>
      <c r="H103">
        <f>IF(MAX('Lab test'!W94,'Lab test'!X94)&gt;0,MAX('Lab test'!W94,'Lab test'!X94),NA())</f>
        <v>393.00116496000004</v>
      </c>
      <c r="I103">
        <f>IF('Lab test'!AU94&gt;0,'Lab test'!AU94,NA())</f>
        <v>0.25200969786464456</v>
      </c>
      <c r="J103">
        <f>IF('Lab test'!AT94&gt;0,'Lab test'!AT94,NA())</f>
        <v>0.26083141088404099</v>
      </c>
      <c r="K103">
        <f t="shared" si="72"/>
        <v>1</v>
      </c>
      <c r="L103" t="str">
        <f>'Lab test'!AC94</f>
        <v>LTWb</v>
      </c>
      <c r="N103">
        <v>91</v>
      </c>
      <c r="O103">
        <v>191.48306169200001</v>
      </c>
      <c r="P103">
        <v>0.27975352289400002</v>
      </c>
      <c r="Q103">
        <f t="shared" si="73"/>
        <v>684.47060008804203</v>
      </c>
      <c r="R103">
        <v>493.442164048</v>
      </c>
      <c r="S103">
        <f t="shared" si="74"/>
        <v>9.8498245426554207E-2</v>
      </c>
      <c r="T103">
        <v>6.66326767589E-2</v>
      </c>
      <c r="U103">
        <f t="shared" si="46"/>
        <v>0.40625</v>
      </c>
      <c r="W103">
        <v>91</v>
      </c>
      <c r="X103">
        <v>137.16</v>
      </c>
      <c r="Y103">
        <f t="shared" si="47"/>
        <v>0.55828220858895705</v>
      </c>
      <c r="Z103" t="e">
        <f t="shared" si="48"/>
        <v>#N/A</v>
      </c>
      <c r="AB103" t="e">
        <f t="shared" si="49"/>
        <v>#N/A</v>
      </c>
      <c r="AC103">
        <f t="shared" si="50"/>
        <v>137.16</v>
      </c>
      <c r="AE103" t="e">
        <v>#N/A</v>
      </c>
      <c r="AF103">
        <v>114.3</v>
      </c>
      <c r="AJ103">
        <f t="shared" si="51"/>
        <v>0.40625</v>
      </c>
      <c r="AK103">
        <v>75.431616977900006</v>
      </c>
      <c r="AL103">
        <f t="shared" si="52"/>
        <v>0.49395238829998789</v>
      </c>
      <c r="AM103">
        <f t="shared" si="75"/>
        <v>4.4642857142856984E-3</v>
      </c>
      <c r="AO103">
        <v>91</v>
      </c>
      <c r="AP103">
        <v>562.5</v>
      </c>
      <c r="AQ103">
        <f t="shared" si="76"/>
        <v>0.55828220858895705</v>
      </c>
      <c r="AR103" t="e">
        <f t="shared" si="53"/>
        <v>#N/A</v>
      </c>
      <c r="AT103" t="e">
        <f t="shared" si="54"/>
        <v>#N/A</v>
      </c>
      <c r="AU103">
        <f t="shared" si="55"/>
        <v>562.5</v>
      </c>
      <c r="AW103" t="e">
        <v>#N/A</v>
      </c>
      <c r="AX103">
        <v>169</v>
      </c>
      <c r="BB103">
        <f t="shared" si="57"/>
        <v>0.40625</v>
      </c>
      <c r="BC103">
        <v>403.21318032937404</v>
      </c>
      <c r="BD103">
        <f t="shared" si="58"/>
        <v>1.3557252022073385</v>
      </c>
      <c r="BE103">
        <f t="shared" si="78"/>
        <v>4.4642857142856984E-3</v>
      </c>
      <c r="BF103">
        <v>91</v>
      </c>
      <c r="BG103">
        <v>0.12916760725701965</v>
      </c>
      <c r="BH103">
        <f t="shared" si="59"/>
        <v>0.61904761904761907</v>
      </c>
      <c r="BI103">
        <f t="shared" si="60"/>
        <v>0.61904761904761907</v>
      </c>
      <c r="BK103">
        <f t="shared" si="61"/>
        <v>0.61904761904761907</v>
      </c>
      <c r="BL103">
        <f t="shared" si="62"/>
        <v>0.12916760725701965</v>
      </c>
      <c r="BN103">
        <v>0.89795918367346939</v>
      </c>
      <c r="BO103">
        <v>0.38251687369949799</v>
      </c>
      <c r="BP103">
        <f t="shared" si="63"/>
        <v>3.8642115637617491E-2</v>
      </c>
      <c r="BQ103">
        <f t="shared" si="79"/>
        <v>2.0408163265306145E-2</v>
      </c>
      <c r="BS103">
        <f t="shared" si="64"/>
        <v>0.40625</v>
      </c>
      <c r="BT103">
        <v>6.8651217755963612E-2</v>
      </c>
      <c r="BU103">
        <f t="shared" si="65"/>
        <v>9.1957489827682037E-6</v>
      </c>
      <c r="BV103">
        <f t="shared" si="80"/>
        <v>4.4642857142856984E-3</v>
      </c>
      <c r="BW103">
        <v>91</v>
      </c>
      <c r="BX103">
        <v>6.6489361702127658E-2</v>
      </c>
      <c r="BY103">
        <f t="shared" si="66"/>
        <v>0.67407407407407405</v>
      </c>
      <c r="BZ103" t="e">
        <f t="shared" si="67"/>
        <v>#N/A</v>
      </c>
      <c r="CB103" t="e">
        <f t="shared" si="68"/>
        <v>#N/A</v>
      </c>
      <c r="CC103">
        <f t="shared" si="69"/>
        <v>6.6489361702127658E-2</v>
      </c>
      <c r="CE103" t="e">
        <v>#N/A</v>
      </c>
      <c r="CF103">
        <v>6.6489361702127658E-2</v>
      </c>
      <c r="CJ103">
        <f t="shared" si="70"/>
        <v>0.40625</v>
      </c>
      <c r="CK103">
        <v>3.25698333242E-2</v>
      </c>
      <c r="CL103">
        <f t="shared" si="71"/>
        <v>3.3249435120000226E-4</v>
      </c>
      <c r="CM103">
        <f t="shared" si="81"/>
        <v>4.4642857142856984E-3</v>
      </c>
    </row>
    <row r="104" spans="2:91">
      <c r="B104">
        <v>92</v>
      </c>
      <c r="C104">
        <f>IF(ISNUMBER(K104),IF('Lab test'!N95&gt;0,'Lab test'!N95,NA()),NA())</f>
        <v>72.009</v>
      </c>
      <c r="D104">
        <f>IF(ISNUMBER(K104),IF('Lab test'!Q95&gt;0,'Lab test'!Q95,NA()),NA())</f>
        <v>1424.6231155778894</v>
      </c>
      <c r="E104">
        <f>IF(ISNUMBER(K104),IF('Lab test'!P95&gt;0,'Lab test'!P95,NA()),NA())</f>
        <v>0.11214455434258878</v>
      </c>
      <c r="F104">
        <f>IF(ISNUMBER(K104),IF('Lab test'!AJ95&gt;0,'Lab test'!AJ95,NA()),NA())</f>
        <v>1.1022927689594356E-2</v>
      </c>
      <c r="G104">
        <f>IF('Lab test'!V95&gt;0,'Lab test'!V95,NA())</f>
        <v>215805.90327000001</v>
      </c>
      <c r="H104">
        <f>IF(MAX('Lab test'!W95,'Lab test'!X95)&gt;0,MAX('Lab test'!W95,'Lab test'!X95),NA())</f>
        <v>393.00116496000004</v>
      </c>
      <c r="I104">
        <f>IF('Lab test'!AU95&gt;0,'Lab test'!AU95,NA())</f>
        <v>4.0102563353280905E-2</v>
      </c>
      <c r="J104">
        <f>IF('Lab test'!AT95&gt;0,'Lab test'!AT95,NA())</f>
        <v>0.17190320000870835</v>
      </c>
      <c r="K104">
        <f t="shared" si="72"/>
        <v>1</v>
      </c>
      <c r="L104" t="str">
        <f>'Lab test'!AC95</f>
        <v>LTWb</v>
      </c>
      <c r="N104">
        <v>92</v>
      </c>
      <c r="O104">
        <v>191.76233636399999</v>
      </c>
      <c r="P104">
        <v>0.81836698497899996</v>
      </c>
      <c r="Q104">
        <f t="shared" si="73"/>
        <v>234.32315804983358</v>
      </c>
      <c r="R104">
        <v>356.95239769400001</v>
      </c>
      <c r="S104">
        <f t="shared" si="74"/>
        <v>0.12160162686489288</v>
      </c>
      <c r="T104">
        <v>6.6544703490499998E-2</v>
      </c>
      <c r="U104">
        <f t="shared" si="46"/>
        <v>0.4107142857142857</v>
      </c>
      <c r="W104">
        <v>92</v>
      </c>
      <c r="X104">
        <v>137.16</v>
      </c>
      <c r="Y104">
        <f t="shared" si="47"/>
        <v>0.56441717791411039</v>
      </c>
      <c r="Z104" t="e">
        <f t="shared" si="48"/>
        <v>#N/A</v>
      </c>
      <c r="AB104" t="e">
        <f t="shared" si="49"/>
        <v>#N/A</v>
      </c>
      <c r="AC104">
        <f t="shared" si="50"/>
        <v>137.16</v>
      </c>
      <c r="AE104" t="e">
        <v>#N/A</v>
      </c>
      <c r="AF104">
        <v>114.3</v>
      </c>
      <c r="AJ104">
        <f t="shared" si="51"/>
        <v>0.4107142857142857</v>
      </c>
      <c r="AK104">
        <v>75.925569366199994</v>
      </c>
      <c r="AL104">
        <f t="shared" si="52"/>
        <v>0.12468235149999884</v>
      </c>
      <c r="AM104">
        <f t="shared" si="75"/>
        <v>4.4642857142856984E-3</v>
      </c>
      <c r="AO104">
        <v>92</v>
      </c>
      <c r="AP104">
        <v>562.5</v>
      </c>
      <c r="AQ104">
        <f t="shared" si="76"/>
        <v>0.56441717791411039</v>
      </c>
      <c r="AR104" t="e">
        <f t="shared" si="53"/>
        <v>#N/A</v>
      </c>
      <c r="AT104" t="e">
        <f t="shared" si="54"/>
        <v>#N/A</v>
      </c>
      <c r="AU104">
        <f t="shared" si="55"/>
        <v>562.5</v>
      </c>
      <c r="AW104" t="e">
        <v>#N/A</v>
      </c>
      <c r="AX104">
        <v>237.97468354430376</v>
      </c>
      <c r="BB104">
        <f t="shared" si="57"/>
        <v>0.4107142857142857</v>
      </c>
      <c r="BC104">
        <v>404.56890553158138</v>
      </c>
      <c r="BD104">
        <f t="shared" si="58"/>
        <v>3.7484423678792496</v>
      </c>
      <c r="BE104">
        <f t="shared" si="78"/>
        <v>4.4642857142856984E-3</v>
      </c>
      <c r="BF104">
        <v>92</v>
      </c>
      <c r="BG104">
        <v>0.1795045031932811</v>
      </c>
      <c r="BH104">
        <f t="shared" si="59"/>
        <v>0.62585034013605445</v>
      </c>
      <c r="BI104">
        <f t="shared" si="60"/>
        <v>0.62585034013605445</v>
      </c>
      <c r="BK104">
        <f t="shared" si="61"/>
        <v>0.62585034013605445</v>
      </c>
      <c r="BL104">
        <f t="shared" si="62"/>
        <v>0.1795045031932811</v>
      </c>
      <c r="BN104">
        <v>0.91156462585034015</v>
      </c>
      <c r="BO104">
        <v>0.42115898933711549</v>
      </c>
      <c r="BP104">
        <f t="shared" si="63"/>
        <v>6.2403398245223174E-2</v>
      </c>
      <c r="BQ104">
        <f t="shared" si="79"/>
        <v>1.3605442176870763E-2</v>
      </c>
      <c r="BS104">
        <f t="shared" si="64"/>
        <v>0.4107142857142857</v>
      </c>
      <c r="BT104">
        <v>6.866041350494638E-2</v>
      </c>
      <c r="BU104">
        <f t="shared" si="65"/>
        <v>6.0985284631998038E-6</v>
      </c>
      <c r="BV104">
        <f t="shared" si="80"/>
        <v>4.4642857142856984E-3</v>
      </c>
      <c r="BW104">
        <v>92</v>
      </c>
      <c r="BX104">
        <v>6.6489361702127658E-2</v>
      </c>
      <c r="BY104">
        <f t="shared" si="66"/>
        <v>0.68148148148148147</v>
      </c>
      <c r="BZ104" t="e">
        <f t="shared" si="67"/>
        <v>#N/A</v>
      </c>
      <c r="CB104" t="e">
        <f t="shared" si="68"/>
        <v>#N/A</v>
      </c>
      <c r="CC104">
        <f t="shared" si="69"/>
        <v>6.6489361702127658E-2</v>
      </c>
      <c r="CE104" t="e">
        <v>#N/A</v>
      </c>
      <c r="CF104">
        <v>6.6489361702127658E-2</v>
      </c>
      <c r="CJ104">
        <f t="shared" si="70"/>
        <v>0.4107142857142857</v>
      </c>
      <c r="CK104">
        <v>3.2902327675400002E-2</v>
      </c>
      <c r="CL104">
        <f t="shared" si="71"/>
        <v>2.5633064579999587E-4</v>
      </c>
      <c r="CM104">
        <f t="shared" si="81"/>
        <v>4.4642857142856984E-3</v>
      </c>
    </row>
    <row r="105" spans="2:91">
      <c r="B105">
        <v>93</v>
      </c>
      <c r="C105">
        <f>IF(ISNUMBER(K105),IF('Lab test'!N96&gt;0,'Lab test'!N96,NA()),NA())</f>
        <v>47.625</v>
      </c>
      <c r="D105">
        <f>IF(ISNUMBER(K105),IF('Lab test'!Q96&gt;0,'Lab test'!Q96,NA()),NA())</f>
        <v>932.8358208955226</v>
      </c>
      <c r="E105">
        <f>IF(ISNUMBER(K105),IF('Lab test'!P96&gt;0,'Lab test'!P96,NA()),NA())</f>
        <v>0.20954503095993468</v>
      </c>
      <c r="F105">
        <f>IF(ISNUMBER(K105),IF('Lab test'!AJ96&gt;0,'Lab test'!AJ96,NA()),NA())</f>
        <v>1.6666666666666666E-2</v>
      </c>
      <c r="G105">
        <f>IF('Lab test'!V96&gt;0,'Lab test'!V96,NA())</f>
        <v>215805.90327000001</v>
      </c>
      <c r="H105">
        <f>IF(MAX('Lab test'!W96,'Lab test'!X96)&gt;0,MAX('Lab test'!W96,'Lab test'!X96),NA())</f>
        <v>393.00116496000004</v>
      </c>
      <c r="I105">
        <f>IF('Lab test'!AU96&gt;0,'Lab test'!AU96,NA())</f>
        <v>7.263099613412656E-2</v>
      </c>
      <c r="J105">
        <f>IF('Lab test'!AT96&gt;0,'Lab test'!AT96,NA())</f>
        <v>0.20386330282968676</v>
      </c>
      <c r="K105">
        <f t="shared" si="72"/>
        <v>1</v>
      </c>
      <c r="L105" t="str">
        <f>'Lab test'!AC96</f>
        <v>LTWb</v>
      </c>
      <c r="N105">
        <v>93</v>
      </c>
      <c r="O105">
        <v>192.12384143700001</v>
      </c>
      <c r="P105">
        <v>0.64585524994900001</v>
      </c>
      <c r="Q105">
        <f t="shared" si="73"/>
        <v>297.47198223157756</v>
      </c>
      <c r="R105">
        <v>366.23440326600002</v>
      </c>
      <c r="S105">
        <f t="shared" si="74"/>
        <v>0.11052355440677104</v>
      </c>
      <c r="T105">
        <v>6.6574013441000002E-2</v>
      </c>
      <c r="U105">
        <f t="shared" si="46"/>
        <v>0.41517857142857145</v>
      </c>
      <c r="W105">
        <v>93</v>
      </c>
      <c r="X105">
        <v>137.16</v>
      </c>
      <c r="Y105">
        <f t="shared" si="47"/>
        <v>0.57055214723926384</v>
      </c>
      <c r="Z105" t="e">
        <f t="shared" si="48"/>
        <v>#N/A</v>
      </c>
      <c r="AB105" t="e">
        <f t="shared" si="49"/>
        <v>#N/A</v>
      </c>
      <c r="AC105">
        <f t="shared" si="50"/>
        <v>137.16</v>
      </c>
      <c r="AE105" t="e">
        <v>#N/A</v>
      </c>
      <c r="AF105">
        <v>137.16</v>
      </c>
      <c r="AJ105">
        <f t="shared" si="51"/>
        <v>0.41517857142857145</v>
      </c>
      <c r="AK105">
        <v>76.050251717699993</v>
      </c>
      <c r="AL105">
        <f t="shared" si="52"/>
        <v>9.668938080000089E-2</v>
      </c>
      <c r="AM105">
        <f t="shared" si="75"/>
        <v>4.4642857142857539E-3</v>
      </c>
      <c r="AO105">
        <v>93</v>
      </c>
      <c r="AP105">
        <v>562.5</v>
      </c>
      <c r="AQ105">
        <f t="shared" si="76"/>
        <v>0.57055214723926384</v>
      </c>
      <c r="AR105" t="e">
        <f t="shared" si="53"/>
        <v>#N/A</v>
      </c>
      <c r="AT105" t="e">
        <f t="shared" si="54"/>
        <v>#N/A</v>
      </c>
      <c r="AU105">
        <f t="shared" si="55"/>
        <v>562.5</v>
      </c>
      <c r="AW105" t="e">
        <v>#N/A</v>
      </c>
      <c r="AX105">
        <v>237.97468354430376</v>
      </c>
      <c r="BB105">
        <f t="shared" si="57"/>
        <v>0.41517857142857145</v>
      </c>
      <c r="BC105">
        <v>408.31734789946063</v>
      </c>
      <c r="BD105">
        <f t="shared" si="58"/>
        <v>22.528029949446307</v>
      </c>
      <c r="BE105">
        <f t="shared" si="78"/>
        <v>4.4642857142857539E-3</v>
      </c>
      <c r="BF105">
        <v>93</v>
      </c>
      <c r="BG105">
        <v>0.18041492916792295</v>
      </c>
      <c r="BH105">
        <f t="shared" si="59"/>
        <v>0.63265306122448983</v>
      </c>
      <c r="BI105">
        <f t="shared" si="60"/>
        <v>0.63265306122448983</v>
      </c>
      <c r="BK105">
        <f t="shared" si="61"/>
        <v>0.63265306122448983</v>
      </c>
      <c r="BL105">
        <f t="shared" si="62"/>
        <v>0.18041492916792295</v>
      </c>
      <c r="BN105">
        <v>0.91836734693877553</v>
      </c>
      <c r="BO105">
        <v>0.48356238758233866</v>
      </c>
      <c r="BP105">
        <f t="shared" si="63"/>
        <v>1.7121354479147033E-2</v>
      </c>
      <c r="BQ105">
        <f t="shared" si="79"/>
        <v>6.8027210884353817E-3</v>
      </c>
      <c r="BS105">
        <f t="shared" si="64"/>
        <v>0.41517857142857145</v>
      </c>
      <c r="BT105">
        <v>6.866651203340958E-2</v>
      </c>
      <c r="BU105">
        <f t="shared" si="65"/>
        <v>1.0670000479356956E-5</v>
      </c>
      <c r="BV105">
        <f t="shared" si="80"/>
        <v>4.4642857142857539E-3</v>
      </c>
      <c r="BW105">
        <v>93</v>
      </c>
      <c r="BX105">
        <v>6.6489361702127658E-2</v>
      </c>
      <c r="BY105">
        <f t="shared" si="66"/>
        <v>0.68888888888888888</v>
      </c>
      <c r="BZ105" t="e">
        <f t="shared" si="67"/>
        <v>#N/A</v>
      </c>
      <c r="CB105" t="e">
        <f t="shared" si="68"/>
        <v>#N/A</v>
      </c>
      <c r="CC105">
        <f t="shared" si="69"/>
        <v>6.6489361702127658E-2</v>
      </c>
      <c r="CE105" t="e">
        <v>#N/A</v>
      </c>
      <c r="CF105">
        <v>6.6489361702127658E-2</v>
      </c>
      <c r="CJ105">
        <f t="shared" si="70"/>
        <v>0.41517857142857145</v>
      </c>
      <c r="CK105">
        <v>3.3158658321199998E-2</v>
      </c>
      <c r="CL105">
        <f t="shared" si="71"/>
        <v>7.9677450000315009E-7</v>
      </c>
      <c r="CM105">
        <f t="shared" si="81"/>
        <v>4.4642857142857539E-3</v>
      </c>
    </row>
    <row r="106" spans="2:91">
      <c r="B106">
        <v>94</v>
      </c>
      <c r="C106">
        <f>IF(ISNUMBER(K106),IF('Lab test'!N97&gt;0,'Lab test'!N97,NA()),NA())</f>
        <v>23.939499999999999</v>
      </c>
      <c r="D106">
        <f>IF(ISNUMBER(K106),IF('Lab test'!Q97&gt;0,'Lab test'!Q97,NA()),NA())</f>
        <v>336.60714285714289</v>
      </c>
      <c r="E106">
        <f>IF(ISNUMBER(K106),IF('Lab test'!P97&gt;0,'Lab test'!P97,NA()),NA())</f>
        <v>1.3879320963327308</v>
      </c>
      <c r="F106">
        <f>IF(ISNUMBER(K106),IF('Lab test'!AJ97&gt;0,'Lab test'!AJ97,NA()),NA())</f>
        <v>3.3156498673740049E-2</v>
      </c>
      <c r="G106">
        <f>IF('Lab test'!V97&gt;0,'Lab test'!V97,NA())</f>
        <v>215805.90327000001</v>
      </c>
      <c r="H106">
        <f>IF(MAX('Lab test'!W97,'Lab test'!X97)&gt;0,MAX('Lab test'!W97,'Lab test'!X97),NA())</f>
        <v>393.00116496000004</v>
      </c>
      <c r="I106">
        <f>IF('Lab test'!AU97&gt;0,'Lab test'!AU97,NA())</f>
        <v>0.25295994902458802</v>
      </c>
      <c r="J106">
        <f>IF('Lab test'!AT97&gt;0,'Lab test'!AT97,NA())</f>
        <v>0.2562046061708273</v>
      </c>
      <c r="K106">
        <f t="shared" si="72"/>
        <v>1</v>
      </c>
      <c r="L106" t="str">
        <f>'Lab test'!AC97</f>
        <v>LTWb</v>
      </c>
      <c r="N106">
        <v>94</v>
      </c>
      <c r="O106">
        <v>196.38722766399999</v>
      </c>
      <c r="P106">
        <v>0.82015747912199999</v>
      </c>
      <c r="Q106">
        <f t="shared" si="73"/>
        <v>239.45063315674162</v>
      </c>
      <c r="R106">
        <v>159.976937835</v>
      </c>
      <c r="S106">
        <f t="shared" si="74"/>
        <v>5.2642456304705404E-2</v>
      </c>
      <c r="T106">
        <v>2.9772252913400001E-2</v>
      </c>
      <c r="U106">
        <f t="shared" si="46"/>
        <v>0.41964285714285715</v>
      </c>
      <c r="W106">
        <v>94</v>
      </c>
      <c r="X106">
        <v>137.16</v>
      </c>
      <c r="Y106">
        <f t="shared" si="47"/>
        <v>0.57668711656441718</v>
      </c>
      <c r="Z106" t="e">
        <f t="shared" si="48"/>
        <v>#N/A</v>
      </c>
      <c r="AB106" t="e">
        <f t="shared" si="49"/>
        <v>#N/A</v>
      </c>
      <c r="AC106">
        <f t="shared" si="50"/>
        <v>137.16</v>
      </c>
      <c r="AE106" t="e">
        <v>#N/A</v>
      </c>
      <c r="AF106">
        <v>137.16</v>
      </c>
      <c r="AJ106">
        <f t="shared" si="51"/>
        <v>0.41964285714285715</v>
      </c>
      <c r="AK106">
        <v>76.146941098499994</v>
      </c>
      <c r="AL106">
        <f t="shared" si="52"/>
        <v>1.916996800005677E-3</v>
      </c>
      <c r="AM106">
        <f t="shared" si="75"/>
        <v>4.4642857142856984E-3</v>
      </c>
      <c r="AO106">
        <v>94</v>
      </c>
      <c r="AP106">
        <v>562.5</v>
      </c>
      <c r="AQ106">
        <f t="shared" si="76"/>
        <v>0.57668711656441718</v>
      </c>
      <c r="AR106">
        <f t="shared" si="53"/>
        <v>0.57668711656441718</v>
      </c>
      <c r="AT106">
        <f t="shared" si="54"/>
        <v>0.57668711656441718</v>
      </c>
      <c r="AU106">
        <f t="shared" si="55"/>
        <v>562.5</v>
      </c>
      <c r="AW106" t="e">
        <v>#N/A</v>
      </c>
      <c r="AX106">
        <v>237.97468354430376</v>
      </c>
      <c r="BB106">
        <f t="shared" si="57"/>
        <v>0.41964285714285715</v>
      </c>
      <c r="BC106">
        <v>430.84537784890694</v>
      </c>
      <c r="BD106">
        <f t="shared" si="58"/>
        <v>0.90824849760974757</v>
      </c>
      <c r="BE106">
        <f t="shared" si="78"/>
        <v>4.4642857142856984E-3</v>
      </c>
      <c r="BF106">
        <v>94</v>
      </c>
      <c r="BG106">
        <v>0.18834802589857985</v>
      </c>
      <c r="BH106">
        <f t="shared" si="59"/>
        <v>0.63945578231292521</v>
      </c>
      <c r="BI106" t="e">
        <f t="shared" si="60"/>
        <v>#N/A</v>
      </c>
      <c r="BK106" t="e">
        <f t="shared" si="61"/>
        <v>#N/A</v>
      </c>
      <c r="BL106">
        <f t="shared" si="62"/>
        <v>0.18834802589857985</v>
      </c>
      <c r="BN106">
        <v>0.92517006802721091</v>
      </c>
      <c r="BO106">
        <v>0.50068374206148569</v>
      </c>
      <c r="BP106">
        <f t="shared" si="63"/>
        <v>6.0077335485551164E-2</v>
      </c>
      <c r="BQ106">
        <f t="shared" si="79"/>
        <v>6.8027210884353817E-3</v>
      </c>
      <c r="BS106">
        <f t="shared" si="64"/>
        <v>0.41964285714285715</v>
      </c>
      <c r="BT106">
        <v>6.8677182033888937E-2</v>
      </c>
      <c r="BU106">
        <f t="shared" si="65"/>
        <v>1.8265015412743946E-5</v>
      </c>
      <c r="BV106">
        <f t="shared" si="80"/>
        <v>4.4642857142856984E-3</v>
      </c>
      <c r="BW106">
        <v>94</v>
      </c>
      <c r="BX106">
        <v>6.6489361702127658E-2</v>
      </c>
      <c r="BY106">
        <f t="shared" si="66"/>
        <v>0.6962962962962963</v>
      </c>
      <c r="BZ106" t="e">
        <f t="shared" si="67"/>
        <v>#N/A</v>
      </c>
      <c r="CB106" t="e">
        <f t="shared" si="68"/>
        <v>#N/A</v>
      </c>
      <c r="CC106">
        <f t="shared" si="69"/>
        <v>6.6489361702127658E-2</v>
      </c>
      <c r="CE106" t="e">
        <v>#N/A</v>
      </c>
      <c r="CF106">
        <v>6.6489361702127658E-2</v>
      </c>
      <c r="CJ106">
        <f t="shared" si="70"/>
        <v>0.41964285714285715</v>
      </c>
      <c r="CK106">
        <v>3.3159455095700001E-2</v>
      </c>
      <c r="CL106">
        <f t="shared" si="71"/>
        <v>9.7862330000059172E-7</v>
      </c>
      <c r="CM106">
        <f t="shared" si="81"/>
        <v>4.4642857142856984E-3</v>
      </c>
    </row>
    <row r="107" spans="2:91">
      <c r="B107">
        <v>95</v>
      </c>
      <c r="C107">
        <f>IF(ISNUMBER(K107),IF('Lab test'!N98&gt;0,'Lab test'!N98,NA()),NA())</f>
        <v>23.939499999999999</v>
      </c>
      <c r="D107">
        <f>IF(ISNUMBER(K107),IF('Lab test'!Q98&gt;0,'Lab test'!Q98,NA()),NA())</f>
        <v>473.6180904522613</v>
      </c>
      <c r="E107">
        <f>IF(ISNUMBER(K107),IF('Lab test'!P98&gt;0,'Lab test'!P98,NA()),NA())</f>
        <v>1.4626006247856018</v>
      </c>
      <c r="F107">
        <f>IF(ISNUMBER(K107),IF('Lab test'!AJ98&gt;0,'Lab test'!AJ98,NA()),NA())</f>
        <v>3.3156498673740049E-2</v>
      </c>
      <c r="G107">
        <f>IF('Lab test'!V98&gt;0,'Lab test'!V98,NA())</f>
        <v>215805.90327000001</v>
      </c>
      <c r="H107">
        <f>IF(MAX('Lab test'!W98,'Lab test'!X98)&gt;0,MAX('Lab test'!W98,'Lab test'!X98),NA())</f>
        <v>393.00116496000004</v>
      </c>
      <c r="I107">
        <f>IF('Lab test'!AU98&gt;0,'Lab test'!AU98,NA())</f>
        <v>0.13551900719384577</v>
      </c>
      <c r="J107">
        <f>IF('Lab test'!AT98&gt;0,'Lab test'!AT98,NA())</f>
        <v>0.19312581729373399</v>
      </c>
      <c r="K107">
        <f t="shared" si="72"/>
        <v>1</v>
      </c>
      <c r="L107" t="str">
        <f>'Lab test'!AC98</f>
        <v>LTWb</v>
      </c>
      <c r="N107">
        <v>95</v>
      </c>
      <c r="O107">
        <v>196.80685419400001</v>
      </c>
      <c r="P107">
        <v>0.21110869984899999</v>
      </c>
      <c r="Q107">
        <f t="shared" si="73"/>
        <v>932.25364153523901</v>
      </c>
      <c r="R107">
        <v>117.43629955900001</v>
      </c>
      <c r="S107">
        <f t="shared" si="74"/>
        <v>1.954317380157691E-2</v>
      </c>
      <c r="T107">
        <v>6.65256705866E-2</v>
      </c>
      <c r="U107">
        <f t="shared" si="46"/>
        <v>0.42410714285714285</v>
      </c>
      <c r="W107">
        <v>95</v>
      </c>
      <c r="X107">
        <v>137.16</v>
      </c>
      <c r="Y107">
        <f t="shared" si="47"/>
        <v>0.58282208588957052</v>
      </c>
      <c r="Z107">
        <f t="shared" si="48"/>
        <v>0.58282208588957052</v>
      </c>
      <c r="AB107">
        <f t="shared" si="49"/>
        <v>0.58282208588957052</v>
      </c>
      <c r="AC107">
        <f t="shared" si="50"/>
        <v>137.16</v>
      </c>
      <c r="AE107" t="e">
        <v>#N/A</v>
      </c>
      <c r="AF107">
        <v>137.16</v>
      </c>
      <c r="AJ107">
        <f t="shared" si="51"/>
        <v>0.42410714285714285</v>
      </c>
      <c r="AK107">
        <v>76.1488580953</v>
      </c>
      <c r="AL107">
        <f t="shared" si="52"/>
        <v>1.7330674330000022</v>
      </c>
      <c r="AM107">
        <f t="shared" si="75"/>
        <v>4.4642857142856984E-3</v>
      </c>
      <c r="AO107">
        <v>95</v>
      </c>
      <c r="AP107">
        <v>594</v>
      </c>
      <c r="AQ107">
        <f t="shared" si="76"/>
        <v>0.58282208588957052</v>
      </c>
      <c r="AR107" t="e">
        <f t="shared" si="53"/>
        <v>#N/A</v>
      </c>
      <c r="AT107" t="e">
        <f t="shared" si="54"/>
        <v>#N/A</v>
      </c>
      <c r="AU107">
        <f t="shared" si="55"/>
        <v>594</v>
      </c>
      <c r="AW107" t="e">
        <v>#N/A</v>
      </c>
      <c r="AX107">
        <v>249</v>
      </c>
      <c r="BB107">
        <f t="shared" si="57"/>
        <v>0.42410714285714285</v>
      </c>
      <c r="BC107">
        <v>431.75362634651668</v>
      </c>
      <c r="BD107">
        <f t="shared" si="58"/>
        <v>4.1996448667158575</v>
      </c>
      <c r="BE107">
        <f t="shared" si="78"/>
        <v>4.4642857142856984E-3</v>
      </c>
      <c r="BF107">
        <v>95</v>
      </c>
      <c r="BG107">
        <v>0.18834802589857985</v>
      </c>
      <c r="BH107">
        <f t="shared" si="59"/>
        <v>0.6462585034013606</v>
      </c>
      <c r="BI107">
        <f t="shared" si="60"/>
        <v>0.6462585034013606</v>
      </c>
      <c r="BK107">
        <f t="shared" si="61"/>
        <v>0.6462585034013606</v>
      </c>
      <c r="BL107">
        <f t="shared" si="62"/>
        <v>0.18834802589857985</v>
      </c>
      <c r="BN107">
        <v>0.94557823129251706</v>
      </c>
      <c r="BO107">
        <v>0.56076107754703686</v>
      </c>
      <c r="BP107">
        <f t="shared" si="63"/>
        <v>0.12572935529154761</v>
      </c>
      <c r="BQ107">
        <f t="shared" si="79"/>
        <v>2.0408163265306145E-2</v>
      </c>
      <c r="BS107">
        <f t="shared" si="64"/>
        <v>0.42410714285714285</v>
      </c>
      <c r="BT107">
        <v>6.8695447049301681E-2</v>
      </c>
      <c r="BU107">
        <f t="shared" si="65"/>
        <v>5.0403675762172861E-6</v>
      </c>
      <c r="BV107">
        <f t="shared" si="80"/>
        <v>4.4642857142856984E-3</v>
      </c>
      <c r="BW107">
        <v>95</v>
      </c>
      <c r="BX107">
        <v>6.6489361702127658E-2</v>
      </c>
      <c r="BY107">
        <f t="shared" si="66"/>
        <v>0.70370370370370372</v>
      </c>
      <c r="BZ107">
        <f t="shared" si="67"/>
        <v>0.70370370370370372</v>
      </c>
      <c r="CB107">
        <f t="shared" si="68"/>
        <v>0.70370370370370372</v>
      </c>
      <c r="CC107">
        <f t="shared" si="69"/>
        <v>6.6489361702127658E-2</v>
      </c>
      <c r="CE107" t="e">
        <v>#N/A</v>
      </c>
      <c r="CF107">
        <v>6.6489361702127658E-2</v>
      </c>
      <c r="CJ107">
        <f t="shared" si="70"/>
        <v>0.42410714285714285</v>
      </c>
      <c r="CK107">
        <v>3.3160433719000001E-2</v>
      </c>
      <c r="CL107">
        <f t="shared" si="71"/>
        <v>1.560108600001664E-6</v>
      </c>
      <c r="CM107">
        <f t="shared" si="81"/>
        <v>4.4642857142856984E-3</v>
      </c>
    </row>
    <row r="108" spans="2:91">
      <c r="B108">
        <v>96</v>
      </c>
      <c r="C108">
        <f>IF(ISNUMBER(K108),IF('Lab test'!N99&gt;0,'Lab test'!N99,NA()),NA())</f>
        <v>72.009</v>
      </c>
      <c r="D108">
        <f>IF(ISNUMBER(K108),IF('Lab test'!Q99&gt;0,'Lab test'!Q99,NA()),NA())</f>
        <v>486.27787307032594</v>
      </c>
      <c r="E108">
        <f>IF(ISNUMBER(K108),IF('Lab test'!P99&gt;0,'Lab test'!P99,NA()),NA())</f>
        <v>9.5974516502575158E-2</v>
      </c>
      <c r="F108">
        <f>IF(ISNUMBER(K108),IF('Lab test'!AJ99&gt;0,'Lab test'!AJ99,NA()),NA())</f>
        <v>1.1022927689594356E-2</v>
      </c>
      <c r="G108">
        <f>IF('Lab test'!V99&gt;0,'Lab test'!V99,NA())</f>
        <v>112384.54388</v>
      </c>
      <c r="H108">
        <f>IF(MAX('Lab test'!W99,'Lab test'!X99)&gt;0,MAX('Lab test'!W99,'Lab test'!X99),NA())</f>
        <v>199.94796112</v>
      </c>
      <c r="I108">
        <f>IF('Lab test'!AU99&gt;0,'Lab test'!AU99,NA())</f>
        <v>0.22254779560069551</v>
      </c>
      <c r="J108">
        <f>IF('Lab test'!AT99&gt;0,'Lab test'!AT99,NA())</f>
        <v>0.31812626123732268</v>
      </c>
      <c r="K108">
        <f t="shared" si="72"/>
        <v>1</v>
      </c>
      <c r="L108" t="str">
        <f>'Lab test'!AC99</f>
        <v>LTWb</v>
      </c>
      <c r="N108">
        <v>96</v>
      </c>
      <c r="O108">
        <v>197.06745016100001</v>
      </c>
      <c r="P108">
        <v>0.56495261123399998</v>
      </c>
      <c r="Q108">
        <f t="shared" si="73"/>
        <v>348.82120419012608</v>
      </c>
      <c r="R108">
        <v>97.672133438200007</v>
      </c>
      <c r="S108">
        <f t="shared" si="74"/>
        <v>2.6537153601792811E-2</v>
      </c>
      <c r="T108">
        <v>6.6500931915300002E-2</v>
      </c>
      <c r="U108">
        <f t="shared" si="46"/>
        <v>0.42857142857142855</v>
      </c>
      <c r="W108">
        <v>96</v>
      </c>
      <c r="X108">
        <v>190.5</v>
      </c>
      <c r="Y108">
        <f t="shared" si="47"/>
        <v>0.58895705521472397</v>
      </c>
      <c r="Z108" t="e">
        <f t="shared" si="48"/>
        <v>#N/A</v>
      </c>
      <c r="AB108" t="e">
        <f t="shared" si="49"/>
        <v>#N/A</v>
      </c>
      <c r="AC108">
        <f t="shared" si="50"/>
        <v>190.5</v>
      </c>
      <c r="AE108" t="e">
        <v>#N/A</v>
      </c>
      <c r="AF108">
        <v>137.16</v>
      </c>
      <c r="AJ108">
        <f t="shared" si="51"/>
        <v>0.42857142857142855</v>
      </c>
      <c r="AK108">
        <v>77.881925528300002</v>
      </c>
      <c r="AL108">
        <f t="shared" si="52"/>
        <v>4.6693945453999959</v>
      </c>
      <c r="AM108">
        <f t="shared" si="75"/>
        <v>4.4642857142856984E-3</v>
      </c>
      <c r="AO108">
        <v>96</v>
      </c>
      <c r="AP108">
        <v>594</v>
      </c>
      <c r="AQ108">
        <f t="shared" si="76"/>
        <v>0.58895705521472397</v>
      </c>
      <c r="AR108">
        <f t="shared" si="53"/>
        <v>0.58895705521472397</v>
      </c>
      <c r="AT108">
        <f t="shared" si="54"/>
        <v>0.58895705521472397</v>
      </c>
      <c r="AU108">
        <f t="shared" si="55"/>
        <v>594</v>
      </c>
      <c r="AW108" t="e">
        <v>#N/A</v>
      </c>
      <c r="AX108">
        <v>263</v>
      </c>
      <c r="BB108">
        <f t="shared" si="57"/>
        <v>0.42857142857142855</v>
      </c>
      <c r="BC108">
        <v>435.95327121323254</v>
      </c>
      <c r="BD108">
        <f t="shared" si="58"/>
        <v>20.964154241233757</v>
      </c>
      <c r="BE108">
        <f t="shared" si="78"/>
        <v>4.4642857142856984E-3</v>
      </c>
      <c r="BF108">
        <v>96</v>
      </c>
      <c r="BG108">
        <v>0.19126511811189179</v>
      </c>
      <c r="BH108">
        <f t="shared" si="59"/>
        <v>0.65306122448979587</v>
      </c>
      <c r="BI108" t="e">
        <f t="shared" si="60"/>
        <v>#N/A</v>
      </c>
      <c r="BK108" t="e">
        <f t="shared" si="61"/>
        <v>#N/A</v>
      </c>
      <c r="BL108">
        <f t="shared" si="62"/>
        <v>0.19126511811189179</v>
      </c>
      <c r="BN108">
        <v>0.95238095238095233</v>
      </c>
      <c r="BO108">
        <v>0.68649043283858446</v>
      </c>
      <c r="BP108">
        <f t="shared" si="63"/>
        <v>0.16203770458527256</v>
      </c>
      <c r="BQ108">
        <f t="shared" si="79"/>
        <v>6.8027210884352707E-3</v>
      </c>
      <c r="BS108">
        <f t="shared" si="64"/>
        <v>0.42857142857142855</v>
      </c>
      <c r="BT108">
        <v>6.8700487416877898E-2</v>
      </c>
      <c r="BU108">
        <f t="shared" si="65"/>
        <v>6.4599328386261146E-6</v>
      </c>
      <c r="BV108">
        <f t="shared" si="80"/>
        <v>4.4642857142856984E-3</v>
      </c>
      <c r="BW108">
        <v>96</v>
      </c>
      <c r="BX108">
        <v>6.6666666666666666E-2</v>
      </c>
      <c r="BY108">
        <f t="shared" si="66"/>
        <v>0.71111111111111114</v>
      </c>
      <c r="BZ108" t="e">
        <f t="shared" si="67"/>
        <v>#N/A</v>
      </c>
      <c r="CB108" t="e">
        <f t="shared" si="68"/>
        <v>#N/A</v>
      </c>
      <c r="CC108">
        <f t="shared" si="69"/>
        <v>6.6666666666666666E-2</v>
      </c>
      <c r="CE108" t="e">
        <v>#N/A</v>
      </c>
      <c r="CF108">
        <v>6.6489361702127658E-2</v>
      </c>
      <c r="CJ108">
        <f t="shared" si="70"/>
        <v>0.42857142857142855</v>
      </c>
      <c r="CK108">
        <v>3.3161993827600003E-2</v>
      </c>
      <c r="CL108">
        <f t="shared" si="71"/>
        <v>6.0591601999948619E-6</v>
      </c>
      <c r="CM108">
        <f t="shared" si="81"/>
        <v>4.4642857142856984E-3</v>
      </c>
    </row>
    <row r="109" spans="2:91">
      <c r="B109">
        <v>97</v>
      </c>
      <c r="C109">
        <f>IF(ISNUMBER(K109),IF('Lab test'!N100&gt;0,'Lab test'!N100,NA()),NA())</f>
        <v>47.625</v>
      </c>
      <c r="D109">
        <f>IF(ISNUMBER(K109),IF('Lab test'!Q100&gt;0,'Lab test'!Q100,NA()),NA())</f>
        <v>314.59731543624162</v>
      </c>
      <c r="E109">
        <f>IF(ISNUMBER(K109),IF('Lab test'!P100&gt;0,'Lab test'!P100,NA()),NA())</f>
        <v>0.18041492916792295</v>
      </c>
      <c r="F109">
        <f>IF(ISNUMBER(K109),IF('Lab test'!AJ100&gt;0,'Lab test'!AJ100,NA()),NA())</f>
        <v>1.6666666666666666E-2</v>
      </c>
      <c r="G109">
        <f>IF('Lab test'!V100&gt;0,'Lab test'!V100,NA())</f>
        <v>112384.54388</v>
      </c>
      <c r="H109">
        <f>IF(MAX('Lab test'!W100,'Lab test'!X100)&gt;0,MAX('Lab test'!W100,'Lab test'!X100),NA())</f>
        <v>199.94796112</v>
      </c>
      <c r="I109">
        <f>IF('Lab test'!AU100&gt;0,'Lab test'!AU100,NA())</f>
        <v>0.24711013921243075</v>
      </c>
      <c r="J109">
        <f>IF('Lab test'!AT100&gt;0,'Lab test'!AT100,NA())</f>
        <v>0.22852688182856856</v>
      </c>
      <c r="K109">
        <f t="shared" si="72"/>
        <v>1</v>
      </c>
      <c r="L109" t="str">
        <f>'Lab test'!AC100</f>
        <v>LTWb</v>
      </c>
      <c r="N109">
        <v>97</v>
      </c>
      <c r="O109">
        <v>198.397299387</v>
      </c>
      <c r="P109">
        <v>0.28940402171000001</v>
      </c>
      <c r="Q109">
        <f t="shared" si="73"/>
        <v>685.53746494167888</v>
      </c>
      <c r="R109">
        <v>563.63582095000004</v>
      </c>
      <c r="S109">
        <f t="shared" si="74"/>
        <v>0.10850437080733318</v>
      </c>
      <c r="T109">
        <v>2.2766961398499999E-2</v>
      </c>
      <c r="U109">
        <f t="shared" si="46"/>
        <v>0.4330357142857143</v>
      </c>
      <c r="W109">
        <v>97</v>
      </c>
      <c r="X109">
        <v>190.5</v>
      </c>
      <c r="Y109">
        <f t="shared" ref="Y109:Y140" si="82">W109/COUNT($W$13:$W$175)</f>
        <v>0.59509202453987731</v>
      </c>
      <c r="Z109" t="e">
        <f t="shared" si="48"/>
        <v>#N/A</v>
      </c>
      <c r="AB109" t="e">
        <f t="shared" ref="AB109:AB140" si="83">Z109</f>
        <v>#N/A</v>
      </c>
      <c r="AC109">
        <f t="shared" si="50"/>
        <v>190.5</v>
      </c>
      <c r="AE109" t="e">
        <v>#N/A</v>
      </c>
      <c r="AF109">
        <v>137.16</v>
      </c>
      <c r="AJ109">
        <f t="shared" si="51"/>
        <v>0.4330357142857143</v>
      </c>
      <c r="AK109">
        <v>82.551320073699998</v>
      </c>
      <c r="AL109">
        <f t="shared" si="52"/>
        <v>14.112133401000008</v>
      </c>
      <c r="AM109">
        <f t="shared" si="75"/>
        <v>4.4642857142857539E-3</v>
      </c>
      <c r="AO109">
        <v>97</v>
      </c>
      <c r="AP109">
        <v>629.2429611651005</v>
      </c>
      <c r="AQ109">
        <f t="shared" si="76"/>
        <v>0.59509202453987731</v>
      </c>
      <c r="AR109" t="e">
        <f t="shared" si="53"/>
        <v>#N/A</v>
      </c>
      <c r="AT109" t="e">
        <f t="shared" si="54"/>
        <v>#N/A</v>
      </c>
      <c r="AU109">
        <f t="shared" si="55"/>
        <v>629.2429611651005</v>
      </c>
      <c r="AW109" t="e">
        <v>#N/A</v>
      </c>
      <c r="AX109">
        <v>270</v>
      </c>
      <c r="BB109">
        <f t="shared" si="57"/>
        <v>0.4330357142857143</v>
      </c>
      <c r="BC109">
        <v>456.9174254544663</v>
      </c>
      <c r="BD109">
        <f t="shared" si="58"/>
        <v>0.49341743712278685</v>
      </c>
      <c r="BE109">
        <f t="shared" si="78"/>
        <v>4.4642857142857539E-3</v>
      </c>
      <c r="BF109">
        <v>97</v>
      </c>
      <c r="BG109">
        <v>0.19126511811189179</v>
      </c>
      <c r="BH109">
        <f t="shared" ref="BH109:BH140" si="84">BF109/COUNT($BF$13:$BF$159)</f>
        <v>0.65986394557823125</v>
      </c>
      <c r="BI109">
        <f t="shared" si="60"/>
        <v>0.65986394557823125</v>
      </c>
      <c r="BK109">
        <f t="shared" si="61"/>
        <v>0.65986394557823125</v>
      </c>
      <c r="BL109">
        <f t="shared" si="62"/>
        <v>0.19126511811189179</v>
      </c>
      <c r="BN109">
        <v>0.95918367346938771</v>
      </c>
      <c r="BO109">
        <v>0.84852813742385702</v>
      </c>
      <c r="BP109">
        <f t="shared" si="63"/>
        <v>4.9754668823707715E-2</v>
      </c>
      <c r="BQ109">
        <f t="shared" si="79"/>
        <v>6.8027210884353817E-3</v>
      </c>
      <c r="BS109">
        <f t="shared" si="64"/>
        <v>0.4330357142857143</v>
      </c>
      <c r="BT109">
        <v>6.8706947349716524E-2</v>
      </c>
      <c r="BU109">
        <f t="shared" si="65"/>
        <v>1.151724067519469E-3</v>
      </c>
      <c r="BV109">
        <f t="shared" si="80"/>
        <v>4.4642857142857539E-3</v>
      </c>
      <c r="BW109">
        <v>97</v>
      </c>
      <c r="BX109">
        <v>6.6666666666666666E-2</v>
      </c>
      <c r="BY109">
        <f t="shared" ref="BY109:BY140" si="85">BW109/COUNT($BW$13:$BW$147)</f>
        <v>0.71851851851851856</v>
      </c>
      <c r="BZ109" t="e">
        <f t="shared" si="67"/>
        <v>#N/A</v>
      </c>
      <c r="CB109" t="e">
        <f t="shared" ref="CB109:CB140" si="86">BZ109</f>
        <v>#N/A</v>
      </c>
      <c r="CC109">
        <f t="shared" si="69"/>
        <v>6.6666666666666666E-2</v>
      </c>
      <c r="CE109" t="e">
        <v>#N/A</v>
      </c>
      <c r="CF109">
        <v>6.6489361702127658E-2</v>
      </c>
      <c r="CJ109">
        <f t="shared" si="70"/>
        <v>0.4330357142857143</v>
      </c>
      <c r="CK109">
        <v>3.3168052987799998E-2</v>
      </c>
      <c r="CL109">
        <f t="shared" si="71"/>
        <v>5.6263782000007256E-6</v>
      </c>
      <c r="CM109">
        <f t="shared" si="81"/>
        <v>4.4642857142857539E-3</v>
      </c>
    </row>
    <row r="110" spans="2:91">
      <c r="B110">
        <v>98</v>
      </c>
      <c r="C110">
        <f>IF(ISNUMBER(K110),IF('Lab test'!N101&gt;0,'Lab test'!N101,NA()),NA())</f>
        <v>47.625</v>
      </c>
      <c r="D110">
        <f>IF(ISNUMBER(K110),IF('Lab test'!Q101&gt;0,'Lab test'!Q101,NA()),NA())</f>
        <v>317.79661016949149</v>
      </c>
      <c r="E110">
        <f>IF(ISNUMBER(K110),IF('Lab test'!P101&gt;0,'Lab test'!P101,NA()),NA())</f>
        <v>0.1795045031932811</v>
      </c>
      <c r="F110">
        <f>IF(ISNUMBER(K110),IF('Lab test'!AJ101&gt;0,'Lab test'!AJ101,NA()),NA())</f>
        <v>1.6666666666666666E-2</v>
      </c>
      <c r="G110">
        <f>IF('Lab test'!V101&gt;0,'Lab test'!V101,NA())</f>
        <v>112384.54388</v>
      </c>
      <c r="H110">
        <f>IF(MAX('Lab test'!W101,'Lab test'!X101)&gt;0,MAX('Lab test'!W101,'Lab test'!X101),NA())</f>
        <v>199.94796112</v>
      </c>
      <c r="I110">
        <f>IF('Lab test'!AU101&gt;0,'Lab test'!AU101,NA())</f>
        <v>0.2362238705192902</v>
      </c>
      <c r="J110">
        <f>IF('Lab test'!AT101&gt;0,'Lab test'!AT101,NA())</f>
        <v>0.22068090572493562</v>
      </c>
      <c r="K110">
        <f t="shared" si="72"/>
        <v>1</v>
      </c>
      <c r="L110" t="str">
        <f>'Lab test'!AC101</f>
        <v>LTWb</v>
      </c>
      <c r="N110">
        <v>98</v>
      </c>
      <c r="O110">
        <v>201.05926508600001</v>
      </c>
      <c r="P110">
        <v>0.32793766011300002</v>
      </c>
      <c r="Q110">
        <f t="shared" si="73"/>
        <v>613.10209085690087</v>
      </c>
      <c r="R110">
        <v>190.53118158699999</v>
      </c>
      <c r="S110">
        <f t="shared" si="74"/>
        <v>3.8271507687137225E-2</v>
      </c>
      <c r="T110">
        <v>6.6600098392900001E-2</v>
      </c>
      <c r="U110">
        <f t="shared" si="46"/>
        <v>0.4375</v>
      </c>
      <c r="W110">
        <v>98</v>
      </c>
      <c r="X110">
        <v>190.5</v>
      </c>
      <c r="Y110">
        <f t="shared" si="82"/>
        <v>0.60122699386503065</v>
      </c>
      <c r="Z110" t="e">
        <f t="shared" si="48"/>
        <v>#N/A</v>
      </c>
      <c r="AB110" t="e">
        <f t="shared" si="83"/>
        <v>#N/A</v>
      </c>
      <c r="AC110">
        <f t="shared" si="50"/>
        <v>190.5</v>
      </c>
      <c r="AE110" t="e">
        <v>#N/A</v>
      </c>
      <c r="AF110">
        <v>137.16</v>
      </c>
      <c r="AJ110">
        <f t="shared" si="51"/>
        <v>0.4375</v>
      </c>
      <c r="AK110">
        <v>96.663453474700006</v>
      </c>
      <c r="AL110">
        <f t="shared" si="52"/>
        <v>3.2008970310999985</v>
      </c>
      <c r="AM110">
        <f t="shared" si="75"/>
        <v>4.4642857142856984E-3</v>
      </c>
      <c r="AO110">
        <v>98</v>
      </c>
      <c r="AP110">
        <v>629.2429611651005</v>
      </c>
      <c r="AQ110">
        <f t="shared" ref="AQ110:AQ141" si="87">AO110/COUNT($W$13:$W$175)</f>
        <v>0.60122699386503065</v>
      </c>
      <c r="AR110">
        <f t="shared" si="53"/>
        <v>0.60122699386503065</v>
      </c>
      <c r="AT110">
        <f t="shared" si="54"/>
        <v>0.60122699386503065</v>
      </c>
      <c r="AU110">
        <f t="shared" si="55"/>
        <v>629.2429611651005</v>
      </c>
      <c r="AW110" t="e">
        <v>#N/A</v>
      </c>
      <c r="AX110">
        <v>270</v>
      </c>
      <c r="BB110">
        <f t="shared" si="57"/>
        <v>0.4375</v>
      </c>
      <c r="BC110">
        <v>457.41084289158908</v>
      </c>
      <c r="BD110">
        <f t="shared" si="58"/>
        <v>0.25394764776262946</v>
      </c>
      <c r="BE110">
        <f t="shared" si="78"/>
        <v>4.4642857142856984E-3</v>
      </c>
      <c r="BF110">
        <v>98</v>
      </c>
      <c r="BG110">
        <v>0.1927307726345221</v>
      </c>
      <c r="BH110">
        <f t="shared" si="84"/>
        <v>0.66666666666666663</v>
      </c>
      <c r="BI110">
        <f t="shared" si="60"/>
        <v>0.66666666666666663</v>
      </c>
      <c r="BK110">
        <f t="shared" si="61"/>
        <v>0.66666666666666663</v>
      </c>
      <c r="BL110">
        <f t="shared" si="62"/>
        <v>0.1927307726345221</v>
      </c>
      <c r="BN110">
        <v>0.96598639455782309</v>
      </c>
      <c r="BO110">
        <v>0.89828280624756474</v>
      </c>
      <c r="BP110">
        <f t="shared" si="63"/>
        <v>8.1513090865706572E-2</v>
      </c>
      <c r="BQ110">
        <f t="shared" si="79"/>
        <v>6.8027210884353817E-3</v>
      </c>
      <c r="BS110">
        <f t="shared" si="64"/>
        <v>0.4375</v>
      </c>
      <c r="BT110">
        <v>6.9858671417235993E-2</v>
      </c>
      <c r="BU110">
        <f t="shared" si="65"/>
        <v>2.8287683105268635E-5</v>
      </c>
      <c r="BV110">
        <f t="shared" si="80"/>
        <v>4.4642857142856984E-3</v>
      </c>
      <c r="BW110">
        <v>98</v>
      </c>
      <c r="BX110">
        <v>6.6666666666666666E-2</v>
      </c>
      <c r="BY110">
        <f t="shared" si="85"/>
        <v>0.72592592592592597</v>
      </c>
      <c r="BZ110" t="e">
        <f t="shared" si="67"/>
        <v>#N/A</v>
      </c>
      <c r="CB110" t="e">
        <f t="shared" si="86"/>
        <v>#N/A</v>
      </c>
      <c r="CC110">
        <f t="shared" si="69"/>
        <v>6.6666666666666666E-2</v>
      </c>
      <c r="CE110" t="e">
        <v>#N/A</v>
      </c>
      <c r="CF110">
        <v>6.6666666666666666E-2</v>
      </c>
      <c r="CJ110">
        <f t="shared" si="70"/>
        <v>0.4375</v>
      </c>
      <c r="CK110">
        <v>3.3173679365999999E-2</v>
      </c>
      <c r="CL110">
        <f t="shared" si="71"/>
        <v>2.1704294400001767E-5</v>
      </c>
      <c r="CM110">
        <f t="shared" si="81"/>
        <v>4.4642857142856984E-3</v>
      </c>
    </row>
    <row r="111" spans="2:91">
      <c r="B111">
        <v>99</v>
      </c>
      <c r="C111">
        <f>IF(ISNUMBER(K111),IF('Lab test'!N102&gt;0,'Lab test'!N102,NA()),NA())</f>
        <v>23.939499999999999</v>
      </c>
      <c r="D111">
        <f>IF(ISNUMBER(K111),IF('Lab test'!Q102&gt;0,'Lab test'!Q102,NA()),NA())</f>
        <v>161.66380789022298</v>
      </c>
      <c r="E111">
        <f>IF(ISNUMBER(K111),IF('Lab test'!P102&gt;0,'Lab test'!P102,NA()),NA())</f>
        <v>0.50068374206148569</v>
      </c>
      <c r="F111">
        <f>IF(ISNUMBER(K111),IF('Lab test'!AJ102&gt;0,'Lab test'!AJ102,NA()),NA())</f>
        <v>3.3156498673740049E-2</v>
      </c>
      <c r="G111">
        <f>IF('Lab test'!V102&gt;0,'Lab test'!V102,NA())</f>
        <v>112384.54388</v>
      </c>
      <c r="H111">
        <f>IF(MAX('Lab test'!W102,'Lab test'!X102)&gt;0,MAX('Lab test'!W102,'Lab test'!X102),NA())</f>
        <v>199.94796112</v>
      </c>
      <c r="I111">
        <f>IF('Lab test'!AU102&gt;0,'Lab test'!AU102,NA())</f>
        <v>0.68140383445120845</v>
      </c>
      <c r="J111">
        <f>IF('Lab test'!AT102&gt;0,'Lab test'!AT102,NA())</f>
        <v>0.3238240450206778</v>
      </c>
      <c r="K111">
        <f t="shared" si="72"/>
        <v>1</v>
      </c>
      <c r="L111" t="str">
        <f>'Lab test'!AC102</f>
        <v>LTWb</v>
      </c>
      <c r="N111">
        <v>99</v>
      </c>
      <c r="O111">
        <v>201.44341418799999</v>
      </c>
      <c r="P111">
        <v>0.142644689234</v>
      </c>
      <c r="Q111">
        <f t="shared" si="73"/>
        <v>1412.2040944513835</v>
      </c>
      <c r="R111">
        <v>141.18552426799999</v>
      </c>
      <c r="S111">
        <f t="shared" si="74"/>
        <v>1.8650409168275116E-2</v>
      </c>
      <c r="T111">
        <v>7.7287075330700006E-2</v>
      </c>
      <c r="U111">
        <f t="shared" si="46"/>
        <v>0.4419642857142857</v>
      </c>
      <c r="W111">
        <v>99</v>
      </c>
      <c r="X111">
        <v>190.5</v>
      </c>
      <c r="Y111">
        <f t="shared" si="82"/>
        <v>0.6073619631901841</v>
      </c>
      <c r="Z111" t="e">
        <f t="shared" si="48"/>
        <v>#N/A</v>
      </c>
      <c r="AB111" t="e">
        <f t="shared" si="83"/>
        <v>#N/A</v>
      </c>
      <c r="AC111">
        <f t="shared" si="50"/>
        <v>190.5</v>
      </c>
      <c r="AE111" t="e">
        <v>#N/A</v>
      </c>
      <c r="AF111">
        <v>137.16</v>
      </c>
      <c r="AJ111">
        <f t="shared" si="51"/>
        <v>0.4419642857142857</v>
      </c>
      <c r="AK111">
        <v>99.864350505800004</v>
      </c>
      <c r="AL111">
        <f t="shared" si="52"/>
        <v>0.30619472319999375</v>
      </c>
      <c r="AM111">
        <f t="shared" si="75"/>
        <v>4.4642857142856984E-3</v>
      </c>
      <c r="AO111">
        <v>99</v>
      </c>
      <c r="AP111">
        <v>634.77474081369314</v>
      </c>
      <c r="AQ111">
        <f t="shared" si="87"/>
        <v>0.6073619631901841</v>
      </c>
      <c r="AR111">
        <f t="shared" si="53"/>
        <v>0.6073619631901841</v>
      </c>
      <c r="AT111">
        <f t="shared" si="54"/>
        <v>0.6073619631901841</v>
      </c>
      <c r="AU111">
        <f t="shared" si="55"/>
        <v>634.77474081369314</v>
      </c>
      <c r="AW111" t="e">
        <v>#N/A</v>
      </c>
      <c r="AX111">
        <v>280</v>
      </c>
      <c r="BB111">
        <f t="shared" si="57"/>
        <v>0.4419642857142857</v>
      </c>
      <c r="BC111">
        <v>457.66479053935171</v>
      </c>
      <c r="BD111">
        <f t="shared" si="58"/>
        <v>2.1068152692920421</v>
      </c>
      <c r="BE111">
        <f t="shared" si="78"/>
        <v>4.4642857142856984E-3</v>
      </c>
      <c r="BF111">
        <v>99</v>
      </c>
      <c r="BG111">
        <v>0.20954503095993468</v>
      </c>
      <c r="BH111">
        <f t="shared" si="84"/>
        <v>0.67346938775510201</v>
      </c>
      <c r="BI111">
        <f t="shared" si="60"/>
        <v>0.67346938775510201</v>
      </c>
      <c r="BK111">
        <f t="shared" si="61"/>
        <v>0.67346938775510201</v>
      </c>
      <c r="BL111">
        <f t="shared" si="62"/>
        <v>0.20954503095993468</v>
      </c>
      <c r="BN111">
        <v>0.97278911564625847</v>
      </c>
      <c r="BO111">
        <v>0.97979589711327131</v>
      </c>
      <c r="BP111">
        <f t="shared" si="63"/>
        <v>2.5000937746688101E-2</v>
      </c>
      <c r="BQ111">
        <f t="shared" si="79"/>
        <v>6.8027210884353817E-3</v>
      </c>
      <c r="BS111">
        <f t="shared" si="64"/>
        <v>0.4419642857142857</v>
      </c>
      <c r="BT111">
        <v>6.9886959100341262E-2</v>
      </c>
      <c r="BU111">
        <f t="shared" si="65"/>
        <v>6.1123698961119965E-4</v>
      </c>
      <c r="BV111">
        <f t="shared" si="80"/>
        <v>4.4642857142856984E-3</v>
      </c>
      <c r="BW111">
        <v>99</v>
      </c>
      <c r="BX111">
        <v>6.6666666666666666E-2</v>
      </c>
      <c r="BY111">
        <f t="shared" si="85"/>
        <v>0.73333333333333328</v>
      </c>
      <c r="BZ111" t="e">
        <f t="shared" si="67"/>
        <v>#N/A</v>
      </c>
      <c r="CB111" t="e">
        <f t="shared" si="86"/>
        <v>#N/A</v>
      </c>
      <c r="CC111">
        <f t="shared" si="69"/>
        <v>6.6666666666666666E-2</v>
      </c>
      <c r="CE111" t="e">
        <v>#N/A</v>
      </c>
      <c r="CF111">
        <v>6.6666666666666666E-2</v>
      </c>
      <c r="CJ111">
        <f t="shared" si="70"/>
        <v>0.4419642857142857</v>
      </c>
      <c r="CK111">
        <v>3.31953836604E-2</v>
      </c>
      <c r="CL111">
        <f t="shared" si="71"/>
        <v>7.1122743000029409E-6</v>
      </c>
      <c r="CM111">
        <f t="shared" si="81"/>
        <v>4.4642857142856984E-3</v>
      </c>
    </row>
    <row r="112" spans="2:91">
      <c r="B112">
        <v>100</v>
      </c>
      <c r="C112">
        <f>IF(ISNUMBER(K112),IF('Lab test'!N103&gt;0,'Lab test'!N103,NA()),NA())</f>
        <v>72.009</v>
      </c>
      <c r="D112">
        <f>IF(ISNUMBER(K112),IF('Lab test'!Q103&gt;0,'Lab test'!Q103,NA()),NA())</f>
        <v>951.34228187919473</v>
      </c>
      <c r="E112">
        <f>IF(ISNUMBER(K112),IF('Lab test'!P103&gt;0,'Lab test'!P103,NA()),NA())</f>
        <v>6.8616693678336629E-2</v>
      </c>
      <c r="F112">
        <f>IF(ISNUMBER(K112),IF('Lab test'!AJ103&gt;0,'Lab test'!AJ103,NA()),NA())</f>
        <v>1.1022927689594356E-2</v>
      </c>
      <c r="G112">
        <f>IF('Lab test'!V103&gt;0,'Lab test'!V103,NA())</f>
        <v>108247.68949999999</v>
      </c>
      <c r="H112">
        <f>IF(MAX('Lab test'!W103,'Lab test'!X103)&gt;0,MAX('Lab test'!W103,'Lab test'!X103),NA())</f>
        <v>199.94796112</v>
      </c>
      <c r="I112">
        <f>IF('Lab test'!AU103&gt;0,'Lab test'!AU103,NA())</f>
        <v>7.7329952997042248E-2</v>
      </c>
      <c r="J112">
        <f>IF('Lab test'!AT103&gt;0,'Lab test'!AT103,NA())</f>
        <v>0.2245247458937866</v>
      </c>
      <c r="K112">
        <f t="shared" si="72"/>
        <v>1</v>
      </c>
      <c r="L112" t="str">
        <f>'Lab test'!AC103</f>
        <v>LTWb</v>
      </c>
      <c r="N112">
        <v>100</v>
      </c>
      <c r="O112">
        <v>202.12201857599999</v>
      </c>
      <c r="P112">
        <v>0.15379367874800001</v>
      </c>
      <c r="Q112">
        <f t="shared" si="73"/>
        <v>1314.2413928935844</v>
      </c>
      <c r="R112">
        <v>139.109705238</v>
      </c>
      <c r="S112">
        <f t="shared" si="74"/>
        <v>1.8984809026206504E-2</v>
      </c>
      <c r="T112">
        <v>3.31953836604E-2</v>
      </c>
      <c r="U112">
        <f t="shared" si="46"/>
        <v>0.44642857142857145</v>
      </c>
      <c r="W112">
        <v>100</v>
      </c>
      <c r="X112">
        <v>190.5</v>
      </c>
      <c r="Y112">
        <f t="shared" si="82"/>
        <v>0.61349693251533743</v>
      </c>
      <c r="Z112" t="e">
        <f t="shared" si="48"/>
        <v>#N/A</v>
      </c>
      <c r="AB112" t="e">
        <f t="shared" si="83"/>
        <v>#N/A</v>
      </c>
      <c r="AC112">
        <f t="shared" si="50"/>
        <v>190.5</v>
      </c>
      <c r="AE112" t="e">
        <v>#N/A</v>
      </c>
      <c r="AF112">
        <v>190.5</v>
      </c>
      <c r="AJ112">
        <f t="shared" si="51"/>
        <v>0.44642857142857145</v>
      </c>
      <c r="AK112">
        <v>100.170545229</v>
      </c>
      <c r="AL112">
        <f t="shared" si="52"/>
        <v>0.95337270900000703</v>
      </c>
      <c r="AM112">
        <f t="shared" si="75"/>
        <v>4.4642857142857539E-3</v>
      </c>
      <c r="AO112">
        <v>100</v>
      </c>
      <c r="AP112">
        <v>635.59322033898309</v>
      </c>
      <c r="AQ112">
        <f t="shared" si="87"/>
        <v>0.61349693251533743</v>
      </c>
      <c r="AR112" t="e">
        <f t="shared" si="53"/>
        <v>#N/A</v>
      </c>
      <c r="AT112" t="e">
        <f t="shared" si="54"/>
        <v>#N/A</v>
      </c>
      <c r="AU112">
        <f t="shared" si="55"/>
        <v>635.59322033898309</v>
      </c>
      <c r="AW112" t="e">
        <v>#N/A</v>
      </c>
      <c r="AX112">
        <v>280</v>
      </c>
      <c r="BB112">
        <f t="shared" si="57"/>
        <v>0.44642857142857145</v>
      </c>
      <c r="BC112">
        <v>459.77160580864376</v>
      </c>
      <c r="BD112">
        <f t="shared" si="58"/>
        <v>0.14972519427919906</v>
      </c>
      <c r="BE112">
        <f t="shared" si="78"/>
        <v>4.4642857142857539E-3</v>
      </c>
      <c r="BF112">
        <v>100</v>
      </c>
      <c r="BG112">
        <v>0.21057949466855774</v>
      </c>
      <c r="BH112">
        <f t="shared" si="84"/>
        <v>0.68027210884353739</v>
      </c>
      <c r="BI112" t="e">
        <f t="shared" si="60"/>
        <v>#N/A</v>
      </c>
      <c r="BK112" t="e">
        <f t="shared" si="61"/>
        <v>#N/A</v>
      </c>
      <c r="BL112">
        <f t="shared" si="62"/>
        <v>0.21057949466855774</v>
      </c>
      <c r="BN112">
        <v>0.97959183673469385</v>
      </c>
      <c r="BO112">
        <v>1.0047968348599594</v>
      </c>
      <c r="BP112">
        <f t="shared" si="63"/>
        <v>0.38313526147277144</v>
      </c>
      <c r="BQ112">
        <f t="shared" si="79"/>
        <v>6.8027210884353817E-3</v>
      </c>
      <c r="BS112">
        <f t="shared" si="64"/>
        <v>0.44642857142857145</v>
      </c>
      <c r="BT112">
        <v>7.0498196089952461E-2</v>
      </c>
      <c r="BU112">
        <f t="shared" si="65"/>
        <v>3.8480338342183895E-4</v>
      </c>
      <c r="BV112">
        <f t="shared" si="80"/>
        <v>4.4642857142857539E-3</v>
      </c>
      <c r="BW112">
        <v>100</v>
      </c>
      <c r="BX112">
        <v>6.6666666666666666E-2</v>
      </c>
      <c r="BY112">
        <f t="shared" si="85"/>
        <v>0.7407407407407407</v>
      </c>
      <c r="BZ112" t="e">
        <f t="shared" si="67"/>
        <v>#N/A</v>
      </c>
      <c r="CB112" t="e">
        <f t="shared" si="86"/>
        <v>#N/A</v>
      </c>
      <c r="CC112">
        <f t="shared" si="69"/>
        <v>6.6666666666666666E-2</v>
      </c>
      <c r="CE112" t="e">
        <v>#N/A</v>
      </c>
      <c r="CF112">
        <v>6.6666666666666666E-2</v>
      </c>
      <c r="CJ112">
        <f t="shared" si="70"/>
        <v>0.44642857142857145</v>
      </c>
      <c r="CK112">
        <v>3.3202495934700003E-2</v>
      </c>
      <c r="CL112">
        <f t="shared" si="71"/>
        <v>3.6803245999986189E-6</v>
      </c>
      <c r="CM112">
        <f t="shared" si="81"/>
        <v>4.4642857142857539E-3</v>
      </c>
    </row>
    <row r="113" spans="2:91">
      <c r="B113">
        <v>101</v>
      </c>
      <c r="C113">
        <f>IF(ISNUMBER(K113),IF('Lab test'!N104&gt;0,'Lab test'!N104,NA()),NA())</f>
        <v>23.939499999999999</v>
      </c>
      <c r="D113">
        <f>IF(ISNUMBER(K113),IF('Lab test'!Q104&gt;0,'Lab test'!Q104,NA()),NA())</f>
        <v>319.49152542372877</v>
      </c>
      <c r="E113">
        <f>IF(ISNUMBER(K113),IF('Lab test'!P104&gt;0,'Lab test'!P104,NA()),NA())</f>
        <v>0.35615596305533065</v>
      </c>
      <c r="F113">
        <f>IF(ISNUMBER(K113),IF('Lab test'!AJ104&gt;0,'Lab test'!AJ104,NA()),NA())</f>
        <v>3.3156498673740049E-2</v>
      </c>
      <c r="G113">
        <f>IF('Lab test'!V104&gt;0,'Lab test'!V104,NA())</f>
        <v>108247.68949999999</v>
      </c>
      <c r="H113">
        <f>IF(MAX('Lab test'!W104,'Lab test'!X104)&gt;0,MAX('Lab test'!W104,'Lab test'!X104),NA())</f>
        <v>199.94796112</v>
      </c>
      <c r="I113">
        <f>IF('Lab test'!AU104&gt;0,'Lab test'!AU104,NA())</f>
        <v>0.27841065362787754</v>
      </c>
      <c r="J113">
        <f>IF('Lab test'!AT104&gt;0,'Lab test'!AT104,NA())</f>
        <v>0.27147188655279747</v>
      </c>
      <c r="K113">
        <f t="shared" si="72"/>
        <v>1</v>
      </c>
      <c r="L113" t="str">
        <f>'Lab test'!AC104</f>
        <v>LTWb</v>
      </c>
      <c r="N113">
        <v>101</v>
      </c>
      <c r="O113">
        <v>220.36028787199999</v>
      </c>
      <c r="P113">
        <v>1.0558698367799999</v>
      </c>
      <c r="Q113">
        <f t="shared" si="73"/>
        <v>208.7002395522679</v>
      </c>
      <c r="R113">
        <v>318.50868896399999</v>
      </c>
      <c r="S113">
        <f t="shared" si="74"/>
        <v>0.10005216245929885</v>
      </c>
      <c r="T113">
        <v>3.0783772213E-2</v>
      </c>
      <c r="U113">
        <f t="shared" si="46"/>
        <v>0.45089285714285715</v>
      </c>
      <c r="W113">
        <v>101</v>
      </c>
      <c r="X113">
        <v>190.5</v>
      </c>
      <c r="Y113">
        <f t="shared" si="82"/>
        <v>0.61963190184049077</v>
      </c>
      <c r="Z113" t="e">
        <f t="shared" si="48"/>
        <v>#N/A</v>
      </c>
      <c r="AB113" t="e">
        <f t="shared" si="83"/>
        <v>#N/A</v>
      </c>
      <c r="AC113">
        <f t="shared" si="50"/>
        <v>190.5</v>
      </c>
      <c r="AE113" t="e">
        <v>#N/A</v>
      </c>
      <c r="AF113">
        <v>190.5</v>
      </c>
      <c r="AJ113">
        <f t="shared" si="51"/>
        <v>0.45089285714285715</v>
      </c>
      <c r="AK113">
        <v>101.12391793800001</v>
      </c>
      <c r="AL113">
        <f t="shared" si="52"/>
        <v>0.76801422799999841</v>
      </c>
      <c r="AM113">
        <f t="shared" si="75"/>
        <v>4.4642857142856984E-3</v>
      </c>
      <c r="AO113">
        <v>101</v>
      </c>
      <c r="AP113">
        <v>635.59322033898309</v>
      </c>
      <c r="AQ113">
        <f t="shared" si="87"/>
        <v>0.61963190184049077</v>
      </c>
      <c r="AR113">
        <f t="shared" si="53"/>
        <v>0.61963190184049077</v>
      </c>
      <c r="AT113">
        <f t="shared" si="54"/>
        <v>0.61963190184049077</v>
      </c>
      <c r="AU113">
        <f t="shared" si="55"/>
        <v>635.59322033898309</v>
      </c>
      <c r="AW113" t="e">
        <v>#N/A</v>
      </c>
      <c r="AX113">
        <v>280</v>
      </c>
      <c r="BB113">
        <f t="shared" si="57"/>
        <v>0.45089285714285715</v>
      </c>
      <c r="BC113">
        <v>459.92133100292295</v>
      </c>
      <c r="BD113">
        <f t="shared" si="58"/>
        <v>7.7576111914424928E-2</v>
      </c>
      <c r="BE113">
        <f t="shared" si="78"/>
        <v>4.4642857142856984E-3</v>
      </c>
      <c r="BF113">
        <v>101</v>
      </c>
      <c r="BG113">
        <v>0.21057949466855774</v>
      </c>
      <c r="BH113">
        <f t="shared" si="84"/>
        <v>0.68707482993197277</v>
      </c>
      <c r="BI113">
        <f t="shared" si="60"/>
        <v>0.68707482993197277</v>
      </c>
      <c r="BK113">
        <f t="shared" si="61"/>
        <v>0.68707482993197277</v>
      </c>
      <c r="BL113">
        <f t="shared" si="62"/>
        <v>0.21057949466855774</v>
      </c>
      <c r="BN113">
        <v>0.98639455782312924</v>
      </c>
      <c r="BO113">
        <v>1.3879320963327308</v>
      </c>
      <c r="BP113">
        <f t="shared" si="63"/>
        <v>7.4668528452870975E-2</v>
      </c>
      <c r="BQ113">
        <f t="shared" si="79"/>
        <v>6.8027210884353817E-3</v>
      </c>
      <c r="BS113">
        <f t="shared" si="64"/>
        <v>0.45089285714285715</v>
      </c>
      <c r="BT113">
        <v>7.08829994733743E-2</v>
      </c>
      <c r="BU113">
        <f t="shared" si="65"/>
        <v>6.1013394124925791E-6</v>
      </c>
      <c r="BV113">
        <f t="shared" si="80"/>
        <v>4.4642857142856984E-3</v>
      </c>
      <c r="BW113">
        <v>101</v>
      </c>
      <c r="BX113">
        <v>6.6666666666666666E-2</v>
      </c>
      <c r="BY113">
        <f t="shared" si="85"/>
        <v>0.74814814814814812</v>
      </c>
      <c r="BZ113" t="e">
        <f t="shared" si="67"/>
        <v>#N/A</v>
      </c>
      <c r="CB113" t="e">
        <f t="shared" si="86"/>
        <v>#N/A</v>
      </c>
      <c r="CC113">
        <f t="shared" si="69"/>
        <v>6.6666666666666666E-2</v>
      </c>
      <c r="CE113" t="e">
        <v>#N/A</v>
      </c>
      <c r="CF113">
        <v>6.6666666666666666E-2</v>
      </c>
      <c r="CJ113">
        <f t="shared" si="70"/>
        <v>0.45089285714285715</v>
      </c>
      <c r="CK113">
        <v>3.3206176259300002E-2</v>
      </c>
      <c r="CL113">
        <f t="shared" si="71"/>
        <v>2.8708770999988364E-6</v>
      </c>
      <c r="CM113">
        <f t="shared" si="81"/>
        <v>4.4642857142856984E-3</v>
      </c>
    </row>
    <row r="114" spans="2:91">
      <c r="B114">
        <v>102</v>
      </c>
      <c r="C114">
        <f>IF(ISNUMBER(K114),IF('Lab test'!N105&gt;0,'Lab test'!N105,NA()),NA())</f>
        <v>23.939499999999999</v>
      </c>
      <c r="D114">
        <f>IF(ISNUMBER(K114),IF('Lab test'!Q105&gt;0,'Lab test'!Q105,NA()),NA())</f>
        <v>318.41216216216213</v>
      </c>
      <c r="E114">
        <f>IF(ISNUMBER(K114),IF('Lab test'!P105&gt;0,'Lab test'!P105,NA()),NA())</f>
        <v>0.35675910652390364</v>
      </c>
      <c r="F114">
        <f>IF(ISNUMBER(K114),IF('Lab test'!AJ105&gt;0,'Lab test'!AJ105,NA()),NA())</f>
        <v>3.3156498673740049E-2</v>
      </c>
      <c r="G114">
        <f>IF('Lab test'!V105&gt;0,'Lab test'!V105,NA())</f>
        <v>108247.68949999999</v>
      </c>
      <c r="H114">
        <f>IF(MAX('Lab test'!W105,'Lab test'!X105)&gt;0,MAX('Lab test'!W105,'Lab test'!X105),NA())</f>
        <v>199.94796112</v>
      </c>
      <c r="I114">
        <f>IF('Lab test'!AU105&gt;0,'Lab test'!AU105,NA())</f>
        <v>0.3109239161777691</v>
      </c>
      <c r="J114">
        <f>IF('Lab test'!AT105&gt;0,'Lab test'!AT105,NA())</f>
        <v>0.30215058897453856</v>
      </c>
      <c r="K114">
        <f t="shared" si="72"/>
        <v>1</v>
      </c>
      <c r="L114" t="str">
        <f>'Lab test'!AC105</f>
        <v>LTWb</v>
      </c>
      <c r="N114">
        <v>102</v>
      </c>
      <c r="O114">
        <v>228.69578724199999</v>
      </c>
      <c r="P114">
        <v>0.35635383331199999</v>
      </c>
      <c r="Q114">
        <f t="shared" si="73"/>
        <v>641.76603662845685</v>
      </c>
      <c r="R114">
        <v>397.99212939099999</v>
      </c>
      <c r="S114">
        <f t="shared" si="74"/>
        <v>6.8695447049301681E-2</v>
      </c>
      <c r="T114">
        <v>1.10162790306E-2</v>
      </c>
      <c r="U114">
        <f t="shared" si="46"/>
        <v>0.45535714285714285</v>
      </c>
      <c r="W114">
        <v>102</v>
      </c>
      <c r="X114">
        <v>190.5</v>
      </c>
      <c r="Y114">
        <f t="shared" si="82"/>
        <v>0.62576687116564422</v>
      </c>
      <c r="Z114" t="e">
        <f t="shared" si="48"/>
        <v>#N/A</v>
      </c>
      <c r="AB114" t="e">
        <f t="shared" si="83"/>
        <v>#N/A</v>
      </c>
      <c r="AC114">
        <f t="shared" si="50"/>
        <v>190.5</v>
      </c>
      <c r="AE114" t="e">
        <v>#N/A</v>
      </c>
      <c r="AF114">
        <v>190.5</v>
      </c>
      <c r="AJ114">
        <f t="shared" si="51"/>
        <v>0.45535714285714285</v>
      </c>
      <c r="AK114">
        <v>101.891932166</v>
      </c>
      <c r="AL114">
        <f t="shared" si="52"/>
        <v>0.64953421100000241</v>
      </c>
      <c r="AM114">
        <f t="shared" si="75"/>
        <v>4.4642857142856984E-3</v>
      </c>
      <c r="AO114">
        <v>102</v>
      </c>
      <c r="AP114">
        <v>640.33072956359285</v>
      </c>
      <c r="AQ114">
        <f t="shared" si="87"/>
        <v>0.62576687116564422</v>
      </c>
      <c r="AR114" t="e">
        <f t="shared" si="53"/>
        <v>#N/A</v>
      </c>
      <c r="AT114" t="e">
        <f t="shared" si="54"/>
        <v>#N/A</v>
      </c>
      <c r="AU114">
        <f t="shared" si="55"/>
        <v>640.33072956359285</v>
      </c>
      <c r="AW114" t="e">
        <v>#N/A</v>
      </c>
      <c r="AX114">
        <v>300</v>
      </c>
      <c r="BB114">
        <f t="shared" si="57"/>
        <v>0.45535714285714285</v>
      </c>
      <c r="BC114">
        <v>459.99890711483738</v>
      </c>
      <c r="BD114">
        <f t="shared" si="58"/>
        <v>8.1364052897868078E-2</v>
      </c>
      <c r="BE114">
        <f t="shared" si="78"/>
        <v>4.4642857142856984E-3</v>
      </c>
      <c r="BF114">
        <v>102</v>
      </c>
      <c r="BG114">
        <v>0.21264957089070269</v>
      </c>
      <c r="BH114">
        <f t="shared" si="84"/>
        <v>0.69387755102040816</v>
      </c>
      <c r="BI114">
        <f t="shared" si="60"/>
        <v>0.69387755102040816</v>
      </c>
      <c r="BK114">
        <f t="shared" si="61"/>
        <v>0.69387755102040816</v>
      </c>
      <c r="BL114">
        <f t="shared" si="62"/>
        <v>0.21264957089070269</v>
      </c>
      <c r="BN114">
        <v>0.99319727891156462</v>
      </c>
      <c r="BO114">
        <v>1.4626006247856018</v>
      </c>
      <c r="BP114">
        <f t="shared" si="63"/>
        <v>1.070697968525044</v>
      </c>
      <c r="BQ114">
        <f t="shared" si="79"/>
        <v>6.8027210884353817E-3</v>
      </c>
      <c r="BS114">
        <f t="shared" si="64"/>
        <v>0.45535714285714285</v>
      </c>
      <c r="BT114">
        <v>7.0889100812786793E-2</v>
      </c>
      <c r="BU114">
        <f t="shared" si="65"/>
        <v>4.0139495177558826E-4</v>
      </c>
      <c r="BV114">
        <f t="shared" si="80"/>
        <v>4.4642857142856984E-3</v>
      </c>
      <c r="BW114">
        <v>102</v>
      </c>
      <c r="BX114">
        <v>6.6666666666666666E-2</v>
      </c>
      <c r="BY114">
        <f t="shared" si="85"/>
        <v>0.75555555555555554</v>
      </c>
      <c r="BZ114" t="e">
        <f t="shared" si="67"/>
        <v>#N/A</v>
      </c>
      <c r="CB114" t="e">
        <f t="shared" si="86"/>
        <v>#N/A</v>
      </c>
      <c r="CC114">
        <f t="shared" si="69"/>
        <v>6.6666666666666666E-2</v>
      </c>
      <c r="CE114" t="e">
        <v>#N/A</v>
      </c>
      <c r="CF114">
        <v>6.6666666666666666E-2</v>
      </c>
      <c r="CJ114">
        <f t="shared" si="70"/>
        <v>0.45535714285714285</v>
      </c>
      <c r="CK114">
        <v>3.3209047136400001E-2</v>
      </c>
      <c r="CL114">
        <f t="shared" si="71"/>
        <v>4.5032764999994312E-6</v>
      </c>
      <c r="CM114">
        <f t="shared" si="81"/>
        <v>4.4642857142856984E-3</v>
      </c>
    </row>
    <row r="115" spans="2:91">
      <c r="B115">
        <v>103</v>
      </c>
      <c r="C115">
        <f>IF(ISNUMBER(K115),IF('Lab test'!N106&gt;0,'Lab test'!N106,NA()),NA())</f>
        <v>72.009</v>
      </c>
      <c r="D115">
        <f>IF(ISNUMBER(K115),IF('Lab test'!Q106&gt;0,'Lab test'!Q106,NA()),NA())</f>
        <v>1343.6018957345973</v>
      </c>
      <c r="E115">
        <f>IF(ISNUMBER(K115),IF('Lab test'!P106&gt;0,'Lab test'!P106,NA()),NA())</f>
        <v>5.7738152491526175E-2</v>
      </c>
      <c r="F115">
        <f>IF(ISNUMBER(K115),IF('Lab test'!AJ106&gt;0,'Lab test'!AJ106,NA()),NA())</f>
        <v>1.1022927689594356E-2</v>
      </c>
      <c r="G115">
        <f>IF('Lab test'!V106&gt;0,'Lab test'!V106,NA())</f>
        <v>108247.68949999999</v>
      </c>
      <c r="H115">
        <f>IF(MAX('Lab test'!W106,'Lab test'!X106)&gt;0,MAX('Lab test'!W106,'Lab test'!X106),NA())</f>
        <v>199.94796112</v>
      </c>
      <c r="I115">
        <f>IF('Lab test'!AU106&gt;0,'Lab test'!AU106,NA())</f>
        <v>4.0381948452635229E-2</v>
      </c>
      <c r="J115">
        <f>IF('Lab test'!AT106&gt;0,'Lab test'!AT106,NA())</f>
        <v>0.16559131164643109</v>
      </c>
      <c r="K115">
        <f t="shared" si="72"/>
        <v>1</v>
      </c>
      <c r="L115" t="str">
        <f>'Lab test'!AC106</f>
        <v>LTWb</v>
      </c>
      <c r="N115">
        <v>103</v>
      </c>
      <c r="O115">
        <v>233.685834054</v>
      </c>
      <c r="P115">
        <v>0.79370226492499996</v>
      </c>
      <c r="Q115">
        <f t="shared" si="73"/>
        <v>294.42505632270291</v>
      </c>
      <c r="R115">
        <v>293.029595503</v>
      </c>
      <c r="S115">
        <f t="shared" si="74"/>
        <v>7.3078851896971456E-2</v>
      </c>
      <c r="T115">
        <v>1.3255306631E-2</v>
      </c>
      <c r="U115">
        <f t="shared" si="46"/>
        <v>0.45982142857142855</v>
      </c>
      <c r="W115">
        <v>103</v>
      </c>
      <c r="X115">
        <v>190.5</v>
      </c>
      <c r="Y115">
        <f t="shared" si="82"/>
        <v>0.63190184049079756</v>
      </c>
      <c r="Z115" t="e">
        <f t="shared" si="48"/>
        <v>#N/A</v>
      </c>
      <c r="AB115" t="e">
        <f t="shared" si="83"/>
        <v>#N/A</v>
      </c>
      <c r="AC115">
        <f t="shared" si="50"/>
        <v>190.5</v>
      </c>
      <c r="AE115" t="e">
        <v>#N/A</v>
      </c>
      <c r="AF115">
        <v>190.5</v>
      </c>
      <c r="AJ115">
        <f t="shared" si="51"/>
        <v>0.45982142857142855</v>
      </c>
      <c r="AK115">
        <v>102.54146637700001</v>
      </c>
      <c r="AL115">
        <f t="shared" si="52"/>
        <v>1.4245933439999874</v>
      </c>
      <c r="AM115">
        <f t="shared" si="75"/>
        <v>4.4642857142856984E-3</v>
      </c>
      <c r="AO115">
        <v>103</v>
      </c>
      <c r="AP115">
        <v>640.33072956359285</v>
      </c>
      <c r="AQ115">
        <f t="shared" si="87"/>
        <v>0.63190184049079756</v>
      </c>
      <c r="AR115" t="e">
        <f t="shared" si="53"/>
        <v>#N/A</v>
      </c>
      <c r="AT115" t="e">
        <f t="shared" si="54"/>
        <v>#N/A</v>
      </c>
      <c r="AU115">
        <f t="shared" si="55"/>
        <v>640.33072956359285</v>
      </c>
      <c r="AW115" t="e">
        <v>#N/A</v>
      </c>
      <c r="AX115">
        <v>300</v>
      </c>
      <c r="BB115">
        <f t="shared" si="57"/>
        <v>0.45982142857142855</v>
      </c>
      <c r="BC115">
        <v>460.08027116773525</v>
      </c>
      <c r="BD115">
        <f t="shared" si="58"/>
        <v>6.3184595595885185E-2</v>
      </c>
      <c r="BE115">
        <f t="shared" si="78"/>
        <v>4.4642857142856984E-3</v>
      </c>
      <c r="BF115">
        <v>103</v>
      </c>
      <c r="BG115">
        <v>0.24465529492192342</v>
      </c>
      <c r="BH115">
        <f t="shared" si="84"/>
        <v>0.70068027210884354</v>
      </c>
      <c r="BI115">
        <f t="shared" si="60"/>
        <v>0.70068027210884354</v>
      </c>
      <c r="BK115">
        <f t="shared" si="61"/>
        <v>0.70068027210884354</v>
      </c>
      <c r="BL115">
        <f t="shared" si="62"/>
        <v>0.24465529492192342</v>
      </c>
      <c r="BN115">
        <v>1</v>
      </c>
      <c r="BO115">
        <v>2.5332985933106458</v>
      </c>
      <c r="BQ115">
        <f t="shared" si="79"/>
        <v>6.8027210884353817E-3</v>
      </c>
      <c r="BS115">
        <f t="shared" si="64"/>
        <v>0.45982142857142855</v>
      </c>
      <c r="BT115">
        <v>7.1290495764562381E-2</v>
      </c>
      <c r="BU115">
        <f t="shared" si="65"/>
        <v>5.9385593434435613E-6</v>
      </c>
      <c r="BV115">
        <f t="shared" si="80"/>
        <v>4.4642857142856984E-3</v>
      </c>
      <c r="BW115">
        <v>103</v>
      </c>
      <c r="BX115">
        <v>6.6666666666666666E-2</v>
      </c>
      <c r="BY115">
        <f t="shared" si="85"/>
        <v>0.76296296296296295</v>
      </c>
      <c r="BZ115" t="e">
        <f t="shared" si="67"/>
        <v>#N/A</v>
      </c>
      <c r="CB115" t="e">
        <f t="shared" si="86"/>
        <v>#N/A</v>
      </c>
      <c r="CC115">
        <f t="shared" si="69"/>
        <v>6.6666666666666666E-2</v>
      </c>
      <c r="CE115" t="e">
        <v>#N/A</v>
      </c>
      <c r="CF115">
        <v>6.6666666666666666E-2</v>
      </c>
      <c r="CJ115">
        <f t="shared" si="70"/>
        <v>0.45982142857142855</v>
      </c>
      <c r="CK115">
        <v>3.32135504129E-2</v>
      </c>
      <c r="CL115">
        <f t="shared" si="71"/>
        <v>1.1416957000007222E-6</v>
      </c>
      <c r="CM115">
        <f t="shared" si="81"/>
        <v>4.4642857142856984E-3</v>
      </c>
    </row>
    <row r="116" spans="2:91">
      <c r="B116">
        <v>104</v>
      </c>
      <c r="C116">
        <f>IF(ISNUMBER(K116),IF('Lab test'!N107&gt;0,'Lab test'!N107,NA()),NA())</f>
        <v>72.009</v>
      </c>
      <c r="D116">
        <f>IF(ISNUMBER(K116),IF('Lab test'!Q107&gt;0,'Lab test'!Q107,NA()),NA())</f>
        <v>1410.4477611940301</v>
      </c>
      <c r="E116">
        <f>IF(ISNUMBER(K116),IF('Lab test'!P107&gt;0,'Lab test'!P107,NA()),NA())</f>
        <v>5.6353342978340749E-2</v>
      </c>
      <c r="F116">
        <f>IF(ISNUMBER(K116),IF('Lab test'!AJ107&gt;0,'Lab test'!AJ107,NA()),NA())</f>
        <v>1.1022927689594356E-2</v>
      </c>
      <c r="G116">
        <f>IF('Lab test'!V107&gt;0,'Lab test'!V107,NA())</f>
        <v>108247.68949999999</v>
      </c>
      <c r="H116">
        <f>IF(MAX('Lab test'!W107,'Lab test'!X107)&gt;0,MAX('Lab test'!W107,'Lab test'!X107),NA())</f>
        <v>199.94796112</v>
      </c>
      <c r="I116">
        <f>IF('Lab test'!AU107&gt;0,'Lab test'!AU107,NA())</f>
        <v>4.0464136950164348E-2</v>
      </c>
      <c r="J116">
        <f>IF('Lab test'!AT107&gt;0,'Lab test'!AT107,NA())</f>
        <v>0.17418347712143262</v>
      </c>
      <c r="K116">
        <f t="shared" si="72"/>
        <v>1</v>
      </c>
      <c r="L116" t="str">
        <f>'Lab test'!AC107</f>
        <v>LTWb</v>
      </c>
      <c r="N116">
        <v>104</v>
      </c>
      <c r="O116">
        <v>23.883694625899999</v>
      </c>
      <c r="P116">
        <v>7.4961655209E-2</v>
      </c>
      <c r="Q116">
        <f t="shared" si="73"/>
        <v>318.61215656604776</v>
      </c>
      <c r="R116">
        <v>139.15978008900001</v>
      </c>
      <c r="S116">
        <f t="shared" si="74"/>
        <v>0.32642322632115739</v>
      </c>
      <c r="T116">
        <v>3.3264041818499998E-2</v>
      </c>
      <c r="U116">
        <f t="shared" si="46"/>
        <v>0.4642857142857143</v>
      </c>
      <c r="W116">
        <v>104</v>
      </c>
      <c r="X116">
        <v>190.5</v>
      </c>
      <c r="Y116">
        <f t="shared" si="82"/>
        <v>0.6380368098159509</v>
      </c>
      <c r="Z116" t="e">
        <f t="shared" si="48"/>
        <v>#N/A</v>
      </c>
      <c r="AB116" t="e">
        <f t="shared" si="83"/>
        <v>#N/A</v>
      </c>
      <c r="AC116">
        <f t="shared" si="50"/>
        <v>190.5</v>
      </c>
      <c r="AE116" t="e">
        <v>#N/A</v>
      </c>
      <c r="AF116">
        <v>190.5</v>
      </c>
      <c r="AJ116">
        <f t="shared" si="51"/>
        <v>0.4642857142857143</v>
      </c>
      <c r="AK116">
        <v>103.96605972099999</v>
      </c>
      <c r="AL116">
        <f t="shared" si="52"/>
        <v>0.2117903890000008</v>
      </c>
      <c r="AM116">
        <f t="shared" si="75"/>
        <v>4.4642857142857539E-3</v>
      </c>
      <c r="AO116">
        <v>104</v>
      </c>
      <c r="AP116">
        <v>640.33072956359285</v>
      </c>
      <c r="AQ116">
        <f t="shared" si="87"/>
        <v>0.6380368098159509</v>
      </c>
      <c r="AR116">
        <f t="shared" si="53"/>
        <v>0.6380368098159509</v>
      </c>
      <c r="AT116">
        <f t="shared" si="54"/>
        <v>0.6380368098159509</v>
      </c>
      <c r="AU116">
        <f t="shared" si="55"/>
        <v>640.33072956359285</v>
      </c>
      <c r="AW116" t="e">
        <v>#N/A</v>
      </c>
      <c r="AX116">
        <v>300</v>
      </c>
      <c r="BB116">
        <f t="shared" si="57"/>
        <v>0.4642857142857143</v>
      </c>
      <c r="BC116">
        <v>460.14345576333113</v>
      </c>
      <c r="BD116">
        <f t="shared" si="58"/>
        <v>0.14352390733557741</v>
      </c>
      <c r="BE116">
        <f t="shared" si="78"/>
        <v>4.4642857142857539E-3</v>
      </c>
      <c r="BF116">
        <v>104</v>
      </c>
      <c r="BG116">
        <v>0.25348970020979117</v>
      </c>
      <c r="BH116">
        <f t="shared" si="84"/>
        <v>0.70748299319727892</v>
      </c>
      <c r="BI116">
        <f t="shared" si="60"/>
        <v>0.70748299319727892</v>
      </c>
      <c r="BK116">
        <f t="shared" si="61"/>
        <v>0.70748299319727892</v>
      </c>
      <c r="BL116">
        <f t="shared" si="62"/>
        <v>0.25348970020979117</v>
      </c>
      <c r="BN116" t="e">
        <v>#N/A</v>
      </c>
      <c r="BO116">
        <v>2.5247778017575731E-2</v>
      </c>
      <c r="BS116">
        <f t="shared" si="64"/>
        <v>0.4642857142857143</v>
      </c>
      <c r="BT116">
        <v>7.1296434323905825E-2</v>
      </c>
      <c r="BU116">
        <f t="shared" si="65"/>
        <v>1.323924275290711E-3</v>
      </c>
      <c r="BV116">
        <f t="shared" si="80"/>
        <v>4.4642857142857539E-3</v>
      </c>
      <c r="BW116">
        <v>104</v>
      </c>
      <c r="BX116">
        <v>6.6666666666666666E-2</v>
      </c>
      <c r="BY116">
        <f t="shared" si="85"/>
        <v>0.77037037037037037</v>
      </c>
      <c r="BZ116" t="e">
        <f t="shared" si="67"/>
        <v>#N/A</v>
      </c>
      <c r="CB116" t="e">
        <f t="shared" si="86"/>
        <v>#N/A</v>
      </c>
      <c r="CC116">
        <f t="shared" si="69"/>
        <v>6.6666666666666666E-2</v>
      </c>
      <c r="CE116" t="e">
        <v>#N/A</v>
      </c>
      <c r="CF116">
        <v>6.6666666666666666E-2</v>
      </c>
      <c r="CJ116">
        <f t="shared" si="70"/>
        <v>0.4642857142857143</v>
      </c>
      <c r="CK116">
        <v>3.3214692108600001E-2</v>
      </c>
      <c r="CL116">
        <f t="shared" si="71"/>
        <v>3.4412610999956517E-6</v>
      </c>
      <c r="CM116">
        <f t="shared" si="81"/>
        <v>4.4642857142857539E-3</v>
      </c>
    </row>
    <row r="117" spans="2:91">
      <c r="B117">
        <v>105</v>
      </c>
      <c r="C117">
        <f>IF(ISNUMBER(K117),IF('Lab test'!N108&gt;0,'Lab test'!N108,NA()),NA())</f>
        <v>47.625</v>
      </c>
      <c r="D117">
        <f>IF(ISNUMBER(K117),IF('Lab test'!Q108&gt;0,'Lab test'!Q108,NA()),NA())</f>
        <v>880.28169014084506</v>
      </c>
      <c r="E117">
        <f>IF(ISNUMBER(K117),IF('Lab test'!P108&gt;0,'Lab test'!P108,NA()),NA())</f>
        <v>0.10785471709665738</v>
      </c>
      <c r="F117">
        <f>IF(ISNUMBER(K117),IF('Lab test'!AJ108&gt;0,'Lab test'!AJ108,NA()),NA())</f>
        <v>1.6666666666666666E-2</v>
      </c>
      <c r="G117">
        <f>IF('Lab test'!V108&gt;0,'Lab test'!V108,NA())</f>
        <v>108247.68949999999</v>
      </c>
      <c r="H117">
        <f>IF(MAX('Lab test'!W108,'Lab test'!X108)&gt;0,MAX('Lab test'!W108,'Lab test'!X108),NA())</f>
        <v>199.94796112</v>
      </c>
      <c r="I117">
        <f>IF('Lab test'!AU108&gt;0,'Lab test'!AU108,NA())</f>
        <v>6.5982759430172205E-2</v>
      </c>
      <c r="J117">
        <f>IF('Lab test'!AT108&gt;0,'Lab test'!AT108,NA())</f>
        <v>0.17726859836157469</v>
      </c>
      <c r="K117">
        <f t="shared" si="72"/>
        <v>1</v>
      </c>
      <c r="L117" t="str">
        <f>'Lab test'!AC108</f>
        <v>LTWb</v>
      </c>
      <c r="N117">
        <v>105</v>
      </c>
      <c r="O117">
        <v>23.893556015000001</v>
      </c>
      <c r="P117">
        <v>8.3987378792300005E-2</v>
      </c>
      <c r="Q117">
        <f t="shared" si="73"/>
        <v>284.48984071866965</v>
      </c>
      <c r="R117">
        <v>145.659829336</v>
      </c>
      <c r="S117">
        <f t="shared" si="74"/>
        <v>0.36143118884075404</v>
      </c>
      <c r="T117">
        <v>6.6526145345300006E-2</v>
      </c>
      <c r="U117">
        <f t="shared" si="46"/>
        <v>0.46875</v>
      </c>
      <c r="W117">
        <v>105</v>
      </c>
      <c r="X117">
        <v>190.5</v>
      </c>
      <c r="Y117">
        <f t="shared" si="82"/>
        <v>0.64417177914110424</v>
      </c>
      <c r="Z117" t="e">
        <f t="shared" si="48"/>
        <v>#N/A</v>
      </c>
      <c r="AB117" t="e">
        <f t="shared" si="83"/>
        <v>#N/A</v>
      </c>
      <c r="AC117">
        <f t="shared" si="50"/>
        <v>190.5</v>
      </c>
      <c r="AE117" t="e">
        <v>#N/A</v>
      </c>
      <c r="AF117">
        <v>190.5</v>
      </c>
      <c r="AJ117">
        <f t="shared" si="51"/>
        <v>0.46875</v>
      </c>
      <c r="AK117">
        <v>104.17785010999999</v>
      </c>
      <c r="AL117">
        <f t="shared" si="52"/>
        <v>0.16516456100001164</v>
      </c>
      <c r="AM117">
        <f t="shared" si="75"/>
        <v>4.4642857142856984E-3</v>
      </c>
      <c r="AO117">
        <v>105</v>
      </c>
      <c r="AP117">
        <v>642.1232876712329</v>
      </c>
      <c r="AQ117">
        <f t="shared" si="87"/>
        <v>0.64417177914110424</v>
      </c>
      <c r="AR117">
        <f t="shared" si="53"/>
        <v>0.64417177914110424</v>
      </c>
      <c r="AT117">
        <f t="shared" si="54"/>
        <v>0.64417177914110424</v>
      </c>
      <c r="AU117">
        <f t="shared" si="55"/>
        <v>642.1232876712329</v>
      </c>
      <c r="AW117" t="e">
        <v>#N/A</v>
      </c>
      <c r="AX117">
        <v>300</v>
      </c>
      <c r="BB117">
        <f t="shared" si="57"/>
        <v>0.46875</v>
      </c>
      <c r="BC117">
        <v>460.28697967066671</v>
      </c>
      <c r="BD117">
        <f t="shared" si="58"/>
        <v>8.7735383015058233E-2</v>
      </c>
      <c r="BE117">
        <f t="shared" si="78"/>
        <v>4.4642857142856984E-3</v>
      </c>
      <c r="BF117">
        <v>105</v>
      </c>
      <c r="BG117">
        <v>0.26340655122956258</v>
      </c>
      <c r="BH117">
        <f t="shared" si="84"/>
        <v>0.7142857142857143</v>
      </c>
      <c r="BI117" t="e">
        <f t="shared" si="60"/>
        <v>#N/A</v>
      </c>
      <c r="BK117" t="e">
        <f t="shared" si="61"/>
        <v>#N/A</v>
      </c>
      <c r="BL117">
        <f t="shared" si="62"/>
        <v>0.26340655122956258</v>
      </c>
      <c r="BN117" t="e">
        <v>#N/A</v>
      </c>
      <c r="BO117">
        <v>2.6422093274207165E-2</v>
      </c>
      <c r="BS117">
        <f t="shared" si="64"/>
        <v>0.46875</v>
      </c>
      <c r="BT117">
        <v>7.2620358599196536E-2</v>
      </c>
      <c r="BU117">
        <f t="shared" si="65"/>
        <v>4.5760934320886182E-4</v>
      </c>
      <c r="BV117">
        <f t="shared" si="80"/>
        <v>4.4642857142856984E-3</v>
      </c>
      <c r="BW117">
        <v>105</v>
      </c>
      <c r="BX117">
        <v>6.6666666666666666E-2</v>
      </c>
      <c r="BY117">
        <f t="shared" si="85"/>
        <v>0.77777777777777779</v>
      </c>
      <c r="BZ117" t="e">
        <f t="shared" si="67"/>
        <v>#N/A</v>
      </c>
      <c r="CB117" t="e">
        <f t="shared" si="86"/>
        <v>#N/A</v>
      </c>
      <c r="CC117">
        <f t="shared" si="69"/>
        <v>6.6666666666666666E-2</v>
      </c>
      <c r="CE117" t="e">
        <v>#N/A</v>
      </c>
      <c r="CF117">
        <v>6.6666666666666666E-2</v>
      </c>
      <c r="CJ117">
        <f t="shared" si="70"/>
        <v>0.46875</v>
      </c>
      <c r="CK117">
        <v>3.3218133369699997E-2</v>
      </c>
      <c r="CL117">
        <f t="shared" si="71"/>
        <v>5.3289215000001944E-6</v>
      </c>
      <c r="CM117">
        <f t="shared" si="81"/>
        <v>4.4642857142856984E-3</v>
      </c>
    </row>
    <row r="118" spans="2:91">
      <c r="B118">
        <v>106</v>
      </c>
      <c r="C118">
        <f>IF(ISNUMBER(K118),IF('Lab test'!N109&gt;0,'Lab test'!N109,NA()),NA())</f>
        <v>47.625</v>
      </c>
      <c r="D118">
        <f>IF(ISNUMBER(K118),IF('Lab test'!Q109&gt;0,'Lab test'!Q109,NA()),NA())</f>
        <v>905.79710144927549</v>
      </c>
      <c r="E118">
        <f>IF(ISNUMBER(K118),IF('Lab test'!P109&gt;0,'Lab test'!P109,NA()),NA())</f>
        <v>0.10632478544535134</v>
      </c>
      <c r="F118">
        <f>IF(ISNUMBER(K118),IF('Lab test'!AJ109&gt;0,'Lab test'!AJ109,NA()),NA())</f>
        <v>1.6666666666666666E-2</v>
      </c>
      <c r="G118">
        <f>IF('Lab test'!V109&gt;0,'Lab test'!V109,NA())</f>
        <v>108247.68949999999</v>
      </c>
      <c r="H118">
        <f>IF(MAX('Lab test'!W109,'Lab test'!X109)&gt;0,MAX('Lab test'!W109,'Lab test'!X109),NA())</f>
        <v>199.94796112</v>
      </c>
      <c r="I118">
        <f>IF('Lab test'!AU109&gt;0,'Lab test'!AU109,NA())</f>
        <v>5.7993904801096403E-2</v>
      </c>
      <c r="J118">
        <f>IF('Lab test'!AT109&gt;0,'Lab test'!AT109,NA())</f>
        <v>0.16032193507127626</v>
      </c>
      <c r="K118">
        <f t="shared" si="72"/>
        <v>1</v>
      </c>
      <c r="L118" t="str">
        <f>'Lab test'!AC109</f>
        <v>LTWb</v>
      </c>
      <c r="N118">
        <v>106</v>
      </c>
      <c r="O118">
        <v>23.876000000000001</v>
      </c>
      <c r="P118">
        <v>5.19301316096E-2</v>
      </c>
      <c r="Q118">
        <f t="shared" si="73"/>
        <v>459.77160580864376</v>
      </c>
      <c r="R118">
        <v>54.693678673699999</v>
      </c>
      <c r="S118">
        <f t="shared" si="74"/>
        <v>0.10683277049899199</v>
      </c>
      <c r="T118">
        <v>3.3206176259300002E-2</v>
      </c>
      <c r="U118">
        <f t="shared" si="46"/>
        <v>0.4732142857142857</v>
      </c>
      <c r="W118">
        <v>106</v>
      </c>
      <c r="X118">
        <v>190.5</v>
      </c>
      <c r="Y118">
        <f t="shared" si="82"/>
        <v>0.65030674846625769</v>
      </c>
      <c r="Z118" t="e">
        <f t="shared" si="48"/>
        <v>#N/A</v>
      </c>
      <c r="AB118" t="e">
        <f t="shared" si="83"/>
        <v>#N/A</v>
      </c>
      <c r="AC118">
        <f t="shared" si="50"/>
        <v>190.5</v>
      </c>
      <c r="AE118" t="e">
        <v>#N/A</v>
      </c>
      <c r="AF118">
        <v>190.5</v>
      </c>
      <c r="AJ118">
        <f t="shared" si="51"/>
        <v>0.4732142857142857</v>
      </c>
      <c r="AK118">
        <v>104.34301467100001</v>
      </c>
      <c r="AL118">
        <f t="shared" si="52"/>
        <v>0.14515764899999795</v>
      </c>
      <c r="AM118">
        <f t="shared" si="75"/>
        <v>4.4642857142856984E-3</v>
      </c>
      <c r="AO118">
        <v>106</v>
      </c>
      <c r="AP118">
        <v>645.9109274147994</v>
      </c>
      <c r="AQ118">
        <f t="shared" si="87"/>
        <v>0.65030674846625769</v>
      </c>
      <c r="AR118">
        <f t="shared" si="53"/>
        <v>0.65030674846625769</v>
      </c>
      <c r="AT118">
        <f t="shared" si="54"/>
        <v>0.65030674846625769</v>
      </c>
      <c r="AU118">
        <f t="shared" si="55"/>
        <v>645.9109274147994</v>
      </c>
      <c r="AW118" t="e">
        <v>#N/A</v>
      </c>
      <c r="AX118">
        <v>300</v>
      </c>
      <c r="BB118">
        <f t="shared" si="57"/>
        <v>0.4732142857142857</v>
      </c>
      <c r="BC118">
        <v>460.37471505368177</v>
      </c>
      <c r="BD118">
        <f t="shared" si="58"/>
        <v>0.1112790718176484</v>
      </c>
      <c r="BE118">
        <f t="shared" si="78"/>
        <v>4.4642857142856984E-3</v>
      </c>
      <c r="BF118">
        <v>106</v>
      </c>
      <c r="BG118">
        <v>0.26340655122956258</v>
      </c>
      <c r="BH118">
        <f t="shared" si="84"/>
        <v>0.72108843537414968</v>
      </c>
      <c r="BI118" t="e">
        <f t="shared" si="60"/>
        <v>#N/A</v>
      </c>
      <c r="BK118" t="e">
        <f t="shared" si="61"/>
        <v>#N/A</v>
      </c>
      <c r="BL118">
        <f t="shared" si="62"/>
        <v>0.26340655122956258</v>
      </c>
      <c r="BN118" t="e">
        <v>#N/A</v>
      </c>
      <c r="BO118">
        <v>3.5355339059327376E-2</v>
      </c>
      <c r="BS118">
        <f t="shared" si="64"/>
        <v>0.4732142857142857</v>
      </c>
      <c r="BT118">
        <v>7.3077967942405397E-2</v>
      </c>
      <c r="BU118">
        <f t="shared" si="65"/>
        <v>8.8395456605827594E-7</v>
      </c>
      <c r="BV118">
        <f t="shared" si="80"/>
        <v>4.4642857142856984E-3</v>
      </c>
      <c r="BW118">
        <v>106</v>
      </c>
      <c r="BX118">
        <v>6.6666666666666666E-2</v>
      </c>
      <c r="BY118">
        <f t="shared" si="85"/>
        <v>0.78518518518518521</v>
      </c>
      <c r="BZ118" t="e">
        <f t="shared" si="67"/>
        <v>#N/A</v>
      </c>
      <c r="CB118" t="e">
        <f t="shared" si="86"/>
        <v>#N/A</v>
      </c>
      <c r="CC118">
        <f t="shared" si="69"/>
        <v>6.6666666666666666E-2</v>
      </c>
      <c r="CE118" t="e">
        <v>#N/A</v>
      </c>
      <c r="CF118">
        <v>6.6666666666666666E-2</v>
      </c>
      <c r="CJ118">
        <f t="shared" si="70"/>
        <v>0.4732142857142857</v>
      </c>
      <c r="CK118">
        <v>3.3223462291199997E-2</v>
      </c>
      <c r="CL118">
        <f t="shared" si="71"/>
        <v>4.0579527300001195E-5</v>
      </c>
      <c r="CM118">
        <f t="shared" si="81"/>
        <v>4.4642857142856984E-3</v>
      </c>
    </row>
    <row r="119" spans="2:91">
      <c r="B119">
        <v>107</v>
      </c>
      <c r="C119">
        <f>IF(ISNUMBER(K119),IF('Lab test'!N110&gt;0,'Lab test'!N110,NA()),NA())</f>
        <v>72.263000000000005</v>
      </c>
      <c r="D119">
        <f>IF(ISNUMBER(K119),IF('Lab test'!Q110&gt;0,'Lab test'!Q110,NA()),NA())</f>
        <v>478.95622895622904</v>
      </c>
      <c r="E119">
        <f>IF(ISNUMBER(K119),IF('Lab test'!P110&gt;0,'Lab test'!P110,NA()),NA())</f>
        <v>0.1927307726345221</v>
      </c>
      <c r="F119">
        <f>IF(ISNUMBER(K119),IF('Lab test'!AJ110&gt;0,'Lab test'!AJ110,NA()),NA())</f>
        <v>1.0984182776801405E-2</v>
      </c>
      <c r="G119">
        <f>IF('Lab test'!V110&gt;0,'Lab test'!V110,NA())</f>
        <v>112384.54388</v>
      </c>
      <c r="H119">
        <f>IF(MAX('Lab test'!W110,'Lab test'!X110)&gt;0,MAX('Lab test'!W110,'Lab test'!X110),NA())</f>
        <v>199.94796112</v>
      </c>
      <c r="I119">
        <f>IF('Lab test'!AU110&gt;0,'Lab test'!AU110,NA())</f>
        <v>0.20206531913178805</v>
      </c>
      <c r="J119">
        <f>IF('Lab test'!AT110&gt;0,'Lab test'!AT110,NA())</f>
        <v>0.28449806900749747</v>
      </c>
      <c r="K119">
        <f t="shared" si="72"/>
        <v>1</v>
      </c>
      <c r="L119" t="str">
        <f>'Lab test'!AC110</f>
        <v>LTWb</v>
      </c>
      <c r="N119">
        <v>107</v>
      </c>
      <c r="O119">
        <v>23.876000000000001</v>
      </c>
      <c r="P119">
        <v>5.1831451907800002E-2</v>
      </c>
      <c r="Q119">
        <f t="shared" si="73"/>
        <v>460.64694545836085</v>
      </c>
      <c r="R119">
        <v>57.494493577</v>
      </c>
      <c r="S119">
        <f t="shared" si="74"/>
        <v>0.11219682956777974</v>
      </c>
      <c r="T119">
        <v>3.3223462291199997E-2</v>
      </c>
      <c r="U119">
        <f t="shared" si="46"/>
        <v>0.47767857142857145</v>
      </c>
      <c r="W119">
        <v>107</v>
      </c>
      <c r="X119">
        <v>190.5</v>
      </c>
      <c r="Y119">
        <f t="shared" si="82"/>
        <v>0.65644171779141103</v>
      </c>
      <c r="Z119" t="e">
        <f t="shared" si="48"/>
        <v>#N/A</v>
      </c>
      <c r="AB119" t="e">
        <f t="shared" si="83"/>
        <v>#N/A</v>
      </c>
      <c r="AC119">
        <f t="shared" si="50"/>
        <v>190.5</v>
      </c>
      <c r="AE119" t="e">
        <v>#N/A</v>
      </c>
      <c r="AF119">
        <v>190.5</v>
      </c>
      <c r="AJ119">
        <f t="shared" si="51"/>
        <v>0.47767857142857145</v>
      </c>
      <c r="AK119">
        <v>104.48817232</v>
      </c>
      <c r="AL119">
        <f t="shared" si="52"/>
        <v>0.55670645299998966</v>
      </c>
      <c r="AM119">
        <f t="shared" si="75"/>
        <v>4.4642857142857539E-3</v>
      </c>
      <c r="AO119">
        <v>107</v>
      </c>
      <c r="AP119">
        <v>651.51533436731233</v>
      </c>
      <c r="AQ119">
        <f t="shared" si="87"/>
        <v>0.65644171779141103</v>
      </c>
      <c r="AR119" t="e">
        <f t="shared" si="53"/>
        <v>#N/A</v>
      </c>
      <c r="AT119" t="e">
        <f t="shared" si="54"/>
        <v>#N/A</v>
      </c>
      <c r="AU119">
        <f t="shared" si="55"/>
        <v>651.51533436731233</v>
      </c>
      <c r="AW119" t="e">
        <v>#N/A</v>
      </c>
      <c r="AX119">
        <v>300</v>
      </c>
      <c r="BB119">
        <f t="shared" si="57"/>
        <v>0.47767857142857145</v>
      </c>
      <c r="BC119">
        <v>460.48599412549942</v>
      </c>
      <c r="BD119">
        <f t="shared" si="58"/>
        <v>2.5355965616199683E-2</v>
      </c>
      <c r="BE119">
        <f t="shared" si="78"/>
        <v>4.4642857142857539E-3</v>
      </c>
      <c r="BF119">
        <v>107</v>
      </c>
      <c r="BG119">
        <v>0.26340655122956258</v>
      </c>
      <c r="BH119">
        <f t="shared" si="84"/>
        <v>0.72789115646258506</v>
      </c>
      <c r="BI119">
        <f t="shared" si="60"/>
        <v>0.72789115646258506</v>
      </c>
      <c r="BK119">
        <f t="shared" si="61"/>
        <v>0.72789115646258506</v>
      </c>
      <c r="BL119">
        <f t="shared" si="62"/>
        <v>0.26340655122956258</v>
      </c>
      <c r="BN119" t="e">
        <v>#N/A</v>
      </c>
      <c r="BO119">
        <v>3.917758657899683E-2</v>
      </c>
      <c r="BS119">
        <f t="shared" si="64"/>
        <v>0.47767857142857145</v>
      </c>
      <c r="BT119">
        <v>7.3078851896971456E-2</v>
      </c>
      <c r="BU119">
        <f t="shared" si="65"/>
        <v>1.2271984452627144E-3</v>
      </c>
      <c r="BV119">
        <f t="shared" si="80"/>
        <v>4.4642857142857539E-3</v>
      </c>
      <c r="BW119">
        <v>107</v>
      </c>
      <c r="BX119">
        <v>6.6666666666666666E-2</v>
      </c>
      <c r="BY119">
        <f t="shared" si="85"/>
        <v>0.79259259259259263</v>
      </c>
      <c r="BZ119" t="e">
        <f t="shared" si="67"/>
        <v>#N/A</v>
      </c>
      <c r="CB119" t="e">
        <f t="shared" si="86"/>
        <v>#N/A</v>
      </c>
      <c r="CC119">
        <f t="shared" si="69"/>
        <v>6.6666666666666666E-2</v>
      </c>
      <c r="CE119" t="e">
        <v>#N/A</v>
      </c>
      <c r="CF119">
        <v>6.6666666666666666E-2</v>
      </c>
      <c r="CJ119">
        <f t="shared" si="70"/>
        <v>0.47767857142857145</v>
      </c>
      <c r="CK119">
        <v>3.3264041818499998E-2</v>
      </c>
      <c r="CL119">
        <f t="shared" si="71"/>
        <v>6.9189832999985712E-6</v>
      </c>
      <c r="CM119">
        <f t="shared" si="81"/>
        <v>4.4642857142857539E-3</v>
      </c>
    </row>
    <row r="120" spans="2:91">
      <c r="B120">
        <v>108</v>
      </c>
      <c r="C120">
        <f>IF(ISNUMBER(K120),IF('Lab test'!N111&gt;0,'Lab test'!N111,NA()),NA())</f>
        <v>72.263000000000005</v>
      </c>
      <c r="D120">
        <f>IF(ISNUMBER(K120),IF('Lab test'!Q111&gt;0,'Lab test'!Q111,NA()),NA())</f>
        <v>486.32478632478643</v>
      </c>
      <c r="E120">
        <f>IF(ISNUMBER(K120),IF('Lab test'!P111&gt;0,'Lab test'!P111,NA()),NA())</f>
        <v>0.19126511811189179</v>
      </c>
      <c r="F120">
        <f>IF(ISNUMBER(K120),IF('Lab test'!AJ111&gt;0,'Lab test'!AJ111,NA()),NA())</f>
        <v>1.0984182776801405E-2</v>
      </c>
      <c r="G120">
        <f>IF('Lab test'!V111&gt;0,'Lab test'!V111,NA())</f>
        <v>112384.54388</v>
      </c>
      <c r="H120">
        <f>IF(MAX('Lab test'!W111,'Lab test'!X111)&gt;0,MAX('Lab test'!W111,'Lab test'!X111),NA())</f>
        <v>199.94796112</v>
      </c>
      <c r="I120">
        <f>IF('Lab test'!AU111&gt;0,'Lab test'!AU111,NA())</f>
        <v>0.28203180703949543</v>
      </c>
      <c r="J120">
        <f>IF('Lab test'!AT111&gt;0,'Lab test'!AT111,NA())</f>
        <v>0.40319599621383334</v>
      </c>
      <c r="K120">
        <f t="shared" si="72"/>
        <v>1</v>
      </c>
      <c r="L120" t="str">
        <f>'Lab test'!AC111</f>
        <v>LTWb</v>
      </c>
      <c r="N120">
        <v>108</v>
      </c>
      <c r="O120">
        <v>23.886325515599999</v>
      </c>
      <c r="P120">
        <v>8.74082966327E-2</v>
      </c>
      <c r="Q120">
        <f t="shared" si="73"/>
        <v>273.27297791848252</v>
      </c>
      <c r="R120">
        <v>71.108606925499998</v>
      </c>
      <c r="S120">
        <f t="shared" si="74"/>
        <v>0.18008373080607457</v>
      </c>
      <c r="T120">
        <v>4.2619448794899997E-2</v>
      </c>
      <c r="U120">
        <f t="shared" si="46"/>
        <v>0.48214285714285715</v>
      </c>
      <c r="W120">
        <v>108</v>
      </c>
      <c r="X120">
        <v>190.5</v>
      </c>
      <c r="Y120">
        <f t="shared" si="82"/>
        <v>0.66257668711656437</v>
      </c>
      <c r="Z120" t="e">
        <f t="shared" si="48"/>
        <v>#N/A</v>
      </c>
      <c r="AB120" t="e">
        <f t="shared" si="83"/>
        <v>#N/A</v>
      </c>
      <c r="AC120">
        <f t="shared" si="50"/>
        <v>190.5</v>
      </c>
      <c r="AE120" t="e">
        <v>#N/A</v>
      </c>
      <c r="AF120">
        <v>190.5</v>
      </c>
      <c r="AJ120">
        <f t="shared" si="51"/>
        <v>0.48214285714285715</v>
      </c>
      <c r="AK120">
        <v>105.04487877299999</v>
      </c>
      <c r="AL120">
        <f t="shared" si="52"/>
        <v>0.42716885800000171</v>
      </c>
      <c r="AM120">
        <f t="shared" si="75"/>
        <v>4.4642857142856984E-3</v>
      </c>
      <c r="AO120">
        <v>108</v>
      </c>
      <c r="AP120">
        <v>651.51533436731233</v>
      </c>
      <c r="AQ120">
        <f t="shared" si="87"/>
        <v>0.66257668711656437</v>
      </c>
      <c r="AR120" t="e">
        <f t="shared" si="53"/>
        <v>#N/A</v>
      </c>
      <c r="AT120" t="e">
        <f t="shared" si="54"/>
        <v>#N/A</v>
      </c>
      <c r="AU120">
        <f t="shared" si="55"/>
        <v>651.51533436731233</v>
      </c>
      <c r="AW120" t="e">
        <v>#N/A</v>
      </c>
      <c r="AX120">
        <v>300</v>
      </c>
      <c r="BB120">
        <f t="shared" si="57"/>
        <v>0.48214285714285715</v>
      </c>
      <c r="BC120">
        <v>460.51135009111562</v>
      </c>
      <c r="BD120">
        <f t="shared" si="58"/>
        <v>9.0484194447583377E-2</v>
      </c>
      <c r="BE120">
        <f t="shared" si="78"/>
        <v>4.4642857142856984E-3</v>
      </c>
      <c r="BF120">
        <v>108</v>
      </c>
      <c r="BG120">
        <v>0.27048027531119317</v>
      </c>
      <c r="BH120">
        <f t="shared" si="84"/>
        <v>0.73469387755102045</v>
      </c>
      <c r="BI120" t="e">
        <f t="shared" si="60"/>
        <v>#N/A</v>
      </c>
      <c r="BK120" t="e">
        <f t="shared" si="61"/>
        <v>#N/A</v>
      </c>
      <c r="BL120">
        <f t="shared" si="62"/>
        <v>0.27048027531119317</v>
      </c>
      <c r="BN120" t="e">
        <v>#N/A</v>
      </c>
      <c r="BO120">
        <v>4.6611282493985967E-2</v>
      </c>
      <c r="BS120">
        <f t="shared" si="64"/>
        <v>0.48214285714285715</v>
      </c>
      <c r="BT120">
        <v>7.430605034223417E-2</v>
      </c>
      <c r="BU120">
        <f t="shared" si="65"/>
        <v>5.4582276878087366E-5</v>
      </c>
      <c r="BV120">
        <f t="shared" si="80"/>
        <v>4.4642857142856984E-3</v>
      </c>
      <c r="BW120">
        <v>108</v>
      </c>
      <c r="BX120">
        <v>6.6666666666666666E-2</v>
      </c>
      <c r="BY120">
        <f t="shared" si="85"/>
        <v>0.8</v>
      </c>
      <c r="BZ120" t="e">
        <f t="shared" si="67"/>
        <v>#N/A</v>
      </c>
      <c r="CB120" t="e">
        <f t="shared" si="86"/>
        <v>#N/A</v>
      </c>
      <c r="CC120">
        <f t="shared" si="69"/>
        <v>6.6666666666666666E-2</v>
      </c>
      <c r="CE120" t="e">
        <v>#N/A</v>
      </c>
      <c r="CF120">
        <v>6.6666666666666666E-2</v>
      </c>
      <c r="CJ120">
        <f t="shared" si="70"/>
        <v>0.48214285714285715</v>
      </c>
      <c r="CK120">
        <v>3.3270960801799997E-2</v>
      </c>
      <c r="CL120">
        <f t="shared" si="71"/>
        <v>1.3048165700003944E-5</v>
      </c>
      <c r="CM120">
        <f t="shared" si="81"/>
        <v>4.4642857142856984E-3</v>
      </c>
    </row>
    <row r="121" spans="2:91">
      <c r="B121">
        <v>109</v>
      </c>
      <c r="C121">
        <f>IF(ISNUMBER(K121),IF('Lab test'!N112&gt;0,'Lab test'!N112,NA()),NA())</f>
        <v>72.263000000000005</v>
      </c>
      <c r="D121">
        <f>IF(ISNUMBER(K121),IF('Lab test'!Q112&gt;0,'Lab test'!Q112,NA()),NA())</f>
        <v>486.32478632478643</v>
      </c>
      <c r="E121">
        <f>IF(ISNUMBER(K121),IF('Lab test'!P112&gt;0,'Lab test'!P112,NA()),NA())</f>
        <v>0.19126511811189179</v>
      </c>
      <c r="F121">
        <f>IF(ISNUMBER(K121),IF('Lab test'!AJ112&gt;0,'Lab test'!AJ112,NA()),NA())</f>
        <v>1.0984182776801405E-2</v>
      </c>
      <c r="G121">
        <f>IF('Lab test'!V112&gt;0,'Lab test'!V112,NA())</f>
        <v>112384.54388</v>
      </c>
      <c r="H121">
        <f>IF(MAX('Lab test'!W112,'Lab test'!X112)&gt;0,MAX('Lab test'!W112,'Lab test'!X112),NA())</f>
        <v>199.94796112</v>
      </c>
      <c r="I121">
        <f>IF('Lab test'!AU112&gt;0,'Lab test'!AU112,NA())</f>
        <v>0.26883733653472369</v>
      </c>
      <c r="J121">
        <f>IF('Lab test'!AT112&gt;0,'Lab test'!AT112,NA())</f>
        <v>0.38433302563073002</v>
      </c>
      <c r="K121">
        <f t="shared" si="72"/>
        <v>1</v>
      </c>
      <c r="L121" t="str">
        <f>'Lab test'!AC112</f>
        <v>LTWb</v>
      </c>
      <c r="N121">
        <v>109</v>
      </c>
      <c r="O121">
        <v>23.876000000000001</v>
      </c>
      <c r="P121">
        <v>6.7538079588799996E-2</v>
      </c>
      <c r="Q121">
        <f t="shared" si="73"/>
        <v>353.51908353579267</v>
      </c>
      <c r="R121">
        <v>80.423647792500006</v>
      </c>
      <c r="S121">
        <f t="shared" si="74"/>
        <v>0.17914956832502379</v>
      </c>
      <c r="T121">
        <v>1.8776412173399998E-2</v>
      </c>
      <c r="U121">
        <f t="shared" si="46"/>
        <v>0.48660714285714285</v>
      </c>
      <c r="W121">
        <v>109</v>
      </c>
      <c r="X121">
        <v>190.5</v>
      </c>
      <c r="Y121">
        <f t="shared" si="82"/>
        <v>0.66871165644171782</v>
      </c>
      <c r="Z121" t="e">
        <f t="shared" si="48"/>
        <v>#N/A</v>
      </c>
      <c r="AB121" t="e">
        <f t="shared" si="83"/>
        <v>#N/A</v>
      </c>
      <c r="AC121">
        <f t="shared" si="50"/>
        <v>190.5</v>
      </c>
      <c r="AE121" t="e">
        <v>#N/A</v>
      </c>
      <c r="AF121">
        <v>190.5</v>
      </c>
      <c r="AJ121">
        <f t="shared" si="51"/>
        <v>0.48660714285714285</v>
      </c>
      <c r="AK121">
        <v>105.472047631</v>
      </c>
      <c r="AL121">
        <f t="shared" si="52"/>
        <v>1.5402059000010127E-2</v>
      </c>
      <c r="AM121">
        <f t="shared" si="75"/>
        <v>4.4642857142856984E-3</v>
      </c>
      <c r="AO121">
        <v>109</v>
      </c>
      <c r="AP121">
        <v>651.51533436731233</v>
      </c>
      <c r="AQ121">
        <f t="shared" si="87"/>
        <v>0.66871165644171782</v>
      </c>
      <c r="AR121" t="e">
        <f t="shared" si="53"/>
        <v>#N/A</v>
      </c>
      <c r="AT121" t="e">
        <f t="shared" si="54"/>
        <v>#N/A</v>
      </c>
      <c r="AU121">
        <f t="shared" si="55"/>
        <v>651.51533436731233</v>
      </c>
      <c r="AW121" t="e">
        <v>#N/A</v>
      </c>
      <c r="AX121">
        <v>300</v>
      </c>
      <c r="BB121">
        <f t="shared" si="57"/>
        <v>0.48660714285714285</v>
      </c>
      <c r="BC121">
        <v>460.6018342855632</v>
      </c>
      <c r="BD121">
        <f t="shared" si="58"/>
        <v>4.5111172797646759E-2</v>
      </c>
      <c r="BE121">
        <f t="shared" si="78"/>
        <v>4.4642857142856984E-3</v>
      </c>
      <c r="BF121">
        <v>109</v>
      </c>
      <c r="BG121">
        <v>0.27048027531119317</v>
      </c>
      <c r="BH121">
        <f t="shared" si="84"/>
        <v>0.74149659863945583</v>
      </c>
      <c r="BI121" t="e">
        <f t="shared" si="60"/>
        <v>#N/A</v>
      </c>
      <c r="BK121" t="e">
        <f t="shared" si="61"/>
        <v>#N/A</v>
      </c>
      <c r="BL121">
        <f t="shared" si="62"/>
        <v>0.27048027531119317</v>
      </c>
      <c r="BN121" t="e">
        <v>#N/A</v>
      </c>
      <c r="BO121">
        <v>4.6611282493985967E-2</v>
      </c>
      <c r="BS121">
        <f t="shared" si="64"/>
        <v>0.48660714285714285</v>
      </c>
      <c r="BT121">
        <v>7.4360632619112257E-2</v>
      </c>
      <c r="BU121">
        <f t="shared" si="65"/>
        <v>4.5485824586488643E-4</v>
      </c>
      <c r="BV121">
        <f t="shared" si="80"/>
        <v>4.4642857142856984E-3</v>
      </c>
      <c r="BW121">
        <v>109</v>
      </c>
      <c r="BX121">
        <v>6.6666666666666666E-2</v>
      </c>
      <c r="BY121">
        <f t="shared" si="85"/>
        <v>0.80740740740740746</v>
      </c>
      <c r="BZ121" t="e">
        <f t="shared" si="67"/>
        <v>#N/A</v>
      </c>
      <c r="CB121" t="e">
        <f t="shared" si="86"/>
        <v>#N/A</v>
      </c>
      <c r="CC121">
        <f t="shared" si="69"/>
        <v>6.6666666666666666E-2</v>
      </c>
      <c r="CE121" t="e">
        <v>#N/A</v>
      </c>
      <c r="CF121">
        <v>6.6666666666666666E-2</v>
      </c>
      <c r="CJ121">
        <f t="shared" si="70"/>
        <v>0.48660714285714285</v>
      </c>
      <c r="CK121">
        <v>3.3284008967500001E-2</v>
      </c>
      <c r="CL121">
        <f t="shared" si="71"/>
        <v>2.4458173999986066E-6</v>
      </c>
      <c r="CM121">
        <f t="shared" si="81"/>
        <v>4.4642857142856984E-3</v>
      </c>
    </row>
    <row r="122" spans="2:91">
      <c r="B122">
        <v>110</v>
      </c>
      <c r="C122">
        <f>IF(ISNUMBER(K122),IF('Lab test'!N113&gt;0,'Lab test'!N113,NA()),NA())</f>
        <v>47.625</v>
      </c>
      <c r="D122">
        <f>IF(ISNUMBER(K122),IF('Lab test'!Q113&gt;0,'Lab test'!Q113,NA()),NA())</f>
        <v>313.54515050167225</v>
      </c>
      <c r="E122">
        <f>IF(ISNUMBER(K122),IF('Lab test'!P113&gt;0,'Lab test'!P113,NA()),NA())</f>
        <v>0.36143477050960843</v>
      </c>
      <c r="F122">
        <f>IF(ISNUMBER(K122),IF('Lab test'!AJ113&gt;0,'Lab test'!AJ113,NA()),NA())</f>
        <v>1.6666666666666666E-2</v>
      </c>
      <c r="G122">
        <f>IF('Lab test'!V113&gt;0,'Lab test'!V113,NA())</f>
        <v>112384.54388</v>
      </c>
      <c r="H122">
        <f>IF(MAX('Lab test'!W113,'Lab test'!X113)&gt;0,MAX('Lab test'!W113,'Lab test'!X113),NA())</f>
        <v>199.94796112</v>
      </c>
      <c r="I122">
        <f>IF('Lab test'!AU113&gt;0,'Lab test'!AU113,NA())</f>
        <v>0.26782738586847804</v>
      </c>
      <c r="J122">
        <f>IF('Lab test'!AT113&gt;0,'Lab test'!AT113,NA())</f>
        <v>0.24685776158599904</v>
      </c>
      <c r="K122">
        <f t="shared" si="72"/>
        <v>1</v>
      </c>
      <c r="L122" t="str">
        <f>'Lab test'!AC113</f>
        <v>LTWb</v>
      </c>
      <c r="N122">
        <v>110</v>
      </c>
      <c r="O122">
        <v>23.891485290799999</v>
      </c>
      <c r="P122">
        <v>7.6894514806900002E-2</v>
      </c>
      <c r="Q122">
        <f t="shared" si="73"/>
        <v>310.70467575999498</v>
      </c>
      <c r="R122">
        <v>88.251182345700002</v>
      </c>
      <c r="S122">
        <f t="shared" si="74"/>
        <v>0.20955763485072892</v>
      </c>
      <c r="T122">
        <v>6.6497416854299995E-2</v>
      </c>
      <c r="U122">
        <f t="shared" si="46"/>
        <v>0.49107142857142855</v>
      </c>
      <c r="W122">
        <v>110</v>
      </c>
      <c r="X122">
        <v>190.5</v>
      </c>
      <c r="Y122">
        <f t="shared" si="82"/>
        <v>0.67484662576687116</v>
      </c>
      <c r="Z122" t="e">
        <f t="shared" si="48"/>
        <v>#N/A</v>
      </c>
      <c r="AB122" t="e">
        <f t="shared" si="83"/>
        <v>#N/A</v>
      </c>
      <c r="AC122">
        <f t="shared" si="50"/>
        <v>190.5</v>
      </c>
      <c r="AE122" t="e">
        <v>#N/A</v>
      </c>
      <c r="AF122">
        <v>190.5</v>
      </c>
      <c r="AJ122">
        <f t="shared" si="51"/>
        <v>0.49107142857142855</v>
      </c>
      <c r="AK122">
        <v>105.48744969000001</v>
      </c>
      <c r="AL122">
        <f t="shared" si="52"/>
        <v>0.63485932199999695</v>
      </c>
      <c r="AM122">
        <f t="shared" si="75"/>
        <v>4.4642857142856984E-3</v>
      </c>
      <c r="AO122">
        <v>110</v>
      </c>
      <c r="AP122">
        <v>651.51533436731233</v>
      </c>
      <c r="AQ122">
        <f t="shared" si="87"/>
        <v>0.67484662576687116</v>
      </c>
      <c r="AR122">
        <f t="shared" si="53"/>
        <v>0.67484662576687116</v>
      </c>
      <c r="AT122">
        <f t="shared" si="54"/>
        <v>0.67484662576687116</v>
      </c>
      <c r="AU122">
        <f t="shared" si="55"/>
        <v>651.51533436731233</v>
      </c>
      <c r="AW122" t="e">
        <v>#N/A</v>
      </c>
      <c r="AX122">
        <v>300</v>
      </c>
      <c r="BB122">
        <f t="shared" si="57"/>
        <v>0.49107142857142855</v>
      </c>
      <c r="BC122">
        <v>460.64694545836085</v>
      </c>
      <c r="BD122">
        <f t="shared" si="58"/>
        <v>1.1369444419572687</v>
      </c>
      <c r="BE122">
        <f t="shared" si="78"/>
        <v>4.4642857142856984E-3</v>
      </c>
      <c r="BF122">
        <v>110</v>
      </c>
      <c r="BG122">
        <v>0.27048027531119317</v>
      </c>
      <c r="BH122">
        <f t="shared" si="84"/>
        <v>0.74829931972789121</v>
      </c>
      <c r="BI122">
        <f t="shared" si="60"/>
        <v>0.74829931972789121</v>
      </c>
      <c r="BK122">
        <f t="shared" si="61"/>
        <v>0.74829931972789121</v>
      </c>
      <c r="BL122">
        <f t="shared" si="62"/>
        <v>0.27048027531119317</v>
      </c>
      <c r="BN122" t="e">
        <v>#N/A</v>
      </c>
      <c r="BO122">
        <v>0.05</v>
      </c>
      <c r="BS122">
        <f t="shared" si="64"/>
        <v>0.49107142857142855</v>
      </c>
      <c r="BT122">
        <v>7.4815490864977144E-2</v>
      </c>
      <c r="BU122">
        <f t="shared" si="65"/>
        <v>1.9670446087115406E-3</v>
      </c>
      <c r="BV122">
        <f t="shared" si="80"/>
        <v>4.4642857142856984E-3</v>
      </c>
      <c r="BW122">
        <v>110</v>
      </c>
      <c r="BX122">
        <v>6.6666666666666666E-2</v>
      </c>
      <c r="BY122">
        <f t="shared" si="85"/>
        <v>0.81481481481481477</v>
      </c>
      <c r="BZ122" t="e">
        <f t="shared" si="67"/>
        <v>#N/A</v>
      </c>
      <c r="CB122" t="e">
        <f t="shared" si="86"/>
        <v>#N/A</v>
      </c>
      <c r="CC122">
        <f t="shared" si="69"/>
        <v>6.6666666666666666E-2</v>
      </c>
      <c r="CE122" t="e">
        <v>#N/A</v>
      </c>
      <c r="CF122">
        <v>6.6666666666666666E-2</v>
      </c>
      <c r="CJ122">
        <f t="shared" si="70"/>
        <v>0.49107142857142855</v>
      </c>
      <c r="CK122">
        <v>3.3286454784899999E-2</v>
      </c>
      <c r="CL122">
        <f t="shared" si="71"/>
        <v>1.2798320000000085E-5</v>
      </c>
      <c r="CM122">
        <f t="shared" si="81"/>
        <v>4.4642857142856984E-3</v>
      </c>
    </row>
    <row r="123" spans="2:91">
      <c r="B123">
        <v>111</v>
      </c>
      <c r="C123">
        <f>IF(ISNUMBER(K123),IF('Lab test'!N114&gt;0,'Lab test'!N114,NA()),NA())</f>
        <v>23.939499999999999</v>
      </c>
      <c r="D123">
        <f>IF(ISNUMBER(K123),IF('Lab test'!Q114&gt;0,'Lab test'!Q114,NA()),NA())</f>
        <v>160.56218057921635</v>
      </c>
      <c r="E123">
        <f>IF(ISNUMBER(K123),IF('Lab test'!P114&gt;0,'Lab test'!P114,NA()),NA())</f>
        <v>1.0047968348599594</v>
      </c>
      <c r="F123">
        <f>IF(ISNUMBER(K123),IF('Lab test'!AJ114&gt;0,'Lab test'!AJ114,NA()),NA())</f>
        <v>3.3156498673740049E-2</v>
      </c>
      <c r="G123">
        <f>IF('Lab test'!V114&gt;0,'Lab test'!V114,NA())</f>
        <v>112384.54388</v>
      </c>
      <c r="H123">
        <f>IF(MAX('Lab test'!W114,'Lab test'!X114)&gt;0,MAX('Lab test'!W114,'Lab test'!X114),NA())</f>
        <v>199.94796112</v>
      </c>
      <c r="I123">
        <f>IF('Lab test'!AU114&gt;0,'Lab test'!AU114,NA())</f>
        <v>0.79683095538849746</v>
      </c>
      <c r="J123">
        <f>IF('Lab test'!AT114&gt;0,'Lab test'!AT114,NA())</f>
        <v>0.37609812741173981</v>
      </c>
      <c r="K123">
        <f t="shared" si="72"/>
        <v>1</v>
      </c>
      <c r="L123" t="str">
        <f>'Lab test'!AC114</f>
        <v>LTWb</v>
      </c>
      <c r="N123">
        <v>111</v>
      </c>
      <c r="O123">
        <v>23.876000000000001</v>
      </c>
      <c r="P123">
        <v>5.0368909137799997E-2</v>
      </c>
      <c r="Q123">
        <f t="shared" si="73"/>
        <v>474.02257481256328</v>
      </c>
      <c r="R123">
        <v>99.958700081100005</v>
      </c>
      <c r="S123">
        <f t="shared" si="74"/>
        <v>0.19229124751056578</v>
      </c>
      <c r="T123">
        <v>3.3214692108600001E-2</v>
      </c>
      <c r="U123">
        <f t="shared" si="46"/>
        <v>0.4955357142857143</v>
      </c>
      <c r="W123">
        <v>111</v>
      </c>
      <c r="X123">
        <v>190.5</v>
      </c>
      <c r="Y123">
        <f t="shared" si="82"/>
        <v>0.68098159509202449</v>
      </c>
      <c r="Z123" t="e">
        <f t="shared" si="48"/>
        <v>#N/A</v>
      </c>
      <c r="AB123" t="e">
        <f t="shared" si="83"/>
        <v>#N/A</v>
      </c>
      <c r="AC123">
        <f t="shared" si="50"/>
        <v>190.5</v>
      </c>
      <c r="AE123" t="e">
        <v>#N/A</v>
      </c>
      <c r="AF123">
        <v>190.5</v>
      </c>
      <c r="AJ123">
        <f t="shared" si="51"/>
        <v>0.4955357142857143</v>
      </c>
      <c r="AK123">
        <v>106.122309012</v>
      </c>
      <c r="AL123">
        <f t="shared" si="52"/>
        <v>1.1284501929999919</v>
      </c>
      <c r="AM123">
        <f t="shared" si="75"/>
        <v>4.4642857142857539E-3</v>
      </c>
      <c r="AO123">
        <v>111</v>
      </c>
      <c r="AP123">
        <v>657.14395042113222</v>
      </c>
      <c r="AQ123">
        <f t="shared" si="87"/>
        <v>0.68098159509202449</v>
      </c>
      <c r="AR123">
        <f t="shared" si="53"/>
        <v>0.68098159509202449</v>
      </c>
      <c r="AT123">
        <f t="shared" si="54"/>
        <v>0.68098159509202449</v>
      </c>
      <c r="AU123">
        <f t="shared" si="55"/>
        <v>657.14395042113222</v>
      </c>
      <c r="AW123" t="e">
        <v>#N/A</v>
      </c>
      <c r="AX123">
        <v>300.00000000000006</v>
      </c>
      <c r="BB123">
        <f t="shared" si="57"/>
        <v>0.4955357142857143</v>
      </c>
      <c r="BC123">
        <v>461.78388990031812</v>
      </c>
      <c r="BD123">
        <f t="shared" si="58"/>
        <v>5.0876437193409174</v>
      </c>
      <c r="BE123">
        <f t="shared" si="78"/>
        <v>4.4642857142857539E-3</v>
      </c>
      <c r="BF123">
        <v>111</v>
      </c>
      <c r="BG123">
        <v>0.28252203884786981</v>
      </c>
      <c r="BH123">
        <f t="shared" si="84"/>
        <v>0.75510204081632648</v>
      </c>
      <c r="BI123" t="e">
        <f t="shared" si="60"/>
        <v>#N/A</v>
      </c>
      <c r="BK123" t="e">
        <f t="shared" si="61"/>
        <v>#N/A</v>
      </c>
      <c r="BL123">
        <f t="shared" si="62"/>
        <v>0.28252203884786981</v>
      </c>
      <c r="BN123" t="e">
        <v>#N/A</v>
      </c>
      <c r="BO123">
        <v>5.2538728822700942E-2</v>
      </c>
      <c r="BS123">
        <f t="shared" si="64"/>
        <v>0.4955357142857143</v>
      </c>
      <c r="BT123">
        <v>7.6782535473688684E-2</v>
      </c>
      <c r="BU123">
        <f t="shared" si="65"/>
        <v>2.0935107243197359E-4</v>
      </c>
      <c r="BV123">
        <f t="shared" si="80"/>
        <v>4.4642857142857539E-3</v>
      </c>
      <c r="BW123">
        <v>111</v>
      </c>
      <c r="BX123">
        <v>6.6666666666666666E-2</v>
      </c>
      <c r="BY123">
        <f t="shared" si="85"/>
        <v>0.82222222222222219</v>
      </c>
      <c r="BZ123" t="e">
        <f t="shared" si="67"/>
        <v>#N/A</v>
      </c>
      <c r="CB123" t="e">
        <f t="shared" si="86"/>
        <v>#N/A</v>
      </c>
      <c r="CC123">
        <f t="shared" si="69"/>
        <v>6.6666666666666666E-2</v>
      </c>
      <c r="CE123" t="e">
        <v>#N/A</v>
      </c>
      <c r="CF123">
        <v>6.6666666666666666E-2</v>
      </c>
      <c r="CJ123">
        <f t="shared" si="70"/>
        <v>0.4955357142857143</v>
      </c>
      <c r="CK123">
        <v>3.3299253104899999E-2</v>
      </c>
      <c r="CL123">
        <f t="shared" si="71"/>
        <v>1.3634158500003268E-5</v>
      </c>
      <c r="CM123">
        <f t="shared" si="81"/>
        <v>4.4642857142857539E-3</v>
      </c>
    </row>
    <row r="124" spans="2:91">
      <c r="B124">
        <v>112</v>
      </c>
      <c r="C124">
        <f>IF(ISNUMBER(K124),IF('Lab test'!N115&gt;0,'Lab test'!N115,NA()),NA())</f>
        <v>72.009</v>
      </c>
      <c r="D124">
        <f>IF(ISNUMBER(K124),IF('Lab test'!Q115&gt;0,'Lab test'!Q115,NA()),NA())</f>
        <v>1468.9119170984457</v>
      </c>
      <c r="E124">
        <f>IF(ISNUMBER(K124),IF('Lab test'!P115&gt;0,'Lab test'!P115,NA()),NA())</f>
        <v>0.11044099373320267</v>
      </c>
      <c r="F124">
        <f>IF(ISNUMBER(K124),IF('Lab test'!AJ115&gt;0,'Lab test'!AJ115,NA()),NA())</f>
        <v>1.1022927689594356E-2</v>
      </c>
      <c r="G124">
        <f>IF('Lab test'!V115&gt;0,'Lab test'!V115,NA())</f>
        <v>108247.68949999999</v>
      </c>
      <c r="H124">
        <f>IF(MAX('Lab test'!W115,'Lab test'!X115)&gt;0,MAX('Lab test'!W115,'Lab test'!X115),NA())</f>
        <v>199.94796112</v>
      </c>
      <c r="I124">
        <f>IF('Lab test'!AU115&gt;0,'Lab test'!AU115,NA())</f>
        <v>5.01683415185235E-2</v>
      </c>
      <c r="J124">
        <f>IF('Lab test'!AT115&gt;0,'Lab test'!AT115,NA())</f>
        <v>0.22490813621020811</v>
      </c>
      <c r="K124">
        <f t="shared" si="72"/>
        <v>1</v>
      </c>
      <c r="L124" t="str">
        <f>'Lab test'!AC115</f>
        <v>LTWb</v>
      </c>
      <c r="N124">
        <v>112</v>
      </c>
      <c r="O124">
        <v>23.876000000000001</v>
      </c>
      <c r="P124">
        <v>0.15440890835000001</v>
      </c>
      <c r="Q124">
        <f t="shared" si="73"/>
        <v>154.62838417249907</v>
      </c>
      <c r="R124">
        <v>56.628502031499998</v>
      </c>
      <c r="S124">
        <f t="shared" si="74"/>
        <v>0.19073434160048305</v>
      </c>
      <c r="T124">
        <v>6.6589244104399994E-2</v>
      </c>
      <c r="U124">
        <f t="shared" si="46"/>
        <v>0.5</v>
      </c>
      <c r="W124">
        <v>112</v>
      </c>
      <c r="X124">
        <v>190.5</v>
      </c>
      <c r="Y124">
        <f t="shared" si="82"/>
        <v>0.68711656441717794</v>
      </c>
      <c r="Z124" t="e">
        <f t="shared" si="48"/>
        <v>#N/A</v>
      </c>
      <c r="AB124" t="e">
        <f t="shared" si="83"/>
        <v>#N/A</v>
      </c>
      <c r="AC124">
        <f t="shared" si="50"/>
        <v>190.5</v>
      </c>
      <c r="AE124" t="e">
        <v>#N/A</v>
      </c>
      <c r="AF124">
        <v>190.5</v>
      </c>
      <c r="AJ124">
        <f t="shared" si="51"/>
        <v>0.5</v>
      </c>
      <c r="AK124">
        <v>107.25075920499999</v>
      </c>
      <c r="AL124">
        <f t="shared" si="52"/>
        <v>1.5068711930000092</v>
      </c>
      <c r="AM124">
        <f t="shared" si="75"/>
        <v>4.4642857142856984E-3</v>
      </c>
      <c r="AO124">
        <v>112</v>
      </c>
      <c r="AP124">
        <v>662.79677557625882</v>
      </c>
      <c r="AQ124">
        <f t="shared" si="87"/>
        <v>0.68711656441717794</v>
      </c>
      <c r="AR124" t="e">
        <f t="shared" si="53"/>
        <v>#N/A</v>
      </c>
      <c r="AT124" t="e">
        <f t="shared" si="54"/>
        <v>#N/A</v>
      </c>
      <c r="AU124">
        <f t="shared" si="55"/>
        <v>662.79677557625882</v>
      </c>
      <c r="AW124" t="e">
        <v>#N/A</v>
      </c>
      <c r="AX124">
        <v>318.64406779661022</v>
      </c>
      <c r="BB124">
        <f t="shared" si="57"/>
        <v>0.5</v>
      </c>
      <c r="BC124">
        <v>466.87153361965903</v>
      </c>
      <c r="BD124">
        <f t="shared" si="58"/>
        <v>2.7862951888766361</v>
      </c>
      <c r="BE124">
        <f t="shared" si="78"/>
        <v>4.4642857142856984E-3</v>
      </c>
      <c r="BF124">
        <v>112</v>
      </c>
      <c r="BG124">
        <v>0.28252203884786981</v>
      </c>
      <c r="BH124">
        <f t="shared" si="84"/>
        <v>0.76190476190476186</v>
      </c>
      <c r="BI124">
        <f t="shared" si="60"/>
        <v>0.76190476190476186</v>
      </c>
      <c r="BK124">
        <f t="shared" si="61"/>
        <v>0.76190476190476186</v>
      </c>
      <c r="BL124">
        <f t="shared" si="62"/>
        <v>0.28252203884786981</v>
      </c>
      <c r="BN124" t="e">
        <v>#N/A</v>
      </c>
      <c r="BO124">
        <v>5.7284874493659224E-2</v>
      </c>
      <c r="BS124">
        <f t="shared" si="64"/>
        <v>0.5</v>
      </c>
      <c r="BT124">
        <v>7.6991886546120658E-2</v>
      </c>
      <c r="BU124">
        <f t="shared" si="65"/>
        <v>2.6661155820173477E-5</v>
      </c>
      <c r="BV124">
        <f t="shared" si="80"/>
        <v>4.4642857142856984E-3</v>
      </c>
      <c r="BW124">
        <v>112</v>
      </c>
      <c r="BX124">
        <v>6.6666666666666666E-2</v>
      </c>
      <c r="BY124">
        <f t="shared" si="85"/>
        <v>0.82962962962962961</v>
      </c>
      <c r="BZ124" t="e">
        <f t="shared" si="67"/>
        <v>#N/A</v>
      </c>
      <c r="CB124" t="e">
        <f t="shared" si="86"/>
        <v>#N/A</v>
      </c>
      <c r="CC124">
        <f t="shared" si="69"/>
        <v>6.6666666666666666E-2</v>
      </c>
      <c r="CE124" t="e">
        <v>#N/A</v>
      </c>
      <c r="CF124">
        <v>6.6666666666666666E-2</v>
      </c>
      <c r="CJ124">
        <f t="shared" si="70"/>
        <v>0.5</v>
      </c>
      <c r="CK124">
        <v>3.3312887263400003E-2</v>
      </c>
      <c r="CL124">
        <f t="shared" si="71"/>
        <v>2.0539541999986533E-6</v>
      </c>
      <c r="CM124">
        <f t="shared" si="81"/>
        <v>4.4642857142856984E-3</v>
      </c>
    </row>
    <row r="125" spans="2:91">
      <c r="B125">
        <v>113</v>
      </c>
      <c r="C125">
        <f>IF(ISNUMBER(K125),IF('Lab test'!N116&gt;0,'Lab test'!N116,NA()),NA())</f>
        <v>47.625</v>
      </c>
      <c r="D125">
        <f>IF(ISNUMBER(K125),IF('Lab test'!Q116&gt;0,'Lab test'!Q116,NA()),NA())</f>
        <v>905.79710144927549</v>
      </c>
      <c r="E125">
        <f>IF(ISNUMBER(K125),IF('Lab test'!P116&gt;0,'Lab test'!P116,NA()),NA())</f>
        <v>0.21264957089070269</v>
      </c>
      <c r="F125">
        <f>IF(ISNUMBER(K125),IF('Lab test'!AJ116&gt;0,'Lab test'!AJ116,NA()),NA())</f>
        <v>1.6666666666666666E-2</v>
      </c>
      <c r="G125">
        <f>IF('Lab test'!V116&gt;0,'Lab test'!V116,NA())</f>
        <v>108247.68949999999</v>
      </c>
      <c r="H125">
        <f>IF(MAX('Lab test'!W116,'Lab test'!X116)&gt;0,MAX('Lab test'!W116,'Lab test'!X116),NA())</f>
        <v>199.94796112</v>
      </c>
      <c r="I125">
        <f>IF('Lab test'!AU116&gt;0,'Lab test'!AU116,NA())</f>
        <v>7.2138759630632113E-2</v>
      </c>
      <c r="J125">
        <f>IF('Lab test'!AT116&gt;0,'Lab test'!AT116,NA())</f>
        <v>0.19942484606427047</v>
      </c>
      <c r="K125">
        <f t="shared" si="72"/>
        <v>1</v>
      </c>
      <c r="L125" t="str">
        <f>'Lab test'!AC116</f>
        <v>LTWb</v>
      </c>
      <c r="N125">
        <v>113</v>
      </c>
      <c r="O125">
        <v>23.876000000000001</v>
      </c>
      <c r="P125">
        <v>0.199316345211</v>
      </c>
      <c r="Q125">
        <f t="shared" si="73"/>
        <v>119.78947323524532</v>
      </c>
      <c r="R125">
        <v>77.094367838599993</v>
      </c>
      <c r="S125">
        <f t="shared" si="74"/>
        <v>0.29502020051805317</v>
      </c>
      <c r="T125">
        <v>6.6653562170299996E-2</v>
      </c>
      <c r="U125">
        <f t="shared" si="46"/>
        <v>0.5044642857142857</v>
      </c>
      <c r="W125">
        <v>113</v>
      </c>
      <c r="X125">
        <v>190.5</v>
      </c>
      <c r="Y125">
        <f t="shared" si="82"/>
        <v>0.69325153374233128</v>
      </c>
      <c r="Z125" t="e">
        <f t="shared" si="48"/>
        <v>#N/A</v>
      </c>
      <c r="AB125" t="e">
        <f t="shared" si="83"/>
        <v>#N/A</v>
      </c>
      <c r="AC125">
        <f t="shared" si="50"/>
        <v>190.5</v>
      </c>
      <c r="AE125" t="e">
        <v>#N/A</v>
      </c>
      <c r="AF125">
        <v>190.5</v>
      </c>
      <c r="AJ125">
        <f t="shared" si="51"/>
        <v>0.5044642857142857</v>
      </c>
      <c r="AK125">
        <v>108.757630398</v>
      </c>
      <c r="AL125">
        <f t="shared" si="52"/>
        <v>3.630207771000002</v>
      </c>
      <c r="AM125">
        <f t="shared" si="75"/>
        <v>4.4642857142856984E-3</v>
      </c>
      <c r="AO125">
        <v>113</v>
      </c>
      <c r="AP125">
        <v>662.79677557625882</v>
      </c>
      <c r="AQ125">
        <f t="shared" si="87"/>
        <v>0.69325153374233128</v>
      </c>
      <c r="AR125" t="e">
        <f t="shared" si="53"/>
        <v>#N/A</v>
      </c>
      <c r="AT125" t="e">
        <f t="shared" si="54"/>
        <v>#N/A</v>
      </c>
      <c r="AU125">
        <f t="shared" si="55"/>
        <v>662.79677557625882</v>
      </c>
      <c r="AW125" t="e">
        <v>#N/A</v>
      </c>
      <c r="AX125">
        <v>350</v>
      </c>
      <c r="BB125">
        <f t="shared" si="57"/>
        <v>0.5044642857142857</v>
      </c>
      <c r="BC125">
        <v>469.65782880853567</v>
      </c>
      <c r="BD125">
        <f t="shared" si="58"/>
        <v>4.3646714680823493</v>
      </c>
      <c r="BE125">
        <f t="shared" si="78"/>
        <v>4.4642857142856984E-3</v>
      </c>
      <c r="BF125">
        <v>113</v>
      </c>
      <c r="BG125">
        <v>0.28867513459481287</v>
      </c>
      <c r="BH125">
        <f t="shared" si="84"/>
        <v>0.76870748299319724</v>
      </c>
      <c r="BI125">
        <f t="shared" si="60"/>
        <v>0.76870748299319724</v>
      </c>
      <c r="BK125">
        <f t="shared" si="61"/>
        <v>0.76870748299319724</v>
      </c>
      <c r="BL125">
        <f t="shared" si="62"/>
        <v>0.28867513459481287</v>
      </c>
      <c r="BN125" t="e">
        <v>#N/A</v>
      </c>
      <c r="BO125">
        <v>5.7284874493659224E-2</v>
      </c>
      <c r="BS125">
        <f t="shared" si="64"/>
        <v>0.5044642857142857</v>
      </c>
      <c r="BT125">
        <v>7.7018547701940832E-2</v>
      </c>
      <c r="BU125">
        <f t="shared" si="65"/>
        <v>1.0208560041436443E-3</v>
      </c>
      <c r="BV125">
        <f t="shared" si="80"/>
        <v>4.4642857142856984E-3</v>
      </c>
      <c r="BW125">
        <v>113</v>
      </c>
      <c r="BX125">
        <v>6.6666666666666666E-2</v>
      </c>
      <c r="BY125">
        <f t="shared" si="85"/>
        <v>0.83703703703703702</v>
      </c>
      <c r="BZ125" t="e">
        <f t="shared" si="67"/>
        <v>#N/A</v>
      </c>
      <c r="CB125" t="e">
        <f t="shared" si="86"/>
        <v>#N/A</v>
      </c>
      <c r="CC125">
        <f t="shared" si="69"/>
        <v>6.6666666666666666E-2</v>
      </c>
      <c r="CE125" t="e">
        <v>#N/A</v>
      </c>
      <c r="CF125">
        <v>6.6666666666666666E-2</v>
      </c>
      <c r="CJ125">
        <f t="shared" si="70"/>
        <v>0.5044642857142857</v>
      </c>
      <c r="CK125">
        <v>3.3314941217600001E-2</v>
      </c>
      <c r="CL125">
        <f t="shared" si="71"/>
        <v>6.2314815000019674E-6</v>
      </c>
      <c r="CM125">
        <f t="shared" si="81"/>
        <v>4.4642857142856984E-3</v>
      </c>
    </row>
    <row r="126" spans="2:91">
      <c r="B126">
        <v>114</v>
      </c>
      <c r="C126">
        <f>IF(ISNUMBER(K126),IF('Lab test'!N117&gt;0,'Lab test'!N117,NA()),NA())</f>
        <v>72.009</v>
      </c>
      <c r="D126">
        <f>IF(ISNUMBER(K126),IF('Lab test'!Q117&gt;0,'Lab test'!Q117,NA()),NA())</f>
        <v>478.88513513513516</v>
      </c>
      <c r="E126">
        <f>IF(ISNUMBER(K126),IF('Lab test'!P117&gt;0,'Lab test'!P117,NA()),NA())</f>
        <v>0.48356238758233866</v>
      </c>
      <c r="F126">
        <f>IF(ISNUMBER(K126),IF('Lab test'!AJ117&gt;0,'Lab test'!AJ117,NA()),NA())</f>
        <v>1.1022927689594356E-2</v>
      </c>
      <c r="G126">
        <f>IF('Lab test'!V117&gt;0,'Lab test'!V117,NA())</f>
        <v>112384.54388</v>
      </c>
      <c r="H126">
        <f>IF(MAX('Lab test'!W117,'Lab test'!X117)&gt;0,MAX('Lab test'!W117,'Lab test'!X117),NA())</f>
        <v>199.94796112</v>
      </c>
      <c r="I126">
        <f>IF('Lab test'!AU117&gt;0,'Lab test'!AU117,NA())</f>
        <v>0.20019202117574061</v>
      </c>
      <c r="J126">
        <f>IF('Lab test'!AT117&gt;0,'Lab test'!AT117,NA())</f>
        <v>0.281818719324606</v>
      </c>
      <c r="K126">
        <f t="shared" si="72"/>
        <v>1</v>
      </c>
      <c r="L126" t="str">
        <f>'Lab test'!AC117</f>
        <v>LTWb</v>
      </c>
      <c r="N126">
        <v>114</v>
      </c>
      <c r="O126">
        <v>23.876000000000001</v>
      </c>
      <c r="P126">
        <v>0.18405562447099999</v>
      </c>
      <c r="Q126">
        <f t="shared" si="73"/>
        <v>129.72165381320326</v>
      </c>
      <c r="R126">
        <v>81.309611314099996</v>
      </c>
      <c r="S126">
        <f t="shared" si="74"/>
        <v>0.2990019883471135</v>
      </c>
      <c r="T126">
        <v>3.3173679365999999E-2</v>
      </c>
      <c r="U126">
        <f t="shared" si="46"/>
        <v>0.5089285714285714</v>
      </c>
      <c r="W126">
        <v>114</v>
      </c>
      <c r="X126">
        <v>190.5</v>
      </c>
      <c r="Y126">
        <f t="shared" si="82"/>
        <v>0.69938650306748462</v>
      </c>
      <c r="Z126" t="e">
        <f t="shared" si="48"/>
        <v>#N/A</v>
      </c>
      <c r="AB126" t="e">
        <f t="shared" si="83"/>
        <v>#N/A</v>
      </c>
      <c r="AC126">
        <f t="shared" si="50"/>
        <v>190.5</v>
      </c>
      <c r="AE126" t="e">
        <v>#N/A</v>
      </c>
      <c r="AF126">
        <v>190.5</v>
      </c>
      <c r="AJ126">
        <f t="shared" si="51"/>
        <v>0.5089285714285714</v>
      </c>
      <c r="AK126">
        <v>112.38783816900001</v>
      </c>
      <c r="AL126">
        <f t="shared" si="52"/>
        <v>0.36484395899999811</v>
      </c>
      <c r="AM126">
        <f t="shared" si="75"/>
        <v>4.4642857142856984E-3</v>
      </c>
      <c r="AO126">
        <v>114</v>
      </c>
      <c r="AP126">
        <v>662.79677557625882</v>
      </c>
      <c r="AQ126">
        <f t="shared" si="87"/>
        <v>0.69938650306748462</v>
      </c>
      <c r="AR126">
        <f t="shared" si="53"/>
        <v>0.69938650306748462</v>
      </c>
      <c r="AT126">
        <f t="shared" si="54"/>
        <v>0.69938650306748462</v>
      </c>
      <c r="AU126">
        <f t="shared" si="55"/>
        <v>662.79677557625882</v>
      </c>
      <c r="AW126" t="e">
        <v>#N/A</v>
      </c>
      <c r="AX126">
        <v>350</v>
      </c>
      <c r="BB126">
        <f t="shared" si="57"/>
        <v>0.5089285714285714</v>
      </c>
      <c r="BC126">
        <v>474.02250027661802</v>
      </c>
      <c r="BD126">
        <f t="shared" si="58"/>
        <v>7.4535945259412983E-5</v>
      </c>
      <c r="BE126">
        <f t="shared" si="78"/>
        <v>4.4642857142856984E-3</v>
      </c>
      <c r="BF126">
        <v>114</v>
      </c>
      <c r="BG126">
        <v>0.29544539897650313</v>
      </c>
      <c r="BH126">
        <f t="shared" si="84"/>
        <v>0.77551020408163263</v>
      </c>
      <c r="BI126">
        <f t="shared" si="60"/>
        <v>0.77551020408163263</v>
      </c>
      <c r="BK126">
        <f t="shared" si="61"/>
        <v>0.77551020408163263</v>
      </c>
      <c r="BL126">
        <f t="shared" si="62"/>
        <v>0.29544539897650313</v>
      </c>
      <c r="BN126" t="e">
        <v>#N/A</v>
      </c>
      <c r="BO126">
        <v>5.7738152491526175E-2</v>
      </c>
      <c r="BS126">
        <f t="shared" si="64"/>
        <v>0.5089285714285714</v>
      </c>
      <c r="BT126">
        <v>7.8039403706084476E-2</v>
      </c>
      <c r="BU126">
        <f t="shared" si="65"/>
        <v>1.01469769031165E-5</v>
      </c>
      <c r="BV126">
        <f t="shared" si="80"/>
        <v>4.4642857142856984E-3</v>
      </c>
      <c r="BW126">
        <v>114</v>
      </c>
      <c r="BX126">
        <v>6.6666666666666666E-2</v>
      </c>
      <c r="BY126">
        <f t="shared" si="85"/>
        <v>0.84444444444444444</v>
      </c>
      <c r="BZ126" t="e">
        <f t="shared" si="67"/>
        <v>#N/A</v>
      </c>
      <c r="CB126" t="e">
        <f t="shared" si="86"/>
        <v>#N/A</v>
      </c>
      <c r="CC126">
        <f t="shared" si="69"/>
        <v>6.6666666666666666E-2</v>
      </c>
      <c r="CE126" t="e">
        <v>#N/A</v>
      </c>
      <c r="CF126">
        <v>6.6666666666666666E-2</v>
      </c>
      <c r="CJ126">
        <f t="shared" si="70"/>
        <v>0.5089285714285714</v>
      </c>
      <c r="CK126">
        <v>3.3321172699100003E-2</v>
      </c>
      <c r="CL126">
        <f t="shared" si="71"/>
        <v>4.5996068999965001E-6</v>
      </c>
      <c r="CM126">
        <f t="shared" si="81"/>
        <v>4.4642857142856984E-3</v>
      </c>
    </row>
    <row r="127" spans="2:91">
      <c r="B127">
        <v>115</v>
      </c>
      <c r="C127">
        <f>IF(ISNUMBER(K127),IF('Lab test'!N118&gt;0,'Lab test'!N118,NA()),NA())</f>
        <v>47.625</v>
      </c>
      <c r="D127">
        <f>IF(ISNUMBER(K127),IF('Lab test'!Q118&gt;0,'Lab test'!Q118,NA()),NA())</f>
        <v>317.25888324873097</v>
      </c>
      <c r="E127">
        <f>IF(ISNUMBER(K127),IF('Lab test'!P118&gt;0,'Lab test'!P118,NA()),NA())</f>
        <v>0.89828280624756474</v>
      </c>
      <c r="F127">
        <f>IF(ISNUMBER(K127),IF('Lab test'!AJ118&gt;0,'Lab test'!AJ118,NA()),NA())</f>
        <v>1.6666666666666666E-2</v>
      </c>
      <c r="G127">
        <f>IF('Lab test'!V118&gt;0,'Lab test'!V118,NA())</f>
        <v>112384.54388</v>
      </c>
      <c r="H127">
        <f>IF(MAX('Lab test'!W118,'Lab test'!X118)&gt;0,MAX('Lab test'!W118,'Lab test'!X118),NA())</f>
        <v>199.94796112</v>
      </c>
      <c r="I127">
        <f>IF('Lab test'!AU118&gt;0,'Lab test'!AU118,NA())</f>
        <v>0.3032025024069207</v>
      </c>
      <c r="J127">
        <f>IF('Lab test'!AT118&gt;0,'Lab test'!AT118,NA())</f>
        <v>0.28277322742828476</v>
      </c>
      <c r="K127">
        <f t="shared" si="72"/>
        <v>1</v>
      </c>
      <c r="L127" t="str">
        <f>'Lab test'!AC118</f>
        <v>LTWb</v>
      </c>
      <c r="N127">
        <v>115</v>
      </c>
      <c r="O127">
        <v>23.916759500600001</v>
      </c>
      <c r="P127">
        <v>5.9315420892400002E-2</v>
      </c>
      <c r="Q127">
        <f t="shared" si="73"/>
        <v>403.21318032937404</v>
      </c>
      <c r="R127">
        <v>100.906696587</v>
      </c>
      <c r="S127">
        <f t="shared" si="74"/>
        <v>0.2101117269649084</v>
      </c>
      <c r="T127">
        <v>2.3787477978100002E-2</v>
      </c>
      <c r="U127">
        <f t="shared" si="46"/>
        <v>0.5133928571428571</v>
      </c>
      <c r="W127">
        <v>115</v>
      </c>
      <c r="X127">
        <v>190.5</v>
      </c>
      <c r="Y127">
        <f t="shared" si="82"/>
        <v>0.70552147239263807</v>
      </c>
      <c r="Z127" t="e">
        <f t="shared" si="48"/>
        <v>#N/A</v>
      </c>
      <c r="AB127" t="e">
        <f t="shared" si="83"/>
        <v>#N/A</v>
      </c>
      <c r="AC127">
        <f t="shared" si="50"/>
        <v>190.5</v>
      </c>
      <c r="AE127" t="e">
        <v>#N/A</v>
      </c>
      <c r="AF127">
        <v>190.5</v>
      </c>
      <c r="AJ127">
        <f t="shared" si="51"/>
        <v>0.5133928571428571</v>
      </c>
      <c r="AK127">
        <v>112.752682128</v>
      </c>
      <c r="AL127">
        <f t="shared" si="52"/>
        <v>0.4586379069999964</v>
      </c>
      <c r="AM127">
        <f t="shared" si="75"/>
        <v>4.4642857142856984E-3</v>
      </c>
      <c r="AO127">
        <v>115</v>
      </c>
      <c r="AP127">
        <v>668.47380983269215</v>
      </c>
      <c r="AQ127">
        <f t="shared" si="87"/>
        <v>0.70552147239263807</v>
      </c>
      <c r="AR127" t="e">
        <f t="shared" si="53"/>
        <v>#N/A</v>
      </c>
      <c r="AT127" t="e">
        <f t="shared" si="54"/>
        <v>#N/A</v>
      </c>
      <c r="AU127">
        <f t="shared" si="55"/>
        <v>668.47380983269215</v>
      </c>
      <c r="AW127" t="e">
        <v>#N/A</v>
      </c>
      <c r="AX127">
        <v>350</v>
      </c>
      <c r="BB127">
        <f t="shared" si="57"/>
        <v>0.5133928571428571</v>
      </c>
      <c r="BC127">
        <v>474.02257481256328</v>
      </c>
      <c r="BD127">
        <f t="shared" si="58"/>
        <v>0.37130506045366474</v>
      </c>
      <c r="BE127">
        <f t="shared" si="78"/>
        <v>4.4642857142856984E-3</v>
      </c>
      <c r="BF127">
        <v>115</v>
      </c>
      <c r="BG127">
        <v>0.29689722786195405</v>
      </c>
      <c r="BH127">
        <f t="shared" si="84"/>
        <v>0.78231292517006801</v>
      </c>
      <c r="BI127">
        <f t="shared" si="60"/>
        <v>0.78231292517006801</v>
      </c>
      <c r="BK127">
        <f t="shared" si="61"/>
        <v>0.78231292517006801</v>
      </c>
      <c r="BL127">
        <f t="shared" si="62"/>
        <v>0.29689722786195405</v>
      </c>
      <c r="BN127" t="e">
        <v>#N/A</v>
      </c>
      <c r="BO127">
        <v>5.9277391867351717E-2</v>
      </c>
      <c r="BS127">
        <f t="shared" si="64"/>
        <v>0.5133928571428571</v>
      </c>
      <c r="BT127">
        <v>7.8049550682987592E-2</v>
      </c>
      <c r="BU127">
        <f t="shared" si="65"/>
        <v>3.5507713842213018E-4</v>
      </c>
      <c r="BV127">
        <f t="shared" si="80"/>
        <v>4.4642857142856984E-3</v>
      </c>
      <c r="BW127">
        <v>115</v>
      </c>
      <c r="BX127">
        <v>6.6666666666666666E-2</v>
      </c>
      <c r="BY127">
        <f t="shared" si="85"/>
        <v>0.85185185185185186</v>
      </c>
      <c r="BZ127" t="e">
        <f t="shared" si="67"/>
        <v>#N/A</v>
      </c>
      <c r="CB127" t="e">
        <f t="shared" si="86"/>
        <v>#N/A</v>
      </c>
      <c r="CC127">
        <f t="shared" si="69"/>
        <v>6.6666666666666666E-2</v>
      </c>
      <c r="CE127" t="e">
        <v>#N/A</v>
      </c>
      <c r="CF127">
        <v>6.6666666666666666E-2</v>
      </c>
      <c r="CJ127">
        <f t="shared" si="70"/>
        <v>0.5133928571428571</v>
      </c>
      <c r="CK127">
        <v>3.3325772306E-2</v>
      </c>
      <c r="CL127">
        <f t="shared" si="71"/>
        <v>2.4214796699999208E-5</v>
      </c>
      <c r="CM127">
        <f t="shared" si="81"/>
        <v>4.4642857142856984E-3</v>
      </c>
    </row>
    <row r="128" spans="2:91">
      <c r="B128">
        <v>116</v>
      </c>
      <c r="C128">
        <f>IF(ISNUMBER(K128),IF('Lab test'!N119&gt;0,'Lab test'!N119,NA()),NA())</f>
        <v>23.939499999999999</v>
      </c>
      <c r="D128">
        <f>IF(ISNUMBER(K128),IF('Lab test'!Q119&gt;0,'Lab test'!Q119,NA()),NA())</f>
        <v>157.87269681742043</v>
      </c>
      <c r="E128">
        <f>IF(ISNUMBER(K128),IF('Lab test'!P119&gt;0,'Lab test'!P119,NA()),NA())</f>
        <v>2.5332985933106458</v>
      </c>
      <c r="F128">
        <f>IF(ISNUMBER(K128),IF('Lab test'!AJ119&gt;0,'Lab test'!AJ119,NA()),NA())</f>
        <v>3.3156498673740049E-2</v>
      </c>
      <c r="G128">
        <f>IF('Lab test'!V119&gt;0,'Lab test'!V119,NA())</f>
        <v>112384.54388</v>
      </c>
      <c r="H128">
        <f>IF(MAX('Lab test'!W119,'Lab test'!X119)&gt;0,MAX('Lab test'!W119,'Lab test'!X119),NA())</f>
        <v>199.94796112</v>
      </c>
      <c r="I128">
        <f>IF('Lab test'!AU119&gt;0,'Lab test'!AU119,NA())</f>
        <v>0.82739001284851976</v>
      </c>
      <c r="J128">
        <f>IF('Lab test'!AT119&gt;0,'Lab test'!AT119,NA())</f>
        <v>0.3839803660553287</v>
      </c>
      <c r="K128">
        <f t="shared" si="72"/>
        <v>1</v>
      </c>
      <c r="L128" t="str">
        <f>'Lab test'!AC119</f>
        <v>LTWb</v>
      </c>
      <c r="N128">
        <v>116</v>
      </c>
      <c r="O128">
        <v>23.912713404200002</v>
      </c>
      <c r="P128">
        <v>8.0359249111200001E-2</v>
      </c>
      <c r="Q128">
        <f t="shared" si="73"/>
        <v>297.57263375009796</v>
      </c>
      <c r="R128">
        <v>106.14939190299999</v>
      </c>
      <c r="S128">
        <f t="shared" si="74"/>
        <v>0.2573310294055956</v>
      </c>
      <c r="T128">
        <v>3.7565296842699998E-2</v>
      </c>
      <c r="U128">
        <f t="shared" si="46"/>
        <v>0.5178571428571429</v>
      </c>
      <c r="W128">
        <v>116</v>
      </c>
      <c r="X128">
        <v>190.5</v>
      </c>
      <c r="Y128">
        <f t="shared" si="82"/>
        <v>0.71165644171779141</v>
      </c>
      <c r="Z128" t="e">
        <f t="shared" si="48"/>
        <v>#N/A</v>
      </c>
      <c r="AB128" t="e">
        <f t="shared" si="83"/>
        <v>#N/A</v>
      </c>
      <c r="AC128">
        <f t="shared" si="50"/>
        <v>190.5</v>
      </c>
      <c r="AE128" t="e">
        <v>#N/A</v>
      </c>
      <c r="AF128">
        <v>190.5</v>
      </c>
      <c r="AJ128">
        <f t="shared" si="51"/>
        <v>0.5178571428571429</v>
      </c>
      <c r="AK128">
        <v>113.211320035</v>
      </c>
      <c r="AL128">
        <f t="shared" si="52"/>
        <v>0.1104311990000042</v>
      </c>
      <c r="AM128">
        <f t="shared" si="75"/>
        <v>4.4642857142858094E-3</v>
      </c>
      <c r="AO128">
        <v>116</v>
      </c>
      <c r="AP128">
        <v>668.47380983269215</v>
      </c>
      <c r="AQ128">
        <f t="shared" si="87"/>
        <v>0.71165644171779141</v>
      </c>
      <c r="AR128">
        <f t="shared" si="53"/>
        <v>0.71165644171779141</v>
      </c>
      <c r="AT128">
        <f t="shared" si="54"/>
        <v>0.71165644171779141</v>
      </c>
      <c r="AU128">
        <f t="shared" si="55"/>
        <v>668.47380983269215</v>
      </c>
      <c r="AW128" t="e">
        <v>#N/A</v>
      </c>
      <c r="AX128">
        <v>358.10102652947694</v>
      </c>
      <c r="BB128">
        <f t="shared" si="57"/>
        <v>0.5178571428571429</v>
      </c>
      <c r="BC128">
        <v>474.39387987301694</v>
      </c>
      <c r="BD128">
        <f t="shared" si="58"/>
        <v>0.17076827591756683</v>
      </c>
      <c r="BE128">
        <f t="shared" si="78"/>
        <v>4.4642857142858094E-3</v>
      </c>
      <c r="BF128">
        <v>116</v>
      </c>
      <c r="BG128">
        <v>0.31675428338749489</v>
      </c>
      <c r="BH128">
        <f t="shared" si="84"/>
        <v>0.78911564625850339</v>
      </c>
      <c r="BI128" t="e">
        <f t="shared" si="60"/>
        <v>#N/A</v>
      </c>
      <c r="BK128" t="e">
        <f t="shared" si="61"/>
        <v>#N/A</v>
      </c>
      <c r="BL128">
        <f t="shared" si="62"/>
        <v>0.31675428338749489</v>
      </c>
      <c r="BN128" t="e">
        <v>#N/A</v>
      </c>
      <c r="BO128">
        <v>6.146889990862596E-2</v>
      </c>
      <c r="BS128">
        <f t="shared" si="64"/>
        <v>0.5178571428571429</v>
      </c>
      <c r="BT128">
        <v>7.8404627821409723E-2</v>
      </c>
      <c r="BU128">
        <f t="shared" si="65"/>
        <v>1.2965976610902763E-3</v>
      </c>
      <c r="BV128">
        <f t="shared" si="80"/>
        <v>4.4642857142858094E-3</v>
      </c>
      <c r="BW128">
        <v>116</v>
      </c>
      <c r="BX128">
        <v>6.6666666666666666E-2</v>
      </c>
      <c r="BY128">
        <f t="shared" si="85"/>
        <v>0.85925925925925928</v>
      </c>
      <c r="BZ128" t="e">
        <f t="shared" si="67"/>
        <v>#N/A</v>
      </c>
      <c r="CB128" t="e">
        <f t="shared" si="86"/>
        <v>#N/A</v>
      </c>
      <c r="CC128">
        <f t="shared" si="69"/>
        <v>6.6666666666666666E-2</v>
      </c>
      <c r="CE128" t="e">
        <v>#N/A</v>
      </c>
      <c r="CF128">
        <v>6.6666666666666666E-2</v>
      </c>
      <c r="CJ128">
        <f t="shared" si="70"/>
        <v>0.5178571428571429</v>
      </c>
      <c r="CK128">
        <v>3.3349987102699999E-2</v>
      </c>
      <c r="CL128">
        <f t="shared" si="71"/>
        <v>6.3013586999997873E-5</v>
      </c>
      <c r="CM128">
        <f t="shared" si="81"/>
        <v>4.4642857142858094E-3</v>
      </c>
    </row>
    <row r="129" spans="2:91">
      <c r="B129">
        <v>117</v>
      </c>
      <c r="C129" t="e">
        <f>IF(ISNUMBER(K129),IF('Lab test'!N120&gt;0,'Lab test'!N120,NA()),NA())</f>
        <v>#N/A</v>
      </c>
      <c r="D129" t="e">
        <f>IF(ISNUMBER(K129),IF('Lab test'!Q120&gt;0,'Lab test'!Q120,NA()),NA())</f>
        <v>#N/A</v>
      </c>
      <c r="E129" t="e">
        <f>IF(ISNUMBER(K129),IF('Lab test'!P120&gt;0,'Lab test'!P120,NA()),NA())</f>
        <v>#N/A</v>
      </c>
      <c r="F129" t="e">
        <f>IF(ISNUMBER(K129),IF('Lab test'!AJ120&gt;0,'Lab test'!AJ120,NA()),NA())</f>
        <v>#N/A</v>
      </c>
      <c r="G129">
        <f>IF('Lab test'!V120&gt;0,'Lab test'!V120,NA())</f>
        <v>108247.689296</v>
      </c>
      <c r="H129">
        <f>IF(MAX('Lab test'!W120,'Lab test'!X120)&gt;0,MAX('Lab test'!W120,'Lab test'!X120),NA())</f>
        <v>199.94796112</v>
      </c>
      <c r="I129">
        <f>IF('Lab test'!AU120&gt;0,'Lab test'!AU120,NA())</f>
        <v>0.12406715888618183</v>
      </c>
      <c r="J129">
        <f>IF('Lab test'!AT120&gt;0,'Lab test'!AT120,NA())</f>
        <v>0.24066656654645777</v>
      </c>
      <c r="K129" t="e">
        <f t="shared" si="72"/>
        <v>#N/A</v>
      </c>
      <c r="L129" t="str">
        <f>'Lab test'!AC120</f>
        <v>Miscellaneous</v>
      </c>
      <c r="N129">
        <v>117</v>
      </c>
      <c r="O129">
        <v>23.918709037900001</v>
      </c>
      <c r="P129">
        <v>8.3961459567899993E-2</v>
      </c>
      <c r="Q129">
        <f t="shared" si="73"/>
        <v>284.87724202265491</v>
      </c>
      <c r="R129">
        <v>119.74210744600001</v>
      </c>
      <c r="S129">
        <f t="shared" si="74"/>
        <v>0.29660624002523622</v>
      </c>
      <c r="T129">
        <v>3.3284008967500001E-2</v>
      </c>
      <c r="U129">
        <f t="shared" si="46"/>
        <v>0.5223214285714286</v>
      </c>
      <c r="W129">
        <v>117</v>
      </c>
      <c r="X129">
        <v>190.5</v>
      </c>
      <c r="Y129">
        <f t="shared" si="82"/>
        <v>0.71779141104294475</v>
      </c>
      <c r="Z129" t="e">
        <f t="shared" si="48"/>
        <v>#N/A</v>
      </c>
      <c r="AB129" t="e">
        <f t="shared" si="83"/>
        <v>#N/A</v>
      </c>
      <c r="AC129">
        <f t="shared" si="50"/>
        <v>190.5</v>
      </c>
      <c r="AE129" t="e">
        <v>#N/A</v>
      </c>
      <c r="AF129">
        <v>190.5</v>
      </c>
      <c r="AJ129">
        <f t="shared" si="51"/>
        <v>0.5223214285714286</v>
      </c>
      <c r="AK129">
        <v>113.321751234</v>
      </c>
      <c r="AL129">
        <f t="shared" si="52"/>
        <v>0.69719996699998887</v>
      </c>
      <c r="AM129">
        <f t="shared" si="75"/>
        <v>4.4642857142856984E-3</v>
      </c>
      <c r="AO129">
        <v>117</v>
      </c>
      <c r="AP129">
        <v>674.17505319043255</v>
      </c>
      <c r="AQ129">
        <f t="shared" si="87"/>
        <v>0.71779141104294475</v>
      </c>
      <c r="AR129" t="e">
        <f t="shared" si="53"/>
        <v>#N/A</v>
      </c>
      <c r="AT129" t="e">
        <f t="shared" si="54"/>
        <v>#N/A</v>
      </c>
      <c r="AU129">
        <f t="shared" si="55"/>
        <v>674.17505319043255</v>
      </c>
      <c r="AW129" t="e">
        <v>#N/A</v>
      </c>
      <c r="AX129">
        <v>362.2770965048918</v>
      </c>
      <c r="BB129">
        <f t="shared" si="57"/>
        <v>0.5223214285714286</v>
      </c>
      <c r="BC129">
        <v>474.56464814893451</v>
      </c>
      <c r="BD129">
        <f t="shared" si="58"/>
        <v>0.26658683216862755</v>
      </c>
      <c r="BE129">
        <f t="shared" si="78"/>
        <v>4.4642857142856984E-3</v>
      </c>
      <c r="BF129">
        <v>117</v>
      </c>
      <c r="BG129">
        <v>0.31675428338749489</v>
      </c>
      <c r="BH129">
        <f t="shared" si="84"/>
        <v>0.79591836734693877</v>
      </c>
      <c r="BI129">
        <f t="shared" si="60"/>
        <v>0.79591836734693877</v>
      </c>
      <c r="BK129">
        <f t="shared" si="61"/>
        <v>0.79591836734693877</v>
      </c>
      <c r="BL129">
        <f t="shared" si="62"/>
        <v>0.31675428338749489</v>
      </c>
      <c r="BN129" t="e">
        <v>#N/A</v>
      </c>
      <c r="BO129">
        <v>6.146889990862596E-2</v>
      </c>
      <c r="BS129">
        <f t="shared" si="64"/>
        <v>0.5223214285714286</v>
      </c>
      <c r="BT129">
        <v>7.9701225482499999E-2</v>
      </c>
      <c r="BU129">
        <f t="shared" si="65"/>
        <v>4.9296703866218983E-3</v>
      </c>
      <c r="BV129">
        <f t="shared" si="80"/>
        <v>4.4642857142856984E-3</v>
      </c>
      <c r="BW129">
        <v>117</v>
      </c>
      <c r="BX129">
        <v>6.6666666666666666E-2</v>
      </c>
      <c r="BY129">
        <f t="shared" si="85"/>
        <v>0.8666666666666667</v>
      </c>
      <c r="BZ129" t="e">
        <f t="shared" si="67"/>
        <v>#N/A</v>
      </c>
      <c r="CB129" t="e">
        <f t="shared" si="86"/>
        <v>#N/A</v>
      </c>
      <c r="CC129">
        <f t="shared" si="69"/>
        <v>6.6666666666666666E-2</v>
      </c>
      <c r="CE129" t="e">
        <v>#N/A</v>
      </c>
      <c r="CF129">
        <v>6.6666666666666666E-2</v>
      </c>
      <c r="CJ129">
        <f t="shared" si="70"/>
        <v>0.5223214285714286</v>
      </c>
      <c r="CK129">
        <v>3.3413000689699997E-2</v>
      </c>
      <c r="CL129">
        <f t="shared" si="71"/>
        <v>2.4474346440000322E-4</v>
      </c>
      <c r="CM129">
        <f t="shared" si="81"/>
        <v>4.4642857142856984E-3</v>
      </c>
    </row>
    <row r="130" spans="2:91">
      <c r="B130">
        <v>118</v>
      </c>
      <c r="C130" t="e">
        <f>IF(ISNUMBER(K130),IF('Lab test'!N121&gt;0,'Lab test'!N121,NA()),NA())</f>
        <v>#N/A</v>
      </c>
      <c r="D130" t="e">
        <f>IF(ISNUMBER(K130),IF('Lab test'!Q121&gt;0,'Lab test'!Q121,NA()),NA())</f>
        <v>#N/A</v>
      </c>
      <c r="E130" t="e">
        <f>IF(ISNUMBER(K130),IF('Lab test'!P121&gt;0,'Lab test'!P121,NA()),NA())</f>
        <v>#N/A</v>
      </c>
      <c r="F130" t="e">
        <f>IF(ISNUMBER(K130),IF('Lab test'!AJ121&gt;0,'Lab test'!AJ121,NA()),NA())</f>
        <v>#N/A</v>
      </c>
      <c r="G130">
        <f>IF('Lab test'!V121&gt;0,'Lab test'!V121,NA())</f>
        <v>108247.689296</v>
      </c>
      <c r="H130">
        <f>IF(MAX('Lab test'!W121,'Lab test'!X121)&gt;0,MAX('Lab test'!W121,'Lab test'!X121),NA())</f>
        <v>199.94796112</v>
      </c>
      <c r="I130">
        <f>IF('Lab test'!AU121&gt;0,'Lab test'!AU121,NA())</f>
        <v>0.12108954707291349</v>
      </c>
      <c r="J130">
        <f>IF('Lab test'!AT121&gt;0,'Lab test'!AT121,NA())</f>
        <v>0.23489056894934279</v>
      </c>
      <c r="K130" t="e">
        <f t="shared" si="72"/>
        <v>#N/A</v>
      </c>
      <c r="L130" t="str">
        <f>'Lab test'!AC121</f>
        <v>Miscellaneous</v>
      </c>
      <c r="N130">
        <v>118</v>
      </c>
      <c r="O130">
        <v>23.908239768200001</v>
      </c>
      <c r="P130">
        <v>5.0397445630200002E-2</v>
      </c>
      <c r="Q130">
        <f t="shared" si="73"/>
        <v>474.39387987301694</v>
      </c>
      <c r="R130">
        <v>218.128901437</v>
      </c>
      <c r="S130">
        <f t="shared" si="74"/>
        <v>0.4188862171431188</v>
      </c>
      <c r="T130">
        <v>6.66626283229E-2</v>
      </c>
      <c r="U130">
        <f t="shared" si="46"/>
        <v>0.5267857142857143</v>
      </c>
      <c r="W130">
        <v>118</v>
      </c>
      <c r="X130">
        <v>190.5</v>
      </c>
      <c r="Y130">
        <f t="shared" si="82"/>
        <v>0.7239263803680982</v>
      </c>
      <c r="Z130" t="e">
        <f t="shared" si="48"/>
        <v>#N/A</v>
      </c>
      <c r="AB130" t="e">
        <f t="shared" si="83"/>
        <v>#N/A</v>
      </c>
      <c r="AC130">
        <f t="shared" si="50"/>
        <v>190.5</v>
      </c>
      <c r="AE130" t="e">
        <v>#N/A</v>
      </c>
      <c r="AF130">
        <v>190.5</v>
      </c>
      <c r="AJ130">
        <f t="shared" si="51"/>
        <v>0.5267857142857143</v>
      </c>
      <c r="AK130">
        <v>114.01895120099999</v>
      </c>
      <c r="AL130">
        <f t="shared" si="52"/>
        <v>1.687957400000073E-2</v>
      </c>
      <c r="AM130">
        <f t="shared" si="75"/>
        <v>4.4642857142856984E-3</v>
      </c>
      <c r="AO130">
        <v>118</v>
      </c>
      <c r="AP130">
        <v>674.17505319043255</v>
      </c>
      <c r="AQ130">
        <f t="shared" si="87"/>
        <v>0.7239263803680982</v>
      </c>
      <c r="AR130">
        <f t="shared" si="53"/>
        <v>0.7239263803680982</v>
      </c>
      <c r="AT130">
        <f t="shared" si="54"/>
        <v>0.7239263803680982</v>
      </c>
      <c r="AU130">
        <f t="shared" si="55"/>
        <v>674.17505319043255</v>
      </c>
      <c r="AW130" t="e">
        <v>#N/A</v>
      </c>
      <c r="AX130">
        <v>400</v>
      </c>
      <c r="BB130">
        <f t="shared" si="57"/>
        <v>0.5267857142857143</v>
      </c>
      <c r="BC130">
        <v>474.83123498110314</v>
      </c>
      <c r="BD130">
        <f t="shared" si="58"/>
        <v>0.16845098619023702</v>
      </c>
      <c r="BE130">
        <f t="shared" si="78"/>
        <v>4.4642857142856984E-3</v>
      </c>
      <c r="BF130">
        <v>118</v>
      </c>
      <c r="BG130">
        <v>0.32990316162183381</v>
      </c>
      <c r="BH130">
        <f t="shared" si="84"/>
        <v>0.80272108843537415</v>
      </c>
      <c r="BI130">
        <f t="shared" si="60"/>
        <v>0.80272108843537415</v>
      </c>
      <c r="BK130">
        <f t="shared" si="61"/>
        <v>0.80272108843537415</v>
      </c>
      <c r="BL130">
        <f t="shared" si="62"/>
        <v>0.32990316162183381</v>
      </c>
      <c r="BN130" t="e">
        <v>#N/A</v>
      </c>
      <c r="BO130">
        <v>6.146889990862596E-2</v>
      </c>
      <c r="BS130">
        <f t="shared" si="64"/>
        <v>0.5267857142857143</v>
      </c>
      <c r="BT130">
        <v>8.4630895869121897E-2</v>
      </c>
      <c r="BU130">
        <f t="shared" si="65"/>
        <v>5.7579155480595862E-3</v>
      </c>
      <c r="BV130">
        <f t="shared" si="80"/>
        <v>4.4642857142856984E-3</v>
      </c>
      <c r="BW130">
        <v>118</v>
      </c>
      <c r="BX130">
        <v>6.6666666666666666E-2</v>
      </c>
      <c r="BY130">
        <f t="shared" si="85"/>
        <v>0.87407407407407411</v>
      </c>
      <c r="BZ130" t="e">
        <f t="shared" si="67"/>
        <v>#N/A</v>
      </c>
      <c r="CB130" t="e">
        <f t="shared" si="86"/>
        <v>#N/A</v>
      </c>
      <c r="CC130">
        <f t="shared" si="69"/>
        <v>6.6666666666666666E-2</v>
      </c>
      <c r="CE130" t="e">
        <v>#N/A</v>
      </c>
      <c r="CF130">
        <v>6.6666666666666666E-2</v>
      </c>
      <c r="CJ130">
        <f t="shared" si="70"/>
        <v>0.5267857142857143</v>
      </c>
      <c r="CK130">
        <v>3.36577441541E-2</v>
      </c>
      <c r="CL130">
        <f t="shared" si="71"/>
        <v>3.7588513089999859E-4</v>
      </c>
      <c r="CM130">
        <f t="shared" si="81"/>
        <v>4.4642857142856984E-3</v>
      </c>
    </row>
    <row r="131" spans="2:91">
      <c r="B131">
        <v>119</v>
      </c>
      <c r="C131" t="e">
        <f>IF(ISNUMBER(K131),IF('Lab test'!N122&gt;0,'Lab test'!N122,NA()),NA())</f>
        <v>#N/A</v>
      </c>
      <c r="D131" t="e">
        <f>IF(ISNUMBER(K131),IF('Lab test'!Q122&gt;0,'Lab test'!Q122,NA()),NA())</f>
        <v>#N/A</v>
      </c>
      <c r="E131" t="e">
        <f>IF(ISNUMBER(K131),IF('Lab test'!P122&gt;0,'Lab test'!P122,NA()),NA())</f>
        <v>#N/A</v>
      </c>
      <c r="F131" t="e">
        <f>IF(ISNUMBER(K131),IF('Lab test'!AJ122&gt;0,'Lab test'!AJ122,NA()),NA())</f>
        <v>#N/A</v>
      </c>
      <c r="G131">
        <f>IF('Lab test'!V122&gt;0,'Lab test'!V122,NA())</f>
        <v>108247.689296</v>
      </c>
      <c r="H131">
        <f>IF(MAX('Lab test'!W122,'Lab test'!X122)&gt;0,MAX('Lab test'!W122,'Lab test'!X122),NA())</f>
        <v>199.94796112</v>
      </c>
      <c r="I131">
        <f>IF('Lab test'!AU122&gt;0,'Lab test'!AU122,NA())</f>
        <v>0.15582835156104441</v>
      </c>
      <c r="J131">
        <f>IF('Lab test'!AT122&gt;0,'Lab test'!AT122,NA())</f>
        <v>0.30227720758235099</v>
      </c>
      <c r="K131" t="e">
        <f t="shared" si="72"/>
        <v>#N/A</v>
      </c>
      <c r="L131" t="str">
        <f>'Lab test'!AC122</f>
        <v>Miscellaneous</v>
      </c>
      <c r="N131">
        <v>119</v>
      </c>
      <c r="O131">
        <v>23.9277107361</v>
      </c>
      <c r="P131">
        <v>8.5548053029600002E-2</v>
      </c>
      <c r="Q131">
        <f t="shared" si="73"/>
        <v>279.6990684033558</v>
      </c>
      <c r="R131">
        <v>228.10452267900001</v>
      </c>
      <c r="S131">
        <f t="shared" si="74"/>
        <v>0.57001624966945108</v>
      </c>
      <c r="T131">
        <v>2.7939603765100001E-2</v>
      </c>
      <c r="U131">
        <f t="shared" si="46"/>
        <v>0.53125</v>
      </c>
      <c r="W131">
        <v>119</v>
      </c>
      <c r="X131">
        <v>190.5</v>
      </c>
      <c r="Y131">
        <f t="shared" si="82"/>
        <v>0.73006134969325154</v>
      </c>
      <c r="Z131" t="e">
        <f t="shared" si="48"/>
        <v>#N/A</v>
      </c>
      <c r="AB131" t="e">
        <f t="shared" si="83"/>
        <v>#N/A</v>
      </c>
      <c r="AC131">
        <f t="shared" si="50"/>
        <v>190.5</v>
      </c>
      <c r="AE131" t="e">
        <v>#N/A</v>
      </c>
      <c r="AF131">
        <v>190.5</v>
      </c>
      <c r="AJ131">
        <f t="shared" si="51"/>
        <v>0.53125</v>
      </c>
      <c r="AK131">
        <v>114.03583077499999</v>
      </c>
      <c r="AL131">
        <f t="shared" si="52"/>
        <v>3.1972461000009389E-2</v>
      </c>
      <c r="AM131">
        <f t="shared" si="75"/>
        <v>4.4642857142856984E-3</v>
      </c>
      <c r="AO131">
        <v>119</v>
      </c>
      <c r="AP131">
        <v>674.46043165467631</v>
      </c>
      <c r="AQ131">
        <f t="shared" si="87"/>
        <v>0.73006134969325154</v>
      </c>
      <c r="AR131">
        <f t="shared" si="53"/>
        <v>0.73006134969325154</v>
      </c>
      <c r="AT131">
        <f t="shared" si="54"/>
        <v>0.73006134969325154</v>
      </c>
      <c r="AU131">
        <f t="shared" si="55"/>
        <v>674.46043165467631</v>
      </c>
      <c r="AW131" t="e">
        <v>#N/A</v>
      </c>
      <c r="AX131">
        <v>400</v>
      </c>
      <c r="BB131">
        <f t="shared" si="57"/>
        <v>0.53125</v>
      </c>
      <c r="BC131">
        <v>474.99968596729337</v>
      </c>
      <c r="BD131">
        <f t="shared" si="58"/>
        <v>0.18058758231688898</v>
      </c>
      <c r="BE131">
        <f t="shared" si="78"/>
        <v>4.4642857142856984E-3</v>
      </c>
      <c r="BF131">
        <v>119</v>
      </c>
      <c r="BG131">
        <v>0.34199020228509303</v>
      </c>
      <c r="BH131">
        <f t="shared" si="84"/>
        <v>0.80952380952380953</v>
      </c>
      <c r="BI131">
        <f t="shared" si="60"/>
        <v>0.80952380952380953</v>
      </c>
      <c r="BK131">
        <f t="shared" si="61"/>
        <v>0.80952380952380953</v>
      </c>
      <c r="BL131">
        <f t="shared" si="62"/>
        <v>0.34199020228509303</v>
      </c>
      <c r="BN131" t="e">
        <v>#N/A</v>
      </c>
      <c r="BO131">
        <v>6.872431934890913E-2</v>
      </c>
      <c r="BS131">
        <f t="shared" si="64"/>
        <v>0.53125</v>
      </c>
      <c r="BT131">
        <v>9.0388811417181483E-2</v>
      </c>
      <c r="BU131">
        <f t="shared" si="65"/>
        <v>7.065535172374765E-3</v>
      </c>
      <c r="BV131">
        <f t="shared" si="80"/>
        <v>4.4642857142856984E-3</v>
      </c>
      <c r="BW131">
        <v>119</v>
      </c>
      <c r="BX131">
        <v>6.6666666666666666E-2</v>
      </c>
      <c r="BY131">
        <f t="shared" si="85"/>
        <v>0.88148148148148153</v>
      </c>
      <c r="BZ131" t="e">
        <f t="shared" si="67"/>
        <v>#N/A</v>
      </c>
      <c r="CB131" t="e">
        <f t="shared" si="86"/>
        <v>#N/A</v>
      </c>
      <c r="CC131">
        <f t="shared" si="69"/>
        <v>6.6666666666666666E-2</v>
      </c>
      <c r="CE131" t="e">
        <v>#N/A</v>
      </c>
      <c r="CF131">
        <v>6.6666666666666666E-2</v>
      </c>
      <c r="CJ131">
        <f t="shared" si="70"/>
        <v>0.53125</v>
      </c>
      <c r="CK131">
        <v>3.4033629284999999E-2</v>
      </c>
      <c r="CL131">
        <f t="shared" si="71"/>
        <v>6.6520651290000177E-4</v>
      </c>
      <c r="CM131">
        <f t="shared" si="81"/>
        <v>4.4642857142856984E-3</v>
      </c>
    </row>
    <row r="132" spans="2:91">
      <c r="B132">
        <v>120</v>
      </c>
      <c r="C132" t="e">
        <f>IF(ISNUMBER(K132),IF('Lab test'!N123&gt;0,'Lab test'!N123,NA()),NA())</f>
        <v>#N/A</v>
      </c>
      <c r="D132" t="e">
        <f>IF(ISNUMBER(K132),IF('Lab test'!Q123&gt;0,'Lab test'!Q123,NA()),NA())</f>
        <v>#N/A</v>
      </c>
      <c r="E132" t="e">
        <f>IF(ISNUMBER(K132),IF('Lab test'!P123&gt;0,'Lab test'!P123,NA()),NA())</f>
        <v>#N/A</v>
      </c>
      <c r="F132" t="e">
        <f>IF(ISNUMBER(K132),IF('Lab test'!AJ123&gt;0,'Lab test'!AJ123,NA()),NA())</f>
        <v>#N/A</v>
      </c>
      <c r="G132">
        <f>IF('Lab test'!V123&gt;0,'Lab test'!V123,NA())</f>
        <v>108247.689296</v>
      </c>
      <c r="H132">
        <f>IF(MAX('Lab test'!W123,'Lab test'!X123)&gt;0,MAX('Lab test'!W123,'Lab test'!X123),NA())</f>
        <v>199.94796112</v>
      </c>
      <c r="I132">
        <f>IF('Lab test'!AU123&gt;0,'Lab test'!AU123,NA())</f>
        <v>0.14094029249470261</v>
      </c>
      <c r="J132">
        <f>IF('Lab test'!AT123&gt;0,'Lab test'!AT123,NA())</f>
        <v>0.27339721959677615</v>
      </c>
      <c r="K132" t="e">
        <f t="shared" si="72"/>
        <v>#N/A</v>
      </c>
      <c r="L132" t="str">
        <f>'Lab test'!AC123</f>
        <v>Miscellaneous</v>
      </c>
      <c r="N132">
        <v>120</v>
      </c>
      <c r="O132">
        <v>23.956498012800001</v>
      </c>
      <c r="P132">
        <v>6.1113148785499997E-2</v>
      </c>
      <c r="Q132">
        <f t="shared" si="73"/>
        <v>392.00235119424963</v>
      </c>
      <c r="R132">
        <v>311.71667849699998</v>
      </c>
      <c r="S132">
        <f t="shared" si="74"/>
        <v>0.65719215612929716</v>
      </c>
      <c r="T132">
        <v>3.4033629284999999E-2</v>
      </c>
      <c r="U132">
        <f t="shared" si="46"/>
        <v>0.5357142857142857</v>
      </c>
      <c r="W132">
        <v>120</v>
      </c>
      <c r="X132">
        <v>190.5</v>
      </c>
      <c r="Y132">
        <f t="shared" si="82"/>
        <v>0.73619631901840488</v>
      </c>
      <c r="Z132" t="e">
        <f t="shared" si="48"/>
        <v>#N/A</v>
      </c>
      <c r="AB132" t="e">
        <f t="shared" si="83"/>
        <v>#N/A</v>
      </c>
      <c r="AC132">
        <f t="shared" si="50"/>
        <v>190.5</v>
      </c>
      <c r="AE132" t="e">
        <v>#N/A</v>
      </c>
      <c r="AF132">
        <v>190.5</v>
      </c>
      <c r="AJ132">
        <f t="shared" si="51"/>
        <v>0.5357142857142857</v>
      </c>
      <c r="AK132">
        <v>114.067803236</v>
      </c>
      <c r="AL132">
        <f t="shared" si="52"/>
        <v>2.3105899880000038</v>
      </c>
      <c r="AM132">
        <f t="shared" si="75"/>
        <v>4.4642857142856984E-3</v>
      </c>
      <c r="AO132">
        <v>120</v>
      </c>
      <c r="AP132">
        <v>684.30656934306569</v>
      </c>
      <c r="AQ132">
        <f t="shared" si="87"/>
        <v>0.73619631901840488</v>
      </c>
      <c r="AR132">
        <f t="shared" si="53"/>
        <v>0.73619631901840488</v>
      </c>
      <c r="AT132">
        <f t="shared" si="54"/>
        <v>0.73619631901840488</v>
      </c>
      <c r="AU132">
        <f t="shared" si="55"/>
        <v>684.30656934306569</v>
      </c>
      <c r="AW132" t="e">
        <v>#N/A</v>
      </c>
      <c r="AX132">
        <v>400</v>
      </c>
      <c r="BB132">
        <f t="shared" si="57"/>
        <v>0.5357142857142857</v>
      </c>
      <c r="BC132">
        <v>475.18027354961026</v>
      </c>
      <c r="BD132">
        <f t="shared" si="58"/>
        <v>1.1661451983173947</v>
      </c>
      <c r="BE132">
        <f t="shared" si="78"/>
        <v>4.4642857142856984E-3</v>
      </c>
      <c r="BF132">
        <v>120</v>
      </c>
      <c r="BG132">
        <v>0.34213349285311156</v>
      </c>
      <c r="BH132">
        <f t="shared" si="84"/>
        <v>0.81632653061224492</v>
      </c>
      <c r="BI132" t="e">
        <f t="shared" si="60"/>
        <v>#N/A</v>
      </c>
      <c r="BK132" t="e">
        <f t="shared" si="61"/>
        <v>#N/A</v>
      </c>
      <c r="BL132">
        <f t="shared" si="62"/>
        <v>0.34213349285311156</v>
      </c>
      <c r="BN132" t="e">
        <v>#N/A</v>
      </c>
      <c r="BO132">
        <v>6.872431934890913E-2</v>
      </c>
      <c r="BS132">
        <f t="shared" si="64"/>
        <v>0.5357142857142857</v>
      </c>
      <c r="BT132">
        <v>9.7454346589556248E-2</v>
      </c>
      <c r="BU132">
        <f t="shared" si="65"/>
        <v>1.0438988369979585E-3</v>
      </c>
      <c r="BV132">
        <f t="shared" si="80"/>
        <v>4.4642857142856984E-3</v>
      </c>
      <c r="BW132">
        <v>120</v>
      </c>
      <c r="BX132">
        <v>6.6666666666666666E-2</v>
      </c>
      <c r="BY132">
        <f t="shared" si="85"/>
        <v>0.88888888888888884</v>
      </c>
      <c r="BZ132" t="e">
        <f t="shared" si="67"/>
        <v>#N/A</v>
      </c>
      <c r="CB132" t="e">
        <f t="shared" si="86"/>
        <v>#N/A</v>
      </c>
      <c r="CC132">
        <f t="shared" si="69"/>
        <v>6.6666666666666666E-2</v>
      </c>
      <c r="CE132" t="e">
        <v>#N/A</v>
      </c>
      <c r="CF132">
        <v>6.6666666666666666E-2</v>
      </c>
      <c r="CJ132">
        <f t="shared" si="70"/>
        <v>0.5357142857142857</v>
      </c>
      <c r="CK132">
        <v>3.46988357979E-2</v>
      </c>
      <c r="CL132">
        <f t="shared" si="71"/>
        <v>3.5887511970000147E-4</v>
      </c>
      <c r="CM132">
        <f t="shared" si="81"/>
        <v>4.4642857142856984E-3</v>
      </c>
    </row>
    <row r="133" spans="2:91">
      <c r="B133">
        <v>121</v>
      </c>
      <c r="C133" t="e">
        <f>IF(ISNUMBER(K133),IF('Lab test'!N124&gt;0,'Lab test'!N124,NA()),NA())</f>
        <v>#N/A</v>
      </c>
      <c r="D133" t="e">
        <f>IF(ISNUMBER(K133),IF('Lab test'!Q124&gt;0,'Lab test'!Q124,NA()),NA())</f>
        <v>#N/A</v>
      </c>
      <c r="E133" t="e">
        <f>IF(ISNUMBER(K133),IF('Lab test'!P124&gt;0,'Lab test'!P124,NA()),NA())</f>
        <v>#N/A</v>
      </c>
      <c r="F133" t="e">
        <f>IF(ISNUMBER(K133),IF('Lab test'!AJ124&gt;0,'Lab test'!AJ124,NA()),NA())</f>
        <v>#N/A</v>
      </c>
      <c r="G133">
        <f>IF('Lab test'!V124&gt;0,'Lab test'!V124,NA())</f>
        <v>108247.689296</v>
      </c>
      <c r="H133">
        <f>IF(MAX('Lab test'!W124,'Lab test'!X124)&gt;0,MAX('Lab test'!W124,'Lab test'!X124),NA())</f>
        <v>199.94796112</v>
      </c>
      <c r="I133">
        <f>IF('Lab test'!AU124&gt;0,'Lab test'!AU124,NA())</f>
        <v>0.17865670879610185</v>
      </c>
      <c r="J133">
        <f>IF('Lab test'!AT124&gt;0,'Lab test'!AT124,NA())</f>
        <v>0.34655985582689924</v>
      </c>
      <c r="K133" t="e">
        <f t="shared" si="72"/>
        <v>#N/A</v>
      </c>
      <c r="L133" t="str">
        <f>'Lab test'!AC124</f>
        <v>Miscellaneous</v>
      </c>
      <c r="N133">
        <v>121</v>
      </c>
      <c r="O133">
        <v>23.901197097699999</v>
      </c>
      <c r="P133">
        <v>9.9400784883100002E-2</v>
      </c>
      <c r="Q133">
        <f t="shared" si="73"/>
        <v>240.45280050664519</v>
      </c>
      <c r="R133">
        <v>344.77549614100002</v>
      </c>
      <c r="S133">
        <f t="shared" si="74"/>
        <v>0.93025458464830202</v>
      </c>
      <c r="T133">
        <v>6.6623395128599994E-2</v>
      </c>
      <c r="U133">
        <f t="shared" si="46"/>
        <v>0.5401785714285714</v>
      </c>
      <c r="W133">
        <v>121</v>
      </c>
      <c r="X133">
        <v>190.5</v>
      </c>
      <c r="Y133">
        <f t="shared" si="82"/>
        <v>0.74233128834355833</v>
      </c>
      <c r="Z133" t="e">
        <f t="shared" si="48"/>
        <v>#N/A</v>
      </c>
      <c r="AB133" t="e">
        <f t="shared" si="83"/>
        <v>#N/A</v>
      </c>
      <c r="AC133">
        <f t="shared" si="50"/>
        <v>190.5</v>
      </c>
      <c r="AE133" t="e">
        <v>#N/A</v>
      </c>
      <c r="AF133">
        <v>190.5</v>
      </c>
      <c r="AJ133">
        <f t="shared" si="51"/>
        <v>0.5401785714285714</v>
      </c>
      <c r="AK133">
        <v>116.37839322400001</v>
      </c>
      <c r="AL133">
        <f t="shared" si="52"/>
        <v>3.0892896049999905</v>
      </c>
      <c r="AM133">
        <f t="shared" si="75"/>
        <v>4.4642857142856984E-3</v>
      </c>
      <c r="AO133">
        <v>121</v>
      </c>
      <c r="AP133">
        <v>685.65016720983283</v>
      </c>
      <c r="AQ133">
        <f t="shared" si="87"/>
        <v>0.74233128834355833</v>
      </c>
      <c r="AR133" t="e">
        <f t="shared" si="53"/>
        <v>#N/A</v>
      </c>
      <c r="AT133" t="e">
        <f t="shared" si="54"/>
        <v>#N/A</v>
      </c>
      <c r="AU133">
        <f t="shared" si="55"/>
        <v>685.65016720983283</v>
      </c>
      <c r="AW133" t="e">
        <v>#N/A</v>
      </c>
      <c r="AX133">
        <v>437.5</v>
      </c>
      <c r="BB133">
        <f t="shared" si="57"/>
        <v>0.5401785714285714</v>
      </c>
      <c r="BC133">
        <v>476.34641874792766</v>
      </c>
      <c r="BD133">
        <f t="shared" si="58"/>
        <v>2.5650039096155979</v>
      </c>
      <c r="BE133">
        <f t="shared" si="78"/>
        <v>4.4642857142856984E-3</v>
      </c>
      <c r="BF133">
        <v>121</v>
      </c>
      <c r="BG133">
        <v>0.34213349285311156</v>
      </c>
      <c r="BH133">
        <f t="shared" si="84"/>
        <v>0.8231292517006803</v>
      </c>
      <c r="BI133">
        <f t="shared" si="60"/>
        <v>0.8231292517006803</v>
      </c>
      <c r="BK133">
        <f t="shared" si="61"/>
        <v>0.8231292517006803</v>
      </c>
      <c r="BL133">
        <f t="shared" si="62"/>
        <v>0.34213349285311156</v>
      </c>
      <c r="BN133" t="e">
        <v>#N/A</v>
      </c>
      <c r="BO133">
        <v>6.872431934890913E-2</v>
      </c>
      <c r="BS133">
        <f t="shared" si="64"/>
        <v>0.5401785714285714</v>
      </c>
      <c r="BT133">
        <v>9.8498245426554207E-2</v>
      </c>
      <c r="BU133">
        <f t="shared" si="65"/>
        <v>1.1974398227784788E-4</v>
      </c>
      <c r="BV133">
        <f t="shared" si="80"/>
        <v>4.4642857142856984E-3</v>
      </c>
      <c r="BW133">
        <v>121</v>
      </c>
      <c r="BX133">
        <v>6.6666666666666666E-2</v>
      </c>
      <c r="BY133">
        <f t="shared" si="85"/>
        <v>0.89629629629629626</v>
      </c>
      <c r="BZ133" t="e">
        <f t="shared" si="67"/>
        <v>#N/A</v>
      </c>
      <c r="CB133" t="e">
        <f t="shared" si="86"/>
        <v>#N/A</v>
      </c>
      <c r="CC133">
        <f t="shared" si="69"/>
        <v>6.6666666666666666E-2</v>
      </c>
      <c r="CE133" t="e">
        <v>#N/A</v>
      </c>
      <c r="CF133">
        <v>6.6666666666666666E-2</v>
      </c>
      <c r="CJ133">
        <f t="shared" si="70"/>
        <v>0.5401785714285714</v>
      </c>
      <c r="CK133">
        <v>3.5057710917600002E-2</v>
      </c>
      <c r="CL133">
        <f t="shared" si="71"/>
        <v>2.5075859250999963E-3</v>
      </c>
      <c r="CM133">
        <f t="shared" si="81"/>
        <v>4.4642857142856984E-3</v>
      </c>
    </row>
    <row r="134" spans="2:91">
      <c r="B134">
        <v>122</v>
      </c>
      <c r="C134" t="e">
        <f>IF(ISNUMBER(K134),IF('Lab test'!N125&gt;0,'Lab test'!N125,NA()),NA())</f>
        <v>#N/A</v>
      </c>
      <c r="D134" t="e">
        <f>IF(ISNUMBER(K134),IF('Lab test'!Q125&gt;0,'Lab test'!Q125,NA()),NA())</f>
        <v>#N/A</v>
      </c>
      <c r="E134" t="e">
        <f>IF(ISNUMBER(K134),IF('Lab test'!P125&gt;0,'Lab test'!P125,NA()),NA())</f>
        <v>#N/A</v>
      </c>
      <c r="F134" t="e">
        <f>IF(ISNUMBER(K134),IF('Lab test'!AJ125&gt;0,'Lab test'!AJ125,NA()),NA())</f>
        <v>#N/A</v>
      </c>
      <c r="G134">
        <f>IF('Lab test'!V125&gt;0,'Lab test'!V125,NA())</f>
        <v>108247.689296</v>
      </c>
      <c r="H134">
        <f>IF(MAX('Lab test'!W125,'Lab test'!X125)&gt;0,MAX('Lab test'!W125,'Lab test'!X125),NA())</f>
        <v>199.94796112</v>
      </c>
      <c r="I134">
        <f>IF('Lab test'!AU125&gt;0,'Lab test'!AU125,NA())</f>
        <v>0.15086566520559713</v>
      </c>
      <c r="J134">
        <f>IF('Lab test'!AT125&gt;0,'Lab test'!AT125,NA())</f>
        <v>0.29265054492049269</v>
      </c>
      <c r="K134" t="e">
        <f t="shared" si="72"/>
        <v>#N/A</v>
      </c>
      <c r="L134" t="str">
        <f>'Lab test'!AC125</f>
        <v>Miscellaneous</v>
      </c>
      <c r="N134">
        <v>122</v>
      </c>
      <c r="O134">
        <v>23.906218595399999</v>
      </c>
      <c r="P134">
        <v>5.1915191559300002E-2</v>
      </c>
      <c r="Q134">
        <f t="shared" si="73"/>
        <v>460.48599412549942</v>
      </c>
      <c r="R134">
        <v>36.363123911800002</v>
      </c>
      <c r="S134">
        <f t="shared" si="74"/>
        <v>7.08829994733743E-2</v>
      </c>
      <c r="T134">
        <v>4.1124579588100001E-2</v>
      </c>
      <c r="U134">
        <f t="shared" si="46"/>
        <v>0.5446428571428571</v>
      </c>
      <c r="W134">
        <v>122</v>
      </c>
      <c r="X134">
        <v>190.5</v>
      </c>
      <c r="Y134">
        <f t="shared" si="82"/>
        <v>0.74846625766871167</v>
      </c>
      <c r="Z134" t="e">
        <f t="shared" si="48"/>
        <v>#N/A</v>
      </c>
      <c r="AB134" t="e">
        <f t="shared" si="83"/>
        <v>#N/A</v>
      </c>
      <c r="AC134">
        <f t="shared" si="50"/>
        <v>190.5</v>
      </c>
      <c r="AE134" t="e">
        <v>#N/A</v>
      </c>
      <c r="AF134">
        <v>190.5</v>
      </c>
      <c r="AJ134">
        <f t="shared" si="51"/>
        <v>0.5446428571428571</v>
      </c>
      <c r="AK134">
        <v>119.467682829</v>
      </c>
      <c r="AL134">
        <f t="shared" si="52"/>
        <v>1.8323233710000011</v>
      </c>
      <c r="AM134">
        <f t="shared" si="75"/>
        <v>4.4642857142856984E-3</v>
      </c>
      <c r="AO134">
        <v>122</v>
      </c>
      <c r="AP134">
        <v>685.65016720983283</v>
      </c>
      <c r="AQ134">
        <f t="shared" si="87"/>
        <v>0.74846625766871167</v>
      </c>
      <c r="AR134" t="e">
        <f t="shared" si="53"/>
        <v>#N/A</v>
      </c>
      <c r="AT134" t="e">
        <f t="shared" si="54"/>
        <v>#N/A</v>
      </c>
      <c r="AU134">
        <f t="shared" si="55"/>
        <v>685.65016720983283</v>
      </c>
      <c r="AW134" t="e">
        <v>#N/A</v>
      </c>
      <c r="AX134">
        <v>437.5</v>
      </c>
      <c r="BB134">
        <f t="shared" si="57"/>
        <v>0.5446428571428571</v>
      </c>
      <c r="BC134">
        <v>478.91142265754326</v>
      </c>
      <c r="BD134">
        <f t="shared" si="58"/>
        <v>2.2722820965498158E-2</v>
      </c>
      <c r="BE134">
        <f t="shared" si="78"/>
        <v>4.4642857142856984E-3</v>
      </c>
      <c r="BF134">
        <v>122</v>
      </c>
      <c r="BG134">
        <v>0.34945268531428747</v>
      </c>
      <c r="BH134">
        <f t="shared" si="84"/>
        <v>0.82993197278911568</v>
      </c>
      <c r="BI134">
        <f t="shared" si="60"/>
        <v>0.82993197278911568</v>
      </c>
      <c r="BK134">
        <f t="shared" si="61"/>
        <v>0.82993197278911568</v>
      </c>
      <c r="BL134">
        <f t="shared" si="62"/>
        <v>0.34945268531428747</v>
      </c>
      <c r="BN134" t="e">
        <v>#N/A</v>
      </c>
      <c r="BO134">
        <v>7.0710678118654752E-2</v>
      </c>
      <c r="BS134">
        <f t="shared" si="64"/>
        <v>0.5446428571428571</v>
      </c>
      <c r="BT134">
        <v>9.8617989408832055E-2</v>
      </c>
      <c r="BU134">
        <f t="shared" si="65"/>
        <v>3.7013354459404513E-4</v>
      </c>
      <c r="BV134">
        <f t="shared" si="80"/>
        <v>4.4642857142856984E-3</v>
      </c>
      <c r="BW134">
        <v>122</v>
      </c>
      <c r="BX134">
        <v>6.6666666666666666E-2</v>
      </c>
      <c r="BY134">
        <f t="shared" si="85"/>
        <v>0.90370370370370368</v>
      </c>
      <c r="BZ134" t="e">
        <f t="shared" si="67"/>
        <v>#N/A</v>
      </c>
      <c r="CB134" t="e">
        <f t="shared" si="86"/>
        <v>#N/A</v>
      </c>
      <c r="CC134">
        <f t="shared" si="69"/>
        <v>6.6666666666666666E-2</v>
      </c>
      <c r="CE134" t="e">
        <v>#N/A</v>
      </c>
      <c r="CF134">
        <v>6.6666666666666666E-2</v>
      </c>
      <c r="CJ134">
        <f t="shared" si="70"/>
        <v>0.5446428571428571</v>
      </c>
      <c r="CK134">
        <v>3.7565296842699998E-2</v>
      </c>
      <c r="CL134">
        <f t="shared" si="71"/>
        <v>1.900197133500002E-3</v>
      </c>
      <c r="CM134">
        <f t="shared" si="81"/>
        <v>4.4642857142856984E-3</v>
      </c>
    </row>
    <row r="135" spans="2:91">
      <c r="B135">
        <v>123</v>
      </c>
      <c r="C135" t="e">
        <f>IF(ISNUMBER(K135),IF('Lab test'!N126&gt;0,'Lab test'!N126,NA()),NA())</f>
        <v>#N/A</v>
      </c>
      <c r="D135" t="e">
        <f>IF(ISNUMBER(K135),IF('Lab test'!Q126&gt;0,'Lab test'!Q126,NA()),NA())</f>
        <v>#N/A</v>
      </c>
      <c r="E135" t="e">
        <f>IF(ISNUMBER(K135),IF('Lab test'!P126&gt;0,'Lab test'!P126,NA()),NA())</f>
        <v>#N/A</v>
      </c>
      <c r="F135" t="e">
        <f>IF(ISNUMBER(K135),IF('Lab test'!AJ126&gt;0,'Lab test'!AJ126,NA()),NA())</f>
        <v>#N/A</v>
      </c>
      <c r="G135">
        <f>IF('Lab test'!V126&gt;0,'Lab test'!V126,NA())</f>
        <v>108247.689296</v>
      </c>
      <c r="H135">
        <f>IF(MAX('Lab test'!W126,'Lab test'!X126)&gt;0,MAX('Lab test'!W126,'Lab test'!X126),NA())</f>
        <v>199.94796112</v>
      </c>
      <c r="I135">
        <f>IF('Lab test'!AU126&gt;0,'Lab test'!AU126,NA())</f>
        <v>0.11811193525964513</v>
      </c>
      <c r="J135">
        <f>IF('Lab test'!AT126&gt;0,'Lab test'!AT126,NA())</f>
        <v>0.22911457135222785</v>
      </c>
      <c r="K135" t="e">
        <f t="shared" si="72"/>
        <v>#N/A</v>
      </c>
      <c r="L135" t="str">
        <f>'Lab test'!AC126</f>
        <v>Miscellaneous</v>
      </c>
      <c r="N135">
        <v>123</v>
      </c>
      <c r="O135">
        <v>23.900213090200001</v>
      </c>
      <c r="P135">
        <v>7.9667376967300002E-2</v>
      </c>
      <c r="Q135">
        <f t="shared" si="73"/>
        <v>300.00000000012551</v>
      </c>
      <c r="R135">
        <v>410.949637661</v>
      </c>
      <c r="S135">
        <f t="shared" si="74"/>
        <v>0.992718696822809</v>
      </c>
      <c r="T135">
        <v>6.66583244022E-2</v>
      </c>
      <c r="U135">
        <f t="shared" si="46"/>
        <v>0.5491071428571429</v>
      </c>
      <c r="W135">
        <v>123</v>
      </c>
      <c r="X135">
        <v>190.5</v>
      </c>
      <c r="Y135">
        <f t="shared" si="82"/>
        <v>0.754601226993865</v>
      </c>
      <c r="Z135" t="e">
        <f t="shared" si="48"/>
        <v>#N/A</v>
      </c>
      <c r="AB135" t="e">
        <f t="shared" si="83"/>
        <v>#N/A</v>
      </c>
      <c r="AC135">
        <f t="shared" si="50"/>
        <v>190.5</v>
      </c>
      <c r="AE135" t="e">
        <v>#N/A</v>
      </c>
      <c r="AF135">
        <v>190.5</v>
      </c>
      <c r="AJ135">
        <f t="shared" si="51"/>
        <v>0.5491071428571429</v>
      </c>
      <c r="AK135">
        <v>121.3000062</v>
      </c>
      <c r="AL135">
        <f t="shared" si="52"/>
        <v>0.5672238789999966</v>
      </c>
      <c r="AM135">
        <f t="shared" si="75"/>
        <v>4.4642857142858094E-3</v>
      </c>
      <c r="AO135">
        <v>123</v>
      </c>
      <c r="AP135">
        <v>685.65016720983283</v>
      </c>
      <c r="AQ135">
        <f t="shared" si="87"/>
        <v>0.754601226993865</v>
      </c>
      <c r="AR135">
        <f t="shared" si="53"/>
        <v>0.754601226993865</v>
      </c>
      <c r="AT135">
        <f t="shared" si="54"/>
        <v>0.754601226993865</v>
      </c>
      <c r="AU135">
        <f t="shared" si="55"/>
        <v>685.65016720983283</v>
      </c>
      <c r="AW135" t="e">
        <v>#N/A</v>
      </c>
      <c r="AX135">
        <v>437.5</v>
      </c>
      <c r="BB135">
        <f t="shared" si="57"/>
        <v>0.5491071428571429</v>
      </c>
      <c r="BC135">
        <v>478.93414547850875</v>
      </c>
      <c r="BD135">
        <f t="shared" si="58"/>
        <v>8.9483513306731766E-3</v>
      </c>
      <c r="BE135">
        <f t="shared" si="78"/>
        <v>4.4642857142858094E-3</v>
      </c>
      <c r="BF135">
        <v>123</v>
      </c>
      <c r="BG135">
        <v>0.35615596305533065</v>
      </c>
      <c r="BH135">
        <f t="shared" si="84"/>
        <v>0.83673469387755106</v>
      </c>
      <c r="BI135">
        <f t="shared" si="60"/>
        <v>0.83673469387755106</v>
      </c>
      <c r="BK135">
        <f t="shared" si="61"/>
        <v>0.83673469387755106</v>
      </c>
      <c r="BL135">
        <f t="shared" si="62"/>
        <v>0.35615596305533065</v>
      </c>
      <c r="BN135" t="e">
        <v>#N/A</v>
      </c>
      <c r="BO135">
        <v>7.6836124885782453E-2</v>
      </c>
      <c r="BS135">
        <f t="shared" si="64"/>
        <v>0.5491071428571429</v>
      </c>
      <c r="BT135">
        <v>9.89881229534261E-2</v>
      </c>
      <c r="BU135">
        <f t="shared" si="65"/>
        <v>4.3320864883206189E-5</v>
      </c>
      <c r="BV135">
        <f t="shared" si="80"/>
        <v>4.4642857142858094E-3</v>
      </c>
      <c r="BW135">
        <v>123</v>
      </c>
      <c r="BX135">
        <v>6.6666666666666666E-2</v>
      </c>
      <c r="BY135">
        <f t="shared" si="85"/>
        <v>0.91111111111111109</v>
      </c>
      <c r="BZ135" t="e">
        <f t="shared" si="67"/>
        <v>#N/A</v>
      </c>
      <c r="CB135" t="e">
        <f t="shared" si="86"/>
        <v>#N/A</v>
      </c>
      <c r="CC135">
        <f t="shared" si="69"/>
        <v>6.6666666666666666E-2</v>
      </c>
      <c r="CE135" t="e">
        <v>#N/A</v>
      </c>
      <c r="CF135">
        <v>6.6666666666666666E-2</v>
      </c>
      <c r="CJ135">
        <f t="shared" si="70"/>
        <v>0.5491071428571429</v>
      </c>
      <c r="CK135">
        <v>3.94654939762E-2</v>
      </c>
      <c r="CL135">
        <f t="shared" si="71"/>
        <v>1.6590856119000005E-3</v>
      </c>
      <c r="CM135">
        <f t="shared" si="81"/>
        <v>4.4642857142858094E-3</v>
      </c>
    </row>
    <row r="136" spans="2:91">
      <c r="B136">
        <v>124</v>
      </c>
      <c r="C136" t="e">
        <f>IF(ISNUMBER(K136),IF('Lab test'!N127&gt;0,'Lab test'!N127,NA()),NA())</f>
        <v>#N/A</v>
      </c>
      <c r="D136" t="e">
        <f>IF(ISNUMBER(K136),IF('Lab test'!Q127&gt;0,'Lab test'!Q127,NA()),NA())</f>
        <v>#N/A</v>
      </c>
      <c r="E136" t="e">
        <f>IF(ISNUMBER(K136),IF('Lab test'!P127&gt;0,'Lab test'!P127,NA()),NA())</f>
        <v>#N/A</v>
      </c>
      <c r="F136" t="e">
        <f>IF(ISNUMBER(K136),IF('Lab test'!AJ127&gt;0,'Lab test'!AJ127,NA()),NA())</f>
        <v>#N/A</v>
      </c>
      <c r="G136">
        <f>IF('Lab test'!V127&gt;0,'Lab test'!V127,NA())</f>
        <v>108247.689296</v>
      </c>
      <c r="H136">
        <f>IF(MAX('Lab test'!W127,'Lab test'!X127)&gt;0,MAX('Lab test'!W127,'Lab test'!X127),NA())</f>
        <v>199.94796112</v>
      </c>
      <c r="I136">
        <f>IF('Lab test'!AU127&gt;0,'Lab test'!AU127,NA())</f>
        <v>0.12208208434400294</v>
      </c>
      <c r="J136">
        <f>IF('Lab test'!AT127&gt;0,'Lab test'!AT127,NA())</f>
        <v>0.23681590148171447</v>
      </c>
      <c r="K136" t="e">
        <f t="shared" si="72"/>
        <v>#N/A</v>
      </c>
      <c r="L136" t="str">
        <f>'Lab test'!AC127</f>
        <v>Miscellaneous</v>
      </c>
      <c r="N136">
        <v>124</v>
      </c>
      <c r="O136">
        <v>23.918460852199999</v>
      </c>
      <c r="P136">
        <v>9.0265480850600002E-2</v>
      </c>
      <c r="Q136">
        <f t="shared" si="73"/>
        <v>264.97904433465402</v>
      </c>
      <c r="R136">
        <v>77.542487476900007</v>
      </c>
      <c r="S136">
        <f t="shared" si="74"/>
        <v>0.19915936568603232</v>
      </c>
      <c r="T136">
        <v>6.6632971435999999E-2</v>
      </c>
      <c r="U136">
        <f t="shared" si="46"/>
        <v>0.5535714285714286</v>
      </c>
      <c r="W136">
        <v>124</v>
      </c>
      <c r="X136">
        <v>190.5</v>
      </c>
      <c r="Y136">
        <f t="shared" si="82"/>
        <v>0.76073619631901845</v>
      </c>
      <c r="Z136" t="e">
        <f t="shared" si="48"/>
        <v>#N/A</v>
      </c>
      <c r="AB136" t="e">
        <f t="shared" si="83"/>
        <v>#N/A</v>
      </c>
      <c r="AC136">
        <f t="shared" si="50"/>
        <v>190.5</v>
      </c>
      <c r="AE136" t="e">
        <v>#N/A</v>
      </c>
      <c r="AF136">
        <v>190.5</v>
      </c>
      <c r="AJ136">
        <f t="shared" si="51"/>
        <v>0.5535714285714286</v>
      </c>
      <c r="AK136">
        <v>121.867230079</v>
      </c>
      <c r="AL136">
        <f t="shared" si="52"/>
        <v>1.7409234010000034</v>
      </c>
      <c r="AM136">
        <f t="shared" si="75"/>
        <v>4.4642857142856984E-3</v>
      </c>
      <c r="AO136">
        <v>124</v>
      </c>
      <c r="AP136">
        <v>691.42403787149306</v>
      </c>
      <c r="AQ136">
        <f t="shared" si="87"/>
        <v>0.76073619631901845</v>
      </c>
      <c r="AR136" t="e">
        <f t="shared" si="53"/>
        <v>#N/A</v>
      </c>
      <c r="AT136" t="e">
        <f t="shared" si="54"/>
        <v>#N/A</v>
      </c>
      <c r="AU136">
        <f t="shared" si="55"/>
        <v>691.42403787149306</v>
      </c>
      <c r="AW136" t="e">
        <v>#N/A</v>
      </c>
      <c r="AX136">
        <v>460.27553859462421</v>
      </c>
      <c r="BB136">
        <f t="shared" si="57"/>
        <v>0.5535714285714286</v>
      </c>
      <c r="BC136">
        <v>478.94309382983943</v>
      </c>
      <c r="BD136">
        <f t="shared" si="58"/>
        <v>0.53795387532250061</v>
      </c>
      <c r="BE136">
        <f t="shared" si="78"/>
        <v>4.4642857142856984E-3</v>
      </c>
      <c r="BF136">
        <v>124</v>
      </c>
      <c r="BG136">
        <v>0.35675910652390364</v>
      </c>
      <c r="BH136">
        <f t="shared" si="84"/>
        <v>0.84353741496598644</v>
      </c>
      <c r="BI136">
        <f t="shared" si="60"/>
        <v>0.84353741496598644</v>
      </c>
      <c r="BK136">
        <f t="shared" si="61"/>
        <v>0.84353741496598644</v>
      </c>
      <c r="BL136">
        <f t="shared" si="62"/>
        <v>0.35675910652390364</v>
      </c>
      <c r="BN136" t="e">
        <v>#N/A</v>
      </c>
      <c r="BO136">
        <v>7.6836124885782453E-2</v>
      </c>
      <c r="BS136">
        <f t="shared" si="64"/>
        <v>0.5535714285714286</v>
      </c>
      <c r="BT136">
        <v>9.9031443818309306E-2</v>
      </c>
      <c r="BU136">
        <f t="shared" si="65"/>
        <v>7.4321335379198827E-4</v>
      </c>
      <c r="BV136">
        <f t="shared" si="80"/>
        <v>4.4642857142856984E-3</v>
      </c>
      <c r="BW136">
        <v>124</v>
      </c>
      <c r="BX136">
        <v>6.6666666666666666E-2</v>
      </c>
      <c r="BY136">
        <f t="shared" si="85"/>
        <v>0.91851851851851851</v>
      </c>
      <c r="BZ136" t="e">
        <f t="shared" si="67"/>
        <v>#N/A</v>
      </c>
      <c r="CB136" t="e">
        <f t="shared" si="86"/>
        <v>#N/A</v>
      </c>
      <c r="CC136">
        <f t="shared" si="69"/>
        <v>6.6666666666666666E-2</v>
      </c>
      <c r="CE136" t="e">
        <v>#N/A</v>
      </c>
      <c r="CF136">
        <v>6.6666666666666666E-2</v>
      </c>
      <c r="CJ136">
        <f t="shared" si="70"/>
        <v>0.5535714285714286</v>
      </c>
      <c r="CK136">
        <v>4.1124579588100001E-2</v>
      </c>
      <c r="CL136">
        <f t="shared" si="71"/>
        <v>1.1541327519999645E-4</v>
      </c>
      <c r="CM136">
        <f t="shared" si="81"/>
        <v>4.4642857142856984E-3</v>
      </c>
    </row>
    <row r="137" spans="2:91">
      <c r="B137">
        <v>125</v>
      </c>
      <c r="C137" t="e">
        <f>IF(ISNUMBER(K137),IF('Lab test'!N128&gt;0,'Lab test'!N128,NA()),NA())</f>
        <v>#N/A</v>
      </c>
      <c r="D137" t="e">
        <f>IF(ISNUMBER(K137),IF('Lab test'!Q128&gt;0,'Lab test'!Q128,NA()),NA())</f>
        <v>#N/A</v>
      </c>
      <c r="E137" t="e">
        <f>IF(ISNUMBER(K137),IF('Lab test'!P128&gt;0,'Lab test'!P128,NA()),NA())</f>
        <v>#N/A</v>
      </c>
      <c r="F137" t="e">
        <f>IF(ISNUMBER(K137),IF('Lab test'!AJ128&gt;0,'Lab test'!AJ128,NA()),NA())</f>
        <v>#N/A</v>
      </c>
      <c r="G137">
        <f>IF('Lab test'!V128&gt;0,'Lab test'!V128,NA())</f>
        <v>199947.96150188247</v>
      </c>
      <c r="H137" t="e">
        <f>IF(MAX('Lab test'!W128,'Lab test'!X128)&gt;0,MAX('Lab test'!W128,'Lab test'!X128),NA())</f>
        <v>#N/A</v>
      </c>
      <c r="I137" t="e">
        <f>IF('Lab test'!AU128&gt;0,'Lab test'!AU128,NA())</f>
        <v>#N/A</v>
      </c>
      <c r="J137">
        <f>IF('Lab test'!AT128&gt;0,'Lab test'!AT128,NA())</f>
        <v>0.38955393689032747</v>
      </c>
      <c r="K137" t="e">
        <f t="shared" si="72"/>
        <v>#N/A</v>
      </c>
      <c r="L137" t="str">
        <f>'Lab test'!AC128</f>
        <v>LTWb</v>
      </c>
      <c r="N137">
        <v>125</v>
      </c>
      <c r="O137">
        <v>23.923260872499998</v>
      </c>
      <c r="P137">
        <v>0.38032511379799999</v>
      </c>
      <c r="Q137">
        <f t="shared" si="73"/>
        <v>62.902132950405765</v>
      </c>
      <c r="R137">
        <v>67.094891116699998</v>
      </c>
      <c r="S137">
        <f t="shared" si="74"/>
        <v>0.35361965023895381</v>
      </c>
      <c r="T137">
        <v>1.48886368439E-2</v>
      </c>
      <c r="U137">
        <f t="shared" si="46"/>
        <v>0.5580357142857143</v>
      </c>
      <c r="W137">
        <v>125</v>
      </c>
      <c r="X137">
        <v>190.5</v>
      </c>
      <c r="Y137">
        <f t="shared" si="82"/>
        <v>0.76687116564417179</v>
      </c>
      <c r="Z137" t="e">
        <f t="shared" si="48"/>
        <v>#N/A</v>
      </c>
      <c r="AB137" t="e">
        <f t="shared" si="83"/>
        <v>#N/A</v>
      </c>
      <c r="AC137">
        <f t="shared" si="50"/>
        <v>190.5</v>
      </c>
      <c r="AE137" t="e">
        <v>#N/A</v>
      </c>
      <c r="AF137">
        <v>190.5</v>
      </c>
      <c r="AJ137">
        <f t="shared" si="51"/>
        <v>0.5580357142857143</v>
      </c>
      <c r="AK137">
        <v>123.60815348</v>
      </c>
      <c r="AL137">
        <f t="shared" si="52"/>
        <v>1.4058717860000058</v>
      </c>
      <c r="AM137">
        <f t="shared" si="75"/>
        <v>4.4642857142856984E-3</v>
      </c>
      <c r="AO137">
        <v>125</v>
      </c>
      <c r="AP137">
        <v>691.42403787149306</v>
      </c>
      <c r="AQ137">
        <f t="shared" si="87"/>
        <v>0.76687116564417179</v>
      </c>
      <c r="AR137">
        <f t="shared" si="53"/>
        <v>0.76687116564417179</v>
      </c>
      <c r="AT137">
        <f t="shared" si="54"/>
        <v>0.76687116564417179</v>
      </c>
      <c r="AU137">
        <f t="shared" si="55"/>
        <v>691.42403787149306</v>
      </c>
      <c r="AW137" t="e">
        <v>#N/A</v>
      </c>
      <c r="AX137">
        <v>460.27553859462421</v>
      </c>
      <c r="BB137">
        <f t="shared" si="57"/>
        <v>0.5580357142857143</v>
      </c>
      <c r="BC137">
        <v>479.48104770516193</v>
      </c>
      <c r="BD137">
        <f t="shared" si="58"/>
        <v>6.8136029828569917</v>
      </c>
      <c r="BE137">
        <f t="shared" si="78"/>
        <v>4.4642857142856984E-3</v>
      </c>
      <c r="BF137">
        <v>125</v>
      </c>
      <c r="BG137">
        <v>0.36143477050960843</v>
      </c>
      <c r="BH137">
        <f t="shared" si="84"/>
        <v>0.85034013605442171</v>
      </c>
      <c r="BI137">
        <f t="shared" si="60"/>
        <v>0.85034013605442171</v>
      </c>
      <c r="BK137">
        <f t="shared" si="61"/>
        <v>0.85034013605442171</v>
      </c>
      <c r="BL137">
        <f t="shared" si="62"/>
        <v>0.36143477050960843</v>
      </c>
      <c r="BN137" t="e">
        <v>#N/A</v>
      </c>
      <c r="BO137">
        <v>7.6836124885782453E-2</v>
      </c>
      <c r="BS137">
        <f t="shared" si="64"/>
        <v>0.5580357142857143</v>
      </c>
      <c r="BT137">
        <v>9.9774657172101294E-2</v>
      </c>
      <c r="BU137">
        <f t="shared" si="65"/>
        <v>2.7238956498559785E-5</v>
      </c>
      <c r="BV137">
        <f t="shared" si="80"/>
        <v>4.4642857142856984E-3</v>
      </c>
      <c r="BW137">
        <v>125</v>
      </c>
      <c r="BX137">
        <v>6.6666666666666666E-2</v>
      </c>
      <c r="BY137">
        <f t="shared" si="85"/>
        <v>0.92592592592592593</v>
      </c>
      <c r="BZ137">
        <f t="shared" si="67"/>
        <v>0.92592592592592593</v>
      </c>
      <c r="CB137">
        <f t="shared" si="86"/>
        <v>0.92592592592592593</v>
      </c>
      <c r="CC137">
        <f t="shared" si="69"/>
        <v>6.6666666666666666E-2</v>
      </c>
      <c r="CE137" t="e">
        <v>#N/A</v>
      </c>
      <c r="CF137">
        <v>6.6666666666666666E-2</v>
      </c>
      <c r="CJ137">
        <f t="shared" si="70"/>
        <v>0.5580357142857143</v>
      </c>
      <c r="CK137">
        <v>4.1239992863299997E-2</v>
      </c>
      <c r="CL137">
        <f t="shared" si="71"/>
        <v>1.3730515046000008E-3</v>
      </c>
      <c r="CM137">
        <f t="shared" si="81"/>
        <v>4.4642857142856984E-3</v>
      </c>
    </row>
    <row r="138" spans="2:91">
      <c r="B138">
        <v>126</v>
      </c>
      <c r="C138" t="e">
        <f>IF(ISNUMBER(K138),IF('Lab test'!N129&gt;0,'Lab test'!N129,NA()),NA())</f>
        <v>#N/A</v>
      </c>
      <c r="D138" t="e">
        <f>IF(ISNUMBER(K138),IF('Lab test'!Q129&gt;0,'Lab test'!Q129,NA()),NA())</f>
        <v>#N/A</v>
      </c>
      <c r="E138" t="e">
        <f>IF(ISNUMBER(K138),IF('Lab test'!P129&gt;0,'Lab test'!P129,NA()),NA())</f>
        <v>#N/A</v>
      </c>
      <c r="F138" t="e">
        <f>IF(ISNUMBER(K138),IF('Lab test'!AJ129&gt;0,'Lab test'!AJ129,NA()),NA())</f>
        <v>#N/A</v>
      </c>
      <c r="G138">
        <f>IF('Lab test'!V129&gt;0,'Lab test'!V129,NA())</f>
        <v>199947.96150188247</v>
      </c>
      <c r="H138" t="e">
        <f>IF(MAX('Lab test'!W129,'Lab test'!X129)&gt;0,MAX('Lab test'!W129,'Lab test'!X129),NA())</f>
        <v>#N/A</v>
      </c>
      <c r="I138" t="e">
        <f>IF('Lab test'!AU129&gt;0,'Lab test'!AU129,NA())</f>
        <v>#N/A</v>
      </c>
      <c r="J138">
        <f>IF('Lab test'!AT129&gt;0,'Lab test'!AT129,NA())</f>
        <v>0.41931936541541204</v>
      </c>
      <c r="K138" t="e">
        <f t="shared" si="72"/>
        <v>#N/A</v>
      </c>
      <c r="L138" t="str">
        <f>'Lab test'!AC129</f>
        <v>LTWb</v>
      </c>
      <c r="N138">
        <v>126</v>
      </c>
      <c r="O138">
        <v>24.995817960299998</v>
      </c>
      <c r="P138">
        <v>7.1753642553200006E-2</v>
      </c>
      <c r="Q138">
        <f t="shared" si="73"/>
        <v>348.35608438648188</v>
      </c>
      <c r="R138">
        <v>245.470928977</v>
      </c>
      <c r="S138">
        <f t="shared" si="74"/>
        <v>0.52616385757696804</v>
      </c>
      <c r="T138">
        <v>5.5338999089099998E-2</v>
      </c>
      <c r="U138">
        <f t="shared" si="46"/>
        <v>0.5625</v>
      </c>
      <c r="W138">
        <v>126</v>
      </c>
      <c r="X138">
        <v>190.5</v>
      </c>
      <c r="Y138">
        <f t="shared" si="82"/>
        <v>0.77300613496932513</v>
      </c>
      <c r="Z138" t="e">
        <f t="shared" si="48"/>
        <v>#N/A</v>
      </c>
      <c r="AB138" t="e">
        <f t="shared" si="83"/>
        <v>#N/A</v>
      </c>
      <c r="AC138">
        <f t="shared" si="50"/>
        <v>190.5</v>
      </c>
      <c r="AE138" t="e">
        <v>#N/A</v>
      </c>
      <c r="AF138">
        <v>190.5</v>
      </c>
      <c r="AJ138">
        <f t="shared" si="51"/>
        <v>0.5625</v>
      </c>
      <c r="AK138">
        <v>125.014025266</v>
      </c>
      <c r="AL138">
        <f t="shared" si="52"/>
        <v>1.1328247049999902</v>
      </c>
      <c r="AM138">
        <f t="shared" si="75"/>
        <v>4.4642857142856984E-3</v>
      </c>
      <c r="AO138">
        <v>126</v>
      </c>
      <c r="AP138">
        <v>720.65652769939629</v>
      </c>
      <c r="AQ138">
        <f t="shared" si="87"/>
        <v>0.77300613496932513</v>
      </c>
      <c r="AR138" t="e">
        <f t="shared" si="53"/>
        <v>#N/A</v>
      </c>
      <c r="AT138" t="e">
        <f t="shared" si="54"/>
        <v>#N/A</v>
      </c>
      <c r="AU138">
        <f t="shared" si="55"/>
        <v>720.65652769939629</v>
      </c>
      <c r="AW138" t="e">
        <v>#N/A</v>
      </c>
      <c r="AX138">
        <v>460.78431372549016</v>
      </c>
      <c r="BB138">
        <f t="shared" si="57"/>
        <v>0.5625</v>
      </c>
      <c r="BC138">
        <v>486.29465068801892</v>
      </c>
      <c r="BD138">
        <f t="shared" si="58"/>
        <v>5.8745046901549358E-3</v>
      </c>
      <c r="BE138">
        <f t="shared" si="78"/>
        <v>4.4642857142856984E-3</v>
      </c>
      <c r="BF138">
        <v>126</v>
      </c>
      <c r="BG138">
        <v>0.36653042992274332</v>
      </c>
      <c r="BH138">
        <f t="shared" si="84"/>
        <v>0.8571428571428571</v>
      </c>
      <c r="BI138" t="e">
        <f t="shared" si="60"/>
        <v>#N/A</v>
      </c>
      <c r="BK138" t="e">
        <f t="shared" si="61"/>
        <v>#N/A</v>
      </c>
      <c r="BL138">
        <f t="shared" si="62"/>
        <v>0.36653042992274332</v>
      </c>
      <c r="BN138" t="e">
        <v>#N/A</v>
      </c>
      <c r="BO138">
        <v>0.1</v>
      </c>
      <c r="BS138">
        <f t="shared" si="64"/>
        <v>0.5625</v>
      </c>
      <c r="BT138">
        <v>9.9801896128599854E-2</v>
      </c>
      <c r="BU138">
        <f t="shared" si="65"/>
        <v>2.5026633069899495E-4</v>
      </c>
      <c r="BV138">
        <f t="shared" si="80"/>
        <v>4.4642857142856984E-3</v>
      </c>
      <c r="BW138">
        <v>126</v>
      </c>
      <c r="BX138">
        <v>7.8947368421052627E-2</v>
      </c>
      <c r="BY138">
        <f t="shared" si="85"/>
        <v>0.93333333333333335</v>
      </c>
      <c r="BZ138" t="e">
        <f t="shared" si="67"/>
        <v>#N/A</v>
      </c>
      <c r="CB138" t="e">
        <f t="shared" si="86"/>
        <v>#N/A</v>
      </c>
      <c r="CC138">
        <f t="shared" si="69"/>
        <v>7.8947368421052627E-2</v>
      </c>
      <c r="CE138" t="e">
        <v>#N/A</v>
      </c>
      <c r="CF138">
        <v>6.6666666666666666E-2</v>
      </c>
      <c r="CJ138">
        <f t="shared" si="70"/>
        <v>0.5625</v>
      </c>
      <c r="CK138">
        <v>4.2613044367899998E-2</v>
      </c>
      <c r="CL138">
        <f t="shared" si="71"/>
        <v>6.4044269999993797E-6</v>
      </c>
      <c r="CM138">
        <f t="shared" si="81"/>
        <v>4.4642857142856984E-3</v>
      </c>
    </row>
    <row r="139" spans="2:91">
      <c r="B139">
        <v>127</v>
      </c>
      <c r="C139" t="e">
        <f>IF(ISNUMBER(K139),IF('Lab test'!N130&gt;0,'Lab test'!N130,NA()),NA())</f>
        <v>#N/A</v>
      </c>
      <c r="D139" t="e">
        <f>IF(ISNUMBER(K139),IF('Lab test'!Q130&gt;0,'Lab test'!Q130,NA()),NA())</f>
        <v>#N/A</v>
      </c>
      <c r="E139" t="e">
        <f>IF(ISNUMBER(K139),IF('Lab test'!P130&gt;0,'Lab test'!P130,NA()),NA())</f>
        <v>#N/A</v>
      </c>
      <c r="F139" t="e">
        <f>IF(ISNUMBER(K139),IF('Lab test'!AJ130&gt;0,'Lab test'!AJ130,NA()),NA())</f>
        <v>#N/A</v>
      </c>
      <c r="G139">
        <f>IF('Lab test'!V130&gt;0,'Lab test'!V130,NA())</f>
        <v>199947.96150188247</v>
      </c>
      <c r="H139" t="e">
        <f>IF(MAX('Lab test'!W130,'Lab test'!X130)&gt;0,MAX('Lab test'!W130,'Lab test'!X130),NA())</f>
        <v>#N/A</v>
      </c>
      <c r="I139" t="e">
        <f>IF('Lab test'!AU130&gt;0,'Lab test'!AU130,NA())</f>
        <v>#N/A</v>
      </c>
      <c r="J139">
        <f>IF('Lab test'!AT130&gt;0,'Lab test'!AT130,NA())</f>
        <v>0.3022897964821582</v>
      </c>
      <c r="K139" t="e">
        <f t="shared" si="72"/>
        <v>#N/A</v>
      </c>
      <c r="L139" t="str">
        <f>'Lab test'!AC130</f>
        <v>LTWb</v>
      </c>
      <c r="N139">
        <v>127</v>
      </c>
      <c r="O139">
        <v>25.8876102338</v>
      </c>
      <c r="P139">
        <v>7.5780536978899998E-2</v>
      </c>
      <c r="Q139">
        <f t="shared" si="73"/>
        <v>341.61291626909468</v>
      </c>
      <c r="R139">
        <v>174.82494307799999</v>
      </c>
      <c r="S139">
        <f t="shared" si="74"/>
        <v>0.3653795973604172</v>
      </c>
      <c r="T139">
        <v>5.8143552411399999E-2</v>
      </c>
      <c r="U139">
        <f t="shared" si="46"/>
        <v>0.5669642857142857</v>
      </c>
      <c r="W139">
        <v>127</v>
      </c>
      <c r="X139">
        <v>190.5</v>
      </c>
      <c r="Y139">
        <f t="shared" si="82"/>
        <v>0.77914110429447858</v>
      </c>
      <c r="Z139" t="e">
        <f t="shared" si="48"/>
        <v>#N/A</v>
      </c>
      <c r="AB139" t="e">
        <f t="shared" si="83"/>
        <v>#N/A</v>
      </c>
      <c r="AC139">
        <f t="shared" si="50"/>
        <v>190.5</v>
      </c>
      <c r="AE139" t="e">
        <v>#N/A</v>
      </c>
      <c r="AF139">
        <v>190.5</v>
      </c>
      <c r="AJ139">
        <f t="shared" si="51"/>
        <v>0.5669642857142857</v>
      </c>
      <c r="AK139">
        <v>126.14684997099999</v>
      </c>
      <c r="AL139">
        <f t="shared" si="52"/>
        <v>1.8863940809999917</v>
      </c>
      <c r="AM139">
        <f t="shared" si="75"/>
        <v>4.4642857142856984E-3</v>
      </c>
      <c r="AO139">
        <v>127</v>
      </c>
      <c r="AP139">
        <v>720.65652769939629</v>
      </c>
      <c r="AQ139">
        <f t="shared" si="87"/>
        <v>0.77914110429447858</v>
      </c>
      <c r="AR139">
        <f t="shared" si="53"/>
        <v>0.77914110429447858</v>
      </c>
      <c r="AT139">
        <f t="shared" si="54"/>
        <v>0.77914110429447858</v>
      </c>
      <c r="AU139">
        <f t="shared" si="55"/>
        <v>720.65652769939629</v>
      </c>
      <c r="AW139" t="e">
        <v>#N/A</v>
      </c>
      <c r="AX139">
        <v>460.78431372549016</v>
      </c>
      <c r="BB139">
        <f t="shared" si="57"/>
        <v>0.5669642857142857</v>
      </c>
      <c r="BC139">
        <v>486.30052519270907</v>
      </c>
      <c r="BD139">
        <f t="shared" si="58"/>
        <v>4.0545909860156826E-3</v>
      </c>
      <c r="BE139">
        <f t="shared" si="78"/>
        <v>4.4642857142856984E-3</v>
      </c>
      <c r="BF139">
        <v>127</v>
      </c>
      <c r="BG139">
        <v>0.36653042992274332</v>
      </c>
      <c r="BH139">
        <f t="shared" si="84"/>
        <v>0.86394557823129248</v>
      </c>
      <c r="BI139" t="e">
        <f t="shared" si="60"/>
        <v>#N/A</v>
      </c>
      <c r="BK139" t="e">
        <f t="shared" si="61"/>
        <v>#N/A</v>
      </c>
      <c r="BL139">
        <f t="shared" si="62"/>
        <v>0.36653042992274332</v>
      </c>
      <c r="BN139" t="e">
        <v>#N/A</v>
      </c>
      <c r="BO139">
        <v>0.10785471709665738</v>
      </c>
      <c r="BS139">
        <f t="shared" si="64"/>
        <v>0.5669642857142857</v>
      </c>
      <c r="BT139">
        <v>0.10005216245929885</v>
      </c>
      <c r="BU139">
        <f t="shared" si="65"/>
        <v>1.2965848559644277E-3</v>
      </c>
      <c r="BV139">
        <f t="shared" si="80"/>
        <v>4.4642857142856984E-3</v>
      </c>
      <c r="BW139">
        <v>127</v>
      </c>
      <c r="BX139">
        <v>7.8947368421052627E-2</v>
      </c>
      <c r="BY139">
        <f t="shared" si="85"/>
        <v>0.94074074074074077</v>
      </c>
      <c r="BZ139" t="e">
        <f t="shared" si="67"/>
        <v>#N/A</v>
      </c>
      <c r="CB139" t="e">
        <f t="shared" si="86"/>
        <v>#N/A</v>
      </c>
      <c r="CC139">
        <f t="shared" si="69"/>
        <v>7.8947368421052627E-2</v>
      </c>
      <c r="CE139" t="e">
        <v>#N/A</v>
      </c>
      <c r="CF139">
        <v>7.8947368421052627E-2</v>
      </c>
      <c r="CJ139">
        <f t="shared" si="70"/>
        <v>0.5669642857142857</v>
      </c>
      <c r="CK139">
        <v>4.2619448794899997E-2</v>
      </c>
      <c r="CL139">
        <f t="shared" si="71"/>
        <v>1.0196792090000351E-4</v>
      </c>
      <c r="CM139">
        <f t="shared" si="81"/>
        <v>4.4642857142856984E-3</v>
      </c>
    </row>
    <row r="140" spans="2:91">
      <c r="B140">
        <v>128</v>
      </c>
      <c r="C140" t="e">
        <f>IF(ISNUMBER(K140),IF('Lab test'!N131&gt;0,'Lab test'!N131,NA()),NA())</f>
        <v>#N/A</v>
      </c>
      <c r="D140" t="e">
        <f>IF(ISNUMBER(K140),IF('Lab test'!Q131&gt;0,'Lab test'!Q131,NA()),NA())</f>
        <v>#N/A</v>
      </c>
      <c r="E140" t="e">
        <f>IF(ISNUMBER(K140),IF('Lab test'!P131&gt;0,'Lab test'!P131,NA()),NA())</f>
        <v>#N/A</v>
      </c>
      <c r="F140" t="e">
        <f>IF(ISNUMBER(K140),IF('Lab test'!AJ131&gt;0,'Lab test'!AJ131,NA()),NA())</f>
        <v>#N/A</v>
      </c>
      <c r="G140">
        <f>IF('Lab test'!V131&gt;0,'Lab test'!V131,NA())</f>
        <v>199947.96150188247</v>
      </c>
      <c r="H140" t="e">
        <f>IF(MAX('Lab test'!W131,'Lab test'!X131)&gt;0,MAX('Lab test'!W131,'Lab test'!X131),NA())</f>
        <v>#N/A</v>
      </c>
      <c r="I140" t="e">
        <f>IF('Lab test'!AU131&gt;0,'Lab test'!AU131,NA())</f>
        <v>#N/A</v>
      </c>
      <c r="J140">
        <f>IF('Lab test'!AT131&gt;0,'Lab test'!AT131,NA())</f>
        <v>0.3022897964821582</v>
      </c>
      <c r="K140" t="e">
        <f t="shared" si="72"/>
        <v>#N/A</v>
      </c>
      <c r="L140" t="str">
        <f>'Lab test'!AC131</f>
        <v>LTWb</v>
      </c>
      <c r="N140">
        <v>128</v>
      </c>
      <c r="O140">
        <v>25.996130255499999</v>
      </c>
      <c r="P140">
        <v>6.42563724005E-2</v>
      </c>
      <c r="Q140">
        <f t="shared" si="73"/>
        <v>404.56890553158138</v>
      </c>
      <c r="R140">
        <v>334.94903822100002</v>
      </c>
      <c r="S140">
        <f t="shared" si="74"/>
        <v>0.64058059781606214</v>
      </c>
      <c r="T140">
        <v>6.6532632152800003E-2</v>
      </c>
      <c r="U140">
        <f t="shared" si="46"/>
        <v>0.5714285714285714</v>
      </c>
      <c r="W140">
        <v>128</v>
      </c>
      <c r="X140">
        <v>190.5</v>
      </c>
      <c r="Y140">
        <f t="shared" si="82"/>
        <v>0.78527607361963192</v>
      </c>
      <c r="Z140">
        <f t="shared" si="48"/>
        <v>0.78527607361963192</v>
      </c>
      <c r="AB140">
        <f t="shared" si="83"/>
        <v>0.78527607361963192</v>
      </c>
      <c r="AC140">
        <f t="shared" si="50"/>
        <v>190.5</v>
      </c>
      <c r="AE140" t="e">
        <v>#N/A</v>
      </c>
      <c r="AF140">
        <v>190.5</v>
      </c>
      <c r="AJ140">
        <f t="shared" si="51"/>
        <v>0.5714285714285714</v>
      </c>
      <c r="AK140">
        <v>128.03324405199999</v>
      </c>
      <c r="AL140">
        <f t="shared" si="52"/>
        <v>1.0143389870000021</v>
      </c>
      <c r="AM140">
        <f t="shared" si="75"/>
        <v>4.4642857142856984E-3</v>
      </c>
      <c r="AO140">
        <v>128</v>
      </c>
      <c r="AP140">
        <v>756.53441583600295</v>
      </c>
      <c r="AQ140">
        <f t="shared" si="87"/>
        <v>0.78527607361963192</v>
      </c>
      <c r="AR140">
        <f t="shared" si="53"/>
        <v>0.78527607361963192</v>
      </c>
      <c r="AT140">
        <f t="shared" si="54"/>
        <v>0.78527607361963192</v>
      </c>
      <c r="AU140">
        <f t="shared" si="55"/>
        <v>756.53441583600295</v>
      </c>
      <c r="AW140" t="e">
        <v>#N/A</v>
      </c>
      <c r="AX140">
        <v>460.78431372549016</v>
      </c>
      <c r="BB140">
        <f t="shared" si="57"/>
        <v>0.5714285714285714</v>
      </c>
      <c r="BC140">
        <v>486.30457978369509</v>
      </c>
      <c r="BD140">
        <f t="shared" si="58"/>
        <v>1.8162078158127315E-2</v>
      </c>
      <c r="BE140">
        <f t="shared" si="78"/>
        <v>4.4642857142856984E-3</v>
      </c>
      <c r="BF140">
        <v>128</v>
      </c>
      <c r="BG140">
        <v>0.36653042992274332</v>
      </c>
      <c r="BH140">
        <f t="shared" si="84"/>
        <v>0.87074829931972786</v>
      </c>
      <c r="BI140" t="e">
        <f t="shared" si="60"/>
        <v>#N/A</v>
      </c>
      <c r="BK140" t="e">
        <f t="shared" si="61"/>
        <v>#N/A</v>
      </c>
      <c r="BL140">
        <f t="shared" si="62"/>
        <v>0.36653042992274332</v>
      </c>
      <c r="BN140" t="e">
        <v>#N/A</v>
      </c>
      <c r="BO140">
        <v>0.11243780758630441</v>
      </c>
      <c r="BS140">
        <f t="shared" si="64"/>
        <v>0.5714285714285714</v>
      </c>
      <c r="BT140">
        <v>0.10134874731526328</v>
      </c>
      <c r="BU140">
        <f t="shared" si="65"/>
        <v>1.1532709608370884E-4</v>
      </c>
      <c r="BV140">
        <f t="shared" si="80"/>
        <v>4.4642857142856984E-3</v>
      </c>
      <c r="BW140">
        <v>128</v>
      </c>
      <c r="BX140">
        <v>7.8947368421052627E-2</v>
      </c>
      <c r="BY140">
        <f t="shared" si="85"/>
        <v>0.94814814814814818</v>
      </c>
      <c r="BZ140" t="e">
        <f t="shared" si="67"/>
        <v>#N/A</v>
      </c>
      <c r="CB140" t="e">
        <f t="shared" si="86"/>
        <v>#N/A</v>
      </c>
      <c r="CC140">
        <f t="shared" si="69"/>
        <v>7.8947368421052627E-2</v>
      </c>
      <c r="CE140" t="e">
        <v>#N/A</v>
      </c>
      <c r="CF140">
        <v>7.8947368421052627E-2</v>
      </c>
      <c r="CJ140">
        <f t="shared" si="70"/>
        <v>0.5714285714285714</v>
      </c>
      <c r="CK140">
        <v>4.2721416715800001E-2</v>
      </c>
      <c r="CL140">
        <f t="shared" si="71"/>
        <v>3.7158233136000002E-3</v>
      </c>
      <c r="CM140">
        <f t="shared" si="81"/>
        <v>4.4642857142856984E-3</v>
      </c>
    </row>
    <row r="141" spans="2:91">
      <c r="B141">
        <v>129</v>
      </c>
      <c r="C141" t="e">
        <f>IF(ISNUMBER(K141),IF('Lab test'!N132&gt;0,'Lab test'!N132,NA()),NA())</f>
        <v>#N/A</v>
      </c>
      <c r="D141" t="e">
        <f>IF(ISNUMBER(K141),IF('Lab test'!Q132&gt;0,'Lab test'!Q132,NA()),NA())</f>
        <v>#N/A</v>
      </c>
      <c r="E141" t="e">
        <f>IF(ISNUMBER(K141),IF('Lab test'!P132&gt;0,'Lab test'!P132,NA()),NA())</f>
        <v>#N/A</v>
      </c>
      <c r="F141" t="e">
        <f>IF(ISNUMBER(K141),IF('Lab test'!AJ132&gt;0,'Lab test'!AJ132,NA()),NA())</f>
        <v>#N/A</v>
      </c>
      <c r="G141">
        <f>IF('Lab test'!V132&gt;0,'Lab test'!V132,NA())</f>
        <v>199947.96150188247</v>
      </c>
      <c r="H141" t="e">
        <f>IF(MAX('Lab test'!W132,'Lab test'!X132)&gt;0,MAX('Lab test'!W132,'Lab test'!X132),NA())</f>
        <v>#N/A</v>
      </c>
      <c r="I141" t="e">
        <f>IF('Lab test'!AU132&gt;0,'Lab test'!AU132,NA())</f>
        <v>#N/A</v>
      </c>
      <c r="J141">
        <f>IF('Lab test'!AT132&gt;0,'Lab test'!AT132,NA())</f>
        <v>0.34456571405760156</v>
      </c>
      <c r="K141" t="e">
        <f t="shared" si="72"/>
        <v>#N/A</v>
      </c>
      <c r="L141" t="str">
        <f>'Lab test'!AC132</f>
        <v>LTWb</v>
      </c>
      <c r="N141">
        <v>129</v>
      </c>
      <c r="O141">
        <v>261.961165962</v>
      </c>
      <c r="P141">
        <v>0.382083169763</v>
      </c>
      <c r="Q141">
        <f t="shared" si="73"/>
        <v>685.61294161292233</v>
      </c>
      <c r="R141">
        <v>732.35376048399996</v>
      </c>
      <c r="S141">
        <f t="shared" si="74"/>
        <v>0.1067688334786193</v>
      </c>
      <c r="T141">
        <v>1.4686233832900001E-2</v>
      </c>
      <c r="U141">
        <f t="shared" ref="U141:U204" si="88">N141/COUNT($N$13:$N$236)</f>
        <v>0.5758928571428571</v>
      </c>
      <c r="W141">
        <v>129</v>
      </c>
      <c r="X141">
        <v>203.2</v>
      </c>
      <c r="Y141">
        <f t="shared" ref="Y141:Y175" si="89">W141/COUNT($W$13:$W$175)</f>
        <v>0.79141104294478526</v>
      </c>
      <c r="Z141" t="e">
        <f t="shared" ref="Z141:Z204" si="90">IF(X141=X142,NA(),Y141)</f>
        <v>#N/A</v>
      </c>
      <c r="AB141" t="e">
        <f t="shared" ref="AB141:AB174" si="91">Z141</f>
        <v>#N/A</v>
      </c>
      <c r="AC141">
        <f t="shared" ref="AC141:AC204" si="92">X141</f>
        <v>203.2</v>
      </c>
      <c r="AE141" t="e">
        <v>#N/A</v>
      </c>
      <c r="AF141">
        <v>190.5</v>
      </c>
      <c r="AJ141">
        <f t="shared" ref="AJ141:AJ204" si="93">U141</f>
        <v>0.5758928571428571</v>
      </c>
      <c r="AK141">
        <v>129.04758303899999</v>
      </c>
      <c r="AL141">
        <f t="shared" ref="AL141:AL204" si="94">AK142-AK141</f>
        <v>1.6993660820000116</v>
      </c>
      <c r="AM141">
        <f t="shared" si="75"/>
        <v>4.4642857142856984E-3</v>
      </c>
      <c r="AO141">
        <v>129</v>
      </c>
      <c r="AP141">
        <v>768.68738469199252</v>
      </c>
      <c r="AQ141">
        <f t="shared" si="87"/>
        <v>0.79141104294478526</v>
      </c>
      <c r="AR141">
        <f t="shared" ref="AR141:AR204" si="95">IF(AP141=AP142,NA(),AQ141)</f>
        <v>0.79141104294478526</v>
      </c>
      <c r="AT141">
        <f t="shared" ref="AT141:AT204" si="96">AR141</f>
        <v>0.79141104294478526</v>
      </c>
      <c r="AU141">
        <f t="shared" ref="AU141:AU204" si="97">AP141</f>
        <v>768.68738469199252</v>
      </c>
      <c r="AW141" t="e">
        <v>#N/A</v>
      </c>
      <c r="AX141">
        <v>460.78431372549016</v>
      </c>
      <c r="BB141">
        <f t="shared" ref="BB141:BB204" si="98">U141</f>
        <v>0.5758928571428571</v>
      </c>
      <c r="BC141">
        <v>486.32274186185322</v>
      </c>
      <c r="BD141">
        <f t="shared" ref="BD141:BD204" si="99">BC142-BC141</f>
        <v>5.4378340814938042</v>
      </c>
      <c r="BE141">
        <f t="shared" si="78"/>
        <v>4.4642857142856984E-3</v>
      </c>
      <c r="BF141">
        <v>129</v>
      </c>
      <c r="BG141">
        <v>0.36653042992274332</v>
      </c>
      <c r="BH141">
        <f t="shared" ref="BH141:BH159" si="100">BF141/COUNT($BF$13:$BF$159)</f>
        <v>0.87755102040816324</v>
      </c>
      <c r="BI141">
        <f t="shared" ref="BI141:BI204" si="101">IF(BG141=BG142,NA(),BH141)</f>
        <v>0.87755102040816324</v>
      </c>
      <c r="BK141">
        <f t="shared" ref="BK141:BK204" si="102">BI141</f>
        <v>0.87755102040816324</v>
      </c>
      <c r="BL141">
        <f t="shared" ref="BL141:BL204" si="103">BG141</f>
        <v>0.36653042992274332</v>
      </c>
      <c r="BN141" t="e">
        <v>#N/A</v>
      </c>
      <c r="BO141">
        <v>0.11607620001760187</v>
      </c>
      <c r="BS141">
        <f t="shared" ref="BS141:BS204" si="104">U141</f>
        <v>0.5758928571428571</v>
      </c>
      <c r="BT141">
        <v>0.10146407441134699</v>
      </c>
      <c r="BU141">
        <f t="shared" ref="BU141:BU204" si="105">BT142-BT141</f>
        <v>1.1136906296333321E-3</v>
      </c>
      <c r="BV141">
        <f t="shared" si="80"/>
        <v>4.4642857142856984E-3</v>
      </c>
      <c r="BW141">
        <v>129</v>
      </c>
      <c r="BX141">
        <v>7.8947368421052627E-2</v>
      </c>
      <c r="BY141">
        <f t="shared" ref="BY141:BY147" si="106">BW141/COUNT($BW$13:$BW$147)</f>
        <v>0.9555555555555556</v>
      </c>
      <c r="BZ141" t="e">
        <f t="shared" ref="BZ141:BZ204" si="107">IF(BX141=BX142,NA(),BY141)</f>
        <v>#N/A</v>
      </c>
      <c r="CB141" t="e">
        <f t="shared" ref="CB141:CB146" si="108">BZ141</f>
        <v>#N/A</v>
      </c>
      <c r="CC141">
        <f t="shared" ref="CC141:CC204" si="109">BX141</f>
        <v>7.8947368421052627E-2</v>
      </c>
      <c r="CE141" t="e">
        <v>#N/A</v>
      </c>
      <c r="CF141">
        <v>7.8947368421052627E-2</v>
      </c>
      <c r="CJ141">
        <f t="shared" ref="CJ141:CJ204" si="110">U141</f>
        <v>0.5758928571428571</v>
      </c>
      <c r="CK141">
        <v>4.6437240029400001E-2</v>
      </c>
      <c r="CL141">
        <f t="shared" ref="CL141:CL204" si="111">CK142-CK141</f>
        <v>5.8277851389999802E-4</v>
      </c>
      <c r="CM141">
        <f t="shared" si="81"/>
        <v>4.4642857142856984E-3</v>
      </c>
    </row>
    <row r="142" spans="2:91">
      <c r="B142">
        <v>130</v>
      </c>
      <c r="C142" t="e">
        <f>IF(ISNUMBER(K142),IF('Lab test'!N133&gt;0,'Lab test'!N133,NA()),NA())</f>
        <v>#N/A</v>
      </c>
      <c r="D142" t="e">
        <f>IF(ISNUMBER(K142),IF('Lab test'!Q133&gt;0,'Lab test'!Q133,NA()),NA())</f>
        <v>#N/A</v>
      </c>
      <c r="E142" t="e">
        <f>IF(ISNUMBER(K142),IF('Lab test'!P133&gt;0,'Lab test'!P133,NA()),NA())</f>
        <v>#N/A</v>
      </c>
      <c r="F142" t="e">
        <f>IF(ISNUMBER(K142),IF('Lab test'!AJ133&gt;0,'Lab test'!AJ133,NA()),NA())</f>
        <v>#N/A</v>
      </c>
      <c r="G142">
        <f>IF('Lab test'!V133&gt;0,'Lab test'!V133,NA())</f>
        <v>199947.96150188247</v>
      </c>
      <c r="H142" t="e">
        <f>IF(MAX('Lab test'!W133,'Lab test'!X133)&gt;0,MAX('Lab test'!W133,'Lab test'!X133),NA())</f>
        <v>#N/A</v>
      </c>
      <c r="I142" t="e">
        <f>IF('Lab test'!AU133&gt;0,'Lab test'!AU133,NA())</f>
        <v>#N/A</v>
      </c>
      <c r="J142">
        <f>IF('Lab test'!AT133&gt;0,'Lab test'!AT133,NA())</f>
        <v>0.32806042722189011</v>
      </c>
      <c r="K142" t="e">
        <f t="shared" ref="K142:K205" si="112">IF(AND(OR(ISNUMBER(I142),ISNUMBER(J142)),ISNUMBER(G142),ISNUMBER(H142),L142="LTWb"),1,NA())</f>
        <v>#N/A</v>
      </c>
      <c r="L142" t="str">
        <f>'Lab test'!AC133</f>
        <v>LTWb</v>
      </c>
      <c r="N142">
        <v>130</v>
      </c>
      <c r="O142">
        <v>262.647812902</v>
      </c>
      <c r="P142">
        <v>0.18579802593299999</v>
      </c>
      <c r="Q142">
        <f t="shared" ref="Q142:Q205" si="113">O142/P142</f>
        <v>1413.6200402727236</v>
      </c>
      <c r="R142">
        <v>703.99855913600004</v>
      </c>
      <c r="S142">
        <f t="shared" ref="S142:S205" si="114">R142/O142*SQRT(P142/O142)</f>
        <v>7.1290495764562381E-2</v>
      </c>
      <c r="T142">
        <v>1.31785625006E-2</v>
      </c>
      <c r="U142">
        <f t="shared" si="88"/>
        <v>0.5803571428571429</v>
      </c>
      <c r="W142">
        <v>130</v>
      </c>
      <c r="X142">
        <v>203.2</v>
      </c>
      <c r="Y142">
        <f t="shared" si="89"/>
        <v>0.7975460122699386</v>
      </c>
      <c r="Z142" t="e">
        <f t="shared" si="90"/>
        <v>#N/A</v>
      </c>
      <c r="AB142" t="e">
        <f t="shared" si="91"/>
        <v>#N/A</v>
      </c>
      <c r="AC142">
        <f t="shared" si="92"/>
        <v>203.2</v>
      </c>
      <c r="AE142" t="e">
        <v>#N/A</v>
      </c>
      <c r="AF142">
        <v>190.5</v>
      </c>
      <c r="AJ142">
        <f t="shared" si="93"/>
        <v>0.5803571428571429</v>
      </c>
      <c r="AK142">
        <v>130.746949121</v>
      </c>
      <c r="AL142">
        <f t="shared" si="94"/>
        <v>3.6909123499999907</v>
      </c>
      <c r="AM142">
        <f t="shared" ref="AM142:AM205" si="115">AJ142-AJ141</f>
        <v>4.4642857142858094E-3</v>
      </c>
      <c r="AO142">
        <v>130</v>
      </c>
      <c r="AP142">
        <v>800</v>
      </c>
      <c r="AQ142">
        <f t="shared" ref="AQ142:AQ175" si="116">AO142/COUNT($W$13:$W$175)</f>
        <v>0.7975460122699386</v>
      </c>
      <c r="AR142" t="e">
        <f t="shared" si="95"/>
        <v>#N/A</v>
      </c>
      <c r="AT142" t="e">
        <f t="shared" si="96"/>
        <v>#N/A</v>
      </c>
      <c r="AU142">
        <f t="shared" si="97"/>
        <v>800</v>
      </c>
      <c r="AW142" t="e">
        <v>#N/A</v>
      </c>
      <c r="AX142">
        <v>460.78431372549016</v>
      </c>
      <c r="BB142">
        <f t="shared" si="98"/>
        <v>0.5803571428571429</v>
      </c>
      <c r="BC142">
        <v>491.76057594334702</v>
      </c>
      <c r="BD142">
        <f t="shared" si="99"/>
        <v>3.5708379241498278</v>
      </c>
      <c r="BE142">
        <f t="shared" ref="BE142:BE205" si="117">BB142-BB141</f>
        <v>4.4642857142858094E-3</v>
      </c>
      <c r="BF142">
        <v>130</v>
      </c>
      <c r="BG142">
        <v>0.38251687369949799</v>
      </c>
      <c r="BH142">
        <f t="shared" si="100"/>
        <v>0.88435374149659862</v>
      </c>
      <c r="BI142" t="e">
        <f t="shared" si="101"/>
        <v>#N/A</v>
      </c>
      <c r="BK142" t="e">
        <f t="shared" si="102"/>
        <v>#N/A</v>
      </c>
      <c r="BL142">
        <f t="shared" si="103"/>
        <v>0.38251687369949799</v>
      </c>
      <c r="BN142" t="e">
        <v>#N/A</v>
      </c>
      <c r="BO142">
        <v>0.18834802589857985</v>
      </c>
      <c r="BS142">
        <f t="shared" si="104"/>
        <v>0.5803571428571429</v>
      </c>
      <c r="BT142">
        <v>0.10257776504098032</v>
      </c>
      <c r="BU142">
        <f t="shared" si="105"/>
        <v>3.1664041350000921E-3</v>
      </c>
      <c r="BV142">
        <f t="shared" ref="BV142:BV205" si="118">BS142-BS141</f>
        <v>4.4642857142858094E-3</v>
      </c>
      <c r="BW142">
        <v>130</v>
      </c>
      <c r="BX142">
        <v>7.8947368421052627E-2</v>
      </c>
      <c r="BY142">
        <f t="shared" si="106"/>
        <v>0.96296296296296291</v>
      </c>
      <c r="BZ142" t="e">
        <f t="shared" si="107"/>
        <v>#N/A</v>
      </c>
      <c r="CB142" t="e">
        <f t="shared" si="108"/>
        <v>#N/A</v>
      </c>
      <c r="CC142">
        <f t="shared" si="109"/>
        <v>7.8947368421052627E-2</v>
      </c>
      <c r="CE142" t="e">
        <v>#N/A</v>
      </c>
      <c r="CF142">
        <v>7.8947368421052627E-2</v>
      </c>
      <c r="CJ142">
        <f t="shared" si="110"/>
        <v>0.5803571428571429</v>
      </c>
      <c r="CK142">
        <v>4.7020018543299999E-2</v>
      </c>
      <c r="CL142">
        <f t="shared" si="111"/>
        <v>9.1196841900000047E-4</v>
      </c>
      <c r="CM142">
        <f t="shared" ref="CM142:CM205" si="119">CJ142-CJ141</f>
        <v>4.4642857142858094E-3</v>
      </c>
    </row>
    <row r="143" spans="2:91">
      <c r="B143">
        <v>131</v>
      </c>
      <c r="C143" t="e">
        <f>IF(ISNUMBER(K143),IF('Lab test'!N134&gt;0,'Lab test'!N134,NA()),NA())</f>
        <v>#N/A</v>
      </c>
      <c r="D143" t="e">
        <f>IF(ISNUMBER(K143),IF('Lab test'!Q134&gt;0,'Lab test'!Q134,NA()),NA())</f>
        <v>#N/A</v>
      </c>
      <c r="E143" t="e">
        <f>IF(ISNUMBER(K143),IF('Lab test'!P134&gt;0,'Lab test'!P134,NA()),NA())</f>
        <v>#N/A</v>
      </c>
      <c r="F143" t="e">
        <f>IF(ISNUMBER(K143),IF('Lab test'!AJ134&gt;0,'Lab test'!AJ134,NA()),NA())</f>
        <v>#N/A</v>
      </c>
      <c r="G143">
        <f>IF('Lab test'!V134&gt;0,'Lab test'!V134,NA())</f>
        <v>199947.96150188247</v>
      </c>
      <c r="H143" t="e">
        <f>IF(MAX('Lab test'!W134,'Lab test'!X134)&gt;0,MAX('Lab test'!W134,'Lab test'!X134),NA())</f>
        <v>#N/A</v>
      </c>
      <c r="I143" t="e">
        <f>IF('Lab test'!AU134&gt;0,'Lab test'!AU134,NA())</f>
        <v>#N/A</v>
      </c>
      <c r="J143">
        <f>IF('Lab test'!AT134&gt;0,'Lab test'!AT134,NA())</f>
        <v>0.31234577184605744</v>
      </c>
      <c r="K143" t="e">
        <f t="shared" si="112"/>
        <v>#N/A</v>
      </c>
      <c r="L143" t="str">
        <f>'Lab test'!AC134</f>
        <v>LTWb</v>
      </c>
      <c r="N143">
        <v>131</v>
      </c>
      <c r="O143">
        <v>274.24668391500001</v>
      </c>
      <c r="P143">
        <v>0.29938649804099998</v>
      </c>
      <c r="Q143">
        <f t="shared" si="113"/>
        <v>916.02889812834121</v>
      </c>
      <c r="R143">
        <v>487.10195263600002</v>
      </c>
      <c r="S143">
        <f t="shared" si="114"/>
        <v>5.8684566151644468E-2</v>
      </c>
      <c r="T143">
        <v>6.5490451558799997E-2</v>
      </c>
      <c r="U143">
        <f t="shared" si="88"/>
        <v>0.5848214285714286</v>
      </c>
      <c r="W143">
        <v>131</v>
      </c>
      <c r="X143">
        <v>203.2</v>
      </c>
      <c r="Y143">
        <f t="shared" si="89"/>
        <v>0.80368098159509205</v>
      </c>
      <c r="Z143" t="e">
        <f t="shared" si="90"/>
        <v>#N/A</v>
      </c>
      <c r="AB143" t="e">
        <f t="shared" si="91"/>
        <v>#N/A</v>
      </c>
      <c r="AC143">
        <f t="shared" si="92"/>
        <v>203.2</v>
      </c>
      <c r="AE143" t="e">
        <v>#N/A</v>
      </c>
      <c r="AF143">
        <v>190.5</v>
      </c>
      <c r="AJ143">
        <f t="shared" si="93"/>
        <v>0.5848214285714286</v>
      </c>
      <c r="AK143">
        <v>134.43786147099999</v>
      </c>
      <c r="AL143">
        <f t="shared" si="94"/>
        <v>2.8621024900000123</v>
      </c>
      <c r="AM143">
        <f t="shared" si="115"/>
        <v>4.4642857142856984E-3</v>
      </c>
      <c r="AO143">
        <v>131</v>
      </c>
      <c r="AP143">
        <v>800</v>
      </c>
      <c r="AQ143">
        <f t="shared" si="116"/>
        <v>0.80368098159509205</v>
      </c>
      <c r="AR143" t="e">
        <f t="shared" si="95"/>
        <v>#N/A</v>
      </c>
      <c r="AT143" t="e">
        <f t="shared" si="96"/>
        <v>#N/A</v>
      </c>
      <c r="AU143">
        <f t="shared" si="97"/>
        <v>800</v>
      </c>
      <c r="AW143" t="e">
        <v>#N/A</v>
      </c>
      <c r="AX143">
        <v>475</v>
      </c>
      <c r="BB143">
        <f t="shared" si="98"/>
        <v>0.5848214285714286</v>
      </c>
      <c r="BC143">
        <v>495.33141386749685</v>
      </c>
      <c r="BD143">
        <f t="shared" si="99"/>
        <v>14.838260941276303</v>
      </c>
      <c r="BE143">
        <f t="shared" si="117"/>
        <v>4.4642857142856984E-3</v>
      </c>
      <c r="BF143">
        <v>131</v>
      </c>
      <c r="BG143">
        <v>0.38251687369949799</v>
      </c>
      <c r="BH143">
        <f t="shared" si="100"/>
        <v>0.891156462585034</v>
      </c>
      <c r="BI143" t="e">
        <f t="shared" si="101"/>
        <v>#N/A</v>
      </c>
      <c r="BK143" t="e">
        <f t="shared" si="102"/>
        <v>#N/A</v>
      </c>
      <c r="BL143">
        <f t="shared" si="103"/>
        <v>0.38251687369949799</v>
      </c>
      <c r="BN143" t="e">
        <v>#N/A</v>
      </c>
      <c r="BO143">
        <v>0.19126511811189179</v>
      </c>
      <c r="BS143">
        <f t="shared" si="104"/>
        <v>0.5848214285714286</v>
      </c>
      <c r="BT143">
        <v>0.10574416917598041</v>
      </c>
      <c r="BU143">
        <f t="shared" si="105"/>
        <v>9.5907131547309787E-4</v>
      </c>
      <c r="BV143">
        <f t="shared" si="118"/>
        <v>4.4642857142856984E-3</v>
      </c>
      <c r="BW143">
        <v>131</v>
      </c>
      <c r="BX143">
        <v>7.8947368421052627E-2</v>
      </c>
      <c r="BY143">
        <f t="shared" si="106"/>
        <v>0.97037037037037033</v>
      </c>
      <c r="BZ143" t="e">
        <f t="shared" si="107"/>
        <v>#N/A</v>
      </c>
      <c r="CB143" t="e">
        <f t="shared" si="108"/>
        <v>#N/A</v>
      </c>
      <c r="CC143">
        <f t="shared" si="109"/>
        <v>7.8947368421052627E-2</v>
      </c>
      <c r="CE143" t="e">
        <v>#N/A</v>
      </c>
      <c r="CF143">
        <v>7.8947368421052627E-2</v>
      </c>
      <c r="CJ143">
        <f t="shared" si="110"/>
        <v>0.5848214285714286</v>
      </c>
      <c r="CK143">
        <v>4.7931986962299999E-2</v>
      </c>
      <c r="CL143">
        <f t="shared" si="111"/>
        <v>1.7962688418000014E-3</v>
      </c>
      <c r="CM143">
        <f t="shared" si="119"/>
        <v>4.4642857142856984E-3</v>
      </c>
    </row>
    <row r="144" spans="2:91">
      <c r="B144">
        <v>132</v>
      </c>
      <c r="C144" t="e">
        <f>IF(ISNUMBER(K144),IF('Lab test'!N135&gt;0,'Lab test'!N135,NA()),NA())</f>
        <v>#N/A</v>
      </c>
      <c r="D144" t="e">
        <f>IF(ISNUMBER(K144),IF('Lab test'!Q135&gt;0,'Lab test'!Q135,NA()),NA())</f>
        <v>#N/A</v>
      </c>
      <c r="E144" t="e">
        <f>IF(ISNUMBER(K144),IF('Lab test'!P135&gt;0,'Lab test'!P135,NA()),NA())</f>
        <v>#N/A</v>
      </c>
      <c r="F144" t="e">
        <f>IF(ISNUMBER(K144),IF('Lab test'!AJ135&gt;0,'Lab test'!AJ135,NA()),NA())</f>
        <v>#N/A</v>
      </c>
      <c r="G144">
        <f>IF('Lab test'!V135&gt;0,'Lab test'!V135,NA())</f>
        <v>199947.96150188247</v>
      </c>
      <c r="H144" t="e">
        <f>IF(MAX('Lab test'!W135,'Lab test'!X135)&gt;0,MAX('Lab test'!W135,'Lab test'!X135),NA())</f>
        <v>#N/A</v>
      </c>
      <c r="I144" t="e">
        <f>IF('Lab test'!AU135&gt;0,'Lab test'!AU135,NA())</f>
        <v>#N/A</v>
      </c>
      <c r="J144">
        <f>IF('Lab test'!AT135&gt;0,'Lab test'!AT135,NA())</f>
        <v>0.53159753422996803</v>
      </c>
      <c r="K144" t="e">
        <f t="shared" si="112"/>
        <v>#N/A</v>
      </c>
      <c r="L144" t="str">
        <f>'Lab test'!AC135</f>
        <v>LTWb</v>
      </c>
      <c r="N144">
        <v>132</v>
      </c>
      <c r="O144">
        <v>278.32478151200002</v>
      </c>
      <c r="P144">
        <v>0.21319057200800001</v>
      </c>
      <c r="Q144">
        <f t="shared" si="113"/>
        <v>1305.5210598222693</v>
      </c>
      <c r="R144">
        <v>614.293630312</v>
      </c>
      <c r="S144">
        <f t="shared" si="114"/>
        <v>6.1084664693633065E-2</v>
      </c>
      <c r="T144">
        <v>3.1606761992700003E-2</v>
      </c>
      <c r="U144">
        <f t="shared" si="88"/>
        <v>0.5892857142857143</v>
      </c>
      <c r="W144">
        <v>132</v>
      </c>
      <c r="X144">
        <v>203.2</v>
      </c>
      <c r="Y144">
        <f t="shared" si="89"/>
        <v>0.80981595092024539</v>
      </c>
      <c r="Z144" t="e">
        <f t="shared" si="90"/>
        <v>#N/A</v>
      </c>
      <c r="AB144" t="e">
        <f t="shared" si="91"/>
        <v>#N/A</v>
      </c>
      <c r="AC144">
        <f t="shared" si="92"/>
        <v>203.2</v>
      </c>
      <c r="AE144" t="e">
        <v>#N/A</v>
      </c>
      <c r="AF144">
        <v>203.2</v>
      </c>
      <c r="AJ144">
        <f t="shared" si="93"/>
        <v>0.5892857142857143</v>
      </c>
      <c r="AK144">
        <v>137.299963961</v>
      </c>
      <c r="AL144">
        <f t="shared" si="94"/>
        <v>0.96177758700000027</v>
      </c>
      <c r="AM144">
        <f t="shared" si="115"/>
        <v>4.4642857142856984E-3</v>
      </c>
      <c r="AO144">
        <v>132</v>
      </c>
      <c r="AP144">
        <v>800</v>
      </c>
      <c r="AQ144">
        <f t="shared" si="116"/>
        <v>0.80981595092024539</v>
      </c>
      <c r="AR144" t="e">
        <f t="shared" si="95"/>
        <v>#N/A</v>
      </c>
      <c r="AT144" t="e">
        <f t="shared" si="96"/>
        <v>#N/A</v>
      </c>
      <c r="AU144">
        <f t="shared" si="97"/>
        <v>800</v>
      </c>
      <c r="AW144" t="e">
        <v>#N/A</v>
      </c>
      <c r="AX144">
        <v>486.32478632478643</v>
      </c>
      <c r="BB144">
        <f t="shared" si="98"/>
        <v>0.5892857142857143</v>
      </c>
      <c r="BC144">
        <v>510.16967480877315</v>
      </c>
      <c r="BD144">
        <f t="shared" si="99"/>
        <v>6.9042220318469845</v>
      </c>
      <c r="BE144">
        <f t="shared" si="117"/>
        <v>4.4642857142856984E-3</v>
      </c>
      <c r="BF144">
        <v>132</v>
      </c>
      <c r="BG144">
        <v>0.38251687369949799</v>
      </c>
      <c r="BH144">
        <f t="shared" si="100"/>
        <v>0.89795918367346939</v>
      </c>
      <c r="BI144">
        <f t="shared" si="101"/>
        <v>0.89795918367346939</v>
      </c>
      <c r="BK144">
        <f t="shared" si="102"/>
        <v>0.89795918367346939</v>
      </c>
      <c r="BL144">
        <f t="shared" si="103"/>
        <v>0.38251687369949799</v>
      </c>
      <c r="BN144" t="e">
        <v>#N/A</v>
      </c>
      <c r="BO144">
        <v>0.21057949466855774</v>
      </c>
      <c r="BS144">
        <f t="shared" si="104"/>
        <v>0.5892857142857143</v>
      </c>
      <c r="BT144">
        <v>0.10670324049145351</v>
      </c>
      <c r="BU144">
        <f t="shared" si="105"/>
        <v>1.8876328423358957E-5</v>
      </c>
      <c r="BV144">
        <f t="shared" si="118"/>
        <v>4.4642857142856984E-3</v>
      </c>
      <c r="BW144">
        <v>132</v>
      </c>
      <c r="BX144">
        <v>7.8947368421052627E-2</v>
      </c>
      <c r="BY144">
        <f t="shared" si="106"/>
        <v>0.97777777777777775</v>
      </c>
      <c r="BZ144" t="e">
        <f t="shared" si="107"/>
        <v>#N/A</v>
      </c>
      <c r="CB144" t="e">
        <f t="shared" si="108"/>
        <v>#N/A</v>
      </c>
      <c r="CC144">
        <f t="shared" si="109"/>
        <v>7.8947368421052627E-2</v>
      </c>
      <c r="CE144" t="e">
        <v>#N/A</v>
      </c>
      <c r="CF144">
        <v>7.8947368421052627E-2</v>
      </c>
      <c r="CJ144">
        <f t="shared" si="110"/>
        <v>0.5892857142857143</v>
      </c>
      <c r="CK144">
        <v>4.9728255804100001E-2</v>
      </c>
      <c r="CL144">
        <f t="shared" si="111"/>
        <v>8.7304091000023343E-6</v>
      </c>
      <c r="CM144">
        <f t="shared" si="119"/>
        <v>4.4642857142856984E-3</v>
      </c>
    </row>
    <row r="145" spans="2:91">
      <c r="B145">
        <v>133</v>
      </c>
      <c r="C145" t="e">
        <f>IF(ISNUMBER(K145),IF('Lab test'!N136&gt;0,'Lab test'!N136,NA()),NA())</f>
        <v>#N/A</v>
      </c>
      <c r="D145" t="e">
        <f>IF(ISNUMBER(K145),IF('Lab test'!Q136&gt;0,'Lab test'!Q136,NA()),NA())</f>
        <v>#N/A</v>
      </c>
      <c r="E145" t="e">
        <f>IF(ISNUMBER(K145),IF('Lab test'!P136&gt;0,'Lab test'!P136,NA()),NA())</f>
        <v>#N/A</v>
      </c>
      <c r="F145" t="e">
        <f>IF(ISNUMBER(K145),IF('Lab test'!AJ136&gt;0,'Lab test'!AJ136,NA()),NA())</f>
        <v>#N/A</v>
      </c>
      <c r="G145">
        <f>IF('Lab test'!V136&gt;0,'Lab test'!V136,NA())</f>
        <v>199947.96150188247</v>
      </c>
      <c r="H145" t="e">
        <f>IF(MAX('Lab test'!W136,'Lab test'!X136)&gt;0,MAX('Lab test'!W136,'Lab test'!X136),NA())</f>
        <v>#N/A</v>
      </c>
      <c r="I145" t="e">
        <f>IF('Lab test'!AU136&gt;0,'Lab test'!AU136,NA())</f>
        <v>#N/A</v>
      </c>
      <c r="J145">
        <f>IF('Lab test'!AT136&gt;0,'Lab test'!AT136,NA())</f>
        <v>0.56292975945594959</v>
      </c>
      <c r="K145" t="e">
        <f t="shared" si="112"/>
        <v>#N/A</v>
      </c>
      <c r="L145" t="str">
        <f>'Lab test'!AC136</f>
        <v>LTWb</v>
      </c>
      <c r="N145">
        <v>133</v>
      </c>
      <c r="O145">
        <v>28.682655503300001</v>
      </c>
      <c r="P145">
        <v>6.2302847149099998E-2</v>
      </c>
      <c r="Q145">
        <f t="shared" si="113"/>
        <v>460.37471505368177</v>
      </c>
      <c r="R145">
        <v>162.68535946</v>
      </c>
      <c r="S145">
        <f t="shared" si="114"/>
        <v>0.26434638939234822</v>
      </c>
      <c r="T145">
        <v>1.0997907085500001E-2</v>
      </c>
      <c r="U145">
        <f t="shared" si="88"/>
        <v>0.59375</v>
      </c>
      <c r="W145">
        <v>133</v>
      </c>
      <c r="X145">
        <v>203.2</v>
      </c>
      <c r="Y145">
        <f t="shared" si="89"/>
        <v>0.81595092024539873</v>
      </c>
      <c r="Z145" t="e">
        <f t="shared" si="90"/>
        <v>#N/A</v>
      </c>
      <c r="AB145" t="e">
        <f t="shared" si="91"/>
        <v>#N/A</v>
      </c>
      <c r="AC145">
        <f t="shared" si="92"/>
        <v>203.2</v>
      </c>
      <c r="AE145" t="e">
        <v>#N/A</v>
      </c>
      <c r="AF145">
        <v>203.2</v>
      </c>
      <c r="AJ145">
        <f t="shared" si="93"/>
        <v>0.59375</v>
      </c>
      <c r="AK145">
        <v>138.261741548</v>
      </c>
      <c r="AL145">
        <f t="shared" si="94"/>
        <v>2.2013195999988966E-2</v>
      </c>
      <c r="AM145">
        <f t="shared" si="115"/>
        <v>4.4642857142856984E-3</v>
      </c>
      <c r="AO145">
        <v>133</v>
      </c>
      <c r="AP145">
        <v>800</v>
      </c>
      <c r="AQ145">
        <f t="shared" si="116"/>
        <v>0.81595092024539873</v>
      </c>
      <c r="AR145">
        <f t="shared" si="95"/>
        <v>0.81595092024539873</v>
      </c>
      <c r="AT145">
        <f t="shared" si="96"/>
        <v>0.81595092024539873</v>
      </c>
      <c r="AU145">
        <f t="shared" si="97"/>
        <v>800</v>
      </c>
      <c r="AW145" t="e">
        <v>#N/A</v>
      </c>
      <c r="AX145">
        <v>562.5</v>
      </c>
      <c r="BB145">
        <f t="shared" si="98"/>
        <v>0.59375</v>
      </c>
      <c r="BC145">
        <v>517.07389684062014</v>
      </c>
      <c r="BD145">
        <f t="shared" si="99"/>
        <v>3.7871245628820134</v>
      </c>
      <c r="BE145">
        <f t="shared" si="117"/>
        <v>4.4642857142856984E-3</v>
      </c>
      <c r="BF145">
        <v>133</v>
      </c>
      <c r="BG145">
        <v>0.42115898933711549</v>
      </c>
      <c r="BH145">
        <f t="shared" si="100"/>
        <v>0.90476190476190477</v>
      </c>
      <c r="BI145" t="e">
        <f t="shared" si="101"/>
        <v>#N/A</v>
      </c>
      <c r="BK145" t="e">
        <f t="shared" si="102"/>
        <v>#N/A</v>
      </c>
      <c r="BL145">
        <f t="shared" si="103"/>
        <v>0.42115898933711549</v>
      </c>
      <c r="BN145" t="e">
        <v>#N/A</v>
      </c>
      <c r="BO145">
        <v>0.26340655122956258</v>
      </c>
      <c r="BS145">
        <f t="shared" si="104"/>
        <v>0.59375</v>
      </c>
      <c r="BT145">
        <v>0.10672211681987687</v>
      </c>
      <c r="BU145">
        <f t="shared" si="105"/>
        <v>4.67166587424378E-5</v>
      </c>
      <c r="BV145">
        <f t="shared" si="118"/>
        <v>4.4642857142856984E-3</v>
      </c>
      <c r="BW145">
        <v>133</v>
      </c>
      <c r="BX145">
        <v>7.8947368421052627E-2</v>
      </c>
      <c r="BY145">
        <f t="shared" si="106"/>
        <v>0.98518518518518516</v>
      </c>
      <c r="BZ145" t="e">
        <f t="shared" si="107"/>
        <v>#N/A</v>
      </c>
      <c r="CB145" t="e">
        <f t="shared" si="108"/>
        <v>#N/A</v>
      </c>
      <c r="CC145">
        <f t="shared" si="109"/>
        <v>7.8947368421052627E-2</v>
      </c>
      <c r="CE145" t="e">
        <v>#N/A</v>
      </c>
      <c r="CF145">
        <v>7.8947368421052627E-2</v>
      </c>
      <c r="CJ145">
        <f t="shared" si="110"/>
        <v>0.59375</v>
      </c>
      <c r="CK145">
        <v>4.9736986213200003E-2</v>
      </c>
      <c r="CL145">
        <f t="shared" si="111"/>
        <v>5.2741566219999952E-4</v>
      </c>
      <c r="CM145">
        <f t="shared" si="119"/>
        <v>4.4642857142856984E-3</v>
      </c>
    </row>
    <row r="146" spans="2:91">
      <c r="B146">
        <v>134</v>
      </c>
      <c r="C146" t="e">
        <f>IF(ISNUMBER(K146),IF('Lab test'!N137&gt;0,'Lab test'!N137,NA()),NA())</f>
        <v>#N/A</v>
      </c>
      <c r="D146" t="e">
        <f>IF(ISNUMBER(K146),IF('Lab test'!Q137&gt;0,'Lab test'!Q137,NA()),NA())</f>
        <v>#N/A</v>
      </c>
      <c r="E146" t="e">
        <f>IF(ISNUMBER(K146),IF('Lab test'!P137&gt;0,'Lab test'!P137,NA()),NA())</f>
        <v>#N/A</v>
      </c>
      <c r="F146" t="e">
        <f>IF(ISNUMBER(K146),IF('Lab test'!AJ137&gt;0,'Lab test'!AJ137,NA()),NA())</f>
        <v>#N/A</v>
      </c>
      <c r="G146">
        <f>IF('Lab test'!V137&gt;0,'Lab test'!V137,NA())</f>
        <v>199947.96150188247</v>
      </c>
      <c r="H146" t="e">
        <f>IF(MAX('Lab test'!W137,'Lab test'!X137)&gt;0,MAX('Lab test'!W137,'Lab test'!X137),NA())</f>
        <v>#N/A</v>
      </c>
      <c r="I146" t="e">
        <f>IF('Lab test'!AU137&gt;0,'Lab test'!AU137,NA())</f>
        <v>#N/A</v>
      </c>
      <c r="J146">
        <f>IF('Lab test'!AT137&gt;0,'Lab test'!AT137,NA())</f>
        <v>0.62609995658685913</v>
      </c>
      <c r="K146" t="e">
        <f t="shared" si="112"/>
        <v>#N/A</v>
      </c>
      <c r="L146" t="str">
        <f>'Lab test'!AC137</f>
        <v>LTWb</v>
      </c>
      <c r="N146">
        <v>134</v>
      </c>
      <c r="O146">
        <v>291.08946619900001</v>
      </c>
      <c r="P146">
        <v>0.80434743053299995</v>
      </c>
      <c r="Q146">
        <f t="shared" si="113"/>
        <v>361.89519000030856</v>
      </c>
      <c r="R146">
        <v>106.438560653</v>
      </c>
      <c r="S146">
        <f t="shared" si="114"/>
        <v>1.9221226566940964E-2</v>
      </c>
      <c r="T146">
        <v>1.30060293393E-2</v>
      </c>
      <c r="U146">
        <f t="shared" si="88"/>
        <v>0.5982142857142857</v>
      </c>
      <c r="W146">
        <v>134</v>
      </c>
      <c r="X146">
        <v>203.2</v>
      </c>
      <c r="Y146">
        <f t="shared" si="89"/>
        <v>0.82208588957055218</v>
      </c>
      <c r="Z146" t="e">
        <f t="shared" si="90"/>
        <v>#N/A</v>
      </c>
      <c r="AB146" t="e">
        <f t="shared" si="91"/>
        <v>#N/A</v>
      </c>
      <c r="AC146">
        <f t="shared" si="92"/>
        <v>203.2</v>
      </c>
      <c r="AE146" t="e">
        <v>#N/A</v>
      </c>
      <c r="AF146">
        <v>203.2</v>
      </c>
      <c r="AJ146">
        <f t="shared" si="93"/>
        <v>0.5982142857142857</v>
      </c>
      <c r="AK146">
        <v>138.28375474399999</v>
      </c>
      <c r="AL146">
        <f t="shared" si="94"/>
        <v>0.60316083000000731</v>
      </c>
      <c r="AM146">
        <f t="shared" si="115"/>
        <v>4.4642857142856984E-3</v>
      </c>
      <c r="AO146">
        <v>134</v>
      </c>
      <c r="AP146">
        <v>860.09174311926608</v>
      </c>
      <c r="AQ146">
        <f t="shared" si="116"/>
        <v>0.82208588957055218</v>
      </c>
      <c r="AR146">
        <f t="shared" si="95"/>
        <v>0.82208588957055218</v>
      </c>
      <c r="AT146">
        <f t="shared" si="96"/>
        <v>0.82208588957055218</v>
      </c>
      <c r="AU146">
        <f t="shared" si="97"/>
        <v>860.09174311926608</v>
      </c>
      <c r="AW146" t="e">
        <v>#N/A</v>
      </c>
      <c r="AX146">
        <v>562.5</v>
      </c>
      <c r="BB146">
        <f t="shared" si="98"/>
        <v>0.5982142857142857</v>
      </c>
      <c r="BC146">
        <v>520.86102140350215</v>
      </c>
      <c r="BD146">
        <f t="shared" si="99"/>
        <v>1.057050197761896</v>
      </c>
      <c r="BE146">
        <f t="shared" si="117"/>
        <v>4.4642857142856984E-3</v>
      </c>
      <c r="BF146">
        <v>134</v>
      </c>
      <c r="BG146">
        <v>0.42115898933711549</v>
      </c>
      <c r="BH146">
        <f t="shared" si="100"/>
        <v>0.91156462585034015</v>
      </c>
      <c r="BI146">
        <f t="shared" si="101"/>
        <v>0.91156462585034015</v>
      </c>
      <c r="BK146">
        <f t="shared" si="102"/>
        <v>0.91156462585034015</v>
      </c>
      <c r="BL146">
        <f t="shared" si="103"/>
        <v>0.42115898933711549</v>
      </c>
      <c r="BN146" t="e">
        <v>#N/A</v>
      </c>
      <c r="BO146">
        <v>0.26340655122956258</v>
      </c>
      <c r="BS146">
        <f t="shared" si="104"/>
        <v>0.5982142857142857</v>
      </c>
      <c r="BT146">
        <v>0.1067688334786193</v>
      </c>
      <c r="BU146">
        <f t="shared" si="105"/>
        <v>6.3937020372689668E-5</v>
      </c>
      <c r="BV146">
        <f t="shared" si="118"/>
        <v>4.4642857142856984E-3</v>
      </c>
      <c r="BW146">
        <v>134</v>
      </c>
      <c r="BX146">
        <v>7.8947368421052627E-2</v>
      </c>
      <c r="BY146">
        <f t="shared" si="106"/>
        <v>0.99259259259259258</v>
      </c>
      <c r="BZ146" t="e">
        <f t="shared" si="107"/>
        <v>#N/A</v>
      </c>
      <c r="CB146" t="e">
        <f t="shared" si="108"/>
        <v>#N/A</v>
      </c>
      <c r="CC146">
        <f t="shared" si="109"/>
        <v>7.8947368421052627E-2</v>
      </c>
      <c r="CE146" t="e">
        <v>#N/A</v>
      </c>
      <c r="CF146">
        <v>7.8947368421052627E-2</v>
      </c>
      <c r="CJ146">
        <f t="shared" si="110"/>
        <v>0.5982142857142857</v>
      </c>
      <c r="CK146">
        <v>5.0264401875400003E-2</v>
      </c>
      <c r="CL146">
        <f t="shared" si="111"/>
        <v>1.0019147584999985E-3</v>
      </c>
      <c r="CM146">
        <f t="shared" si="119"/>
        <v>4.4642857142856984E-3</v>
      </c>
    </row>
    <row r="147" spans="2:91">
      <c r="B147">
        <v>135</v>
      </c>
      <c r="C147" t="e">
        <f>IF(ISNUMBER(K147),IF('Lab test'!N138&gt;0,'Lab test'!N138,NA()),NA())</f>
        <v>#N/A</v>
      </c>
      <c r="D147" t="e">
        <f>IF(ISNUMBER(K147),IF('Lab test'!Q138&gt;0,'Lab test'!Q138,NA()),NA())</f>
        <v>#N/A</v>
      </c>
      <c r="E147" t="e">
        <f>IF(ISNUMBER(K147),IF('Lab test'!P138&gt;0,'Lab test'!P138,NA()),NA())</f>
        <v>#N/A</v>
      </c>
      <c r="F147" t="e">
        <f>IF(ISNUMBER(K147),IF('Lab test'!AJ138&gt;0,'Lab test'!AJ138,NA()),NA())</f>
        <v>#N/A</v>
      </c>
      <c r="G147">
        <f>IF('Lab test'!V138&gt;0,'Lab test'!V138,NA())</f>
        <v>199947.96150188247</v>
      </c>
      <c r="H147" t="e">
        <f>IF(MAX('Lab test'!W138,'Lab test'!X138)&gt;0,MAX('Lab test'!W138,'Lab test'!X138),NA())</f>
        <v>#N/A</v>
      </c>
      <c r="I147" t="e">
        <f>IF('Lab test'!AU138&gt;0,'Lab test'!AU138,NA())</f>
        <v>#N/A</v>
      </c>
      <c r="J147">
        <f>IF('Lab test'!AT138&gt;0,'Lab test'!AT138,NA())</f>
        <v>0.95027323887179593</v>
      </c>
      <c r="K147" t="e">
        <f t="shared" si="112"/>
        <v>#N/A</v>
      </c>
      <c r="L147" t="str">
        <f>'Lab test'!AC138</f>
        <v>LTWb</v>
      </c>
      <c r="N147">
        <v>135</v>
      </c>
      <c r="O147">
        <v>293.77125803400003</v>
      </c>
      <c r="P147">
        <v>0.42862234609099997</v>
      </c>
      <c r="Q147">
        <f t="shared" si="113"/>
        <v>685.38483985533981</v>
      </c>
      <c r="R147">
        <v>298.15077422899998</v>
      </c>
      <c r="S147">
        <f t="shared" si="114"/>
        <v>3.8766749805592686E-2</v>
      </c>
      <c r="T147">
        <v>1.10127816454E-2</v>
      </c>
      <c r="U147">
        <f t="shared" si="88"/>
        <v>0.6026785714285714</v>
      </c>
      <c r="W147">
        <v>135</v>
      </c>
      <c r="X147">
        <v>203.2</v>
      </c>
      <c r="Y147">
        <f t="shared" si="89"/>
        <v>0.82822085889570551</v>
      </c>
      <c r="Z147" t="e">
        <f t="shared" si="90"/>
        <v>#N/A</v>
      </c>
      <c r="AB147" t="e">
        <f t="shared" si="91"/>
        <v>#N/A</v>
      </c>
      <c r="AC147">
        <f t="shared" si="92"/>
        <v>203.2</v>
      </c>
      <c r="AE147" t="e">
        <v>#N/A</v>
      </c>
      <c r="AF147">
        <v>203.2</v>
      </c>
      <c r="AJ147">
        <f t="shared" si="93"/>
        <v>0.6026785714285714</v>
      </c>
      <c r="AK147">
        <v>138.886915574</v>
      </c>
      <c r="AL147">
        <f t="shared" si="94"/>
        <v>1.4497351869999875</v>
      </c>
      <c r="AM147">
        <f t="shared" si="115"/>
        <v>4.4642857142856984E-3</v>
      </c>
      <c r="AO147">
        <v>135</v>
      </c>
      <c r="AP147">
        <v>880.28169014084506</v>
      </c>
      <c r="AQ147">
        <f t="shared" si="116"/>
        <v>0.82822085889570551</v>
      </c>
      <c r="AR147" t="e">
        <f t="shared" si="95"/>
        <v>#N/A</v>
      </c>
      <c r="AT147" t="e">
        <f t="shared" si="96"/>
        <v>#N/A</v>
      </c>
      <c r="AU147">
        <f t="shared" si="97"/>
        <v>880.28169014084506</v>
      </c>
      <c r="AW147" t="e">
        <v>#N/A</v>
      </c>
      <c r="AX147">
        <v>562.5</v>
      </c>
      <c r="BB147">
        <f t="shared" si="98"/>
        <v>0.6026785714285714</v>
      </c>
      <c r="BC147">
        <v>521.91807160126405</v>
      </c>
      <c r="BD147">
        <f t="shared" si="99"/>
        <v>9.7134220232172765</v>
      </c>
      <c r="BE147">
        <f t="shared" si="117"/>
        <v>4.4642857142856984E-3</v>
      </c>
      <c r="BF147">
        <v>135</v>
      </c>
      <c r="BG147">
        <v>0.48356238758233866</v>
      </c>
      <c r="BH147">
        <f t="shared" si="100"/>
        <v>0.91836734693877553</v>
      </c>
      <c r="BI147">
        <f t="shared" si="101"/>
        <v>0.91836734693877553</v>
      </c>
      <c r="BK147">
        <f t="shared" si="102"/>
        <v>0.91836734693877553</v>
      </c>
      <c r="BL147">
        <f t="shared" si="103"/>
        <v>0.48356238758233866</v>
      </c>
      <c r="BN147" t="e">
        <v>#N/A</v>
      </c>
      <c r="BO147">
        <v>0.27048027531119317</v>
      </c>
      <c r="BS147">
        <f t="shared" si="104"/>
        <v>0.6026785714285714</v>
      </c>
      <c r="BT147">
        <v>0.10683277049899199</v>
      </c>
      <c r="BU147">
        <f t="shared" si="105"/>
        <v>7.8068186444721355E-4</v>
      </c>
      <c r="BV147">
        <f t="shared" si="118"/>
        <v>4.4642857142856984E-3</v>
      </c>
      <c r="BW147">
        <v>135</v>
      </c>
      <c r="BX147">
        <v>7.8947368421052627E-2</v>
      </c>
      <c r="BY147">
        <f t="shared" si="106"/>
        <v>1</v>
      </c>
      <c r="BZ147" t="e">
        <f t="shared" si="107"/>
        <v>#N/A</v>
      </c>
      <c r="CB147">
        <v>1</v>
      </c>
      <c r="CC147">
        <f t="shared" si="109"/>
        <v>7.8947368421052627E-2</v>
      </c>
      <c r="CE147" t="e">
        <v>#N/A</v>
      </c>
      <c r="CF147">
        <v>7.8947368421052627E-2</v>
      </c>
      <c r="CJ147">
        <f t="shared" si="110"/>
        <v>0.6026785714285714</v>
      </c>
      <c r="CK147">
        <v>5.1266316633900001E-2</v>
      </c>
      <c r="CL147">
        <f t="shared" si="111"/>
        <v>1.5368594959999649E-4</v>
      </c>
      <c r="CM147">
        <f t="shared" si="119"/>
        <v>4.4642857142856984E-3</v>
      </c>
    </row>
    <row r="148" spans="2:91">
      <c r="B148">
        <v>136</v>
      </c>
      <c r="C148" t="e">
        <f>IF(ISNUMBER(K148),IF('Lab test'!N139&gt;0,'Lab test'!N139,NA()),NA())</f>
        <v>#N/A</v>
      </c>
      <c r="D148" t="e">
        <f>IF(ISNUMBER(K148),IF('Lab test'!Q139&gt;0,'Lab test'!Q139,NA()),NA())</f>
        <v>#N/A</v>
      </c>
      <c r="E148" t="e">
        <f>IF(ISNUMBER(K148),IF('Lab test'!P139&gt;0,'Lab test'!P139,NA()),NA())</f>
        <v>#N/A</v>
      </c>
      <c r="F148" t="e">
        <f>IF(ISNUMBER(K148),IF('Lab test'!AJ139&gt;0,'Lab test'!AJ139,NA()),NA())</f>
        <v>#N/A</v>
      </c>
      <c r="G148">
        <f>IF('Lab test'!V139&gt;0,'Lab test'!V139,NA())</f>
        <v>199947.96150188247</v>
      </c>
      <c r="H148" t="e">
        <f>IF(MAX('Lab test'!W139,'Lab test'!X139)&gt;0,MAX('Lab test'!W139,'Lab test'!X139),NA())</f>
        <v>#N/A</v>
      </c>
      <c r="I148" t="e">
        <f>IF('Lab test'!AU139&gt;0,'Lab test'!AU139,NA())</f>
        <v>#N/A</v>
      </c>
      <c r="J148">
        <f>IF('Lab test'!AT139&gt;0,'Lab test'!AT139,NA())</f>
        <v>1.0743456653442474</v>
      </c>
      <c r="K148" t="e">
        <f t="shared" si="112"/>
        <v>#N/A</v>
      </c>
      <c r="L148" t="str">
        <f>'Lab test'!AC139</f>
        <v>LTWb</v>
      </c>
      <c r="N148">
        <v>136</v>
      </c>
      <c r="O148">
        <v>298.40878824100002</v>
      </c>
      <c r="P148">
        <v>1.0022357106199999</v>
      </c>
      <c r="Q148">
        <f t="shared" si="113"/>
        <v>297.74312078383167</v>
      </c>
      <c r="R148">
        <v>275.93656784799998</v>
      </c>
      <c r="S148">
        <f t="shared" si="114"/>
        <v>5.3589139193475244E-2</v>
      </c>
      <c r="T148">
        <v>6.6528363767200005E-2</v>
      </c>
      <c r="U148">
        <f t="shared" si="88"/>
        <v>0.6071428571428571</v>
      </c>
      <c r="W148">
        <v>136</v>
      </c>
      <c r="X148">
        <v>203.2</v>
      </c>
      <c r="Y148">
        <f t="shared" si="89"/>
        <v>0.83435582822085885</v>
      </c>
      <c r="Z148">
        <f t="shared" si="90"/>
        <v>0.83435582822085885</v>
      </c>
      <c r="AB148">
        <f t="shared" si="91"/>
        <v>0.83435582822085885</v>
      </c>
      <c r="AC148">
        <f t="shared" si="92"/>
        <v>203.2</v>
      </c>
      <c r="AE148" t="e">
        <v>#N/A</v>
      </c>
      <c r="AF148">
        <v>203.2</v>
      </c>
      <c r="AJ148">
        <f t="shared" si="93"/>
        <v>0.6071428571428571</v>
      </c>
      <c r="AK148">
        <v>140.33665076099999</v>
      </c>
      <c r="AL148">
        <f t="shared" si="94"/>
        <v>0.36031681200000776</v>
      </c>
      <c r="AM148">
        <f t="shared" si="115"/>
        <v>4.4642857142856984E-3</v>
      </c>
      <c r="AO148">
        <v>136</v>
      </c>
      <c r="AP148">
        <v>880.28169014084506</v>
      </c>
      <c r="AQ148">
        <f t="shared" si="116"/>
        <v>0.83435582822085885</v>
      </c>
      <c r="AR148">
        <f t="shared" si="95"/>
        <v>0.83435582822085885</v>
      </c>
      <c r="AT148">
        <f t="shared" si="96"/>
        <v>0.83435582822085885</v>
      </c>
      <c r="AU148">
        <f t="shared" si="97"/>
        <v>880.28169014084506</v>
      </c>
      <c r="AW148" t="e">
        <v>#N/A</v>
      </c>
      <c r="AX148">
        <v>562.5</v>
      </c>
      <c r="BB148">
        <f t="shared" si="98"/>
        <v>0.6071428571428571</v>
      </c>
      <c r="BC148">
        <v>531.63149362448132</v>
      </c>
      <c r="BD148">
        <f t="shared" si="99"/>
        <v>4.5565985981730819</v>
      </c>
      <c r="BE148">
        <f t="shared" si="117"/>
        <v>4.4642857142856984E-3</v>
      </c>
      <c r="BF148">
        <v>136</v>
      </c>
      <c r="BG148">
        <v>0.50068374206148569</v>
      </c>
      <c r="BH148">
        <f t="shared" si="100"/>
        <v>0.92517006802721091</v>
      </c>
      <c r="BI148">
        <f t="shared" si="101"/>
        <v>0.92517006802721091</v>
      </c>
      <c r="BK148">
        <f t="shared" si="102"/>
        <v>0.92517006802721091</v>
      </c>
      <c r="BL148">
        <f t="shared" si="103"/>
        <v>0.50068374206148569</v>
      </c>
      <c r="BN148" t="e">
        <v>#N/A</v>
      </c>
      <c r="BO148">
        <v>0.27048027531119317</v>
      </c>
      <c r="BS148">
        <f t="shared" si="104"/>
        <v>0.6071428571428571</v>
      </c>
      <c r="BT148">
        <v>0.10761345236343921</v>
      </c>
      <c r="BU148">
        <f t="shared" si="105"/>
        <v>8.9091844389396768E-4</v>
      </c>
      <c r="BV148">
        <f t="shared" si="118"/>
        <v>4.4642857142856984E-3</v>
      </c>
      <c r="BW148">
        <v>136</v>
      </c>
      <c r="BX148" t="e">
        <v>#N/A</v>
      </c>
      <c r="BZ148" t="e">
        <f t="shared" si="107"/>
        <v>#N/A</v>
      </c>
      <c r="CB148" t="e">
        <f t="shared" ref="CB148:CB211" si="120">BZ148</f>
        <v>#N/A</v>
      </c>
      <c r="CC148" t="e">
        <f t="shared" si="109"/>
        <v>#N/A</v>
      </c>
      <c r="CE148" t="e">
        <v>#N/A</v>
      </c>
      <c r="CF148" t="e">
        <v>#N/A</v>
      </c>
      <c r="CJ148">
        <f t="shared" si="110"/>
        <v>0.6071428571428571</v>
      </c>
      <c r="CK148">
        <v>5.1420002583499998E-2</v>
      </c>
      <c r="CL148">
        <f t="shared" si="111"/>
        <v>1.4427020799000004E-3</v>
      </c>
      <c r="CM148">
        <f t="shared" si="119"/>
        <v>4.4642857142856984E-3</v>
      </c>
    </row>
    <row r="149" spans="2:91">
      <c r="B149">
        <v>137</v>
      </c>
      <c r="C149" t="e">
        <f>IF(ISNUMBER(K149),IF('Lab test'!N140&gt;0,'Lab test'!N140,NA()),NA())</f>
        <v>#N/A</v>
      </c>
      <c r="D149" t="e">
        <f>IF(ISNUMBER(K149),IF('Lab test'!Q140&gt;0,'Lab test'!Q140,NA()),NA())</f>
        <v>#N/A</v>
      </c>
      <c r="E149" t="e">
        <f>IF(ISNUMBER(K149),IF('Lab test'!P140&gt;0,'Lab test'!P140,NA()),NA())</f>
        <v>#N/A</v>
      </c>
      <c r="F149" t="e">
        <f>IF(ISNUMBER(K149),IF('Lab test'!AJ140&gt;0,'Lab test'!AJ140,NA()),NA())</f>
        <v>#N/A</v>
      </c>
      <c r="G149">
        <f>IF('Lab test'!V140&gt;0,'Lab test'!V140,NA())</f>
        <v>199947.96150188247</v>
      </c>
      <c r="H149" t="e">
        <f>IF(MAX('Lab test'!W140,'Lab test'!X140)&gt;0,MAX('Lab test'!W140,'Lab test'!X140),NA())</f>
        <v>#N/A</v>
      </c>
      <c r="I149" t="e">
        <f>IF('Lab test'!AU140&gt;0,'Lab test'!AU140,NA())</f>
        <v>#N/A</v>
      </c>
      <c r="J149">
        <f>IF('Lab test'!AT140&gt;0,'Lab test'!AT140,NA())</f>
        <v>1.6041419259635914</v>
      </c>
      <c r="K149" t="e">
        <f t="shared" si="112"/>
        <v>#N/A</v>
      </c>
      <c r="L149" t="str">
        <f>'Lab test'!AC140</f>
        <v>LTWb</v>
      </c>
      <c r="N149">
        <v>137</v>
      </c>
      <c r="O149">
        <v>30.4577610244</v>
      </c>
      <c r="P149">
        <v>8.4270063660400005E-2</v>
      </c>
      <c r="Q149">
        <f t="shared" si="113"/>
        <v>361.4303787302423</v>
      </c>
      <c r="R149">
        <v>211.86257611100001</v>
      </c>
      <c r="S149">
        <f t="shared" si="114"/>
        <v>0.36588444580193769</v>
      </c>
      <c r="T149">
        <v>2.67072296376E-2</v>
      </c>
      <c r="U149">
        <f t="shared" si="88"/>
        <v>0.6116071428571429</v>
      </c>
      <c r="W149">
        <v>137</v>
      </c>
      <c r="X149">
        <v>350</v>
      </c>
      <c r="Y149">
        <f t="shared" si="89"/>
        <v>0.8404907975460123</v>
      </c>
      <c r="Z149" t="e">
        <f t="shared" si="90"/>
        <v>#N/A</v>
      </c>
      <c r="AB149" t="e">
        <f t="shared" si="91"/>
        <v>#N/A</v>
      </c>
      <c r="AC149">
        <f t="shared" si="92"/>
        <v>350</v>
      </c>
      <c r="AE149" t="e">
        <v>#N/A</v>
      </c>
      <c r="AF149">
        <v>203.2</v>
      </c>
      <c r="AJ149">
        <f t="shared" si="93"/>
        <v>0.6116071428571429</v>
      </c>
      <c r="AK149">
        <v>140.69696757299999</v>
      </c>
      <c r="AL149">
        <f t="shared" si="94"/>
        <v>0.47499561800000834</v>
      </c>
      <c r="AM149">
        <f t="shared" si="115"/>
        <v>4.4642857142858094E-3</v>
      </c>
      <c r="AO149">
        <v>137</v>
      </c>
      <c r="AP149">
        <v>905.79710144927549</v>
      </c>
      <c r="AQ149">
        <f t="shared" si="116"/>
        <v>0.8404907975460123</v>
      </c>
      <c r="AR149" t="e">
        <f t="shared" si="95"/>
        <v>#N/A</v>
      </c>
      <c r="AT149" t="e">
        <f t="shared" si="96"/>
        <v>#N/A</v>
      </c>
      <c r="AU149">
        <f t="shared" si="97"/>
        <v>905.79710144927549</v>
      </c>
      <c r="AW149" t="e">
        <v>#N/A</v>
      </c>
      <c r="AX149">
        <v>594</v>
      </c>
      <c r="BB149">
        <f t="shared" si="98"/>
        <v>0.6116071428571429</v>
      </c>
      <c r="BC149">
        <v>536.1880922226544</v>
      </c>
      <c r="BD149">
        <f t="shared" si="99"/>
        <v>0.92359931820146812</v>
      </c>
      <c r="BE149">
        <f t="shared" si="117"/>
        <v>4.4642857142858094E-3</v>
      </c>
      <c r="BF149">
        <v>137</v>
      </c>
      <c r="BG149">
        <v>0.56076107754703686</v>
      </c>
      <c r="BH149">
        <f t="shared" si="100"/>
        <v>0.93197278911564629</v>
      </c>
      <c r="BI149" t="e">
        <f t="shared" si="101"/>
        <v>#N/A</v>
      </c>
      <c r="BK149" t="e">
        <f t="shared" si="102"/>
        <v>#N/A</v>
      </c>
      <c r="BL149">
        <f t="shared" si="103"/>
        <v>0.56076107754703686</v>
      </c>
      <c r="BN149" t="e">
        <v>#N/A</v>
      </c>
      <c r="BO149">
        <v>0.28252203884786981</v>
      </c>
      <c r="BS149">
        <f t="shared" si="104"/>
        <v>0.6116071428571429</v>
      </c>
      <c r="BT149">
        <v>0.10850437080733318</v>
      </c>
      <c r="BU149">
        <f t="shared" si="105"/>
        <v>1.2018988333471065E-3</v>
      </c>
      <c r="BV149">
        <f t="shared" si="118"/>
        <v>4.4642857142858094E-3</v>
      </c>
      <c r="BW149">
        <v>137</v>
      </c>
      <c r="BX149" t="e">
        <v>#N/A</v>
      </c>
      <c r="BZ149" t="e">
        <f t="shared" si="107"/>
        <v>#N/A</v>
      </c>
      <c r="CB149" t="e">
        <f t="shared" si="120"/>
        <v>#N/A</v>
      </c>
      <c r="CC149" t="e">
        <f t="shared" si="109"/>
        <v>#N/A</v>
      </c>
      <c r="CE149" t="e">
        <v>#N/A</v>
      </c>
      <c r="CF149" t="e">
        <v>#N/A</v>
      </c>
      <c r="CJ149">
        <f t="shared" si="110"/>
        <v>0.6116071428571429</v>
      </c>
      <c r="CK149">
        <v>5.2862704663399998E-2</v>
      </c>
      <c r="CL149">
        <f t="shared" si="111"/>
        <v>2.4762944257E-3</v>
      </c>
      <c r="CM149">
        <f t="shared" si="119"/>
        <v>4.4642857142858094E-3</v>
      </c>
    </row>
    <row r="150" spans="2:91">
      <c r="B150">
        <v>138</v>
      </c>
      <c r="C150" t="e">
        <f>IF(ISNUMBER(K150),IF('Lab test'!N141&gt;0,'Lab test'!N141,NA()),NA())</f>
        <v>#N/A</v>
      </c>
      <c r="D150" t="e">
        <f>IF(ISNUMBER(K150),IF('Lab test'!Q141&gt;0,'Lab test'!Q141,NA()),NA())</f>
        <v>#N/A</v>
      </c>
      <c r="E150" t="e">
        <f>IF(ISNUMBER(K150),IF('Lab test'!P141&gt;0,'Lab test'!P141,NA()),NA())</f>
        <v>#N/A</v>
      </c>
      <c r="F150" t="e">
        <f>IF(ISNUMBER(K150),IF('Lab test'!AJ141&gt;0,'Lab test'!AJ141,NA()),NA())</f>
        <v>#N/A</v>
      </c>
      <c r="G150">
        <f>IF('Lab test'!V141&gt;0,'Lab test'!V141,NA())</f>
        <v>210979.57317095189</v>
      </c>
      <c r="H150" t="e">
        <f>IF(MAX('Lab test'!W141,'Lab test'!X141)&gt;0,MAX('Lab test'!W141,'Lab test'!X141),NA())</f>
        <v>#N/A</v>
      </c>
      <c r="I150" t="e">
        <f>IF('Lab test'!AU141&gt;0,'Lab test'!AU141,NA())</f>
        <v>#N/A</v>
      </c>
      <c r="J150">
        <f>IF('Lab test'!AT141&gt;0,'Lab test'!AT141,NA())</f>
        <v>0.39762280324794341</v>
      </c>
      <c r="K150" t="e">
        <f t="shared" si="112"/>
        <v>#N/A</v>
      </c>
      <c r="L150" t="str">
        <f>'Lab test'!AC141</f>
        <v>LTWb</v>
      </c>
      <c r="N150">
        <v>138</v>
      </c>
      <c r="O150">
        <v>338.26562647999998</v>
      </c>
      <c r="P150">
        <v>0.72023844963500006</v>
      </c>
      <c r="Q150">
        <f t="shared" si="113"/>
        <v>469.65782880853567</v>
      </c>
      <c r="R150">
        <v>170.060512684</v>
      </c>
      <c r="S150">
        <f t="shared" si="114"/>
        <v>2.3198229074874593E-2</v>
      </c>
      <c r="T150">
        <v>6.1187130138100003E-2</v>
      </c>
      <c r="U150">
        <f t="shared" si="88"/>
        <v>0.6160714285714286</v>
      </c>
      <c r="W150">
        <v>138</v>
      </c>
      <c r="X150">
        <v>350</v>
      </c>
      <c r="Y150">
        <f t="shared" si="89"/>
        <v>0.84662576687116564</v>
      </c>
      <c r="Z150" t="e">
        <f t="shared" si="90"/>
        <v>#N/A</v>
      </c>
      <c r="AB150" t="e">
        <f t="shared" si="91"/>
        <v>#N/A</v>
      </c>
      <c r="AC150">
        <f t="shared" si="92"/>
        <v>350</v>
      </c>
      <c r="AE150" t="e">
        <v>#N/A</v>
      </c>
      <c r="AF150">
        <v>203.2</v>
      </c>
      <c r="AJ150">
        <f t="shared" si="93"/>
        <v>0.6160714285714286</v>
      </c>
      <c r="AK150">
        <v>141.171963191</v>
      </c>
      <c r="AL150">
        <f t="shared" si="94"/>
        <v>2.5105237960000011</v>
      </c>
      <c r="AM150">
        <f t="shared" si="115"/>
        <v>4.4642857142856984E-3</v>
      </c>
      <c r="AO150">
        <v>138</v>
      </c>
      <c r="AP150">
        <v>905.79710144927549</v>
      </c>
      <c r="AQ150">
        <f t="shared" si="116"/>
        <v>0.84662576687116564</v>
      </c>
      <c r="AR150">
        <f t="shared" si="95"/>
        <v>0.84662576687116564</v>
      </c>
      <c r="AT150">
        <f t="shared" si="96"/>
        <v>0.84662576687116564</v>
      </c>
      <c r="AU150">
        <f t="shared" si="97"/>
        <v>905.79710144927549</v>
      </c>
      <c r="AW150" t="e">
        <v>#N/A</v>
      </c>
      <c r="AX150">
        <v>629.2429611651005</v>
      </c>
      <c r="BB150">
        <f t="shared" si="98"/>
        <v>0.6160714285714286</v>
      </c>
      <c r="BC150">
        <v>537.11169154085587</v>
      </c>
      <c r="BD150">
        <f t="shared" si="99"/>
        <v>0.23449776675181511</v>
      </c>
      <c r="BE150">
        <f t="shared" si="117"/>
        <v>4.4642857142856984E-3</v>
      </c>
      <c r="BF150">
        <v>138</v>
      </c>
      <c r="BG150">
        <v>0.56076107754703686</v>
      </c>
      <c r="BH150">
        <f t="shared" si="100"/>
        <v>0.93877551020408168</v>
      </c>
      <c r="BI150" t="e">
        <f t="shared" si="101"/>
        <v>#N/A</v>
      </c>
      <c r="BK150" t="e">
        <f t="shared" si="102"/>
        <v>#N/A</v>
      </c>
      <c r="BL150">
        <f t="shared" si="103"/>
        <v>0.56076107754703686</v>
      </c>
      <c r="BN150" t="e">
        <v>#N/A</v>
      </c>
      <c r="BO150">
        <v>0.31675428338749489</v>
      </c>
      <c r="BS150">
        <f t="shared" si="104"/>
        <v>0.6160714285714286</v>
      </c>
      <c r="BT150">
        <v>0.10970626964068028</v>
      </c>
      <c r="BU150">
        <f t="shared" si="105"/>
        <v>7.6910797925350272E-5</v>
      </c>
      <c r="BV150">
        <f t="shared" si="118"/>
        <v>4.4642857142856984E-3</v>
      </c>
      <c r="BW150">
        <v>138</v>
      </c>
      <c r="BX150" t="e">
        <v>#N/A</v>
      </c>
      <c r="BZ150" t="e">
        <f t="shared" si="107"/>
        <v>#N/A</v>
      </c>
      <c r="CB150" t="e">
        <f t="shared" si="120"/>
        <v>#N/A</v>
      </c>
      <c r="CC150" t="e">
        <f t="shared" si="109"/>
        <v>#N/A</v>
      </c>
      <c r="CE150" t="e">
        <v>#N/A</v>
      </c>
      <c r="CF150" t="e">
        <v>#N/A</v>
      </c>
      <c r="CJ150">
        <f t="shared" si="110"/>
        <v>0.6160714285714286</v>
      </c>
      <c r="CK150">
        <v>5.5338999089099998E-2</v>
      </c>
      <c r="CL150">
        <f t="shared" si="111"/>
        <v>2.3163242904000042E-3</v>
      </c>
      <c r="CM150">
        <f t="shared" si="119"/>
        <v>4.4642857142856984E-3</v>
      </c>
    </row>
    <row r="151" spans="2:91">
      <c r="B151">
        <v>139</v>
      </c>
      <c r="C151" t="e">
        <f>IF(ISNUMBER(K151),IF('Lab test'!N142&gt;0,'Lab test'!N142,NA()),NA())</f>
        <v>#N/A</v>
      </c>
      <c r="D151" t="e">
        <f>IF(ISNUMBER(K151),IF('Lab test'!Q142&gt;0,'Lab test'!Q142,NA()),NA())</f>
        <v>#N/A</v>
      </c>
      <c r="E151" t="e">
        <f>IF(ISNUMBER(K151),IF('Lab test'!P142&gt;0,'Lab test'!P142,NA()),NA())</f>
        <v>#N/A</v>
      </c>
      <c r="F151" t="e">
        <f>IF(ISNUMBER(K151),IF('Lab test'!AJ142&gt;0,'Lab test'!AJ142,NA()),NA())</f>
        <v>#N/A</v>
      </c>
      <c r="G151">
        <f>IF('Lab test'!V142&gt;0,'Lab test'!V142,NA())</f>
        <v>210979.57317095189</v>
      </c>
      <c r="H151" t="e">
        <f>IF(MAX('Lab test'!W142,'Lab test'!X142)&gt;0,MAX('Lab test'!W142,'Lab test'!X142),NA())</f>
        <v>#N/A</v>
      </c>
      <c r="I151" t="e">
        <f>IF('Lab test'!AU142&gt;0,'Lab test'!AU142,NA())</f>
        <v>#N/A</v>
      </c>
      <c r="J151">
        <f>IF('Lab test'!AT142&gt;0,'Lab test'!AT142,NA())</f>
        <v>0.35110762238948906</v>
      </c>
      <c r="K151" t="e">
        <f t="shared" si="112"/>
        <v>#N/A</v>
      </c>
      <c r="L151" t="str">
        <f>'Lab test'!AC142</f>
        <v>LTWb</v>
      </c>
      <c r="N151">
        <v>139</v>
      </c>
      <c r="O151">
        <v>33.656202006500003</v>
      </c>
      <c r="P151">
        <v>8.4728985668200002E-2</v>
      </c>
      <c r="Q151">
        <f t="shared" si="113"/>
        <v>397.22182132922256</v>
      </c>
      <c r="R151">
        <v>81.246290246399994</v>
      </c>
      <c r="S151">
        <f t="shared" si="114"/>
        <v>0.12112167974190667</v>
      </c>
      <c r="T151">
        <v>4.9728255804100001E-2</v>
      </c>
      <c r="U151">
        <f t="shared" si="88"/>
        <v>0.6205357142857143</v>
      </c>
      <c r="W151">
        <v>139</v>
      </c>
      <c r="X151">
        <v>350</v>
      </c>
      <c r="Y151">
        <f t="shared" si="89"/>
        <v>0.85276073619631898</v>
      </c>
      <c r="Z151" t="e">
        <f t="shared" si="90"/>
        <v>#N/A</v>
      </c>
      <c r="AB151" t="e">
        <f t="shared" si="91"/>
        <v>#N/A</v>
      </c>
      <c r="AC151">
        <f t="shared" si="92"/>
        <v>350</v>
      </c>
      <c r="AE151" t="e">
        <v>#N/A</v>
      </c>
      <c r="AF151">
        <v>350</v>
      </c>
      <c r="AJ151">
        <f t="shared" si="93"/>
        <v>0.6205357142857143</v>
      </c>
      <c r="AK151">
        <v>143.682486987</v>
      </c>
      <c r="AL151">
        <f t="shared" si="94"/>
        <v>1.5978356059999896</v>
      </c>
      <c r="AM151">
        <f t="shared" si="115"/>
        <v>4.4642857142856984E-3</v>
      </c>
      <c r="AO151">
        <v>139</v>
      </c>
      <c r="AP151">
        <v>915.40664316156347</v>
      </c>
      <c r="AQ151">
        <f t="shared" si="116"/>
        <v>0.85276073619631898</v>
      </c>
      <c r="AR151">
        <f t="shared" si="95"/>
        <v>0.85276073619631898</v>
      </c>
      <c r="AT151">
        <f t="shared" si="96"/>
        <v>0.85276073619631898</v>
      </c>
      <c r="AU151">
        <f t="shared" si="97"/>
        <v>915.40664316156347</v>
      </c>
      <c r="AW151" t="e">
        <v>#N/A</v>
      </c>
      <c r="AX151">
        <v>635.59322033898309</v>
      </c>
      <c r="BB151">
        <f t="shared" si="98"/>
        <v>0.6205357142857143</v>
      </c>
      <c r="BC151">
        <v>537.34618930760769</v>
      </c>
      <c r="BD151">
        <f t="shared" si="99"/>
        <v>33.121021359708379</v>
      </c>
      <c r="BE151">
        <f t="shared" si="117"/>
        <v>4.4642857142856984E-3</v>
      </c>
      <c r="BF151">
        <v>139</v>
      </c>
      <c r="BG151">
        <v>0.56076107754703686</v>
      </c>
      <c r="BH151">
        <f t="shared" si="100"/>
        <v>0.94557823129251706</v>
      </c>
      <c r="BI151">
        <f t="shared" si="101"/>
        <v>0.94557823129251706</v>
      </c>
      <c r="BK151">
        <f t="shared" si="102"/>
        <v>0.94557823129251706</v>
      </c>
      <c r="BL151">
        <f t="shared" si="103"/>
        <v>0.56076107754703686</v>
      </c>
      <c r="BN151" t="e">
        <v>#N/A</v>
      </c>
      <c r="BO151">
        <v>0.34213349285311156</v>
      </c>
      <c r="BS151">
        <f t="shared" si="104"/>
        <v>0.6205357142857143</v>
      </c>
      <c r="BT151">
        <v>0.10978318043860563</v>
      </c>
      <c r="BU151">
        <f t="shared" si="105"/>
        <v>1.769344551551949E-4</v>
      </c>
      <c r="BV151">
        <f t="shared" si="118"/>
        <v>4.4642857142856984E-3</v>
      </c>
      <c r="BW151">
        <v>139</v>
      </c>
      <c r="BX151" t="e">
        <v>#N/A</v>
      </c>
      <c r="BZ151" t="e">
        <f t="shared" si="107"/>
        <v>#N/A</v>
      </c>
      <c r="CB151" t="e">
        <f t="shared" si="120"/>
        <v>#N/A</v>
      </c>
      <c r="CC151" t="e">
        <f t="shared" si="109"/>
        <v>#N/A</v>
      </c>
      <c r="CE151" t="e">
        <v>#N/A</v>
      </c>
      <c r="CF151" t="e">
        <v>#N/A</v>
      </c>
      <c r="CJ151">
        <f t="shared" si="110"/>
        <v>0.6205357142857143</v>
      </c>
      <c r="CK151">
        <v>5.7655323379500002E-2</v>
      </c>
      <c r="CL151">
        <f t="shared" si="111"/>
        <v>4.1800397199999451E-4</v>
      </c>
      <c r="CM151">
        <f t="shared" si="119"/>
        <v>4.4642857142856984E-3</v>
      </c>
    </row>
    <row r="152" spans="2:91">
      <c r="B152">
        <v>140</v>
      </c>
      <c r="C152" t="e">
        <f>IF(ISNUMBER(K152),IF('Lab test'!N143&gt;0,'Lab test'!N143,NA()),NA())</f>
        <v>#N/A</v>
      </c>
      <c r="D152" t="e">
        <f>IF(ISNUMBER(K152),IF('Lab test'!Q143&gt;0,'Lab test'!Q143,NA()),NA())</f>
        <v>#N/A</v>
      </c>
      <c r="E152" t="e">
        <f>IF(ISNUMBER(K152),IF('Lab test'!P143&gt;0,'Lab test'!P143,NA()),NA())</f>
        <v>#N/A</v>
      </c>
      <c r="F152" t="e">
        <f>IF(ISNUMBER(K152),IF('Lab test'!AJ143&gt;0,'Lab test'!AJ143,NA()),NA())</f>
        <v>#N/A</v>
      </c>
      <c r="G152">
        <f>IF('Lab test'!V143&gt;0,'Lab test'!V143,NA())</f>
        <v>210979.57317095189</v>
      </c>
      <c r="H152" t="e">
        <f>IF(MAX('Lab test'!W143,'Lab test'!X143)&gt;0,MAX('Lab test'!W143,'Lab test'!X143),NA())</f>
        <v>#N/A</v>
      </c>
      <c r="I152" t="e">
        <f>IF('Lab test'!AU143&gt;0,'Lab test'!AU143,NA())</f>
        <v>#N/A</v>
      </c>
      <c r="J152">
        <f>IF('Lab test'!AT143&gt;0,'Lab test'!AT143,NA())</f>
        <v>0.3118761317731959</v>
      </c>
      <c r="K152" t="e">
        <f t="shared" si="112"/>
        <v>#N/A</v>
      </c>
      <c r="L152" t="str">
        <f>'Lab test'!AC143</f>
        <v>LTWb</v>
      </c>
      <c r="N152">
        <v>140</v>
      </c>
      <c r="O152">
        <v>34.2985680755</v>
      </c>
      <c r="P152">
        <v>5.40875839526E-2</v>
      </c>
      <c r="Q152">
        <f t="shared" si="113"/>
        <v>634.13015648023338</v>
      </c>
      <c r="R152">
        <v>33.702060786700002</v>
      </c>
      <c r="S152">
        <f t="shared" si="114"/>
        <v>3.9020359385061522E-2</v>
      </c>
      <c r="T152">
        <v>2.7491488316600001E-2</v>
      </c>
      <c r="U152">
        <f t="shared" si="88"/>
        <v>0.625</v>
      </c>
      <c r="W152">
        <v>140</v>
      </c>
      <c r="X152">
        <v>350</v>
      </c>
      <c r="Y152">
        <f t="shared" si="89"/>
        <v>0.85889570552147243</v>
      </c>
      <c r="Z152" t="e">
        <f t="shared" si="90"/>
        <v>#N/A</v>
      </c>
      <c r="AB152" t="e">
        <f t="shared" si="91"/>
        <v>#N/A</v>
      </c>
      <c r="AC152">
        <f t="shared" si="92"/>
        <v>350</v>
      </c>
      <c r="AE152" t="e">
        <v>#N/A</v>
      </c>
      <c r="AF152">
        <v>350</v>
      </c>
      <c r="AJ152">
        <f t="shared" si="93"/>
        <v>0.625</v>
      </c>
      <c r="AK152">
        <v>145.28032259299999</v>
      </c>
      <c r="AL152">
        <f t="shared" si="94"/>
        <v>0.76044130500000051</v>
      </c>
      <c r="AM152">
        <f t="shared" si="115"/>
        <v>4.4642857142856984E-3</v>
      </c>
      <c r="AO152">
        <v>140</v>
      </c>
      <c r="AP152">
        <v>919.11764705882342</v>
      </c>
      <c r="AQ152">
        <f t="shared" si="116"/>
        <v>0.85889570552147243</v>
      </c>
      <c r="AR152">
        <f t="shared" si="95"/>
        <v>0.85889570552147243</v>
      </c>
      <c r="AT152">
        <f t="shared" si="96"/>
        <v>0.85889570552147243</v>
      </c>
      <c r="AU152">
        <f t="shared" si="97"/>
        <v>919.11764705882342</v>
      </c>
      <c r="AW152" t="e">
        <v>#N/A</v>
      </c>
      <c r="AX152">
        <v>640.33072956359285</v>
      </c>
      <c r="BB152">
        <f t="shared" si="98"/>
        <v>0.625</v>
      </c>
      <c r="BC152">
        <v>570.46721066731607</v>
      </c>
      <c r="BD152">
        <f t="shared" si="99"/>
        <v>6.6323062848643985</v>
      </c>
      <c r="BE152">
        <f t="shared" si="117"/>
        <v>4.4642857142856984E-3</v>
      </c>
      <c r="BF152">
        <v>140</v>
      </c>
      <c r="BG152">
        <v>0.68649043283858446</v>
      </c>
      <c r="BH152">
        <f t="shared" si="100"/>
        <v>0.95238095238095233</v>
      </c>
      <c r="BI152">
        <f t="shared" si="101"/>
        <v>0.95238095238095233</v>
      </c>
      <c r="BK152">
        <f t="shared" si="102"/>
        <v>0.95238095238095233</v>
      </c>
      <c r="BL152">
        <f t="shared" si="103"/>
        <v>0.68649043283858446</v>
      </c>
      <c r="BN152" t="e">
        <v>#N/A</v>
      </c>
      <c r="BO152">
        <v>0.36653042992274332</v>
      </c>
      <c r="BS152">
        <f t="shared" si="104"/>
        <v>0.625</v>
      </c>
      <c r="BT152">
        <v>0.10996011489376083</v>
      </c>
      <c r="BU152">
        <f t="shared" si="105"/>
        <v>5.6343951301021655E-4</v>
      </c>
      <c r="BV152">
        <f t="shared" si="118"/>
        <v>4.4642857142856984E-3</v>
      </c>
      <c r="BW152">
        <v>140</v>
      </c>
      <c r="BX152" t="e">
        <v>#N/A</v>
      </c>
      <c r="BZ152" t="e">
        <f t="shared" si="107"/>
        <v>#N/A</v>
      </c>
      <c r="CB152" t="e">
        <f t="shared" si="120"/>
        <v>#N/A</v>
      </c>
      <c r="CC152" t="e">
        <f t="shared" si="109"/>
        <v>#N/A</v>
      </c>
      <c r="CE152" t="e">
        <v>#N/A</v>
      </c>
      <c r="CF152" t="e">
        <v>#N/A</v>
      </c>
      <c r="CJ152">
        <f t="shared" si="110"/>
        <v>0.625</v>
      </c>
      <c r="CK152">
        <v>5.8073327351499997E-2</v>
      </c>
      <c r="CL152">
        <f t="shared" si="111"/>
        <v>7.0225059900001774E-5</v>
      </c>
      <c r="CM152">
        <f t="shared" si="119"/>
        <v>4.4642857142856984E-3</v>
      </c>
    </row>
    <row r="153" spans="2:91">
      <c r="B153">
        <v>141</v>
      </c>
      <c r="C153" t="e">
        <f>IF(ISNUMBER(K153),IF('Lab test'!N144&gt;0,'Lab test'!N144,NA()),NA())</f>
        <v>#N/A</v>
      </c>
      <c r="D153" t="e">
        <f>IF(ISNUMBER(K153),IF('Lab test'!Q144&gt;0,'Lab test'!Q144,NA()),NA())</f>
        <v>#N/A</v>
      </c>
      <c r="E153" t="e">
        <f>IF(ISNUMBER(K153),IF('Lab test'!P144&gt;0,'Lab test'!P144,NA()),NA())</f>
        <v>#N/A</v>
      </c>
      <c r="F153" t="e">
        <f>IF(ISNUMBER(K153),IF('Lab test'!AJ144&gt;0,'Lab test'!AJ144,NA()),NA())</f>
        <v>#N/A</v>
      </c>
      <c r="G153">
        <f>IF('Lab test'!V144&gt;0,'Lab test'!V144,NA())</f>
        <v>210979.57317095189</v>
      </c>
      <c r="H153" t="e">
        <f>IF(MAX('Lab test'!W144,'Lab test'!X144)&gt;0,MAX('Lab test'!W144,'Lab test'!X144),NA())</f>
        <v>#N/A</v>
      </c>
      <c r="I153" t="e">
        <f>IF('Lab test'!AU144&gt;0,'Lab test'!AU144,NA())</f>
        <v>#N/A</v>
      </c>
      <c r="J153">
        <f>IF('Lab test'!AT144&gt;0,'Lab test'!AT144,NA())</f>
        <v>0.2992070328369692</v>
      </c>
      <c r="K153" t="e">
        <f t="shared" si="112"/>
        <v>#N/A</v>
      </c>
      <c r="L153" t="str">
        <f>'Lab test'!AC144</f>
        <v>LTWb</v>
      </c>
      <c r="N153">
        <v>141</v>
      </c>
      <c r="O153">
        <v>351.34494953900003</v>
      </c>
      <c r="P153">
        <v>0.30011879192300001</v>
      </c>
      <c r="Q153">
        <f t="shared" si="113"/>
        <v>1170.6862715519089</v>
      </c>
      <c r="R153">
        <v>158.08242477600001</v>
      </c>
      <c r="S153">
        <f t="shared" si="114"/>
        <v>1.3150116821284563E-2</v>
      </c>
      <c r="T153">
        <v>6.6616126333799999E-2</v>
      </c>
      <c r="U153">
        <f t="shared" si="88"/>
        <v>0.6294642857142857</v>
      </c>
      <c r="W153">
        <v>141</v>
      </c>
      <c r="X153">
        <v>350</v>
      </c>
      <c r="Y153">
        <f t="shared" si="89"/>
        <v>0.86503067484662577</v>
      </c>
      <c r="Z153" t="e">
        <f t="shared" si="90"/>
        <v>#N/A</v>
      </c>
      <c r="AB153" t="e">
        <f t="shared" si="91"/>
        <v>#N/A</v>
      </c>
      <c r="AC153">
        <f t="shared" si="92"/>
        <v>350</v>
      </c>
      <c r="AE153" t="e">
        <v>#N/A</v>
      </c>
      <c r="AF153">
        <v>350</v>
      </c>
      <c r="AJ153">
        <f t="shared" si="93"/>
        <v>0.6294642857142857</v>
      </c>
      <c r="AK153">
        <v>146.04076389799999</v>
      </c>
      <c r="AL153">
        <f t="shared" si="94"/>
        <v>1.1733633979999922</v>
      </c>
      <c r="AM153">
        <f t="shared" si="115"/>
        <v>4.4642857142856984E-3</v>
      </c>
      <c r="AO153">
        <v>141</v>
      </c>
      <c r="AP153">
        <v>928.77006708289071</v>
      </c>
      <c r="AQ153">
        <f t="shared" si="116"/>
        <v>0.86503067484662577</v>
      </c>
      <c r="AR153">
        <f t="shared" si="95"/>
        <v>0.86503067484662577</v>
      </c>
      <c r="AT153">
        <f t="shared" si="96"/>
        <v>0.86503067484662577</v>
      </c>
      <c r="AU153">
        <f t="shared" si="97"/>
        <v>928.77006708289071</v>
      </c>
      <c r="AW153" t="e">
        <v>#N/A</v>
      </c>
      <c r="AX153">
        <v>640.33072956359285</v>
      </c>
      <c r="BB153">
        <f t="shared" si="98"/>
        <v>0.6294642857142857</v>
      </c>
      <c r="BC153">
        <v>577.09951695218047</v>
      </c>
      <c r="BD153">
        <f t="shared" si="99"/>
        <v>16.157578960096316</v>
      </c>
      <c r="BE153">
        <f t="shared" si="117"/>
        <v>4.4642857142856984E-3</v>
      </c>
      <c r="BF153">
        <v>141</v>
      </c>
      <c r="BG153">
        <v>0.84852813742385702</v>
      </c>
      <c r="BH153">
        <f t="shared" si="100"/>
        <v>0.95918367346938771</v>
      </c>
      <c r="BI153">
        <f t="shared" si="101"/>
        <v>0.95918367346938771</v>
      </c>
      <c r="BK153">
        <f t="shared" si="102"/>
        <v>0.95918367346938771</v>
      </c>
      <c r="BL153">
        <f t="shared" si="103"/>
        <v>0.84852813742385702</v>
      </c>
      <c r="BN153" t="e">
        <v>#N/A</v>
      </c>
      <c r="BO153">
        <v>0.36653042992274332</v>
      </c>
      <c r="BS153">
        <f t="shared" si="104"/>
        <v>0.6294642857142857</v>
      </c>
      <c r="BT153">
        <v>0.11052355440677104</v>
      </c>
      <c r="BU153">
        <f t="shared" si="105"/>
        <v>1.0164001367903991E-3</v>
      </c>
      <c r="BV153">
        <f t="shared" si="118"/>
        <v>4.4642857142856984E-3</v>
      </c>
      <c r="BW153">
        <v>141</v>
      </c>
      <c r="BX153" t="e">
        <v>#N/A</v>
      </c>
      <c r="BZ153" t="e">
        <f t="shared" si="107"/>
        <v>#N/A</v>
      </c>
      <c r="CB153" t="e">
        <f t="shared" si="120"/>
        <v>#N/A</v>
      </c>
      <c r="CC153" t="e">
        <f t="shared" si="109"/>
        <v>#N/A</v>
      </c>
      <c r="CE153" t="e">
        <v>#N/A</v>
      </c>
      <c r="CF153" t="e">
        <v>#N/A</v>
      </c>
      <c r="CJ153">
        <f t="shared" si="110"/>
        <v>0.6294642857142857</v>
      </c>
      <c r="CK153">
        <v>5.8143552411399999E-2</v>
      </c>
      <c r="CL153">
        <f t="shared" si="111"/>
        <v>2.0792712434000021E-3</v>
      </c>
      <c r="CM153">
        <f t="shared" si="119"/>
        <v>4.4642857142856984E-3</v>
      </c>
    </row>
    <row r="154" spans="2:91">
      <c r="B154">
        <v>142</v>
      </c>
      <c r="C154" t="e">
        <f>IF(ISNUMBER(K154),IF('Lab test'!N145&gt;0,'Lab test'!N145,NA()),NA())</f>
        <v>#N/A</v>
      </c>
      <c r="D154" t="e">
        <f>IF(ISNUMBER(K154),IF('Lab test'!Q145&gt;0,'Lab test'!Q145,NA()),NA())</f>
        <v>#N/A</v>
      </c>
      <c r="E154" t="e">
        <f>IF(ISNUMBER(K154),IF('Lab test'!P145&gt;0,'Lab test'!P145,NA()),NA())</f>
        <v>#N/A</v>
      </c>
      <c r="F154" t="e">
        <f>IF(ISNUMBER(K154),IF('Lab test'!AJ145&gt;0,'Lab test'!AJ145,NA()),NA())</f>
        <v>#N/A</v>
      </c>
      <c r="G154">
        <f>IF('Lab test'!V145&gt;0,'Lab test'!V145,NA())</f>
        <v>210979.57317095189</v>
      </c>
      <c r="H154" t="e">
        <f>IF(MAX('Lab test'!W145,'Lab test'!X145)&gt;0,MAX('Lab test'!W145,'Lab test'!X145),NA())</f>
        <v>#N/A</v>
      </c>
      <c r="I154" t="e">
        <f>IF('Lab test'!AU145&gt;0,'Lab test'!AU145,NA())</f>
        <v>#N/A</v>
      </c>
      <c r="J154">
        <f>IF('Lab test'!AT145&gt;0,'Lab test'!AT145,NA())</f>
        <v>0.41939904410146706</v>
      </c>
      <c r="K154" t="e">
        <f t="shared" si="112"/>
        <v>#N/A</v>
      </c>
      <c r="L154" t="str">
        <f>'Lab test'!AC145</f>
        <v>LTWb</v>
      </c>
      <c r="N154">
        <v>142</v>
      </c>
      <c r="O154">
        <v>352.39815762799998</v>
      </c>
      <c r="P154">
        <v>0.76608477145800002</v>
      </c>
      <c r="Q154">
        <f t="shared" si="113"/>
        <v>459.99890711483738</v>
      </c>
      <c r="R154">
        <v>507.09102223899998</v>
      </c>
      <c r="S154">
        <f t="shared" si="114"/>
        <v>6.7092487282307128E-2</v>
      </c>
      <c r="T154">
        <v>3.3286454784899999E-2</v>
      </c>
      <c r="U154">
        <f t="shared" si="88"/>
        <v>0.6339285714285714</v>
      </c>
      <c r="W154">
        <v>142</v>
      </c>
      <c r="X154">
        <v>350</v>
      </c>
      <c r="Y154">
        <f t="shared" si="89"/>
        <v>0.87116564417177911</v>
      </c>
      <c r="Z154" t="e">
        <f t="shared" si="90"/>
        <v>#N/A</v>
      </c>
      <c r="AB154" t="e">
        <f t="shared" si="91"/>
        <v>#N/A</v>
      </c>
      <c r="AC154">
        <f t="shared" si="92"/>
        <v>350</v>
      </c>
      <c r="AE154" t="e">
        <v>#N/A</v>
      </c>
      <c r="AF154">
        <v>350</v>
      </c>
      <c r="AJ154">
        <f t="shared" si="93"/>
        <v>0.6339285714285714</v>
      </c>
      <c r="AK154">
        <v>147.21412729599999</v>
      </c>
      <c r="AL154">
        <f t="shared" si="94"/>
        <v>1.4478278630000148</v>
      </c>
      <c r="AM154">
        <f t="shared" si="115"/>
        <v>4.4642857142856984E-3</v>
      </c>
      <c r="AO154">
        <v>142</v>
      </c>
      <c r="AP154">
        <v>932.8358208955226</v>
      </c>
      <c r="AQ154">
        <f t="shared" si="116"/>
        <v>0.87116564417177911</v>
      </c>
      <c r="AR154">
        <f t="shared" si="95"/>
        <v>0.87116564417177911</v>
      </c>
      <c r="AT154">
        <f t="shared" si="96"/>
        <v>0.87116564417177911</v>
      </c>
      <c r="AU154">
        <f t="shared" si="97"/>
        <v>932.8358208955226</v>
      </c>
      <c r="AW154" t="e">
        <v>#N/A</v>
      </c>
      <c r="AX154">
        <v>651.51533436731233</v>
      </c>
      <c r="BB154">
        <f t="shared" si="98"/>
        <v>0.6339285714285714</v>
      </c>
      <c r="BC154">
        <v>593.25709591227678</v>
      </c>
      <c r="BD154">
        <f t="shared" si="99"/>
        <v>3.5003577216936037</v>
      </c>
      <c r="BE154">
        <f t="shared" si="117"/>
        <v>4.4642857142856984E-3</v>
      </c>
      <c r="BF154">
        <v>142</v>
      </c>
      <c r="BG154">
        <v>0.89828280624756474</v>
      </c>
      <c r="BH154">
        <f t="shared" si="100"/>
        <v>0.96598639455782309</v>
      </c>
      <c r="BI154">
        <f t="shared" si="101"/>
        <v>0.96598639455782309</v>
      </c>
      <c r="BK154">
        <f t="shared" si="102"/>
        <v>0.96598639455782309</v>
      </c>
      <c r="BL154">
        <f t="shared" si="103"/>
        <v>0.89828280624756474</v>
      </c>
      <c r="BN154" t="e">
        <v>#N/A</v>
      </c>
      <c r="BO154">
        <v>0.36653042992274332</v>
      </c>
      <c r="BS154">
        <f t="shared" si="104"/>
        <v>0.6339285714285714</v>
      </c>
      <c r="BT154">
        <v>0.11153995454356144</v>
      </c>
      <c r="BU154">
        <f t="shared" si="105"/>
        <v>3.00086305587699E-4</v>
      </c>
      <c r="BV154">
        <f t="shared" si="118"/>
        <v>4.4642857142856984E-3</v>
      </c>
      <c r="BW154">
        <v>142</v>
      </c>
      <c r="BX154" t="e">
        <v>#N/A</v>
      </c>
      <c r="BZ154" t="e">
        <f t="shared" si="107"/>
        <v>#N/A</v>
      </c>
      <c r="CB154" t="e">
        <f t="shared" si="120"/>
        <v>#N/A</v>
      </c>
      <c r="CC154" t="e">
        <f t="shared" si="109"/>
        <v>#N/A</v>
      </c>
      <c r="CE154" t="e">
        <v>#N/A</v>
      </c>
      <c r="CF154" t="e">
        <v>#N/A</v>
      </c>
      <c r="CJ154">
        <f t="shared" si="110"/>
        <v>0.6339285714285714</v>
      </c>
      <c r="CK154">
        <v>6.0222823654800001E-2</v>
      </c>
      <c r="CL154">
        <f t="shared" si="111"/>
        <v>8.0221208879999867E-4</v>
      </c>
      <c r="CM154">
        <f t="shared" si="119"/>
        <v>4.4642857142856984E-3</v>
      </c>
    </row>
    <row r="155" spans="2:91">
      <c r="B155">
        <v>143</v>
      </c>
      <c r="C155" t="e">
        <f>IF(ISNUMBER(K155),IF('Lab test'!N146&gt;0,'Lab test'!N146,NA()),NA())</f>
        <v>#N/A</v>
      </c>
      <c r="D155" t="e">
        <f>IF(ISNUMBER(K155),IF('Lab test'!Q146&gt;0,'Lab test'!Q146,NA()),NA())</f>
        <v>#N/A</v>
      </c>
      <c r="E155" t="e">
        <f>IF(ISNUMBER(K155),IF('Lab test'!P146&gt;0,'Lab test'!P146,NA()),NA())</f>
        <v>#N/A</v>
      </c>
      <c r="F155" t="e">
        <f>IF(ISNUMBER(K155),IF('Lab test'!AJ146&gt;0,'Lab test'!AJ146,NA()),NA())</f>
        <v>#N/A</v>
      </c>
      <c r="G155">
        <f>IF('Lab test'!V146&gt;0,'Lab test'!V146,NA())</f>
        <v>210979.57317095189</v>
      </c>
      <c r="H155" t="e">
        <f>IF(MAX('Lab test'!W146,'Lab test'!X146)&gt;0,MAX('Lab test'!W146,'Lab test'!X146),NA())</f>
        <v>#N/A</v>
      </c>
      <c r="I155" t="e">
        <f>IF('Lab test'!AU146&gt;0,'Lab test'!AU146,NA())</f>
        <v>#N/A</v>
      </c>
      <c r="J155">
        <f>IF('Lab test'!AT146&gt;0,'Lab test'!AT146,NA())</f>
        <v>0.44499639812222946</v>
      </c>
      <c r="K155" t="e">
        <f t="shared" si="112"/>
        <v>#N/A</v>
      </c>
      <c r="L155" t="str">
        <f>'Lab test'!AC146</f>
        <v>LTWb</v>
      </c>
      <c r="N155">
        <v>143</v>
      </c>
      <c r="O155">
        <v>356.06363336800001</v>
      </c>
      <c r="P155">
        <v>1.4817612013000001</v>
      </c>
      <c r="Q155">
        <f t="shared" si="113"/>
        <v>240.29758172613316</v>
      </c>
      <c r="R155">
        <v>326.33818822699999</v>
      </c>
      <c r="S155">
        <f t="shared" si="114"/>
        <v>5.9124241026831462E-2</v>
      </c>
      <c r="T155">
        <v>2.1603815816199998E-2</v>
      </c>
      <c r="U155">
        <f t="shared" si="88"/>
        <v>0.6383928571428571</v>
      </c>
      <c r="W155">
        <v>143</v>
      </c>
      <c r="X155">
        <v>350</v>
      </c>
      <c r="Y155">
        <f t="shared" si="89"/>
        <v>0.87730061349693256</v>
      </c>
      <c r="Z155" t="e">
        <f t="shared" si="90"/>
        <v>#N/A</v>
      </c>
      <c r="AB155" t="e">
        <f t="shared" si="91"/>
        <v>#N/A</v>
      </c>
      <c r="AC155">
        <f t="shared" si="92"/>
        <v>350</v>
      </c>
      <c r="AE155" t="e">
        <v>#N/A</v>
      </c>
      <c r="AF155">
        <v>350</v>
      </c>
      <c r="AJ155">
        <f t="shared" si="93"/>
        <v>0.6383928571428571</v>
      </c>
      <c r="AK155">
        <v>148.661955159</v>
      </c>
      <c r="AL155">
        <f t="shared" si="94"/>
        <v>0.29841472800001156</v>
      </c>
      <c r="AM155">
        <f t="shared" si="115"/>
        <v>4.4642857142856984E-3</v>
      </c>
      <c r="AO155">
        <v>143</v>
      </c>
      <c r="AP155">
        <v>951.34228187919473</v>
      </c>
      <c r="AQ155">
        <f t="shared" si="116"/>
        <v>0.87730061349693256</v>
      </c>
      <c r="AR155">
        <f t="shared" si="95"/>
        <v>0.87730061349693256</v>
      </c>
      <c r="AT155">
        <f t="shared" si="96"/>
        <v>0.87730061349693256</v>
      </c>
      <c r="AU155">
        <f t="shared" si="97"/>
        <v>951.34228187919473</v>
      </c>
      <c r="AW155" t="e">
        <v>#N/A</v>
      </c>
      <c r="AX155">
        <v>651.51533436731233</v>
      </c>
      <c r="BB155">
        <f t="shared" si="98"/>
        <v>0.6383928571428571</v>
      </c>
      <c r="BC155">
        <v>596.75745363397039</v>
      </c>
      <c r="BD155">
        <f t="shared" si="99"/>
        <v>12.158011002784178</v>
      </c>
      <c r="BE155">
        <f t="shared" si="117"/>
        <v>4.4642857142856984E-3</v>
      </c>
      <c r="BF155">
        <v>143</v>
      </c>
      <c r="BG155">
        <v>0.97979589711327131</v>
      </c>
      <c r="BH155">
        <f t="shared" si="100"/>
        <v>0.97278911564625847</v>
      </c>
      <c r="BI155">
        <f t="shared" si="101"/>
        <v>0.97278911564625847</v>
      </c>
      <c r="BK155">
        <f t="shared" si="102"/>
        <v>0.97278911564625847</v>
      </c>
      <c r="BL155">
        <f t="shared" si="103"/>
        <v>0.97979589711327131</v>
      </c>
      <c r="BN155" t="e">
        <v>#N/A</v>
      </c>
      <c r="BO155">
        <v>0.38251687369949799</v>
      </c>
      <c r="BS155">
        <f t="shared" si="104"/>
        <v>0.6383928571428571</v>
      </c>
      <c r="BT155">
        <v>0.11184004084914914</v>
      </c>
      <c r="BU155">
        <f t="shared" si="105"/>
        <v>2.0253908278368427E-4</v>
      </c>
      <c r="BV155">
        <f t="shared" si="118"/>
        <v>4.4642857142856984E-3</v>
      </c>
      <c r="BW155">
        <v>143</v>
      </c>
      <c r="BX155" t="e">
        <v>#N/A</v>
      </c>
      <c r="BZ155" t="e">
        <f t="shared" si="107"/>
        <v>#N/A</v>
      </c>
      <c r="CB155" t="e">
        <f t="shared" si="120"/>
        <v>#N/A</v>
      </c>
      <c r="CC155" t="e">
        <f t="shared" si="109"/>
        <v>#N/A</v>
      </c>
      <c r="CE155" t="e">
        <v>#N/A</v>
      </c>
      <c r="CF155" t="e">
        <v>#N/A</v>
      </c>
      <c r="CJ155">
        <f t="shared" si="110"/>
        <v>0.6383928571428571</v>
      </c>
      <c r="CK155">
        <v>6.1025035743599999E-2</v>
      </c>
      <c r="CL155">
        <f t="shared" si="111"/>
        <v>1.6209439450000362E-4</v>
      </c>
      <c r="CM155">
        <f t="shared" si="119"/>
        <v>4.4642857142856984E-3</v>
      </c>
    </row>
    <row r="156" spans="2:91">
      <c r="B156">
        <v>144</v>
      </c>
      <c r="C156" t="e">
        <f>IF(ISNUMBER(K156),IF('Lab test'!N147&gt;0,'Lab test'!N147,NA()),NA())</f>
        <v>#N/A</v>
      </c>
      <c r="D156" t="e">
        <f>IF(ISNUMBER(K156),IF('Lab test'!Q147&gt;0,'Lab test'!Q147,NA()),NA())</f>
        <v>#N/A</v>
      </c>
      <c r="E156" t="e">
        <f>IF(ISNUMBER(K156),IF('Lab test'!P147&gt;0,'Lab test'!P147,NA()),NA())</f>
        <v>#N/A</v>
      </c>
      <c r="F156" t="e">
        <f>IF(ISNUMBER(K156),IF('Lab test'!AJ147&gt;0,'Lab test'!AJ147,NA()),NA())</f>
        <v>#N/A</v>
      </c>
      <c r="G156">
        <f>IF('Lab test'!V147&gt;0,'Lab test'!V147,NA())</f>
        <v>210979.57317095189</v>
      </c>
      <c r="H156" t="e">
        <f>IF(MAX('Lab test'!W147,'Lab test'!X147)&gt;0,MAX('Lab test'!W147,'Lab test'!X147),NA())</f>
        <v>#N/A</v>
      </c>
      <c r="I156" t="e">
        <f>IF('Lab test'!AU147&gt;0,'Lab test'!AU147,NA())</f>
        <v>#N/A</v>
      </c>
      <c r="J156">
        <f>IF('Lab test'!AT147&gt;0,'Lab test'!AT147,NA())</f>
        <v>0.46109873569917537</v>
      </c>
      <c r="K156" t="e">
        <f t="shared" si="112"/>
        <v>#N/A</v>
      </c>
      <c r="L156" t="str">
        <f>'Lab test'!AC147</f>
        <v>LTWb</v>
      </c>
      <c r="N156">
        <v>144</v>
      </c>
      <c r="O156">
        <v>356.72080047899999</v>
      </c>
      <c r="P156">
        <v>1.4459031555799999</v>
      </c>
      <c r="Q156">
        <f t="shared" si="113"/>
        <v>246.71140601799669</v>
      </c>
      <c r="R156">
        <v>416.339125384</v>
      </c>
      <c r="S156">
        <f t="shared" si="114"/>
        <v>7.430605034223417E-2</v>
      </c>
      <c r="T156">
        <v>6.6590655628799997E-2</v>
      </c>
      <c r="U156">
        <f t="shared" si="88"/>
        <v>0.6428571428571429</v>
      </c>
      <c r="W156">
        <v>144</v>
      </c>
      <c r="X156">
        <v>350</v>
      </c>
      <c r="Y156">
        <f t="shared" si="89"/>
        <v>0.8834355828220859</v>
      </c>
      <c r="Z156" t="e">
        <f t="shared" si="90"/>
        <v>#N/A</v>
      </c>
      <c r="AB156" t="e">
        <f t="shared" si="91"/>
        <v>#N/A</v>
      </c>
      <c r="AC156">
        <f t="shared" si="92"/>
        <v>350</v>
      </c>
      <c r="AE156" t="e">
        <v>#N/A</v>
      </c>
      <c r="AF156">
        <v>350</v>
      </c>
      <c r="AJ156">
        <f t="shared" si="93"/>
        <v>0.6428571428571429</v>
      </c>
      <c r="AK156">
        <v>148.96036988700001</v>
      </c>
      <c r="AL156">
        <f t="shared" si="94"/>
        <v>0.19397304899999313</v>
      </c>
      <c r="AM156">
        <f t="shared" si="115"/>
        <v>4.4642857142858094E-3</v>
      </c>
      <c r="AO156">
        <v>144</v>
      </c>
      <c r="AP156">
        <v>984.37500000000011</v>
      </c>
      <c r="AQ156">
        <f t="shared" si="116"/>
        <v>0.8834355828220859</v>
      </c>
      <c r="AR156">
        <f t="shared" si="95"/>
        <v>0.8834355828220859</v>
      </c>
      <c r="AT156">
        <f t="shared" si="96"/>
        <v>0.8834355828220859</v>
      </c>
      <c r="AU156">
        <f t="shared" si="97"/>
        <v>984.37500000000011</v>
      </c>
      <c r="AW156" t="e">
        <v>#N/A</v>
      </c>
      <c r="AX156">
        <v>651.51533436731233</v>
      </c>
      <c r="BB156">
        <f t="shared" si="98"/>
        <v>0.6428571428571429</v>
      </c>
      <c r="BC156">
        <v>608.91546463675456</v>
      </c>
      <c r="BD156">
        <f t="shared" si="99"/>
        <v>4.1866262201463087</v>
      </c>
      <c r="BE156">
        <f t="shared" si="117"/>
        <v>4.4642857142858094E-3</v>
      </c>
      <c r="BF156">
        <v>144</v>
      </c>
      <c r="BG156">
        <v>1.0047968348599594</v>
      </c>
      <c r="BH156">
        <f t="shared" si="100"/>
        <v>0.97959183673469385</v>
      </c>
      <c r="BI156">
        <f t="shared" si="101"/>
        <v>0.97959183673469385</v>
      </c>
      <c r="BK156">
        <f t="shared" si="102"/>
        <v>0.97959183673469385</v>
      </c>
      <c r="BL156">
        <f t="shared" si="103"/>
        <v>1.0047968348599594</v>
      </c>
      <c r="BN156" t="e">
        <v>#N/A</v>
      </c>
      <c r="BO156">
        <v>0.38251687369949799</v>
      </c>
      <c r="BS156">
        <f t="shared" si="104"/>
        <v>0.6428571428571429</v>
      </c>
      <c r="BT156">
        <v>0.11204257993193283</v>
      </c>
      <c r="BU156">
        <f t="shared" si="105"/>
        <v>1.5424963584691198E-4</v>
      </c>
      <c r="BV156">
        <f t="shared" si="118"/>
        <v>4.4642857142858094E-3</v>
      </c>
      <c r="BW156">
        <v>144</v>
      </c>
      <c r="BX156" t="e">
        <v>#N/A</v>
      </c>
      <c r="BZ156" t="e">
        <f t="shared" si="107"/>
        <v>#N/A</v>
      </c>
      <c r="CB156" t="e">
        <f t="shared" si="120"/>
        <v>#N/A</v>
      </c>
      <c r="CC156" t="e">
        <f t="shared" si="109"/>
        <v>#N/A</v>
      </c>
      <c r="CE156" t="e">
        <v>#N/A</v>
      </c>
      <c r="CF156" t="e">
        <v>#N/A</v>
      </c>
      <c r="CJ156">
        <f t="shared" si="110"/>
        <v>0.6428571428571429</v>
      </c>
      <c r="CK156">
        <v>6.1187130138100003E-2</v>
      </c>
      <c r="CL156">
        <f t="shared" si="111"/>
        <v>2.4049549258E-3</v>
      </c>
      <c r="CM156">
        <f t="shared" si="119"/>
        <v>4.4642857142858094E-3</v>
      </c>
    </row>
    <row r="157" spans="2:91">
      <c r="B157">
        <v>145</v>
      </c>
      <c r="C157" t="e">
        <f>IF(ISNUMBER(K157),IF('Lab test'!N148&gt;0,'Lab test'!N148,NA()),NA())</f>
        <v>#N/A</v>
      </c>
      <c r="D157" t="e">
        <f>IF(ISNUMBER(K157),IF('Lab test'!Q148&gt;0,'Lab test'!Q148,NA()),NA())</f>
        <v>#N/A</v>
      </c>
      <c r="E157" t="e">
        <f>IF(ISNUMBER(K157),IF('Lab test'!P148&gt;0,'Lab test'!P148,NA()),NA())</f>
        <v>#N/A</v>
      </c>
      <c r="F157" t="e">
        <f>IF(ISNUMBER(K157),IF('Lab test'!AJ148&gt;0,'Lab test'!AJ148,NA()),NA())</f>
        <v>#N/A</v>
      </c>
      <c r="G157">
        <f>IF('Lab test'!V148&gt;0,'Lab test'!V148,NA())</f>
        <v>210979.57317095189</v>
      </c>
      <c r="H157" t="e">
        <f>IF(MAX('Lab test'!W148,'Lab test'!X148)&gt;0,MAX('Lab test'!W148,'Lab test'!X148),NA())</f>
        <v>#N/A</v>
      </c>
      <c r="I157" t="e">
        <f>IF('Lab test'!AU148&gt;0,'Lab test'!AU148,NA())</f>
        <v>#N/A</v>
      </c>
      <c r="J157">
        <f>IF('Lab test'!AT148&gt;0,'Lab test'!AT148,NA())</f>
        <v>0.60196979325447642</v>
      </c>
      <c r="K157" t="e">
        <f t="shared" si="112"/>
        <v>#N/A</v>
      </c>
      <c r="L157" t="str">
        <f>'Lab test'!AC148</f>
        <v>LTWb</v>
      </c>
      <c r="N157">
        <v>145</v>
      </c>
      <c r="O157">
        <v>356.88459558900001</v>
      </c>
      <c r="P157">
        <v>1.2092504954500001</v>
      </c>
      <c r="Q157">
        <f t="shared" si="113"/>
        <v>295.12875697122792</v>
      </c>
      <c r="R157">
        <v>363.113851952</v>
      </c>
      <c r="S157">
        <f t="shared" si="114"/>
        <v>5.9225570054675554E-2</v>
      </c>
      <c r="T157">
        <v>6.66401592131E-2</v>
      </c>
      <c r="U157">
        <f t="shared" si="88"/>
        <v>0.6473214285714286</v>
      </c>
      <c r="W157">
        <v>145</v>
      </c>
      <c r="X157">
        <v>350</v>
      </c>
      <c r="Y157">
        <f t="shared" si="89"/>
        <v>0.88957055214723924</v>
      </c>
      <c r="Z157" t="e">
        <f t="shared" si="90"/>
        <v>#N/A</v>
      </c>
      <c r="AB157" t="e">
        <f t="shared" si="91"/>
        <v>#N/A</v>
      </c>
      <c r="AC157">
        <f t="shared" si="92"/>
        <v>350</v>
      </c>
      <c r="AE157" t="e">
        <v>#N/A</v>
      </c>
      <c r="AF157">
        <v>350</v>
      </c>
      <c r="AJ157">
        <f t="shared" si="93"/>
        <v>0.6473214285714286</v>
      </c>
      <c r="AK157">
        <v>149.15434293600001</v>
      </c>
      <c r="AL157">
        <f t="shared" si="94"/>
        <v>0.78207508500000245</v>
      </c>
      <c r="AM157">
        <f t="shared" si="115"/>
        <v>4.4642857142856984E-3</v>
      </c>
      <c r="AO157">
        <v>145</v>
      </c>
      <c r="AP157">
        <v>1019.7841726618706</v>
      </c>
      <c r="AQ157">
        <f t="shared" si="116"/>
        <v>0.88957055214723924</v>
      </c>
      <c r="AR157">
        <f t="shared" si="95"/>
        <v>0.88957055214723924</v>
      </c>
      <c r="AT157">
        <f t="shared" si="96"/>
        <v>0.88957055214723924</v>
      </c>
      <c r="AU157">
        <f t="shared" si="97"/>
        <v>1019.7841726618706</v>
      </c>
      <c r="AW157" t="e">
        <v>#N/A</v>
      </c>
      <c r="AX157">
        <v>662.79677557625882</v>
      </c>
      <c r="BB157">
        <f t="shared" si="98"/>
        <v>0.6473214285714286</v>
      </c>
      <c r="BC157">
        <v>613.10209085690087</v>
      </c>
      <c r="BD157">
        <f t="shared" si="99"/>
        <v>13.020296678790487</v>
      </c>
      <c r="BE157">
        <f t="shared" si="117"/>
        <v>4.4642857142856984E-3</v>
      </c>
      <c r="BF157">
        <v>145</v>
      </c>
      <c r="BG157">
        <v>1.3879320963327308</v>
      </c>
      <c r="BH157">
        <f t="shared" si="100"/>
        <v>0.98639455782312924</v>
      </c>
      <c r="BI157">
        <f t="shared" si="101"/>
        <v>0.98639455782312924</v>
      </c>
      <c r="BK157">
        <f t="shared" si="102"/>
        <v>0.98639455782312924</v>
      </c>
      <c r="BL157">
        <f t="shared" si="103"/>
        <v>1.3879320963327308</v>
      </c>
      <c r="BN157" t="e">
        <v>#N/A</v>
      </c>
      <c r="BO157">
        <v>0.42115898933711549</v>
      </c>
      <c r="BS157">
        <f t="shared" si="104"/>
        <v>0.6473214285714286</v>
      </c>
      <c r="BT157">
        <v>0.11219682956777974</v>
      </c>
      <c r="BU157">
        <f t="shared" si="105"/>
        <v>1.9240431894357313E-5</v>
      </c>
      <c r="BV157">
        <f t="shared" si="118"/>
        <v>4.4642857142856984E-3</v>
      </c>
      <c r="BW157">
        <v>145</v>
      </c>
      <c r="BX157" t="e">
        <v>#N/A</v>
      </c>
      <c r="BZ157" t="e">
        <f t="shared" si="107"/>
        <v>#N/A</v>
      </c>
      <c r="CB157" t="e">
        <f t="shared" si="120"/>
        <v>#N/A</v>
      </c>
      <c r="CC157" t="e">
        <f t="shared" si="109"/>
        <v>#N/A</v>
      </c>
      <c r="CE157" t="e">
        <v>#N/A</v>
      </c>
      <c r="CF157" t="e">
        <v>#N/A</v>
      </c>
      <c r="CJ157">
        <f t="shared" si="110"/>
        <v>0.6473214285714286</v>
      </c>
      <c r="CK157">
        <v>6.3592085063900003E-2</v>
      </c>
      <c r="CL157">
        <f t="shared" si="111"/>
        <v>1.7982231684999933E-3</v>
      </c>
      <c r="CM157">
        <f t="shared" si="119"/>
        <v>4.4642857142856984E-3</v>
      </c>
    </row>
    <row r="158" spans="2:91">
      <c r="B158">
        <v>146</v>
      </c>
      <c r="C158" t="e">
        <f>IF(ISNUMBER(K158),IF('Lab test'!N149&gt;0,'Lab test'!N149,NA()),NA())</f>
        <v>#N/A</v>
      </c>
      <c r="D158" t="e">
        <f>IF(ISNUMBER(K158),IF('Lab test'!Q149&gt;0,'Lab test'!Q149,NA()),NA())</f>
        <v>#N/A</v>
      </c>
      <c r="E158" t="e">
        <f>IF(ISNUMBER(K158),IF('Lab test'!P149&gt;0,'Lab test'!P149,NA()),NA())</f>
        <v>#N/A</v>
      </c>
      <c r="F158" t="e">
        <f>IF(ISNUMBER(K158),IF('Lab test'!AJ149&gt;0,'Lab test'!AJ149,NA()),NA())</f>
        <v>#N/A</v>
      </c>
      <c r="G158">
        <f>IF('Lab test'!V149&gt;0,'Lab test'!V149,NA())</f>
        <v>210979.57317095189</v>
      </c>
      <c r="H158" t="e">
        <f>IF(MAX('Lab test'!W149,'Lab test'!X149)&gt;0,MAX('Lab test'!W149,'Lab test'!X149),NA())</f>
        <v>#N/A</v>
      </c>
      <c r="I158" t="e">
        <f>IF('Lab test'!AU149&gt;0,'Lab test'!AU149,NA())</f>
        <v>#N/A</v>
      </c>
      <c r="J158">
        <f>IF('Lab test'!AT149&gt;0,'Lab test'!AT149,NA())</f>
        <v>0.82402182416060177</v>
      </c>
      <c r="K158" t="e">
        <f t="shared" si="112"/>
        <v>#N/A</v>
      </c>
      <c r="L158" t="str">
        <f>'Lab test'!AC149</f>
        <v>LTWb</v>
      </c>
      <c r="N158">
        <v>146</v>
      </c>
      <c r="O158">
        <v>358.93414299800003</v>
      </c>
      <c r="P158">
        <v>1.0336171621200001</v>
      </c>
      <c r="Q158">
        <f t="shared" si="113"/>
        <v>347.26023923771572</v>
      </c>
      <c r="R158">
        <v>438.24478464800001</v>
      </c>
      <c r="S158">
        <f t="shared" si="114"/>
        <v>6.5520085364047506E-2</v>
      </c>
      <c r="T158">
        <v>6.6510556487399994E-2</v>
      </c>
      <c r="U158">
        <f t="shared" si="88"/>
        <v>0.6517857142857143</v>
      </c>
      <c r="W158">
        <v>146</v>
      </c>
      <c r="X158">
        <v>350</v>
      </c>
      <c r="Y158">
        <f t="shared" si="89"/>
        <v>0.89570552147239269</v>
      </c>
      <c r="Z158" t="e">
        <f t="shared" si="90"/>
        <v>#N/A</v>
      </c>
      <c r="AB158" t="e">
        <f t="shared" si="91"/>
        <v>#N/A</v>
      </c>
      <c r="AC158">
        <f t="shared" si="92"/>
        <v>350</v>
      </c>
      <c r="AE158" t="e">
        <v>#N/A</v>
      </c>
      <c r="AF158">
        <v>350</v>
      </c>
      <c r="AJ158">
        <f t="shared" si="93"/>
        <v>0.6517857142857143</v>
      </c>
      <c r="AK158">
        <v>149.93641802100001</v>
      </c>
      <c r="AL158">
        <f t="shared" si="94"/>
        <v>0.50321996499999955</v>
      </c>
      <c r="AM158">
        <f t="shared" si="115"/>
        <v>4.4642857142856984E-3</v>
      </c>
      <c r="AO158">
        <v>146</v>
      </c>
      <c r="AP158">
        <v>1071.4285714285716</v>
      </c>
      <c r="AQ158">
        <f t="shared" si="116"/>
        <v>0.89570552147239269</v>
      </c>
      <c r="AR158" t="e">
        <f t="shared" si="95"/>
        <v>#N/A</v>
      </c>
      <c r="AT158" t="e">
        <f t="shared" si="96"/>
        <v>#N/A</v>
      </c>
      <c r="AU158">
        <f t="shared" si="97"/>
        <v>1071.4285714285716</v>
      </c>
      <c r="AW158" t="e">
        <v>#N/A</v>
      </c>
      <c r="AX158">
        <v>662.79677557625882</v>
      </c>
      <c r="BB158">
        <f t="shared" si="98"/>
        <v>0.6517857142857143</v>
      </c>
      <c r="BC158">
        <v>626.12238753569136</v>
      </c>
      <c r="BD158">
        <f t="shared" si="99"/>
        <v>8.0077689445420219</v>
      </c>
      <c r="BE158">
        <f t="shared" si="117"/>
        <v>4.4642857142856984E-3</v>
      </c>
      <c r="BF158">
        <v>146</v>
      </c>
      <c r="BG158">
        <v>1.4626006247856018</v>
      </c>
      <c r="BH158">
        <f t="shared" si="100"/>
        <v>0.99319727891156462</v>
      </c>
      <c r="BI158">
        <f t="shared" si="101"/>
        <v>0.99319727891156462</v>
      </c>
      <c r="BK158">
        <f t="shared" si="102"/>
        <v>0.99319727891156462</v>
      </c>
      <c r="BL158">
        <f t="shared" si="103"/>
        <v>1.4626006247856018</v>
      </c>
      <c r="BN158" t="e">
        <v>#N/A</v>
      </c>
      <c r="BO158">
        <v>0.56076107754703686</v>
      </c>
      <c r="BS158">
        <f t="shared" si="104"/>
        <v>0.6517857142857143</v>
      </c>
      <c r="BT158">
        <v>0.1122160699996741</v>
      </c>
      <c r="BU158">
        <f t="shared" si="105"/>
        <v>9.0405360217385433E-5</v>
      </c>
      <c r="BV158">
        <f t="shared" si="118"/>
        <v>4.4642857142856984E-3</v>
      </c>
      <c r="BW158">
        <v>146</v>
      </c>
      <c r="BX158" t="e">
        <v>#N/A</v>
      </c>
      <c r="BZ158" t="e">
        <f t="shared" si="107"/>
        <v>#N/A</v>
      </c>
      <c r="CB158" t="e">
        <f t="shared" si="120"/>
        <v>#N/A</v>
      </c>
      <c r="CC158" t="e">
        <f t="shared" si="109"/>
        <v>#N/A</v>
      </c>
      <c r="CE158" t="e">
        <v>#N/A</v>
      </c>
      <c r="CF158" t="e">
        <v>#N/A</v>
      </c>
      <c r="CJ158">
        <f t="shared" si="110"/>
        <v>0.6517857142857143</v>
      </c>
      <c r="CK158">
        <v>6.5390308232399996E-2</v>
      </c>
      <c r="CL158">
        <f t="shared" si="111"/>
        <v>1.0014332640000123E-4</v>
      </c>
      <c r="CM158">
        <f t="shared" si="119"/>
        <v>4.4642857142856984E-3</v>
      </c>
    </row>
    <row r="159" spans="2:91">
      <c r="B159">
        <v>147</v>
      </c>
      <c r="C159" t="e">
        <f>IF(ISNUMBER(K159),IF('Lab test'!N150&gt;0,'Lab test'!N150,NA()),NA())</f>
        <v>#N/A</v>
      </c>
      <c r="D159" t="e">
        <f>IF(ISNUMBER(K159),IF('Lab test'!Q150&gt;0,'Lab test'!Q150,NA()),NA())</f>
        <v>#N/A</v>
      </c>
      <c r="E159" t="e">
        <f>IF(ISNUMBER(K159),IF('Lab test'!P150&gt;0,'Lab test'!P150,NA()),NA())</f>
        <v>#N/A</v>
      </c>
      <c r="F159" t="e">
        <f>IF(ISNUMBER(K159),IF('Lab test'!AJ150&gt;0,'Lab test'!AJ150,NA()),NA())</f>
        <v>#N/A</v>
      </c>
      <c r="G159">
        <f>IF('Lab test'!V150&gt;0,'Lab test'!V150,NA())</f>
        <v>210979.57317095189</v>
      </c>
      <c r="H159" t="e">
        <f>IF(MAX('Lab test'!W150,'Lab test'!X150)&gt;0,MAX('Lab test'!W150,'Lab test'!X150),NA())</f>
        <v>#N/A</v>
      </c>
      <c r="I159" t="e">
        <f>IF('Lab test'!AU150&gt;0,'Lab test'!AU150,NA())</f>
        <v>#N/A</v>
      </c>
      <c r="J159">
        <f>IF('Lab test'!AT150&gt;0,'Lab test'!AT150,NA())</f>
        <v>1.2475045270927856</v>
      </c>
      <c r="K159" t="e">
        <f t="shared" si="112"/>
        <v>#N/A</v>
      </c>
      <c r="L159" t="str">
        <f>'Lab test'!AC150</f>
        <v>LTWb</v>
      </c>
      <c r="N159">
        <v>147</v>
      </c>
      <c r="O159">
        <v>35.342106503499998</v>
      </c>
      <c r="P159">
        <v>0.119597711688</v>
      </c>
      <c r="Q159">
        <f t="shared" si="113"/>
        <v>295.50821670985277</v>
      </c>
      <c r="R159">
        <v>134.20852794999999</v>
      </c>
      <c r="S159">
        <f t="shared" si="114"/>
        <v>0.22090365470202686</v>
      </c>
      <c r="T159">
        <v>3.3159455095700001E-2</v>
      </c>
      <c r="U159">
        <f t="shared" si="88"/>
        <v>0.65625</v>
      </c>
      <c r="W159">
        <v>147</v>
      </c>
      <c r="X159">
        <v>350</v>
      </c>
      <c r="Y159">
        <f t="shared" si="89"/>
        <v>0.90184049079754602</v>
      </c>
      <c r="Z159" t="e">
        <f t="shared" si="90"/>
        <v>#N/A</v>
      </c>
      <c r="AB159" t="e">
        <f t="shared" si="91"/>
        <v>#N/A</v>
      </c>
      <c r="AC159">
        <f t="shared" si="92"/>
        <v>350</v>
      </c>
      <c r="AE159" t="e">
        <v>#N/A</v>
      </c>
      <c r="AF159">
        <v>350</v>
      </c>
      <c r="AJ159">
        <f t="shared" si="93"/>
        <v>0.65625</v>
      </c>
      <c r="AK159">
        <v>150.43963798600001</v>
      </c>
      <c r="AL159">
        <f t="shared" si="94"/>
        <v>0.25987732599998026</v>
      </c>
      <c r="AM159">
        <f t="shared" si="115"/>
        <v>4.4642857142856984E-3</v>
      </c>
      <c r="AO159">
        <v>147</v>
      </c>
      <c r="AP159">
        <v>1071.4285714285716</v>
      </c>
      <c r="AQ159">
        <f t="shared" si="116"/>
        <v>0.90184049079754602</v>
      </c>
      <c r="AR159" t="e">
        <f t="shared" si="95"/>
        <v>#N/A</v>
      </c>
      <c r="AT159" t="e">
        <f t="shared" si="96"/>
        <v>#N/A</v>
      </c>
      <c r="AU159">
        <f t="shared" si="97"/>
        <v>1071.4285714285716</v>
      </c>
      <c r="AW159" t="e">
        <v>#N/A</v>
      </c>
      <c r="AX159">
        <v>668.47380983269215</v>
      </c>
      <c r="BB159">
        <f t="shared" si="98"/>
        <v>0.65625</v>
      </c>
      <c r="BC159">
        <v>634.13015648023338</v>
      </c>
      <c r="BD159">
        <f t="shared" si="99"/>
        <v>0.84705105054354135</v>
      </c>
      <c r="BE159">
        <f t="shared" si="117"/>
        <v>4.4642857142856984E-3</v>
      </c>
      <c r="BF159">
        <v>147</v>
      </c>
      <c r="BG159">
        <v>2.5332985933106458</v>
      </c>
      <c r="BH159">
        <f t="shared" si="100"/>
        <v>1</v>
      </c>
      <c r="BI159" t="e">
        <f t="shared" si="101"/>
        <v>#N/A</v>
      </c>
      <c r="BK159">
        <v>1</v>
      </c>
      <c r="BL159">
        <f t="shared" si="103"/>
        <v>2.5332985933106458</v>
      </c>
      <c r="BN159" t="e">
        <v>#N/A</v>
      </c>
      <c r="BO159">
        <v>0.56076107754703686</v>
      </c>
      <c r="BS159">
        <f t="shared" si="104"/>
        <v>0.65625</v>
      </c>
      <c r="BT159">
        <v>0.11230647535989148</v>
      </c>
      <c r="BU159">
        <f t="shared" si="105"/>
        <v>1.1538762066337638E-4</v>
      </c>
      <c r="BV159">
        <f t="shared" si="118"/>
        <v>4.4642857142856984E-3</v>
      </c>
      <c r="BW159">
        <v>147</v>
      </c>
      <c r="BX159" t="e">
        <v>#N/A</v>
      </c>
      <c r="BZ159" t="e">
        <f t="shared" si="107"/>
        <v>#N/A</v>
      </c>
      <c r="CB159" t="e">
        <f t="shared" si="120"/>
        <v>#N/A</v>
      </c>
      <c r="CC159" t="e">
        <f t="shared" si="109"/>
        <v>#N/A</v>
      </c>
      <c r="CE159" t="e">
        <v>#N/A</v>
      </c>
      <c r="CF159" t="e">
        <v>#N/A</v>
      </c>
      <c r="CJ159">
        <f t="shared" si="110"/>
        <v>0.65625</v>
      </c>
      <c r="CK159">
        <v>6.5490451558799997E-2</v>
      </c>
      <c r="CL159">
        <f t="shared" si="111"/>
        <v>8.7885958270000897E-4</v>
      </c>
      <c r="CM159">
        <f t="shared" si="119"/>
        <v>4.4642857142856984E-3</v>
      </c>
    </row>
    <row r="160" spans="2:91">
      <c r="B160">
        <v>148</v>
      </c>
      <c r="C160" t="e">
        <f>IF(ISNUMBER(K160),IF('Lab test'!N151&gt;0,'Lab test'!N151,NA()),NA())</f>
        <v>#N/A</v>
      </c>
      <c r="D160" t="e">
        <f>IF(ISNUMBER(K160),IF('Lab test'!Q151&gt;0,'Lab test'!Q151,NA()),NA())</f>
        <v>#N/A</v>
      </c>
      <c r="E160" t="e">
        <f>IF(ISNUMBER(K160),IF('Lab test'!P151&gt;0,'Lab test'!P151,NA()),NA())</f>
        <v>#N/A</v>
      </c>
      <c r="F160" t="e">
        <f>IF(ISNUMBER(K160),IF('Lab test'!AJ151&gt;0,'Lab test'!AJ151,NA()),NA())</f>
        <v>#N/A</v>
      </c>
      <c r="G160">
        <f>IF('Lab test'!V151&gt;0,'Lab test'!V151,NA())</f>
        <v>217184.8547348034</v>
      </c>
      <c r="H160" t="e">
        <f>IF(MAX('Lab test'!W151,'Lab test'!X151)&gt;0,MAX('Lab test'!W151,'Lab test'!X151),NA())</f>
        <v>#N/A</v>
      </c>
      <c r="I160" t="e">
        <f>IF('Lab test'!AU151&gt;0,'Lab test'!AU151,NA())</f>
        <v>#N/A</v>
      </c>
      <c r="J160">
        <f>IF('Lab test'!AT151&gt;0,'Lab test'!AT151,NA())</f>
        <v>0.29222202097363392</v>
      </c>
      <c r="K160" t="e">
        <f t="shared" si="112"/>
        <v>#N/A</v>
      </c>
      <c r="L160" t="str">
        <f>'Lab test'!AC151</f>
        <v>LTWb</v>
      </c>
      <c r="N160">
        <v>148</v>
      </c>
      <c r="O160">
        <v>365.34076071599998</v>
      </c>
      <c r="P160">
        <v>0.55994616294800004</v>
      </c>
      <c r="Q160">
        <f t="shared" si="113"/>
        <v>652.45694120405597</v>
      </c>
      <c r="R160">
        <v>306.77509891699998</v>
      </c>
      <c r="S160">
        <f t="shared" si="114"/>
        <v>3.2873507787132439E-2</v>
      </c>
      <c r="T160">
        <v>6.6559243799600001E-2</v>
      </c>
      <c r="U160">
        <f t="shared" si="88"/>
        <v>0.6607142857142857</v>
      </c>
      <c r="W160">
        <v>148</v>
      </c>
      <c r="X160">
        <v>350</v>
      </c>
      <c r="Y160">
        <f t="shared" si="89"/>
        <v>0.90797546012269936</v>
      </c>
      <c r="Z160">
        <f t="shared" si="90"/>
        <v>0.90797546012269936</v>
      </c>
      <c r="AB160">
        <f t="shared" si="91"/>
        <v>0.90797546012269936</v>
      </c>
      <c r="AC160">
        <f t="shared" si="92"/>
        <v>350</v>
      </c>
      <c r="AE160" t="e">
        <v>#N/A</v>
      </c>
      <c r="AF160">
        <v>350</v>
      </c>
      <c r="AJ160">
        <f t="shared" si="93"/>
        <v>0.6607142857142857</v>
      </c>
      <c r="AK160">
        <v>150.69951531199999</v>
      </c>
      <c r="AL160">
        <f t="shared" si="94"/>
        <v>0.40877760600000101</v>
      </c>
      <c r="AM160">
        <f t="shared" si="115"/>
        <v>4.4642857142856984E-3</v>
      </c>
      <c r="AO160">
        <v>148</v>
      </c>
      <c r="AP160">
        <v>1071.4285714285716</v>
      </c>
      <c r="AQ160">
        <f t="shared" si="116"/>
        <v>0.90797546012269936</v>
      </c>
      <c r="AR160">
        <f t="shared" si="95"/>
        <v>0.90797546012269936</v>
      </c>
      <c r="AT160">
        <f t="shared" si="96"/>
        <v>0.90797546012269936</v>
      </c>
      <c r="AU160">
        <f t="shared" si="97"/>
        <v>1071.4285714285716</v>
      </c>
      <c r="AW160" t="e">
        <v>#N/A</v>
      </c>
      <c r="AX160">
        <v>674.17505319043255</v>
      </c>
      <c r="BB160">
        <f t="shared" si="98"/>
        <v>0.6607142857142857</v>
      </c>
      <c r="BC160">
        <v>634.97720753077692</v>
      </c>
      <c r="BD160">
        <f t="shared" si="99"/>
        <v>0.4248325466650158</v>
      </c>
      <c r="BE160">
        <f t="shared" si="117"/>
        <v>4.4642857142856984E-3</v>
      </c>
      <c r="BF160">
        <v>148</v>
      </c>
      <c r="BG160" t="e">
        <v>#N/A</v>
      </c>
      <c r="BI160" t="e">
        <f t="shared" si="101"/>
        <v>#N/A</v>
      </c>
      <c r="BK160" t="e">
        <f t="shared" si="102"/>
        <v>#N/A</v>
      </c>
      <c r="BL160" t="e">
        <f t="shared" si="103"/>
        <v>#N/A</v>
      </c>
      <c r="BN160" t="e">
        <v>#N/A</v>
      </c>
      <c r="BO160" t="e">
        <v>#N/A</v>
      </c>
      <c r="BS160">
        <f t="shared" si="104"/>
        <v>0.6607142857142857</v>
      </c>
      <c r="BT160">
        <v>0.11242186298055486</v>
      </c>
      <c r="BU160">
        <f t="shared" si="105"/>
        <v>1.5722252084963972E-4</v>
      </c>
      <c r="BV160">
        <f t="shared" si="118"/>
        <v>4.4642857142856984E-3</v>
      </c>
      <c r="BW160">
        <v>148</v>
      </c>
      <c r="BX160" t="e">
        <v>#N/A</v>
      </c>
      <c r="BZ160" t="e">
        <f t="shared" si="107"/>
        <v>#N/A</v>
      </c>
      <c r="CB160" t="e">
        <f t="shared" si="120"/>
        <v>#N/A</v>
      </c>
      <c r="CC160" t="e">
        <f t="shared" si="109"/>
        <v>#N/A</v>
      </c>
      <c r="CE160" t="e">
        <v>#N/A</v>
      </c>
      <c r="CF160" t="e">
        <v>#N/A</v>
      </c>
      <c r="CJ160">
        <f t="shared" si="110"/>
        <v>0.6607142857142857</v>
      </c>
      <c r="CK160">
        <v>6.6369311141500006E-2</v>
      </c>
      <c r="CL160">
        <f t="shared" si="111"/>
        <v>1.0696365469999025E-4</v>
      </c>
      <c r="CM160">
        <f t="shared" si="119"/>
        <v>4.4642857142856984E-3</v>
      </c>
    </row>
    <row r="161" spans="2:91">
      <c r="B161">
        <v>149</v>
      </c>
      <c r="C161" t="e">
        <f>IF(ISNUMBER(K161),IF('Lab test'!N152&gt;0,'Lab test'!N152,NA()),NA())</f>
        <v>#N/A</v>
      </c>
      <c r="D161" t="e">
        <f>IF(ISNUMBER(K161),IF('Lab test'!Q152&gt;0,'Lab test'!Q152,NA()),NA())</f>
        <v>#N/A</v>
      </c>
      <c r="E161" t="e">
        <f>IF(ISNUMBER(K161),IF('Lab test'!P152&gt;0,'Lab test'!P152,NA()),NA())</f>
        <v>#N/A</v>
      </c>
      <c r="F161" t="e">
        <f>IF(ISNUMBER(K161),IF('Lab test'!AJ152&gt;0,'Lab test'!AJ152,NA()),NA())</f>
        <v>#N/A</v>
      </c>
      <c r="G161">
        <f>IF('Lab test'!V152&gt;0,'Lab test'!V152,NA())</f>
        <v>217184.8547348034</v>
      </c>
      <c r="H161" t="e">
        <f>IF(MAX('Lab test'!W152,'Lab test'!X152)&gt;0,MAX('Lab test'!W152,'Lab test'!X152),NA())</f>
        <v>#N/A</v>
      </c>
      <c r="I161" t="e">
        <f>IF('Lab test'!AU152&gt;0,'Lab test'!AU152,NA())</f>
        <v>#N/A</v>
      </c>
      <c r="J161">
        <f>IF('Lab test'!AT152&gt;0,'Lab test'!AT152,NA())</f>
        <v>0.234304685559169</v>
      </c>
      <c r="K161" t="e">
        <f t="shared" si="112"/>
        <v>#N/A</v>
      </c>
      <c r="L161" t="str">
        <f>'Lab test'!AC152</f>
        <v>LTWb</v>
      </c>
      <c r="N161">
        <v>149</v>
      </c>
      <c r="O161">
        <v>367.17409347099999</v>
      </c>
      <c r="P161">
        <v>1.0647560445799999</v>
      </c>
      <c r="Q161">
        <f t="shared" si="113"/>
        <v>344.84339895514211</v>
      </c>
      <c r="R161">
        <v>119.81452091200001</v>
      </c>
      <c r="S161">
        <f t="shared" si="114"/>
        <v>1.7572213275446658E-2</v>
      </c>
      <c r="T161">
        <v>1.09947969828E-2</v>
      </c>
      <c r="U161">
        <f t="shared" si="88"/>
        <v>0.6651785714285714</v>
      </c>
      <c r="W161">
        <v>149</v>
      </c>
      <c r="X161">
        <v>381</v>
      </c>
      <c r="Y161">
        <f t="shared" si="89"/>
        <v>0.91411042944785281</v>
      </c>
      <c r="Z161" t="e">
        <f t="shared" si="90"/>
        <v>#N/A</v>
      </c>
      <c r="AB161" t="e">
        <f t="shared" si="91"/>
        <v>#N/A</v>
      </c>
      <c r="AC161">
        <f t="shared" si="92"/>
        <v>381</v>
      </c>
      <c r="AE161" t="e">
        <v>#N/A</v>
      </c>
      <c r="AF161">
        <v>350</v>
      </c>
      <c r="AJ161">
        <f t="shared" si="93"/>
        <v>0.6651785714285714</v>
      </c>
      <c r="AK161">
        <v>151.10829291799999</v>
      </c>
      <c r="AL161">
        <f t="shared" si="94"/>
        <v>2.2793936240000221</v>
      </c>
      <c r="AM161">
        <f t="shared" si="115"/>
        <v>4.4642857142856984E-3</v>
      </c>
      <c r="AO161">
        <v>149</v>
      </c>
      <c r="AP161">
        <v>1073.8636363636365</v>
      </c>
      <c r="AQ161">
        <f t="shared" si="116"/>
        <v>0.91411042944785281</v>
      </c>
      <c r="AR161">
        <f t="shared" si="95"/>
        <v>0.91411042944785281</v>
      </c>
      <c r="AT161">
        <f t="shared" si="96"/>
        <v>0.91411042944785281</v>
      </c>
      <c r="AU161">
        <f t="shared" si="97"/>
        <v>1073.8636363636365</v>
      </c>
      <c r="AW161" t="e">
        <v>#N/A</v>
      </c>
      <c r="AX161">
        <v>685.65016720983283</v>
      </c>
      <c r="BB161">
        <f t="shared" si="98"/>
        <v>0.6651785714285714</v>
      </c>
      <c r="BC161">
        <v>635.40204007744194</v>
      </c>
      <c r="BD161">
        <f t="shared" si="99"/>
        <v>9.3721328826973149E-2</v>
      </c>
      <c r="BE161">
        <f t="shared" si="117"/>
        <v>4.4642857142856984E-3</v>
      </c>
      <c r="BF161">
        <v>149</v>
      </c>
      <c r="BG161" t="e">
        <v>#N/A</v>
      </c>
      <c r="BI161" t="e">
        <f t="shared" si="101"/>
        <v>#N/A</v>
      </c>
      <c r="BK161" t="e">
        <f t="shared" si="102"/>
        <v>#N/A</v>
      </c>
      <c r="BL161" t="e">
        <f t="shared" si="103"/>
        <v>#N/A</v>
      </c>
      <c r="BN161" t="e">
        <v>#N/A</v>
      </c>
      <c r="BO161" t="e">
        <v>#N/A</v>
      </c>
      <c r="BS161">
        <f t="shared" si="104"/>
        <v>0.6651785714285714</v>
      </c>
      <c r="BT161">
        <v>0.1125790855014045</v>
      </c>
      <c r="BU161">
        <f t="shared" si="105"/>
        <v>3.2621171103401486E-3</v>
      </c>
      <c r="BV161">
        <f t="shared" si="118"/>
        <v>4.4642857142856984E-3</v>
      </c>
      <c r="BW161">
        <v>149</v>
      </c>
      <c r="BX161" t="e">
        <v>#N/A</v>
      </c>
      <c r="BZ161" t="e">
        <f t="shared" si="107"/>
        <v>#N/A</v>
      </c>
      <c r="CB161" t="e">
        <f t="shared" si="120"/>
        <v>#N/A</v>
      </c>
      <c r="CC161" t="e">
        <f t="shared" si="109"/>
        <v>#N/A</v>
      </c>
      <c r="CE161" t="e">
        <v>#N/A</v>
      </c>
      <c r="CF161" t="e">
        <v>#N/A</v>
      </c>
      <c r="CJ161">
        <f t="shared" si="110"/>
        <v>0.6651785714285714</v>
      </c>
      <c r="CK161">
        <v>6.6476274796199997E-2</v>
      </c>
      <c r="CL161">
        <f t="shared" si="111"/>
        <v>1.7891510900008845E-5</v>
      </c>
      <c r="CM161">
        <f t="shared" si="119"/>
        <v>4.4642857142856984E-3</v>
      </c>
    </row>
    <row r="162" spans="2:91">
      <c r="B162">
        <v>150</v>
      </c>
      <c r="C162" t="e">
        <f>IF(ISNUMBER(K162),IF('Lab test'!N153&gt;0,'Lab test'!N153,NA()),NA())</f>
        <v>#N/A</v>
      </c>
      <c r="D162" t="e">
        <f>IF(ISNUMBER(K162),IF('Lab test'!Q153&gt;0,'Lab test'!Q153,NA()),NA())</f>
        <v>#N/A</v>
      </c>
      <c r="E162" t="e">
        <f>IF(ISNUMBER(K162),IF('Lab test'!P153&gt;0,'Lab test'!P153,NA()),NA())</f>
        <v>#N/A</v>
      </c>
      <c r="F162" t="e">
        <f>IF(ISNUMBER(K162),IF('Lab test'!AJ153&gt;0,'Lab test'!AJ153,NA()),NA())</f>
        <v>#N/A</v>
      </c>
      <c r="G162">
        <f>IF('Lab test'!V153&gt;0,'Lab test'!V153,NA())</f>
        <v>217184.8547348034</v>
      </c>
      <c r="H162" t="e">
        <f>IF(MAX('Lab test'!W153,'Lab test'!X153)&gt;0,MAX('Lab test'!W153,'Lab test'!X153),NA())</f>
        <v>#N/A</v>
      </c>
      <c r="I162" t="e">
        <f>IF('Lab test'!AU153&gt;0,'Lab test'!AU153,NA())</f>
        <v>#N/A</v>
      </c>
      <c r="J162">
        <f>IF('Lab test'!AT153&gt;0,'Lab test'!AT153,NA())</f>
        <v>0.22126347205761535</v>
      </c>
      <c r="K162" t="e">
        <f t="shared" si="112"/>
        <v>#N/A</v>
      </c>
      <c r="L162" t="str">
        <f>'Lab test'!AC153</f>
        <v>LTWb</v>
      </c>
      <c r="N162">
        <v>150</v>
      </c>
      <c r="O162">
        <v>368.25910118500002</v>
      </c>
      <c r="P162">
        <v>1.9459960760399999</v>
      </c>
      <c r="Q162">
        <f t="shared" si="113"/>
        <v>189.23938527892</v>
      </c>
      <c r="R162">
        <v>299.24528087300001</v>
      </c>
      <c r="S162">
        <f t="shared" si="114"/>
        <v>5.9070147746381009E-2</v>
      </c>
      <c r="T162">
        <v>6.6584648961600004E-2</v>
      </c>
      <c r="U162">
        <f t="shared" si="88"/>
        <v>0.6696428571428571</v>
      </c>
      <c r="W162">
        <v>150</v>
      </c>
      <c r="X162">
        <v>381</v>
      </c>
      <c r="Y162">
        <f t="shared" si="89"/>
        <v>0.92024539877300615</v>
      </c>
      <c r="Z162" t="e">
        <f t="shared" si="90"/>
        <v>#N/A</v>
      </c>
      <c r="AB162" t="e">
        <f t="shared" si="91"/>
        <v>#N/A</v>
      </c>
      <c r="AC162">
        <f t="shared" si="92"/>
        <v>381</v>
      </c>
      <c r="AE162" t="e">
        <v>#N/A</v>
      </c>
      <c r="AF162">
        <v>381</v>
      </c>
      <c r="AJ162">
        <f t="shared" si="93"/>
        <v>0.6696428571428571</v>
      </c>
      <c r="AK162">
        <v>153.38768654200001</v>
      </c>
      <c r="AL162">
        <f t="shared" si="94"/>
        <v>1.0568783109999913</v>
      </c>
      <c r="AM162">
        <f t="shared" si="115"/>
        <v>4.4642857142856984E-3</v>
      </c>
      <c r="AO162">
        <v>150</v>
      </c>
      <c r="AP162">
        <v>1185</v>
      </c>
      <c r="AQ162">
        <f t="shared" si="116"/>
        <v>0.92024539877300615</v>
      </c>
      <c r="AR162" t="e">
        <f t="shared" si="95"/>
        <v>#N/A</v>
      </c>
      <c r="AT162" t="e">
        <f t="shared" si="96"/>
        <v>#N/A</v>
      </c>
      <c r="AU162">
        <f t="shared" si="97"/>
        <v>1185</v>
      </c>
      <c r="AW162" t="e">
        <v>#N/A</v>
      </c>
      <c r="AX162">
        <v>685.65016720983283</v>
      </c>
      <c r="BB162">
        <f t="shared" si="98"/>
        <v>0.6696428571428571</v>
      </c>
      <c r="BC162">
        <v>635.49576140626891</v>
      </c>
      <c r="BD162">
        <f t="shared" si="99"/>
        <v>8.654573500166407E-2</v>
      </c>
      <c r="BE162">
        <f t="shared" si="117"/>
        <v>4.4642857142856984E-3</v>
      </c>
      <c r="BF162">
        <v>150</v>
      </c>
      <c r="BG162" t="e">
        <v>#N/A</v>
      </c>
      <c r="BI162" t="e">
        <f t="shared" si="101"/>
        <v>#N/A</v>
      </c>
      <c r="BK162" t="e">
        <f t="shared" si="102"/>
        <v>#N/A</v>
      </c>
      <c r="BL162" t="e">
        <f t="shared" si="103"/>
        <v>#N/A</v>
      </c>
      <c r="BN162" t="e">
        <v>#N/A</v>
      </c>
      <c r="BO162" t="e">
        <v>#N/A</v>
      </c>
      <c r="BS162">
        <f t="shared" si="104"/>
        <v>0.6696428571428571</v>
      </c>
      <c r="BT162">
        <v>0.11584120261174465</v>
      </c>
      <c r="BU162">
        <f t="shared" si="105"/>
        <v>1.4288538939377649E-4</v>
      </c>
      <c r="BV162">
        <f t="shared" si="118"/>
        <v>4.4642857142856984E-3</v>
      </c>
      <c r="BW162">
        <v>150</v>
      </c>
      <c r="BX162" t="e">
        <v>#N/A</v>
      </c>
      <c r="BZ162" t="e">
        <f t="shared" si="107"/>
        <v>#N/A</v>
      </c>
      <c r="CB162" t="e">
        <f t="shared" si="120"/>
        <v>#N/A</v>
      </c>
      <c r="CC162" t="e">
        <f t="shared" si="109"/>
        <v>#N/A</v>
      </c>
      <c r="CE162" t="e">
        <v>#N/A</v>
      </c>
      <c r="CF162" t="e">
        <v>#N/A</v>
      </c>
      <c r="CJ162">
        <f t="shared" si="110"/>
        <v>0.6696428571428571</v>
      </c>
      <c r="CK162">
        <v>6.6494166307100006E-2</v>
      </c>
      <c r="CL162">
        <f t="shared" si="111"/>
        <v>1.026679499999128E-6</v>
      </c>
      <c r="CM162">
        <f t="shared" si="119"/>
        <v>4.4642857142856984E-3</v>
      </c>
    </row>
    <row r="163" spans="2:91">
      <c r="B163">
        <v>151</v>
      </c>
      <c r="C163" t="e">
        <f>IF(ISNUMBER(K163),IF('Lab test'!N154&gt;0,'Lab test'!N154,NA()),NA())</f>
        <v>#N/A</v>
      </c>
      <c r="D163" t="e">
        <f>IF(ISNUMBER(K163),IF('Lab test'!Q154&gt;0,'Lab test'!Q154,NA()),NA())</f>
        <v>#N/A</v>
      </c>
      <c r="E163" t="e">
        <f>IF(ISNUMBER(K163),IF('Lab test'!P154&gt;0,'Lab test'!P154,NA()),NA())</f>
        <v>#N/A</v>
      </c>
      <c r="F163" t="e">
        <f>IF(ISNUMBER(K163),IF('Lab test'!AJ154&gt;0,'Lab test'!AJ154,NA()),NA())</f>
        <v>#N/A</v>
      </c>
      <c r="G163">
        <f>IF('Lab test'!V154&gt;0,'Lab test'!V154,NA())</f>
        <v>217184.8547348034</v>
      </c>
      <c r="H163" t="e">
        <f>IF(MAX('Lab test'!W154,'Lab test'!X154)&gt;0,MAX('Lab test'!W154,'Lab test'!X154),NA())</f>
        <v>#N/A</v>
      </c>
      <c r="I163" t="e">
        <f>IF('Lab test'!AU154&gt;0,'Lab test'!AU154,NA())</f>
        <v>#N/A</v>
      </c>
      <c r="J163">
        <f>IF('Lab test'!AT154&gt;0,'Lab test'!AT154,NA())</f>
        <v>0.21239512485531817</v>
      </c>
      <c r="K163" t="e">
        <f t="shared" si="112"/>
        <v>#N/A</v>
      </c>
      <c r="L163" t="str">
        <f>'Lab test'!AC154</f>
        <v>LTWb</v>
      </c>
      <c r="N163">
        <v>151</v>
      </c>
      <c r="O163">
        <v>36.709975568799997</v>
      </c>
      <c r="P163">
        <v>7.0479406329699998E-2</v>
      </c>
      <c r="Q163">
        <f t="shared" si="113"/>
        <v>520.86102140350215</v>
      </c>
      <c r="R163">
        <v>235.203708318</v>
      </c>
      <c r="S163">
        <f t="shared" si="114"/>
        <v>0.28073666739247383</v>
      </c>
      <c r="T163">
        <v>1.52833012387E-2</v>
      </c>
      <c r="U163">
        <f t="shared" si="88"/>
        <v>0.6741071428571429</v>
      </c>
      <c r="W163">
        <v>151</v>
      </c>
      <c r="X163">
        <v>381</v>
      </c>
      <c r="Y163">
        <f t="shared" si="89"/>
        <v>0.92638036809815949</v>
      </c>
      <c r="Z163" t="e">
        <f t="shared" si="90"/>
        <v>#N/A</v>
      </c>
      <c r="AB163" t="e">
        <f t="shared" si="91"/>
        <v>#N/A</v>
      </c>
      <c r="AC163">
        <f t="shared" si="92"/>
        <v>381</v>
      </c>
      <c r="AE163" t="e">
        <v>#N/A</v>
      </c>
      <c r="AF163">
        <v>381</v>
      </c>
      <c r="AJ163">
        <f t="shared" si="93"/>
        <v>0.6741071428571429</v>
      </c>
      <c r="AK163">
        <v>154.444564853</v>
      </c>
      <c r="AL163">
        <f t="shared" si="94"/>
        <v>0.26550416500001006</v>
      </c>
      <c r="AM163">
        <f t="shared" si="115"/>
        <v>4.4642857142858094E-3</v>
      </c>
      <c r="AO163">
        <v>151</v>
      </c>
      <c r="AP163">
        <v>1185</v>
      </c>
      <c r="AQ163">
        <f t="shared" si="116"/>
        <v>0.92638036809815949</v>
      </c>
      <c r="AR163">
        <f t="shared" si="95"/>
        <v>0.92638036809815949</v>
      </c>
      <c r="AT163">
        <f t="shared" si="96"/>
        <v>0.92638036809815949</v>
      </c>
      <c r="AU163">
        <f t="shared" si="97"/>
        <v>1185</v>
      </c>
      <c r="AW163" t="e">
        <v>#N/A</v>
      </c>
      <c r="AX163">
        <v>691.42403787149306</v>
      </c>
      <c r="BB163">
        <f t="shared" si="98"/>
        <v>0.6741071428571429</v>
      </c>
      <c r="BC163">
        <v>635.58230714127058</v>
      </c>
      <c r="BD163">
        <f t="shared" si="99"/>
        <v>0.56663705911989837</v>
      </c>
      <c r="BE163">
        <f t="shared" si="117"/>
        <v>4.4642857142858094E-3</v>
      </c>
      <c r="BF163">
        <v>151</v>
      </c>
      <c r="BG163" t="e">
        <v>#N/A</v>
      </c>
      <c r="BI163" t="e">
        <f t="shared" si="101"/>
        <v>#N/A</v>
      </c>
      <c r="BK163" t="e">
        <f t="shared" si="102"/>
        <v>#N/A</v>
      </c>
      <c r="BL163" t="e">
        <f t="shared" si="103"/>
        <v>#N/A</v>
      </c>
      <c r="BN163" t="e">
        <v>#N/A</v>
      </c>
      <c r="BO163" t="e">
        <v>#N/A</v>
      </c>
      <c r="BS163">
        <f t="shared" si="104"/>
        <v>0.6741071428571429</v>
      </c>
      <c r="BT163">
        <v>0.11598408800113842</v>
      </c>
      <c r="BU163">
        <f t="shared" si="105"/>
        <v>1.9524998260118664E-3</v>
      </c>
      <c r="BV163">
        <f t="shared" si="118"/>
        <v>4.4642857142858094E-3</v>
      </c>
      <c r="BW163">
        <v>151</v>
      </c>
      <c r="BX163" t="e">
        <v>#N/A</v>
      </c>
      <c r="BZ163" t="e">
        <f t="shared" si="107"/>
        <v>#N/A</v>
      </c>
      <c r="CB163" t="e">
        <f t="shared" si="120"/>
        <v>#N/A</v>
      </c>
      <c r="CC163" t="e">
        <f t="shared" si="109"/>
        <v>#N/A</v>
      </c>
      <c r="CE163" t="e">
        <v>#N/A</v>
      </c>
      <c r="CF163" t="e">
        <v>#N/A</v>
      </c>
      <c r="CJ163">
        <f t="shared" si="110"/>
        <v>0.6741071428571429</v>
      </c>
      <c r="CK163">
        <v>6.6495192986600005E-2</v>
      </c>
      <c r="CL163">
        <f t="shared" si="111"/>
        <v>9.3906079999539482E-7</v>
      </c>
      <c r="CM163">
        <f t="shared" si="119"/>
        <v>4.4642857142858094E-3</v>
      </c>
    </row>
    <row r="164" spans="2:91">
      <c r="B164">
        <v>152</v>
      </c>
      <c r="C164" t="e">
        <f>IF(ISNUMBER(K164),IF('Lab test'!N155&gt;0,'Lab test'!N155,NA()),NA())</f>
        <v>#N/A</v>
      </c>
      <c r="D164" t="e">
        <f>IF(ISNUMBER(K164),IF('Lab test'!Q155&gt;0,'Lab test'!Q155,NA()),NA())</f>
        <v>#N/A</v>
      </c>
      <c r="E164" t="e">
        <f>IF(ISNUMBER(K164),IF('Lab test'!P155&gt;0,'Lab test'!P155,NA()),NA())</f>
        <v>#N/A</v>
      </c>
      <c r="F164" t="e">
        <f>IF(ISNUMBER(K164),IF('Lab test'!AJ155&gt;0,'Lab test'!AJ155,NA()),NA())</f>
        <v>#N/A</v>
      </c>
      <c r="G164">
        <f>IF('Lab test'!V155&gt;0,'Lab test'!V155,NA())</f>
        <v>217184.8547348034</v>
      </c>
      <c r="H164" t="e">
        <f>IF(MAX('Lab test'!W155,'Lab test'!X155)&gt;0,MAX('Lab test'!W155,'Lab test'!X155),NA())</f>
        <v>#N/A</v>
      </c>
      <c r="I164" t="e">
        <f>IF('Lab test'!AU155&gt;0,'Lab test'!AU155,NA())</f>
        <v>#N/A</v>
      </c>
      <c r="J164">
        <f>IF('Lab test'!AT155&gt;0,'Lab test'!AT155,NA())</f>
        <v>0.2089481221860954</v>
      </c>
      <c r="K164" t="e">
        <f t="shared" si="112"/>
        <v>#N/A</v>
      </c>
      <c r="L164" t="str">
        <f>'Lab test'!AC155</f>
        <v>LTWb</v>
      </c>
      <c r="N164">
        <v>152</v>
      </c>
      <c r="O164">
        <v>370.361187933</v>
      </c>
      <c r="P164">
        <v>1.25864252302</v>
      </c>
      <c r="Q164">
        <f t="shared" si="113"/>
        <v>294.25446952511305</v>
      </c>
      <c r="R164">
        <v>167.79090153499999</v>
      </c>
      <c r="S164">
        <f t="shared" si="114"/>
        <v>2.6410790787588578E-2</v>
      </c>
      <c r="T164">
        <v>3.94654939762E-2</v>
      </c>
      <c r="U164">
        <f t="shared" si="88"/>
        <v>0.6785714285714286</v>
      </c>
      <c r="W164">
        <v>152</v>
      </c>
      <c r="X164">
        <v>381</v>
      </c>
      <c r="Y164">
        <f t="shared" si="89"/>
        <v>0.93251533742331283</v>
      </c>
      <c r="Z164" t="e">
        <f t="shared" si="90"/>
        <v>#N/A</v>
      </c>
      <c r="AB164" t="e">
        <f t="shared" si="91"/>
        <v>#N/A</v>
      </c>
      <c r="AC164">
        <f t="shared" si="92"/>
        <v>381</v>
      </c>
      <c r="AE164" t="e">
        <v>#N/A</v>
      </c>
      <c r="AF164">
        <v>381</v>
      </c>
      <c r="AJ164">
        <f t="shared" si="93"/>
        <v>0.6785714285714286</v>
      </c>
      <c r="AK164">
        <v>154.71006901800001</v>
      </c>
      <c r="AL164">
        <f t="shared" si="94"/>
        <v>1.3079497699999934</v>
      </c>
      <c r="AM164">
        <f t="shared" si="115"/>
        <v>4.4642857142856984E-3</v>
      </c>
      <c r="AO164">
        <v>152</v>
      </c>
      <c r="AP164">
        <v>1294.3274968148473</v>
      </c>
      <c r="AQ164">
        <f t="shared" si="116"/>
        <v>0.93251533742331283</v>
      </c>
      <c r="AR164" t="e">
        <f t="shared" si="95"/>
        <v>#N/A</v>
      </c>
      <c r="AT164" t="e">
        <f t="shared" si="96"/>
        <v>#N/A</v>
      </c>
      <c r="AU164">
        <f t="shared" si="97"/>
        <v>1294.3274968148473</v>
      </c>
      <c r="AW164" t="e">
        <v>#N/A</v>
      </c>
      <c r="AX164">
        <v>720.65652769939629</v>
      </c>
      <c r="BB164">
        <f t="shared" si="98"/>
        <v>0.6785714285714286</v>
      </c>
      <c r="BC164">
        <v>636.14894420039047</v>
      </c>
      <c r="BD164">
        <f t="shared" si="99"/>
        <v>1.6401548714135288</v>
      </c>
      <c r="BE164">
        <f t="shared" si="117"/>
        <v>4.4642857142856984E-3</v>
      </c>
      <c r="BF164">
        <v>152</v>
      </c>
      <c r="BG164" t="e">
        <v>#N/A</v>
      </c>
      <c r="BI164" t="e">
        <f t="shared" si="101"/>
        <v>#N/A</v>
      </c>
      <c r="BK164" t="e">
        <f t="shared" si="102"/>
        <v>#N/A</v>
      </c>
      <c r="BL164" t="e">
        <f t="shared" si="103"/>
        <v>#N/A</v>
      </c>
      <c r="BN164" t="e">
        <v>#N/A</v>
      </c>
      <c r="BO164" t="e">
        <v>#N/A</v>
      </c>
      <c r="BS164">
        <f t="shared" si="104"/>
        <v>0.6785714285714286</v>
      </c>
      <c r="BT164">
        <v>0.11793658782715029</v>
      </c>
      <c r="BU164">
        <f t="shared" si="105"/>
        <v>3.1850919147563828E-3</v>
      </c>
      <c r="BV164">
        <f t="shared" si="118"/>
        <v>4.4642857142856984E-3</v>
      </c>
      <c r="BW164">
        <v>152</v>
      </c>
      <c r="BX164" t="e">
        <v>#N/A</v>
      </c>
      <c r="BZ164" t="e">
        <f t="shared" si="107"/>
        <v>#N/A</v>
      </c>
      <c r="CB164" t="e">
        <f t="shared" si="120"/>
        <v>#N/A</v>
      </c>
      <c r="CC164" t="e">
        <f t="shared" si="109"/>
        <v>#N/A</v>
      </c>
      <c r="CE164" t="e">
        <v>#N/A</v>
      </c>
      <c r="CF164" t="e">
        <v>#N/A</v>
      </c>
      <c r="CJ164">
        <f t="shared" si="110"/>
        <v>0.6785714285714286</v>
      </c>
      <c r="CK164">
        <v>6.64961320474E-2</v>
      </c>
      <c r="CL164">
        <f t="shared" si="111"/>
        <v>7.0668979999799486E-7</v>
      </c>
      <c r="CM164">
        <f t="shared" si="119"/>
        <v>4.4642857142856984E-3</v>
      </c>
    </row>
    <row r="165" spans="2:91">
      <c r="B165">
        <v>153</v>
      </c>
      <c r="C165" t="e">
        <f>IF(ISNUMBER(K165),IF('Lab test'!N156&gt;0,'Lab test'!N156,NA()),NA())</f>
        <v>#N/A</v>
      </c>
      <c r="D165" t="e">
        <f>IF(ISNUMBER(K165),IF('Lab test'!Q156&gt;0,'Lab test'!Q156,NA()),NA())</f>
        <v>#N/A</v>
      </c>
      <c r="E165" t="e">
        <f>IF(ISNUMBER(K165),IF('Lab test'!P156&gt;0,'Lab test'!P156,NA()),NA())</f>
        <v>#N/A</v>
      </c>
      <c r="F165" t="e">
        <f>IF(ISNUMBER(K165),IF('Lab test'!AJ156&gt;0,'Lab test'!AJ156,NA()),NA())</f>
        <v>#N/A</v>
      </c>
      <c r="G165">
        <f>IF('Lab test'!V156&gt;0,'Lab test'!V156,NA())</f>
        <v>217184.8547348034</v>
      </c>
      <c r="H165" t="e">
        <f>IF(MAX('Lab test'!W156,'Lab test'!X156)&gt;0,MAX('Lab test'!W156,'Lab test'!X156),NA())</f>
        <v>#N/A</v>
      </c>
      <c r="I165" t="e">
        <f>IF('Lab test'!AU156&gt;0,'Lab test'!AU156,NA())</f>
        <v>#N/A</v>
      </c>
      <c r="J165">
        <f>IF('Lab test'!AT156&gt;0,'Lab test'!AT156,NA())</f>
        <v>0.20555706160786749</v>
      </c>
      <c r="K165" t="e">
        <f t="shared" si="112"/>
        <v>#N/A</v>
      </c>
      <c r="L165" t="str">
        <f>'Lab test'!AC156</f>
        <v>LTWb</v>
      </c>
      <c r="N165">
        <v>153</v>
      </c>
      <c r="O165">
        <v>373.28336904999998</v>
      </c>
      <c r="P165">
        <v>0.81696023888500002</v>
      </c>
      <c r="Q165">
        <f t="shared" si="113"/>
        <v>456.9174254544663</v>
      </c>
      <c r="R165">
        <v>562.51681110300001</v>
      </c>
      <c r="S165">
        <f t="shared" si="114"/>
        <v>7.0498196089952461E-2</v>
      </c>
      <c r="T165">
        <v>6.6519668336399995E-2</v>
      </c>
      <c r="U165">
        <f t="shared" si="88"/>
        <v>0.6830357142857143</v>
      </c>
      <c r="W165">
        <v>153</v>
      </c>
      <c r="X165">
        <v>381</v>
      </c>
      <c r="Y165">
        <f t="shared" si="89"/>
        <v>0.93865030674846628</v>
      </c>
      <c r="Z165" t="e">
        <f t="shared" si="90"/>
        <v>#N/A</v>
      </c>
      <c r="AB165" t="e">
        <f t="shared" si="91"/>
        <v>#N/A</v>
      </c>
      <c r="AC165">
        <f t="shared" si="92"/>
        <v>381</v>
      </c>
      <c r="AE165" t="e">
        <v>#N/A</v>
      </c>
      <c r="AF165">
        <v>381</v>
      </c>
      <c r="AJ165">
        <f t="shared" si="93"/>
        <v>0.6830357142857143</v>
      </c>
      <c r="AK165">
        <v>156.01801878800001</v>
      </c>
      <c r="AL165">
        <f t="shared" si="94"/>
        <v>2.1915512660000047</v>
      </c>
      <c r="AM165">
        <f t="shared" si="115"/>
        <v>4.4642857142856984E-3</v>
      </c>
      <c r="AO165">
        <v>153</v>
      </c>
      <c r="AP165">
        <v>1294.3274968148473</v>
      </c>
      <c r="AQ165">
        <f t="shared" si="116"/>
        <v>0.93865030674846628</v>
      </c>
      <c r="AR165">
        <f t="shared" si="95"/>
        <v>0.93865030674846628</v>
      </c>
      <c r="AT165">
        <f t="shared" si="96"/>
        <v>0.93865030674846628</v>
      </c>
      <c r="AU165">
        <f t="shared" si="97"/>
        <v>1294.3274968148473</v>
      </c>
      <c r="AW165" t="e">
        <v>#N/A</v>
      </c>
      <c r="AX165">
        <v>800</v>
      </c>
      <c r="BB165">
        <f t="shared" si="98"/>
        <v>0.6830357142857143</v>
      </c>
      <c r="BC165">
        <v>637.789099071804</v>
      </c>
      <c r="BD165">
        <f t="shared" si="99"/>
        <v>0.25672877992565191</v>
      </c>
      <c r="BE165">
        <f t="shared" si="117"/>
        <v>4.4642857142856984E-3</v>
      </c>
      <c r="BF165">
        <v>153</v>
      </c>
      <c r="BG165" t="e">
        <v>#N/A</v>
      </c>
      <c r="BI165" t="e">
        <f t="shared" si="101"/>
        <v>#N/A</v>
      </c>
      <c r="BK165" t="e">
        <f t="shared" si="102"/>
        <v>#N/A</v>
      </c>
      <c r="BL165" t="e">
        <f t="shared" si="103"/>
        <v>#N/A</v>
      </c>
      <c r="BN165" t="e">
        <v>#N/A</v>
      </c>
      <c r="BO165" t="e">
        <v>#N/A</v>
      </c>
      <c r="BS165">
        <f t="shared" si="104"/>
        <v>0.6830357142857143</v>
      </c>
      <c r="BT165">
        <v>0.12112167974190667</v>
      </c>
      <c r="BU165">
        <f t="shared" si="105"/>
        <v>4.7994712298621289E-4</v>
      </c>
      <c r="BV165">
        <f t="shared" si="118"/>
        <v>4.4642857142856984E-3</v>
      </c>
      <c r="BW165">
        <v>153</v>
      </c>
      <c r="BX165" t="e">
        <v>#N/A</v>
      </c>
      <c r="BZ165" t="e">
        <f t="shared" si="107"/>
        <v>#N/A</v>
      </c>
      <c r="CB165" t="e">
        <f t="shared" si="120"/>
        <v>#N/A</v>
      </c>
      <c r="CC165" t="e">
        <f t="shared" si="109"/>
        <v>#N/A</v>
      </c>
      <c r="CE165" t="e">
        <v>#N/A</v>
      </c>
      <c r="CF165" t="e">
        <v>#N/A</v>
      </c>
      <c r="CJ165">
        <f t="shared" si="110"/>
        <v>0.6830357142857143</v>
      </c>
      <c r="CK165">
        <v>6.6496838737199998E-2</v>
      </c>
      <c r="CL165">
        <f t="shared" si="111"/>
        <v>5.7811709999744387E-7</v>
      </c>
      <c r="CM165">
        <f t="shared" si="119"/>
        <v>4.4642857142856984E-3</v>
      </c>
    </row>
    <row r="166" spans="2:91">
      <c r="B166">
        <v>154</v>
      </c>
      <c r="C166" t="e">
        <f>IF(ISNUMBER(K166),IF('Lab test'!N157&gt;0,'Lab test'!N157,NA()),NA())</f>
        <v>#N/A</v>
      </c>
      <c r="D166" t="e">
        <f>IF(ISNUMBER(K166),IF('Lab test'!Q157&gt;0,'Lab test'!Q157,NA()),NA())</f>
        <v>#N/A</v>
      </c>
      <c r="E166" t="e">
        <f>IF(ISNUMBER(K166),IF('Lab test'!P157&gt;0,'Lab test'!P157,NA()),NA())</f>
        <v>#N/A</v>
      </c>
      <c r="F166" t="e">
        <f>IF(ISNUMBER(K166),IF('Lab test'!AJ157&gt;0,'Lab test'!AJ157,NA()),NA())</f>
        <v>#N/A</v>
      </c>
      <c r="G166">
        <f>IF('Lab test'!V157&gt;0,'Lab test'!V157,NA())</f>
        <v>217184.8547348034</v>
      </c>
      <c r="H166" t="e">
        <f>IF(MAX('Lab test'!W157,'Lab test'!X157)&gt;0,MAX('Lab test'!W157,'Lab test'!X157),NA())</f>
        <v>#N/A</v>
      </c>
      <c r="I166" t="e">
        <f>IF('Lab test'!AU157&gt;0,'Lab test'!AU157,NA())</f>
        <v>#N/A</v>
      </c>
      <c r="J166">
        <f>IF('Lab test'!AT157&gt;0,'Lab test'!AT157,NA())</f>
        <v>0.24012649456431293</v>
      </c>
      <c r="K166" t="e">
        <f t="shared" si="112"/>
        <v>#N/A</v>
      </c>
      <c r="L166" t="str">
        <f>'Lab test'!AC157</f>
        <v>LTWb</v>
      </c>
      <c r="N166">
        <v>154</v>
      </c>
      <c r="O166">
        <v>373.68931956500001</v>
      </c>
      <c r="P166">
        <v>1.0764432161399999</v>
      </c>
      <c r="Q166">
        <f t="shared" si="113"/>
        <v>347.1519109990831</v>
      </c>
      <c r="R166">
        <v>74.193048152200006</v>
      </c>
      <c r="S166">
        <f t="shared" si="114"/>
        <v>1.0655964094124308E-2</v>
      </c>
      <c r="T166">
        <v>3.3158658321199998E-2</v>
      </c>
      <c r="U166">
        <f t="shared" si="88"/>
        <v>0.6875</v>
      </c>
      <c r="W166">
        <v>154</v>
      </c>
      <c r="X166">
        <v>381</v>
      </c>
      <c r="Y166">
        <f t="shared" si="89"/>
        <v>0.94478527607361962</v>
      </c>
      <c r="Z166" t="e">
        <f t="shared" si="90"/>
        <v>#N/A</v>
      </c>
      <c r="AB166" t="e">
        <f t="shared" si="91"/>
        <v>#N/A</v>
      </c>
      <c r="AC166">
        <f t="shared" si="92"/>
        <v>381</v>
      </c>
      <c r="AE166" t="e">
        <v>#N/A</v>
      </c>
      <c r="AF166">
        <v>381</v>
      </c>
      <c r="AJ166">
        <f t="shared" si="93"/>
        <v>0.6875</v>
      </c>
      <c r="AK166">
        <v>158.20957005400001</v>
      </c>
      <c r="AL166">
        <f t="shared" si="94"/>
        <v>0.26158175300000153</v>
      </c>
      <c r="AM166">
        <f t="shared" si="115"/>
        <v>4.4642857142856984E-3</v>
      </c>
      <c r="AO166">
        <v>154</v>
      </c>
      <c r="AP166">
        <v>1306.4516129032259</v>
      </c>
      <c r="AQ166">
        <f t="shared" si="116"/>
        <v>0.94478527607361962</v>
      </c>
      <c r="AR166">
        <f t="shared" si="95"/>
        <v>0.94478527607361962</v>
      </c>
      <c r="AT166">
        <f t="shared" si="96"/>
        <v>0.94478527607361962</v>
      </c>
      <c r="AU166">
        <f t="shared" si="97"/>
        <v>1306.4516129032259</v>
      </c>
      <c r="AW166" t="e">
        <v>#N/A</v>
      </c>
      <c r="AX166">
        <v>800</v>
      </c>
      <c r="BB166">
        <f t="shared" si="98"/>
        <v>0.6875</v>
      </c>
      <c r="BC166">
        <v>638.04582785172965</v>
      </c>
      <c r="BD166">
        <f t="shared" si="99"/>
        <v>2.0538299600231085</v>
      </c>
      <c r="BE166">
        <f t="shared" si="117"/>
        <v>4.4642857142856984E-3</v>
      </c>
      <c r="BF166">
        <v>154</v>
      </c>
      <c r="BG166" t="e">
        <v>#N/A</v>
      </c>
      <c r="BI166" t="e">
        <f t="shared" si="101"/>
        <v>#N/A</v>
      </c>
      <c r="BK166" t="e">
        <f t="shared" si="102"/>
        <v>#N/A</v>
      </c>
      <c r="BL166" t="e">
        <f t="shared" si="103"/>
        <v>#N/A</v>
      </c>
      <c r="BN166" t="e">
        <v>#N/A</v>
      </c>
      <c r="BO166" t="e">
        <v>#N/A</v>
      </c>
      <c r="BS166">
        <f t="shared" si="104"/>
        <v>0.6875</v>
      </c>
      <c r="BT166">
        <v>0.12160162686489288</v>
      </c>
      <c r="BU166">
        <f t="shared" si="105"/>
        <v>1.910145728773599E-4</v>
      </c>
      <c r="BV166">
        <f t="shared" si="118"/>
        <v>4.4642857142856984E-3</v>
      </c>
      <c r="BW166">
        <v>154</v>
      </c>
      <c r="BX166" t="e">
        <v>#N/A</v>
      </c>
      <c r="BZ166" t="e">
        <f t="shared" si="107"/>
        <v>#N/A</v>
      </c>
      <c r="CB166" t="e">
        <f t="shared" si="120"/>
        <v>#N/A</v>
      </c>
      <c r="CC166" t="e">
        <f t="shared" si="109"/>
        <v>#N/A</v>
      </c>
      <c r="CE166" t="e">
        <v>#N/A</v>
      </c>
      <c r="CF166" t="e">
        <v>#N/A</v>
      </c>
      <c r="CJ166">
        <f t="shared" si="110"/>
        <v>0.6875</v>
      </c>
      <c r="CK166">
        <v>6.6497416854299995E-2</v>
      </c>
      <c r="CL166">
        <f t="shared" si="111"/>
        <v>2.5932846000054077E-6</v>
      </c>
      <c r="CM166">
        <f t="shared" si="119"/>
        <v>4.4642857142856984E-3</v>
      </c>
    </row>
    <row r="167" spans="2:91">
      <c r="B167">
        <v>155</v>
      </c>
      <c r="C167" t="e">
        <f>IF(ISNUMBER(K167),IF('Lab test'!N158&gt;0,'Lab test'!N158,NA()),NA())</f>
        <v>#N/A</v>
      </c>
      <c r="D167" t="e">
        <f>IF(ISNUMBER(K167),IF('Lab test'!Q158&gt;0,'Lab test'!Q158,NA()),NA())</f>
        <v>#N/A</v>
      </c>
      <c r="E167" t="e">
        <f>IF(ISNUMBER(K167),IF('Lab test'!P158&gt;0,'Lab test'!P158,NA()),NA())</f>
        <v>#N/A</v>
      </c>
      <c r="F167" t="e">
        <f>IF(ISNUMBER(K167),IF('Lab test'!AJ158&gt;0,'Lab test'!AJ158,NA()),NA())</f>
        <v>#N/A</v>
      </c>
      <c r="G167">
        <f>IF('Lab test'!V158&gt;0,'Lab test'!V158,NA())</f>
        <v>217184.8547348034</v>
      </c>
      <c r="H167" t="e">
        <f>IF(MAX('Lab test'!W158,'Lab test'!X158)&gt;0,MAX('Lab test'!W158,'Lab test'!X158),NA())</f>
        <v>#N/A</v>
      </c>
      <c r="I167" t="e">
        <f>IF('Lab test'!AU158&gt;0,'Lab test'!AU158,NA())</f>
        <v>#N/A</v>
      </c>
      <c r="J167">
        <f>IF('Lab test'!AT158&gt;0,'Lab test'!AT158,NA())</f>
        <v>0.26273835390627037</v>
      </c>
      <c r="K167" t="e">
        <f t="shared" si="112"/>
        <v>#N/A</v>
      </c>
      <c r="L167" t="str">
        <f>'Lab test'!AC158</f>
        <v>LTWb</v>
      </c>
      <c r="N167">
        <v>155</v>
      </c>
      <c r="O167">
        <v>373.71793544399998</v>
      </c>
      <c r="P167">
        <v>1.9937825141100001</v>
      </c>
      <c r="Q167">
        <f t="shared" si="113"/>
        <v>187.4416757089592</v>
      </c>
      <c r="R167">
        <v>603.42816716100003</v>
      </c>
      <c r="S167">
        <f t="shared" si="114"/>
        <v>0.11793658782715029</v>
      </c>
      <c r="T167">
        <v>6.6573077229899996E-2</v>
      </c>
      <c r="U167">
        <f t="shared" si="88"/>
        <v>0.6919642857142857</v>
      </c>
      <c r="W167">
        <v>155</v>
      </c>
      <c r="X167">
        <v>381</v>
      </c>
      <c r="Y167">
        <f t="shared" si="89"/>
        <v>0.95092024539877296</v>
      </c>
      <c r="Z167" t="e">
        <f t="shared" si="90"/>
        <v>#N/A</v>
      </c>
      <c r="AB167" t="e">
        <f t="shared" si="91"/>
        <v>#N/A</v>
      </c>
      <c r="AC167">
        <f t="shared" si="92"/>
        <v>381</v>
      </c>
      <c r="AE167" t="e">
        <v>#N/A</v>
      </c>
      <c r="AF167">
        <v>381</v>
      </c>
      <c r="AJ167">
        <f t="shared" si="93"/>
        <v>0.6919642857142857</v>
      </c>
      <c r="AK167">
        <v>158.47115180700001</v>
      </c>
      <c r="AL167">
        <f t="shared" si="94"/>
        <v>1.1285083749999956</v>
      </c>
      <c r="AM167">
        <f t="shared" si="115"/>
        <v>4.4642857142856984E-3</v>
      </c>
      <c r="AO167">
        <v>155</v>
      </c>
      <c r="AP167">
        <v>1343.6018957345973</v>
      </c>
      <c r="AQ167">
        <f t="shared" si="116"/>
        <v>0.95092024539877296</v>
      </c>
      <c r="AR167" t="e">
        <f t="shared" si="95"/>
        <v>#N/A</v>
      </c>
      <c r="AT167" t="e">
        <f t="shared" si="96"/>
        <v>#N/A</v>
      </c>
      <c r="AU167">
        <f t="shared" si="97"/>
        <v>1343.6018957345973</v>
      </c>
      <c r="AW167" t="e">
        <v>#N/A</v>
      </c>
      <c r="AX167">
        <v>800</v>
      </c>
      <c r="BB167">
        <f t="shared" si="98"/>
        <v>0.6919642857142857</v>
      </c>
      <c r="BC167">
        <v>640.09965781175276</v>
      </c>
      <c r="BD167">
        <f t="shared" si="99"/>
        <v>0.49684314389878637</v>
      </c>
      <c r="BE167">
        <f t="shared" si="117"/>
        <v>4.4642857142856984E-3</v>
      </c>
      <c r="BF167">
        <v>155</v>
      </c>
      <c r="BG167" t="e">
        <v>#N/A</v>
      </c>
      <c r="BI167" t="e">
        <f t="shared" si="101"/>
        <v>#N/A</v>
      </c>
      <c r="BK167" t="e">
        <f t="shared" si="102"/>
        <v>#N/A</v>
      </c>
      <c r="BL167" t="e">
        <f t="shared" si="103"/>
        <v>#N/A</v>
      </c>
      <c r="BN167" t="e">
        <v>#N/A</v>
      </c>
      <c r="BO167" t="e">
        <v>#N/A</v>
      </c>
      <c r="BS167">
        <f t="shared" si="104"/>
        <v>0.6919642857142857</v>
      </c>
      <c r="BT167">
        <v>0.12179264143777024</v>
      </c>
      <c r="BU167">
        <f t="shared" si="105"/>
        <v>2.9095693130390538E-3</v>
      </c>
      <c r="BV167">
        <f t="shared" si="118"/>
        <v>4.4642857142856984E-3</v>
      </c>
      <c r="BW167">
        <v>155</v>
      </c>
      <c r="BX167" t="e">
        <v>#N/A</v>
      </c>
      <c r="BZ167" t="e">
        <f t="shared" si="107"/>
        <v>#N/A</v>
      </c>
      <c r="CB167" t="e">
        <f t="shared" si="120"/>
        <v>#N/A</v>
      </c>
      <c r="CC167" t="e">
        <f t="shared" si="109"/>
        <v>#N/A</v>
      </c>
      <c r="CE167" t="e">
        <v>#N/A</v>
      </c>
      <c r="CF167" t="e">
        <v>#N/A</v>
      </c>
      <c r="CJ167">
        <f t="shared" si="110"/>
        <v>0.6919642857142857</v>
      </c>
      <c r="CK167">
        <v>6.6500010138900001E-2</v>
      </c>
      <c r="CL167">
        <f t="shared" si="111"/>
        <v>9.2177640000079553E-7</v>
      </c>
      <c r="CM167">
        <f t="shared" si="119"/>
        <v>4.4642857142856984E-3</v>
      </c>
    </row>
    <row r="168" spans="2:91">
      <c r="B168">
        <v>156</v>
      </c>
      <c r="C168" t="e">
        <f>IF(ISNUMBER(K168),IF('Lab test'!N159&gt;0,'Lab test'!N159,NA()),NA())</f>
        <v>#N/A</v>
      </c>
      <c r="D168" t="e">
        <f>IF(ISNUMBER(K168),IF('Lab test'!Q159&gt;0,'Lab test'!Q159,NA()),NA())</f>
        <v>#N/A</v>
      </c>
      <c r="E168" t="e">
        <f>IF(ISNUMBER(K168),IF('Lab test'!P159&gt;0,'Lab test'!P159,NA()),NA())</f>
        <v>#N/A</v>
      </c>
      <c r="F168" t="e">
        <f>IF(ISNUMBER(K168),IF('Lab test'!AJ159&gt;0,'Lab test'!AJ159,NA()),NA())</f>
        <v>#N/A</v>
      </c>
      <c r="G168">
        <f>IF('Lab test'!V159&gt;0,'Lab test'!V159,NA())</f>
        <v>217184.8547348034</v>
      </c>
      <c r="H168" t="e">
        <f>IF(MAX('Lab test'!W159,'Lab test'!X159)&gt;0,MAX('Lab test'!W159,'Lab test'!X159),NA())</f>
        <v>#N/A</v>
      </c>
      <c r="I168" t="e">
        <f>IF('Lab test'!AU159&gt;0,'Lab test'!AU159,NA())</f>
        <v>#N/A</v>
      </c>
      <c r="J168">
        <f>IF('Lab test'!AT159&gt;0,'Lab test'!AT159,NA())</f>
        <v>0.28747949175132603</v>
      </c>
      <c r="K168" t="e">
        <f t="shared" si="112"/>
        <v>#N/A</v>
      </c>
      <c r="L168" t="str">
        <f>'Lab test'!AC159</f>
        <v>LTWb</v>
      </c>
      <c r="N168">
        <v>156</v>
      </c>
      <c r="O168">
        <v>374.76377579299998</v>
      </c>
      <c r="P168">
        <v>1.3811266877799999</v>
      </c>
      <c r="Q168">
        <f t="shared" si="113"/>
        <v>271.34641529184341</v>
      </c>
      <c r="R168">
        <v>363.08760471400001</v>
      </c>
      <c r="S168">
        <f t="shared" si="114"/>
        <v>5.8815497216302214E-2</v>
      </c>
      <c r="T168">
        <v>3.2902327675400002E-2</v>
      </c>
      <c r="U168">
        <f t="shared" si="88"/>
        <v>0.6964285714285714</v>
      </c>
      <c r="W168">
        <v>156</v>
      </c>
      <c r="X168">
        <v>381</v>
      </c>
      <c r="Y168">
        <f t="shared" si="89"/>
        <v>0.95705521472392641</v>
      </c>
      <c r="Z168" t="e">
        <f t="shared" si="90"/>
        <v>#N/A</v>
      </c>
      <c r="AB168" t="e">
        <f t="shared" si="91"/>
        <v>#N/A</v>
      </c>
      <c r="AC168">
        <f t="shared" si="92"/>
        <v>381</v>
      </c>
      <c r="AE168" t="e">
        <v>#N/A</v>
      </c>
      <c r="AF168">
        <v>381</v>
      </c>
      <c r="AJ168">
        <f t="shared" si="93"/>
        <v>0.6964285714285714</v>
      </c>
      <c r="AK168">
        <v>159.59966018200001</v>
      </c>
      <c r="AL168">
        <f t="shared" si="94"/>
        <v>0.87029620100000216</v>
      </c>
      <c r="AM168">
        <f t="shared" si="115"/>
        <v>4.4642857142856984E-3</v>
      </c>
      <c r="AO168">
        <v>156</v>
      </c>
      <c r="AP168">
        <v>1343.6018957345973</v>
      </c>
      <c r="AQ168">
        <f t="shared" si="116"/>
        <v>0.95705521472392641</v>
      </c>
      <c r="AR168">
        <f t="shared" si="95"/>
        <v>0.95705521472392641</v>
      </c>
      <c r="AT168">
        <f t="shared" si="96"/>
        <v>0.95705521472392641</v>
      </c>
      <c r="AU168">
        <f t="shared" si="97"/>
        <v>1343.6018957345973</v>
      </c>
      <c r="AW168" t="e">
        <v>#N/A</v>
      </c>
      <c r="AX168">
        <v>880.28169014084506</v>
      </c>
      <c r="BB168">
        <f t="shared" si="98"/>
        <v>0.6964285714285714</v>
      </c>
      <c r="BC168">
        <v>640.59650095565155</v>
      </c>
      <c r="BD168">
        <f t="shared" si="99"/>
        <v>0.50784125664154089</v>
      </c>
      <c r="BE168">
        <f t="shared" si="117"/>
        <v>4.4642857142856984E-3</v>
      </c>
      <c r="BF168">
        <v>156</v>
      </c>
      <c r="BG168" t="e">
        <v>#N/A</v>
      </c>
      <c r="BI168" t="e">
        <f t="shared" si="101"/>
        <v>#N/A</v>
      </c>
      <c r="BK168" t="e">
        <f t="shared" si="102"/>
        <v>#N/A</v>
      </c>
      <c r="BL168" t="e">
        <f t="shared" si="103"/>
        <v>#N/A</v>
      </c>
      <c r="BN168" t="e">
        <v>#N/A</v>
      </c>
      <c r="BO168" t="e">
        <v>#N/A</v>
      </c>
      <c r="BS168">
        <f t="shared" si="104"/>
        <v>0.6964285714285714</v>
      </c>
      <c r="BT168">
        <v>0.1247022107508093</v>
      </c>
      <c r="BU168">
        <f t="shared" si="105"/>
        <v>1.7209774428510044E-3</v>
      </c>
      <c r="BV168">
        <f t="shared" si="118"/>
        <v>4.4642857142856984E-3</v>
      </c>
      <c r="BW168">
        <v>156</v>
      </c>
      <c r="BX168" t="e">
        <v>#N/A</v>
      </c>
      <c r="BZ168" t="e">
        <f t="shared" si="107"/>
        <v>#N/A</v>
      </c>
      <c r="CB168" t="e">
        <f t="shared" si="120"/>
        <v>#N/A</v>
      </c>
      <c r="CC168" t="e">
        <f t="shared" si="109"/>
        <v>#N/A</v>
      </c>
      <c r="CE168" t="e">
        <v>#N/A</v>
      </c>
      <c r="CF168" t="e">
        <v>#N/A</v>
      </c>
      <c r="CJ168">
        <f t="shared" si="110"/>
        <v>0.6964285714285714</v>
      </c>
      <c r="CK168">
        <v>6.6500931915300002E-2</v>
      </c>
      <c r="CL168">
        <f t="shared" si="111"/>
        <v>7.7872850000326732E-7</v>
      </c>
      <c r="CM168">
        <f t="shared" si="119"/>
        <v>4.4642857142856984E-3</v>
      </c>
    </row>
    <row r="169" spans="2:91">
      <c r="B169">
        <v>157</v>
      </c>
      <c r="C169" t="e">
        <f>IF(ISNUMBER(K169),IF('Lab test'!N160&gt;0,'Lab test'!N160,NA()),NA())</f>
        <v>#N/A</v>
      </c>
      <c r="D169" t="e">
        <f>IF(ISNUMBER(K169),IF('Lab test'!Q160&gt;0,'Lab test'!Q160,NA()),NA())</f>
        <v>#N/A</v>
      </c>
      <c r="E169" t="e">
        <f>IF(ISNUMBER(K169),IF('Lab test'!P160&gt;0,'Lab test'!P160,NA()),NA())</f>
        <v>#N/A</v>
      </c>
      <c r="F169" t="e">
        <f>IF(ISNUMBER(K169),IF('Lab test'!AJ160&gt;0,'Lab test'!AJ160,NA()),NA())</f>
        <v>#N/A</v>
      </c>
      <c r="G169">
        <f>IF('Lab test'!V160&gt;0,'Lab test'!V160,NA())</f>
        <v>217184.8547348034</v>
      </c>
      <c r="H169" t="e">
        <f>IF(MAX('Lab test'!W160,'Lab test'!X160)&gt;0,MAX('Lab test'!W160,'Lab test'!X160),NA())</f>
        <v>#N/A</v>
      </c>
      <c r="I169" t="e">
        <f>IF('Lab test'!AU160&gt;0,'Lab test'!AU160,NA())</f>
        <v>#N/A</v>
      </c>
      <c r="J169">
        <f>IF('Lab test'!AT160&gt;0,'Lab test'!AT160,NA())</f>
        <v>0.34699777623386224</v>
      </c>
      <c r="K169" t="e">
        <f t="shared" si="112"/>
        <v>#N/A</v>
      </c>
      <c r="L169" t="str">
        <f>'Lab test'!AC160</f>
        <v>LTWb</v>
      </c>
      <c r="N169">
        <v>157</v>
      </c>
      <c r="O169">
        <v>37.141643960099998</v>
      </c>
      <c r="P169">
        <v>8.51963878072E-2</v>
      </c>
      <c r="Q169">
        <f t="shared" si="113"/>
        <v>435.95327121323254</v>
      </c>
      <c r="R169">
        <v>47.225730142499998</v>
      </c>
      <c r="S169">
        <f t="shared" si="114"/>
        <v>6.0897236963151281E-2</v>
      </c>
      <c r="T169">
        <v>1.50906646366E-2</v>
      </c>
      <c r="U169">
        <f t="shared" si="88"/>
        <v>0.7008928571428571</v>
      </c>
      <c r="W169">
        <v>157</v>
      </c>
      <c r="X169">
        <v>381</v>
      </c>
      <c r="Y169">
        <f t="shared" si="89"/>
        <v>0.96319018404907975</v>
      </c>
      <c r="Z169" t="e">
        <f t="shared" si="90"/>
        <v>#N/A</v>
      </c>
      <c r="AB169" t="e">
        <f t="shared" si="91"/>
        <v>#N/A</v>
      </c>
      <c r="AC169">
        <f t="shared" si="92"/>
        <v>381</v>
      </c>
      <c r="AE169" t="e">
        <v>#N/A</v>
      </c>
      <c r="AF169">
        <v>381</v>
      </c>
      <c r="AJ169">
        <f t="shared" si="93"/>
        <v>0.7008928571428571</v>
      </c>
      <c r="AK169">
        <v>160.46995638300001</v>
      </c>
      <c r="AL169">
        <f t="shared" si="94"/>
        <v>2.217592183999983</v>
      </c>
      <c r="AM169">
        <f t="shared" si="115"/>
        <v>4.4642857142856984E-3</v>
      </c>
      <c r="AO169">
        <v>157</v>
      </c>
      <c r="AP169">
        <v>1410.4477611940301</v>
      </c>
      <c r="AQ169">
        <f t="shared" si="116"/>
        <v>0.96319018404907975</v>
      </c>
      <c r="AR169">
        <f t="shared" si="95"/>
        <v>0.96319018404907975</v>
      </c>
      <c r="AT169">
        <f t="shared" si="96"/>
        <v>0.96319018404907975</v>
      </c>
      <c r="AU169">
        <f t="shared" si="97"/>
        <v>1410.4477611940301</v>
      </c>
      <c r="AW169" t="e">
        <v>#N/A</v>
      </c>
      <c r="AX169">
        <v>905.79710144927549</v>
      </c>
      <c r="BB169">
        <f t="shared" si="98"/>
        <v>0.7008928571428571</v>
      </c>
      <c r="BC169">
        <v>641.10434221229309</v>
      </c>
      <c r="BD169">
        <f t="shared" si="99"/>
        <v>0.19883249879626419</v>
      </c>
      <c r="BE169">
        <f t="shared" si="117"/>
        <v>4.4642857142856984E-3</v>
      </c>
      <c r="BF169">
        <v>157</v>
      </c>
      <c r="BG169" t="e">
        <v>#N/A</v>
      </c>
      <c r="BI169" t="e">
        <f t="shared" si="101"/>
        <v>#N/A</v>
      </c>
      <c r="BK169" t="e">
        <f t="shared" si="102"/>
        <v>#N/A</v>
      </c>
      <c r="BL169" t="e">
        <f t="shared" si="103"/>
        <v>#N/A</v>
      </c>
      <c r="BN169" t="e">
        <v>#N/A</v>
      </c>
      <c r="BO169" t="e">
        <v>#N/A</v>
      </c>
      <c r="BS169">
        <f t="shared" si="104"/>
        <v>0.7008928571428571</v>
      </c>
      <c r="BT169">
        <v>0.1264231881936603</v>
      </c>
      <c r="BU169">
        <f t="shared" si="105"/>
        <v>1.8843090468306789E-4</v>
      </c>
      <c r="BV169">
        <f t="shared" si="118"/>
        <v>4.4642857142856984E-3</v>
      </c>
      <c r="BW169">
        <v>157</v>
      </c>
      <c r="BX169" t="e">
        <v>#N/A</v>
      </c>
      <c r="BZ169" t="e">
        <f t="shared" si="107"/>
        <v>#N/A</v>
      </c>
      <c r="CB169" t="e">
        <f t="shared" si="120"/>
        <v>#N/A</v>
      </c>
      <c r="CC169" t="e">
        <f t="shared" si="109"/>
        <v>#N/A</v>
      </c>
      <c r="CE169" t="e">
        <v>#N/A</v>
      </c>
      <c r="CF169" t="e">
        <v>#N/A</v>
      </c>
      <c r="CJ169">
        <f t="shared" si="110"/>
        <v>0.7008928571428571</v>
      </c>
      <c r="CK169">
        <v>6.6501710643800005E-2</v>
      </c>
      <c r="CL169">
        <f t="shared" si="111"/>
        <v>1.9651672999998482E-6</v>
      </c>
      <c r="CM169">
        <f t="shared" si="119"/>
        <v>4.4642857142856984E-3</v>
      </c>
    </row>
    <row r="170" spans="2:91">
      <c r="B170">
        <v>158</v>
      </c>
      <c r="C170" t="e">
        <f>IF(ISNUMBER(K170),IF('Lab test'!N161&gt;0,'Lab test'!N161,NA()),NA())</f>
        <v>#N/A</v>
      </c>
      <c r="D170" t="e">
        <f>IF(ISNUMBER(K170),IF('Lab test'!Q161&gt;0,'Lab test'!Q161,NA()),NA())</f>
        <v>#N/A</v>
      </c>
      <c r="E170" t="e">
        <f>IF(ISNUMBER(K170),IF('Lab test'!P161&gt;0,'Lab test'!P161,NA()),NA())</f>
        <v>#N/A</v>
      </c>
      <c r="F170" t="e">
        <f>IF(ISNUMBER(K170),IF('Lab test'!AJ161&gt;0,'Lab test'!AJ161,NA()),NA())</f>
        <v>#N/A</v>
      </c>
      <c r="G170">
        <f>IF('Lab test'!V161&gt;0,'Lab test'!V161,NA())</f>
        <v>217184.8547348034</v>
      </c>
      <c r="H170" t="e">
        <f>IF(MAX('Lab test'!W161,'Lab test'!X161)&gt;0,MAX('Lab test'!W161,'Lab test'!X161),NA())</f>
        <v>#N/A</v>
      </c>
      <c r="I170" t="e">
        <f>IF('Lab test'!AU161&gt;0,'Lab test'!AU161,NA())</f>
        <v>#N/A</v>
      </c>
      <c r="J170">
        <f>IF('Lab test'!AT161&gt;0,'Lab test'!AT161,NA())</f>
        <v>0.45084144898790657</v>
      </c>
      <c r="K170" t="e">
        <f t="shared" si="112"/>
        <v>#N/A</v>
      </c>
      <c r="L170" t="str">
        <f>'Lab test'!AC161</f>
        <v>LTWb</v>
      </c>
      <c r="N170">
        <v>158</v>
      </c>
      <c r="O170">
        <v>37.3542913016</v>
      </c>
      <c r="P170">
        <v>5.5779473056599999E-2</v>
      </c>
      <c r="Q170">
        <f t="shared" si="113"/>
        <v>669.67809580589301</v>
      </c>
      <c r="R170">
        <v>203.873874376</v>
      </c>
      <c r="S170">
        <f t="shared" si="114"/>
        <v>0.21090555951446205</v>
      </c>
      <c r="T170">
        <v>6.6556609853899995E-2</v>
      </c>
      <c r="U170">
        <f t="shared" si="88"/>
        <v>0.7053571428571429</v>
      </c>
      <c r="W170">
        <v>158</v>
      </c>
      <c r="X170">
        <v>381</v>
      </c>
      <c r="Y170">
        <f t="shared" si="89"/>
        <v>0.96932515337423308</v>
      </c>
      <c r="Z170" t="e">
        <f t="shared" si="90"/>
        <v>#N/A</v>
      </c>
      <c r="AB170" t="e">
        <f t="shared" si="91"/>
        <v>#N/A</v>
      </c>
      <c r="AC170">
        <f t="shared" si="92"/>
        <v>381</v>
      </c>
      <c r="AE170" t="e">
        <v>#N/A</v>
      </c>
      <c r="AF170">
        <v>381</v>
      </c>
      <c r="AJ170">
        <f t="shared" si="93"/>
        <v>0.7053571428571429</v>
      </c>
      <c r="AK170">
        <v>162.68754856699999</v>
      </c>
      <c r="AL170">
        <f t="shared" si="94"/>
        <v>0.33483116600001495</v>
      </c>
      <c r="AM170">
        <f t="shared" si="115"/>
        <v>4.4642857142858094E-3</v>
      </c>
      <c r="AO170">
        <v>158</v>
      </c>
      <c r="AP170">
        <v>1415.7966626214763</v>
      </c>
      <c r="AQ170">
        <f t="shared" si="116"/>
        <v>0.96932515337423308</v>
      </c>
      <c r="AR170">
        <f t="shared" si="95"/>
        <v>0.96932515337423308</v>
      </c>
      <c r="AT170">
        <f t="shared" si="96"/>
        <v>0.96932515337423308</v>
      </c>
      <c r="AU170">
        <f t="shared" si="97"/>
        <v>1415.7966626214763</v>
      </c>
      <c r="AW170" t="e">
        <v>#N/A</v>
      </c>
      <c r="AX170">
        <v>1071.4285714285716</v>
      </c>
      <c r="BB170">
        <f t="shared" si="98"/>
        <v>0.7053571428571429</v>
      </c>
      <c r="BC170">
        <v>641.30317471108935</v>
      </c>
      <c r="BD170">
        <f t="shared" si="99"/>
        <v>0.46286191736749061</v>
      </c>
      <c r="BE170">
        <f t="shared" si="117"/>
        <v>4.4642857142858094E-3</v>
      </c>
      <c r="BF170">
        <v>158</v>
      </c>
      <c r="BG170" t="e">
        <v>#N/A</v>
      </c>
      <c r="BI170" t="e">
        <f t="shared" si="101"/>
        <v>#N/A</v>
      </c>
      <c r="BK170" t="e">
        <f t="shared" si="102"/>
        <v>#N/A</v>
      </c>
      <c r="BL170" t="e">
        <f t="shared" si="103"/>
        <v>#N/A</v>
      </c>
      <c r="BN170" t="e">
        <v>#N/A</v>
      </c>
      <c r="BO170" t="e">
        <v>#N/A</v>
      </c>
      <c r="BS170">
        <f t="shared" si="104"/>
        <v>0.7053571428571429</v>
      </c>
      <c r="BT170">
        <v>0.12661161909834337</v>
      </c>
      <c r="BU170">
        <f t="shared" si="105"/>
        <v>7.1080412461926867E-5</v>
      </c>
      <c r="BV170">
        <f t="shared" si="118"/>
        <v>4.4642857142858094E-3</v>
      </c>
      <c r="BW170">
        <v>158</v>
      </c>
      <c r="BX170" t="e">
        <v>#N/A</v>
      </c>
      <c r="BZ170" t="e">
        <f t="shared" si="107"/>
        <v>#N/A</v>
      </c>
      <c r="CB170" t="e">
        <f t="shared" si="120"/>
        <v>#N/A</v>
      </c>
      <c r="CC170" t="e">
        <f t="shared" si="109"/>
        <v>#N/A</v>
      </c>
      <c r="CE170" t="e">
        <v>#N/A</v>
      </c>
      <c r="CF170" t="e">
        <v>#N/A</v>
      </c>
      <c r="CJ170">
        <f t="shared" si="110"/>
        <v>0.7053571428571429</v>
      </c>
      <c r="CK170">
        <v>6.6503675811100005E-2</v>
      </c>
      <c r="CL170">
        <f t="shared" si="111"/>
        <v>3.4188839999893528E-6</v>
      </c>
      <c r="CM170">
        <f t="shared" si="119"/>
        <v>4.4642857142858094E-3</v>
      </c>
    </row>
    <row r="171" spans="2:91">
      <c r="B171">
        <v>159</v>
      </c>
      <c r="C171" t="e">
        <f>IF(ISNUMBER(K171),IF('Lab test'!N162&gt;0,'Lab test'!N162,NA()),NA())</f>
        <v>#N/A</v>
      </c>
      <c r="D171" t="e">
        <f>IF(ISNUMBER(K171),IF('Lab test'!Q162&gt;0,'Lab test'!Q162,NA()),NA())</f>
        <v>#N/A</v>
      </c>
      <c r="E171" t="e">
        <f>IF(ISNUMBER(K171),IF('Lab test'!P162&gt;0,'Lab test'!P162,NA()),NA())</f>
        <v>#N/A</v>
      </c>
      <c r="F171" t="e">
        <f>IF(ISNUMBER(K171),IF('Lab test'!AJ162&gt;0,'Lab test'!AJ162,NA()),NA())</f>
        <v>#N/A</v>
      </c>
      <c r="G171">
        <f>IF('Lab test'!V162&gt;0,'Lab test'!V162,NA())</f>
        <v>217184.8547348034</v>
      </c>
      <c r="H171" t="e">
        <f>IF(MAX('Lab test'!W162,'Lab test'!X162)&gt;0,MAX('Lab test'!W162,'Lab test'!X162),NA())</f>
        <v>#N/A</v>
      </c>
      <c r="I171" t="e">
        <f>IF('Lab test'!AU162&gt;0,'Lab test'!AU162,NA())</f>
        <v>#N/A</v>
      </c>
      <c r="J171">
        <f>IF('Lab test'!AT162&gt;0,'Lab test'!AT162,NA())</f>
        <v>0.58098904895370651</v>
      </c>
      <c r="K171" t="e">
        <f t="shared" si="112"/>
        <v>#N/A</v>
      </c>
      <c r="L171" t="str">
        <f>'Lab test'!AC162</f>
        <v>LTWb</v>
      </c>
      <c r="N171">
        <v>159</v>
      </c>
      <c r="O171">
        <v>37.672289984599999</v>
      </c>
      <c r="P171">
        <v>5.87615579932E-2</v>
      </c>
      <c r="Q171">
        <f t="shared" si="113"/>
        <v>641.10434221229309</v>
      </c>
      <c r="R171">
        <v>57.612348855900002</v>
      </c>
      <c r="S171">
        <f t="shared" si="114"/>
        <v>6.0398924048730013E-2</v>
      </c>
      <c r="T171">
        <v>1.7040781999400002E-2</v>
      </c>
      <c r="U171">
        <f t="shared" si="88"/>
        <v>0.7098214285714286</v>
      </c>
      <c r="W171">
        <v>159</v>
      </c>
      <c r="X171">
        <v>381</v>
      </c>
      <c r="Y171">
        <f t="shared" si="89"/>
        <v>0.97546012269938653</v>
      </c>
      <c r="Z171" t="e">
        <f t="shared" si="90"/>
        <v>#N/A</v>
      </c>
      <c r="AB171" t="e">
        <f t="shared" si="91"/>
        <v>#N/A</v>
      </c>
      <c r="AC171">
        <f t="shared" si="92"/>
        <v>381</v>
      </c>
      <c r="AE171" t="e">
        <v>#N/A</v>
      </c>
      <c r="AF171">
        <v>381</v>
      </c>
      <c r="AJ171">
        <f t="shared" si="93"/>
        <v>0.7098214285714286</v>
      </c>
      <c r="AK171">
        <v>163.02237973300001</v>
      </c>
      <c r="AL171">
        <f t="shared" si="94"/>
        <v>2.5066887870000016</v>
      </c>
      <c r="AM171">
        <f t="shared" si="115"/>
        <v>4.4642857142856984E-3</v>
      </c>
      <c r="AO171">
        <v>159</v>
      </c>
      <c r="AP171">
        <v>1424.6231155778894</v>
      </c>
      <c r="AQ171">
        <f t="shared" si="116"/>
        <v>0.97546012269938653</v>
      </c>
      <c r="AR171">
        <f t="shared" si="95"/>
        <v>0.97546012269938653</v>
      </c>
      <c r="AT171">
        <f t="shared" si="96"/>
        <v>0.97546012269938653</v>
      </c>
      <c r="AU171">
        <f t="shared" si="97"/>
        <v>1424.6231155778894</v>
      </c>
      <c r="AW171" t="e">
        <v>#N/A</v>
      </c>
      <c r="AX171">
        <v>1071.4285714285716</v>
      </c>
      <c r="BB171">
        <f t="shared" si="98"/>
        <v>0.7098214285714286</v>
      </c>
      <c r="BC171">
        <v>641.76603662845685</v>
      </c>
      <c r="BD171">
        <f t="shared" si="99"/>
        <v>5.4597000020611404</v>
      </c>
      <c r="BE171">
        <f t="shared" si="117"/>
        <v>4.4642857142856984E-3</v>
      </c>
      <c r="BF171">
        <v>159</v>
      </c>
      <c r="BG171" t="e">
        <v>#N/A</v>
      </c>
      <c r="BI171" t="e">
        <f t="shared" si="101"/>
        <v>#N/A</v>
      </c>
      <c r="BK171" t="e">
        <f t="shared" si="102"/>
        <v>#N/A</v>
      </c>
      <c r="BL171" t="e">
        <f t="shared" si="103"/>
        <v>#N/A</v>
      </c>
      <c r="BN171" t="e">
        <v>#N/A</v>
      </c>
      <c r="BO171" t="e">
        <v>#N/A</v>
      </c>
      <c r="BS171">
        <f t="shared" si="104"/>
        <v>0.7098214285714286</v>
      </c>
      <c r="BT171">
        <v>0.1266826995108053</v>
      </c>
      <c r="BU171">
        <f t="shared" si="105"/>
        <v>5.2345725340047222E-5</v>
      </c>
      <c r="BV171">
        <f t="shared" si="118"/>
        <v>4.4642857142856984E-3</v>
      </c>
      <c r="BW171">
        <v>159</v>
      </c>
      <c r="BX171" t="e">
        <v>#N/A</v>
      </c>
      <c r="BZ171" t="e">
        <f t="shared" si="107"/>
        <v>#N/A</v>
      </c>
      <c r="CB171" t="e">
        <f t="shared" si="120"/>
        <v>#N/A</v>
      </c>
      <c r="CC171" t="e">
        <f t="shared" si="109"/>
        <v>#N/A</v>
      </c>
      <c r="CE171" t="e">
        <v>#N/A</v>
      </c>
      <c r="CF171" t="e">
        <v>#N/A</v>
      </c>
      <c r="CJ171">
        <f t="shared" si="110"/>
        <v>0.7098214285714286</v>
      </c>
      <c r="CK171">
        <v>6.6507094695099994E-2</v>
      </c>
      <c r="CL171">
        <f t="shared" si="111"/>
        <v>3.4617922999996553E-6</v>
      </c>
      <c r="CM171">
        <f t="shared" si="119"/>
        <v>4.4642857142856984E-3</v>
      </c>
    </row>
    <row r="172" spans="2:91">
      <c r="B172">
        <v>160</v>
      </c>
      <c r="C172" t="e">
        <f>IF(ISNUMBER(K172),IF('Lab test'!N163&gt;0,'Lab test'!N163,NA()),NA())</f>
        <v>#N/A</v>
      </c>
      <c r="D172" t="e">
        <f>IF(ISNUMBER(K172),IF('Lab test'!Q163&gt;0,'Lab test'!Q163,NA()),NA())</f>
        <v>#N/A</v>
      </c>
      <c r="E172" t="e">
        <f>IF(ISNUMBER(K172),IF('Lab test'!P163&gt;0,'Lab test'!P163,NA()),NA())</f>
        <v>#N/A</v>
      </c>
      <c r="F172" t="e">
        <f>IF(ISNUMBER(K172),IF('Lab test'!AJ163&gt;0,'Lab test'!AJ163,NA()),NA())</f>
        <v>#N/A</v>
      </c>
      <c r="G172">
        <f>IF('Lab test'!V163&gt;0,'Lab test'!V163,NA())</f>
        <v>217184.8547348034</v>
      </c>
      <c r="H172" t="e">
        <f>IF(MAX('Lab test'!W163,'Lab test'!X163)&gt;0,MAX('Lab test'!W163,'Lab test'!X163),NA())</f>
        <v>#N/A</v>
      </c>
      <c r="I172" t="e">
        <f>IF('Lab test'!AU163&gt;0,'Lab test'!AU163,NA())</f>
        <v>#N/A</v>
      </c>
      <c r="J172">
        <f>IF('Lab test'!AT163&gt;0,'Lab test'!AT163,NA())</f>
        <v>0.6731666479539854</v>
      </c>
      <c r="K172" t="e">
        <f t="shared" si="112"/>
        <v>#N/A</v>
      </c>
      <c r="L172" t="str">
        <f>'Lab test'!AC163</f>
        <v>LTWb</v>
      </c>
      <c r="N172">
        <v>160</v>
      </c>
      <c r="O172">
        <v>38.294402565699997</v>
      </c>
      <c r="P172">
        <v>7.1296907456700004E-2</v>
      </c>
      <c r="Q172">
        <f t="shared" si="113"/>
        <v>537.11169154085587</v>
      </c>
      <c r="R172">
        <v>69.259849538300003</v>
      </c>
      <c r="S172">
        <f t="shared" si="114"/>
        <v>7.8039403706084476E-2</v>
      </c>
      <c r="T172">
        <v>1.42012499977E-2</v>
      </c>
      <c r="U172">
        <f t="shared" si="88"/>
        <v>0.7142857142857143</v>
      </c>
      <c r="W172">
        <v>160</v>
      </c>
      <c r="X172">
        <v>381</v>
      </c>
      <c r="Y172">
        <f t="shared" si="89"/>
        <v>0.98159509202453987</v>
      </c>
      <c r="Z172" t="e">
        <f t="shared" si="90"/>
        <v>#N/A</v>
      </c>
      <c r="AB172" t="e">
        <f t="shared" si="91"/>
        <v>#N/A</v>
      </c>
      <c r="AC172">
        <f t="shared" si="92"/>
        <v>381</v>
      </c>
      <c r="AE172" t="e">
        <v>#N/A</v>
      </c>
      <c r="AF172">
        <v>381</v>
      </c>
      <c r="AJ172">
        <f t="shared" si="93"/>
        <v>0.7142857142857143</v>
      </c>
      <c r="AK172">
        <v>165.52906852000001</v>
      </c>
      <c r="AL172">
        <f t="shared" si="94"/>
        <v>0.26700726900000404</v>
      </c>
      <c r="AM172">
        <f t="shared" si="115"/>
        <v>4.4642857142856984E-3</v>
      </c>
      <c r="AO172">
        <v>160</v>
      </c>
      <c r="AP172">
        <v>1432.4041061179078</v>
      </c>
      <c r="AQ172">
        <f t="shared" si="116"/>
        <v>0.98159509202453987</v>
      </c>
      <c r="AR172">
        <f t="shared" si="95"/>
        <v>0.98159509202453987</v>
      </c>
      <c r="AT172">
        <f t="shared" si="96"/>
        <v>0.98159509202453987</v>
      </c>
      <c r="AU172">
        <f t="shared" si="97"/>
        <v>1432.4041061179078</v>
      </c>
      <c r="AW172" t="e">
        <v>#N/A</v>
      </c>
      <c r="AX172">
        <v>1185</v>
      </c>
      <c r="BB172">
        <f t="shared" si="98"/>
        <v>0.7142857142857143</v>
      </c>
      <c r="BC172">
        <v>647.22573663051799</v>
      </c>
      <c r="BD172">
        <f t="shared" si="99"/>
        <v>2.318854904572504</v>
      </c>
      <c r="BE172">
        <f t="shared" si="117"/>
        <v>4.4642857142856984E-3</v>
      </c>
      <c r="BF172">
        <v>160</v>
      </c>
      <c r="BG172" t="e">
        <v>#N/A</v>
      </c>
      <c r="BI172" t="e">
        <f t="shared" si="101"/>
        <v>#N/A</v>
      </c>
      <c r="BK172" t="e">
        <f t="shared" si="102"/>
        <v>#N/A</v>
      </c>
      <c r="BL172" t="e">
        <f t="shared" si="103"/>
        <v>#N/A</v>
      </c>
      <c r="BN172" t="e">
        <v>#N/A</v>
      </c>
      <c r="BO172" t="e">
        <v>#N/A</v>
      </c>
      <c r="BS172">
        <f t="shared" si="104"/>
        <v>0.7142857142857143</v>
      </c>
      <c r="BT172">
        <v>0.12673504523614534</v>
      </c>
      <c r="BU172">
        <f t="shared" si="105"/>
        <v>8.6888328055825803E-4</v>
      </c>
      <c r="BV172">
        <f t="shared" si="118"/>
        <v>4.4642857142856984E-3</v>
      </c>
      <c r="BW172">
        <v>160</v>
      </c>
      <c r="BX172" t="e">
        <v>#N/A</v>
      </c>
      <c r="BZ172" t="e">
        <f t="shared" si="107"/>
        <v>#N/A</v>
      </c>
      <c r="CB172" t="e">
        <f t="shared" si="120"/>
        <v>#N/A</v>
      </c>
      <c r="CC172" t="e">
        <f t="shared" si="109"/>
        <v>#N/A</v>
      </c>
      <c r="CE172" t="e">
        <v>#N/A</v>
      </c>
      <c r="CF172" t="e">
        <v>#N/A</v>
      </c>
      <c r="CJ172">
        <f t="shared" si="110"/>
        <v>0.7142857142857143</v>
      </c>
      <c r="CK172">
        <v>6.6510556487399994E-2</v>
      </c>
      <c r="CL172">
        <f t="shared" si="111"/>
        <v>6.295061000111124E-7</v>
      </c>
      <c r="CM172">
        <f t="shared" si="119"/>
        <v>4.4642857142856984E-3</v>
      </c>
    </row>
    <row r="173" spans="2:91">
      <c r="B173">
        <v>161</v>
      </c>
      <c r="C173" t="e">
        <f>IF(ISNUMBER(K173),IF('Lab test'!N164&gt;0,'Lab test'!N164,NA()),NA())</f>
        <v>#N/A</v>
      </c>
      <c r="D173" t="e">
        <f>IF(ISNUMBER(K173),IF('Lab test'!Q164&gt;0,'Lab test'!Q164,NA()),NA())</f>
        <v>#N/A</v>
      </c>
      <c r="E173" t="e">
        <f>IF(ISNUMBER(K173),IF('Lab test'!P164&gt;0,'Lab test'!P164,NA()),NA())</f>
        <v>#N/A</v>
      </c>
      <c r="F173" t="e">
        <f>IF(ISNUMBER(K173),IF('Lab test'!AJ164&gt;0,'Lab test'!AJ164,NA()),NA())</f>
        <v>#N/A</v>
      </c>
      <c r="G173">
        <f>IF('Lab test'!V164&gt;0,'Lab test'!V164,NA())</f>
        <v>217184.8547348034</v>
      </c>
      <c r="H173" t="e">
        <f>IF(MAX('Lab test'!W164,'Lab test'!X164)&gt;0,MAX('Lab test'!W164,'Lab test'!X164),NA())</f>
        <v>#N/A</v>
      </c>
      <c r="I173" t="e">
        <f>IF('Lab test'!AU164&gt;0,'Lab test'!AU164,NA())</f>
        <v>#N/A</v>
      </c>
      <c r="J173">
        <f>IF('Lab test'!AT164&gt;0,'Lab test'!AT164,NA())</f>
        <v>0.95698059107511413</v>
      </c>
      <c r="K173" t="e">
        <f t="shared" si="112"/>
        <v>#N/A</v>
      </c>
      <c r="L173" t="str">
        <f>'Lab test'!AC164</f>
        <v>LTWb</v>
      </c>
      <c r="N173">
        <v>161</v>
      </c>
      <c r="O173">
        <v>38.346130877299998</v>
      </c>
      <c r="P173">
        <v>0.141455273686</v>
      </c>
      <c r="Q173">
        <f t="shared" si="113"/>
        <v>271.0830772023395</v>
      </c>
      <c r="R173">
        <v>36.538233919299998</v>
      </c>
      <c r="S173">
        <f t="shared" si="114"/>
        <v>5.7872840416035611E-2</v>
      </c>
      <c r="T173">
        <v>1.4850472155000001E-2</v>
      </c>
      <c r="U173">
        <f t="shared" si="88"/>
        <v>0.71875</v>
      </c>
      <c r="W173">
        <v>161</v>
      </c>
      <c r="X173">
        <v>381</v>
      </c>
      <c r="Y173">
        <f t="shared" si="89"/>
        <v>0.98773006134969321</v>
      </c>
      <c r="Z173" t="e">
        <f t="shared" si="90"/>
        <v>#N/A</v>
      </c>
      <c r="AB173" t="e">
        <f t="shared" si="91"/>
        <v>#N/A</v>
      </c>
      <c r="AC173">
        <f t="shared" si="92"/>
        <v>381</v>
      </c>
      <c r="AE173" t="e">
        <v>#N/A</v>
      </c>
      <c r="AF173">
        <v>381</v>
      </c>
      <c r="AJ173">
        <f t="shared" si="93"/>
        <v>0.71875</v>
      </c>
      <c r="AK173">
        <v>165.79607578900001</v>
      </c>
      <c r="AL173">
        <f t="shared" si="94"/>
        <v>0.95903761999997528</v>
      </c>
      <c r="AM173">
        <f t="shared" si="115"/>
        <v>4.4642857142856984E-3</v>
      </c>
      <c r="AO173">
        <v>161</v>
      </c>
      <c r="AP173">
        <v>1440.7441415180838</v>
      </c>
      <c r="AQ173">
        <f t="shared" si="116"/>
        <v>0.98773006134969321</v>
      </c>
      <c r="AR173" t="e">
        <f t="shared" si="95"/>
        <v>#N/A</v>
      </c>
      <c r="AT173" t="e">
        <f t="shared" si="96"/>
        <v>#N/A</v>
      </c>
      <c r="AU173">
        <f t="shared" si="97"/>
        <v>1440.7441415180838</v>
      </c>
      <c r="AW173" t="e">
        <v>#N/A</v>
      </c>
      <c r="AX173">
        <v>1294.3274968148473</v>
      </c>
      <c r="BB173">
        <f t="shared" si="98"/>
        <v>0.71875</v>
      </c>
      <c r="BC173">
        <v>649.54459153509049</v>
      </c>
      <c r="BD173">
        <f t="shared" si="99"/>
        <v>0.31853124972951719</v>
      </c>
      <c r="BE173">
        <f t="shared" si="117"/>
        <v>4.4642857142856984E-3</v>
      </c>
      <c r="BF173">
        <v>161</v>
      </c>
      <c r="BG173" t="e">
        <v>#N/A</v>
      </c>
      <c r="BI173" t="e">
        <f t="shared" si="101"/>
        <v>#N/A</v>
      </c>
      <c r="BK173" t="e">
        <f t="shared" si="102"/>
        <v>#N/A</v>
      </c>
      <c r="BL173" t="e">
        <f t="shared" si="103"/>
        <v>#N/A</v>
      </c>
      <c r="BN173" t="e">
        <v>#N/A</v>
      </c>
      <c r="BO173" t="e">
        <v>#N/A</v>
      </c>
      <c r="BS173">
        <f t="shared" si="104"/>
        <v>0.71875</v>
      </c>
      <c r="BT173">
        <v>0.1276039285167036</v>
      </c>
      <c r="BU173">
        <f t="shared" si="105"/>
        <v>3.765731981887066E-4</v>
      </c>
      <c r="BV173">
        <f t="shared" si="118"/>
        <v>4.4642857142856984E-3</v>
      </c>
      <c r="BW173">
        <v>161</v>
      </c>
      <c r="BX173" t="e">
        <v>#N/A</v>
      </c>
      <c r="BZ173" t="e">
        <f t="shared" si="107"/>
        <v>#N/A</v>
      </c>
      <c r="CB173" t="e">
        <f t="shared" si="120"/>
        <v>#N/A</v>
      </c>
      <c r="CC173" t="e">
        <f t="shared" si="109"/>
        <v>#N/A</v>
      </c>
      <c r="CE173" t="e">
        <v>#N/A</v>
      </c>
      <c r="CF173" t="e">
        <v>#N/A</v>
      </c>
      <c r="CJ173">
        <f t="shared" si="110"/>
        <v>0.71875</v>
      </c>
      <c r="CK173">
        <v>6.6511185993500005E-2</v>
      </c>
      <c r="CL173">
        <f t="shared" si="111"/>
        <v>2.8669020999960715E-6</v>
      </c>
      <c r="CM173">
        <f t="shared" si="119"/>
        <v>4.4642857142856984E-3</v>
      </c>
    </row>
    <row r="174" spans="2:91">
      <c r="B174">
        <v>162</v>
      </c>
      <c r="C174" t="e">
        <f>IF(ISNUMBER(K174),IF('Lab test'!N165&gt;0,'Lab test'!N165,NA()),NA())</f>
        <v>#N/A</v>
      </c>
      <c r="D174" t="e">
        <f>IF(ISNUMBER(K174),IF('Lab test'!Q165&gt;0,'Lab test'!Q165,NA()),NA())</f>
        <v>#N/A</v>
      </c>
      <c r="E174" t="e">
        <f>IF(ISNUMBER(K174),IF('Lab test'!P165&gt;0,'Lab test'!P165,NA()),NA())</f>
        <v>#N/A</v>
      </c>
      <c r="F174" t="e">
        <f>IF(ISNUMBER(K174),IF('Lab test'!AJ165&gt;0,'Lab test'!AJ165,NA()),NA())</f>
        <v>#N/A</v>
      </c>
      <c r="G174">
        <f>IF('Lab test'!V165&gt;0,'Lab test'!V165,NA())</f>
        <v>217184.8547348034</v>
      </c>
      <c r="H174" t="e">
        <f>IF(MAX('Lab test'!W165,'Lab test'!X165)&gt;0,MAX('Lab test'!W165,'Lab test'!X165),NA())</f>
        <v>#N/A</v>
      </c>
      <c r="I174" t="e">
        <f>IF('Lab test'!AU165&gt;0,'Lab test'!AU165,NA())</f>
        <v>#N/A</v>
      </c>
      <c r="J174">
        <f>IF('Lab test'!AT165&gt;0,'Lab test'!AT165,NA())</f>
        <v>0.86749444058465663</v>
      </c>
      <c r="K174" t="e">
        <f t="shared" si="112"/>
        <v>#N/A</v>
      </c>
      <c r="L174" t="str">
        <f>'Lab test'!AC165</f>
        <v>LTWb</v>
      </c>
      <c r="N174">
        <v>162</v>
      </c>
      <c r="O174">
        <v>40.268070011100001</v>
      </c>
      <c r="P174">
        <v>8.2801124736500004E-2</v>
      </c>
      <c r="Q174">
        <f t="shared" si="113"/>
        <v>486.32274186185322</v>
      </c>
      <c r="R174">
        <v>362.48159334399998</v>
      </c>
      <c r="S174">
        <f t="shared" si="114"/>
        <v>0.40819046310369167</v>
      </c>
      <c r="T174">
        <v>6.6653198112900006E-2</v>
      </c>
      <c r="U174">
        <f t="shared" si="88"/>
        <v>0.7232142857142857</v>
      </c>
      <c r="W174">
        <v>162</v>
      </c>
      <c r="X174">
        <v>381</v>
      </c>
      <c r="Y174">
        <f t="shared" si="89"/>
        <v>0.99386503067484666</v>
      </c>
      <c r="Z174" t="e">
        <f t="shared" si="90"/>
        <v>#N/A</v>
      </c>
      <c r="AB174" t="e">
        <f t="shared" si="91"/>
        <v>#N/A</v>
      </c>
      <c r="AC174">
        <f t="shared" si="92"/>
        <v>381</v>
      </c>
      <c r="AE174" t="e">
        <v>#N/A</v>
      </c>
      <c r="AF174">
        <v>381</v>
      </c>
      <c r="AJ174">
        <f t="shared" si="93"/>
        <v>0.7232142857142857</v>
      </c>
      <c r="AK174">
        <v>166.75511340899999</v>
      </c>
      <c r="AL174">
        <f t="shared" si="94"/>
        <v>1.048363452000018</v>
      </c>
      <c r="AM174">
        <f t="shared" si="115"/>
        <v>4.4642857142856984E-3</v>
      </c>
      <c r="AO174">
        <v>162</v>
      </c>
      <c r="AP174">
        <v>1440.7441415180838</v>
      </c>
      <c r="AQ174">
        <f t="shared" si="116"/>
        <v>0.99386503067484666</v>
      </c>
      <c r="AR174">
        <f t="shared" si="95"/>
        <v>0.99386503067484666</v>
      </c>
      <c r="AT174">
        <f t="shared" si="96"/>
        <v>0.99386503067484666</v>
      </c>
      <c r="AU174">
        <f t="shared" si="97"/>
        <v>1440.7441415180838</v>
      </c>
      <c r="AW174" t="e">
        <v>#N/A</v>
      </c>
      <c r="AX174">
        <v>1343.6018957345973</v>
      </c>
      <c r="BB174">
        <f t="shared" si="98"/>
        <v>0.7232142857142857</v>
      </c>
      <c r="BC174">
        <v>649.86312278482001</v>
      </c>
      <c r="BD174">
        <f t="shared" si="99"/>
        <v>0.45456668780718701</v>
      </c>
      <c r="BE174">
        <f t="shared" si="117"/>
        <v>4.4642857142856984E-3</v>
      </c>
      <c r="BF174">
        <v>162</v>
      </c>
      <c r="BG174" t="e">
        <v>#N/A</v>
      </c>
      <c r="BI174" t="e">
        <f t="shared" si="101"/>
        <v>#N/A</v>
      </c>
      <c r="BK174" t="e">
        <f t="shared" si="102"/>
        <v>#N/A</v>
      </c>
      <c r="BL174" t="e">
        <f t="shared" si="103"/>
        <v>#N/A</v>
      </c>
      <c r="BN174" t="e">
        <v>#N/A</v>
      </c>
      <c r="BO174" t="e">
        <v>#N/A</v>
      </c>
      <c r="BS174">
        <f t="shared" si="104"/>
        <v>0.7232142857142857</v>
      </c>
      <c r="BT174">
        <v>0.12798050171489231</v>
      </c>
      <c r="BU174">
        <f t="shared" si="105"/>
        <v>2.3973270425541704E-2</v>
      </c>
      <c r="BV174">
        <f t="shared" si="118"/>
        <v>4.4642857142856984E-3</v>
      </c>
      <c r="BW174">
        <v>162</v>
      </c>
      <c r="BX174" t="e">
        <v>#N/A</v>
      </c>
      <c r="BZ174" t="e">
        <f t="shared" si="107"/>
        <v>#N/A</v>
      </c>
      <c r="CB174" t="e">
        <f t="shared" si="120"/>
        <v>#N/A</v>
      </c>
      <c r="CC174" t="e">
        <f t="shared" si="109"/>
        <v>#N/A</v>
      </c>
      <c r="CE174" t="e">
        <v>#N/A</v>
      </c>
      <c r="CF174" t="e">
        <v>#N/A</v>
      </c>
      <c r="CJ174">
        <f t="shared" si="110"/>
        <v>0.7232142857142857</v>
      </c>
      <c r="CK174">
        <v>6.6514052895600001E-2</v>
      </c>
      <c r="CL174">
        <f t="shared" si="111"/>
        <v>2.7354715999988732E-6</v>
      </c>
      <c r="CM174">
        <f t="shared" si="119"/>
        <v>4.4642857142856984E-3</v>
      </c>
    </row>
    <row r="175" spans="2:91">
      <c r="B175">
        <v>163</v>
      </c>
      <c r="C175" t="e">
        <f>IF(ISNUMBER(K175),IF('Lab test'!N166&gt;0,'Lab test'!N166,NA()),NA())</f>
        <v>#N/A</v>
      </c>
      <c r="D175" t="e">
        <f>IF(ISNUMBER(K175),IF('Lab test'!Q166&gt;0,'Lab test'!Q166,NA()),NA())</f>
        <v>#N/A</v>
      </c>
      <c r="E175" t="e">
        <f>IF(ISNUMBER(K175),IF('Lab test'!P166&gt;0,'Lab test'!P166,NA()),NA())</f>
        <v>#N/A</v>
      </c>
      <c r="F175" t="e">
        <f>IF(ISNUMBER(K175),IF('Lab test'!AJ166&gt;0,'Lab test'!AJ166,NA()),NA())</f>
        <v>#N/A</v>
      </c>
      <c r="G175">
        <f>IF('Lab test'!V166&gt;0,'Lab test'!V166,NA())</f>
        <v>223390.13629865492</v>
      </c>
      <c r="H175" t="e">
        <f>IF(MAX('Lab test'!W166,'Lab test'!X166)&gt;0,MAX('Lab test'!W166,'Lab test'!X166),NA())</f>
        <v>#N/A</v>
      </c>
      <c r="I175" t="e">
        <f>IF('Lab test'!AU166&gt;0,'Lab test'!AU166,NA())</f>
        <v>#N/A</v>
      </c>
      <c r="J175">
        <f>IF('Lab test'!AT166&gt;0,'Lab test'!AT166,NA())</f>
        <v>0.30177159481585053</v>
      </c>
      <c r="K175" t="e">
        <f t="shared" si="112"/>
        <v>#N/A</v>
      </c>
      <c r="L175" t="str">
        <f>'Lab test'!AC166</f>
        <v>LTWb</v>
      </c>
      <c r="N175">
        <v>163</v>
      </c>
      <c r="O175">
        <v>41.468812470000003</v>
      </c>
      <c r="P175">
        <v>0.14111742508</v>
      </c>
      <c r="Q175">
        <f t="shared" si="113"/>
        <v>293.86032551608122</v>
      </c>
      <c r="R175">
        <v>89.8708428666</v>
      </c>
      <c r="S175">
        <f t="shared" si="114"/>
        <v>0.1264231881936603</v>
      </c>
      <c r="T175">
        <v>6.5390308232399996E-2</v>
      </c>
      <c r="U175">
        <f t="shared" si="88"/>
        <v>0.7276785714285714</v>
      </c>
      <c r="W175">
        <v>163</v>
      </c>
      <c r="X175">
        <v>381</v>
      </c>
      <c r="Y175">
        <f t="shared" si="89"/>
        <v>1</v>
      </c>
      <c r="Z175" t="e">
        <f t="shared" si="90"/>
        <v>#N/A</v>
      </c>
      <c r="AB175">
        <v>1</v>
      </c>
      <c r="AC175">
        <f t="shared" si="92"/>
        <v>381</v>
      </c>
      <c r="AE175" t="e">
        <v>#N/A</v>
      </c>
      <c r="AF175">
        <v>381</v>
      </c>
      <c r="AJ175">
        <f t="shared" si="93"/>
        <v>0.7276785714285714</v>
      </c>
      <c r="AK175">
        <v>167.80347686100001</v>
      </c>
      <c r="AL175">
        <f t="shared" si="94"/>
        <v>0.79855442999999582</v>
      </c>
      <c r="AM175">
        <f t="shared" si="115"/>
        <v>4.4642857142856984E-3</v>
      </c>
      <c r="AO175">
        <v>163</v>
      </c>
      <c r="AP175">
        <v>1468.9119170984457</v>
      </c>
      <c r="AQ175">
        <f t="shared" si="116"/>
        <v>1</v>
      </c>
      <c r="AR175" t="e">
        <f t="shared" si="95"/>
        <v>#N/A</v>
      </c>
      <c r="AT175">
        <v>1</v>
      </c>
      <c r="AU175">
        <f t="shared" si="97"/>
        <v>1468.9119170984457</v>
      </c>
      <c r="AW175" t="e">
        <v>#N/A</v>
      </c>
      <c r="AX175">
        <v>1440.7441415180838</v>
      </c>
      <c r="BB175">
        <f t="shared" si="98"/>
        <v>0.7276785714285714</v>
      </c>
      <c r="BC175">
        <v>650.31768947262719</v>
      </c>
      <c r="BD175">
        <f t="shared" si="99"/>
        <v>0.35442057519605896</v>
      </c>
      <c r="BE175">
        <f t="shared" si="117"/>
        <v>4.4642857142856984E-3</v>
      </c>
      <c r="BF175">
        <v>163</v>
      </c>
      <c r="BG175" t="e">
        <v>#N/A</v>
      </c>
      <c r="BI175" t="e">
        <f t="shared" si="101"/>
        <v>#N/A</v>
      </c>
      <c r="BK175" t="e">
        <f t="shared" si="102"/>
        <v>#N/A</v>
      </c>
      <c r="BL175" t="e">
        <f t="shared" si="103"/>
        <v>#N/A</v>
      </c>
      <c r="BN175" t="e">
        <v>#N/A</v>
      </c>
      <c r="BO175" t="e">
        <v>#N/A</v>
      </c>
      <c r="BS175">
        <f t="shared" si="104"/>
        <v>0.7276785714285714</v>
      </c>
      <c r="BT175">
        <v>0.15195377214043401</v>
      </c>
      <c r="BU175">
        <f t="shared" si="105"/>
        <v>4.9167253263643074E-3</v>
      </c>
      <c r="BV175">
        <f t="shared" si="118"/>
        <v>4.4642857142856984E-3</v>
      </c>
      <c r="BW175">
        <v>163</v>
      </c>
      <c r="BX175" t="e">
        <v>#N/A</v>
      </c>
      <c r="BZ175" t="e">
        <f t="shared" si="107"/>
        <v>#N/A</v>
      </c>
      <c r="CB175" t="e">
        <f t="shared" si="120"/>
        <v>#N/A</v>
      </c>
      <c r="CC175" t="e">
        <f t="shared" si="109"/>
        <v>#N/A</v>
      </c>
      <c r="CE175" t="e">
        <v>#N/A</v>
      </c>
      <c r="CF175" t="e">
        <v>#N/A</v>
      </c>
      <c r="CJ175">
        <f t="shared" si="110"/>
        <v>0.7276785714285714</v>
      </c>
      <c r="CK175">
        <v>6.65167883672E-2</v>
      </c>
      <c r="CL175">
        <f t="shared" si="111"/>
        <v>2.8799691999953358E-6</v>
      </c>
      <c r="CM175">
        <f t="shared" si="119"/>
        <v>4.4642857142856984E-3</v>
      </c>
    </row>
    <row r="176" spans="2:91">
      <c r="B176">
        <v>164</v>
      </c>
      <c r="C176" t="e">
        <f>IF(ISNUMBER(K176),IF('Lab test'!N167&gt;0,'Lab test'!N167,NA()),NA())</f>
        <v>#N/A</v>
      </c>
      <c r="D176" t="e">
        <f>IF(ISNUMBER(K176),IF('Lab test'!Q167&gt;0,'Lab test'!Q167,NA()),NA())</f>
        <v>#N/A</v>
      </c>
      <c r="E176" t="e">
        <f>IF(ISNUMBER(K176),IF('Lab test'!P167&gt;0,'Lab test'!P167,NA()),NA())</f>
        <v>#N/A</v>
      </c>
      <c r="F176" t="e">
        <f>IF(ISNUMBER(K176),IF('Lab test'!AJ167&gt;0,'Lab test'!AJ167,NA()),NA())</f>
        <v>#N/A</v>
      </c>
      <c r="G176">
        <f>IF('Lab test'!V167&gt;0,'Lab test'!V167,NA())</f>
        <v>223390.13629865492</v>
      </c>
      <c r="H176" t="e">
        <f>IF(MAX('Lab test'!W167,'Lab test'!X167)&gt;0,MAX('Lab test'!W167,'Lab test'!X167),NA())</f>
        <v>#N/A</v>
      </c>
      <c r="I176" t="e">
        <f>IF('Lab test'!AU167&gt;0,'Lab test'!AU167,NA())</f>
        <v>#N/A</v>
      </c>
      <c r="J176">
        <f>IF('Lab test'!AT167&gt;0,'Lab test'!AT167,NA())</f>
        <v>0.20777116908169746</v>
      </c>
      <c r="K176" t="e">
        <f t="shared" si="112"/>
        <v>#N/A</v>
      </c>
      <c r="L176" t="str">
        <f>'Lab test'!AC167</f>
        <v>LTWb</v>
      </c>
      <c r="N176">
        <v>164</v>
      </c>
      <c r="O176">
        <v>41.8938079132</v>
      </c>
      <c r="P176">
        <v>7.7964278423899996E-2</v>
      </c>
      <c r="Q176">
        <f t="shared" si="113"/>
        <v>537.34618930760769</v>
      </c>
      <c r="R176">
        <v>67.841781790799999</v>
      </c>
      <c r="S176">
        <f t="shared" si="114"/>
        <v>6.9858671417235993E-2</v>
      </c>
      <c r="T176">
        <v>1.09841827768E-2</v>
      </c>
      <c r="U176">
        <f t="shared" si="88"/>
        <v>0.7321428571428571</v>
      </c>
      <c r="W176">
        <v>164</v>
      </c>
      <c r="X176" t="e">
        <v>#N/A</v>
      </c>
      <c r="Z176" t="e">
        <f t="shared" si="90"/>
        <v>#N/A</v>
      </c>
      <c r="AB176" t="e">
        <f t="shared" ref="AB176:AB239" si="121">Z176</f>
        <v>#N/A</v>
      </c>
      <c r="AC176" t="e">
        <f t="shared" si="92"/>
        <v>#N/A</v>
      </c>
      <c r="AE176" t="e">
        <v>#N/A</v>
      </c>
      <c r="AF176" t="e">
        <v>#N/A</v>
      </c>
      <c r="AJ176">
        <f t="shared" si="93"/>
        <v>0.7321428571428571</v>
      </c>
      <c r="AK176">
        <v>168.602031291</v>
      </c>
      <c r="AL176">
        <f t="shared" si="94"/>
        <v>0.29175183399999582</v>
      </c>
      <c r="AM176">
        <f t="shared" si="115"/>
        <v>4.4642857142856984E-3</v>
      </c>
      <c r="AO176">
        <v>164</v>
      </c>
      <c r="AP176" t="e">
        <v>#N/A</v>
      </c>
      <c r="AR176" t="e">
        <f t="shared" si="95"/>
        <v>#N/A</v>
      </c>
      <c r="AT176" t="e">
        <f t="shared" si="96"/>
        <v>#N/A</v>
      </c>
      <c r="AU176" t="e">
        <f t="shared" si="97"/>
        <v>#N/A</v>
      </c>
      <c r="AW176" t="e">
        <v>#N/A</v>
      </c>
      <c r="AX176" t="e">
        <v>#N/A</v>
      </c>
      <c r="BB176">
        <f t="shared" si="98"/>
        <v>0.7321428571428571</v>
      </c>
      <c r="BC176">
        <v>650.67211004782325</v>
      </c>
      <c r="BD176">
        <f t="shared" si="99"/>
        <v>1.4893252705475106</v>
      </c>
      <c r="BE176">
        <f t="shared" si="117"/>
        <v>4.4642857142856984E-3</v>
      </c>
      <c r="BF176">
        <v>164</v>
      </c>
      <c r="BG176" t="e">
        <v>#N/A</v>
      </c>
      <c r="BI176" t="e">
        <f t="shared" si="101"/>
        <v>#N/A</v>
      </c>
      <c r="BK176" t="e">
        <f t="shared" si="102"/>
        <v>#N/A</v>
      </c>
      <c r="BL176" t="e">
        <f t="shared" si="103"/>
        <v>#N/A</v>
      </c>
      <c r="BN176" t="e">
        <v>#N/A</v>
      </c>
      <c r="BO176" t="e">
        <v>#N/A</v>
      </c>
      <c r="BS176">
        <f t="shared" si="104"/>
        <v>0.7321428571428571</v>
      </c>
      <c r="BT176">
        <v>0.15687049746679832</v>
      </c>
      <c r="BU176">
        <f t="shared" si="105"/>
        <v>2.2279070858225475E-2</v>
      </c>
      <c r="BV176">
        <f t="shared" si="118"/>
        <v>4.4642857142856984E-3</v>
      </c>
      <c r="BW176">
        <v>164</v>
      </c>
      <c r="BX176" t="e">
        <v>#N/A</v>
      </c>
      <c r="BZ176" t="e">
        <f t="shared" si="107"/>
        <v>#N/A</v>
      </c>
      <c r="CB176" t="e">
        <f t="shared" si="120"/>
        <v>#N/A</v>
      </c>
      <c r="CC176" t="e">
        <f t="shared" si="109"/>
        <v>#N/A</v>
      </c>
      <c r="CE176" t="e">
        <v>#N/A</v>
      </c>
      <c r="CF176" t="e">
        <v>#N/A</v>
      </c>
      <c r="CJ176">
        <f t="shared" si="110"/>
        <v>0.7321428571428571</v>
      </c>
      <c r="CK176">
        <v>6.6519668336399995E-2</v>
      </c>
      <c r="CL176">
        <f t="shared" si="111"/>
        <v>6.0022502000045552E-6</v>
      </c>
      <c r="CM176">
        <f t="shared" si="119"/>
        <v>4.4642857142856984E-3</v>
      </c>
    </row>
    <row r="177" spans="2:91">
      <c r="B177">
        <v>165</v>
      </c>
      <c r="C177" t="e">
        <f>IF(ISNUMBER(K177),IF('Lab test'!N168&gt;0,'Lab test'!N168,NA()),NA())</f>
        <v>#N/A</v>
      </c>
      <c r="D177" t="e">
        <f>IF(ISNUMBER(K177),IF('Lab test'!Q168&gt;0,'Lab test'!Q168,NA()),NA())</f>
        <v>#N/A</v>
      </c>
      <c r="E177" t="e">
        <f>IF(ISNUMBER(K177),IF('Lab test'!P168&gt;0,'Lab test'!P168,NA()),NA())</f>
        <v>#N/A</v>
      </c>
      <c r="F177" t="e">
        <f>IF(ISNUMBER(K177),IF('Lab test'!AJ168&gt;0,'Lab test'!AJ168,NA()),NA())</f>
        <v>#N/A</v>
      </c>
      <c r="G177">
        <f>IF('Lab test'!V168&gt;0,'Lab test'!V168,NA())</f>
        <v>223390.13629865492</v>
      </c>
      <c r="H177" t="e">
        <f>IF(MAX('Lab test'!W168,'Lab test'!X168)&gt;0,MAX('Lab test'!W168,'Lab test'!X168),NA())</f>
        <v>#N/A</v>
      </c>
      <c r="I177" t="e">
        <f>IF('Lab test'!AU168&gt;0,'Lab test'!AU168,NA())</f>
        <v>#N/A</v>
      </c>
      <c r="J177">
        <f>IF('Lab test'!AT168&gt;0,'Lab test'!AT168,NA())</f>
        <v>0.19010419228441863</v>
      </c>
      <c r="K177" t="e">
        <f t="shared" si="112"/>
        <v>#N/A</v>
      </c>
      <c r="L177" t="str">
        <f>'Lab test'!AC168</f>
        <v>LTWb</v>
      </c>
      <c r="N177">
        <v>165</v>
      </c>
      <c r="O177">
        <v>46.3828716031</v>
      </c>
      <c r="P177">
        <v>8.8870024103199996E-2</v>
      </c>
      <c r="Q177">
        <f t="shared" si="113"/>
        <v>521.91807160126405</v>
      </c>
      <c r="R177">
        <v>95.779700710300006</v>
      </c>
      <c r="S177">
        <f t="shared" si="114"/>
        <v>9.0388811417181483E-2</v>
      </c>
      <c r="T177">
        <v>4.7020018543299999E-2</v>
      </c>
      <c r="U177">
        <f t="shared" si="88"/>
        <v>0.7366071428571429</v>
      </c>
      <c r="W177">
        <v>165</v>
      </c>
      <c r="X177" t="e">
        <v>#N/A</v>
      </c>
      <c r="Z177" t="e">
        <f t="shared" si="90"/>
        <v>#N/A</v>
      </c>
      <c r="AB177" t="e">
        <f t="shared" si="121"/>
        <v>#N/A</v>
      </c>
      <c r="AC177" t="e">
        <f t="shared" si="92"/>
        <v>#N/A</v>
      </c>
      <c r="AE177" t="e">
        <v>#N/A</v>
      </c>
      <c r="AF177" t="e">
        <v>#N/A</v>
      </c>
      <c r="AJ177">
        <f t="shared" si="93"/>
        <v>0.7366071428571429</v>
      </c>
      <c r="AK177">
        <v>168.893783125</v>
      </c>
      <c r="AL177">
        <f t="shared" si="94"/>
        <v>1.6050061679999885</v>
      </c>
      <c r="AM177">
        <f t="shared" si="115"/>
        <v>4.4642857142858094E-3</v>
      </c>
      <c r="AO177">
        <v>165</v>
      </c>
      <c r="AP177" t="e">
        <v>#N/A</v>
      </c>
      <c r="AR177" t="e">
        <f t="shared" si="95"/>
        <v>#N/A</v>
      </c>
      <c r="AT177" t="e">
        <f t="shared" si="96"/>
        <v>#N/A</v>
      </c>
      <c r="AU177" t="e">
        <f t="shared" si="97"/>
        <v>#N/A</v>
      </c>
      <c r="AW177" t="e">
        <v>#N/A</v>
      </c>
      <c r="AX177" t="e">
        <v>#N/A</v>
      </c>
      <c r="BB177">
        <f t="shared" si="98"/>
        <v>0.7366071428571429</v>
      </c>
      <c r="BC177">
        <v>652.16143531837076</v>
      </c>
      <c r="BD177">
        <f t="shared" si="99"/>
        <v>0.29550588568520197</v>
      </c>
      <c r="BE177">
        <f t="shared" si="117"/>
        <v>4.4642857142858094E-3</v>
      </c>
      <c r="BF177">
        <v>165</v>
      </c>
      <c r="BG177" t="e">
        <v>#N/A</v>
      </c>
      <c r="BI177" t="e">
        <f t="shared" si="101"/>
        <v>#N/A</v>
      </c>
      <c r="BK177" t="e">
        <f t="shared" si="102"/>
        <v>#N/A</v>
      </c>
      <c r="BL177" t="e">
        <f t="shared" si="103"/>
        <v>#N/A</v>
      </c>
      <c r="BN177" t="e">
        <v>#N/A</v>
      </c>
      <c r="BO177" t="e">
        <v>#N/A</v>
      </c>
      <c r="BS177">
        <f t="shared" si="104"/>
        <v>0.7366071428571429</v>
      </c>
      <c r="BT177">
        <v>0.17914956832502379</v>
      </c>
      <c r="BU177">
        <f t="shared" si="105"/>
        <v>5.6822128386191384E-4</v>
      </c>
      <c r="BV177">
        <f t="shared" si="118"/>
        <v>4.4642857142858094E-3</v>
      </c>
      <c r="BW177">
        <v>165</v>
      </c>
      <c r="BX177" t="e">
        <v>#N/A</v>
      </c>
      <c r="BZ177" t="e">
        <f t="shared" si="107"/>
        <v>#N/A</v>
      </c>
      <c r="CB177" t="e">
        <f t="shared" si="120"/>
        <v>#N/A</v>
      </c>
      <c r="CC177" t="e">
        <f t="shared" si="109"/>
        <v>#N/A</v>
      </c>
      <c r="CE177" t="e">
        <v>#N/A</v>
      </c>
      <c r="CF177" t="e">
        <v>#N/A</v>
      </c>
      <c r="CJ177">
        <f t="shared" si="110"/>
        <v>0.7366071428571429</v>
      </c>
      <c r="CK177">
        <v>6.65256705866E-2</v>
      </c>
      <c r="CL177">
        <f t="shared" si="111"/>
        <v>4.7475870000590614E-7</v>
      </c>
      <c r="CM177">
        <f t="shared" si="119"/>
        <v>4.4642857142858094E-3</v>
      </c>
    </row>
    <row r="178" spans="2:91">
      <c r="B178">
        <v>166</v>
      </c>
      <c r="C178" t="e">
        <f>IF(ISNUMBER(K178),IF('Lab test'!N169&gt;0,'Lab test'!N169,NA()),NA())</f>
        <v>#N/A</v>
      </c>
      <c r="D178" t="e">
        <f>IF(ISNUMBER(K178),IF('Lab test'!Q169&gt;0,'Lab test'!Q169,NA()),NA())</f>
        <v>#N/A</v>
      </c>
      <c r="E178" t="e">
        <f>IF(ISNUMBER(K178),IF('Lab test'!P169&gt;0,'Lab test'!P169,NA()),NA())</f>
        <v>#N/A</v>
      </c>
      <c r="F178" t="e">
        <f>IF(ISNUMBER(K178),IF('Lab test'!AJ169&gt;0,'Lab test'!AJ169,NA()),NA())</f>
        <v>#N/A</v>
      </c>
      <c r="G178">
        <f>IF('Lab test'!V169&gt;0,'Lab test'!V169,NA())</f>
        <v>223390.13629865492</v>
      </c>
      <c r="H178" t="e">
        <f>IF(MAX('Lab test'!W169,'Lab test'!X169)&gt;0,MAX('Lab test'!W169,'Lab test'!X169),NA())</f>
        <v>#N/A</v>
      </c>
      <c r="I178" t="e">
        <f>IF('Lab test'!AU169&gt;0,'Lab test'!AU169,NA())</f>
        <v>#N/A</v>
      </c>
      <c r="J178">
        <f>IF('Lab test'!AT169&gt;0,'Lab test'!AT169,NA())</f>
        <v>0.18675531753105906</v>
      </c>
      <c r="K178" t="e">
        <f t="shared" si="112"/>
        <v>#N/A</v>
      </c>
      <c r="L178" t="str">
        <f>'Lab test'!AC169</f>
        <v>LTWb</v>
      </c>
      <c r="N178">
        <v>166</v>
      </c>
      <c r="O178">
        <v>46.8212512586</v>
      </c>
      <c r="P178">
        <v>9.7765993967699999E-2</v>
      </c>
      <c r="Q178">
        <f t="shared" si="113"/>
        <v>478.91142265754326</v>
      </c>
      <c r="R178">
        <v>108.34953276</v>
      </c>
      <c r="S178">
        <f t="shared" si="114"/>
        <v>0.10574416917598041</v>
      </c>
      <c r="T178">
        <v>1.1017523648899999E-2</v>
      </c>
      <c r="U178">
        <f t="shared" si="88"/>
        <v>0.7410714285714286</v>
      </c>
      <c r="W178">
        <v>166</v>
      </c>
      <c r="X178" t="e">
        <v>#N/A</v>
      </c>
      <c r="Z178" t="e">
        <f t="shared" si="90"/>
        <v>#N/A</v>
      </c>
      <c r="AB178" t="e">
        <f t="shared" si="121"/>
        <v>#N/A</v>
      </c>
      <c r="AC178" t="e">
        <f t="shared" si="92"/>
        <v>#N/A</v>
      </c>
      <c r="AE178" t="e">
        <v>#N/A</v>
      </c>
      <c r="AF178" t="e">
        <v>#N/A</v>
      </c>
      <c r="AJ178">
        <f t="shared" si="93"/>
        <v>0.7410714285714286</v>
      </c>
      <c r="AK178">
        <v>170.49878929299999</v>
      </c>
      <c r="AL178">
        <f t="shared" si="94"/>
        <v>0.38880334500001368</v>
      </c>
      <c r="AM178">
        <f t="shared" si="115"/>
        <v>4.4642857142856984E-3</v>
      </c>
      <c r="AO178">
        <v>166</v>
      </c>
      <c r="AP178" t="e">
        <v>#N/A</v>
      </c>
      <c r="AR178" t="e">
        <f t="shared" si="95"/>
        <v>#N/A</v>
      </c>
      <c r="AT178" t="e">
        <f t="shared" si="96"/>
        <v>#N/A</v>
      </c>
      <c r="AU178" t="e">
        <f t="shared" si="97"/>
        <v>#N/A</v>
      </c>
      <c r="AW178" t="e">
        <v>#N/A</v>
      </c>
      <c r="AX178" t="e">
        <v>#N/A</v>
      </c>
      <c r="BB178">
        <f t="shared" si="98"/>
        <v>0.7410714285714286</v>
      </c>
      <c r="BC178">
        <v>652.45694120405597</v>
      </c>
      <c r="BD178">
        <f t="shared" si="99"/>
        <v>6.7614769918573074</v>
      </c>
      <c r="BE178">
        <f t="shared" si="117"/>
        <v>4.4642857142856984E-3</v>
      </c>
      <c r="BF178">
        <v>166</v>
      </c>
      <c r="BG178" t="e">
        <v>#N/A</v>
      </c>
      <c r="BI178" t="e">
        <f t="shared" si="101"/>
        <v>#N/A</v>
      </c>
      <c r="BK178" t="e">
        <f t="shared" si="102"/>
        <v>#N/A</v>
      </c>
      <c r="BL178" t="e">
        <f t="shared" si="103"/>
        <v>#N/A</v>
      </c>
      <c r="BN178" t="e">
        <v>#N/A</v>
      </c>
      <c r="BO178" t="e">
        <v>#N/A</v>
      </c>
      <c r="BS178">
        <f t="shared" si="104"/>
        <v>0.7410714285714286</v>
      </c>
      <c r="BT178">
        <v>0.17971778960888571</v>
      </c>
      <c r="BU178">
        <f t="shared" si="105"/>
        <v>2.4667995753474559E-4</v>
      </c>
      <c r="BV178">
        <f t="shared" si="118"/>
        <v>4.4642857142856984E-3</v>
      </c>
      <c r="BW178">
        <v>166</v>
      </c>
      <c r="BX178" t="e">
        <v>#N/A</v>
      </c>
      <c r="BZ178" t="e">
        <f t="shared" si="107"/>
        <v>#N/A</v>
      </c>
      <c r="CB178" t="e">
        <f t="shared" si="120"/>
        <v>#N/A</v>
      </c>
      <c r="CC178" t="e">
        <f t="shared" si="109"/>
        <v>#N/A</v>
      </c>
      <c r="CE178" t="e">
        <v>#N/A</v>
      </c>
      <c r="CF178" t="e">
        <v>#N/A</v>
      </c>
      <c r="CJ178">
        <f t="shared" si="110"/>
        <v>0.7410714285714286</v>
      </c>
      <c r="CK178">
        <v>6.6526145345300006E-2</v>
      </c>
      <c r="CL178">
        <f t="shared" si="111"/>
        <v>1.6821922999982197E-6</v>
      </c>
      <c r="CM178">
        <f t="shared" si="119"/>
        <v>4.4642857142856984E-3</v>
      </c>
    </row>
    <row r="179" spans="2:91">
      <c r="B179">
        <v>167</v>
      </c>
      <c r="C179" t="e">
        <f>IF(ISNUMBER(K179),IF('Lab test'!N170&gt;0,'Lab test'!N170,NA()),NA())</f>
        <v>#N/A</v>
      </c>
      <c r="D179" t="e">
        <f>IF(ISNUMBER(K179),IF('Lab test'!Q170&gt;0,'Lab test'!Q170,NA()),NA())</f>
        <v>#N/A</v>
      </c>
      <c r="E179" t="e">
        <f>IF(ISNUMBER(K179),IF('Lab test'!P170&gt;0,'Lab test'!P170,NA()),NA())</f>
        <v>#N/A</v>
      </c>
      <c r="F179" t="e">
        <f>IF(ISNUMBER(K179),IF('Lab test'!AJ170&gt;0,'Lab test'!AJ170,NA()),NA())</f>
        <v>#N/A</v>
      </c>
      <c r="G179">
        <f>IF('Lab test'!V170&gt;0,'Lab test'!V170,NA())</f>
        <v>223390.13629865492</v>
      </c>
      <c r="H179" t="e">
        <f>IF(MAX('Lab test'!W170,'Lab test'!X170)&gt;0,MAX('Lab test'!W170,'Lab test'!X170),NA())</f>
        <v>#N/A</v>
      </c>
      <c r="I179" t="e">
        <f>IF('Lab test'!AU170&gt;0,'Lab test'!AU170,NA())</f>
        <v>#N/A</v>
      </c>
      <c r="J179">
        <f>IF('Lab test'!AT170&gt;0,'Lab test'!AT170,NA())</f>
        <v>0.22307975292688204</v>
      </c>
      <c r="K179" t="e">
        <f t="shared" si="112"/>
        <v>#N/A</v>
      </c>
      <c r="L179" t="str">
        <f>'Lab test'!AC170</f>
        <v>LTWb</v>
      </c>
      <c r="N179">
        <v>167</v>
      </c>
      <c r="O179">
        <v>47.906257291199999</v>
      </c>
      <c r="P179">
        <v>0.110957394143</v>
      </c>
      <c r="Q179">
        <f t="shared" si="113"/>
        <v>431.75362634651668</v>
      </c>
      <c r="R179">
        <v>37.933429824800001</v>
      </c>
      <c r="S179">
        <f t="shared" si="114"/>
        <v>3.8107624086041895E-2</v>
      </c>
      <c r="T179">
        <v>4.2613044367899998E-2</v>
      </c>
      <c r="U179">
        <f t="shared" si="88"/>
        <v>0.7455357142857143</v>
      </c>
      <c r="W179">
        <v>167</v>
      </c>
      <c r="X179" t="e">
        <v>#N/A</v>
      </c>
      <c r="Z179" t="e">
        <f t="shared" si="90"/>
        <v>#N/A</v>
      </c>
      <c r="AB179" t="e">
        <f t="shared" si="121"/>
        <v>#N/A</v>
      </c>
      <c r="AC179" t="e">
        <f t="shared" si="92"/>
        <v>#N/A</v>
      </c>
      <c r="AE179" t="e">
        <v>#N/A</v>
      </c>
      <c r="AF179" t="e">
        <v>#N/A</v>
      </c>
      <c r="AJ179">
        <f t="shared" si="93"/>
        <v>0.7455357142857143</v>
      </c>
      <c r="AK179">
        <v>170.887592638</v>
      </c>
      <c r="AL179">
        <f t="shared" si="94"/>
        <v>1.2283551499999987</v>
      </c>
      <c r="AM179">
        <f t="shared" si="115"/>
        <v>4.4642857142856984E-3</v>
      </c>
      <c r="AO179">
        <v>167</v>
      </c>
      <c r="AP179" t="e">
        <v>#N/A</v>
      </c>
      <c r="AR179" t="e">
        <f t="shared" si="95"/>
        <v>#N/A</v>
      </c>
      <c r="AT179" t="e">
        <f t="shared" si="96"/>
        <v>#N/A</v>
      </c>
      <c r="AU179" t="e">
        <f t="shared" si="97"/>
        <v>#N/A</v>
      </c>
      <c r="AW179" t="e">
        <v>#N/A</v>
      </c>
      <c r="AX179" t="e">
        <v>#N/A</v>
      </c>
      <c r="BB179">
        <f t="shared" si="98"/>
        <v>0.7455357142857143</v>
      </c>
      <c r="BC179">
        <v>659.21841819591327</v>
      </c>
      <c r="BD179">
        <f t="shared" si="99"/>
        <v>1.2138010527620509</v>
      </c>
      <c r="BE179">
        <f t="shared" si="117"/>
        <v>4.4642857142856984E-3</v>
      </c>
      <c r="BF179">
        <v>167</v>
      </c>
      <c r="BG179" t="e">
        <v>#N/A</v>
      </c>
      <c r="BI179" t="e">
        <f t="shared" si="101"/>
        <v>#N/A</v>
      </c>
      <c r="BK179" t="e">
        <f t="shared" si="102"/>
        <v>#N/A</v>
      </c>
      <c r="BL179" t="e">
        <f t="shared" si="103"/>
        <v>#N/A</v>
      </c>
      <c r="BN179" t="e">
        <v>#N/A</v>
      </c>
      <c r="BO179" t="e">
        <v>#N/A</v>
      </c>
      <c r="BS179">
        <f t="shared" si="104"/>
        <v>0.7455357142857143</v>
      </c>
      <c r="BT179">
        <v>0.17996446956642045</v>
      </c>
      <c r="BU179">
        <f t="shared" si="105"/>
        <v>1.1926123965411151E-4</v>
      </c>
      <c r="BV179">
        <f t="shared" si="118"/>
        <v>4.4642857142856984E-3</v>
      </c>
      <c r="BW179">
        <v>167</v>
      </c>
      <c r="BX179" t="e">
        <v>#N/A</v>
      </c>
      <c r="BZ179" t="e">
        <f t="shared" si="107"/>
        <v>#N/A</v>
      </c>
      <c r="CB179" t="e">
        <f t="shared" si="120"/>
        <v>#N/A</v>
      </c>
      <c r="CC179" t="e">
        <f t="shared" si="109"/>
        <v>#N/A</v>
      </c>
      <c r="CE179" t="e">
        <v>#N/A</v>
      </c>
      <c r="CF179" t="e">
        <v>#N/A</v>
      </c>
      <c r="CJ179">
        <f t="shared" si="110"/>
        <v>0.7455357142857143</v>
      </c>
      <c r="CK179">
        <v>6.6527827537600004E-2</v>
      </c>
      <c r="CL179">
        <f t="shared" si="111"/>
        <v>5.3622960000110353E-7</v>
      </c>
      <c r="CM179">
        <f t="shared" si="119"/>
        <v>4.4642857142856984E-3</v>
      </c>
    </row>
    <row r="180" spans="2:91">
      <c r="B180">
        <v>168</v>
      </c>
      <c r="C180" t="e">
        <f>IF(ISNUMBER(K180),IF('Lab test'!N171&gt;0,'Lab test'!N171,NA()),NA())</f>
        <v>#N/A</v>
      </c>
      <c r="D180" t="e">
        <f>IF(ISNUMBER(K180),IF('Lab test'!Q171&gt;0,'Lab test'!Q171,NA()),NA())</f>
        <v>#N/A</v>
      </c>
      <c r="E180" t="e">
        <f>IF(ISNUMBER(K180),IF('Lab test'!P171&gt;0,'Lab test'!P171,NA()),NA())</f>
        <v>#N/A</v>
      </c>
      <c r="F180" t="e">
        <f>IF(ISNUMBER(K180),IF('Lab test'!AJ171&gt;0,'Lab test'!AJ171,NA()),NA())</f>
        <v>#N/A</v>
      </c>
      <c r="G180">
        <f>IF('Lab test'!V171&gt;0,'Lab test'!V171,NA())</f>
        <v>223390.13629865492</v>
      </c>
      <c r="H180" t="e">
        <f>IF(MAX('Lab test'!W171,'Lab test'!X171)&gt;0,MAX('Lab test'!W171,'Lab test'!X171),NA())</f>
        <v>#N/A</v>
      </c>
      <c r="I180" t="e">
        <f>IF('Lab test'!AU171&gt;0,'Lab test'!AU171,NA())</f>
        <v>#N/A</v>
      </c>
      <c r="J180">
        <f>IF('Lab test'!AT171&gt;0,'Lab test'!AT171,NA())</f>
        <v>0.28273292921091303</v>
      </c>
      <c r="K180" t="e">
        <f t="shared" si="112"/>
        <v>#N/A</v>
      </c>
      <c r="L180" t="str">
        <f>'Lab test'!AC171</f>
        <v>LTWb</v>
      </c>
      <c r="N180">
        <v>168</v>
      </c>
      <c r="O180">
        <v>49.009370588099998</v>
      </c>
      <c r="P180">
        <v>6.2699651127100006E-2</v>
      </c>
      <c r="Q180">
        <f t="shared" si="113"/>
        <v>781.65300296092391</v>
      </c>
      <c r="R180">
        <v>135.63420134699999</v>
      </c>
      <c r="S180">
        <f t="shared" si="114"/>
        <v>9.89881229534261E-2</v>
      </c>
      <c r="T180">
        <v>5.8073327351499997E-2</v>
      </c>
      <c r="U180">
        <f t="shared" si="88"/>
        <v>0.75</v>
      </c>
      <c r="W180">
        <v>168</v>
      </c>
      <c r="X180" t="e">
        <v>#N/A</v>
      </c>
      <c r="Z180" t="e">
        <f t="shared" si="90"/>
        <v>#N/A</v>
      </c>
      <c r="AB180" t="e">
        <f t="shared" si="121"/>
        <v>#N/A</v>
      </c>
      <c r="AC180" t="e">
        <f t="shared" si="92"/>
        <v>#N/A</v>
      </c>
      <c r="AE180" t="e">
        <v>#N/A</v>
      </c>
      <c r="AF180" t="e">
        <v>#N/A</v>
      </c>
      <c r="AJ180">
        <f t="shared" si="93"/>
        <v>0.75</v>
      </c>
      <c r="AK180">
        <v>172.115947788</v>
      </c>
      <c r="AL180">
        <f t="shared" si="94"/>
        <v>1.0441908459999922</v>
      </c>
      <c r="AM180">
        <f t="shared" si="115"/>
        <v>4.4642857142856984E-3</v>
      </c>
      <c r="AO180">
        <v>168</v>
      </c>
      <c r="AP180" t="e">
        <v>#N/A</v>
      </c>
      <c r="AR180" t="e">
        <f t="shared" si="95"/>
        <v>#N/A</v>
      </c>
      <c r="AT180" t="e">
        <f t="shared" si="96"/>
        <v>#N/A</v>
      </c>
      <c r="AU180" t="e">
        <f t="shared" si="97"/>
        <v>#N/A</v>
      </c>
      <c r="AW180" t="e">
        <v>#N/A</v>
      </c>
      <c r="AX180" t="e">
        <v>#N/A</v>
      </c>
      <c r="BB180">
        <f t="shared" si="98"/>
        <v>0.75</v>
      </c>
      <c r="BC180">
        <v>660.43221924867532</v>
      </c>
      <c r="BD180">
        <f t="shared" si="99"/>
        <v>7.4951992904971121E-2</v>
      </c>
      <c r="BE180">
        <f t="shared" si="117"/>
        <v>4.4642857142856984E-3</v>
      </c>
      <c r="BF180">
        <v>168</v>
      </c>
      <c r="BG180" t="e">
        <v>#N/A</v>
      </c>
      <c r="BI180" t="e">
        <f t="shared" si="101"/>
        <v>#N/A</v>
      </c>
      <c r="BK180" t="e">
        <f t="shared" si="102"/>
        <v>#N/A</v>
      </c>
      <c r="BL180" t="e">
        <f t="shared" si="103"/>
        <v>#N/A</v>
      </c>
      <c r="BN180" t="e">
        <v>#N/A</v>
      </c>
      <c r="BO180" t="e">
        <v>#N/A</v>
      </c>
      <c r="BS180">
        <f t="shared" si="104"/>
        <v>0.75</v>
      </c>
      <c r="BT180">
        <v>0.18008373080607457</v>
      </c>
      <c r="BU180">
        <f t="shared" si="105"/>
        <v>3.8087850517147248E-3</v>
      </c>
      <c r="BV180">
        <f t="shared" si="118"/>
        <v>4.4642857142856984E-3</v>
      </c>
      <c r="BW180">
        <v>168</v>
      </c>
      <c r="BX180" t="e">
        <v>#N/A</v>
      </c>
      <c r="BZ180" t="e">
        <f t="shared" si="107"/>
        <v>#N/A</v>
      </c>
      <c r="CB180" t="e">
        <f t="shared" si="120"/>
        <v>#N/A</v>
      </c>
      <c r="CC180" t="e">
        <f t="shared" si="109"/>
        <v>#N/A</v>
      </c>
      <c r="CE180" t="e">
        <v>#N/A</v>
      </c>
      <c r="CF180" t="e">
        <v>#N/A</v>
      </c>
      <c r="CJ180">
        <f t="shared" si="110"/>
        <v>0.75</v>
      </c>
      <c r="CK180">
        <v>6.6528363767200005E-2</v>
      </c>
      <c r="CL180">
        <f t="shared" si="111"/>
        <v>4.2683855999980924E-6</v>
      </c>
      <c r="CM180">
        <f t="shared" si="119"/>
        <v>4.4642857142856984E-3</v>
      </c>
    </row>
    <row r="181" spans="2:91">
      <c r="B181">
        <v>169</v>
      </c>
      <c r="C181" t="e">
        <f>IF(ISNUMBER(K181),IF('Lab test'!N172&gt;0,'Lab test'!N172,NA()),NA())</f>
        <v>#N/A</v>
      </c>
      <c r="D181" t="e">
        <f>IF(ISNUMBER(K181),IF('Lab test'!Q172&gt;0,'Lab test'!Q172,NA()),NA())</f>
        <v>#N/A</v>
      </c>
      <c r="E181" t="e">
        <f>IF(ISNUMBER(K181),IF('Lab test'!P172&gt;0,'Lab test'!P172,NA()),NA())</f>
        <v>#N/A</v>
      </c>
      <c r="F181" t="e">
        <f>IF(ISNUMBER(K181),IF('Lab test'!AJ172&gt;0,'Lab test'!AJ172,NA()),NA())</f>
        <v>#N/A</v>
      </c>
      <c r="G181">
        <f>IF('Lab test'!V172&gt;0,'Lab test'!V172,NA())</f>
        <v>223390.13629865492</v>
      </c>
      <c r="H181" t="e">
        <f>IF(MAX('Lab test'!W172,'Lab test'!X172)&gt;0,MAX('Lab test'!W172,'Lab test'!X172),NA())</f>
        <v>#N/A</v>
      </c>
      <c r="I181" t="e">
        <f>IF('Lab test'!AU172&gt;0,'Lab test'!AU172,NA())</f>
        <v>#N/A</v>
      </c>
      <c r="J181">
        <f>IF('Lab test'!AT172&gt;0,'Lab test'!AT172,NA())</f>
        <v>0.30177159481585053</v>
      </c>
      <c r="K181" t="e">
        <f t="shared" si="112"/>
        <v>#N/A</v>
      </c>
      <c r="L181" t="str">
        <f>'Lab test'!AC172</f>
        <v>LTWb</v>
      </c>
      <c r="N181">
        <v>169</v>
      </c>
      <c r="O181">
        <v>49.431143813200002</v>
      </c>
      <c r="P181">
        <v>0.18663735618999999</v>
      </c>
      <c r="Q181">
        <f t="shared" si="113"/>
        <v>264.85128605700061</v>
      </c>
      <c r="R181">
        <v>46.397939546300002</v>
      </c>
      <c r="S181">
        <f t="shared" si="114"/>
        <v>5.7676246822437265E-2</v>
      </c>
      <c r="T181">
        <v>6.6609532983900002E-2</v>
      </c>
      <c r="U181">
        <f t="shared" si="88"/>
        <v>0.7544642857142857</v>
      </c>
      <c r="W181">
        <v>169</v>
      </c>
      <c r="X181" t="e">
        <v>#N/A</v>
      </c>
      <c r="Z181" t="e">
        <f t="shared" si="90"/>
        <v>#N/A</v>
      </c>
      <c r="AB181" t="e">
        <f t="shared" si="121"/>
        <v>#N/A</v>
      </c>
      <c r="AC181" t="e">
        <f t="shared" si="92"/>
        <v>#N/A</v>
      </c>
      <c r="AE181" t="e">
        <v>#N/A</v>
      </c>
      <c r="AF181" t="e">
        <v>#N/A</v>
      </c>
      <c r="AJ181">
        <f t="shared" si="93"/>
        <v>0.7544642857142857</v>
      </c>
      <c r="AK181">
        <v>173.16013863399999</v>
      </c>
      <c r="AL181">
        <f t="shared" si="94"/>
        <v>1.9922499010000081</v>
      </c>
      <c r="AM181">
        <f t="shared" si="115"/>
        <v>4.4642857142856984E-3</v>
      </c>
      <c r="AO181">
        <v>169</v>
      </c>
      <c r="AP181" t="e">
        <v>#N/A</v>
      </c>
      <c r="AR181" t="e">
        <f t="shared" si="95"/>
        <v>#N/A</v>
      </c>
      <c r="AT181" t="e">
        <f t="shared" si="96"/>
        <v>#N/A</v>
      </c>
      <c r="AU181" t="e">
        <f t="shared" si="97"/>
        <v>#N/A</v>
      </c>
      <c r="AW181" t="e">
        <v>#N/A</v>
      </c>
      <c r="AX181" t="e">
        <v>#N/A</v>
      </c>
      <c r="BB181">
        <f t="shared" si="98"/>
        <v>0.7544642857142857</v>
      </c>
      <c r="BC181">
        <v>660.50717124158029</v>
      </c>
      <c r="BD181">
        <f t="shared" si="99"/>
        <v>1.707944742748623</v>
      </c>
      <c r="BE181">
        <f t="shared" si="117"/>
        <v>4.4642857142856984E-3</v>
      </c>
      <c r="BF181">
        <v>169</v>
      </c>
      <c r="BG181" t="e">
        <v>#N/A</v>
      </c>
      <c r="BI181" t="e">
        <f t="shared" si="101"/>
        <v>#N/A</v>
      </c>
      <c r="BK181" t="e">
        <f t="shared" si="102"/>
        <v>#N/A</v>
      </c>
      <c r="BL181" t="e">
        <f t="shared" si="103"/>
        <v>#N/A</v>
      </c>
      <c r="BN181" t="e">
        <v>#N/A</v>
      </c>
      <c r="BO181" t="e">
        <v>#N/A</v>
      </c>
      <c r="BS181">
        <f t="shared" si="104"/>
        <v>0.7544642857142857</v>
      </c>
      <c r="BT181">
        <v>0.18389251585778929</v>
      </c>
      <c r="BU181">
        <f t="shared" si="105"/>
        <v>8.7962904491531435E-4</v>
      </c>
      <c r="BV181">
        <f t="shared" si="118"/>
        <v>4.4642857142856984E-3</v>
      </c>
      <c r="BW181">
        <v>169</v>
      </c>
      <c r="BX181" t="e">
        <v>#N/A</v>
      </c>
      <c r="BZ181" t="e">
        <f t="shared" si="107"/>
        <v>#N/A</v>
      </c>
      <c r="CB181" t="e">
        <f t="shared" si="120"/>
        <v>#N/A</v>
      </c>
      <c r="CC181" t="e">
        <f t="shared" si="109"/>
        <v>#N/A</v>
      </c>
      <c r="CE181" t="e">
        <v>#N/A</v>
      </c>
      <c r="CF181" t="e">
        <v>#N/A</v>
      </c>
      <c r="CJ181">
        <f t="shared" si="110"/>
        <v>0.7544642857142857</v>
      </c>
      <c r="CK181">
        <v>6.6532632152800003E-2</v>
      </c>
      <c r="CL181">
        <f t="shared" si="111"/>
        <v>4.6320124999915668E-6</v>
      </c>
      <c r="CM181">
        <f t="shared" si="119"/>
        <v>4.4642857142856984E-3</v>
      </c>
    </row>
    <row r="182" spans="2:91">
      <c r="B182">
        <v>170</v>
      </c>
      <c r="C182" t="e">
        <f>IF(ISNUMBER(K182),IF('Lab test'!N173&gt;0,'Lab test'!N173,NA()),NA())</f>
        <v>#N/A</v>
      </c>
      <c r="D182" t="e">
        <f>IF(ISNUMBER(K182),IF('Lab test'!Q173&gt;0,'Lab test'!Q173,NA()),NA())</f>
        <v>#N/A</v>
      </c>
      <c r="E182" t="e">
        <f>IF(ISNUMBER(K182),IF('Lab test'!P173&gt;0,'Lab test'!P173,NA()),NA())</f>
        <v>#N/A</v>
      </c>
      <c r="F182" t="e">
        <f>IF(ISNUMBER(K182),IF('Lab test'!AJ173&gt;0,'Lab test'!AJ173,NA()),NA())</f>
        <v>#N/A</v>
      </c>
      <c r="G182">
        <f>IF('Lab test'!V173&gt;0,'Lab test'!V173,NA())</f>
        <v>223390.13629865492</v>
      </c>
      <c r="H182" t="e">
        <f>IF(MAX('Lab test'!W173,'Lab test'!X173)&gt;0,MAX('Lab test'!W173,'Lab test'!X173),NA())</f>
        <v>#N/A</v>
      </c>
      <c r="I182" t="e">
        <f>IF('Lab test'!AU173&gt;0,'Lab test'!AU173,NA())</f>
        <v>#N/A</v>
      </c>
      <c r="J182">
        <f>IF('Lab test'!AT173&gt;0,'Lab test'!AT173,NA())</f>
        <v>0.33772528047119454</v>
      </c>
      <c r="K182" t="e">
        <f t="shared" si="112"/>
        <v>#N/A</v>
      </c>
      <c r="L182" t="str">
        <f>'Lab test'!AC173</f>
        <v>LTWb</v>
      </c>
      <c r="N182">
        <v>170</v>
      </c>
      <c r="O182">
        <v>49.8117435192</v>
      </c>
      <c r="P182">
        <v>0.40052702467200002</v>
      </c>
      <c r="Q182">
        <f t="shared" si="113"/>
        <v>124.36549958143743</v>
      </c>
      <c r="R182">
        <v>166.05432014199999</v>
      </c>
      <c r="S182">
        <f t="shared" si="114"/>
        <v>0.29892929386829131</v>
      </c>
      <c r="T182">
        <v>1.11444918504E-2</v>
      </c>
      <c r="U182">
        <f t="shared" si="88"/>
        <v>0.7589285714285714</v>
      </c>
      <c r="W182">
        <v>170</v>
      </c>
      <c r="X182" t="e">
        <v>#N/A</v>
      </c>
      <c r="Z182" t="e">
        <f t="shared" si="90"/>
        <v>#N/A</v>
      </c>
      <c r="AB182" t="e">
        <f t="shared" si="121"/>
        <v>#N/A</v>
      </c>
      <c r="AC182" t="e">
        <f t="shared" si="92"/>
        <v>#N/A</v>
      </c>
      <c r="AE182" t="e">
        <v>#N/A</v>
      </c>
      <c r="AF182" t="e">
        <v>#N/A</v>
      </c>
      <c r="AJ182">
        <f t="shared" si="93"/>
        <v>0.7589285714285714</v>
      </c>
      <c r="AK182">
        <v>175.152388535</v>
      </c>
      <c r="AL182">
        <f t="shared" si="94"/>
        <v>0.47663623899998697</v>
      </c>
      <c r="AM182">
        <f t="shared" si="115"/>
        <v>4.4642857142856984E-3</v>
      </c>
      <c r="AO182">
        <v>170</v>
      </c>
      <c r="AP182" t="e">
        <v>#N/A</v>
      </c>
      <c r="AR182" t="e">
        <f t="shared" si="95"/>
        <v>#N/A</v>
      </c>
      <c r="AT182" t="e">
        <f t="shared" si="96"/>
        <v>#N/A</v>
      </c>
      <c r="AU182" t="e">
        <f t="shared" si="97"/>
        <v>#N/A</v>
      </c>
      <c r="AW182" t="e">
        <v>#N/A</v>
      </c>
      <c r="AX182" t="e">
        <v>#N/A</v>
      </c>
      <c r="BB182">
        <f t="shared" si="98"/>
        <v>0.7589285714285714</v>
      </c>
      <c r="BC182">
        <v>662.21511598432892</v>
      </c>
      <c r="BD182">
        <f t="shared" si="99"/>
        <v>0.16862999716818194</v>
      </c>
      <c r="BE182">
        <f t="shared" si="117"/>
        <v>4.4642857142856984E-3</v>
      </c>
      <c r="BF182">
        <v>170</v>
      </c>
      <c r="BG182" t="e">
        <v>#N/A</v>
      </c>
      <c r="BI182" t="e">
        <f t="shared" si="101"/>
        <v>#N/A</v>
      </c>
      <c r="BK182" t="e">
        <f t="shared" si="102"/>
        <v>#N/A</v>
      </c>
      <c r="BL182" t="e">
        <f t="shared" si="103"/>
        <v>#N/A</v>
      </c>
      <c r="BN182" t="e">
        <v>#N/A</v>
      </c>
      <c r="BO182" t="e">
        <v>#N/A</v>
      </c>
      <c r="BS182">
        <f t="shared" si="104"/>
        <v>0.7589285714285714</v>
      </c>
      <c r="BT182">
        <v>0.1847721449027046</v>
      </c>
      <c r="BU182">
        <f t="shared" si="105"/>
        <v>3.7524140547824936E-3</v>
      </c>
      <c r="BV182">
        <f t="shared" si="118"/>
        <v>4.4642857142856984E-3</v>
      </c>
      <c r="BW182">
        <v>170</v>
      </c>
      <c r="BX182" t="e">
        <v>#N/A</v>
      </c>
      <c r="BZ182" t="e">
        <f t="shared" si="107"/>
        <v>#N/A</v>
      </c>
      <c r="CB182" t="e">
        <f t="shared" si="120"/>
        <v>#N/A</v>
      </c>
      <c r="CC182" t="e">
        <f t="shared" si="109"/>
        <v>#N/A</v>
      </c>
      <c r="CE182" t="e">
        <v>#N/A</v>
      </c>
      <c r="CF182" t="e">
        <v>#N/A</v>
      </c>
      <c r="CJ182">
        <f t="shared" si="110"/>
        <v>0.7589285714285714</v>
      </c>
      <c r="CK182">
        <v>6.6537264165299995E-2</v>
      </c>
      <c r="CL182">
        <f t="shared" si="111"/>
        <v>5.0309430001116429E-7</v>
      </c>
      <c r="CM182">
        <f t="shared" si="119"/>
        <v>4.4642857142856984E-3</v>
      </c>
    </row>
    <row r="183" spans="2:91">
      <c r="B183">
        <v>171</v>
      </c>
      <c r="C183" t="e">
        <f>IF(ISNUMBER(K183),IF('Lab test'!N174&gt;0,'Lab test'!N174,NA()),NA())</f>
        <v>#N/A</v>
      </c>
      <c r="D183" t="e">
        <f>IF(ISNUMBER(K183),IF('Lab test'!Q174&gt;0,'Lab test'!Q174,NA()),NA())</f>
        <v>#N/A</v>
      </c>
      <c r="E183" t="e">
        <f>IF(ISNUMBER(K183),IF('Lab test'!P174&gt;0,'Lab test'!P174,NA()),NA())</f>
        <v>#N/A</v>
      </c>
      <c r="F183" t="e">
        <f>IF(ISNUMBER(K183),IF('Lab test'!AJ174&gt;0,'Lab test'!AJ174,NA()),NA())</f>
        <v>#N/A</v>
      </c>
      <c r="G183">
        <f>IF('Lab test'!V174&gt;0,'Lab test'!V174,NA())</f>
        <v>223390.13629865492</v>
      </c>
      <c r="H183" t="e">
        <f>IF(MAX('Lab test'!W174,'Lab test'!X174)&gt;0,MAX('Lab test'!W174,'Lab test'!X174),NA())</f>
        <v>#N/A</v>
      </c>
      <c r="I183" t="e">
        <f>IF('Lab test'!AU174&gt;0,'Lab test'!AU174,NA())</f>
        <v>#N/A</v>
      </c>
      <c r="J183">
        <f>IF('Lab test'!AT174&gt;0,'Lab test'!AT174,NA())</f>
        <v>0.39866208841663964</v>
      </c>
      <c r="K183" t="e">
        <f t="shared" si="112"/>
        <v>#N/A</v>
      </c>
      <c r="L183" t="str">
        <f>'Lab test'!AC174</f>
        <v>LTWb</v>
      </c>
      <c r="N183">
        <v>171</v>
      </c>
      <c r="O183">
        <v>50.552202328299998</v>
      </c>
      <c r="P183">
        <v>0.10638531341099999</v>
      </c>
      <c r="Q183">
        <f t="shared" si="113"/>
        <v>475.18027354961026</v>
      </c>
      <c r="R183">
        <v>93.260603251500001</v>
      </c>
      <c r="S183">
        <f t="shared" si="114"/>
        <v>8.4630895869121897E-2</v>
      </c>
      <c r="T183">
        <v>5.1266316633900001E-2</v>
      </c>
      <c r="U183">
        <f t="shared" si="88"/>
        <v>0.7633928571428571</v>
      </c>
      <c r="W183">
        <v>171</v>
      </c>
      <c r="X183" t="e">
        <v>#N/A</v>
      </c>
      <c r="Z183" t="e">
        <f t="shared" si="90"/>
        <v>#N/A</v>
      </c>
      <c r="AB183" t="e">
        <f t="shared" si="121"/>
        <v>#N/A</v>
      </c>
      <c r="AC183" t="e">
        <f t="shared" si="92"/>
        <v>#N/A</v>
      </c>
      <c r="AE183" t="e">
        <v>#N/A</v>
      </c>
      <c r="AF183" t="e">
        <v>#N/A</v>
      </c>
      <c r="AJ183">
        <f t="shared" si="93"/>
        <v>0.7633928571428571</v>
      </c>
      <c r="AK183">
        <v>175.62902477399999</v>
      </c>
      <c r="AL183">
        <f t="shared" si="94"/>
        <v>7.8197481000017888E-2</v>
      </c>
      <c r="AM183">
        <f t="shared" si="115"/>
        <v>4.4642857142856984E-3</v>
      </c>
      <c r="AO183">
        <v>171</v>
      </c>
      <c r="AP183" t="e">
        <v>#N/A</v>
      </c>
      <c r="AR183" t="e">
        <f t="shared" si="95"/>
        <v>#N/A</v>
      </c>
      <c r="AT183" t="e">
        <f t="shared" si="96"/>
        <v>#N/A</v>
      </c>
      <c r="AU183" t="e">
        <f t="shared" si="97"/>
        <v>#N/A</v>
      </c>
      <c r="AW183" t="e">
        <v>#N/A</v>
      </c>
      <c r="AX183" t="e">
        <v>#N/A</v>
      </c>
      <c r="BB183">
        <f t="shared" si="98"/>
        <v>0.7633928571428571</v>
      </c>
      <c r="BC183">
        <v>662.3837459814971</v>
      </c>
      <c r="BD183">
        <f t="shared" si="99"/>
        <v>3.7681392737961232</v>
      </c>
      <c r="BE183">
        <f t="shared" si="117"/>
        <v>4.4642857142856984E-3</v>
      </c>
      <c r="BF183">
        <v>171</v>
      </c>
      <c r="BG183" t="e">
        <v>#N/A</v>
      </c>
      <c r="BI183" t="e">
        <f t="shared" si="101"/>
        <v>#N/A</v>
      </c>
      <c r="BK183" t="e">
        <f t="shared" si="102"/>
        <v>#N/A</v>
      </c>
      <c r="BL183" t="e">
        <f t="shared" si="103"/>
        <v>#N/A</v>
      </c>
      <c r="BN183" t="e">
        <v>#N/A</v>
      </c>
      <c r="BO183" t="e">
        <v>#N/A</v>
      </c>
      <c r="BS183">
        <f t="shared" si="104"/>
        <v>0.7633928571428571</v>
      </c>
      <c r="BT183">
        <v>0.1885245589574871</v>
      </c>
      <c r="BU183">
        <f t="shared" si="105"/>
        <v>4.7671366684212679E-4</v>
      </c>
      <c r="BV183">
        <f t="shared" si="118"/>
        <v>4.4642857142856984E-3</v>
      </c>
      <c r="BW183">
        <v>171</v>
      </c>
      <c r="BX183" t="e">
        <v>#N/A</v>
      </c>
      <c r="BZ183" t="e">
        <f t="shared" si="107"/>
        <v>#N/A</v>
      </c>
      <c r="CB183" t="e">
        <f t="shared" si="120"/>
        <v>#N/A</v>
      </c>
      <c r="CC183" t="e">
        <f t="shared" si="109"/>
        <v>#N/A</v>
      </c>
      <c r="CE183" t="e">
        <v>#N/A</v>
      </c>
      <c r="CF183" t="e">
        <v>#N/A</v>
      </c>
      <c r="CJ183">
        <f t="shared" si="110"/>
        <v>0.7633928571428571</v>
      </c>
      <c r="CK183">
        <v>6.6537767259600006E-2</v>
      </c>
      <c r="CL183">
        <f t="shared" si="111"/>
        <v>2.721309399988936E-6</v>
      </c>
      <c r="CM183">
        <f t="shared" si="119"/>
        <v>4.4642857142856984E-3</v>
      </c>
    </row>
    <row r="184" spans="2:91">
      <c r="B184">
        <v>172</v>
      </c>
      <c r="C184" t="e">
        <f>IF(ISNUMBER(K184),IF('Lab test'!N175&gt;0,'Lab test'!N175,NA()),NA())</f>
        <v>#N/A</v>
      </c>
      <c r="D184" t="e">
        <f>IF(ISNUMBER(K184),IF('Lab test'!Q175&gt;0,'Lab test'!Q175,NA()),NA())</f>
        <v>#N/A</v>
      </c>
      <c r="E184" t="e">
        <f>IF(ISNUMBER(K184),IF('Lab test'!P175&gt;0,'Lab test'!P175,NA()),NA())</f>
        <v>#N/A</v>
      </c>
      <c r="F184" t="e">
        <f>IF(ISNUMBER(K184),IF('Lab test'!AJ175&gt;0,'Lab test'!AJ175,NA()),NA())</f>
        <v>#N/A</v>
      </c>
      <c r="G184">
        <f>IF('Lab test'!V175&gt;0,'Lab test'!V175,NA())</f>
        <v>223390.13629865492</v>
      </c>
      <c r="H184" t="e">
        <f>IF(MAX('Lab test'!W175,'Lab test'!X175)&gt;0,MAX('Lab test'!W175,'Lab test'!X175),NA())</f>
        <v>#N/A</v>
      </c>
      <c r="I184" t="e">
        <f>IF('Lab test'!AU175&gt;0,'Lab test'!AU175,NA())</f>
        <v>#N/A</v>
      </c>
      <c r="J184">
        <f>IF('Lab test'!AT175&gt;0,'Lab test'!AT175,NA())</f>
        <v>0.57902592908259642</v>
      </c>
      <c r="K184" t="e">
        <f t="shared" si="112"/>
        <v>#N/A</v>
      </c>
      <c r="L184" t="str">
        <f>'Lab test'!AC175</f>
        <v>LTWb</v>
      </c>
      <c r="N184">
        <v>172</v>
      </c>
      <c r="O184">
        <v>51.183756598199999</v>
      </c>
      <c r="P184">
        <v>0.11879843496</v>
      </c>
      <c r="Q184">
        <f t="shared" si="113"/>
        <v>430.84537784890694</v>
      </c>
      <c r="R184">
        <v>116.55323295300001</v>
      </c>
      <c r="S184">
        <f t="shared" si="114"/>
        <v>0.10970626964068028</v>
      </c>
      <c r="T184">
        <v>6.6553162782499994E-2</v>
      </c>
      <c r="U184">
        <f t="shared" si="88"/>
        <v>0.7678571428571429</v>
      </c>
      <c r="W184">
        <v>172</v>
      </c>
      <c r="X184" t="e">
        <v>#N/A</v>
      </c>
      <c r="Z184" t="e">
        <f t="shared" si="90"/>
        <v>#N/A</v>
      </c>
      <c r="AB184" t="e">
        <f t="shared" si="121"/>
        <v>#N/A</v>
      </c>
      <c r="AC184" t="e">
        <f t="shared" si="92"/>
        <v>#N/A</v>
      </c>
      <c r="AE184" t="e">
        <v>#N/A</v>
      </c>
      <c r="AF184" t="e">
        <v>#N/A</v>
      </c>
      <c r="AJ184">
        <f t="shared" si="93"/>
        <v>0.7678571428571429</v>
      </c>
      <c r="AK184">
        <v>175.707222255</v>
      </c>
      <c r="AL184">
        <f t="shared" si="94"/>
        <v>0.31418504699999517</v>
      </c>
      <c r="AM184">
        <f t="shared" si="115"/>
        <v>4.4642857142858094E-3</v>
      </c>
      <c r="AO184">
        <v>172</v>
      </c>
      <c r="AP184" t="e">
        <v>#N/A</v>
      </c>
      <c r="AR184" t="e">
        <f t="shared" si="95"/>
        <v>#N/A</v>
      </c>
      <c r="AT184" t="e">
        <f t="shared" si="96"/>
        <v>#N/A</v>
      </c>
      <c r="AU184" t="e">
        <f t="shared" si="97"/>
        <v>#N/A</v>
      </c>
      <c r="AW184" t="e">
        <v>#N/A</v>
      </c>
      <c r="AX184" t="e">
        <v>#N/A</v>
      </c>
      <c r="BB184">
        <f t="shared" si="98"/>
        <v>0.7678571428571429</v>
      </c>
      <c r="BC184">
        <v>666.15188525529322</v>
      </c>
      <c r="BD184">
        <f t="shared" si="99"/>
        <v>0.96759682027845884</v>
      </c>
      <c r="BE184">
        <f t="shared" si="117"/>
        <v>4.4642857142858094E-3</v>
      </c>
      <c r="BF184">
        <v>172</v>
      </c>
      <c r="BG184" t="e">
        <v>#N/A</v>
      </c>
      <c r="BI184" t="e">
        <f t="shared" si="101"/>
        <v>#N/A</v>
      </c>
      <c r="BK184" t="e">
        <f t="shared" si="102"/>
        <v>#N/A</v>
      </c>
      <c r="BL184" t="e">
        <f t="shared" si="103"/>
        <v>#N/A</v>
      </c>
      <c r="BN184" t="e">
        <v>#N/A</v>
      </c>
      <c r="BO184" t="e">
        <v>#N/A</v>
      </c>
      <c r="BS184">
        <f t="shared" si="104"/>
        <v>0.7678571428571429</v>
      </c>
      <c r="BT184">
        <v>0.18900127262432923</v>
      </c>
      <c r="BU184">
        <f t="shared" si="105"/>
        <v>3.0251959367647019E-4</v>
      </c>
      <c r="BV184">
        <f t="shared" si="118"/>
        <v>4.4642857142858094E-3</v>
      </c>
      <c r="BW184">
        <v>172</v>
      </c>
      <c r="BX184" t="e">
        <v>#N/A</v>
      </c>
      <c r="BZ184" t="e">
        <f t="shared" si="107"/>
        <v>#N/A</v>
      </c>
      <c r="CB184" t="e">
        <f t="shared" si="120"/>
        <v>#N/A</v>
      </c>
      <c r="CC184" t="e">
        <f t="shared" si="109"/>
        <v>#N/A</v>
      </c>
      <c r="CE184" t="e">
        <v>#N/A</v>
      </c>
      <c r="CF184" t="e">
        <v>#N/A</v>
      </c>
      <c r="CJ184">
        <f t="shared" si="110"/>
        <v>0.7678571428571429</v>
      </c>
      <c r="CK184">
        <v>6.6540488568999995E-2</v>
      </c>
      <c r="CL184">
        <f t="shared" si="111"/>
        <v>4.2149215000036877E-6</v>
      </c>
      <c r="CM184">
        <f t="shared" si="119"/>
        <v>4.4642857142858094E-3</v>
      </c>
    </row>
    <row r="185" spans="2:91">
      <c r="B185">
        <v>173</v>
      </c>
      <c r="C185" t="e">
        <f>IF(ISNUMBER(K185),IF('Lab test'!N176&gt;0,'Lab test'!N176,NA()),NA())</f>
        <v>#N/A</v>
      </c>
      <c r="D185" t="e">
        <f>IF(ISNUMBER(K185),IF('Lab test'!Q176&gt;0,'Lab test'!Q176,NA()),NA())</f>
        <v>#N/A</v>
      </c>
      <c r="E185" t="e">
        <f>IF(ISNUMBER(K185),IF('Lab test'!P176&gt;0,'Lab test'!P176,NA()),NA())</f>
        <v>#N/A</v>
      </c>
      <c r="F185" t="e">
        <f>IF(ISNUMBER(K185),IF('Lab test'!AJ176&gt;0,'Lab test'!AJ176,NA()),NA())</f>
        <v>#N/A</v>
      </c>
      <c r="G185">
        <f>IF('Lab test'!V176&gt;0,'Lab test'!V176,NA())</f>
        <v>223390.13629865492</v>
      </c>
      <c r="H185" t="e">
        <f>IF(MAX('Lab test'!W176,'Lab test'!X176)&gt;0,MAX('Lab test'!W176,'Lab test'!X176),NA())</f>
        <v>#N/A</v>
      </c>
      <c r="I185" t="e">
        <f>IF('Lab test'!AU176&gt;0,'Lab test'!AU176,NA())</f>
        <v>#N/A</v>
      </c>
      <c r="J185">
        <f>IF('Lab test'!AT176&gt;0,'Lab test'!AT176,NA())</f>
        <v>0.84099049368239565</v>
      </c>
      <c r="K185" t="e">
        <f t="shared" si="112"/>
        <v>#N/A</v>
      </c>
      <c r="L185" t="str">
        <f>'Lab test'!AC176</f>
        <v>LTWb</v>
      </c>
      <c r="N185">
        <v>173</v>
      </c>
      <c r="O185">
        <v>51.631146644399998</v>
      </c>
      <c r="P185">
        <v>0.32058173094600001</v>
      </c>
      <c r="Q185">
        <f t="shared" si="113"/>
        <v>161.05455071329982</v>
      </c>
      <c r="R185">
        <v>73.765957994199994</v>
      </c>
      <c r="S185">
        <f t="shared" si="114"/>
        <v>0.1125790855014045</v>
      </c>
      <c r="T185">
        <v>2.7754800029399999E-2</v>
      </c>
      <c r="U185">
        <f t="shared" si="88"/>
        <v>0.7723214285714286</v>
      </c>
      <c r="W185">
        <v>173</v>
      </c>
      <c r="X185" t="e">
        <v>#N/A</v>
      </c>
      <c r="Z185" t="e">
        <f t="shared" si="90"/>
        <v>#N/A</v>
      </c>
      <c r="AB185" t="e">
        <f t="shared" si="121"/>
        <v>#N/A</v>
      </c>
      <c r="AC185" t="e">
        <f t="shared" si="92"/>
        <v>#N/A</v>
      </c>
      <c r="AE185" t="e">
        <v>#N/A</v>
      </c>
      <c r="AF185" t="e">
        <v>#N/A</v>
      </c>
      <c r="AJ185">
        <f t="shared" si="93"/>
        <v>0.7723214285714286</v>
      </c>
      <c r="AK185">
        <v>176.021407302</v>
      </c>
      <c r="AL185">
        <f t="shared" si="94"/>
        <v>0.56298851200000399</v>
      </c>
      <c r="AM185">
        <f t="shared" si="115"/>
        <v>4.4642857142856984E-3</v>
      </c>
      <c r="AO185">
        <v>173</v>
      </c>
      <c r="AP185" t="e">
        <v>#N/A</v>
      </c>
      <c r="AR185" t="e">
        <f t="shared" si="95"/>
        <v>#N/A</v>
      </c>
      <c r="AT185" t="e">
        <f t="shared" si="96"/>
        <v>#N/A</v>
      </c>
      <c r="AU185" t="e">
        <f t="shared" si="97"/>
        <v>#N/A</v>
      </c>
      <c r="AW185" t="e">
        <v>#N/A</v>
      </c>
      <c r="AX185" t="e">
        <v>#N/A</v>
      </c>
      <c r="BB185">
        <f t="shared" si="98"/>
        <v>0.7723214285714286</v>
      </c>
      <c r="BC185">
        <v>667.11948207557168</v>
      </c>
      <c r="BD185">
        <f t="shared" si="99"/>
        <v>2.5586137303213263</v>
      </c>
      <c r="BE185">
        <f t="shared" si="117"/>
        <v>4.4642857142856984E-3</v>
      </c>
      <c r="BF185">
        <v>173</v>
      </c>
      <c r="BG185" t="e">
        <v>#N/A</v>
      </c>
      <c r="BI185" t="e">
        <f t="shared" si="101"/>
        <v>#N/A</v>
      </c>
      <c r="BK185" t="e">
        <f t="shared" si="102"/>
        <v>#N/A</v>
      </c>
      <c r="BL185" t="e">
        <f t="shared" si="103"/>
        <v>#N/A</v>
      </c>
      <c r="BN185" t="e">
        <v>#N/A</v>
      </c>
      <c r="BO185" t="e">
        <v>#N/A</v>
      </c>
      <c r="BS185">
        <f t="shared" si="104"/>
        <v>0.7723214285714286</v>
      </c>
      <c r="BT185">
        <v>0.1893037922180057</v>
      </c>
      <c r="BU185">
        <f t="shared" si="105"/>
        <v>3.3674841499992114E-5</v>
      </c>
      <c r="BV185">
        <f t="shared" si="118"/>
        <v>4.4642857142856984E-3</v>
      </c>
      <c r="BW185">
        <v>173</v>
      </c>
      <c r="BX185" t="e">
        <v>#N/A</v>
      </c>
      <c r="BZ185" t="e">
        <f t="shared" si="107"/>
        <v>#N/A</v>
      </c>
      <c r="CB185" t="e">
        <f t="shared" si="120"/>
        <v>#N/A</v>
      </c>
      <c r="CC185" t="e">
        <f t="shared" si="109"/>
        <v>#N/A</v>
      </c>
      <c r="CE185" t="e">
        <v>#N/A</v>
      </c>
      <c r="CF185" t="e">
        <v>#N/A</v>
      </c>
      <c r="CJ185">
        <f t="shared" si="110"/>
        <v>0.7723214285714286</v>
      </c>
      <c r="CK185">
        <v>6.6544703490499998E-2</v>
      </c>
      <c r="CL185">
        <f t="shared" si="111"/>
        <v>8.4592919999959548E-6</v>
      </c>
      <c r="CM185">
        <f t="shared" si="119"/>
        <v>4.4642857142856984E-3</v>
      </c>
    </row>
    <row r="186" spans="2:91">
      <c r="B186">
        <v>174</v>
      </c>
      <c r="C186" t="e">
        <f>IF(ISNUMBER(K186),IF('Lab test'!N177&gt;0,'Lab test'!N177,NA()),NA())</f>
        <v>#N/A</v>
      </c>
      <c r="D186" t="e">
        <f>IF(ISNUMBER(K186),IF('Lab test'!Q177&gt;0,'Lab test'!Q177,NA()),NA())</f>
        <v>#N/A</v>
      </c>
      <c r="E186" t="e">
        <f>IF(ISNUMBER(K186),IF('Lab test'!P177&gt;0,'Lab test'!P177,NA()),NA())</f>
        <v>#N/A</v>
      </c>
      <c r="F186" t="e">
        <f>IF(ISNUMBER(K186),IF('Lab test'!AJ177&gt;0,'Lab test'!AJ177,NA()),NA())</f>
        <v>#N/A</v>
      </c>
      <c r="G186">
        <f>IF('Lab test'!V177&gt;0,'Lab test'!V177,NA())</f>
        <v>223390.13629865492</v>
      </c>
      <c r="H186" t="e">
        <f>IF(MAX('Lab test'!W177,'Lab test'!X177)&gt;0,MAX('Lab test'!W177,'Lab test'!X177),NA())</f>
        <v>#N/A</v>
      </c>
      <c r="I186" t="e">
        <f>IF('Lab test'!AU177&gt;0,'Lab test'!AU177,NA())</f>
        <v>#N/A</v>
      </c>
      <c r="J186">
        <f>IF('Lab test'!AT177&gt;0,'Lab test'!AT177,NA())</f>
        <v>1.0045655139823491</v>
      </c>
      <c r="K186" t="e">
        <f t="shared" si="112"/>
        <v>#N/A</v>
      </c>
      <c r="L186" t="str">
        <f>'Lab test'!AC177</f>
        <v>LTWb</v>
      </c>
      <c r="N186">
        <v>174</v>
      </c>
      <c r="O186">
        <v>51.8546425296</v>
      </c>
      <c r="P186">
        <v>0.11270781596</v>
      </c>
      <c r="Q186">
        <f t="shared" si="113"/>
        <v>460.08027116773525</v>
      </c>
      <c r="R186">
        <v>76.367902862299999</v>
      </c>
      <c r="S186">
        <f t="shared" si="114"/>
        <v>6.866041350494638E-2</v>
      </c>
      <c r="T186">
        <v>1.09892659877E-2</v>
      </c>
      <c r="U186">
        <f t="shared" si="88"/>
        <v>0.7767857142857143</v>
      </c>
      <c r="W186">
        <v>174</v>
      </c>
      <c r="X186" t="e">
        <v>#N/A</v>
      </c>
      <c r="Z186" t="e">
        <f t="shared" si="90"/>
        <v>#N/A</v>
      </c>
      <c r="AB186" t="e">
        <f t="shared" si="121"/>
        <v>#N/A</v>
      </c>
      <c r="AC186" t="e">
        <f t="shared" si="92"/>
        <v>#N/A</v>
      </c>
      <c r="AE186" t="e">
        <v>#N/A</v>
      </c>
      <c r="AF186" t="e">
        <v>#N/A</v>
      </c>
      <c r="AJ186">
        <f t="shared" si="93"/>
        <v>0.7767857142857143</v>
      </c>
      <c r="AK186">
        <v>176.584395814</v>
      </c>
      <c r="AL186">
        <f t="shared" si="94"/>
        <v>0.59403096899998786</v>
      </c>
      <c r="AM186">
        <f t="shared" si="115"/>
        <v>4.4642857142856984E-3</v>
      </c>
      <c r="AO186">
        <v>174</v>
      </c>
      <c r="AP186" t="e">
        <v>#N/A</v>
      </c>
      <c r="AR186" t="e">
        <f t="shared" si="95"/>
        <v>#N/A</v>
      </c>
      <c r="AT186" t="e">
        <f t="shared" si="96"/>
        <v>#N/A</v>
      </c>
      <c r="AU186" t="e">
        <f t="shared" si="97"/>
        <v>#N/A</v>
      </c>
      <c r="AW186" t="e">
        <v>#N/A</v>
      </c>
      <c r="AX186" t="e">
        <v>#N/A</v>
      </c>
      <c r="BB186">
        <f t="shared" si="98"/>
        <v>0.7767857142857143</v>
      </c>
      <c r="BC186">
        <v>669.67809580589301</v>
      </c>
      <c r="BD186">
        <f t="shared" si="99"/>
        <v>0.2632609760609057</v>
      </c>
      <c r="BE186">
        <f t="shared" si="117"/>
        <v>4.4642857142856984E-3</v>
      </c>
      <c r="BF186">
        <v>174</v>
      </c>
      <c r="BG186" t="e">
        <v>#N/A</v>
      </c>
      <c r="BI186" t="e">
        <f t="shared" si="101"/>
        <v>#N/A</v>
      </c>
      <c r="BK186" t="e">
        <f t="shared" si="102"/>
        <v>#N/A</v>
      </c>
      <c r="BL186" t="e">
        <f t="shared" si="103"/>
        <v>#N/A</v>
      </c>
      <c r="BN186" t="e">
        <v>#N/A</v>
      </c>
      <c r="BO186" t="e">
        <v>#N/A</v>
      </c>
      <c r="BS186">
        <f t="shared" si="104"/>
        <v>0.7767857142857143</v>
      </c>
      <c r="BT186">
        <v>0.18933746705950569</v>
      </c>
      <c r="BU186">
        <f t="shared" si="105"/>
        <v>2.8946047133462938E-4</v>
      </c>
      <c r="BV186">
        <f t="shared" si="118"/>
        <v>4.4642857142856984E-3</v>
      </c>
      <c r="BW186">
        <v>174</v>
      </c>
      <c r="BX186" t="e">
        <v>#N/A</v>
      </c>
      <c r="BZ186" t="e">
        <f t="shared" si="107"/>
        <v>#N/A</v>
      </c>
      <c r="CB186" t="e">
        <f t="shared" si="120"/>
        <v>#N/A</v>
      </c>
      <c r="CC186" t="e">
        <f t="shared" si="109"/>
        <v>#N/A</v>
      </c>
      <c r="CE186" t="e">
        <v>#N/A</v>
      </c>
      <c r="CF186" t="e">
        <v>#N/A</v>
      </c>
      <c r="CJ186">
        <f t="shared" si="110"/>
        <v>0.7767857142857143</v>
      </c>
      <c r="CK186">
        <v>6.6553162782499994E-2</v>
      </c>
      <c r="CL186">
        <f t="shared" si="111"/>
        <v>4.667952000075859E-7</v>
      </c>
      <c r="CM186">
        <f t="shared" si="119"/>
        <v>4.4642857142856984E-3</v>
      </c>
    </row>
    <row r="187" spans="2:91">
      <c r="B187">
        <v>175</v>
      </c>
      <c r="C187" t="e">
        <f>IF(ISNUMBER(K187),IF('Lab test'!N178&gt;0,'Lab test'!N178,NA()),NA())</f>
        <v>#N/A</v>
      </c>
      <c r="D187" t="e">
        <f>IF(ISNUMBER(K187),IF('Lab test'!Q178&gt;0,'Lab test'!Q178,NA()),NA())</f>
        <v>#N/A</v>
      </c>
      <c r="E187" t="e">
        <f>IF(ISNUMBER(K187),IF('Lab test'!P178&gt;0,'Lab test'!P178,NA()),NA())</f>
        <v>#N/A</v>
      </c>
      <c r="F187" t="e">
        <f>IF(ISNUMBER(K187),IF('Lab test'!AJ178&gt;0,'Lab test'!AJ178,NA()),NA())</f>
        <v>#N/A</v>
      </c>
      <c r="G187">
        <f>IF('Lab test'!V178&gt;0,'Lab test'!V178,NA())</f>
        <v>220632.23338138757</v>
      </c>
      <c r="H187" t="e">
        <f>IF(MAX('Lab test'!W178,'Lab test'!X178)&gt;0,MAX('Lab test'!W178,'Lab test'!X178),NA())</f>
        <v>#N/A</v>
      </c>
      <c r="I187" t="e">
        <f>IF('Lab test'!AU178&gt;0,'Lab test'!AU178,NA())</f>
        <v>#N/A</v>
      </c>
      <c r="J187">
        <f>IF('Lab test'!AT178&gt;0,'Lab test'!AT178,NA())</f>
        <v>0.22572326583598407</v>
      </c>
      <c r="K187" t="e">
        <f t="shared" si="112"/>
        <v>#N/A</v>
      </c>
      <c r="L187" t="str">
        <f>'Lab test'!AC178</f>
        <v>LTWb</v>
      </c>
      <c r="N187">
        <v>175</v>
      </c>
      <c r="O187">
        <v>52.521757397800002</v>
      </c>
      <c r="P187">
        <v>0.109663839786</v>
      </c>
      <c r="Q187">
        <f t="shared" si="113"/>
        <v>478.93414547850875</v>
      </c>
      <c r="R187">
        <v>78.965423367100001</v>
      </c>
      <c r="S187">
        <f t="shared" si="114"/>
        <v>6.8700487416877898E-2</v>
      </c>
      <c r="T187">
        <v>1.10216882037E-2</v>
      </c>
      <c r="U187">
        <f t="shared" si="88"/>
        <v>0.78125</v>
      </c>
      <c r="W187">
        <v>175</v>
      </c>
      <c r="X187" t="e">
        <v>#N/A</v>
      </c>
      <c r="Z187" t="e">
        <f t="shared" si="90"/>
        <v>#N/A</v>
      </c>
      <c r="AB187" t="e">
        <f t="shared" si="121"/>
        <v>#N/A</v>
      </c>
      <c r="AC187" t="e">
        <f t="shared" si="92"/>
        <v>#N/A</v>
      </c>
      <c r="AE187" t="e">
        <v>#N/A</v>
      </c>
      <c r="AF187" t="e">
        <v>#N/A</v>
      </c>
      <c r="AJ187">
        <f t="shared" si="93"/>
        <v>0.78125</v>
      </c>
      <c r="AK187">
        <v>177.17842678299999</v>
      </c>
      <c r="AL187">
        <f t="shared" si="94"/>
        <v>0.24795830400000796</v>
      </c>
      <c r="AM187">
        <f t="shared" si="115"/>
        <v>4.4642857142856984E-3</v>
      </c>
      <c r="AO187">
        <v>175</v>
      </c>
      <c r="AP187" t="e">
        <v>#N/A</v>
      </c>
      <c r="AR187" t="e">
        <f t="shared" si="95"/>
        <v>#N/A</v>
      </c>
      <c r="AT187" t="e">
        <f t="shared" si="96"/>
        <v>#N/A</v>
      </c>
      <c r="AU187" t="e">
        <f t="shared" si="97"/>
        <v>#N/A</v>
      </c>
      <c r="AW187" t="e">
        <v>#N/A</v>
      </c>
      <c r="AX187" t="e">
        <v>#N/A</v>
      </c>
      <c r="BB187">
        <f t="shared" si="98"/>
        <v>0.78125</v>
      </c>
      <c r="BC187">
        <v>669.94135678195391</v>
      </c>
      <c r="BD187">
        <f t="shared" si="99"/>
        <v>14.529243306088119</v>
      </c>
      <c r="BE187">
        <f t="shared" si="117"/>
        <v>4.4642857142856984E-3</v>
      </c>
      <c r="BF187">
        <v>175</v>
      </c>
      <c r="BG187" t="e">
        <v>#N/A</v>
      </c>
      <c r="BI187" t="e">
        <f t="shared" si="101"/>
        <v>#N/A</v>
      </c>
      <c r="BK187" t="e">
        <f t="shared" si="102"/>
        <v>#N/A</v>
      </c>
      <c r="BL187" t="e">
        <f t="shared" si="103"/>
        <v>#N/A</v>
      </c>
      <c r="BN187" t="e">
        <v>#N/A</v>
      </c>
      <c r="BO187" t="e">
        <v>#N/A</v>
      </c>
      <c r="BS187">
        <f t="shared" si="104"/>
        <v>0.78125</v>
      </c>
      <c r="BT187">
        <v>0.18962692753084032</v>
      </c>
      <c r="BU187">
        <f t="shared" si="105"/>
        <v>9.8671844822950661E-4</v>
      </c>
      <c r="BV187">
        <f t="shared" si="118"/>
        <v>4.4642857142856984E-3</v>
      </c>
      <c r="BW187">
        <v>175</v>
      </c>
      <c r="BX187" t="e">
        <v>#N/A</v>
      </c>
      <c r="BZ187" t="e">
        <f t="shared" si="107"/>
        <v>#N/A</v>
      </c>
      <c r="CB187" t="e">
        <f t="shared" si="120"/>
        <v>#N/A</v>
      </c>
      <c r="CC187" t="e">
        <f t="shared" si="109"/>
        <v>#N/A</v>
      </c>
      <c r="CE187" t="e">
        <v>#N/A</v>
      </c>
      <c r="CF187" t="e">
        <v>#N/A</v>
      </c>
      <c r="CJ187">
        <f t="shared" si="110"/>
        <v>0.78125</v>
      </c>
      <c r="CK187">
        <v>6.6553629577700002E-2</v>
      </c>
      <c r="CL187">
        <f t="shared" si="111"/>
        <v>2.9802761999930816E-6</v>
      </c>
      <c r="CM187">
        <f t="shared" si="119"/>
        <v>4.4642857142856984E-3</v>
      </c>
    </row>
    <row r="188" spans="2:91">
      <c r="B188">
        <v>176</v>
      </c>
      <c r="C188" t="e">
        <f>IF(ISNUMBER(K188),IF('Lab test'!N179&gt;0,'Lab test'!N179,NA()),NA())</f>
        <v>#N/A</v>
      </c>
      <c r="D188" t="e">
        <f>IF(ISNUMBER(K188),IF('Lab test'!Q179&gt;0,'Lab test'!Q179,NA()),NA())</f>
        <v>#N/A</v>
      </c>
      <c r="E188" t="e">
        <f>IF(ISNUMBER(K188),IF('Lab test'!P179&gt;0,'Lab test'!P179,NA()),NA())</f>
        <v>#N/A</v>
      </c>
      <c r="F188" t="e">
        <f>IF(ISNUMBER(K188),IF('Lab test'!AJ179&gt;0,'Lab test'!AJ179,NA()),NA())</f>
        <v>#N/A</v>
      </c>
      <c r="G188">
        <f>IF('Lab test'!V179&gt;0,'Lab test'!V179,NA())</f>
        <v>220632.23338138757</v>
      </c>
      <c r="H188" t="e">
        <f>IF(MAX('Lab test'!W179,'Lab test'!X179)&gt;0,MAX('Lab test'!W179,'Lab test'!X179),NA())</f>
        <v>#N/A</v>
      </c>
      <c r="I188" t="e">
        <f>IF('Lab test'!AU179&gt;0,'Lab test'!AU179,NA())</f>
        <v>#N/A</v>
      </c>
      <c r="J188">
        <f>IF('Lab test'!AT179&gt;0,'Lab test'!AT179,NA())</f>
        <v>0.19322737104026258</v>
      </c>
      <c r="K188" t="e">
        <f t="shared" si="112"/>
        <v>#N/A</v>
      </c>
      <c r="L188" t="str">
        <f>'Lab test'!AC179</f>
        <v>LTWb</v>
      </c>
      <c r="N188">
        <v>176</v>
      </c>
      <c r="O188">
        <v>52.635870718500001</v>
      </c>
      <c r="P188">
        <v>9.22680037244E-2</v>
      </c>
      <c r="Q188">
        <f t="shared" si="113"/>
        <v>570.46721066731607</v>
      </c>
      <c r="R188">
        <v>356.86585331800001</v>
      </c>
      <c r="S188">
        <f t="shared" si="114"/>
        <v>0.28386237979491497</v>
      </c>
      <c r="T188">
        <v>6.6597498648899994E-2</v>
      </c>
      <c r="U188">
        <f t="shared" si="88"/>
        <v>0.7857142857142857</v>
      </c>
      <c r="W188">
        <v>176</v>
      </c>
      <c r="X188" t="e">
        <v>#N/A</v>
      </c>
      <c r="Z188" t="e">
        <f t="shared" si="90"/>
        <v>#N/A</v>
      </c>
      <c r="AB188" t="e">
        <f t="shared" si="121"/>
        <v>#N/A</v>
      </c>
      <c r="AC188" t="e">
        <f t="shared" si="92"/>
        <v>#N/A</v>
      </c>
      <c r="AE188" t="e">
        <v>#N/A</v>
      </c>
      <c r="AF188" t="e">
        <v>#N/A</v>
      </c>
      <c r="AJ188">
        <f t="shared" si="93"/>
        <v>0.7857142857142857</v>
      </c>
      <c r="AK188">
        <v>177.426385087</v>
      </c>
      <c r="AL188">
        <f t="shared" si="94"/>
        <v>0.61634745399999247</v>
      </c>
      <c r="AM188">
        <f t="shared" si="115"/>
        <v>4.4642857142856984E-3</v>
      </c>
      <c r="AO188">
        <v>176</v>
      </c>
      <c r="AP188" t="e">
        <v>#N/A</v>
      </c>
      <c r="AR188" t="e">
        <f t="shared" si="95"/>
        <v>#N/A</v>
      </c>
      <c r="AT188" t="e">
        <f t="shared" si="96"/>
        <v>#N/A</v>
      </c>
      <c r="AU188" t="e">
        <f t="shared" si="97"/>
        <v>#N/A</v>
      </c>
      <c r="AW188" t="e">
        <v>#N/A</v>
      </c>
      <c r="AX188" t="e">
        <v>#N/A</v>
      </c>
      <c r="BB188">
        <f t="shared" si="98"/>
        <v>0.7857142857142857</v>
      </c>
      <c r="BC188">
        <v>684.47060008804203</v>
      </c>
      <c r="BD188">
        <f t="shared" si="99"/>
        <v>5.8533880385084558E-2</v>
      </c>
      <c r="BE188">
        <f t="shared" si="117"/>
        <v>4.4642857142856984E-3</v>
      </c>
      <c r="BF188">
        <v>176</v>
      </c>
      <c r="BG188" t="e">
        <v>#N/A</v>
      </c>
      <c r="BI188" t="e">
        <f t="shared" si="101"/>
        <v>#N/A</v>
      </c>
      <c r="BK188" t="e">
        <f t="shared" si="102"/>
        <v>#N/A</v>
      </c>
      <c r="BL188" t="e">
        <f t="shared" si="103"/>
        <v>#N/A</v>
      </c>
      <c r="BN188" t="e">
        <v>#N/A</v>
      </c>
      <c r="BO188" t="e">
        <v>#N/A</v>
      </c>
      <c r="BS188">
        <f t="shared" si="104"/>
        <v>0.7857142857142857</v>
      </c>
      <c r="BT188">
        <v>0.19061364597906982</v>
      </c>
      <c r="BU188">
        <f t="shared" si="105"/>
        <v>1.2069562141323043E-4</v>
      </c>
      <c r="BV188">
        <f t="shared" si="118"/>
        <v>4.4642857142856984E-3</v>
      </c>
      <c r="BW188">
        <v>176</v>
      </c>
      <c r="BX188" t="e">
        <v>#N/A</v>
      </c>
      <c r="BZ188" t="e">
        <f t="shared" si="107"/>
        <v>#N/A</v>
      </c>
      <c r="CB188" t="e">
        <f t="shared" si="120"/>
        <v>#N/A</v>
      </c>
      <c r="CC188" t="e">
        <f t="shared" si="109"/>
        <v>#N/A</v>
      </c>
      <c r="CE188" t="e">
        <v>#N/A</v>
      </c>
      <c r="CF188" t="e">
        <v>#N/A</v>
      </c>
      <c r="CJ188">
        <f t="shared" si="110"/>
        <v>0.7857142857142857</v>
      </c>
      <c r="CK188">
        <v>6.6556609853899995E-2</v>
      </c>
      <c r="CL188">
        <f t="shared" si="111"/>
        <v>2.6339457000063016E-6</v>
      </c>
      <c r="CM188">
        <f t="shared" si="119"/>
        <v>4.4642857142856984E-3</v>
      </c>
    </row>
    <row r="189" spans="2:91">
      <c r="B189">
        <v>177</v>
      </c>
      <c r="C189" t="e">
        <f>IF(ISNUMBER(K189),IF('Lab test'!N180&gt;0,'Lab test'!N180,NA()),NA())</f>
        <v>#N/A</v>
      </c>
      <c r="D189" t="e">
        <f>IF(ISNUMBER(K189),IF('Lab test'!Q180&gt;0,'Lab test'!Q180,NA()),NA())</f>
        <v>#N/A</v>
      </c>
      <c r="E189" t="e">
        <f>IF(ISNUMBER(K189),IF('Lab test'!P180&gt;0,'Lab test'!P180,NA()),NA())</f>
        <v>#N/A</v>
      </c>
      <c r="F189" t="e">
        <f>IF(ISNUMBER(K189),IF('Lab test'!AJ180&gt;0,'Lab test'!AJ180,NA()),NA())</f>
        <v>#N/A</v>
      </c>
      <c r="G189">
        <f>IF('Lab test'!V180&gt;0,'Lab test'!V180,NA())</f>
        <v>220632.23338138757</v>
      </c>
      <c r="H189" t="e">
        <f>IF(MAX('Lab test'!W180,'Lab test'!X180)&gt;0,MAX('Lab test'!W180,'Lab test'!X180),NA())</f>
        <v>#N/A</v>
      </c>
      <c r="I189" t="e">
        <f>IF('Lab test'!AU180&gt;0,'Lab test'!AU180,NA())</f>
        <v>#N/A</v>
      </c>
      <c r="J189">
        <f>IF('Lab test'!AT180&gt;0,'Lab test'!AT180,NA())</f>
        <v>0.18548272435530894</v>
      </c>
      <c r="K189" t="e">
        <f t="shared" si="112"/>
        <v>#N/A</v>
      </c>
      <c r="L189" t="str">
        <f>'Lab test'!AC180</f>
        <v>LTWb</v>
      </c>
      <c r="N189">
        <v>177</v>
      </c>
      <c r="O189">
        <v>53.557687226699997</v>
      </c>
      <c r="P189">
        <v>0.32372914255200003</v>
      </c>
      <c r="Q189">
        <f t="shared" si="113"/>
        <v>165.43980812013896</v>
      </c>
      <c r="R189">
        <v>40.754680747999998</v>
      </c>
      <c r="S189">
        <f t="shared" si="114"/>
        <v>5.9161022562761921E-2</v>
      </c>
      <c r="T189">
        <v>2.20039263912E-2</v>
      </c>
      <c r="U189">
        <f t="shared" si="88"/>
        <v>0.7901785714285714</v>
      </c>
      <c r="W189">
        <v>177</v>
      </c>
      <c r="X189" t="e">
        <v>#N/A</v>
      </c>
      <c r="Z189" t="e">
        <f t="shared" si="90"/>
        <v>#N/A</v>
      </c>
      <c r="AB189" t="e">
        <f t="shared" si="121"/>
        <v>#N/A</v>
      </c>
      <c r="AC189" t="e">
        <f t="shared" si="92"/>
        <v>#N/A</v>
      </c>
      <c r="AE189" t="e">
        <v>#N/A</v>
      </c>
      <c r="AF189" t="e">
        <v>#N/A</v>
      </c>
      <c r="AJ189">
        <f t="shared" si="93"/>
        <v>0.7901785714285714</v>
      </c>
      <c r="AK189">
        <v>178.04273254099999</v>
      </c>
      <c r="AL189">
        <f t="shared" si="94"/>
        <v>0.21928139199999919</v>
      </c>
      <c r="AM189">
        <f t="shared" si="115"/>
        <v>4.4642857142856984E-3</v>
      </c>
      <c r="AO189">
        <v>177</v>
      </c>
      <c r="AP189" t="e">
        <v>#N/A</v>
      </c>
      <c r="AR189" t="e">
        <f t="shared" si="95"/>
        <v>#N/A</v>
      </c>
      <c r="AT189" t="e">
        <f t="shared" si="96"/>
        <v>#N/A</v>
      </c>
      <c r="AU189" t="e">
        <f t="shared" si="97"/>
        <v>#N/A</v>
      </c>
      <c r="AW189" t="e">
        <v>#N/A</v>
      </c>
      <c r="AX189" t="e">
        <v>#N/A</v>
      </c>
      <c r="BB189">
        <f t="shared" si="98"/>
        <v>0.7901785714285714</v>
      </c>
      <c r="BC189">
        <v>684.52913396842712</v>
      </c>
      <c r="BD189">
        <f t="shared" si="99"/>
        <v>0.11799687170218931</v>
      </c>
      <c r="BE189">
        <f t="shared" si="117"/>
        <v>4.4642857142856984E-3</v>
      </c>
      <c r="BF189">
        <v>177</v>
      </c>
      <c r="BG189" t="e">
        <v>#N/A</v>
      </c>
      <c r="BI189" t="e">
        <f t="shared" si="101"/>
        <v>#N/A</v>
      </c>
      <c r="BK189" t="e">
        <f t="shared" si="102"/>
        <v>#N/A</v>
      </c>
      <c r="BL189" t="e">
        <f t="shared" si="103"/>
        <v>#N/A</v>
      </c>
      <c r="BN189" t="e">
        <v>#N/A</v>
      </c>
      <c r="BO189" t="e">
        <v>#N/A</v>
      </c>
      <c r="BS189">
        <f t="shared" si="104"/>
        <v>0.7901785714285714</v>
      </c>
      <c r="BT189">
        <v>0.19073434160048305</v>
      </c>
      <c r="BU189">
        <f t="shared" si="105"/>
        <v>1.2388529163739892E-4</v>
      </c>
      <c r="BV189">
        <f t="shared" si="118"/>
        <v>4.4642857142856984E-3</v>
      </c>
      <c r="BW189">
        <v>177</v>
      </c>
      <c r="BX189" t="e">
        <v>#N/A</v>
      </c>
      <c r="BZ189" t="e">
        <f t="shared" si="107"/>
        <v>#N/A</v>
      </c>
      <c r="CB189" t="e">
        <f t="shared" si="120"/>
        <v>#N/A</v>
      </c>
      <c r="CC189" t="e">
        <f t="shared" si="109"/>
        <v>#N/A</v>
      </c>
      <c r="CE189" t="e">
        <v>#N/A</v>
      </c>
      <c r="CF189" t="e">
        <v>#N/A</v>
      </c>
      <c r="CJ189">
        <f t="shared" si="110"/>
        <v>0.7901785714285714</v>
      </c>
      <c r="CK189">
        <v>6.6559243799600001E-2</v>
      </c>
      <c r="CL189">
        <f t="shared" si="111"/>
        <v>8.6692869999405175E-7</v>
      </c>
      <c r="CM189">
        <f t="shared" si="119"/>
        <v>4.4642857142856984E-3</v>
      </c>
    </row>
    <row r="190" spans="2:91">
      <c r="B190">
        <v>178</v>
      </c>
      <c r="C190" t="e">
        <f>IF(ISNUMBER(K190),IF('Lab test'!N181&gt;0,'Lab test'!N181,NA()),NA())</f>
        <v>#N/A</v>
      </c>
      <c r="D190" t="e">
        <f>IF(ISNUMBER(K190),IF('Lab test'!Q181&gt;0,'Lab test'!Q181,NA()),NA())</f>
        <v>#N/A</v>
      </c>
      <c r="E190" t="e">
        <f>IF(ISNUMBER(K190),IF('Lab test'!P181&gt;0,'Lab test'!P181,NA()),NA())</f>
        <v>#N/A</v>
      </c>
      <c r="F190" t="e">
        <f>IF(ISNUMBER(K190),IF('Lab test'!AJ181&gt;0,'Lab test'!AJ181,NA()),NA())</f>
        <v>#N/A</v>
      </c>
      <c r="G190">
        <f>IF('Lab test'!V181&gt;0,'Lab test'!V181,NA())</f>
        <v>220632.23338138757</v>
      </c>
      <c r="H190" t="e">
        <f>IF(MAX('Lab test'!W181,'Lab test'!X181)&gt;0,MAX('Lab test'!W181,'Lab test'!X181),NA())</f>
        <v>#N/A</v>
      </c>
      <c r="I190" t="e">
        <f>IF('Lab test'!AU181&gt;0,'Lab test'!AU181,NA())</f>
        <v>#N/A</v>
      </c>
      <c r="J190">
        <f>IF('Lab test'!AT181&gt;0,'Lab test'!AT181,NA())</f>
        <v>0.18700641382567429</v>
      </c>
      <c r="K190" t="e">
        <f t="shared" si="112"/>
        <v>#N/A</v>
      </c>
      <c r="L190" t="str">
        <f>'Lab test'!AC181</f>
        <v>LTWb</v>
      </c>
      <c r="N190">
        <v>178</v>
      </c>
      <c r="O190">
        <v>54.078508005899998</v>
      </c>
      <c r="P190">
        <v>0.15599809921999999</v>
      </c>
      <c r="Q190">
        <f t="shared" si="113"/>
        <v>346.66132649241138</v>
      </c>
      <c r="R190">
        <v>293.34966109999999</v>
      </c>
      <c r="S190">
        <f t="shared" si="114"/>
        <v>0.29134541805709785</v>
      </c>
      <c r="T190">
        <v>1.09899374627E-2</v>
      </c>
      <c r="U190">
        <f t="shared" si="88"/>
        <v>0.7946428571428571</v>
      </c>
      <c r="W190">
        <v>178</v>
      </c>
      <c r="X190" t="e">
        <v>#N/A</v>
      </c>
      <c r="Z190" t="e">
        <f t="shared" si="90"/>
        <v>#N/A</v>
      </c>
      <c r="AB190" t="e">
        <f t="shared" si="121"/>
        <v>#N/A</v>
      </c>
      <c r="AC190" t="e">
        <f t="shared" si="92"/>
        <v>#N/A</v>
      </c>
      <c r="AE190" t="e">
        <v>#N/A</v>
      </c>
      <c r="AF190" t="e">
        <v>#N/A</v>
      </c>
      <c r="AJ190">
        <f t="shared" si="93"/>
        <v>0.7946428571428571</v>
      </c>
      <c r="AK190">
        <v>178.26201393299999</v>
      </c>
      <c r="AL190">
        <f t="shared" si="94"/>
        <v>1.1114527980000162</v>
      </c>
      <c r="AM190">
        <f t="shared" si="115"/>
        <v>4.4642857142856984E-3</v>
      </c>
      <c r="AO190">
        <v>178</v>
      </c>
      <c r="AP190" t="e">
        <v>#N/A</v>
      </c>
      <c r="AR190" t="e">
        <f t="shared" si="95"/>
        <v>#N/A</v>
      </c>
      <c r="AT190" t="e">
        <f t="shared" si="96"/>
        <v>#N/A</v>
      </c>
      <c r="AU190" t="e">
        <f t="shared" si="97"/>
        <v>#N/A</v>
      </c>
      <c r="AW190" t="e">
        <v>#N/A</v>
      </c>
      <c r="AX190" t="e">
        <v>#N/A</v>
      </c>
      <c r="BB190">
        <f t="shared" si="98"/>
        <v>0.7946428571428571</v>
      </c>
      <c r="BC190">
        <v>684.64713084012931</v>
      </c>
      <c r="BD190">
        <f t="shared" si="99"/>
        <v>6.6278550964511851E-2</v>
      </c>
      <c r="BE190">
        <f t="shared" si="117"/>
        <v>4.4642857142856984E-3</v>
      </c>
      <c r="BF190">
        <v>178</v>
      </c>
      <c r="BG190" t="e">
        <v>#N/A</v>
      </c>
      <c r="BI190" t="e">
        <f t="shared" si="101"/>
        <v>#N/A</v>
      </c>
      <c r="BK190" t="e">
        <f t="shared" si="102"/>
        <v>#N/A</v>
      </c>
      <c r="BL190" t="e">
        <f t="shared" si="103"/>
        <v>#N/A</v>
      </c>
      <c r="BN190" t="e">
        <v>#N/A</v>
      </c>
      <c r="BO190" t="e">
        <v>#N/A</v>
      </c>
      <c r="BS190">
        <f t="shared" si="104"/>
        <v>0.7946428571428571</v>
      </c>
      <c r="BT190">
        <v>0.19085822689212045</v>
      </c>
      <c r="BU190">
        <f t="shared" si="105"/>
        <v>1.4330206184453298E-3</v>
      </c>
      <c r="BV190">
        <f t="shared" si="118"/>
        <v>4.4642857142856984E-3</v>
      </c>
      <c r="BW190">
        <v>178</v>
      </c>
      <c r="BX190" t="e">
        <v>#N/A</v>
      </c>
      <c r="BZ190" t="e">
        <f t="shared" si="107"/>
        <v>#N/A</v>
      </c>
      <c r="CB190" t="e">
        <f t="shared" si="120"/>
        <v>#N/A</v>
      </c>
      <c r="CC190" t="e">
        <f t="shared" si="109"/>
        <v>#N/A</v>
      </c>
      <c r="CE190" t="e">
        <v>#N/A</v>
      </c>
      <c r="CF190" t="e">
        <v>#N/A</v>
      </c>
      <c r="CJ190">
        <f t="shared" si="110"/>
        <v>0.7946428571428571</v>
      </c>
      <c r="CK190">
        <v>6.6560110728299995E-2</v>
      </c>
      <c r="CL190">
        <f t="shared" si="111"/>
        <v>1.4432416000076387E-6</v>
      </c>
      <c r="CM190">
        <f t="shared" si="119"/>
        <v>4.4642857142856984E-3</v>
      </c>
    </row>
    <row r="191" spans="2:91">
      <c r="B191">
        <v>179</v>
      </c>
      <c r="C191" t="e">
        <f>IF(ISNUMBER(K191),IF('Lab test'!N182&gt;0,'Lab test'!N182,NA()),NA())</f>
        <v>#N/A</v>
      </c>
      <c r="D191" t="e">
        <f>IF(ISNUMBER(K191),IF('Lab test'!Q182&gt;0,'Lab test'!Q182,NA()),NA())</f>
        <v>#N/A</v>
      </c>
      <c r="E191" t="e">
        <f>IF(ISNUMBER(K191),IF('Lab test'!P182&gt;0,'Lab test'!P182,NA()),NA())</f>
        <v>#N/A</v>
      </c>
      <c r="F191" t="e">
        <f>IF(ISNUMBER(K191),IF('Lab test'!AJ182&gt;0,'Lab test'!AJ182,NA()),NA())</f>
        <v>#N/A</v>
      </c>
      <c r="G191">
        <f>IF('Lab test'!V182&gt;0,'Lab test'!V182,NA())</f>
        <v>220632.23338138757</v>
      </c>
      <c r="H191" t="e">
        <f>IF(MAX('Lab test'!W182,'Lab test'!X182)&gt;0,MAX('Lab test'!W182,'Lab test'!X182),NA())</f>
        <v>#N/A</v>
      </c>
      <c r="I191" t="e">
        <f>IF('Lab test'!AU182&gt;0,'Lab test'!AU182,NA())</f>
        <v>#N/A</v>
      </c>
      <c r="J191">
        <f>IF('Lab test'!AT182&gt;0,'Lab test'!AT182,NA())</f>
        <v>0.18247248837939781</v>
      </c>
      <c r="K191" t="e">
        <f t="shared" si="112"/>
        <v>#N/A</v>
      </c>
      <c r="L191" t="str">
        <f>'Lab test'!AC182</f>
        <v>LTWb</v>
      </c>
      <c r="N191">
        <v>179</v>
      </c>
      <c r="O191">
        <v>54.371409703300003</v>
      </c>
      <c r="P191">
        <v>8.4782692254399994E-2</v>
      </c>
      <c r="Q191">
        <f t="shared" si="113"/>
        <v>641.30317471108935</v>
      </c>
      <c r="R191">
        <v>78.831702019000005</v>
      </c>
      <c r="S191">
        <f t="shared" si="114"/>
        <v>5.7253048375846993E-2</v>
      </c>
      <c r="T191">
        <v>2.0881867643900001E-2</v>
      </c>
      <c r="U191">
        <f t="shared" si="88"/>
        <v>0.7991071428571429</v>
      </c>
      <c r="W191">
        <v>179</v>
      </c>
      <c r="X191" t="e">
        <v>#N/A</v>
      </c>
      <c r="Z191" t="e">
        <f t="shared" si="90"/>
        <v>#N/A</v>
      </c>
      <c r="AB191" t="e">
        <f t="shared" si="121"/>
        <v>#N/A</v>
      </c>
      <c r="AC191" t="e">
        <f t="shared" si="92"/>
        <v>#N/A</v>
      </c>
      <c r="AE191" t="e">
        <v>#N/A</v>
      </c>
      <c r="AF191" t="e">
        <v>#N/A</v>
      </c>
      <c r="AJ191">
        <f t="shared" si="93"/>
        <v>0.7991071428571429</v>
      </c>
      <c r="AK191">
        <v>179.37346673100001</v>
      </c>
      <c r="AL191">
        <f t="shared" si="94"/>
        <v>1.3447630979999872</v>
      </c>
      <c r="AM191">
        <f t="shared" si="115"/>
        <v>4.4642857142858094E-3</v>
      </c>
      <c r="AO191">
        <v>179</v>
      </c>
      <c r="AP191" t="e">
        <v>#N/A</v>
      </c>
      <c r="AR191" t="e">
        <f t="shared" si="95"/>
        <v>#N/A</v>
      </c>
      <c r="AT191" t="e">
        <f t="shared" si="96"/>
        <v>#N/A</v>
      </c>
      <c r="AU191" t="e">
        <f t="shared" si="97"/>
        <v>#N/A</v>
      </c>
      <c r="AW191" t="e">
        <v>#N/A</v>
      </c>
      <c r="AX191" t="e">
        <v>#N/A</v>
      </c>
      <c r="BB191">
        <f t="shared" si="98"/>
        <v>0.7991071428571429</v>
      </c>
      <c r="BC191">
        <v>684.71340939109382</v>
      </c>
      <c r="BD191">
        <f t="shared" si="99"/>
        <v>0.26260906621371305</v>
      </c>
      <c r="BE191">
        <f t="shared" si="117"/>
        <v>4.4642857142858094E-3</v>
      </c>
      <c r="BF191">
        <v>179</v>
      </c>
      <c r="BG191" t="e">
        <v>#N/A</v>
      </c>
      <c r="BI191" t="e">
        <f t="shared" si="101"/>
        <v>#N/A</v>
      </c>
      <c r="BK191" t="e">
        <f t="shared" si="102"/>
        <v>#N/A</v>
      </c>
      <c r="BL191" t="e">
        <f t="shared" si="103"/>
        <v>#N/A</v>
      </c>
      <c r="BN191" t="e">
        <v>#N/A</v>
      </c>
      <c r="BO191" t="e">
        <v>#N/A</v>
      </c>
      <c r="BS191">
        <f t="shared" si="104"/>
        <v>0.7991071428571429</v>
      </c>
      <c r="BT191">
        <v>0.19229124751056578</v>
      </c>
      <c r="BU191">
        <f t="shared" si="105"/>
        <v>6.8681181754665366E-3</v>
      </c>
      <c r="BV191">
        <f t="shared" si="118"/>
        <v>4.4642857142858094E-3</v>
      </c>
      <c r="BW191">
        <v>179</v>
      </c>
      <c r="BX191" t="e">
        <v>#N/A</v>
      </c>
      <c r="BZ191" t="e">
        <f t="shared" si="107"/>
        <v>#N/A</v>
      </c>
      <c r="CB191" t="e">
        <f t="shared" si="120"/>
        <v>#N/A</v>
      </c>
      <c r="CC191" t="e">
        <f t="shared" si="109"/>
        <v>#N/A</v>
      </c>
      <c r="CE191" t="e">
        <v>#N/A</v>
      </c>
      <c r="CF191" t="e">
        <v>#N/A</v>
      </c>
      <c r="CJ191">
        <f t="shared" si="110"/>
        <v>0.7991071428571429</v>
      </c>
      <c r="CK191">
        <v>6.6561553969900003E-2</v>
      </c>
      <c r="CL191">
        <f t="shared" si="111"/>
        <v>5.5329701000028653E-6</v>
      </c>
      <c r="CM191">
        <f t="shared" si="119"/>
        <v>4.4642857142858094E-3</v>
      </c>
    </row>
    <row r="192" spans="2:91">
      <c r="B192">
        <v>180</v>
      </c>
      <c r="C192" t="e">
        <f>IF(ISNUMBER(K192),IF('Lab test'!N183&gt;0,'Lab test'!N183,NA()),NA())</f>
        <v>#N/A</v>
      </c>
      <c r="D192" t="e">
        <f>IF(ISNUMBER(K192),IF('Lab test'!Q183&gt;0,'Lab test'!Q183,NA()),NA())</f>
        <v>#N/A</v>
      </c>
      <c r="E192" t="e">
        <f>IF(ISNUMBER(K192),IF('Lab test'!P183&gt;0,'Lab test'!P183,NA()),NA())</f>
        <v>#N/A</v>
      </c>
      <c r="F192" t="e">
        <f>IF(ISNUMBER(K192),IF('Lab test'!AJ183&gt;0,'Lab test'!AJ183,NA()),NA())</f>
        <v>#N/A</v>
      </c>
      <c r="G192">
        <f>IF('Lab test'!V183&gt;0,'Lab test'!V183,NA())</f>
        <v>220632.23338138757</v>
      </c>
      <c r="H192" t="e">
        <f>IF(MAX('Lab test'!W183,'Lab test'!X183)&gt;0,MAX('Lab test'!W183,'Lab test'!X183),NA())</f>
        <v>#N/A</v>
      </c>
      <c r="I192" t="e">
        <f>IF('Lab test'!AU183&gt;0,'Lab test'!AU183,NA())</f>
        <v>#N/A</v>
      </c>
      <c r="J192">
        <f>IF('Lab test'!AT183&gt;0,'Lab test'!AT183,NA())</f>
        <v>0.18854261998518254</v>
      </c>
      <c r="K192" t="e">
        <f t="shared" si="112"/>
        <v>#N/A</v>
      </c>
      <c r="L192" t="str">
        <f>'Lab test'!AC183</f>
        <v>LTWb</v>
      </c>
      <c r="N192">
        <v>180</v>
      </c>
      <c r="O192">
        <v>54.9995482311</v>
      </c>
      <c r="P192">
        <v>8.0144066828100005E-2</v>
      </c>
      <c r="Q192">
        <f t="shared" si="113"/>
        <v>686.25851429610918</v>
      </c>
      <c r="R192">
        <v>158.43027644200001</v>
      </c>
      <c r="S192">
        <f t="shared" si="114"/>
        <v>0.10996011489376083</v>
      </c>
      <c r="T192">
        <v>1.10083620075E-2</v>
      </c>
      <c r="U192">
        <f t="shared" si="88"/>
        <v>0.8035714285714286</v>
      </c>
      <c r="W192">
        <v>180</v>
      </c>
      <c r="X192" t="e">
        <v>#N/A</v>
      </c>
      <c r="Z192" t="e">
        <f t="shared" si="90"/>
        <v>#N/A</v>
      </c>
      <c r="AB192" t="e">
        <f t="shared" si="121"/>
        <v>#N/A</v>
      </c>
      <c r="AC192" t="e">
        <f t="shared" si="92"/>
        <v>#N/A</v>
      </c>
      <c r="AE192" t="e">
        <v>#N/A</v>
      </c>
      <c r="AF192" t="e">
        <v>#N/A</v>
      </c>
      <c r="AJ192">
        <f t="shared" si="93"/>
        <v>0.8035714285714286</v>
      </c>
      <c r="AK192">
        <v>180.71822982899999</v>
      </c>
      <c r="AL192">
        <f t="shared" si="94"/>
        <v>1.9550212780000038</v>
      </c>
      <c r="AM192">
        <f t="shared" si="115"/>
        <v>4.4642857142856984E-3</v>
      </c>
      <c r="AO192">
        <v>180</v>
      </c>
      <c r="AP192" t="e">
        <v>#N/A</v>
      </c>
      <c r="AR192" t="e">
        <f t="shared" si="95"/>
        <v>#N/A</v>
      </c>
      <c r="AT192" t="e">
        <f t="shared" si="96"/>
        <v>#N/A</v>
      </c>
      <c r="AU192" t="e">
        <f t="shared" si="97"/>
        <v>#N/A</v>
      </c>
      <c r="AW192" t="e">
        <v>#N/A</v>
      </c>
      <c r="AX192" t="e">
        <v>#N/A</v>
      </c>
      <c r="BB192">
        <f t="shared" si="98"/>
        <v>0.8035714285714286</v>
      </c>
      <c r="BC192">
        <v>684.97601845730753</v>
      </c>
      <c r="BD192">
        <f t="shared" si="99"/>
        <v>0.3439920886926302</v>
      </c>
      <c r="BE192">
        <f t="shared" si="117"/>
        <v>4.4642857142856984E-3</v>
      </c>
      <c r="BF192">
        <v>180</v>
      </c>
      <c r="BG192" t="e">
        <v>#N/A</v>
      </c>
      <c r="BI192" t="e">
        <f t="shared" si="101"/>
        <v>#N/A</v>
      </c>
      <c r="BK192" t="e">
        <f t="shared" si="102"/>
        <v>#N/A</v>
      </c>
      <c r="BL192" t="e">
        <f t="shared" si="103"/>
        <v>#N/A</v>
      </c>
      <c r="BN192" t="e">
        <v>#N/A</v>
      </c>
      <c r="BO192" t="e">
        <v>#N/A</v>
      </c>
      <c r="BS192">
        <f t="shared" si="104"/>
        <v>0.8035714285714286</v>
      </c>
      <c r="BT192">
        <v>0.19915936568603232</v>
      </c>
      <c r="BU192">
        <f t="shared" si="105"/>
        <v>1.0398269164696605E-2</v>
      </c>
      <c r="BV192">
        <f t="shared" si="118"/>
        <v>4.4642857142856984E-3</v>
      </c>
      <c r="BW192">
        <v>180</v>
      </c>
      <c r="BX192" t="e">
        <v>#N/A</v>
      </c>
      <c r="BZ192" t="e">
        <f t="shared" si="107"/>
        <v>#N/A</v>
      </c>
      <c r="CB192" t="e">
        <f t="shared" si="120"/>
        <v>#N/A</v>
      </c>
      <c r="CC192" t="e">
        <f t="shared" si="109"/>
        <v>#N/A</v>
      </c>
      <c r="CE192" t="e">
        <v>#N/A</v>
      </c>
      <c r="CF192" t="e">
        <v>#N/A</v>
      </c>
      <c r="CJ192">
        <f t="shared" si="110"/>
        <v>0.8035714285714286</v>
      </c>
      <c r="CK192">
        <v>6.6567086940000006E-2</v>
      </c>
      <c r="CL192">
        <f t="shared" si="111"/>
        <v>1.9446780999965441E-6</v>
      </c>
      <c r="CM192">
        <f t="shared" si="119"/>
        <v>4.4642857142856984E-3</v>
      </c>
    </row>
    <row r="193" spans="2:91">
      <c r="B193">
        <v>181</v>
      </c>
      <c r="C193" t="e">
        <f>IF(ISNUMBER(K193),IF('Lab test'!N184&gt;0,'Lab test'!N184,NA()),NA())</f>
        <v>#N/A</v>
      </c>
      <c r="D193" t="e">
        <f>IF(ISNUMBER(K193),IF('Lab test'!Q184&gt;0,'Lab test'!Q184,NA()),NA())</f>
        <v>#N/A</v>
      </c>
      <c r="E193" t="e">
        <f>IF(ISNUMBER(K193),IF('Lab test'!P184&gt;0,'Lab test'!P184,NA()),NA())</f>
        <v>#N/A</v>
      </c>
      <c r="F193" t="e">
        <f>IF(ISNUMBER(K193),IF('Lab test'!AJ184&gt;0,'Lab test'!AJ184,NA()),NA())</f>
        <v>#N/A</v>
      </c>
      <c r="G193">
        <f>IF('Lab test'!V184&gt;0,'Lab test'!V184,NA())</f>
        <v>220632.23338138757</v>
      </c>
      <c r="H193" t="e">
        <f>IF(MAX('Lab test'!W184,'Lab test'!X184)&gt;0,MAX('Lab test'!W184,'Lab test'!X184),NA())</f>
        <v>#N/A</v>
      </c>
      <c r="I193" t="e">
        <f>IF('Lab test'!AU184&gt;0,'Lab test'!AU184,NA())</f>
        <v>#N/A</v>
      </c>
      <c r="J193">
        <f>IF('Lab test'!AT184&gt;0,'Lab test'!AT184,NA())</f>
        <v>0.26368413783907368</v>
      </c>
      <c r="K193" t="e">
        <f t="shared" si="112"/>
        <v>#N/A</v>
      </c>
      <c r="L193" t="str">
        <f>'Lab test'!AC184</f>
        <v>LTWb</v>
      </c>
      <c r="N193">
        <v>181</v>
      </c>
      <c r="O193">
        <v>55.033925295300001</v>
      </c>
      <c r="P193">
        <v>7.2099870476799999E-2</v>
      </c>
      <c r="Q193">
        <f t="shared" si="113"/>
        <v>763.30130597125822</v>
      </c>
      <c r="R193">
        <v>107.784909226</v>
      </c>
      <c r="S193">
        <f t="shared" si="114"/>
        <v>7.0889100812786793E-2</v>
      </c>
      <c r="T193">
        <v>2.7807919431399999E-2</v>
      </c>
      <c r="U193">
        <f t="shared" si="88"/>
        <v>0.8080357142857143</v>
      </c>
      <c r="W193">
        <v>181</v>
      </c>
      <c r="X193" t="e">
        <v>#N/A</v>
      </c>
      <c r="Z193" t="e">
        <f t="shared" si="90"/>
        <v>#N/A</v>
      </c>
      <c r="AB193" t="e">
        <f t="shared" si="121"/>
        <v>#N/A</v>
      </c>
      <c r="AC193" t="e">
        <f t="shared" si="92"/>
        <v>#N/A</v>
      </c>
      <c r="AE193" t="e">
        <v>#N/A</v>
      </c>
      <c r="AF193" t="e">
        <v>#N/A</v>
      </c>
      <c r="AJ193">
        <f t="shared" si="93"/>
        <v>0.8080357142857143</v>
      </c>
      <c r="AK193">
        <v>182.673251107</v>
      </c>
      <c r="AL193">
        <f t="shared" si="94"/>
        <v>1.1221893109999996</v>
      </c>
      <c r="AM193">
        <f t="shared" si="115"/>
        <v>4.4642857142856984E-3</v>
      </c>
      <c r="AO193">
        <v>181</v>
      </c>
      <c r="AP193" t="e">
        <v>#N/A</v>
      </c>
      <c r="AR193" t="e">
        <f t="shared" si="95"/>
        <v>#N/A</v>
      </c>
      <c r="AT193" t="e">
        <f t="shared" si="96"/>
        <v>#N/A</v>
      </c>
      <c r="AU193" t="e">
        <f t="shared" si="97"/>
        <v>#N/A</v>
      </c>
      <c r="AW193" t="e">
        <v>#N/A</v>
      </c>
      <c r="AX193" t="e">
        <v>#N/A</v>
      </c>
      <c r="BB193">
        <f t="shared" si="98"/>
        <v>0.8080357142857143</v>
      </c>
      <c r="BC193">
        <v>685.32001054600016</v>
      </c>
      <c r="BD193">
        <f t="shared" si="99"/>
        <v>6.482930933964326E-2</v>
      </c>
      <c r="BE193">
        <f t="shared" si="117"/>
        <v>4.4642857142856984E-3</v>
      </c>
      <c r="BF193">
        <v>181</v>
      </c>
      <c r="BG193" t="e">
        <v>#N/A</v>
      </c>
      <c r="BI193" t="e">
        <f t="shared" si="101"/>
        <v>#N/A</v>
      </c>
      <c r="BK193" t="e">
        <f t="shared" si="102"/>
        <v>#N/A</v>
      </c>
      <c r="BL193" t="e">
        <f t="shared" si="103"/>
        <v>#N/A</v>
      </c>
      <c r="BN193" t="e">
        <v>#N/A</v>
      </c>
      <c r="BO193" t="e">
        <v>#N/A</v>
      </c>
      <c r="BS193">
        <f t="shared" si="104"/>
        <v>0.8080357142857143</v>
      </c>
      <c r="BT193">
        <v>0.20955763485072892</v>
      </c>
      <c r="BU193">
        <f t="shared" si="105"/>
        <v>2.369351374285622E-4</v>
      </c>
      <c r="BV193">
        <f t="shared" si="118"/>
        <v>4.4642857142856984E-3</v>
      </c>
      <c r="BW193">
        <v>181</v>
      </c>
      <c r="BX193" t="e">
        <v>#N/A</v>
      </c>
      <c r="BZ193" t="e">
        <f t="shared" si="107"/>
        <v>#N/A</v>
      </c>
      <c r="CB193" t="e">
        <f t="shared" si="120"/>
        <v>#N/A</v>
      </c>
      <c r="CC193" t="e">
        <f t="shared" si="109"/>
        <v>#N/A</v>
      </c>
      <c r="CE193" t="e">
        <v>#N/A</v>
      </c>
      <c r="CF193" t="e">
        <v>#N/A</v>
      </c>
      <c r="CJ193">
        <f t="shared" si="110"/>
        <v>0.8080357142857143</v>
      </c>
      <c r="CK193">
        <v>6.6569031618100002E-2</v>
      </c>
      <c r="CL193">
        <f t="shared" si="111"/>
        <v>4.0456117999937424E-6</v>
      </c>
      <c r="CM193">
        <f t="shared" si="119"/>
        <v>4.4642857142856984E-3</v>
      </c>
    </row>
    <row r="194" spans="2:91">
      <c r="B194">
        <v>182</v>
      </c>
      <c r="C194" t="e">
        <f>IF(ISNUMBER(K194),IF('Lab test'!N185&gt;0,'Lab test'!N185,NA()),NA())</f>
        <v>#N/A</v>
      </c>
      <c r="D194" t="e">
        <f>IF(ISNUMBER(K194),IF('Lab test'!Q185&gt;0,'Lab test'!Q185,NA()),NA())</f>
        <v>#N/A</v>
      </c>
      <c r="E194" t="e">
        <f>IF(ISNUMBER(K194),IF('Lab test'!P185&gt;0,'Lab test'!P185,NA()),NA())</f>
        <v>#N/A</v>
      </c>
      <c r="F194" t="e">
        <f>IF(ISNUMBER(K194),IF('Lab test'!AJ185&gt;0,'Lab test'!AJ185,NA()),NA())</f>
        <v>#N/A</v>
      </c>
      <c r="G194">
        <f>IF('Lab test'!V185&gt;0,'Lab test'!V185,NA())</f>
        <v>220632.23338138757</v>
      </c>
      <c r="H194" t="e">
        <f>IF(MAX('Lab test'!W185,'Lab test'!X185)&gt;0,MAX('Lab test'!W185,'Lab test'!X185),NA())</f>
        <v>#N/A</v>
      </c>
      <c r="I194" t="e">
        <f>IF('Lab test'!AU185&gt;0,'Lab test'!AU185,NA())</f>
        <v>#N/A</v>
      </c>
      <c r="J194">
        <f>IF('Lab test'!AT185&gt;0,'Lab test'!AT185,NA())</f>
        <v>0.25519482428669626</v>
      </c>
      <c r="K194" t="e">
        <f t="shared" si="112"/>
        <v>#N/A</v>
      </c>
      <c r="L194" t="str">
        <f>'Lab test'!AC185</f>
        <v>LTWb</v>
      </c>
      <c r="N194">
        <v>182</v>
      </c>
      <c r="O194">
        <v>55.1316767852</v>
      </c>
      <c r="P194">
        <v>0.174706941896</v>
      </c>
      <c r="Q194">
        <f t="shared" si="113"/>
        <v>315.56660649477186</v>
      </c>
      <c r="R194">
        <v>97.716289025799995</v>
      </c>
      <c r="S194">
        <f t="shared" si="114"/>
        <v>9.9774657172101294E-2</v>
      </c>
      <c r="T194">
        <v>2.4905870207000001E-2</v>
      </c>
      <c r="U194">
        <f t="shared" si="88"/>
        <v>0.8125</v>
      </c>
      <c r="W194">
        <v>182</v>
      </c>
      <c r="X194" t="e">
        <v>#N/A</v>
      </c>
      <c r="Z194" t="e">
        <f t="shared" si="90"/>
        <v>#N/A</v>
      </c>
      <c r="AB194" t="e">
        <f t="shared" si="121"/>
        <v>#N/A</v>
      </c>
      <c r="AC194" t="e">
        <f t="shared" si="92"/>
        <v>#N/A</v>
      </c>
      <c r="AE194" t="e">
        <v>#N/A</v>
      </c>
      <c r="AF194" t="e">
        <v>#N/A</v>
      </c>
      <c r="AJ194">
        <f t="shared" si="93"/>
        <v>0.8125</v>
      </c>
      <c r="AK194">
        <v>183.795440418</v>
      </c>
      <c r="AL194">
        <f t="shared" si="94"/>
        <v>1.0634525590000123</v>
      </c>
      <c r="AM194">
        <f t="shared" si="115"/>
        <v>4.4642857142856984E-3</v>
      </c>
      <c r="AO194">
        <v>182</v>
      </c>
      <c r="AP194" t="e">
        <v>#N/A</v>
      </c>
      <c r="AR194" t="e">
        <f t="shared" si="95"/>
        <v>#N/A</v>
      </c>
      <c r="AT194" t="e">
        <f t="shared" si="96"/>
        <v>#N/A</v>
      </c>
      <c r="AU194" t="e">
        <f t="shared" si="97"/>
        <v>#N/A</v>
      </c>
      <c r="AW194" t="e">
        <v>#N/A</v>
      </c>
      <c r="AX194" t="e">
        <v>#N/A</v>
      </c>
      <c r="BB194">
        <f t="shared" si="98"/>
        <v>0.8125</v>
      </c>
      <c r="BC194">
        <v>685.38483985533981</v>
      </c>
      <c r="BD194">
        <f t="shared" si="99"/>
        <v>0.15262508633907146</v>
      </c>
      <c r="BE194">
        <f t="shared" si="117"/>
        <v>4.4642857142856984E-3</v>
      </c>
      <c r="BF194">
        <v>182</v>
      </c>
      <c r="BG194" t="e">
        <v>#N/A</v>
      </c>
      <c r="BI194" t="e">
        <f t="shared" si="101"/>
        <v>#N/A</v>
      </c>
      <c r="BK194" t="e">
        <f t="shared" si="102"/>
        <v>#N/A</v>
      </c>
      <c r="BL194" t="e">
        <f t="shared" si="103"/>
        <v>#N/A</v>
      </c>
      <c r="BN194" t="e">
        <v>#N/A</v>
      </c>
      <c r="BO194" t="e">
        <v>#N/A</v>
      </c>
      <c r="BS194">
        <f t="shared" si="104"/>
        <v>0.8125</v>
      </c>
      <c r="BT194">
        <v>0.20979456998815749</v>
      </c>
      <c r="BU194">
        <f t="shared" si="105"/>
        <v>3.1715697675091525E-4</v>
      </c>
      <c r="BV194">
        <f t="shared" si="118"/>
        <v>4.4642857142856984E-3</v>
      </c>
      <c r="BW194">
        <v>182</v>
      </c>
      <c r="BX194" t="e">
        <v>#N/A</v>
      </c>
      <c r="BZ194" t="e">
        <f t="shared" si="107"/>
        <v>#N/A</v>
      </c>
      <c r="CB194" t="e">
        <f t="shared" si="120"/>
        <v>#N/A</v>
      </c>
      <c r="CC194" t="e">
        <f t="shared" si="109"/>
        <v>#N/A</v>
      </c>
      <c r="CE194" t="e">
        <v>#N/A</v>
      </c>
      <c r="CF194" t="e">
        <v>#N/A</v>
      </c>
      <c r="CJ194">
        <f t="shared" si="110"/>
        <v>0.8125</v>
      </c>
      <c r="CK194">
        <v>6.6573077229899996E-2</v>
      </c>
      <c r="CL194">
        <f t="shared" si="111"/>
        <v>3.5720230000257924E-7</v>
      </c>
      <c r="CM194">
        <f t="shared" si="119"/>
        <v>4.4642857142856984E-3</v>
      </c>
    </row>
    <row r="195" spans="2:91">
      <c r="B195">
        <v>183</v>
      </c>
      <c r="C195" t="e">
        <f>IF(ISNUMBER(K195),IF('Lab test'!N186&gt;0,'Lab test'!N186,NA()),NA())</f>
        <v>#N/A</v>
      </c>
      <c r="D195" t="e">
        <f>IF(ISNUMBER(K195),IF('Lab test'!Q186&gt;0,'Lab test'!Q186,NA()),NA())</f>
        <v>#N/A</v>
      </c>
      <c r="E195" t="e">
        <f>IF(ISNUMBER(K195),IF('Lab test'!P186&gt;0,'Lab test'!P186,NA()),NA())</f>
        <v>#N/A</v>
      </c>
      <c r="F195" t="e">
        <f>IF(ISNUMBER(K195),IF('Lab test'!AJ186&gt;0,'Lab test'!AJ186,NA()),NA())</f>
        <v>#N/A</v>
      </c>
      <c r="G195">
        <f>IF('Lab test'!V186&gt;0,'Lab test'!V186,NA())</f>
        <v>220632.23338138757</v>
      </c>
      <c r="H195" t="e">
        <f>IF(MAX('Lab test'!W186,'Lab test'!X186)&gt;0,MAX('Lab test'!W186,'Lab test'!X186),NA())</f>
        <v>#N/A</v>
      </c>
      <c r="I195" t="e">
        <f>IF('Lab test'!AU186&gt;0,'Lab test'!AU186,NA())</f>
        <v>#N/A</v>
      </c>
      <c r="J195">
        <f>IF('Lab test'!AT186&gt;0,'Lab test'!AT186,NA())</f>
        <v>0.38104004151776222</v>
      </c>
      <c r="K195" t="e">
        <f t="shared" si="112"/>
        <v>#N/A</v>
      </c>
      <c r="L195" t="str">
        <f>'Lab test'!AC186</f>
        <v>LTWb</v>
      </c>
      <c r="N195">
        <v>183</v>
      </c>
      <c r="O195">
        <v>58.3643210623</v>
      </c>
      <c r="P195">
        <v>0.109783415321</v>
      </c>
      <c r="Q195">
        <f t="shared" si="113"/>
        <v>531.63149362448132</v>
      </c>
      <c r="R195">
        <v>80.451863209300001</v>
      </c>
      <c r="S195">
        <f t="shared" si="114"/>
        <v>5.9783772753171815E-2</v>
      </c>
      <c r="T195">
        <v>6.6507094695099994E-2</v>
      </c>
      <c r="U195">
        <f t="shared" si="88"/>
        <v>0.8169642857142857</v>
      </c>
      <c r="W195">
        <v>183</v>
      </c>
      <c r="X195" t="e">
        <v>#N/A</v>
      </c>
      <c r="Z195" t="e">
        <f t="shared" si="90"/>
        <v>#N/A</v>
      </c>
      <c r="AB195" t="e">
        <f t="shared" si="121"/>
        <v>#N/A</v>
      </c>
      <c r="AC195" t="e">
        <f t="shared" si="92"/>
        <v>#N/A</v>
      </c>
      <c r="AE195" t="e">
        <v>#N/A</v>
      </c>
      <c r="AF195" t="e">
        <v>#N/A</v>
      </c>
      <c r="AJ195">
        <f t="shared" si="93"/>
        <v>0.8169642857142857</v>
      </c>
      <c r="AK195">
        <v>184.85889297700001</v>
      </c>
      <c r="AL195">
        <f t="shared" si="94"/>
        <v>0.4471105049999835</v>
      </c>
      <c r="AM195">
        <f t="shared" si="115"/>
        <v>4.4642857142856984E-3</v>
      </c>
      <c r="AO195">
        <v>183</v>
      </c>
      <c r="AP195" t="e">
        <v>#N/A</v>
      </c>
      <c r="AR195" t="e">
        <f t="shared" si="95"/>
        <v>#N/A</v>
      </c>
      <c r="AT195" t="e">
        <f t="shared" si="96"/>
        <v>#N/A</v>
      </c>
      <c r="AU195" t="e">
        <f t="shared" si="97"/>
        <v>#N/A</v>
      </c>
      <c r="AW195" t="e">
        <v>#N/A</v>
      </c>
      <c r="AX195" t="e">
        <v>#N/A</v>
      </c>
      <c r="BB195">
        <f t="shared" si="98"/>
        <v>0.8169642857142857</v>
      </c>
      <c r="BC195">
        <v>685.53746494167888</v>
      </c>
      <c r="BD195">
        <f t="shared" si="99"/>
        <v>7.5476671243450255E-2</v>
      </c>
      <c r="BE195">
        <f t="shared" si="117"/>
        <v>4.4642857142856984E-3</v>
      </c>
      <c r="BF195">
        <v>183</v>
      </c>
      <c r="BG195" t="e">
        <v>#N/A</v>
      </c>
      <c r="BI195" t="e">
        <f t="shared" si="101"/>
        <v>#N/A</v>
      </c>
      <c r="BK195" t="e">
        <f t="shared" si="102"/>
        <v>#N/A</v>
      </c>
      <c r="BL195" t="e">
        <f t="shared" si="103"/>
        <v>#N/A</v>
      </c>
      <c r="BN195" t="e">
        <v>#N/A</v>
      </c>
      <c r="BO195" t="e">
        <v>#N/A</v>
      </c>
      <c r="BS195">
        <f t="shared" si="104"/>
        <v>0.8169642857142857</v>
      </c>
      <c r="BT195">
        <v>0.2101117269649084</v>
      </c>
      <c r="BU195">
        <f t="shared" si="105"/>
        <v>2.0843801556222341E-4</v>
      </c>
      <c r="BV195">
        <f t="shared" si="118"/>
        <v>4.4642857142856984E-3</v>
      </c>
      <c r="BW195">
        <v>183</v>
      </c>
      <c r="BX195" t="e">
        <v>#N/A</v>
      </c>
      <c r="BZ195" t="e">
        <f t="shared" si="107"/>
        <v>#N/A</v>
      </c>
      <c r="CB195" t="e">
        <f t="shared" si="120"/>
        <v>#N/A</v>
      </c>
      <c r="CC195" t="e">
        <f t="shared" si="109"/>
        <v>#N/A</v>
      </c>
      <c r="CE195" t="e">
        <v>#N/A</v>
      </c>
      <c r="CF195" t="e">
        <v>#N/A</v>
      </c>
      <c r="CJ195">
        <f t="shared" si="110"/>
        <v>0.8169642857142857</v>
      </c>
      <c r="CK195">
        <v>6.6573434432199999E-2</v>
      </c>
      <c r="CL195">
        <f t="shared" si="111"/>
        <v>5.7900880000294475E-7</v>
      </c>
      <c r="CM195">
        <f t="shared" si="119"/>
        <v>4.4642857142856984E-3</v>
      </c>
    </row>
    <row r="196" spans="2:91">
      <c r="B196">
        <v>184</v>
      </c>
      <c r="C196" t="e">
        <f>IF(ISNUMBER(K196),IF('Lab test'!N187&gt;0,'Lab test'!N187,NA()),NA())</f>
        <v>#N/A</v>
      </c>
      <c r="D196" t="e">
        <f>IF(ISNUMBER(K196),IF('Lab test'!Q187&gt;0,'Lab test'!Q187,NA()),NA())</f>
        <v>#N/A</v>
      </c>
      <c r="E196" t="e">
        <f>IF(ISNUMBER(K196),IF('Lab test'!P187&gt;0,'Lab test'!P187,NA()),NA())</f>
        <v>#N/A</v>
      </c>
      <c r="F196" t="e">
        <f>IF(ISNUMBER(K196),IF('Lab test'!AJ187&gt;0,'Lab test'!AJ187,NA()),NA())</f>
        <v>#N/A</v>
      </c>
      <c r="G196">
        <f>IF('Lab test'!V187&gt;0,'Lab test'!V187,NA())</f>
        <v>220632.23338138757</v>
      </c>
      <c r="H196" t="e">
        <f>IF(MAX('Lab test'!W187,'Lab test'!X187)&gt;0,MAX('Lab test'!W187,'Lab test'!X187),NA())</f>
        <v>#N/A</v>
      </c>
      <c r="I196" t="e">
        <f>IF('Lab test'!AU187&gt;0,'Lab test'!AU187,NA())</f>
        <v>#N/A</v>
      </c>
      <c r="J196">
        <f>IF('Lab test'!AT187&gt;0,'Lab test'!AT187,NA())</f>
        <v>0.33156524979597468</v>
      </c>
      <c r="K196" t="e">
        <f t="shared" si="112"/>
        <v>#N/A</v>
      </c>
      <c r="L196" t="str">
        <f>'Lab test'!AC187</f>
        <v>LTWb</v>
      </c>
      <c r="N196">
        <v>184</v>
      </c>
      <c r="O196">
        <v>59.032833873599998</v>
      </c>
      <c r="P196">
        <v>0.151987537945</v>
      </c>
      <c r="Q196">
        <f t="shared" si="113"/>
        <v>388.40575136470937</v>
      </c>
      <c r="R196">
        <v>397.99759116799999</v>
      </c>
      <c r="S196">
        <f t="shared" si="114"/>
        <v>0.34209284074431162</v>
      </c>
      <c r="T196">
        <v>4.9736986213200003E-2</v>
      </c>
      <c r="U196">
        <f t="shared" si="88"/>
        <v>0.8214285714285714</v>
      </c>
      <c r="W196">
        <v>184</v>
      </c>
      <c r="X196" t="e">
        <v>#N/A</v>
      </c>
      <c r="Z196" t="e">
        <f t="shared" si="90"/>
        <v>#N/A</v>
      </c>
      <c r="AB196" t="e">
        <f t="shared" si="121"/>
        <v>#N/A</v>
      </c>
      <c r="AC196" t="e">
        <f t="shared" si="92"/>
        <v>#N/A</v>
      </c>
      <c r="AE196" t="e">
        <v>#N/A</v>
      </c>
      <c r="AF196" t="e">
        <v>#N/A</v>
      </c>
      <c r="AJ196">
        <f t="shared" si="93"/>
        <v>0.8214285714285714</v>
      </c>
      <c r="AK196">
        <v>185.30600348199999</v>
      </c>
      <c r="AL196">
        <f t="shared" si="94"/>
        <v>7.7145293000000947E-2</v>
      </c>
      <c r="AM196">
        <f t="shared" si="115"/>
        <v>4.4642857142856984E-3</v>
      </c>
      <c r="AO196">
        <v>184</v>
      </c>
      <c r="AP196" t="e">
        <v>#N/A</v>
      </c>
      <c r="AR196" t="e">
        <f t="shared" si="95"/>
        <v>#N/A</v>
      </c>
      <c r="AT196" t="e">
        <f t="shared" si="96"/>
        <v>#N/A</v>
      </c>
      <c r="AU196" t="e">
        <f t="shared" si="97"/>
        <v>#N/A</v>
      </c>
      <c r="AW196" t="e">
        <v>#N/A</v>
      </c>
      <c r="AX196" t="e">
        <v>#N/A</v>
      </c>
      <c r="BB196">
        <f t="shared" si="98"/>
        <v>0.8214285714285714</v>
      </c>
      <c r="BC196">
        <v>685.61294161292233</v>
      </c>
      <c r="BD196">
        <f t="shared" si="99"/>
        <v>0.64557268318685601</v>
      </c>
      <c r="BE196">
        <f t="shared" si="117"/>
        <v>4.4642857142856984E-3</v>
      </c>
      <c r="BF196">
        <v>184</v>
      </c>
      <c r="BG196" t="e">
        <v>#N/A</v>
      </c>
      <c r="BI196" t="e">
        <f t="shared" si="101"/>
        <v>#N/A</v>
      </c>
      <c r="BK196" t="e">
        <f t="shared" si="102"/>
        <v>#N/A</v>
      </c>
      <c r="BL196" t="e">
        <f t="shared" si="103"/>
        <v>#N/A</v>
      </c>
      <c r="BN196" t="e">
        <v>#N/A</v>
      </c>
      <c r="BO196" t="e">
        <v>#N/A</v>
      </c>
      <c r="BS196">
        <f t="shared" si="104"/>
        <v>0.8214285714285714</v>
      </c>
      <c r="BT196">
        <v>0.21032016498047063</v>
      </c>
      <c r="BU196">
        <f t="shared" si="105"/>
        <v>7.8631449013710775E-5</v>
      </c>
      <c r="BV196">
        <f t="shared" si="118"/>
        <v>4.4642857142856984E-3</v>
      </c>
      <c r="BW196">
        <v>184</v>
      </c>
      <c r="BX196" t="e">
        <v>#N/A</v>
      </c>
      <c r="BZ196" t="e">
        <f t="shared" si="107"/>
        <v>#N/A</v>
      </c>
      <c r="CB196" t="e">
        <f t="shared" si="120"/>
        <v>#N/A</v>
      </c>
      <c r="CC196" t="e">
        <f t="shared" si="109"/>
        <v>#N/A</v>
      </c>
      <c r="CE196" t="e">
        <v>#N/A</v>
      </c>
      <c r="CF196" t="e">
        <v>#N/A</v>
      </c>
      <c r="CJ196">
        <f t="shared" si="110"/>
        <v>0.8214285714285714</v>
      </c>
      <c r="CK196">
        <v>6.6574013441000002E-2</v>
      </c>
      <c r="CL196">
        <f t="shared" si="111"/>
        <v>1.0635520600002502E-5</v>
      </c>
      <c r="CM196">
        <f t="shared" si="119"/>
        <v>4.4642857142856984E-3</v>
      </c>
    </row>
    <row r="197" spans="2:91">
      <c r="B197">
        <v>185</v>
      </c>
      <c r="C197" t="e">
        <f>IF(ISNUMBER(K197),IF('Lab test'!N188&gt;0,'Lab test'!N188,NA()),NA())</f>
        <v>#N/A</v>
      </c>
      <c r="D197" t="e">
        <f>IF(ISNUMBER(K197),IF('Lab test'!Q188&gt;0,'Lab test'!Q188,NA()),NA())</f>
        <v>#N/A</v>
      </c>
      <c r="E197" t="e">
        <f>IF(ISNUMBER(K197),IF('Lab test'!P188&gt;0,'Lab test'!P188,NA()),NA())</f>
        <v>#N/A</v>
      </c>
      <c r="F197" t="e">
        <f>IF(ISNUMBER(K197),IF('Lab test'!AJ188&gt;0,'Lab test'!AJ188,NA()),NA())</f>
        <v>#N/A</v>
      </c>
      <c r="G197">
        <f>IF('Lab test'!V188&gt;0,'Lab test'!V188,NA())</f>
        <v>220632.23338138757</v>
      </c>
      <c r="H197" t="e">
        <f>IF(MAX('Lab test'!W188,'Lab test'!X188)&gt;0,MAX('Lab test'!W188,'Lab test'!X188),NA())</f>
        <v>#N/A</v>
      </c>
      <c r="I197" t="e">
        <f>IF('Lab test'!AU188&gt;0,'Lab test'!AU188,NA())</f>
        <v>#N/A</v>
      </c>
      <c r="J197">
        <f>IF('Lab test'!AT188&gt;0,'Lab test'!AT188,NA())</f>
        <v>0.56894380066558803</v>
      </c>
      <c r="K197" t="e">
        <f t="shared" si="112"/>
        <v>#N/A</v>
      </c>
      <c r="L197" t="str">
        <f>'Lab test'!AC188</f>
        <v>LTWb</v>
      </c>
      <c r="N197">
        <v>185</v>
      </c>
      <c r="O197">
        <v>59.5709233364</v>
      </c>
      <c r="P197">
        <v>8.7001251208700003E-2</v>
      </c>
      <c r="Q197">
        <f t="shared" si="113"/>
        <v>684.71340939109382</v>
      </c>
      <c r="R197">
        <v>295.58933234300002</v>
      </c>
      <c r="S197">
        <f t="shared" si="114"/>
        <v>0.18962692753084032</v>
      </c>
      <c r="T197">
        <v>1.19006219094E-2</v>
      </c>
      <c r="U197">
        <f t="shared" si="88"/>
        <v>0.8258928571428571</v>
      </c>
      <c r="W197">
        <v>185</v>
      </c>
      <c r="X197" t="e">
        <v>#N/A</v>
      </c>
      <c r="Z197" t="e">
        <f t="shared" si="90"/>
        <v>#N/A</v>
      </c>
      <c r="AB197" t="e">
        <f t="shared" si="121"/>
        <v>#N/A</v>
      </c>
      <c r="AC197" t="e">
        <f t="shared" si="92"/>
        <v>#N/A</v>
      </c>
      <c r="AE197" t="e">
        <v>#N/A</v>
      </c>
      <c r="AF197" t="e">
        <v>#N/A</v>
      </c>
      <c r="AJ197">
        <f t="shared" si="93"/>
        <v>0.8258928571428571</v>
      </c>
      <c r="AK197">
        <v>185.383148775</v>
      </c>
      <c r="AL197">
        <f t="shared" si="94"/>
        <v>2.2838493510000148</v>
      </c>
      <c r="AM197">
        <f t="shared" si="115"/>
        <v>4.4642857142856984E-3</v>
      </c>
      <c r="AO197">
        <v>185</v>
      </c>
      <c r="AP197" t="e">
        <v>#N/A</v>
      </c>
      <c r="AR197" t="e">
        <f t="shared" si="95"/>
        <v>#N/A</v>
      </c>
      <c r="AT197" t="e">
        <f t="shared" si="96"/>
        <v>#N/A</v>
      </c>
      <c r="AU197" t="e">
        <f t="shared" si="97"/>
        <v>#N/A</v>
      </c>
      <c r="AW197" t="e">
        <v>#N/A</v>
      </c>
      <c r="AX197" t="e">
        <v>#N/A</v>
      </c>
      <c r="BB197">
        <f t="shared" si="98"/>
        <v>0.8258928571428571</v>
      </c>
      <c r="BC197">
        <v>686.25851429610918</v>
      </c>
      <c r="BD197">
        <f t="shared" si="99"/>
        <v>0.38203858701990612</v>
      </c>
      <c r="BE197">
        <f t="shared" si="117"/>
        <v>4.4642857142856984E-3</v>
      </c>
      <c r="BF197">
        <v>185</v>
      </c>
      <c r="BG197" t="e">
        <v>#N/A</v>
      </c>
      <c r="BI197" t="e">
        <f t="shared" si="101"/>
        <v>#N/A</v>
      </c>
      <c r="BK197" t="e">
        <f t="shared" si="102"/>
        <v>#N/A</v>
      </c>
      <c r="BL197" t="e">
        <f t="shared" si="103"/>
        <v>#N/A</v>
      </c>
      <c r="BN197" t="e">
        <v>#N/A</v>
      </c>
      <c r="BO197" t="e">
        <v>#N/A</v>
      </c>
      <c r="BS197">
        <f t="shared" si="104"/>
        <v>0.8258928571428571</v>
      </c>
      <c r="BT197">
        <v>0.21039879642948434</v>
      </c>
      <c r="BU197">
        <f t="shared" si="105"/>
        <v>4.6915396249097574E-5</v>
      </c>
      <c r="BV197">
        <f t="shared" si="118"/>
        <v>4.4642857142856984E-3</v>
      </c>
      <c r="BW197">
        <v>185</v>
      </c>
      <c r="BX197" t="e">
        <v>#N/A</v>
      </c>
      <c r="BZ197" t="e">
        <f t="shared" si="107"/>
        <v>#N/A</v>
      </c>
      <c r="CB197" t="e">
        <f t="shared" si="120"/>
        <v>#N/A</v>
      </c>
      <c r="CC197" t="e">
        <f t="shared" si="109"/>
        <v>#N/A</v>
      </c>
      <c r="CE197" t="e">
        <v>#N/A</v>
      </c>
      <c r="CF197" t="e">
        <v>#N/A</v>
      </c>
      <c r="CJ197">
        <f t="shared" si="110"/>
        <v>0.8258928571428571</v>
      </c>
      <c r="CK197">
        <v>6.6584648961600004E-2</v>
      </c>
      <c r="CL197">
        <f t="shared" si="111"/>
        <v>3.0361840999970635E-6</v>
      </c>
      <c r="CM197">
        <f t="shared" si="119"/>
        <v>4.4642857142856984E-3</v>
      </c>
    </row>
    <row r="198" spans="2:91">
      <c r="B198">
        <v>186</v>
      </c>
      <c r="C198" t="e">
        <f>IF(ISNUMBER(K198),IF('Lab test'!N189&gt;0,'Lab test'!N189,NA()),NA())</f>
        <v>#N/A</v>
      </c>
      <c r="D198" t="e">
        <f>IF(ISNUMBER(K198),IF('Lab test'!Q189&gt;0,'Lab test'!Q189,NA()),NA())</f>
        <v>#N/A</v>
      </c>
      <c r="E198" t="e">
        <f>IF(ISNUMBER(K198),IF('Lab test'!P189&gt;0,'Lab test'!P189,NA()),NA())</f>
        <v>#N/A</v>
      </c>
      <c r="F198" t="e">
        <f>IF(ISNUMBER(K198),IF('Lab test'!AJ189&gt;0,'Lab test'!AJ189,NA()),NA())</f>
        <v>#N/A</v>
      </c>
      <c r="G198">
        <f>IF('Lab test'!V189&gt;0,'Lab test'!V189,NA())</f>
        <v>220632.23338138757</v>
      </c>
      <c r="H198" t="e">
        <f>IF(MAX('Lab test'!W189,'Lab test'!X189)&gt;0,MAX('Lab test'!W189,'Lab test'!X189),NA())</f>
        <v>#N/A</v>
      </c>
      <c r="I198" t="e">
        <f>IF('Lab test'!AU189&gt;0,'Lab test'!AU189,NA())</f>
        <v>#N/A</v>
      </c>
      <c r="J198">
        <f>IF('Lab test'!AT189&gt;0,'Lab test'!AT189,NA())</f>
        <v>0.48703670162272333</v>
      </c>
      <c r="K198" t="e">
        <f t="shared" si="112"/>
        <v>#N/A</v>
      </c>
      <c r="L198" t="str">
        <f>'Lab test'!AC189</f>
        <v>LTWb</v>
      </c>
      <c r="N198">
        <v>186</v>
      </c>
      <c r="O198">
        <v>62.184644687499997</v>
      </c>
      <c r="P198">
        <v>0.13118500630499999</v>
      </c>
      <c r="Q198">
        <f t="shared" si="113"/>
        <v>474.02250027661802</v>
      </c>
      <c r="R198">
        <v>482.70129789700002</v>
      </c>
      <c r="S198">
        <f t="shared" si="114"/>
        <v>0.35652979629338233</v>
      </c>
      <c r="T198">
        <v>2.0377928916800001E-2</v>
      </c>
      <c r="U198">
        <f t="shared" si="88"/>
        <v>0.8303571428571429</v>
      </c>
      <c r="W198">
        <v>186</v>
      </c>
      <c r="X198" t="e">
        <v>#N/A</v>
      </c>
      <c r="Z198" t="e">
        <f t="shared" si="90"/>
        <v>#N/A</v>
      </c>
      <c r="AB198" t="e">
        <f t="shared" si="121"/>
        <v>#N/A</v>
      </c>
      <c r="AC198" t="e">
        <f t="shared" si="92"/>
        <v>#N/A</v>
      </c>
      <c r="AE198" t="e">
        <v>#N/A</v>
      </c>
      <c r="AF198" t="e">
        <v>#N/A</v>
      </c>
      <c r="AJ198">
        <f t="shared" si="93"/>
        <v>0.8303571428571429</v>
      </c>
      <c r="AK198">
        <v>187.66699812600001</v>
      </c>
      <c r="AL198">
        <f t="shared" si="94"/>
        <v>0.37634830899997951</v>
      </c>
      <c r="AM198">
        <f t="shared" si="115"/>
        <v>4.4642857142858094E-3</v>
      </c>
      <c r="AO198">
        <v>186</v>
      </c>
      <c r="AP198" t="e">
        <v>#N/A</v>
      </c>
      <c r="AR198" t="e">
        <f t="shared" si="95"/>
        <v>#N/A</v>
      </c>
      <c r="AT198" t="e">
        <f t="shared" si="96"/>
        <v>#N/A</v>
      </c>
      <c r="AU198" t="e">
        <f t="shared" si="97"/>
        <v>#N/A</v>
      </c>
      <c r="AW198" t="e">
        <v>#N/A</v>
      </c>
      <c r="AX198" t="e">
        <v>#N/A</v>
      </c>
      <c r="BB198">
        <f t="shared" si="98"/>
        <v>0.8303571428571429</v>
      </c>
      <c r="BC198">
        <v>686.64055288312909</v>
      </c>
      <c r="BD198">
        <f t="shared" si="99"/>
        <v>10.986048261054634</v>
      </c>
      <c r="BE198">
        <f t="shared" si="117"/>
        <v>4.4642857142858094E-3</v>
      </c>
      <c r="BF198">
        <v>186</v>
      </c>
      <c r="BG198" t="e">
        <v>#N/A</v>
      </c>
      <c r="BI198" t="e">
        <f t="shared" si="101"/>
        <v>#N/A</v>
      </c>
      <c r="BK198" t="e">
        <f t="shared" si="102"/>
        <v>#N/A</v>
      </c>
      <c r="BL198" t="e">
        <f t="shared" si="103"/>
        <v>#N/A</v>
      </c>
      <c r="BN198" t="e">
        <v>#N/A</v>
      </c>
      <c r="BO198" t="e">
        <v>#N/A</v>
      </c>
      <c r="BS198">
        <f t="shared" si="104"/>
        <v>0.8303571428571429</v>
      </c>
      <c r="BT198">
        <v>0.21044571182573343</v>
      </c>
      <c r="BU198">
        <f t="shared" si="105"/>
        <v>3.3105689364321123E-6</v>
      </c>
      <c r="BV198">
        <f t="shared" si="118"/>
        <v>4.4642857142858094E-3</v>
      </c>
      <c r="BW198">
        <v>186</v>
      </c>
      <c r="BX198" t="e">
        <v>#N/A</v>
      </c>
      <c r="BZ198" t="e">
        <f t="shared" si="107"/>
        <v>#N/A</v>
      </c>
      <c r="CB198" t="e">
        <f t="shared" si="120"/>
        <v>#N/A</v>
      </c>
      <c r="CC198" t="e">
        <f t="shared" si="109"/>
        <v>#N/A</v>
      </c>
      <c r="CE198" t="e">
        <v>#N/A</v>
      </c>
      <c r="CF198" t="e">
        <v>#N/A</v>
      </c>
      <c r="CJ198">
        <f t="shared" si="110"/>
        <v>0.8303571428571429</v>
      </c>
      <c r="CK198">
        <v>6.6587685145700001E-2</v>
      </c>
      <c r="CL198">
        <f t="shared" si="111"/>
        <v>1.5589586999931182E-6</v>
      </c>
      <c r="CM198">
        <f t="shared" si="119"/>
        <v>4.4642857142858094E-3</v>
      </c>
    </row>
    <row r="199" spans="2:91">
      <c r="B199">
        <v>187</v>
      </c>
      <c r="C199" t="e">
        <f>IF(ISNUMBER(K199),IF('Lab test'!N190&gt;0,'Lab test'!N190,NA()),NA())</f>
        <v>#N/A</v>
      </c>
      <c r="D199" t="e">
        <f>IF(ISNUMBER(K199),IF('Lab test'!Q190&gt;0,'Lab test'!Q190,NA()),NA())</f>
        <v>#N/A</v>
      </c>
      <c r="E199" t="e">
        <f>IF(ISNUMBER(K199),IF('Lab test'!P190&gt;0,'Lab test'!P190,NA()),NA())</f>
        <v>#N/A</v>
      </c>
      <c r="F199" t="e">
        <f>IF(ISNUMBER(K199),IF('Lab test'!AJ190&gt;0,'Lab test'!AJ190,NA()),NA())</f>
        <v>#N/A</v>
      </c>
      <c r="G199">
        <f>IF('Lab test'!V190&gt;0,'Lab test'!V190,NA())</f>
        <v>220632.23338138757</v>
      </c>
      <c r="H199" t="e">
        <f>IF(MAX('Lab test'!W190,'Lab test'!X190)&gt;0,MAX('Lab test'!W190,'Lab test'!X190),NA())</f>
        <v>#N/A</v>
      </c>
      <c r="I199" t="e">
        <f>IF('Lab test'!AU190&gt;0,'Lab test'!AU190,NA())</f>
        <v>#N/A</v>
      </c>
      <c r="J199">
        <f>IF('Lab test'!AT190&gt;0,'Lab test'!AT190,NA())</f>
        <v>0.46370681088827237</v>
      </c>
      <c r="K199" t="e">
        <f t="shared" si="112"/>
        <v>#N/A</v>
      </c>
      <c r="L199" t="str">
        <f>'Lab test'!AC190</f>
        <v>LTWb</v>
      </c>
      <c r="N199">
        <v>187</v>
      </c>
      <c r="O199">
        <v>62.761640321900003</v>
      </c>
      <c r="P199">
        <v>0.22074838505899999</v>
      </c>
      <c r="Q199">
        <f t="shared" si="113"/>
        <v>284.31302138462092</v>
      </c>
      <c r="R199">
        <v>128.888363811</v>
      </c>
      <c r="S199">
        <f t="shared" si="114"/>
        <v>0.12179264143777024</v>
      </c>
      <c r="T199">
        <v>7.1219382389200003E-2</v>
      </c>
      <c r="U199">
        <f t="shared" si="88"/>
        <v>0.8348214285714286</v>
      </c>
      <c r="W199">
        <v>187</v>
      </c>
      <c r="X199" t="e">
        <v>#N/A</v>
      </c>
      <c r="Z199" t="e">
        <f t="shared" si="90"/>
        <v>#N/A</v>
      </c>
      <c r="AB199" t="e">
        <f t="shared" si="121"/>
        <v>#N/A</v>
      </c>
      <c r="AC199" t="e">
        <f t="shared" si="92"/>
        <v>#N/A</v>
      </c>
      <c r="AE199" t="e">
        <v>#N/A</v>
      </c>
      <c r="AF199" t="e">
        <v>#N/A</v>
      </c>
      <c r="AJ199">
        <f t="shared" si="93"/>
        <v>0.8348214285714286</v>
      </c>
      <c r="AK199">
        <v>188.04334643499999</v>
      </c>
      <c r="AL199">
        <f t="shared" si="94"/>
        <v>1.2416946130000213</v>
      </c>
      <c r="AM199">
        <f t="shared" si="115"/>
        <v>4.4642857142856984E-3</v>
      </c>
      <c r="AO199">
        <v>187</v>
      </c>
      <c r="AP199" t="e">
        <v>#N/A</v>
      </c>
      <c r="AR199" t="e">
        <f t="shared" si="95"/>
        <v>#N/A</v>
      </c>
      <c r="AT199" t="e">
        <f t="shared" si="96"/>
        <v>#N/A</v>
      </c>
      <c r="AU199" t="e">
        <f t="shared" si="97"/>
        <v>#N/A</v>
      </c>
      <c r="AW199" t="e">
        <v>#N/A</v>
      </c>
      <c r="AX199" t="e">
        <v>#N/A</v>
      </c>
      <c r="BB199">
        <f t="shared" si="98"/>
        <v>0.8348214285714286</v>
      </c>
      <c r="BC199">
        <v>697.62660114418372</v>
      </c>
      <c r="BD199">
        <f t="shared" si="99"/>
        <v>5.6773567033443442</v>
      </c>
      <c r="BE199">
        <f t="shared" si="117"/>
        <v>4.4642857142856984E-3</v>
      </c>
      <c r="BF199">
        <v>187</v>
      </c>
      <c r="BG199" t="e">
        <v>#N/A</v>
      </c>
      <c r="BI199" t="e">
        <f t="shared" si="101"/>
        <v>#N/A</v>
      </c>
      <c r="BK199" t="e">
        <f t="shared" si="102"/>
        <v>#N/A</v>
      </c>
      <c r="BL199" t="e">
        <f t="shared" si="103"/>
        <v>#N/A</v>
      </c>
      <c r="BN199" t="e">
        <v>#N/A</v>
      </c>
      <c r="BO199" t="e">
        <v>#N/A</v>
      </c>
      <c r="BS199">
        <f t="shared" si="104"/>
        <v>0.8348214285714286</v>
      </c>
      <c r="BT199">
        <v>0.21044902239466987</v>
      </c>
      <c r="BU199">
        <f t="shared" si="105"/>
        <v>4.5653711979218303E-4</v>
      </c>
      <c r="BV199">
        <f t="shared" si="118"/>
        <v>4.4642857142856984E-3</v>
      </c>
      <c r="BW199">
        <v>187</v>
      </c>
      <c r="BX199" t="e">
        <v>#N/A</v>
      </c>
      <c r="BZ199" t="e">
        <f t="shared" si="107"/>
        <v>#N/A</v>
      </c>
      <c r="CB199" t="e">
        <f t="shared" si="120"/>
        <v>#N/A</v>
      </c>
      <c r="CC199" t="e">
        <f t="shared" si="109"/>
        <v>#N/A</v>
      </c>
      <c r="CE199" t="e">
        <v>#N/A</v>
      </c>
      <c r="CF199" t="e">
        <v>#N/A</v>
      </c>
      <c r="CJ199">
        <f t="shared" si="110"/>
        <v>0.8348214285714286</v>
      </c>
      <c r="CK199">
        <v>6.6589244104399994E-2</v>
      </c>
      <c r="CL199">
        <f t="shared" si="111"/>
        <v>1.4115244000023619E-6</v>
      </c>
      <c r="CM199">
        <f t="shared" si="119"/>
        <v>4.4642857142856984E-3</v>
      </c>
    </row>
    <row r="200" spans="2:91">
      <c r="B200">
        <v>188</v>
      </c>
      <c r="C200" t="e">
        <f>IF(ISNUMBER(K200),IF('Lab test'!N191&gt;0,'Lab test'!N191,NA()),NA())</f>
        <v>#N/A</v>
      </c>
      <c r="D200" t="e">
        <f>IF(ISNUMBER(K200),IF('Lab test'!Q191&gt;0,'Lab test'!Q191,NA()),NA())</f>
        <v>#N/A</v>
      </c>
      <c r="E200" t="e">
        <f>IF(ISNUMBER(K200),IF('Lab test'!P191&gt;0,'Lab test'!P191,NA()),NA())</f>
        <v>#N/A</v>
      </c>
      <c r="F200" t="e">
        <f>IF(ISNUMBER(K200),IF('Lab test'!AJ191&gt;0,'Lab test'!AJ191,NA()),NA())</f>
        <v>#N/A</v>
      </c>
      <c r="G200">
        <f>IF('Lab test'!V191&gt;0,'Lab test'!V191,NA())</f>
        <v>220632.23338138757</v>
      </c>
      <c r="H200" t="e">
        <f>IF(MAX('Lab test'!W191,'Lab test'!X191)&gt;0,MAX('Lab test'!W191,'Lab test'!X191),NA())</f>
        <v>#N/A</v>
      </c>
      <c r="I200" t="e">
        <f>IF('Lab test'!AU191&gt;0,'Lab test'!AU191,NA())</f>
        <v>#N/A</v>
      </c>
      <c r="J200">
        <f>IF('Lab test'!AT191&gt;0,'Lab test'!AT191,NA())</f>
        <v>0.51574252256048314</v>
      </c>
      <c r="K200" t="e">
        <f t="shared" si="112"/>
        <v>#N/A</v>
      </c>
      <c r="L200" t="str">
        <f>'Lab test'!AC191</f>
        <v>LTWb</v>
      </c>
      <c r="N200">
        <v>188</v>
      </c>
      <c r="O200">
        <v>63.144299785999998</v>
      </c>
      <c r="P200">
        <v>8.6823107369099997E-2</v>
      </c>
      <c r="Q200">
        <f t="shared" si="113"/>
        <v>727.27528073330404</v>
      </c>
      <c r="R200">
        <v>215.814335398</v>
      </c>
      <c r="S200">
        <f t="shared" si="114"/>
        <v>0.12673504523614534</v>
      </c>
      <c r="T200">
        <v>1.18887922267E-2</v>
      </c>
      <c r="U200">
        <f t="shared" si="88"/>
        <v>0.8392857142857143</v>
      </c>
      <c r="W200">
        <v>188</v>
      </c>
      <c r="X200" t="e">
        <v>#N/A</v>
      </c>
      <c r="Z200" t="e">
        <f t="shared" si="90"/>
        <v>#N/A</v>
      </c>
      <c r="AB200" t="e">
        <f t="shared" si="121"/>
        <v>#N/A</v>
      </c>
      <c r="AC200" t="e">
        <f t="shared" si="92"/>
        <v>#N/A</v>
      </c>
      <c r="AE200" t="e">
        <v>#N/A</v>
      </c>
      <c r="AF200" t="e">
        <v>#N/A</v>
      </c>
      <c r="AJ200">
        <f t="shared" si="93"/>
        <v>0.8392857142857143</v>
      </c>
      <c r="AK200">
        <v>189.28504104800001</v>
      </c>
      <c r="AL200">
        <f t="shared" si="94"/>
        <v>1.638741035999999</v>
      </c>
      <c r="AM200">
        <f t="shared" si="115"/>
        <v>4.4642857142856984E-3</v>
      </c>
      <c r="AO200">
        <v>188</v>
      </c>
      <c r="AP200" t="e">
        <v>#N/A</v>
      </c>
      <c r="AR200" t="e">
        <f t="shared" si="95"/>
        <v>#N/A</v>
      </c>
      <c r="AT200" t="e">
        <f t="shared" si="96"/>
        <v>#N/A</v>
      </c>
      <c r="AU200" t="e">
        <f t="shared" si="97"/>
        <v>#N/A</v>
      </c>
      <c r="AW200" t="e">
        <v>#N/A</v>
      </c>
      <c r="AX200" t="e">
        <v>#N/A</v>
      </c>
      <c r="BB200">
        <f t="shared" si="98"/>
        <v>0.8392857142857143</v>
      </c>
      <c r="BC200">
        <v>703.30395784752807</v>
      </c>
      <c r="BD200">
        <f t="shared" si="99"/>
        <v>0.17487809577153257</v>
      </c>
      <c r="BE200">
        <f t="shared" si="117"/>
        <v>4.4642857142856984E-3</v>
      </c>
      <c r="BF200">
        <v>188</v>
      </c>
      <c r="BG200" t="e">
        <v>#N/A</v>
      </c>
      <c r="BI200" t="e">
        <f t="shared" si="101"/>
        <v>#N/A</v>
      </c>
      <c r="BK200" t="e">
        <f t="shared" si="102"/>
        <v>#N/A</v>
      </c>
      <c r="BL200" t="e">
        <f t="shared" si="103"/>
        <v>#N/A</v>
      </c>
      <c r="BN200" t="e">
        <v>#N/A</v>
      </c>
      <c r="BO200" t="e">
        <v>#N/A</v>
      </c>
      <c r="BS200">
        <f t="shared" si="104"/>
        <v>0.8392857142857143</v>
      </c>
      <c r="BT200">
        <v>0.21090555951446205</v>
      </c>
      <c r="BU200">
        <f t="shared" si="105"/>
        <v>1.322416163400425E-3</v>
      </c>
      <c r="BV200">
        <f t="shared" si="118"/>
        <v>4.4642857142856984E-3</v>
      </c>
      <c r="BW200">
        <v>188</v>
      </c>
      <c r="BX200" t="e">
        <v>#N/A</v>
      </c>
      <c r="BZ200" t="e">
        <f t="shared" si="107"/>
        <v>#N/A</v>
      </c>
      <c r="CB200" t="e">
        <f t="shared" si="120"/>
        <v>#N/A</v>
      </c>
      <c r="CC200" t="e">
        <f t="shared" si="109"/>
        <v>#N/A</v>
      </c>
      <c r="CE200" t="e">
        <v>#N/A</v>
      </c>
      <c r="CF200" t="e">
        <v>#N/A</v>
      </c>
      <c r="CJ200">
        <f t="shared" si="110"/>
        <v>0.8392857142857143</v>
      </c>
      <c r="CK200">
        <v>6.6590655628799997E-2</v>
      </c>
      <c r="CL200">
        <f t="shared" si="111"/>
        <v>1.7842545000090748E-6</v>
      </c>
      <c r="CM200">
        <f t="shared" si="119"/>
        <v>4.4642857142856984E-3</v>
      </c>
    </row>
    <row r="201" spans="2:91">
      <c r="B201">
        <v>189</v>
      </c>
      <c r="C201" t="e">
        <f>IF(ISNUMBER(K201),IF('Lab test'!N192&gt;0,'Lab test'!N192,NA()),NA())</f>
        <v>#N/A</v>
      </c>
      <c r="D201" t="e">
        <f>IF(ISNUMBER(K201),IF('Lab test'!Q192&gt;0,'Lab test'!Q192,NA()),NA())</f>
        <v>#N/A</v>
      </c>
      <c r="E201" t="e">
        <f>IF(ISNUMBER(K201),IF('Lab test'!P192&gt;0,'Lab test'!P192,NA()),NA())</f>
        <v>#N/A</v>
      </c>
      <c r="F201" t="e">
        <f>IF(ISNUMBER(K201),IF('Lab test'!AJ192&gt;0,'Lab test'!AJ192,NA()),NA())</f>
        <v>#N/A</v>
      </c>
      <c r="G201">
        <f>IF('Lab test'!V192&gt;0,'Lab test'!V192,NA())</f>
        <v>220632.23338138757</v>
      </c>
      <c r="H201" t="e">
        <f>IF(MAX('Lab test'!W192,'Lab test'!X192)&gt;0,MAX('Lab test'!W192,'Lab test'!X192),NA())</f>
        <v>#N/A</v>
      </c>
      <c r="I201" t="e">
        <f>IF('Lab test'!AU192&gt;0,'Lab test'!AU192,NA())</f>
        <v>#N/A</v>
      </c>
      <c r="J201">
        <f>IF('Lab test'!AT192&gt;0,'Lab test'!AT192,NA())</f>
        <v>0.70379844054274177</v>
      </c>
      <c r="K201" t="e">
        <f t="shared" si="112"/>
        <v>#N/A</v>
      </c>
      <c r="L201" t="str">
        <f>'Lab test'!AC192</f>
        <v>LTWb</v>
      </c>
      <c r="N201">
        <v>189</v>
      </c>
      <c r="O201">
        <v>63.324431519400001</v>
      </c>
      <c r="P201">
        <v>8.2920179396300003E-2</v>
      </c>
      <c r="Q201">
        <f t="shared" si="113"/>
        <v>763.67938396218199</v>
      </c>
      <c r="R201">
        <v>84.944091017900007</v>
      </c>
      <c r="S201">
        <f t="shared" si="114"/>
        <v>4.8540734128338182E-2</v>
      </c>
      <c r="T201">
        <v>2.64762905369E-2</v>
      </c>
      <c r="U201">
        <f t="shared" si="88"/>
        <v>0.84375</v>
      </c>
      <c r="W201">
        <v>189</v>
      </c>
      <c r="X201" t="e">
        <v>#N/A</v>
      </c>
      <c r="Z201" t="e">
        <f t="shared" si="90"/>
        <v>#N/A</v>
      </c>
      <c r="AB201" t="e">
        <f t="shared" si="121"/>
        <v>#N/A</v>
      </c>
      <c r="AC201" t="e">
        <f t="shared" si="92"/>
        <v>#N/A</v>
      </c>
      <c r="AE201" t="e">
        <v>#N/A</v>
      </c>
      <c r="AF201" t="e">
        <v>#N/A</v>
      </c>
      <c r="AJ201">
        <f t="shared" si="93"/>
        <v>0.84375</v>
      </c>
      <c r="AK201">
        <v>190.92378208400001</v>
      </c>
      <c r="AL201">
        <f t="shared" si="94"/>
        <v>0.5592796079999971</v>
      </c>
      <c r="AM201">
        <f t="shared" si="115"/>
        <v>4.4642857142856984E-3</v>
      </c>
      <c r="AO201">
        <v>189</v>
      </c>
      <c r="AP201" t="e">
        <v>#N/A</v>
      </c>
      <c r="AR201" t="e">
        <f t="shared" si="95"/>
        <v>#N/A</v>
      </c>
      <c r="AT201" t="e">
        <f t="shared" si="96"/>
        <v>#N/A</v>
      </c>
      <c r="AU201" t="e">
        <f t="shared" si="97"/>
        <v>#N/A</v>
      </c>
      <c r="AW201" t="e">
        <v>#N/A</v>
      </c>
      <c r="AX201" t="e">
        <v>#N/A</v>
      </c>
      <c r="BB201">
        <f t="shared" si="98"/>
        <v>0.84375</v>
      </c>
      <c r="BC201">
        <v>703.4788359432996</v>
      </c>
      <c r="BD201">
        <f t="shared" si="99"/>
        <v>23.796444790004443</v>
      </c>
      <c r="BE201">
        <f t="shared" si="117"/>
        <v>4.4642857142856984E-3</v>
      </c>
      <c r="BF201">
        <v>189</v>
      </c>
      <c r="BG201" t="e">
        <v>#N/A</v>
      </c>
      <c r="BI201" t="e">
        <f t="shared" si="101"/>
        <v>#N/A</v>
      </c>
      <c r="BK201" t="e">
        <f t="shared" si="102"/>
        <v>#N/A</v>
      </c>
      <c r="BL201" t="e">
        <f t="shared" si="103"/>
        <v>#N/A</v>
      </c>
      <c r="BN201" t="e">
        <v>#N/A</v>
      </c>
      <c r="BO201" t="e">
        <v>#N/A</v>
      </c>
      <c r="BS201">
        <f t="shared" si="104"/>
        <v>0.84375</v>
      </c>
      <c r="BT201">
        <v>0.21222797567786247</v>
      </c>
      <c r="BU201">
        <f t="shared" si="105"/>
        <v>8.6756790241643844E-3</v>
      </c>
      <c r="BV201">
        <f t="shared" si="118"/>
        <v>4.4642857142856984E-3</v>
      </c>
      <c r="BW201">
        <v>189</v>
      </c>
      <c r="BX201" t="e">
        <v>#N/A</v>
      </c>
      <c r="BZ201" t="e">
        <f t="shared" si="107"/>
        <v>#N/A</v>
      </c>
      <c r="CB201" t="e">
        <f t="shared" si="120"/>
        <v>#N/A</v>
      </c>
      <c r="CC201" t="e">
        <f t="shared" si="109"/>
        <v>#N/A</v>
      </c>
      <c r="CE201" t="e">
        <v>#N/A</v>
      </c>
      <c r="CF201" t="e">
        <v>#N/A</v>
      </c>
      <c r="CJ201">
        <f t="shared" si="110"/>
        <v>0.84375</v>
      </c>
      <c r="CK201">
        <v>6.6592439883300006E-2</v>
      </c>
      <c r="CL201">
        <f t="shared" si="111"/>
        <v>1.3036078999884015E-6</v>
      </c>
      <c r="CM201">
        <f t="shared" si="119"/>
        <v>4.4642857142856984E-3</v>
      </c>
    </row>
    <row r="202" spans="2:91">
      <c r="B202">
        <v>190</v>
      </c>
      <c r="C202" t="e">
        <f>IF(ISNUMBER(K202),IF('Lab test'!N193&gt;0,'Lab test'!N193,NA()),NA())</f>
        <v>#N/A</v>
      </c>
      <c r="D202" t="e">
        <f>IF(ISNUMBER(K202),IF('Lab test'!Q193&gt;0,'Lab test'!Q193,NA()),NA())</f>
        <v>#N/A</v>
      </c>
      <c r="E202" t="e">
        <f>IF(ISNUMBER(K202),IF('Lab test'!P193&gt;0,'Lab test'!P193,NA()),NA())</f>
        <v>#N/A</v>
      </c>
      <c r="F202" t="e">
        <f>IF(ISNUMBER(K202),IF('Lab test'!AJ193&gt;0,'Lab test'!AJ193,NA()),NA())</f>
        <v>#N/A</v>
      </c>
      <c r="G202">
        <f>IF('Lab test'!V193&gt;0,'Lab test'!V193,NA())</f>
        <v>220632.23338138757</v>
      </c>
      <c r="H202" t="e">
        <f>IF(MAX('Lab test'!W193,'Lab test'!X193)&gt;0,MAX('Lab test'!W193,'Lab test'!X193),NA())</f>
        <v>#N/A</v>
      </c>
      <c r="I202" t="e">
        <f>IF('Lab test'!AU193&gt;0,'Lab test'!AU193,NA())</f>
        <v>#N/A</v>
      </c>
      <c r="J202">
        <f>IF('Lab test'!AT193&gt;0,'Lab test'!AT193,NA())</f>
        <v>0.78277647551548768</v>
      </c>
      <c r="K202" t="e">
        <f t="shared" si="112"/>
        <v>#N/A</v>
      </c>
      <c r="L202" t="str">
        <f>'Lab test'!AC193</f>
        <v>LTWb</v>
      </c>
      <c r="N202">
        <v>190</v>
      </c>
      <c r="O202">
        <v>63.309651816500001</v>
      </c>
      <c r="P202">
        <v>0.21103217272200001</v>
      </c>
      <c r="Q202">
        <f t="shared" si="113"/>
        <v>299.99999999952615</v>
      </c>
      <c r="R202">
        <v>111.26097216300001</v>
      </c>
      <c r="S202">
        <f t="shared" si="114"/>
        <v>0.10146407441134699</v>
      </c>
      <c r="T202">
        <v>6.6495192986600005E-2</v>
      </c>
      <c r="U202">
        <f t="shared" si="88"/>
        <v>0.8482142857142857</v>
      </c>
      <c r="W202">
        <v>190</v>
      </c>
      <c r="X202" t="e">
        <v>#N/A</v>
      </c>
      <c r="Z202" t="e">
        <f t="shared" si="90"/>
        <v>#N/A</v>
      </c>
      <c r="AB202" t="e">
        <f t="shared" si="121"/>
        <v>#N/A</v>
      </c>
      <c r="AC202" t="e">
        <f t="shared" si="92"/>
        <v>#N/A</v>
      </c>
      <c r="AE202" t="e">
        <v>#N/A</v>
      </c>
      <c r="AF202" t="e">
        <v>#N/A</v>
      </c>
      <c r="AJ202">
        <f t="shared" si="93"/>
        <v>0.8482142857142857</v>
      </c>
      <c r="AK202">
        <v>191.48306169200001</v>
      </c>
      <c r="AL202">
        <f t="shared" si="94"/>
        <v>0.27927467199998546</v>
      </c>
      <c r="AM202">
        <f t="shared" si="115"/>
        <v>4.4642857142856984E-3</v>
      </c>
      <c r="AO202">
        <v>190</v>
      </c>
      <c r="AP202" t="e">
        <v>#N/A</v>
      </c>
      <c r="AR202" t="e">
        <f t="shared" si="95"/>
        <v>#N/A</v>
      </c>
      <c r="AT202" t="e">
        <f t="shared" si="96"/>
        <v>#N/A</v>
      </c>
      <c r="AU202" t="e">
        <f t="shared" si="97"/>
        <v>#N/A</v>
      </c>
      <c r="AW202" t="e">
        <v>#N/A</v>
      </c>
      <c r="AX202" t="e">
        <v>#N/A</v>
      </c>
      <c r="BB202">
        <f t="shared" si="98"/>
        <v>0.8482142857142857</v>
      </c>
      <c r="BC202">
        <v>727.27528073330404</v>
      </c>
      <c r="BD202">
        <f t="shared" si="99"/>
        <v>14.784353007038703</v>
      </c>
      <c r="BE202">
        <f t="shared" si="117"/>
        <v>4.4642857142856984E-3</v>
      </c>
      <c r="BF202">
        <v>190</v>
      </c>
      <c r="BG202" t="e">
        <v>#N/A</v>
      </c>
      <c r="BI202" t="e">
        <f t="shared" si="101"/>
        <v>#N/A</v>
      </c>
      <c r="BK202" t="e">
        <f t="shared" si="102"/>
        <v>#N/A</v>
      </c>
      <c r="BL202" t="e">
        <f t="shared" si="103"/>
        <v>#N/A</v>
      </c>
      <c r="BN202" t="e">
        <v>#N/A</v>
      </c>
      <c r="BO202" t="e">
        <v>#N/A</v>
      </c>
      <c r="BS202">
        <f t="shared" si="104"/>
        <v>0.8482142857142857</v>
      </c>
      <c r="BT202">
        <v>0.22090365470202686</v>
      </c>
      <c r="BU202">
        <f t="shared" si="105"/>
        <v>3.6427374703568743E-2</v>
      </c>
      <c r="BV202">
        <f t="shared" si="118"/>
        <v>4.4642857142856984E-3</v>
      </c>
      <c r="BW202">
        <v>190</v>
      </c>
      <c r="BX202" t="e">
        <v>#N/A</v>
      </c>
      <c r="BZ202" t="e">
        <f t="shared" si="107"/>
        <v>#N/A</v>
      </c>
      <c r="CB202" t="e">
        <f t="shared" si="120"/>
        <v>#N/A</v>
      </c>
      <c r="CC202" t="e">
        <f t="shared" si="109"/>
        <v>#N/A</v>
      </c>
      <c r="CE202" t="e">
        <v>#N/A</v>
      </c>
      <c r="CF202" t="e">
        <v>#N/A</v>
      </c>
      <c r="CJ202">
        <f t="shared" si="110"/>
        <v>0.8482142857142857</v>
      </c>
      <c r="CK202">
        <v>6.6593743491199994E-2</v>
      </c>
      <c r="CL202">
        <f t="shared" si="111"/>
        <v>3.7551577000000114E-6</v>
      </c>
      <c r="CM202">
        <f t="shared" si="119"/>
        <v>4.4642857142856984E-3</v>
      </c>
    </row>
    <row r="203" spans="2:91">
      <c r="B203">
        <v>191</v>
      </c>
      <c r="C203" t="e">
        <f>IF(ISNUMBER(K203),IF('Lab test'!N194&gt;0,'Lab test'!N194,NA()),NA())</f>
        <v>#N/A</v>
      </c>
      <c r="D203" t="e">
        <f>IF(ISNUMBER(K203),IF('Lab test'!Q194&gt;0,'Lab test'!Q194,NA()),NA())</f>
        <v>#N/A</v>
      </c>
      <c r="E203" t="e">
        <f>IF(ISNUMBER(K203),IF('Lab test'!P194&gt;0,'Lab test'!P194,NA()),NA())</f>
        <v>#N/A</v>
      </c>
      <c r="F203" t="e">
        <f>IF(ISNUMBER(K203),IF('Lab test'!AJ194&gt;0,'Lab test'!AJ194,NA()),NA())</f>
        <v>#N/A</v>
      </c>
      <c r="G203">
        <f>IF('Lab test'!V194&gt;0,'Lab test'!V194,NA())</f>
        <v>220632.23338138757</v>
      </c>
      <c r="H203" t="e">
        <f>IF(MAX('Lab test'!W194,'Lab test'!X194)&gt;0,MAX('Lab test'!W194,'Lab test'!X194),NA())</f>
        <v>#N/A</v>
      </c>
      <c r="I203" t="e">
        <f>IF('Lab test'!AU194&gt;0,'Lab test'!AU194,NA())</f>
        <v>#N/A</v>
      </c>
      <c r="J203">
        <f>IF('Lab test'!AT194&gt;0,'Lab test'!AT194,NA())</f>
        <v>1.033810603795414</v>
      </c>
      <c r="K203" t="e">
        <f t="shared" si="112"/>
        <v>#N/A</v>
      </c>
      <c r="L203" t="str">
        <f>'Lab test'!AC194</f>
        <v>LTWb</v>
      </c>
      <c r="N203">
        <v>191</v>
      </c>
      <c r="O203">
        <v>63.494833663199998</v>
      </c>
      <c r="P203">
        <v>9.1015499636999994E-2</v>
      </c>
      <c r="Q203">
        <f t="shared" si="113"/>
        <v>697.62660114418372</v>
      </c>
      <c r="R203">
        <v>320.08166006499999</v>
      </c>
      <c r="S203">
        <f t="shared" si="114"/>
        <v>0.19085822689212045</v>
      </c>
      <c r="T203">
        <v>1.6200715656100002E-2</v>
      </c>
      <c r="U203">
        <f t="shared" si="88"/>
        <v>0.8526785714285714</v>
      </c>
      <c r="W203">
        <v>191</v>
      </c>
      <c r="X203" t="e">
        <v>#N/A</v>
      </c>
      <c r="Z203" t="e">
        <f t="shared" si="90"/>
        <v>#N/A</v>
      </c>
      <c r="AB203" t="e">
        <f t="shared" si="121"/>
        <v>#N/A</v>
      </c>
      <c r="AC203" t="e">
        <f t="shared" si="92"/>
        <v>#N/A</v>
      </c>
      <c r="AE203" t="e">
        <v>#N/A</v>
      </c>
      <c r="AF203" t="e">
        <v>#N/A</v>
      </c>
      <c r="AJ203">
        <f t="shared" si="93"/>
        <v>0.8526785714285714</v>
      </c>
      <c r="AK203">
        <v>191.76233636399999</v>
      </c>
      <c r="AL203">
        <f t="shared" si="94"/>
        <v>0.36150507300001777</v>
      </c>
      <c r="AM203">
        <f t="shared" si="115"/>
        <v>4.4642857142856984E-3</v>
      </c>
      <c r="AO203">
        <v>191</v>
      </c>
      <c r="AP203" t="e">
        <v>#N/A</v>
      </c>
      <c r="AR203" t="e">
        <f t="shared" si="95"/>
        <v>#N/A</v>
      </c>
      <c r="AT203" t="e">
        <f t="shared" si="96"/>
        <v>#N/A</v>
      </c>
      <c r="AU203" t="e">
        <f t="shared" si="97"/>
        <v>#N/A</v>
      </c>
      <c r="AW203" t="e">
        <v>#N/A</v>
      </c>
      <c r="AX203" t="e">
        <v>#N/A</v>
      </c>
      <c r="BB203">
        <f t="shared" si="98"/>
        <v>0.8526785714285714</v>
      </c>
      <c r="BC203">
        <v>742.05963374034275</v>
      </c>
      <c r="BD203">
        <f t="shared" si="99"/>
        <v>15.207219356166888</v>
      </c>
      <c r="BE203">
        <f t="shared" si="117"/>
        <v>4.4642857142856984E-3</v>
      </c>
      <c r="BF203">
        <v>191</v>
      </c>
      <c r="BG203" t="e">
        <v>#N/A</v>
      </c>
      <c r="BI203" t="e">
        <f t="shared" si="101"/>
        <v>#N/A</v>
      </c>
      <c r="BK203" t="e">
        <f t="shared" si="102"/>
        <v>#N/A</v>
      </c>
      <c r="BL203" t="e">
        <f t="shared" si="103"/>
        <v>#N/A</v>
      </c>
      <c r="BN203" t="e">
        <v>#N/A</v>
      </c>
      <c r="BO203" t="e">
        <v>#N/A</v>
      </c>
      <c r="BS203">
        <f t="shared" si="104"/>
        <v>0.8526785714285714</v>
      </c>
      <c r="BT203">
        <v>0.2573310294055956</v>
      </c>
      <c r="BU203">
        <f t="shared" si="105"/>
        <v>7.0153599867526228E-3</v>
      </c>
      <c r="BV203">
        <f t="shared" si="118"/>
        <v>4.4642857142856984E-3</v>
      </c>
      <c r="BW203">
        <v>191</v>
      </c>
      <c r="BX203" t="e">
        <v>#N/A</v>
      </c>
      <c r="BZ203" t="e">
        <f t="shared" si="107"/>
        <v>#N/A</v>
      </c>
      <c r="CB203" t="e">
        <f t="shared" si="120"/>
        <v>#N/A</v>
      </c>
      <c r="CC203" t="e">
        <f t="shared" si="109"/>
        <v>#N/A</v>
      </c>
      <c r="CE203" t="e">
        <v>#N/A</v>
      </c>
      <c r="CF203" t="e">
        <v>#N/A</v>
      </c>
      <c r="CJ203">
        <f t="shared" si="110"/>
        <v>0.8526785714285714</v>
      </c>
      <c r="CK203">
        <v>6.6597498648899994E-2</v>
      </c>
      <c r="CL203">
        <f t="shared" si="111"/>
        <v>2.5997440000063987E-6</v>
      </c>
      <c r="CM203">
        <f t="shared" si="119"/>
        <v>4.4642857142856984E-3</v>
      </c>
    </row>
    <row r="204" spans="2:91">
      <c r="B204">
        <v>192</v>
      </c>
      <c r="C204" t="e">
        <f>IF(ISNUMBER(K204),IF('Lab test'!N195&gt;0,'Lab test'!N195,NA()),NA())</f>
        <v>#N/A</v>
      </c>
      <c r="D204" t="e">
        <f>IF(ISNUMBER(K204),IF('Lab test'!Q195&gt;0,'Lab test'!Q195,NA()),NA())</f>
        <v>#N/A</v>
      </c>
      <c r="E204" t="e">
        <f>IF(ISNUMBER(K204),IF('Lab test'!P195&gt;0,'Lab test'!P195,NA()),NA())</f>
        <v>#N/A</v>
      </c>
      <c r="F204" t="e">
        <f>IF(ISNUMBER(K204),IF('Lab test'!AJ195&gt;0,'Lab test'!AJ195,NA()),NA())</f>
        <v>#N/A</v>
      </c>
      <c r="G204">
        <f>IF('Lab test'!V195&gt;0,'Lab test'!V195,NA())</f>
        <v>220632.23338138757</v>
      </c>
      <c r="H204" t="e">
        <f>IF(MAX('Lab test'!W195,'Lab test'!X195)&gt;0,MAX('Lab test'!W195,'Lab test'!X195),NA())</f>
        <v>#N/A</v>
      </c>
      <c r="I204" t="e">
        <f>IF('Lab test'!AU195&gt;0,'Lab test'!AU195,NA())</f>
        <v>#N/A</v>
      </c>
      <c r="J204">
        <f>IF('Lab test'!AT195&gt;0,'Lab test'!AT195,NA())</f>
        <v>1.168790086410471</v>
      </c>
      <c r="K204" t="e">
        <f t="shared" si="112"/>
        <v>#N/A</v>
      </c>
      <c r="L204" t="str">
        <f>'Lab test'!AC195</f>
        <v>LTWb</v>
      </c>
      <c r="N204">
        <v>192</v>
      </c>
      <c r="O204">
        <v>63.505824206600003</v>
      </c>
      <c r="P204">
        <v>0.23621714297400001</v>
      </c>
      <c r="Q204">
        <f t="shared" si="113"/>
        <v>268.84511177747152</v>
      </c>
      <c r="R204">
        <v>219.13489584600001</v>
      </c>
      <c r="S204">
        <f t="shared" si="114"/>
        <v>0.21044902239466987</v>
      </c>
      <c r="T204">
        <v>3.3202495934700003E-2</v>
      </c>
      <c r="U204">
        <f t="shared" si="88"/>
        <v>0.8571428571428571</v>
      </c>
      <c r="W204">
        <v>192</v>
      </c>
      <c r="X204" t="e">
        <v>#N/A</v>
      </c>
      <c r="Z204" t="e">
        <f t="shared" si="90"/>
        <v>#N/A</v>
      </c>
      <c r="AB204" t="e">
        <f t="shared" si="121"/>
        <v>#N/A</v>
      </c>
      <c r="AC204" t="e">
        <f t="shared" si="92"/>
        <v>#N/A</v>
      </c>
      <c r="AE204" t="e">
        <v>#N/A</v>
      </c>
      <c r="AF204" t="e">
        <v>#N/A</v>
      </c>
      <c r="AJ204">
        <f t="shared" si="93"/>
        <v>0.8571428571428571</v>
      </c>
      <c r="AK204">
        <v>192.12384143700001</v>
      </c>
      <c r="AL204">
        <f t="shared" si="94"/>
        <v>4.2633862269999838</v>
      </c>
      <c r="AM204">
        <f t="shared" si="115"/>
        <v>4.4642857142856984E-3</v>
      </c>
      <c r="AO204">
        <v>192</v>
      </c>
      <c r="AP204" t="e">
        <v>#N/A</v>
      </c>
      <c r="AR204" t="e">
        <f t="shared" si="95"/>
        <v>#N/A</v>
      </c>
      <c r="AT204" t="e">
        <f t="shared" si="96"/>
        <v>#N/A</v>
      </c>
      <c r="AU204" t="e">
        <f t="shared" si="97"/>
        <v>#N/A</v>
      </c>
      <c r="AW204" t="e">
        <v>#N/A</v>
      </c>
      <c r="AX204" t="e">
        <v>#N/A</v>
      </c>
      <c r="BB204">
        <f t="shared" si="98"/>
        <v>0.8571428571428571</v>
      </c>
      <c r="BC204">
        <v>757.26685309650964</v>
      </c>
      <c r="BD204">
        <f t="shared" si="99"/>
        <v>6.0344528747485811</v>
      </c>
      <c r="BE204">
        <f t="shared" si="117"/>
        <v>4.4642857142856984E-3</v>
      </c>
      <c r="BF204">
        <v>192</v>
      </c>
      <c r="BG204" t="e">
        <v>#N/A</v>
      </c>
      <c r="BI204" t="e">
        <f t="shared" si="101"/>
        <v>#N/A</v>
      </c>
      <c r="BK204" t="e">
        <f t="shared" si="102"/>
        <v>#N/A</v>
      </c>
      <c r="BL204" t="e">
        <f t="shared" si="103"/>
        <v>#N/A</v>
      </c>
      <c r="BN204" t="e">
        <v>#N/A</v>
      </c>
      <c r="BO204" t="e">
        <v>#N/A</v>
      </c>
      <c r="BS204">
        <f t="shared" si="104"/>
        <v>0.8571428571428571</v>
      </c>
      <c r="BT204">
        <v>0.26434638939234822</v>
      </c>
      <c r="BU204">
        <f t="shared" si="105"/>
        <v>1.6390278000125602E-2</v>
      </c>
      <c r="BV204">
        <f t="shared" si="118"/>
        <v>4.4642857142856984E-3</v>
      </c>
      <c r="BW204">
        <v>192</v>
      </c>
      <c r="BX204" t="e">
        <v>#N/A</v>
      </c>
      <c r="BZ204" t="e">
        <f t="shared" si="107"/>
        <v>#N/A</v>
      </c>
      <c r="CB204" t="e">
        <f t="shared" si="120"/>
        <v>#N/A</v>
      </c>
      <c r="CC204" t="e">
        <f t="shared" si="109"/>
        <v>#N/A</v>
      </c>
      <c r="CE204" t="e">
        <v>#N/A</v>
      </c>
      <c r="CF204" t="e">
        <v>#N/A</v>
      </c>
      <c r="CJ204">
        <f t="shared" si="110"/>
        <v>0.8571428571428571</v>
      </c>
      <c r="CK204">
        <v>6.6600098392900001E-2</v>
      </c>
      <c r="CL204">
        <f t="shared" si="111"/>
        <v>5.6967652000000646E-6</v>
      </c>
      <c r="CM204">
        <f t="shared" si="119"/>
        <v>4.4642857142856984E-3</v>
      </c>
    </row>
    <row r="205" spans="2:91">
      <c r="B205">
        <v>193</v>
      </c>
      <c r="C205" t="e">
        <f>IF(ISNUMBER(K205),IF('Lab test'!N196&gt;0,'Lab test'!N196,NA()),NA())</f>
        <v>#N/A</v>
      </c>
      <c r="D205" t="e">
        <f>IF(ISNUMBER(K205),IF('Lab test'!Q196&gt;0,'Lab test'!Q196,NA()),NA())</f>
        <v>#N/A</v>
      </c>
      <c r="E205" t="e">
        <f>IF(ISNUMBER(K205),IF('Lab test'!P196&gt;0,'Lab test'!P196,NA()),NA())</f>
        <v>#N/A</v>
      </c>
      <c r="F205" t="e">
        <f>IF(ISNUMBER(K205),IF('Lab test'!AJ196&gt;0,'Lab test'!AJ196,NA()),NA())</f>
        <v>#N/A</v>
      </c>
      <c r="G205">
        <f>IF('Lab test'!V196&gt;0,'Lab test'!V196,NA())</f>
        <v>230974.36932114011</v>
      </c>
      <c r="H205" t="e">
        <f>IF(MAX('Lab test'!W196,'Lab test'!X196)&gt;0,MAX('Lab test'!W196,'Lab test'!X196),NA())</f>
        <v>#N/A</v>
      </c>
      <c r="I205" t="e">
        <f>IF('Lab test'!AU196&gt;0,'Lab test'!AU196,NA())</f>
        <v>#N/A</v>
      </c>
      <c r="J205">
        <f>IF('Lab test'!AT196&gt;0,'Lab test'!AT196,NA())</f>
        <v>0.17029918819162476</v>
      </c>
      <c r="K205" t="e">
        <f t="shared" si="112"/>
        <v>#N/A</v>
      </c>
      <c r="L205" t="str">
        <f>'Lab test'!AC196</f>
        <v>LTWb</v>
      </c>
      <c r="N205">
        <v>193</v>
      </c>
      <c r="O205">
        <v>64.088073748400006</v>
      </c>
      <c r="P205">
        <v>8.4630765873800001E-2</v>
      </c>
      <c r="Q205">
        <f t="shared" si="113"/>
        <v>757.26685309650964</v>
      </c>
      <c r="R205">
        <v>174.652498579</v>
      </c>
      <c r="S205">
        <f t="shared" si="114"/>
        <v>9.9031443818309306E-2</v>
      </c>
      <c r="T205">
        <v>3.3168052987799998E-2</v>
      </c>
      <c r="U205">
        <f t="shared" ref="U205:U236" si="122">N205/COUNT($N$13:$N$236)</f>
        <v>0.8616071428571429</v>
      </c>
      <c r="W205">
        <v>193</v>
      </c>
      <c r="X205" t="e">
        <v>#N/A</v>
      </c>
      <c r="Z205" t="e">
        <f t="shared" ref="Z205:Z268" si="123">IF(X205=X206,NA(),Y205)</f>
        <v>#N/A</v>
      </c>
      <c r="AB205" t="e">
        <f t="shared" si="121"/>
        <v>#N/A</v>
      </c>
      <c r="AC205" t="e">
        <f t="shared" ref="AC205:AC268" si="124">X205</f>
        <v>#N/A</v>
      </c>
      <c r="AE205" t="e">
        <v>#N/A</v>
      </c>
      <c r="AF205" t="e">
        <v>#N/A</v>
      </c>
      <c r="AJ205">
        <f t="shared" ref="AJ205:AJ236" si="125">U205</f>
        <v>0.8616071428571429</v>
      </c>
      <c r="AK205">
        <v>196.38722766399999</v>
      </c>
      <c r="AL205">
        <f t="shared" ref="AL205:AL235" si="126">AK206-AK205</f>
        <v>0.41962653000001637</v>
      </c>
      <c r="AM205">
        <f t="shared" si="115"/>
        <v>4.4642857142858094E-3</v>
      </c>
      <c r="AO205">
        <v>193</v>
      </c>
      <c r="AP205" t="e">
        <v>#N/A</v>
      </c>
      <c r="AR205" t="e">
        <f t="shared" ref="AR205:AR268" si="127">IF(AP205=AP206,NA(),AQ205)</f>
        <v>#N/A</v>
      </c>
      <c r="AT205" t="e">
        <f t="shared" ref="AT205:AT268" si="128">AR205</f>
        <v>#N/A</v>
      </c>
      <c r="AU205" t="e">
        <f t="shared" ref="AU205:AU268" si="129">AP205</f>
        <v>#N/A</v>
      </c>
      <c r="AW205" t="e">
        <v>#N/A</v>
      </c>
      <c r="AX205" t="e">
        <v>#N/A</v>
      </c>
      <c r="BB205">
        <f t="shared" ref="BB205:BB236" si="130">U205</f>
        <v>0.8616071428571429</v>
      </c>
      <c r="BC205">
        <v>763.30130597125822</v>
      </c>
      <c r="BD205">
        <f t="shared" ref="BD205:BD235" si="131">BC206-BC205</f>
        <v>0.37807799092377081</v>
      </c>
      <c r="BE205">
        <f t="shared" si="117"/>
        <v>4.4642857142858094E-3</v>
      </c>
      <c r="BF205">
        <v>193</v>
      </c>
      <c r="BG205" t="e">
        <v>#N/A</v>
      </c>
      <c r="BI205" t="e">
        <f t="shared" ref="BI205:BI268" si="132">IF(BG205=BG206,NA(),BH205)</f>
        <v>#N/A</v>
      </c>
      <c r="BK205" t="e">
        <f t="shared" ref="BK205:BK268" si="133">BI205</f>
        <v>#N/A</v>
      </c>
      <c r="BL205" t="e">
        <f t="shared" ref="BL205:BL268" si="134">BG205</f>
        <v>#N/A</v>
      </c>
      <c r="BN205" t="e">
        <v>#N/A</v>
      </c>
      <c r="BO205" t="e">
        <v>#N/A</v>
      </c>
      <c r="BS205">
        <f t="shared" ref="BS205:BS236" si="135">U205</f>
        <v>0.8616071428571429</v>
      </c>
      <c r="BT205">
        <v>0.28073666739247383</v>
      </c>
      <c r="BU205">
        <f t="shared" ref="BU205:BU235" si="136">BT206-BT205</f>
        <v>3.0645284515437021E-3</v>
      </c>
      <c r="BV205">
        <f t="shared" si="118"/>
        <v>4.4642857142858094E-3</v>
      </c>
      <c r="BW205">
        <v>193</v>
      </c>
      <c r="BX205" t="e">
        <v>#N/A</v>
      </c>
      <c r="BZ205" t="e">
        <f t="shared" ref="BZ205:BZ268" si="137">IF(BX205=BX206,NA(),BY205)</f>
        <v>#N/A</v>
      </c>
      <c r="CB205" t="e">
        <f t="shared" si="120"/>
        <v>#N/A</v>
      </c>
      <c r="CC205" t="e">
        <f t="shared" ref="CC205:CC268" si="138">BX205</f>
        <v>#N/A</v>
      </c>
      <c r="CE205" t="e">
        <v>#N/A</v>
      </c>
      <c r="CF205" t="e">
        <v>#N/A</v>
      </c>
      <c r="CJ205">
        <f t="shared" ref="CJ205:CJ236" si="139">U205</f>
        <v>0.8616071428571429</v>
      </c>
      <c r="CK205">
        <v>6.6605795158100001E-2</v>
      </c>
      <c r="CL205">
        <f t="shared" ref="CL205:CL235" si="140">CK206-CK205</f>
        <v>3.7378258000014819E-6</v>
      </c>
      <c r="CM205">
        <f t="shared" si="119"/>
        <v>4.4642857142858094E-3</v>
      </c>
    </row>
    <row r="206" spans="2:91">
      <c r="B206">
        <v>194</v>
      </c>
      <c r="C206" t="e">
        <f>IF(ISNUMBER(K206),IF('Lab test'!N197&gt;0,'Lab test'!N197,NA()),NA())</f>
        <v>#N/A</v>
      </c>
      <c r="D206" t="e">
        <f>IF(ISNUMBER(K206),IF('Lab test'!Q197&gt;0,'Lab test'!Q197,NA()),NA())</f>
        <v>#N/A</v>
      </c>
      <c r="E206" t="e">
        <f>IF(ISNUMBER(K206),IF('Lab test'!P197&gt;0,'Lab test'!P197,NA()),NA())</f>
        <v>#N/A</v>
      </c>
      <c r="F206" t="e">
        <f>IF(ISNUMBER(K206),IF('Lab test'!AJ197&gt;0,'Lab test'!AJ197,NA()),NA())</f>
        <v>#N/A</v>
      </c>
      <c r="G206">
        <f>IF('Lab test'!V197&gt;0,'Lab test'!V197,NA())</f>
        <v>230974.36932114011</v>
      </c>
      <c r="H206" t="e">
        <f>IF(MAX('Lab test'!W197,'Lab test'!X197)&gt;0,MAX('Lab test'!W197,'Lab test'!X197),NA())</f>
        <v>#N/A</v>
      </c>
      <c r="I206" t="e">
        <f>IF('Lab test'!AU197&gt;0,'Lab test'!AU197,NA())</f>
        <v>#N/A</v>
      </c>
      <c r="J206">
        <f>IF('Lab test'!AT197&gt;0,'Lab test'!AT197,NA())</f>
        <v>0.12479500926461229</v>
      </c>
      <c r="K206" t="e">
        <f t="shared" ref="K206:K269" si="141">IF(AND(OR(ISNUMBER(I206),ISNUMBER(J206)),ISNUMBER(G206),ISNUMBER(H206),L206="LTWb"),1,NA())</f>
        <v>#N/A</v>
      </c>
      <c r="L206" t="str">
        <f>'Lab test'!AC197</f>
        <v>LTWb</v>
      </c>
      <c r="N206">
        <v>194</v>
      </c>
      <c r="O206">
        <v>64.102095456900003</v>
      </c>
      <c r="P206">
        <v>0.10085569522100001</v>
      </c>
      <c r="Q206">
        <f t="shared" ref="Q206:Q236" si="142">O206/P206</f>
        <v>635.58230714127058</v>
      </c>
      <c r="R206">
        <v>40.747990476799998</v>
      </c>
      <c r="S206">
        <f t="shared" ref="S206:S236" si="143">R206/O206*SQRT(P206/O206)</f>
        <v>2.5214367004035371E-2</v>
      </c>
      <c r="T206">
        <v>1.8324137803899999E-2</v>
      </c>
      <c r="U206">
        <f t="shared" si="122"/>
        <v>0.8660714285714286</v>
      </c>
      <c r="W206">
        <v>194</v>
      </c>
      <c r="X206" t="e">
        <v>#N/A</v>
      </c>
      <c r="Z206" t="e">
        <f t="shared" si="123"/>
        <v>#N/A</v>
      </c>
      <c r="AB206" t="e">
        <f t="shared" si="121"/>
        <v>#N/A</v>
      </c>
      <c r="AC206" t="e">
        <f t="shared" si="124"/>
        <v>#N/A</v>
      </c>
      <c r="AE206" t="e">
        <v>#N/A</v>
      </c>
      <c r="AF206" t="e">
        <v>#N/A</v>
      </c>
      <c r="AJ206">
        <f t="shared" si="125"/>
        <v>0.8660714285714286</v>
      </c>
      <c r="AK206">
        <v>196.80685419400001</v>
      </c>
      <c r="AL206">
        <f t="shared" si="126"/>
        <v>0.26059596700000043</v>
      </c>
      <c r="AM206">
        <f t="shared" ref="AM206:AM236" si="144">AJ206-AJ205</f>
        <v>4.4642857142856984E-3</v>
      </c>
      <c r="AO206">
        <v>194</v>
      </c>
      <c r="AP206" t="e">
        <v>#N/A</v>
      </c>
      <c r="AR206" t="e">
        <f t="shared" si="127"/>
        <v>#N/A</v>
      </c>
      <c r="AT206" t="e">
        <f t="shared" si="128"/>
        <v>#N/A</v>
      </c>
      <c r="AU206" t="e">
        <f t="shared" si="129"/>
        <v>#N/A</v>
      </c>
      <c r="AW206" t="e">
        <v>#N/A</v>
      </c>
      <c r="AX206" t="e">
        <v>#N/A</v>
      </c>
      <c r="BB206">
        <f t="shared" si="130"/>
        <v>0.8660714285714286</v>
      </c>
      <c r="BC206">
        <v>763.67938396218199</v>
      </c>
      <c r="BD206">
        <f t="shared" si="131"/>
        <v>9.2534403162650278</v>
      </c>
      <c r="BE206">
        <f t="shared" ref="BE206:BE236" si="145">BB206-BB205</f>
        <v>4.4642857142856984E-3</v>
      </c>
      <c r="BF206">
        <v>194</v>
      </c>
      <c r="BG206" t="e">
        <v>#N/A</v>
      </c>
      <c r="BI206" t="e">
        <f t="shared" si="132"/>
        <v>#N/A</v>
      </c>
      <c r="BK206" t="e">
        <f t="shared" si="133"/>
        <v>#N/A</v>
      </c>
      <c r="BL206" t="e">
        <f t="shared" si="134"/>
        <v>#N/A</v>
      </c>
      <c r="BN206" t="e">
        <v>#N/A</v>
      </c>
      <c r="BO206" t="e">
        <v>#N/A</v>
      </c>
      <c r="BS206">
        <f t="shared" si="135"/>
        <v>0.8660714285714286</v>
      </c>
      <c r="BT206">
        <v>0.28380119584401753</v>
      </c>
      <c r="BU206">
        <f t="shared" si="136"/>
        <v>6.1183950897436556E-5</v>
      </c>
      <c r="BV206">
        <f t="shared" ref="BV206:BV236" si="146">BS206-BS205</f>
        <v>4.4642857142856984E-3</v>
      </c>
      <c r="BW206">
        <v>194</v>
      </c>
      <c r="BX206" t="e">
        <v>#N/A</v>
      </c>
      <c r="BZ206" t="e">
        <f t="shared" si="137"/>
        <v>#N/A</v>
      </c>
      <c r="CB206" t="e">
        <f t="shared" si="120"/>
        <v>#N/A</v>
      </c>
      <c r="CC206" t="e">
        <f t="shared" si="138"/>
        <v>#N/A</v>
      </c>
      <c r="CE206" t="e">
        <v>#N/A</v>
      </c>
      <c r="CF206" t="e">
        <v>#N/A</v>
      </c>
      <c r="CJ206">
        <f t="shared" si="139"/>
        <v>0.8660714285714286</v>
      </c>
      <c r="CK206">
        <v>6.6609532983900002E-2</v>
      </c>
      <c r="CL206">
        <f t="shared" si="140"/>
        <v>3.375424500004498E-6</v>
      </c>
      <c r="CM206">
        <f t="shared" ref="CM206:CM236" si="147">CJ206-CJ205</f>
        <v>4.4642857142856984E-3</v>
      </c>
    </row>
    <row r="207" spans="2:91">
      <c r="B207">
        <v>195</v>
      </c>
      <c r="C207" t="e">
        <f>IF(ISNUMBER(K207),IF('Lab test'!N198&gt;0,'Lab test'!N198,NA()),NA())</f>
        <v>#N/A</v>
      </c>
      <c r="D207" t="e">
        <f>IF(ISNUMBER(K207),IF('Lab test'!Q198&gt;0,'Lab test'!Q198,NA()),NA())</f>
        <v>#N/A</v>
      </c>
      <c r="E207" t="e">
        <f>IF(ISNUMBER(K207),IF('Lab test'!P198&gt;0,'Lab test'!P198,NA()),NA())</f>
        <v>#N/A</v>
      </c>
      <c r="F207" t="e">
        <f>IF(ISNUMBER(K207),IF('Lab test'!AJ198&gt;0,'Lab test'!AJ198,NA()),NA())</f>
        <v>#N/A</v>
      </c>
      <c r="G207">
        <f>IF('Lab test'!V198&gt;0,'Lab test'!V198,NA())</f>
        <v>230974.36932114011</v>
      </c>
      <c r="H207" t="e">
        <f>IF(MAX('Lab test'!W198,'Lab test'!X198)&gt;0,MAX('Lab test'!W198,'Lab test'!X198),NA())</f>
        <v>#N/A</v>
      </c>
      <c r="I207" t="e">
        <f>IF('Lab test'!AU198&gt;0,'Lab test'!AU198,NA())</f>
        <v>#N/A</v>
      </c>
      <c r="J207">
        <f>IF('Lab test'!AT198&gt;0,'Lab test'!AT198,NA())</f>
        <v>0.12479500926461229</v>
      </c>
      <c r="K207" t="e">
        <f t="shared" si="141"/>
        <v>#N/A</v>
      </c>
      <c r="L207" t="str">
        <f>'Lab test'!AC198</f>
        <v>LTWb</v>
      </c>
      <c r="N207">
        <v>195</v>
      </c>
      <c r="O207">
        <v>64.586221996899994</v>
      </c>
      <c r="P207">
        <v>0.24622649662599999</v>
      </c>
      <c r="Q207">
        <f t="shared" si="142"/>
        <v>262.30410976037939</v>
      </c>
      <c r="R207">
        <v>60.395355707999997</v>
      </c>
      <c r="S207">
        <f t="shared" si="143"/>
        <v>5.7737917399768336E-2</v>
      </c>
      <c r="T207">
        <v>1.1006570668300001E-2</v>
      </c>
      <c r="U207">
        <f t="shared" si="122"/>
        <v>0.8705357142857143</v>
      </c>
      <c r="W207">
        <v>195</v>
      </c>
      <c r="X207" t="e">
        <v>#N/A</v>
      </c>
      <c r="Z207" t="e">
        <f t="shared" si="123"/>
        <v>#N/A</v>
      </c>
      <c r="AB207" t="e">
        <f t="shared" si="121"/>
        <v>#N/A</v>
      </c>
      <c r="AC207" t="e">
        <f t="shared" si="124"/>
        <v>#N/A</v>
      </c>
      <c r="AE207" t="e">
        <v>#N/A</v>
      </c>
      <c r="AF207" t="e">
        <v>#N/A</v>
      </c>
      <c r="AJ207">
        <f t="shared" si="125"/>
        <v>0.8705357142857143</v>
      </c>
      <c r="AK207">
        <v>197.06745016100001</v>
      </c>
      <c r="AL207">
        <f t="shared" si="126"/>
        <v>1.3298492259999932</v>
      </c>
      <c r="AM207">
        <f t="shared" si="144"/>
        <v>4.4642857142856984E-3</v>
      </c>
      <c r="AO207">
        <v>195</v>
      </c>
      <c r="AP207" t="e">
        <v>#N/A</v>
      </c>
      <c r="AR207" t="e">
        <f t="shared" si="127"/>
        <v>#N/A</v>
      </c>
      <c r="AT207" t="e">
        <f t="shared" si="128"/>
        <v>#N/A</v>
      </c>
      <c r="AU207" t="e">
        <f t="shared" si="129"/>
        <v>#N/A</v>
      </c>
      <c r="AW207" t="e">
        <v>#N/A</v>
      </c>
      <c r="AX207" t="e">
        <v>#N/A</v>
      </c>
      <c r="BB207">
        <f t="shared" si="130"/>
        <v>0.8705357142857143</v>
      </c>
      <c r="BC207">
        <v>772.93282427844701</v>
      </c>
      <c r="BD207">
        <f t="shared" si="131"/>
        <v>8.7201786824768988</v>
      </c>
      <c r="BE207">
        <f t="shared" si="145"/>
        <v>4.4642857142856984E-3</v>
      </c>
      <c r="BF207">
        <v>195</v>
      </c>
      <c r="BG207" t="e">
        <v>#N/A</v>
      </c>
      <c r="BI207" t="e">
        <f t="shared" si="132"/>
        <v>#N/A</v>
      </c>
      <c r="BK207" t="e">
        <f t="shared" si="133"/>
        <v>#N/A</v>
      </c>
      <c r="BL207" t="e">
        <f t="shared" si="134"/>
        <v>#N/A</v>
      </c>
      <c r="BN207" t="e">
        <v>#N/A</v>
      </c>
      <c r="BO207" t="e">
        <v>#N/A</v>
      </c>
      <c r="BS207">
        <f t="shared" si="135"/>
        <v>0.8705357142857143</v>
      </c>
      <c r="BT207">
        <v>0.28386237979491497</v>
      </c>
      <c r="BU207">
        <f t="shared" si="136"/>
        <v>7.4228180893005091E-3</v>
      </c>
      <c r="BV207">
        <f t="shared" si="146"/>
        <v>4.4642857142856984E-3</v>
      </c>
      <c r="BW207">
        <v>195</v>
      </c>
      <c r="BX207" t="e">
        <v>#N/A</v>
      </c>
      <c r="BZ207" t="e">
        <f t="shared" si="137"/>
        <v>#N/A</v>
      </c>
      <c r="CB207" t="e">
        <f t="shared" si="120"/>
        <v>#N/A</v>
      </c>
      <c r="CC207" t="e">
        <f t="shared" si="138"/>
        <v>#N/A</v>
      </c>
      <c r="CE207" t="e">
        <v>#N/A</v>
      </c>
      <c r="CF207" t="e">
        <v>#N/A</v>
      </c>
      <c r="CJ207">
        <f t="shared" si="139"/>
        <v>0.8705357142857143</v>
      </c>
      <c r="CK207">
        <v>6.6612908408400007E-2</v>
      </c>
      <c r="CL207">
        <f t="shared" si="140"/>
        <v>1.2554169999401399E-7</v>
      </c>
      <c r="CM207">
        <f t="shared" si="147"/>
        <v>4.4642857142856984E-3</v>
      </c>
    </row>
    <row r="208" spans="2:91">
      <c r="B208">
        <v>196</v>
      </c>
      <c r="C208" t="e">
        <f>IF(ISNUMBER(K208),IF('Lab test'!N199&gt;0,'Lab test'!N199,NA()),NA())</f>
        <v>#N/A</v>
      </c>
      <c r="D208" t="e">
        <f>IF(ISNUMBER(K208),IF('Lab test'!Q199&gt;0,'Lab test'!Q199,NA()),NA())</f>
        <v>#N/A</v>
      </c>
      <c r="E208" t="e">
        <f>IF(ISNUMBER(K208),IF('Lab test'!P199&gt;0,'Lab test'!P199,NA()),NA())</f>
        <v>#N/A</v>
      </c>
      <c r="F208" t="e">
        <f>IF(ISNUMBER(K208),IF('Lab test'!AJ199&gt;0,'Lab test'!AJ199,NA()),NA())</f>
        <v>#N/A</v>
      </c>
      <c r="G208">
        <f>IF('Lab test'!V199&gt;0,'Lab test'!V199,NA())</f>
        <v>230974.36932114011</v>
      </c>
      <c r="H208" t="e">
        <f>IF(MAX('Lab test'!W199,'Lab test'!X199)&gt;0,MAX('Lab test'!W199,'Lab test'!X199),NA())</f>
        <v>#N/A</v>
      </c>
      <c r="I208" t="e">
        <f>IF('Lab test'!AU199&gt;0,'Lab test'!AU199,NA())</f>
        <v>#N/A</v>
      </c>
      <c r="J208">
        <f>IF('Lab test'!AT199&gt;0,'Lab test'!AT199,NA())</f>
        <v>0.11405486739299127</v>
      </c>
      <c r="K208" t="e">
        <f t="shared" si="141"/>
        <v>#N/A</v>
      </c>
      <c r="L208" t="str">
        <f>'Lab test'!AC199</f>
        <v>LTWb</v>
      </c>
      <c r="N208">
        <v>196</v>
      </c>
      <c r="O208">
        <v>65.502135354999993</v>
      </c>
      <c r="P208">
        <v>0.102251784481</v>
      </c>
      <c r="Q208">
        <f t="shared" si="142"/>
        <v>640.59650095565155</v>
      </c>
      <c r="R208">
        <v>163.49477698999999</v>
      </c>
      <c r="S208">
        <f t="shared" si="143"/>
        <v>9.8617989408832055E-2</v>
      </c>
      <c r="T208">
        <v>3.46988357979E-2</v>
      </c>
      <c r="U208">
        <f t="shared" si="122"/>
        <v>0.875</v>
      </c>
      <c r="W208">
        <v>196</v>
      </c>
      <c r="X208" t="e">
        <v>#N/A</v>
      </c>
      <c r="Z208" t="e">
        <f t="shared" si="123"/>
        <v>#N/A</v>
      </c>
      <c r="AB208" t="e">
        <f t="shared" si="121"/>
        <v>#N/A</v>
      </c>
      <c r="AC208" t="e">
        <f t="shared" si="124"/>
        <v>#N/A</v>
      </c>
      <c r="AE208" t="e">
        <v>#N/A</v>
      </c>
      <c r="AF208" t="e">
        <v>#N/A</v>
      </c>
      <c r="AJ208">
        <f t="shared" si="125"/>
        <v>0.875</v>
      </c>
      <c r="AK208">
        <v>198.397299387</v>
      </c>
      <c r="AL208">
        <f t="shared" si="126"/>
        <v>2.6619656990000067</v>
      </c>
      <c r="AM208">
        <f t="shared" si="144"/>
        <v>4.4642857142856984E-3</v>
      </c>
      <c r="AO208">
        <v>196</v>
      </c>
      <c r="AP208" t="e">
        <v>#N/A</v>
      </c>
      <c r="AR208" t="e">
        <f t="shared" si="127"/>
        <v>#N/A</v>
      </c>
      <c r="AT208" t="e">
        <f t="shared" si="128"/>
        <v>#N/A</v>
      </c>
      <c r="AU208" t="e">
        <f t="shared" si="129"/>
        <v>#N/A</v>
      </c>
      <c r="AW208" t="e">
        <v>#N/A</v>
      </c>
      <c r="AX208" t="e">
        <v>#N/A</v>
      </c>
      <c r="BB208">
        <f t="shared" si="130"/>
        <v>0.875</v>
      </c>
      <c r="BC208">
        <v>781.65300296092391</v>
      </c>
      <c r="BD208">
        <f t="shared" si="131"/>
        <v>2.9415751764369134</v>
      </c>
      <c r="BE208">
        <f t="shared" si="145"/>
        <v>4.4642857142856984E-3</v>
      </c>
      <c r="BF208">
        <v>196</v>
      </c>
      <c r="BG208" t="e">
        <v>#N/A</v>
      </c>
      <c r="BI208" t="e">
        <f t="shared" si="132"/>
        <v>#N/A</v>
      </c>
      <c r="BK208" t="e">
        <f t="shared" si="133"/>
        <v>#N/A</v>
      </c>
      <c r="BL208" t="e">
        <f t="shared" si="134"/>
        <v>#N/A</v>
      </c>
      <c r="BN208" t="e">
        <v>#N/A</v>
      </c>
      <c r="BO208" t="e">
        <v>#N/A</v>
      </c>
      <c r="BS208">
        <f t="shared" si="135"/>
        <v>0.875</v>
      </c>
      <c r="BT208">
        <v>0.29128519788421547</v>
      </c>
      <c r="BU208">
        <f t="shared" si="136"/>
        <v>6.0220172882374801E-5</v>
      </c>
      <c r="BV208">
        <f t="shared" si="146"/>
        <v>4.4642857142856984E-3</v>
      </c>
      <c r="BW208">
        <v>196</v>
      </c>
      <c r="BX208" t="e">
        <v>#N/A</v>
      </c>
      <c r="BZ208" t="e">
        <f t="shared" si="137"/>
        <v>#N/A</v>
      </c>
      <c r="CB208" t="e">
        <f t="shared" si="120"/>
        <v>#N/A</v>
      </c>
      <c r="CC208" t="e">
        <f t="shared" si="138"/>
        <v>#N/A</v>
      </c>
      <c r="CE208" t="e">
        <v>#N/A</v>
      </c>
      <c r="CF208" t="e">
        <v>#N/A</v>
      </c>
      <c r="CJ208">
        <f t="shared" si="139"/>
        <v>0.875</v>
      </c>
      <c r="CK208">
        <v>6.6613033950100001E-2</v>
      </c>
      <c r="CL208">
        <f t="shared" si="140"/>
        <v>3.0923836999985355E-6</v>
      </c>
      <c r="CM208">
        <f t="shared" si="147"/>
        <v>4.4642857142856984E-3</v>
      </c>
    </row>
    <row r="209" spans="2:91">
      <c r="B209">
        <v>197</v>
      </c>
      <c r="C209" t="e">
        <f>IF(ISNUMBER(K209),IF('Lab test'!N200&gt;0,'Lab test'!N200,NA()),NA())</f>
        <v>#N/A</v>
      </c>
      <c r="D209" t="e">
        <f>IF(ISNUMBER(K209),IF('Lab test'!Q200&gt;0,'Lab test'!Q200,NA()),NA())</f>
        <v>#N/A</v>
      </c>
      <c r="E209" t="e">
        <f>IF(ISNUMBER(K209),IF('Lab test'!P200&gt;0,'Lab test'!P200,NA()),NA())</f>
        <v>#N/A</v>
      </c>
      <c r="F209" t="e">
        <f>IF(ISNUMBER(K209),IF('Lab test'!AJ200&gt;0,'Lab test'!AJ200,NA()),NA())</f>
        <v>#N/A</v>
      </c>
      <c r="G209">
        <f>IF('Lab test'!V200&gt;0,'Lab test'!V200,NA())</f>
        <v>230974.36932114011</v>
      </c>
      <c r="H209" t="e">
        <f>IF(MAX('Lab test'!W200,'Lab test'!X200)&gt;0,MAX('Lab test'!W200,'Lab test'!X200),NA())</f>
        <v>#N/A</v>
      </c>
      <c r="I209" t="e">
        <f>IF('Lab test'!AU200&gt;0,'Lab test'!AU200,NA())</f>
        <v>#N/A</v>
      </c>
      <c r="J209">
        <f>IF('Lab test'!AT200&gt;0,'Lab test'!AT200,NA())</f>
        <v>0.13107366177086094</v>
      </c>
      <c r="K209" t="e">
        <f t="shared" si="141"/>
        <v>#N/A</v>
      </c>
      <c r="L209" t="str">
        <f>'Lab test'!AC200</f>
        <v>LTWb</v>
      </c>
      <c r="N209">
        <v>197</v>
      </c>
      <c r="O209">
        <v>65.835811932300004</v>
      </c>
      <c r="P209">
        <v>0.182534985239</v>
      </c>
      <c r="Q209">
        <f t="shared" si="142"/>
        <v>360.67503358930713</v>
      </c>
      <c r="R209">
        <v>493.09077982500003</v>
      </c>
      <c r="S209">
        <f t="shared" si="143"/>
        <v>0.39437251990365002</v>
      </c>
      <c r="T209">
        <v>4.6437240029400001E-2</v>
      </c>
      <c r="U209">
        <f t="shared" si="122"/>
        <v>0.8794642857142857</v>
      </c>
      <c r="W209">
        <v>197</v>
      </c>
      <c r="X209" t="e">
        <v>#N/A</v>
      </c>
      <c r="Z209" t="e">
        <f t="shared" si="123"/>
        <v>#N/A</v>
      </c>
      <c r="AB209" t="e">
        <f t="shared" si="121"/>
        <v>#N/A</v>
      </c>
      <c r="AC209" t="e">
        <f t="shared" si="124"/>
        <v>#N/A</v>
      </c>
      <c r="AE209" t="e">
        <v>#N/A</v>
      </c>
      <c r="AF209" t="e">
        <v>#N/A</v>
      </c>
      <c r="AJ209">
        <f t="shared" si="125"/>
        <v>0.8794642857142857</v>
      </c>
      <c r="AK209">
        <v>201.05926508600001</v>
      </c>
      <c r="AL209">
        <f t="shared" si="126"/>
        <v>0.38414910199998076</v>
      </c>
      <c r="AM209">
        <f t="shared" si="144"/>
        <v>4.4642857142856984E-3</v>
      </c>
      <c r="AO209">
        <v>197</v>
      </c>
      <c r="AP209" t="e">
        <v>#N/A</v>
      </c>
      <c r="AR209" t="e">
        <f t="shared" si="127"/>
        <v>#N/A</v>
      </c>
      <c r="AT209" t="e">
        <f t="shared" si="128"/>
        <v>#N/A</v>
      </c>
      <c r="AU209" t="e">
        <f t="shared" si="129"/>
        <v>#N/A</v>
      </c>
      <c r="AW209" t="e">
        <v>#N/A</v>
      </c>
      <c r="AX209" t="e">
        <v>#N/A</v>
      </c>
      <c r="BB209">
        <f t="shared" si="130"/>
        <v>0.8794642857142857</v>
      </c>
      <c r="BC209">
        <v>784.59457813736083</v>
      </c>
      <c r="BD209">
        <f t="shared" si="131"/>
        <v>11.00433497081508</v>
      </c>
      <c r="BE209">
        <f t="shared" si="145"/>
        <v>4.4642857142856984E-3</v>
      </c>
      <c r="BF209">
        <v>197</v>
      </c>
      <c r="BG209" t="e">
        <v>#N/A</v>
      </c>
      <c r="BI209" t="e">
        <f t="shared" si="132"/>
        <v>#N/A</v>
      </c>
      <c r="BK209" t="e">
        <f t="shared" si="133"/>
        <v>#N/A</v>
      </c>
      <c r="BL209" t="e">
        <f t="shared" si="134"/>
        <v>#N/A</v>
      </c>
      <c r="BN209" t="e">
        <v>#N/A</v>
      </c>
      <c r="BO209" t="e">
        <v>#N/A</v>
      </c>
      <c r="BS209">
        <f t="shared" si="135"/>
        <v>0.8794642857142857</v>
      </c>
      <c r="BT209">
        <v>0.29134541805709785</v>
      </c>
      <c r="BU209">
        <f t="shared" si="136"/>
        <v>1.2785657852056875E-3</v>
      </c>
      <c r="BV209">
        <f t="shared" si="146"/>
        <v>4.4642857142856984E-3</v>
      </c>
      <c r="BW209">
        <v>197</v>
      </c>
      <c r="BX209" t="e">
        <v>#N/A</v>
      </c>
      <c r="BZ209" t="e">
        <f t="shared" si="137"/>
        <v>#N/A</v>
      </c>
      <c r="CB209" t="e">
        <f t="shared" si="120"/>
        <v>#N/A</v>
      </c>
      <c r="CC209" t="e">
        <f t="shared" si="138"/>
        <v>#N/A</v>
      </c>
      <c r="CE209" t="e">
        <v>#N/A</v>
      </c>
      <c r="CF209" t="e">
        <v>#N/A</v>
      </c>
      <c r="CJ209">
        <f t="shared" si="139"/>
        <v>0.8794642857142857</v>
      </c>
      <c r="CK209">
        <v>6.6616126333799999E-2</v>
      </c>
      <c r="CL209">
        <f t="shared" si="140"/>
        <v>2.7502272999940791E-6</v>
      </c>
      <c r="CM209">
        <f t="shared" si="147"/>
        <v>4.4642857142856984E-3</v>
      </c>
    </row>
    <row r="210" spans="2:91">
      <c r="B210">
        <v>198</v>
      </c>
      <c r="C210" t="e">
        <f>IF(ISNUMBER(K210),IF('Lab test'!N201&gt;0,'Lab test'!N201,NA()),NA())</f>
        <v>#N/A</v>
      </c>
      <c r="D210" t="e">
        <f>IF(ISNUMBER(K210),IF('Lab test'!Q201&gt;0,'Lab test'!Q201,NA()),NA())</f>
        <v>#N/A</v>
      </c>
      <c r="E210" t="e">
        <f>IF(ISNUMBER(K210),IF('Lab test'!P201&gt;0,'Lab test'!P201,NA()),NA())</f>
        <v>#N/A</v>
      </c>
      <c r="F210" t="e">
        <f>IF(ISNUMBER(K210),IF('Lab test'!AJ201&gt;0,'Lab test'!AJ201,NA()),NA())</f>
        <v>#N/A</v>
      </c>
      <c r="G210">
        <f>IF('Lab test'!V201&gt;0,'Lab test'!V201,NA())</f>
        <v>230974.36932114011</v>
      </c>
      <c r="H210" t="e">
        <f>IF(MAX('Lab test'!W201,'Lab test'!X201)&gt;0,MAX('Lab test'!W201,'Lab test'!X201),NA())</f>
        <v>#N/A</v>
      </c>
      <c r="I210" t="e">
        <f>IF('Lab test'!AU201&gt;0,'Lab test'!AU201,NA())</f>
        <v>#N/A</v>
      </c>
      <c r="J210">
        <f>IF('Lab test'!AT201&gt;0,'Lab test'!AT201,NA())</f>
        <v>0.18033657959516219</v>
      </c>
      <c r="K210" t="e">
        <f t="shared" si="141"/>
        <v>#N/A</v>
      </c>
      <c r="L210" t="str">
        <f>'Lab test'!AC201</f>
        <v>LTWb</v>
      </c>
      <c r="N210">
        <v>198</v>
      </c>
      <c r="O210">
        <v>66.007203274299997</v>
      </c>
      <c r="P210">
        <v>9.9651000911100004E-2</v>
      </c>
      <c r="Q210">
        <f t="shared" si="142"/>
        <v>662.3837459814971</v>
      </c>
      <c r="R210">
        <v>356.40222684399998</v>
      </c>
      <c r="S210">
        <f t="shared" si="143"/>
        <v>0.20979456998815749</v>
      </c>
      <c r="T210">
        <v>1.2665836266400001E-2</v>
      </c>
      <c r="U210">
        <f t="shared" si="122"/>
        <v>0.8839285714285714</v>
      </c>
      <c r="W210">
        <v>198</v>
      </c>
      <c r="X210" t="e">
        <v>#N/A</v>
      </c>
      <c r="Z210" t="e">
        <f t="shared" si="123"/>
        <v>#N/A</v>
      </c>
      <c r="AB210" t="e">
        <f t="shared" si="121"/>
        <v>#N/A</v>
      </c>
      <c r="AC210" t="e">
        <f t="shared" si="124"/>
        <v>#N/A</v>
      </c>
      <c r="AE210" t="e">
        <v>#N/A</v>
      </c>
      <c r="AF210" t="e">
        <v>#N/A</v>
      </c>
      <c r="AJ210">
        <f t="shared" si="125"/>
        <v>0.8839285714285714</v>
      </c>
      <c r="AK210">
        <v>201.44341418799999</v>
      </c>
      <c r="AL210">
        <f t="shared" si="126"/>
        <v>0.67860438799999656</v>
      </c>
      <c r="AM210">
        <f t="shared" si="144"/>
        <v>4.4642857142856984E-3</v>
      </c>
      <c r="AO210">
        <v>198</v>
      </c>
      <c r="AP210" t="e">
        <v>#N/A</v>
      </c>
      <c r="AR210" t="e">
        <f t="shared" si="127"/>
        <v>#N/A</v>
      </c>
      <c r="AT210" t="e">
        <f t="shared" si="128"/>
        <v>#N/A</v>
      </c>
      <c r="AU210" t="e">
        <f t="shared" si="129"/>
        <v>#N/A</v>
      </c>
      <c r="AW210" t="e">
        <v>#N/A</v>
      </c>
      <c r="AX210" t="e">
        <v>#N/A</v>
      </c>
      <c r="BB210">
        <f t="shared" si="130"/>
        <v>0.8839285714285714</v>
      </c>
      <c r="BC210">
        <v>795.59891310817591</v>
      </c>
      <c r="BD210">
        <f t="shared" si="131"/>
        <v>8.833728601302937E-4</v>
      </c>
      <c r="BE210">
        <f t="shared" si="145"/>
        <v>4.4642857142856984E-3</v>
      </c>
      <c r="BF210">
        <v>198</v>
      </c>
      <c r="BG210" t="e">
        <v>#N/A</v>
      </c>
      <c r="BI210" t="e">
        <f t="shared" si="132"/>
        <v>#N/A</v>
      </c>
      <c r="BK210" t="e">
        <f t="shared" si="133"/>
        <v>#N/A</v>
      </c>
      <c r="BL210" t="e">
        <f t="shared" si="134"/>
        <v>#N/A</v>
      </c>
      <c r="BN210" t="e">
        <v>#N/A</v>
      </c>
      <c r="BO210" t="e">
        <v>#N/A</v>
      </c>
      <c r="BS210">
        <f t="shared" si="135"/>
        <v>0.8839285714285714</v>
      </c>
      <c r="BT210">
        <v>0.29262398384230354</v>
      </c>
      <c r="BU210">
        <f t="shared" si="136"/>
        <v>2.3962166757496295E-3</v>
      </c>
      <c r="BV210">
        <f t="shared" si="146"/>
        <v>4.4642857142856984E-3</v>
      </c>
      <c r="BW210">
        <v>198</v>
      </c>
      <c r="BX210" t="e">
        <v>#N/A</v>
      </c>
      <c r="BZ210" t="e">
        <f t="shared" si="137"/>
        <v>#N/A</v>
      </c>
      <c r="CB210" t="e">
        <f t="shared" si="120"/>
        <v>#N/A</v>
      </c>
      <c r="CC210" t="e">
        <f t="shared" si="138"/>
        <v>#N/A</v>
      </c>
      <c r="CE210" t="e">
        <v>#N/A</v>
      </c>
      <c r="CF210" t="e">
        <v>#N/A</v>
      </c>
      <c r="CJ210">
        <f t="shared" si="139"/>
        <v>0.8839285714285714</v>
      </c>
      <c r="CK210">
        <v>6.6618876561099993E-2</v>
      </c>
      <c r="CL210">
        <f t="shared" si="140"/>
        <v>1.7898744000127698E-6</v>
      </c>
      <c r="CM210">
        <f t="shared" si="147"/>
        <v>4.4642857142856984E-3</v>
      </c>
    </row>
    <row r="211" spans="2:91">
      <c r="B211">
        <v>199</v>
      </c>
      <c r="C211" t="e">
        <f>IF(ISNUMBER(K211),IF('Lab test'!N202&gt;0,'Lab test'!N202,NA()),NA())</f>
        <v>#N/A</v>
      </c>
      <c r="D211" t="e">
        <f>IF(ISNUMBER(K211),IF('Lab test'!Q202&gt;0,'Lab test'!Q202,NA()),NA())</f>
        <v>#N/A</v>
      </c>
      <c r="E211" t="e">
        <f>IF(ISNUMBER(K211),IF('Lab test'!P202&gt;0,'Lab test'!P202,NA()),NA())</f>
        <v>#N/A</v>
      </c>
      <c r="F211" t="e">
        <f>IF(ISNUMBER(K211),IF('Lab test'!AJ202&gt;0,'Lab test'!AJ202,NA()),NA())</f>
        <v>#N/A</v>
      </c>
      <c r="G211">
        <f>IF('Lab test'!V202&gt;0,'Lab test'!V202,NA())</f>
        <v>230974.36932114011</v>
      </c>
      <c r="H211" t="e">
        <f>IF(MAX('Lab test'!W202,'Lab test'!X202)&gt;0,MAX('Lab test'!W202,'Lab test'!X202),NA())</f>
        <v>#N/A</v>
      </c>
      <c r="I211" t="e">
        <f>IF('Lab test'!AU202&gt;0,'Lab test'!AU202,NA())</f>
        <v>#N/A</v>
      </c>
      <c r="J211">
        <f>IF('Lab test'!AT202&gt;0,'Lab test'!AT202,NA())</f>
        <v>0.19253430188409193</v>
      </c>
      <c r="K211" t="e">
        <f t="shared" si="141"/>
        <v>#N/A</v>
      </c>
      <c r="L211" t="str">
        <f>'Lab test'!AC202</f>
        <v>LTWb</v>
      </c>
      <c r="N211">
        <v>199</v>
      </c>
      <c r="O211">
        <v>66.510401078599998</v>
      </c>
      <c r="P211">
        <v>7.9650106198900006E-2</v>
      </c>
      <c r="Q211">
        <f t="shared" si="142"/>
        <v>835.03217073574388</v>
      </c>
      <c r="R211">
        <v>684.98549509199995</v>
      </c>
      <c r="S211">
        <f t="shared" si="143"/>
        <v>0.35640205920635226</v>
      </c>
      <c r="T211">
        <v>3.32135504129E-2</v>
      </c>
      <c r="U211">
        <f t="shared" si="122"/>
        <v>0.8883928571428571</v>
      </c>
      <c r="W211">
        <v>199</v>
      </c>
      <c r="X211" t="e">
        <v>#N/A</v>
      </c>
      <c r="Z211" t="e">
        <f t="shared" si="123"/>
        <v>#N/A</v>
      </c>
      <c r="AB211" t="e">
        <f t="shared" si="121"/>
        <v>#N/A</v>
      </c>
      <c r="AC211" t="e">
        <f t="shared" si="124"/>
        <v>#N/A</v>
      </c>
      <c r="AE211" t="e">
        <v>#N/A</v>
      </c>
      <c r="AF211" t="e">
        <v>#N/A</v>
      </c>
      <c r="AJ211">
        <f t="shared" si="125"/>
        <v>0.8883928571428571</v>
      </c>
      <c r="AK211">
        <v>202.12201857599999</v>
      </c>
      <c r="AL211">
        <f t="shared" si="126"/>
        <v>18.238269295999999</v>
      </c>
      <c r="AM211">
        <f t="shared" si="144"/>
        <v>4.4642857142856984E-3</v>
      </c>
      <c r="AO211">
        <v>199</v>
      </c>
      <c r="AP211" t="e">
        <v>#N/A</v>
      </c>
      <c r="AR211" t="e">
        <f t="shared" si="127"/>
        <v>#N/A</v>
      </c>
      <c r="AT211" t="e">
        <f t="shared" si="128"/>
        <v>#N/A</v>
      </c>
      <c r="AU211" t="e">
        <f t="shared" si="129"/>
        <v>#N/A</v>
      </c>
      <c r="AW211" t="e">
        <v>#N/A</v>
      </c>
      <c r="AX211" t="e">
        <v>#N/A</v>
      </c>
      <c r="BB211">
        <f t="shared" si="130"/>
        <v>0.8883928571428571</v>
      </c>
      <c r="BC211">
        <v>795.59979648103604</v>
      </c>
      <c r="BD211">
        <f t="shared" si="131"/>
        <v>11.338086662995465</v>
      </c>
      <c r="BE211">
        <f t="shared" si="145"/>
        <v>4.4642857142856984E-3</v>
      </c>
      <c r="BF211">
        <v>199</v>
      </c>
      <c r="BG211" t="e">
        <v>#N/A</v>
      </c>
      <c r="BI211" t="e">
        <f t="shared" si="132"/>
        <v>#N/A</v>
      </c>
      <c r="BK211" t="e">
        <f t="shared" si="133"/>
        <v>#N/A</v>
      </c>
      <c r="BL211" t="e">
        <f t="shared" si="134"/>
        <v>#N/A</v>
      </c>
      <c r="BN211" t="e">
        <v>#N/A</v>
      </c>
      <c r="BO211" t="e">
        <v>#N/A</v>
      </c>
      <c r="BS211">
        <f t="shared" si="135"/>
        <v>0.8883928571428571</v>
      </c>
      <c r="BT211">
        <v>0.29502020051805317</v>
      </c>
      <c r="BU211">
        <f t="shared" si="136"/>
        <v>1.5860395071830569E-3</v>
      </c>
      <c r="BV211">
        <f t="shared" si="146"/>
        <v>4.4642857142856984E-3</v>
      </c>
      <c r="BW211">
        <v>199</v>
      </c>
      <c r="BX211" t="e">
        <v>#N/A</v>
      </c>
      <c r="BZ211" t="e">
        <f t="shared" si="137"/>
        <v>#N/A</v>
      </c>
      <c r="CB211" t="e">
        <f t="shared" si="120"/>
        <v>#N/A</v>
      </c>
      <c r="CC211" t="e">
        <f t="shared" si="138"/>
        <v>#N/A</v>
      </c>
      <c r="CE211" t="e">
        <v>#N/A</v>
      </c>
      <c r="CF211" t="e">
        <v>#N/A</v>
      </c>
      <c r="CJ211">
        <f t="shared" si="139"/>
        <v>0.8883928571428571</v>
      </c>
      <c r="CK211">
        <v>6.6620666435500006E-2</v>
      </c>
      <c r="CL211">
        <f t="shared" si="140"/>
        <v>3.1904209998878663E-7</v>
      </c>
      <c r="CM211">
        <f t="shared" si="147"/>
        <v>4.4642857142856984E-3</v>
      </c>
    </row>
    <row r="212" spans="2:91">
      <c r="B212">
        <v>200</v>
      </c>
      <c r="C212" t="e">
        <f>IF(ISNUMBER(K212),IF('Lab test'!N203&gt;0,'Lab test'!N203,NA()),NA())</f>
        <v>#N/A</v>
      </c>
      <c r="D212" t="e">
        <f>IF(ISNUMBER(K212),IF('Lab test'!Q203&gt;0,'Lab test'!Q203,NA()),NA())</f>
        <v>#N/A</v>
      </c>
      <c r="E212" t="e">
        <f>IF(ISNUMBER(K212),IF('Lab test'!P203&gt;0,'Lab test'!P203,NA()),NA())</f>
        <v>#N/A</v>
      </c>
      <c r="F212" t="e">
        <f>IF(ISNUMBER(K212),IF('Lab test'!AJ203&gt;0,'Lab test'!AJ203,NA()),NA())</f>
        <v>#N/A</v>
      </c>
      <c r="G212">
        <f>IF('Lab test'!V203&gt;0,'Lab test'!V203,NA())</f>
        <v>230974.36932114011</v>
      </c>
      <c r="H212" t="e">
        <f>IF(MAX('Lab test'!W203,'Lab test'!X203)&gt;0,MAX('Lab test'!W203,'Lab test'!X203),NA())</f>
        <v>#N/A</v>
      </c>
      <c r="I212" t="e">
        <f>IF('Lab test'!AU203&gt;0,'Lab test'!AU203,NA())</f>
        <v>#N/A</v>
      </c>
      <c r="J212">
        <f>IF('Lab test'!AT203&gt;0,'Lab test'!AT203,NA())</f>
        <v>0.20057338017566478</v>
      </c>
      <c r="K212" t="e">
        <f t="shared" si="141"/>
        <v>#N/A</v>
      </c>
      <c r="L212" t="str">
        <f>'Lab test'!AC203</f>
        <v>LTWb</v>
      </c>
      <c r="N212">
        <v>200</v>
      </c>
      <c r="O212">
        <v>67.290685988999996</v>
      </c>
      <c r="P212">
        <v>0.103181025962</v>
      </c>
      <c r="Q212">
        <f t="shared" si="142"/>
        <v>652.16143531837076</v>
      </c>
      <c r="R212">
        <v>97.843866194900002</v>
      </c>
      <c r="S212">
        <f t="shared" si="143"/>
        <v>5.6937853733795493E-2</v>
      </c>
      <c r="T212">
        <v>3.0085051959399998E-2</v>
      </c>
      <c r="U212">
        <f t="shared" si="122"/>
        <v>0.8928571428571429</v>
      </c>
      <c r="W212">
        <v>200</v>
      </c>
      <c r="X212" t="e">
        <v>#N/A</v>
      </c>
      <c r="Z212" t="e">
        <f t="shared" si="123"/>
        <v>#N/A</v>
      </c>
      <c r="AB212" t="e">
        <f t="shared" si="121"/>
        <v>#N/A</v>
      </c>
      <c r="AC212" t="e">
        <f t="shared" si="124"/>
        <v>#N/A</v>
      </c>
      <c r="AE212" t="e">
        <v>#N/A</v>
      </c>
      <c r="AF212" t="e">
        <v>#N/A</v>
      </c>
      <c r="AJ212">
        <f t="shared" si="125"/>
        <v>0.8928571428571429</v>
      </c>
      <c r="AK212">
        <v>220.36028787199999</v>
      </c>
      <c r="AL212">
        <f t="shared" si="126"/>
        <v>8.335499370000008</v>
      </c>
      <c r="AM212">
        <f t="shared" si="144"/>
        <v>4.4642857142858094E-3</v>
      </c>
      <c r="AO212">
        <v>200</v>
      </c>
      <c r="AP212" t="e">
        <v>#N/A</v>
      </c>
      <c r="AR212" t="e">
        <f t="shared" si="127"/>
        <v>#N/A</v>
      </c>
      <c r="AT212" t="e">
        <f t="shared" si="128"/>
        <v>#N/A</v>
      </c>
      <c r="AU212" t="e">
        <f t="shared" si="129"/>
        <v>#N/A</v>
      </c>
      <c r="AW212" t="e">
        <v>#N/A</v>
      </c>
      <c r="AX212" t="e">
        <v>#N/A</v>
      </c>
      <c r="BB212">
        <f t="shared" si="130"/>
        <v>0.8928571428571429</v>
      </c>
      <c r="BC212">
        <v>806.9378831440315</v>
      </c>
      <c r="BD212">
        <f t="shared" si="131"/>
        <v>28.094287591712373</v>
      </c>
      <c r="BE212">
        <f t="shared" si="145"/>
        <v>4.4642857142858094E-3</v>
      </c>
      <c r="BF212">
        <v>200</v>
      </c>
      <c r="BG212" t="e">
        <v>#N/A</v>
      </c>
      <c r="BI212" t="e">
        <f t="shared" si="132"/>
        <v>#N/A</v>
      </c>
      <c r="BK212" t="e">
        <f t="shared" si="133"/>
        <v>#N/A</v>
      </c>
      <c r="BL212" t="e">
        <f t="shared" si="134"/>
        <v>#N/A</v>
      </c>
      <c r="BN212" t="e">
        <v>#N/A</v>
      </c>
      <c r="BO212" t="e">
        <v>#N/A</v>
      </c>
      <c r="BS212">
        <f t="shared" si="135"/>
        <v>0.8928571428571429</v>
      </c>
      <c r="BT212">
        <v>0.29660624002523622</v>
      </c>
      <c r="BU212">
        <f t="shared" si="136"/>
        <v>2.3230538430550896E-3</v>
      </c>
      <c r="BV212">
        <f t="shared" si="146"/>
        <v>4.4642857142858094E-3</v>
      </c>
      <c r="BW212">
        <v>200</v>
      </c>
      <c r="BX212" t="e">
        <v>#N/A</v>
      </c>
      <c r="BZ212" t="e">
        <f t="shared" si="137"/>
        <v>#N/A</v>
      </c>
      <c r="CB212" t="e">
        <f t="shared" ref="CB212:CB275" si="148">BZ212</f>
        <v>#N/A</v>
      </c>
      <c r="CC212" t="e">
        <f t="shared" si="138"/>
        <v>#N/A</v>
      </c>
      <c r="CE212" t="e">
        <v>#N/A</v>
      </c>
      <c r="CF212" t="e">
        <v>#N/A</v>
      </c>
      <c r="CJ212">
        <f t="shared" si="139"/>
        <v>0.8928571428571429</v>
      </c>
      <c r="CK212">
        <v>6.6620985477599995E-2</v>
      </c>
      <c r="CL212">
        <f t="shared" si="140"/>
        <v>2.4096509999987914E-6</v>
      </c>
      <c r="CM212">
        <f t="shared" si="147"/>
        <v>4.4642857142858094E-3</v>
      </c>
    </row>
    <row r="213" spans="2:91">
      <c r="B213">
        <v>201</v>
      </c>
      <c r="C213" t="e">
        <f>IF(ISNUMBER(K213),IF('Lab test'!N204&gt;0,'Lab test'!N204,NA()),NA())</f>
        <v>#N/A</v>
      </c>
      <c r="D213" t="e">
        <f>IF(ISNUMBER(K213),IF('Lab test'!Q204&gt;0,'Lab test'!Q204,NA()),NA())</f>
        <v>#N/A</v>
      </c>
      <c r="E213" t="e">
        <f>IF(ISNUMBER(K213),IF('Lab test'!P204&gt;0,'Lab test'!P204,NA()),NA())</f>
        <v>#N/A</v>
      </c>
      <c r="F213" t="e">
        <f>IF(ISNUMBER(K213),IF('Lab test'!AJ204&gt;0,'Lab test'!AJ204,NA()),NA())</f>
        <v>#N/A</v>
      </c>
      <c r="G213">
        <f>IF('Lab test'!V204&gt;0,'Lab test'!V204,NA())</f>
        <v>230974.36932114011</v>
      </c>
      <c r="H213" t="e">
        <f>IF(MAX('Lab test'!W204,'Lab test'!X204)&gt;0,MAX('Lab test'!W204,'Lab test'!X204),NA())</f>
        <v>#N/A</v>
      </c>
      <c r="I213" t="e">
        <f>IF('Lab test'!AU204&gt;0,'Lab test'!AU204,NA())</f>
        <v>#N/A</v>
      </c>
      <c r="J213">
        <f>IF('Lab test'!AT204&gt;0,'Lab test'!AT204,NA())</f>
        <v>0.24012649456431401</v>
      </c>
      <c r="K213" t="e">
        <f t="shared" si="141"/>
        <v>#N/A</v>
      </c>
      <c r="L213" t="str">
        <f>'Lab test'!AC204</f>
        <v>LTWb</v>
      </c>
      <c r="N213">
        <v>201</v>
      </c>
      <c r="O213">
        <v>68.2631462911</v>
      </c>
      <c r="P213">
        <v>8.4595292546100001E-2</v>
      </c>
      <c r="Q213">
        <f t="shared" si="142"/>
        <v>806.9378831440315</v>
      </c>
      <c r="R213">
        <v>49.471722319500003</v>
      </c>
      <c r="S213">
        <f t="shared" si="143"/>
        <v>2.5512362472013796E-2</v>
      </c>
      <c r="T213">
        <v>3.3349987102699999E-2</v>
      </c>
      <c r="U213">
        <f t="shared" si="122"/>
        <v>0.8973214285714286</v>
      </c>
      <c r="W213">
        <v>201</v>
      </c>
      <c r="X213" t="e">
        <v>#N/A</v>
      </c>
      <c r="Z213" t="e">
        <f t="shared" si="123"/>
        <v>#N/A</v>
      </c>
      <c r="AB213" t="e">
        <f t="shared" si="121"/>
        <v>#N/A</v>
      </c>
      <c r="AC213" t="e">
        <f t="shared" si="124"/>
        <v>#N/A</v>
      </c>
      <c r="AE213" t="e">
        <v>#N/A</v>
      </c>
      <c r="AF213" t="e">
        <v>#N/A</v>
      </c>
      <c r="AJ213">
        <f t="shared" si="125"/>
        <v>0.8973214285714286</v>
      </c>
      <c r="AK213">
        <v>228.69578724199999</v>
      </c>
      <c r="AL213">
        <f t="shared" si="126"/>
        <v>4.9900468120000028</v>
      </c>
      <c r="AM213">
        <f t="shared" si="144"/>
        <v>4.4642857142856984E-3</v>
      </c>
      <c r="AO213">
        <v>201</v>
      </c>
      <c r="AP213" t="e">
        <v>#N/A</v>
      </c>
      <c r="AR213" t="e">
        <f t="shared" si="127"/>
        <v>#N/A</v>
      </c>
      <c r="AT213" t="e">
        <f t="shared" si="128"/>
        <v>#N/A</v>
      </c>
      <c r="AU213" t="e">
        <f t="shared" si="129"/>
        <v>#N/A</v>
      </c>
      <c r="AW213" t="e">
        <v>#N/A</v>
      </c>
      <c r="AX213" t="e">
        <v>#N/A</v>
      </c>
      <c r="BB213">
        <f t="shared" si="130"/>
        <v>0.8973214285714286</v>
      </c>
      <c r="BC213">
        <v>835.03217073574388</v>
      </c>
      <c r="BD213">
        <f t="shared" si="131"/>
        <v>23.320989181225968</v>
      </c>
      <c r="BE213">
        <f t="shared" si="145"/>
        <v>4.4642857142856984E-3</v>
      </c>
      <c r="BF213">
        <v>201</v>
      </c>
      <c r="BG213" t="e">
        <v>#N/A</v>
      </c>
      <c r="BI213" t="e">
        <f t="shared" si="132"/>
        <v>#N/A</v>
      </c>
      <c r="BK213" t="e">
        <f t="shared" si="133"/>
        <v>#N/A</v>
      </c>
      <c r="BL213" t="e">
        <f t="shared" si="134"/>
        <v>#N/A</v>
      </c>
      <c r="BN213" t="e">
        <v>#N/A</v>
      </c>
      <c r="BO213" t="e">
        <v>#N/A</v>
      </c>
      <c r="BS213">
        <f t="shared" si="135"/>
        <v>0.8973214285714286</v>
      </c>
      <c r="BT213">
        <v>0.29892929386829131</v>
      </c>
      <c r="BU213">
        <f t="shared" si="136"/>
        <v>7.269447882218838E-5</v>
      </c>
      <c r="BV213">
        <f t="shared" si="146"/>
        <v>4.4642857142856984E-3</v>
      </c>
      <c r="BW213">
        <v>201</v>
      </c>
      <c r="BX213" t="e">
        <v>#N/A</v>
      </c>
      <c r="BZ213" t="e">
        <f t="shared" si="137"/>
        <v>#N/A</v>
      </c>
      <c r="CB213" t="e">
        <f t="shared" si="148"/>
        <v>#N/A</v>
      </c>
      <c r="CC213" t="e">
        <f t="shared" si="138"/>
        <v>#N/A</v>
      </c>
      <c r="CE213" t="e">
        <v>#N/A</v>
      </c>
      <c r="CF213" t="e">
        <v>#N/A</v>
      </c>
      <c r="CJ213">
        <f t="shared" si="139"/>
        <v>0.8973214285714286</v>
      </c>
      <c r="CK213">
        <v>6.6623395128599994E-2</v>
      </c>
      <c r="CL213">
        <f t="shared" si="140"/>
        <v>7.6431376000024587E-6</v>
      </c>
      <c r="CM213">
        <f t="shared" si="147"/>
        <v>4.4642857142856984E-3</v>
      </c>
    </row>
    <row r="214" spans="2:91">
      <c r="B214">
        <v>202</v>
      </c>
      <c r="C214" t="e">
        <f>IF(ISNUMBER(K214),IF('Lab test'!N205&gt;0,'Lab test'!N205,NA()),NA())</f>
        <v>#N/A</v>
      </c>
      <c r="D214" t="e">
        <f>IF(ISNUMBER(K214),IF('Lab test'!Q205&gt;0,'Lab test'!Q205,NA()),NA())</f>
        <v>#N/A</v>
      </c>
      <c r="E214" t="e">
        <f>IF(ISNUMBER(K214),IF('Lab test'!P205&gt;0,'Lab test'!P205,NA()),NA())</f>
        <v>#N/A</v>
      </c>
      <c r="F214" t="e">
        <f>IF(ISNUMBER(K214),IF('Lab test'!AJ205&gt;0,'Lab test'!AJ205,NA()),NA())</f>
        <v>#N/A</v>
      </c>
      <c r="G214">
        <f>IF('Lab test'!V205&gt;0,'Lab test'!V205,NA())</f>
        <v>230974.36932114011</v>
      </c>
      <c r="H214" t="e">
        <f>IF(MAX('Lab test'!W205,'Lab test'!X205)&gt;0,MAX('Lab test'!W205,'Lab test'!X205),NA())</f>
        <v>#N/A</v>
      </c>
      <c r="I214" t="e">
        <f>IF('Lab test'!AU205&gt;0,'Lab test'!AU205,NA())</f>
        <v>#N/A</v>
      </c>
      <c r="J214">
        <f>IF('Lab test'!AT205&gt;0,'Lab test'!AT205,NA())</f>
        <v>0.28050962073851138</v>
      </c>
      <c r="K214" t="e">
        <f t="shared" si="141"/>
        <v>#N/A</v>
      </c>
      <c r="L214" t="str">
        <f>'Lab test'!AC205</f>
        <v>LTWb</v>
      </c>
      <c r="N214">
        <v>202</v>
      </c>
      <c r="O214">
        <v>68.388272234300004</v>
      </c>
      <c r="P214">
        <v>9.9905568427499994E-2</v>
      </c>
      <c r="Q214">
        <f t="shared" si="142"/>
        <v>684.52913396842712</v>
      </c>
      <c r="R214">
        <v>102.123414826</v>
      </c>
      <c r="S214">
        <f t="shared" si="143"/>
        <v>5.7075237617755577E-2</v>
      </c>
      <c r="T214">
        <v>2.3279166554299999E-2</v>
      </c>
      <c r="U214">
        <f t="shared" si="122"/>
        <v>0.9017857142857143</v>
      </c>
      <c r="W214">
        <v>202</v>
      </c>
      <c r="X214" t="e">
        <v>#N/A</v>
      </c>
      <c r="Z214" t="e">
        <f t="shared" si="123"/>
        <v>#N/A</v>
      </c>
      <c r="AB214" t="e">
        <f t="shared" si="121"/>
        <v>#N/A</v>
      </c>
      <c r="AC214" t="e">
        <f t="shared" si="124"/>
        <v>#N/A</v>
      </c>
      <c r="AE214" t="e">
        <v>#N/A</v>
      </c>
      <c r="AF214" t="e">
        <v>#N/A</v>
      </c>
      <c r="AJ214">
        <f t="shared" si="125"/>
        <v>0.9017857142857143</v>
      </c>
      <c r="AK214">
        <v>233.685834054</v>
      </c>
      <c r="AL214">
        <f t="shared" si="126"/>
        <v>28.275331907999998</v>
      </c>
      <c r="AM214">
        <f t="shared" si="144"/>
        <v>4.4642857142856984E-3</v>
      </c>
      <c r="AO214">
        <v>202</v>
      </c>
      <c r="AP214" t="e">
        <v>#N/A</v>
      </c>
      <c r="AR214" t="e">
        <f t="shared" si="127"/>
        <v>#N/A</v>
      </c>
      <c r="AT214" t="e">
        <f t="shared" si="128"/>
        <v>#N/A</v>
      </c>
      <c r="AU214" t="e">
        <f t="shared" si="129"/>
        <v>#N/A</v>
      </c>
      <c r="AW214" t="e">
        <v>#N/A</v>
      </c>
      <c r="AX214" t="e">
        <v>#N/A</v>
      </c>
      <c r="BB214">
        <f t="shared" si="130"/>
        <v>0.9017857142857143</v>
      </c>
      <c r="BC214">
        <v>858.35315991696984</v>
      </c>
      <c r="BD214">
        <f t="shared" si="131"/>
        <v>23.459376281619825</v>
      </c>
      <c r="BE214">
        <f t="shared" si="145"/>
        <v>4.4642857142856984E-3</v>
      </c>
      <c r="BF214">
        <v>202</v>
      </c>
      <c r="BG214" t="e">
        <v>#N/A</v>
      </c>
      <c r="BI214" t="e">
        <f t="shared" si="132"/>
        <v>#N/A</v>
      </c>
      <c r="BK214" t="e">
        <f t="shared" si="133"/>
        <v>#N/A</v>
      </c>
      <c r="BL214" t="e">
        <f t="shared" si="134"/>
        <v>#N/A</v>
      </c>
      <c r="BN214" t="e">
        <v>#N/A</v>
      </c>
      <c r="BO214" t="e">
        <v>#N/A</v>
      </c>
      <c r="BS214">
        <f t="shared" si="135"/>
        <v>0.9017857142857143</v>
      </c>
      <c r="BT214">
        <v>0.2990019883471135</v>
      </c>
      <c r="BU214">
        <f t="shared" si="136"/>
        <v>2.1892308209863098E-2</v>
      </c>
      <c r="BV214">
        <f t="shared" si="146"/>
        <v>4.4642857142856984E-3</v>
      </c>
      <c r="BW214">
        <v>202</v>
      </c>
      <c r="BX214" t="e">
        <v>#N/A</v>
      </c>
      <c r="BZ214" t="e">
        <f t="shared" si="137"/>
        <v>#N/A</v>
      </c>
      <c r="CB214" t="e">
        <f t="shared" si="148"/>
        <v>#N/A</v>
      </c>
      <c r="CC214" t="e">
        <f t="shared" si="138"/>
        <v>#N/A</v>
      </c>
      <c r="CE214" t="e">
        <v>#N/A</v>
      </c>
      <c r="CF214" t="e">
        <v>#N/A</v>
      </c>
      <c r="CJ214">
        <f t="shared" si="139"/>
        <v>0.9017857142857143</v>
      </c>
      <c r="CK214">
        <v>6.6631038266199996E-2</v>
      </c>
      <c r="CL214">
        <f t="shared" si="140"/>
        <v>3.6304280000287736E-7</v>
      </c>
      <c r="CM214">
        <f t="shared" si="147"/>
        <v>4.4642857142856984E-3</v>
      </c>
    </row>
    <row r="215" spans="2:91">
      <c r="B215">
        <v>203</v>
      </c>
      <c r="C215" t="e">
        <f>IF(ISNUMBER(K215),IF('Lab test'!N206&gt;0,'Lab test'!N206,NA()),NA())</f>
        <v>#N/A</v>
      </c>
      <c r="D215" t="e">
        <f>IF(ISNUMBER(K215),IF('Lab test'!Q206&gt;0,'Lab test'!Q206,NA()),NA())</f>
        <v>#N/A</v>
      </c>
      <c r="E215" t="e">
        <f>IF(ISNUMBER(K215),IF('Lab test'!P206&gt;0,'Lab test'!P206,NA()),NA())</f>
        <v>#N/A</v>
      </c>
      <c r="F215" t="e">
        <f>IF(ISNUMBER(K215),IF('Lab test'!AJ206&gt;0,'Lab test'!AJ206,NA()),NA())</f>
        <v>#N/A</v>
      </c>
      <c r="G215">
        <f>IF('Lab test'!V206&gt;0,'Lab test'!V206,NA())</f>
        <v>230974.36932114011</v>
      </c>
      <c r="H215" t="e">
        <f>IF(MAX('Lab test'!W206,'Lab test'!X206)&gt;0,MAX('Lab test'!W206,'Lab test'!X206),NA())</f>
        <v>#N/A</v>
      </c>
      <c r="I215" t="e">
        <f>IF('Lab test'!AU206&gt;0,'Lab test'!AU206,NA())</f>
        <v>#N/A</v>
      </c>
      <c r="J215">
        <f>IF('Lab test'!AT206&gt;0,'Lab test'!AT206,NA())</f>
        <v>0.29948291201875293</v>
      </c>
      <c r="K215" t="e">
        <f t="shared" si="141"/>
        <v>#N/A</v>
      </c>
      <c r="L215" t="str">
        <f>'Lab test'!AC206</f>
        <v>LTWb</v>
      </c>
      <c r="N215">
        <v>203</v>
      </c>
      <c r="O215">
        <v>68.7468233739</v>
      </c>
      <c r="P215">
        <v>0.10319992316399999</v>
      </c>
      <c r="Q215">
        <f t="shared" si="142"/>
        <v>666.15188525529322</v>
      </c>
      <c r="R215">
        <v>373.18156330800002</v>
      </c>
      <c r="S215">
        <f t="shared" si="143"/>
        <v>0.21032016498047063</v>
      </c>
      <c r="T215">
        <v>3.3161993827600003E-2</v>
      </c>
      <c r="U215">
        <f t="shared" si="122"/>
        <v>0.90625</v>
      </c>
      <c r="W215">
        <v>203</v>
      </c>
      <c r="X215" t="e">
        <v>#N/A</v>
      </c>
      <c r="Z215" t="e">
        <f t="shared" si="123"/>
        <v>#N/A</v>
      </c>
      <c r="AB215" t="e">
        <f t="shared" si="121"/>
        <v>#N/A</v>
      </c>
      <c r="AC215" t="e">
        <f t="shared" si="124"/>
        <v>#N/A</v>
      </c>
      <c r="AE215" t="e">
        <v>#N/A</v>
      </c>
      <c r="AF215" t="e">
        <v>#N/A</v>
      </c>
      <c r="AJ215">
        <f t="shared" si="125"/>
        <v>0.90625</v>
      </c>
      <c r="AK215">
        <v>261.961165962</v>
      </c>
      <c r="AL215">
        <f t="shared" si="126"/>
        <v>0.68664694000000281</v>
      </c>
      <c r="AM215">
        <f t="shared" si="144"/>
        <v>4.4642857142856984E-3</v>
      </c>
      <c r="AO215">
        <v>203</v>
      </c>
      <c r="AP215" t="e">
        <v>#N/A</v>
      </c>
      <c r="AR215" t="e">
        <f t="shared" si="127"/>
        <v>#N/A</v>
      </c>
      <c r="AT215" t="e">
        <f t="shared" si="128"/>
        <v>#N/A</v>
      </c>
      <c r="AU215" t="e">
        <f t="shared" si="129"/>
        <v>#N/A</v>
      </c>
      <c r="AW215" t="e">
        <v>#N/A</v>
      </c>
      <c r="AX215" t="e">
        <v>#N/A</v>
      </c>
      <c r="BB215">
        <f t="shared" si="130"/>
        <v>0.90625</v>
      </c>
      <c r="BC215">
        <v>881.81253619858967</v>
      </c>
      <c r="BD215">
        <f t="shared" si="131"/>
        <v>18.587095887790611</v>
      </c>
      <c r="BE215">
        <f t="shared" si="145"/>
        <v>4.4642857142856984E-3</v>
      </c>
      <c r="BF215">
        <v>203</v>
      </c>
      <c r="BG215" t="e">
        <v>#N/A</v>
      </c>
      <c r="BI215" t="e">
        <f t="shared" si="132"/>
        <v>#N/A</v>
      </c>
      <c r="BK215" t="e">
        <f t="shared" si="133"/>
        <v>#N/A</v>
      </c>
      <c r="BL215" t="e">
        <f t="shared" si="134"/>
        <v>#N/A</v>
      </c>
      <c r="BN215" t="e">
        <v>#N/A</v>
      </c>
      <c r="BO215" t="e">
        <v>#N/A</v>
      </c>
      <c r="BS215">
        <f t="shared" si="135"/>
        <v>0.90625</v>
      </c>
      <c r="BT215">
        <v>0.3208942965569766</v>
      </c>
      <c r="BU215">
        <f t="shared" si="136"/>
        <v>5.52892976418079E-3</v>
      </c>
      <c r="BV215">
        <f t="shared" si="146"/>
        <v>4.4642857142856984E-3</v>
      </c>
      <c r="BW215">
        <v>203</v>
      </c>
      <c r="BX215" t="e">
        <v>#N/A</v>
      </c>
      <c r="BZ215" t="e">
        <f t="shared" si="137"/>
        <v>#N/A</v>
      </c>
      <c r="CB215" t="e">
        <f t="shared" si="148"/>
        <v>#N/A</v>
      </c>
      <c r="CC215" t="e">
        <f t="shared" si="138"/>
        <v>#N/A</v>
      </c>
      <c r="CE215" t="e">
        <v>#N/A</v>
      </c>
      <c r="CF215" t="e">
        <v>#N/A</v>
      </c>
      <c r="CJ215">
        <f t="shared" si="139"/>
        <v>0.90625</v>
      </c>
      <c r="CK215">
        <v>6.6631401308999999E-2</v>
      </c>
      <c r="CL215">
        <f t="shared" si="140"/>
        <v>1.2754499000011688E-6</v>
      </c>
      <c r="CM215">
        <f t="shared" si="147"/>
        <v>4.4642857142856984E-3</v>
      </c>
    </row>
    <row r="216" spans="2:91">
      <c r="B216">
        <v>204</v>
      </c>
      <c r="C216" t="e">
        <f>IF(ISNUMBER(K216),IF('Lab test'!N207&gt;0,'Lab test'!N207,NA()),NA())</f>
        <v>#N/A</v>
      </c>
      <c r="D216" t="e">
        <f>IF(ISNUMBER(K216),IF('Lab test'!Q207&gt;0,'Lab test'!Q207,NA()),NA())</f>
        <v>#N/A</v>
      </c>
      <c r="E216" t="e">
        <f>IF(ISNUMBER(K216),IF('Lab test'!P207&gt;0,'Lab test'!P207,NA()),NA())</f>
        <v>#N/A</v>
      </c>
      <c r="F216" t="e">
        <f>IF(ISNUMBER(K216),IF('Lab test'!AJ207&gt;0,'Lab test'!AJ207,NA()),NA())</f>
        <v>#N/A</v>
      </c>
      <c r="G216">
        <f>IF('Lab test'!V207&gt;0,'Lab test'!V207,NA())</f>
        <v>230974.36932114011</v>
      </c>
      <c r="H216" t="e">
        <f>IF(MAX('Lab test'!W207,'Lab test'!X207)&gt;0,MAX('Lab test'!W207,'Lab test'!X207),NA())</f>
        <v>#N/A</v>
      </c>
      <c r="I216" t="e">
        <f>IF('Lab test'!AU207&gt;0,'Lab test'!AU207,NA())</f>
        <v>#N/A</v>
      </c>
      <c r="J216">
        <f>IF('Lab test'!AT207&gt;0,'Lab test'!AT207,NA())</f>
        <v>0.45084144898790601</v>
      </c>
      <c r="K216" t="e">
        <f t="shared" si="141"/>
        <v>#N/A</v>
      </c>
      <c r="L216" t="str">
        <f>'Lab test'!AC207</f>
        <v>LTWb</v>
      </c>
      <c r="N216">
        <v>204</v>
      </c>
      <c r="O216">
        <v>70.262176089600004</v>
      </c>
      <c r="P216">
        <v>0.108042849252</v>
      </c>
      <c r="Q216">
        <f t="shared" si="142"/>
        <v>650.31768947262719</v>
      </c>
      <c r="R216">
        <v>322.01451515100001</v>
      </c>
      <c r="S216">
        <f t="shared" si="143"/>
        <v>0.17971778960888571</v>
      </c>
      <c r="T216">
        <v>6.3592085063900003E-2</v>
      </c>
      <c r="U216">
        <f t="shared" si="122"/>
        <v>0.9107142857142857</v>
      </c>
      <c r="W216">
        <v>204</v>
      </c>
      <c r="X216" t="e">
        <v>#N/A</v>
      </c>
      <c r="Z216" t="e">
        <f t="shared" si="123"/>
        <v>#N/A</v>
      </c>
      <c r="AB216" t="e">
        <f t="shared" si="121"/>
        <v>#N/A</v>
      </c>
      <c r="AC216" t="e">
        <f t="shared" si="124"/>
        <v>#N/A</v>
      </c>
      <c r="AE216" t="e">
        <v>#N/A</v>
      </c>
      <c r="AF216" t="e">
        <v>#N/A</v>
      </c>
      <c r="AJ216">
        <f t="shared" si="125"/>
        <v>0.9107142857142857</v>
      </c>
      <c r="AK216">
        <v>262.647812902</v>
      </c>
      <c r="AL216">
        <f t="shared" si="126"/>
        <v>11.598871013000007</v>
      </c>
      <c r="AM216">
        <f t="shared" si="144"/>
        <v>4.4642857142856984E-3</v>
      </c>
      <c r="AO216">
        <v>204</v>
      </c>
      <c r="AP216" t="e">
        <v>#N/A</v>
      </c>
      <c r="AR216" t="e">
        <f t="shared" si="127"/>
        <v>#N/A</v>
      </c>
      <c r="AT216" t="e">
        <f t="shared" si="128"/>
        <v>#N/A</v>
      </c>
      <c r="AU216" t="e">
        <f t="shared" si="129"/>
        <v>#N/A</v>
      </c>
      <c r="AW216" t="e">
        <v>#N/A</v>
      </c>
      <c r="AX216" t="e">
        <v>#N/A</v>
      </c>
      <c r="BB216">
        <f t="shared" si="130"/>
        <v>0.9107142857142857</v>
      </c>
      <c r="BC216">
        <v>900.39963208638028</v>
      </c>
      <c r="BD216">
        <f t="shared" si="131"/>
        <v>10.832760160055273</v>
      </c>
      <c r="BE216">
        <f t="shared" si="145"/>
        <v>4.4642857142856984E-3</v>
      </c>
      <c r="BF216">
        <v>204</v>
      </c>
      <c r="BG216" t="e">
        <v>#N/A</v>
      </c>
      <c r="BI216" t="e">
        <f t="shared" si="132"/>
        <v>#N/A</v>
      </c>
      <c r="BK216" t="e">
        <f t="shared" si="133"/>
        <v>#N/A</v>
      </c>
      <c r="BL216" t="e">
        <f t="shared" si="134"/>
        <v>#N/A</v>
      </c>
      <c r="BN216" t="e">
        <v>#N/A</v>
      </c>
      <c r="BO216" t="e">
        <v>#N/A</v>
      </c>
      <c r="BS216">
        <f t="shared" si="135"/>
        <v>0.9107142857142857</v>
      </c>
      <c r="BT216">
        <v>0.32642322632115739</v>
      </c>
      <c r="BU216">
        <f t="shared" si="136"/>
        <v>8.306294115229651E-3</v>
      </c>
      <c r="BV216">
        <f t="shared" si="146"/>
        <v>4.4642857142856984E-3</v>
      </c>
      <c r="BW216">
        <v>204</v>
      </c>
      <c r="BX216" t="e">
        <v>#N/A</v>
      </c>
      <c r="BZ216" t="e">
        <f t="shared" si="137"/>
        <v>#N/A</v>
      </c>
      <c r="CB216" t="e">
        <f t="shared" si="148"/>
        <v>#N/A</v>
      </c>
      <c r="CC216" t="e">
        <f t="shared" si="138"/>
        <v>#N/A</v>
      </c>
      <c r="CE216" t="e">
        <v>#N/A</v>
      </c>
      <c r="CF216" t="e">
        <v>#N/A</v>
      </c>
      <c r="CJ216">
        <f t="shared" si="139"/>
        <v>0.9107142857142857</v>
      </c>
      <c r="CK216">
        <v>6.66326767589E-2</v>
      </c>
      <c r="CL216">
        <f t="shared" si="140"/>
        <v>2.9467709999897451E-7</v>
      </c>
      <c r="CM216">
        <f t="shared" si="147"/>
        <v>4.4642857142856984E-3</v>
      </c>
    </row>
    <row r="217" spans="2:91">
      <c r="B217">
        <v>205</v>
      </c>
      <c r="C217" t="e">
        <f>IF(ISNUMBER(K217),IF('Lab test'!N208&gt;0,'Lab test'!N208,NA()),NA())</f>
        <v>#N/A</v>
      </c>
      <c r="D217" t="e">
        <f>IF(ISNUMBER(K217),IF('Lab test'!Q208&gt;0,'Lab test'!Q208,NA()),NA())</f>
        <v>#N/A</v>
      </c>
      <c r="E217" t="e">
        <f>IF(ISNUMBER(K217),IF('Lab test'!P208&gt;0,'Lab test'!P208,NA()),NA())</f>
        <v>#N/A</v>
      </c>
      <c r="F217" t="e">
        <f>IF(ISNUMBER(K217),IF('Lab test'!AJ208&gt;0,'Lab test'!AJ208,NA()),NA())</f>
        <v>#N/A</v>
      </c>
      <c r="G217">
        <f>IF('Lab test'!V208&gt;0,'Lab test'!V208,NA())</f>
        <v>230974.36932114011</v>
      </c>
      <c r="H217" t="e">
        <f>IF(MAX('Lab test'!W208,'Lab test'!X208)&gt;0,MAX('Lab test'!W208,'Lab test'!X208),NA())</f>
        <v>#N/A</v>
      </c>
      <c r="I217" t="e">
        <f>IF('Lab test'!AU208&gt;0,'Lab test'!AU208,NA())</f>
        <v>#N/A</v>
      </c>
      <c r="J217">
        <f>IF('Lab test'!AT208&gt;0,'Lab test'!AT208,NA())</f>
        <v>0.70703482494443437</v>
      </c>
      <c r="K217" t="e">
        <f t="shared" si="141"/>
        <v>#N/A</v>
      </c>
      <c r="L217" t="str">
        <f>'Lab test'!AC208</f>
        <v>LTWb</v>
      </c>
      <c r="N217">
        <v>205</v>
      </c>
      <c r="O217">
        <v>71.4054840238</v>
      </c>
      <c r="P217">
        <v>8.9750505643200001E-2</v>
      </c>
      <c r="Q217">
        <f t="shared" si="142"/>
        <v>795.59979648103604</v>
      </c>
      <c r="R217">
        <v>688.89594766300002</v>
      </c>
      <c r="S217">
        <f t="shared" si="143"/>
        <v>0.34203829353499188</v>
      </c>
      <c r="T217">
        <v>6.6618876561099993E-2</v>
      </c>
      <c r="U217">
        <f t="shared" si="122"/>
        <v>0.9151785714285714</v>
      </c>
      <c r="W217">
        <v>205</v>
      </c>
      <c r="X217" t="e">
        <v>#N/A</v>
      </c>
      <c r="Z217" t="e">
        <f t="shared" si="123"/>
        <v>#N/A</v>
      </c>
      <c r="AB217" t="e">
        <f t="shared" si="121"/>
        <v>#N/A</v>
      </c>
      <c r="AC217" t="e">
        <f t="shared" si="124"/>
        <v>#N/A</v>
      </c>
      <c r="AE217" t="e">
        <v>#N/A</v>
      </c>
      <c r="AF217" t="e">
        <v>#N/A</v>
      </c>
      <c r="AJ217">
        <f t="shared" si="125"/>
        <v>0.9151785714285714</v>
      </c>
      <c r="AK217">
        <v>274.24668391500001</v>
      </c>
      <c r="AL217">
        <f t="shared" si="126"/>
        <v>4.07809759700001</v>
      </c>
      <c r="AM217">
        <f t="shared" si="144"/>
        <v>4.4642857142856984E-3</v>
      </c>
      <c r="AO217">
        <v>205</v>
      </c>
      <c r="AP217" t="e">
        <v>#N/A</v>
      </c>
      <c r="AR217" t="e">
        <f t="shared" si="127"/>
        <v>#N/A</v>
      </c>
      <c r="AT217" t="e">
        <f t="shared" si="128"/>
        <v>#N/A</v>
      </c>
      <c r="AU217" t="e">
        <f t="shared" si="129"/>
        <v>#N/A</v>
      </c>
      <c r="AW217" t="e">
        <v>#N/A</v>
      </c>
      <c r="AX217" t="e">
        <v>#N/A</v>
      </c>
      <c r="BB217">
        <f t="shared" si="130"/>
        <v>0.9151785714285714</v>
      </c>
      <c r="BC217">
        <v>911.23239224643555</v>
      </c>
      <c r="BD217">
        <f t="shared" si="131"/>
        <v>4.7965058819056594</v>
      </c>
      <c r="BE217">
        <f t="shared" si="145"/>
        <v>4.4642857142856984E-3</v>
      </c>
      <c r="BF217">
        <v>205</v>
      </c>
      <c r="BG217" t="e">
        <v>#N/A</v>
      </c>
      <c r="BI217" t="e">
        <f t="shared" si="132"/>
        <v>#N/A</v>
      </c>
      <c r="BK217" t="e">
        <f t="shared" si="133"/>
        <v>#N/A</v>
      </c>
      <c r="BL217" t="e">
        <f t="shared" si="134"/>
        <v>#N/A</v>
      </c>
      <c r="BN217" t="e">
        <v>#N/A</v>
      </c>
      <c r="BO217" t="e">
        <v>#N/A</v>
      </c>
      <c r="BS217">
        <f t="shared" si="135"/>
        <v>0.9151785714285714</v>
      </c>
      <c r="BT217">
        <v>0.33472952043638704</v>
      </c>
      <c r="BU217">
        <f t="shared" si="136"/>
        <v>1.1194221041903596E-3</v>
      </c>
      <c r="BV217">
        <f t="shared" si="146"/>
        <v>4.4642857142856984E-3</v>
      </c>
      <c r="BW217">
        <v>205</v>
      </c>
      <c r="BX217" t="e">
        <v>#N/A</v>
      </c>
      <c r="BZ217" t="e">
        <f t="shared" si="137"/>
        <v>#N/A</v>
      </c>
      <c r="CB217" t="e">
        <f t="shared" si="148"/>
        <v>#N/A</v>
      </c>
      <c r="CC217" t="e">
        <f t="shared" si="138"/>
        <v>#N/A</v>
      </c>
      <c r="CE217" t="e">
        <v>#N/A</v>
      </c>
      <c r="CF217" t="e">
        <v>#N/A</v>
      </c>
      <c r="CJ217">
        <f t="shared" si="139"/>
        <v>0.9151785714285714</v>
      </c>
      <c r="CK217">
        <v>6.6632971435999999E-2</v>
      </c>
      <c r="CL217">
        <f t="shared" si="140"/>
        <v>8.3451769999909331E-7</v>
      </c>
      <c r="CM217">
        <f t="shared" si="147"/>
        <v>4.4642857142856984E-3</v>
      </c>
    </row>
    <row r="218" spans="2:91">
      <c r="B218">
        <v>206</v>
      </c>
      <c r="C218" t="e">
        <f>IF(ISNUMBER(K218),IF('Lab test'!N209&gt;0,'Lab test'!N209,NA()),NA())</f>
        <v>#N/A</v>
      </c>
      <c r="D218" t="e">
        <f>IF(ISNUMBER(K218),IF('Lab test'!Q209&gt;0,'Lab test'!Q209,NA()),NA())</f>
        <v>#N/A</v>
      </c>
      <c r="E218" t="e">
        <f>IF(ISNUMBER(K218),IF('Lab test'!P209&gt;0,'Lab test'!P209,NA()),NA())</f>
        <v>#N/A</v>
      </c>
      <c r="F218" t="e">
        <f>IF(ISNUMBER(K218),IF('Lab test'!AJ209&gt;0,'Lab test'!AJ209,NA()),NA())</f>
        <v>#N/A</v>
      </c>
      <c r="G218">
        <f>IF('Lab test'!V209&gt;0,'Lab test'!V209,NA())</f>
        <v>230974.36932114011</v>
      </c>
      <c r="H218" t="e">
        <f>IF(MAX('Lab test'!W209,'Lab test'!X209)&gt;0,MAX('Lab test'!W209,'Lab test'!X209),NA())</f>
        <v>#N/A</v>
      </c>
      <c r="I218" t="e">
        <f>IF('Lab test'!AU209&gt;0,'Lab test'!AU209,NA())</f>
        <v>#N/A</v>
      </c>
      <c r="J218">
        <f>IF('Lab test'!AT209&gt;0,'Lab test'!AT209,NA())</f>
        <v>0.7799688079038315</v>
      </c>
      <c r="K218" t="e">
        <f t="shared" si="141"/>
        <v>#N/A</v>
      </c>
      <c r="L218" t="str">
        <f>'Lab test'!AC209</f>
        <v>LTWb</v>
      </c>
      <c r="N218">
        <v>206</v>
      </c>
      <c r="O218">
        <v>71.582158750800005</v>
      </c>
      <c r="P218">
        <v>0.110149593416</v>
      </c>
      <c r="Q218">
        <f t="shared" si="142"/>
        <v>649.86312278482001</v>
      </c>
      <c r="R218">
        <v>70.557031353499994</v>
      </c>
      <c r="S218">
        <f t="shared" si="143"/>
        <v>3.8665582895903682E-2</v>
      </c>
      <c r="T218">
        <v>1.09841827768E-2</v>
      </c>
      <c r="U218">
        <f t="shared" si="122"/>
        <v>0.9196428571428571</v>
      </c>
      <c r="W218">
        <v>206</v>
      </c>
      <c r="X218" t="e">
        <v>#N/A</v>
      </c>
      <c r="Z218" t="e">
        <f t="shared" si="123"/>
        <v>#N/A</v>
      </c>
      <c r="AB218" t="e">
        <f t="shared" si="121"/>
        <v>#N/A</v>
      </c>
      <c r="AC218" t="e">
        <f t="shared" si="124"/>
        <v>#N/A</v>
      </c>
      <c r="AE218" t="e">
        <v>#N/A</v>
      </c>
      <c r="AF218" t="e">
        <v>#N/A</v>
      </c>
      <c r="AJ218">
        <f t="shared" si="125"/>
        <v>0.9196428571428571</v>
      </c>
      <c r="AK218">
        <v>278.32478151200002</v>
      </c>
      <c r="AL218">
        <f t="shared" si="126"/>
        <v>12.764684686999999</v>
      </c>
      <c r="AM218">
        <f t="shared" si="144"/>
        <v>4.4642857142856984E-3</v>
      </c>
      <c r="AO218">
        <v>206</v>
      </c>
      <c r="AP218" t="e">
        <v>#N/A</v>
      </c>
      <c r="AR218" t="e">
        <f t="shared" si="127"/>
        <v>#N/A</v>
      </c>
      <c r="AT218" t="e">
        <f t="shared" si="128"/>
        <v>#N/A</v>
      </c>
      <c r="AU218" t="e">
        <f t="shared" si="129"/>
        <v>#N/A</v>
      </c>
      <c r="AW218" t="e">
        <v>#N/A</v>
      </c>
      <c r="AX218" t="e">
        <v>#N/A</v>
      </c>
      <c r="BB218">
        <f t="shared" si="130"/>
        <v>0.9196428571428571</v>
      </c>
      <c r="BC218">
        <v>916.02889812834121</v>
      </c>
      <c r="BD218">
        <f t="shared" si="131"/>
        <v>0.51902474955886646</v>
      </c>
      <c r="BE218">
        <f t="shared" si="145"/>
        <v>4.4642857142856984E-3</v>
      </c>
      <c r="BF218">
        <v>206</v>
      </c>
      <c r="BG218" t="e">
        <v>#N/A</v>
      </c>
      <c r="BI218" t="e">
        <f t="shared" si="132"/>
        <v>#N/A</v>
      </c>
      <c r="BK218" t="e">
        <f t="shared" si="133"/>
        <v>#N/A</v>
      </c>
      <c r="BL218" t="e">
        <f t="shared" si="134"/>
        <v>#N/A</v>
      </c>
      <c r="BN218" t="e">
        <v>#N/A</v>
      </c>
      <c r="BO218" t="e">
        <v>#N/A</v>
      </c>
      <c r="BS218">
        <f t="shared" si="135"/>
        <v>0.9196428571428571</v>
      </c>
      <c r="BT218">
        <v>0.3358489425405774</v>
      </c>
      <c r="BU218">
        <f t="shared" si="136"/>
        <v>6.1893509944144776E-3</v>
      </c>
      <c r="BV218">
        <f t="shared" si="146"/>
        <v>4.4642857142856984E-3</v>
      </c>
      <c r="BW218">
        <v>206</v>
      </c>
      <c r="BX218" t="e">
        <v>#N/A</v>
      </c>
      <c r="BZ218" t="e">
        <f t="shared" si="137"/>
        <v>#N/A</v>
      </c>
      <c r="CB218" t="e">
        <f t="shared" si="148"/>
        <v>#N/A</v>
      </c>
      <c r="CC218" t="e">
        <f t="shared" si="138"/>
        <v>#N/A</v>
      </c>
      <c r="CE218" t="e">
        <v>#N/A</v>
      </c>
      <c r="CF218" t="e">
        <v>#N/A</v>
      </c>
      <c r="CJ218">
        <f t="shared" si="139"/>
        <v>0.9196428571428571</v>
      </c>
      <c r="CK218">
        <v>6.6633805953699998E-2</v>
      </c>
      <c r="CL218">
        <f t="shared" si="140"/>
        <v>6.353259400002087E-6</v>
      </c>
      <c r="CM218">
        <f t="shared" si="147"/>
        <v>4.4642857142856984E-3</v>
      </c>
    </row>
    <row r="219" spans="2:91">
      <c r="B219">
        <v>207</v>
      </c>
      <c r="C219" t="e">
        <f>IF(ISNUMBER(K219),IF('Lab test'!N210&gt;0,'Lab test'!N210,NA()),NA())</f>
        <v>#N/A</v>
      </c>
      <c r="D219" t="e">
        <f>IF(ISNUMBER(K219),IF('Lab test'!Q210&gt;0,'Lab test'!Q210,NA()),NA())</f>
        <v>#N/A</v>
      </c>
      <c r="E219" t="e">
        <f>IF(ISNUMBER(K219),IF('Lab test'!P210&gt;0,'Lab test'!P210,NA()),NA())</f>
        <v>#N/A</v>
      </c>
      <c r="F219" t="e">
        <f>IF(ISNUMBER(K219),IF('Lab test'!AJ210&gt;0,'Lab test'!AJ210,NA()),NA())</f>
        <v>#N/A</v>
      </c>
      <c r="G219">
        <f>IF('Lab test'!V210&gt;0,'Lab test'!V210,NA())</f>
        <v>230974.36932114011</v>
      </c>
      <c r="H219" t="e">
        <f>IF(MAX('Lab test'!W210,'Lab test'!X210)&gt;0,MAX('Lab test'!W210,'Lab test'!X210),NA())</f>
        <v>#N/A</v>
      </c>
      <c r="I219" t="e">
        <f>IF('Lab test'!AU210&gt;0,'Lab test'!AU210,NA())</f>
        <v>#N/A</v>
      </c>
      <c r="J219">
        <f>IF('Lab test'!AT210&gt;0,'Lab test'!AT210,NA())</f>
        <v>0.98075885316822609</v>
      </c>
      <c r="K219" t="e">
        <f t="shared" si="141"/>
        <v>#N/A</v>
      </c>
      <c r="L219" t="str">
        <f>'Lab test'!AC210</f>
        <v>LTWb</v>
      </c>
      <c r="N219">
        <v>207</v>
      </c>
      <c r="O219">
        <v>72.056928536499996</v>
      </c>
      <c r="P219">
        <v>8.0027718769200007E-2</v>
      </c>
      <c r="Q219">
        <f t="shared" si="142"/>
        <v>900.39963208638028</v>
      </c>
      <c r="R219">
        <v>455.023138152</v>
      </c>
      <c r="S219">
        <f t="shared" si="143"/>
        <v>0.21044571182573343</v>
      </c>
      <c r="T219">
        <v>6.6553629577700002E-2</v>
      </c>
      <c r="U219">
        <f t="shared" si="122"/>
        <v>0.9241071428571429</v>
      </c>
      <c r="W219">
        <v>207</v>
      </c>
      <c r="X219" t="e">
        <v>#N/A</v>
      </c>
      <c r="Z219" t="e">
        <f t="shared" si="123"/>
        <v>#N/A</v>
      </c>
      <c r="AB219" t="e">
        <f t="shared" si="121"/>
        <v>#N/A</v>
      </c>
      <c r="AC219" t="e">
        <f t="shared" si="124"/>
        <v>#N/A</v>
      </c>
      <c r="AE219" t="e">
        <v>#N/A</v>
      </c>
      <c r="AF219" t="e">
        <v>#N/A</v>
      </c>
      <c r="AJ219">
        <f t="shared" si="125"/>
        <v>0.9241071428571429</v>
      </c>
      <c r="AK219">
        <v>291.08946619900001</v>
      </c>
      <c r="AL219">
        <f t="shared" si="126"/>
        <v>2.6817918350000127</v>
      </c>
      <c r="AM219">
        <f t="shared" si="144"/>
        <v>4.4642857142858094E-3</v>
      </c>
      <c r="AO219">
        <v>207</v>
      </c>
      <c r="AP219" t="e">
        <v>#N/A</v>
      </c>
      <c r="AR219" t="e">
        <f t="shared" si="127"/>
        <v>#N/A</v>
      </c>
      <c r="AT219" t="e">
        <f t="shared" si="128"/>
        <v>#N/A</v>
      </c>
      <c r="AU219" t="e">
        <f t="shared" si="129"/>
        <v>#N/A</v>
      </c>
      <c r="AW219" t="e">
        <v>#N/A</v>
      </c>
      <c r="AX219" t="e">
        <v>#N/A</v>
      </c>
      <c r="BB219">
        <f t="shared" si="130"/>
        <v>0.9241071428571429</v>
      </c>
      <c r="BC219">
        <v>916.54792287790008</v>
      </c>
      <c r="BD219">
        <f t="shared" si="131"/>
        <v>14.83177116067111</v>
      </c>
      <c r="BE219">
        <f t="shared" si="145"/>
        <v>4.4642857142858094E-3</v>
      </c>
      <c r="BF219">
        <v>207</v>
      </c>
      <c r="BG219" t="e">
        <v>#N/A</v>
      </c>
      <c r="BI219" t="e">
        <f t="shared" si="132"/>
        <v>#N/A</v>
      </c>
      <c r="BK219" t="e">
        <f t="shared" si="133"/>
        <v>#N/A</v>
      </c>
      <c r="BL219" t="e">
        <f t="shared" si="134"/>
        <v>#N/A</v>
      </c>
      <c r="BN219" t="e">
        <v>#N/A</v>
      </c>
      <c r="BO219" t="e">
        <v>#N/A</v>
      </c>
      <c r="BS219">
        <f t="shared" si="135"/>
        <v>0.9241071428571429</v>
      </c>
      <c r="BT219">
        <v>0.34203829353499188</v>
      </c>
      <c r="BU219">
        <f t="shared" si="136"/>
        <v>5.4547209319744105E-5</v>
      </c>
      <c r="BV219">
        <f t="shared" si="146"/>
        <v>4.4642857142858094E-3</v>
      </c>
      <c r="BW219">
        <v>207</v>
      </c>
      <c r="BX219" t="e">
        <v>#N/A</v>
      </c>
      <c r="BZ219" t="e">
        <f t="shared" si="137"/>
        <v>#N/A</v>
      </c>
      <c r="CB219" t="e">
        <f t="shared" si="148"/>
        <v>#N/A</v>
      </c>
      <c r="CC219" t="e">
        <f t="shared" si="138"/>
        <v>#N/A</v>
      </c>
      <c r="CE219" t="e">
        <v>#N/A</v>
      </c>
      <c r="CF219" t="e">
        <v>#N/A</v>
      </c>
      <c r="CJ219">
        <f t="shared" si="139"/>
        <v>0.9241071428571429</v>
      </c>
      <c r="CK219">
        <v>6.66401592131E-2</v>
      </c>
      <c r="CL219">
        <f t="shared" si="140"/>
        <v>2.7794363000044342E-6</v>
      </c>
      <c r="CM219">
        <f t="shared" si="147"/>
        <v>4.4642857142858094E-3</v>
      </c>
    </row>
    <row r="220" spans="2:91">
      <c r="B220">
        <v>208</v>
      </c>
      <c r="C220" t="e">
        <f>IF(ISNUMBER(K220),IF('Lab test'!N211&gt;0,'Lab test'!N211,NA()),NA())</f>
        <v>#N/A</v>
      </c>
      <c r="D220" t="e">
        <f>IF(ISNUMBER(K220),IF('Lab test'!Q211&gt;0,'Lab test'!Q211,NA()),NA())</f>
        <v>#N/A</v>
      </c>
      <c r="E220" t="e">
        <f>IF(ISNUMBER(K220),IF('Lab test'!P211&gt;0,'Lab test'!P211,NA()),NA())</f>
        <v>#N/A</v>
      </c>
      <c r="F220" t="e">
        <f>IF(ISNUMBER(K220),IF('Lab test'!AJ211&gt;0,'Lab test'!AJ211,NA()),NA())</f>
        <v>#N/A</v>
      </c>
      <c r="G220">
        <f>IF('Lab test'!V211&gt;0,'Lab test'!V211,NA())</f>
        <v>230974.36932114011</v>
      </c>
      <c r="H220" t="e">
        <f>IF(MAX('Lab test'!W211,'Lab test'!X211)&gt;0,MAX('Lab test'!W211,'Lab test'!X211),NA())</f>
        <v>#N/A</v>
      </c>
      <c r="I220" t="e">
        <f>IF('Lab test'!AU211&gt;0,'Lab test'!AU211,NA())</f>
        <v>#N/A</v>
      </c>
      <c r="J220">
        <f>IF('Lab test'!AT211&gt;0,'Lab test'!AT211,NA())</f>
        <v>1.0908165096552418</v>
      </c>
      <c r="K220" t="e">
        <f t="shared" si="141"/>
        <v>#N/A</v>
      </c>
      <c r="L220" t="str">
        <f>'Lab test'!AC211</f>
        <v>LTWb</v>
      </c>
      <c r="N220">
        <v>208</v>
      </c>
      <c r="O220">
        <v>72.084908994100005</v>
      </c>
      <c r="P220">
        <v>7.0173546947700005E-2</v>
      </c>
      <c r="Q220">
        <f t="shared" si="142"/>
        <v>1027.2376433789861</v>
      </c>
      <c r="R220">
        <v>655.68317322400003</v>
      </c>
      <c r="S220">
        <f t="shared" si="143"/>
        <v>0.28380119584401753</v>
      </c>
      <c r="T220">
        <v>2.4047306172200002E-2</v>
      </c>
      <c r="U220">
        <f t="shared" si="122"/>
        <v>0.9285714285714286</v>
      </c>
      <c r="W220">
        <v>208</v>
      </c>
      <c r="X220" t="e">
        <v>#N/A</v>
      </c>
      <c r="Z220" t="e">
        <f t="shared" si="123"/>
        <v>#N/A</v>
      </c>
      <c r="AB220" t="e">
        <f t="shared" si="121"/>
        <v>#N/A</v>
      </c>
      <c r="AC220" t="e">
        <f t="shared" si="124"/>
        <v>#N/A</v>
      </c>
      <c r="AE220" t="e">
        <v>#N/A</v>
      </c>
      <c r="AF220" t="e">
        <v>#N/A</v>
      </c>
      <c r="AJ220">
        <f t="shared" si="125"/>
        <v>0.9285714285714286</v>
      </c>
      <c r="AK220">
        <v>293.77125803400003</v>
      </c>
      <c r="AL220">
        <f t="shared" si="126"/>
        <v>4.6375302069999975</v>
      </c>
      <c r="AM220">
        <f t="shared" si="144"/>
        <v>4.4642857142856984E-3</v>
      </c>
      <c r="AO220">
        <v>208</v>
      </c>
      <c r="AP220" t="e">
        <v>#N/A</v>
      </c>
      <c r="AR220" t="e">
        <f t="shared" si="127"/>
        <v>#N/A</v>
      </c>
      <c r="AT220" t="e">
        <f t="shared" si="128"/>
        <v>#N/A</v>
      </c>
      <c r="AU220" t="e">
        <f t="shared" si="129"/>
        <v>#N/A</v>
      </c>
      <c r="AW220" t="e">
        <v>#N/A</v>
      </c>
      <c r="AX220" t="e">
        <v>#N/A</v>
      </c>
      <c r="BB220">
        <f t="shared" si="130"/>
        <v>0.9285714285714286</v>
      </c>
      <c r="BC220">
        <v>931.37969403857119</v>
      </c>
      <c r="BD220">
        <f t="shared" si="131"/>
        <v>0.87394749666782445</v>
      </c>
      <c r="BE220">
        <f t="shared" si="145"/>
        <v>4.4642857142856984E-3</v>
      </c>
      <c r="BF220">
        <v>208</v>
      </c>
      <c r="BG220" t="e">
        <v>#N/A</v>
      </c>
      <c r="BI220" t="e">
        <f t="shared" si="132"/>
        <v>#N/A</v>
      </c>
      <c r="BK220" t="e">
        <f t="shared" si="133"/>
        <v>#N/A</v>
      </c>
      <c r="BL220" t="e">
        <f t="shared" si="134"/>
        <v>#N/A</v>
      </c>
      <c r="BN220" t="e">
        <v>#N/A</v>
      </c>
      <c r="BO220" t="e">
        <v>#N/A</v>
      </c>
      <c r="BS220">
        <f t="shared" si="135"/>
        <v>0.9285714285714286</v>
      </c>
      <c r="BT220">
        <v>0.34209284074431162</v>
      </c>
      <c r="BU220">
        <f t="shared" si="136"/>
        <v>1.1526809494642187E-2</v>
      </c>
      <c r="BV220">
        <f t="shared" si="146"/>
        <v>4.4642857142856984E-3</v>
      </c>
      <c r="BW220">
        <v>208</v>
      </c>
      <c r="BX220" t="e">
        <v>#N/A</v>
      </c>
      <c r="BZ220" t="e">
        <f t="shared" si="137"/>
        <v>#N/A</v>
      </c>
      <c r="CB220" t="e">
        <f t="shared" si="148"/>
        <v>#N/A</v>
      </c>
      <c r="CC220" t="e">
        <f t="shared" si="138"/>
        <v>#N/A</v>
      </c>
      <c r="CE220" t="e">
        <v>#N/A</v>
      </c>
      <c r="CF220" t="e">
        <v>#N/A</v>
      </c>
      <c r="CJ220">
        <f t="shared" si="139"/>
        <v>0.9285714285714286</v>
      </c>
      <c r="CK220">
        <v>6.6642938649400005E-2</v>
      </c>
      <c r="CL220">
        <f t="shared" si="140"/>
        <v>1.7222970000174698E-7</v>
      </c>
      <c r="CM220">
        <f t="shared" si="147"/>
        <v>4.4642857142856984E-3</v>
      </c>
    </row>
    <row r="221" spans="2:91">
      <c r="B221">
        <v>209</v>
      </c>
      <c r="C221" t="e">
        <f>IF(ISNUMBER(K221),IF('Lab test'!N212&gt;0,'Lab test'!N212,NA()),NA())</f>
        <v>#N/A</v>
      </c>
      <c r="D221" t="e">
        <f>IF(ISNUMBER(K221),IF('Lab test'!Q212&gt;0,'Lab test'!Q212,NA()),NA())</f>
        <v>#N/A</v>
      </c>
      <c r="E221" t="e">
        <f>IF(ISNUMBER(K221),IF('Lab test'!P212&gt;0,'Lab test'!P212,NA()),NA())</f>
        <v>#N/A</v>
      </c>
      <c r="F221" t="e">
        <f>IF(ISNUMBER(K221),IF('Lab test'!AJ212&gt;0,'Lab test'!AJ212,NA()),NA())</f>
        <v>#N/A</v>
      </c>
      <c r="G221">
        <f>IF('Lab test'!V212&gt;0,'Lab test'!V212,NA())</f>
        <v>203395.41999999998</v>
      </c>
      <c r="H221">
        <f>IF(MAX('Lab test'!W212,'Lab test'!X212)&gt;0,MAX('Lab test'!W212,'Lab test'!X212),NA())</f>
        <v>247.86662199999998</v>
      </c>
      <c r="I221">
        <f>IF('Lab test'!AU212&gt;0,'Lab test'!AU212,NA())</f>
        <v>0.87343532684283731</v>
      </c>
      <c r="J221">
        <f>IF('Lab test'!AT212&gt;0,'Lab test'!AT212,NA())</f>
        <v>0.1441548056555573</v>
      </c>
      <c r="K221" t="e">
        <f t="shared" si="141"/>
        <v>#N/A</v>
      </c>
      <c r="L221" t="str">
        <f>'Lab test'!AC212</f>
        <v>Machined</v>
      </c>
      <c r="N221">
        <v>209</v>
      </c>
      <c r="O221">
        <v>72.224483774999996</v>
      </c>
      <c r="P221">
        <v>7.6802839372100001E-2</v>
      </c>
      <c r="Q221">
        <f t="shared" si="142"/>
        <v>940.38819873678813</v>
      </c>
      <c r="R221">
        <v>85.601462962200003</v>
      </c>
      <c r="S221">
        <f t="shared" si="143"/>
        <v>3.8649435523323047E-2</v>
      </c>
      <c r="T221">
        <v>1.4488647021100001E-2</v>
      </c>
      <c r="U221">
        <f t="shared" si="122"/>
        <v>0.9330357142857143</v>
      </c>
      <c r="W221">
        <v>209</v>
      </c>
      <c r="X221" t="e">
        <v>#N/A</v>
      </c>
      <c r="Z221" t="e">
        <f t="shared" si="123"/>
        <v>#N/A</v>
      </c>
      <c r="AB221" t="e">
        <f t="shared" si="121"/>
        <v>#N/A</v>
      </c>
      <c r="AC221" t="e">
        <f t="shared" si="124"/>
        <v>#N/A</v>
      </c>
      <c r="AE221" t="e">
        <v>#N/A</v>
      </c>
      <c r="AF221" t="e">
        <v>#N/A</v>
      </c>
      <c r="AJ221">
        <f t="shared" si="125"/>
        <v>0.9330357142857143</v>
      </c>
      <c r="AK221">
        <v>298.40878824100002</v>
      </c>
      <c r="AL221">
        <f t="shared" si="126"/>
        <v>39.856838238999956</v>
      </c>
      <c r="AM221">
        <f t="shared" si="144"/>
        <v>4.4642857142856984E-3</v>
      </c>
      <c r="AO221">
        <v>209</v>
      </c>
      <c r="AP221" t="e">
        <v>#N/A</v>
      </c>
      <c r="AR221" t="e">
        <f t="shared" si="127"/>
        <v>#N/A</v>
      </c>
      <c r="AT221" t="e">
        <f t="shared" si="128"/>
        <v>#N/A</v>
      </c>
      <c r="AU221" t="e">
        <f t="shared" si="129"/>
        <v>#N/A</v>
      </c>
      <c r="AW221" t="e">
        <v>#N/A</v>
      </c>
      <c r="AX221" t="e">
        <v>#N/A</v>
      </c>
      <c r="BB221">
        <f t="shared" si="130"/>
        <v>0.9330357142857143</v>
      </c>
      <c r="BC221">
        <v>932.25364153523901</v>
      </c>
      <c r="BD221">
        <f t="shared" si="131"/>
        <v>8.1345572015491143</v>
      </c>
      <c r="BE221">
        <f t="shared" si="145"/>
        <v>4.4642857142856984E-3</v>
      </c>
      <c r="BF221">
        <v>209</v>
      </c>
      <c r="BG221" t="e">
        <v>#N/A</v>
      </c>
      <c r="BI221" t="e">
        <f t="shared" si="132"/>
        <v>#N/A</v>
      </c>
      <c r="BK221" t="e">
        <f t="shared" si="133"/>
        <v>#N/A</v>
      </c>
      <c r="BL221" t="e">
        <f t="shared" si="134"/>
        <v>#N/A</v>
      </c>
      <c r="BN221" t="e">
        <v>#N/A</v>
      </c>
      <c r="BO221" t="e">
        <v>#N/A</v>
      </c>
      <c r="BS221">
        <f t="shared" si="135"/>
        <v>0.9330357142857143</v>
      </c>
      <c r="BT221">
        <v>0.35361965023895381</v>
      </c>
      <c r="BU221">
        <f t="shared" si="136"/>
        <v>2.7824089673984531E-3</v>
      </c>
      <c r="BV221">
        <f t="shared" si="146"/>
        <v>4.4642857142856984E-3</v>
      </c>
      <c r="BW221">
        <v>209</v>
      </c>
      <c r="BX221" t="e">
        <v>#N/A</v>
      </c>
      <c r="BZ221" t="e">
        <f t="shared" si="137"/>
        <v>#N/A</v>
      </c>
      <c r="CB221" t="e">
        <f t="shared" si="148"/>
        <v>#N/A</v>
      </c>
      <c r="CC221" t="e">
        <f t="shared" si="138"/>
        <v>#N/A</v>
      </c>
      <c r="CE221" t="e">
        <v>#N/A</v>
      </c>
      <c r="CF221" t="e">
        <v>#N/A</v>
      </c>
      <c r="CJ221">
        <f t="shared" si="139"/>
        <v>0.9330357142857143</v>
      </c>
      <c r="CK221">
        <v>6.6643110879100007E-2</v>
      </c>
      <c r="CL221">
        <f t="shared" si="140"/>
        <v>8.0385470999921882E-6</v>
      </c>
      <c r="CM221">
        <f t="shared" si="147"/>
        <v>4.4642857142856984E-3</v>
      </c>
    </row>
    <row r="222" spans="2:91">
      <c r="B222">
        <v>210</v>
      </c>
      <c r="C222" t="e">
        <f>IF(ISNUMBER(K222),IF('Lab test'!N213&gt;0,'Lab test'!N213,NA()),NA())</f>
        <v>#N/A</v>
      </c>
      <c r="D222" t="e">
        <f>IF(ISNUMBER(K222),IF('Lab test'!Q213&gt;0,'Lab test'!Q213,NA()),NA())</f>
        <v>#N/A</v>
      </c>
      <c r="E222" t="e">
        <f>IF(ISNUMBER(K222),IF('Lab test'!P213&gt;0,'Lab test'!P213,NA()),NA())</f>
        <v>#N/A</v>
      </c>
      <c r="F222" t="e">
        <f>IF(ISNUMBER(K222),IF('Lab test'!AJ213&gt;0,'Lab test'!AJ213,NA()),NA())</f>
        <v>#N/A</v>
      </c>
      <c r="G222">
        <f>IF('Lab test'!V213&gt;0,'Lab test'!V213,NA())</f>
        <v>203395.41999999998</v>
      </c>
      <c r="H222">
        <f>IF(MAX('Lab test'!W213,'Lab test'!X213)&gt;0,MAX('Lab test'!W213,'Lab test'!X213),NA())</f>
        <v>247.86662199999998</v>
      </c>
      <c r="I222">
        <f>IF('Lab test'!AU213&gt;0,'Lab test'!AU213,NA())</f>
        <v>1.0598052851182198</v>
      </c>
      <c r="J222">
        <f>IF('Lab test'!AT213&gt;0,'Lab test'!AT213,NA())</f>
        <v>0.1046054027176473</v>
      </c>
      <c r="K222" t="e">
        <f t="shared" si="141"/>
        <v>#N/A</v>
      </c>
      <c r="L222" t="str">
        <f>'Lab test'!AC213</f>
        <v>Machined</v>
      </c>
      <c r="N222">
        <v>210</v>
      </c>
      <c r="O222">
        <v>72.239319021399993</v>
      </c>
      <c r="P222">
        <v>0.156867619022</v>
      </c>
      <c r="Q222">
        <f t="shared" si="142"/>
        <v>460.51135009111562</v>
      </c>
      <c r="R222">
        <v>112.577655972</v>
      </c>
      <c r="S222">
        <f t="shared" si="143"/>
        <v>7.2620358599196536E-2</v>
      </c>
      <c r="T222">
        <v>1.29876606115E-2</v>
      </c>
      <c r="U222">
        <f t="shared" si="122"/>
        <v>0.9375</v>
      </c>
      <c r="W222">
        <v>210</v>
      </c>
      <c r="X222" t="e">
        <v>#N/A</v>
      </c>
      <c r="Z222" t="e">
        <f t="shared" si="123"/>
        <v>#N/A</v>
      </c>
      <c r="AB222" t="e">
        <f t="shared" si="121"/>
        <v>#N/A</v>
      </c>
      <c r="AC222" t="e">
        <f t="shared" si="124"/>
        <v>#N/A</v>
      </c>
      <c r="AE222" t="e">
        <v>#N/A</v>
      </c>
      <c r="AF222" t="e">
        <v>#N/A</v>
      </c>
      <c r="AJ222">
        <f t="shared" si="125"/>
        <v>0.9375</v>
      </c>
      <c r="AK222">
        <v>338.26562647999998</v>
      </c>
      <c r="AL222">
        <f t="shared" si="126"/>
        <v>13.079323059000046</v>
      </c>
      <c r="AM222">
        <f t="shared" si="144"/>
        <v>4.4642857142856984E-3</v>
      </c>
      <c r="AO222">
        <v>210</v>
      </c>
      <c r="AP222" t="e">
        <v>#N/A</v>
      </c>
      <c r="AR222" t="e">
        <f t="shared" si="127"/>
        <v>#N/A</v>
      </c>
      <c r="AT222" t="e">
        <f t="shared" si="128"/>
        <v>#N/A</v>
      </c>
      <c r="AU222" t="e">
        <f t="shared" si="129"/>
        <v>#N/A</v>
      </c>
      <c r="AW222" t="e">
        <v>#N/A</v>
      </c>
      <c r="AX222" t="e">
        <v>#N/A</v>
      </c>
      <c r="BB222">
        <f t="shared" si="130"/>
        <v>0.9375</v>
      </c>
      <c r="BC222">
        <v>940.38819873678813</v>
      </c>
      <c r="BD222">
        <f t="shared" si="131"/>
        <v>86.849444642198023</v>
      </c>
      <c r="BE222">
        <f t="shared" si="145"/>
        <v>4.4642857142856984E-3</v>
      </c>
      <c r="BF222">
        <v>210</v>
      </c>
      <c r="BG222" t="e">
        <v>#N/A</v>
      </c>
      <c r="BI222" t="e">
        <f t="shared" si="132"/>
        <v>#N/A</v>
      </c>
      <c r="BK222" t="e">
        <f t="shared" si="133"/>
        <v>#N/A</v>
      </c>
      <c r="BL222" t="e">
        <f t="shared" si="134"/>
        <v>#N/A</v>
      </c>
      <c r="BN222" t="e">
        <v>#N/A</v>
      </c>
      <c r="BO222" t="e">
        <v>#N/A</v>
      </c>
      <c r="BS222">
        <f t="shared" si="135"/>
        <v>0.9375</v>
      </c>
      <c r="BT222">
        <v>0.35640205920635226</v>
      </c>
      <c r="BU222">
        <f t="shared" si="136"/>
        <v>1.2773708703006648E-4</v>
      </c>
      <c r="BV222">
        <f t="shared" si="146"/>
        <v>4.4642857142856984E-3</v>
      </c>
      <c r="BW222">
        <v>210</v>
      </c>
      <c r="BX222" t="e">
        <v>#N/A</v>
      </c>
      <c r="BZ222" t="e">
        <f t="shared" si="137"/>
        <v>#N/A</v>
      </c>
      <c r="CB222" t="e">
        <f t="shared" si="148"/>
        <v>#N/A</v>
      </c>
      <c r="CC222" t="e">
        <f t="shared" si="138"/>
        <v>#N/A</v>
      </c>
      <c r="CE222" t="e">
        <v>#N/A</v>
      </c>
      <c r="CF222" t="e">
        <v>#N/A</v>
      </c>
      <c r="CJ222">
        <f t="shared" si="139"/>
        <v>0.9375</v>
      </c>
      <c r="CK222">
        <v>6.6651149426199999E-2</v>
      </c>
      <c r="CL222">
        <f t="shared" si="140"/>
        <v>2.0486867000069076E-6</v>
      </c>
      <c r="CM222">
        <f t="shared" si="147"/>
        <v>4.4642857142856984E-3</v>
      </c>
    </row>
    <row r="223" spans="2:91">
      <c r="B223">
        <v>211</v>
      </c>
      <c r="C223" t="e">
        <f>IF(ISNUMBER(K223),IF('Lab test'!N214&gt;0,'Lab test'!N214,NA()),NA())</f>
        <v>#N/A</v>
      </c>
      <c r="D223" t="e">
        <f>IF(ISNUMBER(K223),IF('Lab test'!Q214&gt;0,'Lab test'!Q214,NA()),NA())</f>
        <v>#N/A</v>
      </c>
      <c r="E223" t="e">
        <f>IF(ISNUMBER(K223),IF('Lab test'!P214&gt;0,'Lab test'!P214,NA()),NA())</f>
        <v>#N/A</v>
      </c>
      <c r="F223" t="e">
        <f>IF(ISNUMBER(K223),IF('Lab test'!AJ214&gt;0,'Lab test'!AJ214,NA()),NA())</f>
        <v>#N/A</v>
      </c>
      <c r="G223">
        <f>IF('Lab test'!V214&gt;0,'Lab test'!V214,NA())</f>
        <v>203395.41999999998</v>
      </c>
      <c r="H223">
        <f>IF(MAX('Lab test'!W214,'Lab test'!X214)&gt;0,MAX('Lab test'!W214,'Lab test'!X214),NA())</f>
        <v>247.86662199999998</v>
      </c>
      <c r="I223">
        <f>IF('Lab test'!AU214&gt;0,'Lab test'!AU214,NA())</f>
        <v>1.0681502086230876</v>
      </c>
      <c r="J223">
        <f>IF('Lab test'!AT214&gt;0,'Lab test'!AT214,NA())</f>
        <v>6.1626159686014183E-2</v>
      </c>
      <c r="K223" t="e">
        <f t="shared" si="141"/>
        <v>#N/A</v>
      </c>
      <c r="L223" t="str">
        <f>'Lab test'!AC214</f>
        <v>Machined</v>
      </c>
      <c r="N223">
        <v>211</v>
      </c>
      <c r="O223">
        <v>72.252313217899996</v>
      </c>
      <c r="P223">
        <v>0.15475844641399999</v>
      </c>
      <c r="Q223">
        <f t="shared" si="142"/>
        <v>466.87153361965903</v>
      </c>
      <c r="R223">
        <v>328.46848275600001</v>
      </c>
      <c r="S223">
        <f t="shared" si="143"/>
        <v>0.21039879642948434</v>
      </c>
      <c r="T223">
        <v>6.6633805953699998E-2</v>
      </c>
      <c r="U223">
        <f t="shared" si="122"/>
        <v>0.9419642857142857</v>
      </c>
      <c r="W223">
        <v>211</v>
      </c>
      <c r="X223" t="e">
        <v>#N/A</v>
      </c>
      <c r="Z223" t="e">
        <f t="shared" si="123"/>
        <v>#N/A</v>
      </c>
      <c r="AB223" t="e">
        <f t="shared" si="121"/>
        <v>#N/A</v>
      </c>
      <c r="AC223" t="e">
        <f t="shared" si="124"/>
        <v>#N/A</v>
      </c>
      <c r="AE223" t="e">
        <v>#N/A</v>
      </c>
      <c r="AF223" t="e">
        <v>#N/A</v>
      </c>
      <c r="AJ223">
        <f t="shared" si="125"/>
        <v>0.9419642857142857</v>
      </c>
      <c r="AK223">
        <v>351.34494953900003</v>
      </c>
      <c r="AL223">
        <f t="shared" si="126"/>
        <v>1.053208088999952</v>
      </c>
      <c r="AM223">
        <f t="shared" si="144"/>
        <v>4.4642857142856984E-3</v>
      </c>
      <c r="AO223">
        <v>211</v>
      </c>
      <c r="AP223" t="e">
        <v>#N/A</v>
      </c>
      <c r="AR223" t="e">
        <f t="shared" si="127"/>
        <v>#N/A</v>
      </c>
      <c r="AT223" t="e">
        <f t="shared" si="128"/>
        <v>#N/A</v>
      </c>
      <c r="AU223" t="e">
        <f t="shared" si="129"/>
        <v>#N/A</v>
      </c>
      <c r="AW223" t="e">
        <v>#N/A</v>
      </c>
      <c r="AX223" t="e">
        <v>#N/A</v>
      </c>
      <c r="BB223">
        <f t="shared" si="130"/>
        <v>0.9419642857142857</v>
      </c>
      <c r="BC223">
        <v>1027.2376433789861</v>
      </c>
      <c r="BD223">
        <f t="shared" si="131"/>
        <v>24.84424917685692</v>
      </c>
      <c r="BE223">
        <f t="shared" si="145"/>
        <v>4.4642857142856984E-3</v>
      </c>
      <c r="BF223">
        <v>211</v>
      </c>
      <c r="BG223" t="e">
        <v>#N/A</v>
      </c>
      <c r="BI223" t="e">
        <f t="shared" si="132"/>
        <v>#N/A</v>
      </c>
      <c r="BK223" t="e">
        <f t="shared" si="133"/>
        <v>#N/A</v>
      </c>
      <c r="BL223" t="e">
        <f t="shared" si="134"/>
        <v>#N/A</v>
      </c>
      <c r="BN223" t="e">
        <v>#N/A</v>
      </c>
      <c r="BO223" t="e">
        <v>#N/A</v>
      </c>
      <c r="BS223">
        <f t="shared" si="135"/>
        <v>0.9419642857142857</v>
      </c>
      <c r="BT223">
        <v>0.35652979629338233</v>
      </c>
      <c r="BU223">
        <f t="shared" si="136"/>
        <v>5.3663501135731151E-4</v>
      </c>
      <c r="BV223">
        <f t="shared" si="146"/>
        <v>4.4642857142856984E-3</v>
      </c>
      <c r="BW223">
        <v>211</v>
      </c>
      <c r="BX223" t="e">
        <v>#N/A</v>
      </c>
      <c r="BZ223" t="e">
        <f t="shared" si="137"/>
        <v>#N/A</v>
      </c>
      <c r="CB223" t="e">
        <f t="shared" si="148"/>
        <v>#N/A</v>
      </c>
      <c r="CC223" t="e">
        <f t="shared" si="138"/>
        <v>#N/A</v>
      </c>
      <c r="CE223" t="e">
        <v>#N/A</v>
      </c>
      <c r="CF223" t="e">
        <v>#N/A</v>
      </c>
      <c r="CJ223">
        <f t="shared" si="139"/>
        <v>0.9419642857142857</v>
      </c>
      <c r="CK223">
        <v>6.6653198112900006E-2</v>
      </c>
      <c r="CL223">
        <f t="shared" si="140"/>
        <v>3.6405739999023634E-7</v>
      </c>
      <c r="CM223">
        <f t="shared" si="147"/>
        <v>4.4642857142856984E-3</v>
      </c>
    </row>
    <row r="224" spans="2:91">
      <c r="B224">
        <v>212</v>
      </c>
      <c r="C224" t="e">
        <f>IF(ISNUMBER(K224),IF('Lab test'!N215&gt;0,'Lab test'!N215,NA()),NA())</f>
        <v>#N/A</v>
      </c>
      <c r="D224" t="e">
        <f>IF(ISNUMBER(K224),IF('Lab test'!Q215&gt;0,'Lab test'!Q215,NA()),NA())</f>
        <v>#N/A</v>
      </c>
      <c r="E224" t="e">
        <f>IF(ISNUMBER(K224),IF('Lab test'!P215&gt;0,'Lab test'!P215,NA()),NA())</f>
        <v>#N/A</v>
      </c>
      <c r="F224" t="e">
        <f>IF(ISNUMBER(K224),IF('Lab test'!AJ215&gt;0,'Lab test'!AJ215,NA()),NA())</f>
        <v>#N/A</v>
      </c>
      <c r="G224">
        <f>IF('Lab test'!V215&gt;0,'Lab test'!V215,NA())</f>
        <v>203395.41999999998</v>
      </c>
      <c r="H224">
        <f>IF(MAX('Lab test'!W215,'Lab test'!X215)&gt;0,MAX('Lab test'!W215,'Lab test'!X215),NA())</f>
        <v>247.86662199999998</v>
      </c>
      <c r="I224">
        <f>IF('Lab test'!AU215&gt;0,'Lab test'!AU215,NA())</f>
        <v>1.1112656467315716</v>
      </c>
      <c r="J224">
        <f>IF('Lab test'!AT215&gt;0,'Lab test'!AT215,NA())</f>
        <v>0.17345482330633011</v>
      </c>
      <c r="K224" t="e">
        <f t="shared" si="141"/>
        <v>#N/A</v>
      </c>
      <c r="L224" t="str">
        <f>'Lab test'!AC215</f>
        <v>Machined</v>
      </c>
      <c r="N224">
        <v>212</v>
      </c>
      <c r="O224">
        <v>72.648765941999997</v>
      </c>
      <c r="P224">
        <v>0.27231574042099999</v>
      </c>
      <c r="Q224">
        <f t="shared" si="142"/>
        <v>266.78136867771599</v>
      </c>
      <c r="R224">
        <v>48.660487646999997</v>
      </c>
      <c r="S224">
        <f t="shared" si="143"/>
        <v>4.100817736512246E-2</v>
      </c>
      <c r="T224">
        <v>6.6567086940000006E-2</v>
      </c>
      <c r="U224">
        <f t="shared" si="122"/>
        <v>0.9464285714285714</v>
      </c>
      <c r="W224">
        <v>212</v>
      </c>
      <c r="X224" t="e">
        <v>#N/A</v>
      </c>
      <c r="Z224" t="e">
        <f t="shared" si="123"/>
        <v>#N/A</v>
      </c>
      <c r="AB224" t="e">
        <f t="shared" si="121"/>
        <v>#N/A</v>
      </c>
      <c r="AC224" t="e">
        <f t="shared" si="124"/>
        <v>#N/A</v>
      </c>
      <c r="AE224" t="e">
        <v>#N/A</v>
      </c>
      <c r="AF224" t="e">
        <v>#N/A</v>
      </c>
      <c r="AJ224">
        <f t="shared" si="125"/>
        <v>0.9464285714285714</v>
      </c>
      <c r="AK224">
        <v>352.39815762799998</v>
      </c>
      <c r="AL224">
        <f t="shared" si="126"/>
        <v>3.6654757400000335</v>
      </c>
      <c r="AM224">
        <f t="shared" si="144"/>
        <v>4.4642857142856984E-3</v>
      </c>
      <c r="AO224">
        <v>212</v>
      </c>
      <c r="AP224" t="e">
        <v>#N/A</v>
      </c>
      <c r="AR224" t="e">
        <f t="shared" si="127"/>
        <v>#N/A</v>
      </c>
      <c r="AT224" t="e">
        <f t="shared" si="128"/>
        <v>#N/A</v>
      </c>
      <c r="AU224" t="e">
        <f t="shared" si="129"/>
        <v>#N/A</v>
      </c>
      <c r="AW224" t="e">
        <v>#N/A</v>
      </c>
      <c r="AX224" t="e">
        <v>#N/A</v>
      </c>
      <c r="BB224">
        <f t="shared" si="130"/>
        <v>0.9464285714285714</v>
      </c>
      <c r="BC224">
        <v>1052.0818925558431</v>
      </c>
      <c r="BD224">
        <f t="shared" si="131"/>
        <v>19.574576351118367</v>
      </c>
      <c r="BE224">
        <f t="shared" si="145"/>
        <v>4.4642857142856984E-3</v>
      </c>
      <c r="BF224">
        <v>212</v>
      </c>
      <c r="BG224" t="e">
        <v>#N/A</v>
      </c>
      <c r="BI224" t="e">
        <f t="shared" si="132"/>
        <v>#N/A</v>
      </c>
      <c r="BK224" t="e">
        <f t="shared" si="133"/>
        <v>#N/A</v>
      </c>
      <c r="BL224" t="e">
        <f t="shared" si="134"/>
        <v>#N/A</v>
      </c>
      <c r="BN224" t="e">
        <v>#N/A</v>
      </c>
      <c r="BO224" t="e">
        <v>#N/A</v>
      </c>
      <c r="BS224">
        <f t="shared" si="135"/>
        <v>0.9464285714285714</v>
      </c>
      <c r="BT224">
        <v>0.35706643130473964</v>
      </c>
      <c r="BU224">
        <f t="shared" si="136"/>
        <v>4.3647575360143964E-3</v>
      </c>
      <c r="BV224">
        <f t="shared" si="146"/>
        <v>4.4642857142856984E-3</v>
      </c>
      <c r="BW224">
        <v>212</v>
      </c>
      <c r="BX224" t="e">
        <v>#N/A</v>
      </c>
      <c r="BZ224" t="e">
        <f t="shared" si="137"/>
        <v>#N/A</v>
      </c>
      <c r="CB224" t="e">
        <f t="shared" si="148"/>
        <v>#N/A</v>
      </c>
      <c r="CC224" t="e">
        <f t="shared" si="138"/>
        <v>#N/A</v>
      </c>
      <c r="CE224" t="e">
        <v>#N/A</v>
      </c>
      <c r="CF224" t="e">
        <v>#N/A</v>
      </c>
      <c r="CJ224">
        <f t="shared" si="139"/>
        <v>0.9464285714285714</v>
      </c>
      <c r="CK224">
        <v>6.6653562170299996E-2</v>
      </c>
      <c r="CL224">
        <f t="shared" si="140"/>
        <v>3.0652947000109343E-6</v>
      </c>
      <c r="CM224">
        <f t="shared" si="147"/>
        <v>4.4642857142856984E-3</v>
      </c>
    </row>
    <row r="225" spans="2:91">
      <c r="B225">
        <v>213</v>
      </c>
      <c r="C225" t="e">
        <f>IF(ISNUMBER(K225),IF('Lab test'!N216&gt;0,'Lab test'!N216,NA()),NA())</f>
        <v>#N/A</v>
      </c>
      <c r="D225" t="e">
        <f>IF(ISNUMBER(K225),IF('Lab test'!Q216&gt;0,'Lab test'!Q216,NA()),NA())</f>
        <v>#N/A</v>
      </c>
      <c r="E225" t="e">
        <f>IF(ISNUMBER(K225),IF('Lab test'!P216&gt;0,'Lab test'!P216,NA()),NA())</f>
        <v>#N/A</v>
      </c>
      <c r="F225" t="e">
        <f>IF(ISNUMBER(K225),IF('Lab test'!AJ216&gt;0,'Lab test'!AJ216,NA()),NA())</f>
        <v>#N/A</v>
      </c>
      <c r="G225">
        <f>IF('Lab test'!V216&gt;0,'Lab test'!V216,NA())</f>
        <v>203395.41999999998</v>
      </c>
      <c r="H225">
        <f>IF(MAX('Lab test'!W216,'Lab test'!X216)&gt;0,MAX('Lab test'!W216,'Lab test'!X216),NA())</f>
        <v>247.86662199999998</v>
      </c>
      <c r="I225">
        <f>IF('Lab test'!AU216&gt;0,'Lab test'!AU216,NA())</f>
        <v>1.023643949930459</v>
      </c>
      <c r="J225">
        <f>IF('Lab test'!AT216&gt;0,'Lab test'!AT216,NA())</f>
        <v>8.7708011311992171E-2</v>
      </c>
      <c r="K225" t="e">
        <f t="shared" si="141"/>
        <v>#N/A</v>
      </c>
      <c r="L225" t="str">
        <f>'Lab test'!AC216</f>
        <v>Machined</v>
      </c>
      <c r="N225">
        <v>213</v>
      </c>
      <c r="O225">
        <v>73.418500641600005</v>
      </c>
      <c r="P225">
        <v>5.5567837507199999E-2</v>
      </c>
      <c r="Q225">
        <f t="shared" si="142"/>
        <v>1321.2409180416112</v>
      </c>
      <c r="R225">
        <v>337.88590943200001</v>
      </c>
      <c r="S225">
        <f t="shared" si="143"/>
        <v>0.12661161909834337</v>
      </c>
      <c r="T225">
        <v>3.25698333242E-2</v>
      </c>
      <c r="U225">
        <f t="shared" si="122"/>
        <v>0.9508928571428571</v>
      </c>
      <c r="W225">
        <v>213</v>
      </c>
      <c r="X225" t="e">
        <v>#N/A</v>
      </c>
      <c r="Z225" t="e">
        <f t="shared" si="123"/>
        <v>#N/A</v>
      </c>
      <c r="AB225" t="e">
        <f t="shared" si="121"/>
        <v>#N/A</v>
      </c>
      <c r="AC225" t="e">
        <f t="shared" si="124"/>
        <v>#N/A</v>
      </c>
      <c r="AE225" t="e">
        <v>#N/A</v>
      </c>
      <c r="AF225" t="e">
        <v>#N/A</v>
      </c>
      <c r="AJ225">
        <f t="shared" si="125"/>
        <v>0.9508928571428571</v>
      </c>
      <c r="AK225">
        <v>356.06363336800001</v>
      </c>
      <c r="AL225">
        <f t="shared" si="126"/>
        <v>0.65716711099997838</v>
      </c>
      <c r="AM225">
        <f t="shared" si="144"/>
        <v>4.4642857142856984E-3</v>
      </c>
      <c r="AO225">
        <v>213</v>
      </c>
      <c r="AP225" t="e">
        <v>#N/A</v>
      </c>
      <c r="AR225" t="e">
        <f t="shared" si="127"/>
        <v>#N/A</v>
      </c>
      <c r="AT225" t="e">
        <f t="shared" si="128"/>
        <v>#N/A</v>
      </c>
      <c r="AU225" t="e">
        <f t="shared" si="129"/>
        <v>#N/A</v>
      </c>
      <c r="AW225" t="e">
        <v>#N/A</v>
      </c>
      <c r="AX225" t="e">
        <v>#N/A</v>
      </c>
      <c r="BB225">
        <f t="shared" si="130"/>
        <v>0.9508928571428571</v>
      </c>
      <c r="BC225">
        <v>1071.6564689069614</v>
      </c>
      <c r="BD225">
        <f t="shared" si="131"/>
        <v>99.029802644947495</v>
      </c>
      <c r="BE225">
        <f t="shared" si="145"/>
        <v>4.4642857142856984E-3</v>
      </c>
      <c r="BF225">
        <v>213</v>
      </c>
      <c r="BG225" t="e">
        <v>#N/A</v>
      </c>
      <c r="BI225" t="e">
        <f t="shared" si="132"/>
        <v>#N/A</v>
      </c>
      <c r="BK225" t="e">
        <f t="shared" si="133"/>
        <v>#N/A</v>
      </c>
      <c r="BL225" t="e">
        <f t="shared" si="134"/>
        <v>#N/A</v>
      </c>
      <c r="BN225" t="e">
        <v>#N/A</v>
      </c>
      <c r="BO225" t="e">
        <v>#N/A</v>
      </c>
      <c r="BS225">
        <f t="shared" si="135"/>
        <v>0.9508928571428571</v>
      </c>
      <c r="BT225">
        <v>0.36143118884075404</v>
      </c>
      <c r="BU225">
        <f t="shared" si="136"/>
        <v>3.9484085196631602E-3</v>
      </c>
      <c r="BV225">
        <f t="shared" si="146"/>
        <v>4.4642857142856984E-3</v>
      </c>
      <c r="BW225">
        <v>213</v>
      </c>
      <c r="BX225" t="e">
        <v>#N/A</v>
      </c>
      <c r="BZ225" t="e">
        <f t="shared" si="137"/>
        <v>#N/A</v>
      </c>
      <c r="CB225" t="e">
        <f t="shared" si="148"/>
        <v>#N/A</v>
      </c>
      <c r="CC225" t="e">
        <f t="shared" si="138"/>
        <v>#N/A</v>
      </c>
      <c r="CE225" t="e">
        <v>#N/A</v>
      </c>
      <c r="CF225" t="e">
        <v>#N/A</v>
      </c>
      <c r="CJ225">
        <f t="shared" si="139"/>
        <v>0.9508928571428571</v>
      </c>
      <c r="CK225">
        <v>6.6656627465000007E-2</v>
      </c>
      <c r="CL225">
        <f t="shared" si="140"/>
        <v>1.6969371999936422E-6</v>
      </c>
      <c r="CM225">
        <f t="shared" si="147"/>
        <v>4.4642857142856984E-3</v>
      </c>
    </row>
    <row r="226" spans="2:91">
      <c r="B226">
        <v>214</v>
      </c>
      <c r="C226" t="e">
        <f>IF(ISNUMBER(K226),IF('Lab test'!N217&gt;0,'Lab test'!N217,NA()),NA())</f>
        <v>#N/A</v>
      </c>
      <c r="D226" t="e">
        <f>IF(ISNUMBER(K226),IF('Lab test'!Q217&gt;0,'Lab test'!Q217,NA()),NA())</f>
        <v>#N/A</v>
      </c>
      <c r="E226" t="e">
        <f>IF(ISNUMBER(K226),IF('Lab test'!P217&gt;0,'Lab test'!P217,NA()),NA())</f>
        <v>#N/A</v>
      </c>
      <c r="F226" t="e">
        <f>IF(ISNUMBER(K226),IF('Lab test'!AJ217&gt;0,'Lab test'!AJ217,NA()),NA())</f>
        <v>#N/A</v>
      </c>
      <c r="G226">
        <f>IF('Lab test'!V217&gt;0,'Lab test'!V217,NA())</f>
        <v>203395.41999999998</v>
      </c>
      <c r="H226">
        <f>IF(MAX('Lab test'!W217,'Lab test'!X217)&gt;0,MAX('Lab test'!W217,'Lab test'!X217),NA())</f>
        <v>247.86662199999998</v>
      </c>
      <c r="I226">
        <f>IF('Lab test'!AU217&gt;0,'Lab test'!AU217,NA())</f>
        <v>1.1321279554937416</v>
      </c>
      <c r="J226">
        <f>IF('Lab test'!AT217&gt;0,'Lab test'!AT217,NA())</f>
        <v>6.4577170386866389E-2</v>
      </c>
      <c r="K226" t="e">
        <f t="shared" si="141"/>
        <v>#N/A</v>
      </c>
      <c r="L226" t="str">
        <f>'Lab test'!AC217</f>
        <v>Machined</v>
      </c>
      <c r="N226">
        <v>214</v>
      </c>
      <c r="O226">
        <v>74.076690179699995</v>
      </c>
      <c r="P226">
        <v>0.11404404123299999</v>
      </c>
      <c r="Q226">
        <f t="shared" si="142"/>
        <v>649.54459153509049</v>
      </c>
      <c r="R226">
        <v>79.007825376699998</v>
      </c>
      <c r="S226">
        <f t="shared" si="143"/>
        <v>4.184890062354242E-2</v>
      </c>
      <c r="T226">
        <v>2.4773857531100001E-2</v>
      </c>
      <c r="U226">
        <f t="shared" si="122"/>
        <v>0.9553571428571429</v>
      </c>
      <c r="W226">
        <v>214</v>
      </c>
      <c r="X226" t="e">
        <v>#N/A</v>
      </c>
      <c r="Z226" t="e">
        <f t="shared" si="123"/>
        <v>#N/A</v>
      </c>
      <c r="AB226" t="e">
        <f t="shared" si="121"/>
        <v>#N/A</v>
      </c>
      <c r="AC226" t="e">
        <f t="shared" si="124"/>
        <v>#N/A</v>
      </c>
      <c r="AE226" t="e">
        <v>#N/A</v>
      </c>
      <c r="AF226" t="e">
        <v>#N/A</v>
      </c>
      <c r="AJ226">
        <f t="shared" si="125"/>
        <v>0.9553571428571429</v>
      </c>
      <c r="AK226">
        <v>356.72080047899999</v>
      </c>
      <c r="AL226">
        <f t="shared" si="126"/>
        <v>0.16379511000002367</v>
      </c>
      <c r="AM226">
        <f t="shared" si="144"/>
        <v>4.4642857142858094E-3</v>
      </c>
      <c r="AO226">
        <v>214</v>
      </c>
      <c r="AP226" t="e">
        <v>#N/A</v>
      </c>
      <c r="AR226" t="e">
        <f t="shared" si="127"/>
        <v>#N/A</v>
      </c>
      <c r="AT226" t="e">
        <f t="shared" si="128"/>
        <v>#N/A</v>
      </c>
      <c r="AU226" t="e">
        <f t="shared" si="129"/>
        <v>#N/A</v>
      </c>
      <c r="AW226" t="e">
        <v>#N/A</v>
      </c>
      <c r="AX226" t="e">
        <v>#N/A</v>
      </c>
      <c r="BB226">
        <f t="shared" si="130"/>
        <v>0.9553571428571429</v>
      </c>
      <c r="BC226">
        <v>1170.6862715519089</v>
      </c>
      <c r="BD226">
        <f t="shared" si="131"/>
        <v>129.91657667932373</v>
      </c>
      <c r="BE226">
        <f t="shared" si="145"/>
        <v>4.4642857142858094E-3</v>
      </c>
      <c r="BF226">
        <v>214</v>
      </c>
      <c r="BG226" t="e">
        <v>#N/A</v>
      </c>
      <c r="BI226" t="e">
        <f t="shared" si="132"/>
        <v>#N/A</v>
      </c>
      <c r="BK226" t="e">
        <f t="shared" si="133"/>
        <v>#N/A</v>
      </c>
      <c r="BL226" t="e">
        <f t="shared" si="134"/>
        <v>#N/A</v>
      </c>
      <c r="BN226" t="e">
        <v>#N/A</v>
      </c>
      <c r="BO226" t="e">
        <v>#N/A</v>
      </c>
      <c r="BS226">
        <f t="shared" si="135"/>
        <v>0.9553571428571429</v>
      </c>
      <c r="BT226">
        <v>0.3653795973604172</v>
      </c>
      <c r="BU226">
        <f t="shared" si="136"/>
        <v>5.0484844152048902E-4</v>
      </c>
      <c r="BV226">
        <f t="shared" si="146"/>
        <v>4.4642857142858094E-3</v>
      </c>
      <c r="BW226">
        <v>214</v>
      </c>
      <c r="BX226" t="e">
        <v>#N/A</v>
      </c>
      <c r="BZ226" t="e">
        <f t="shared" si="137"/>
        <v>#N/A</v>
      </c>
      <c r="CB226" t="e">
        <f t="shared" si="148"/>
        <v>#N/A</v>
      </c>
      <c r="CC226" t="e">
        <f t="shared" si="138"/>
        <v>#N/A</v>
      </c>
      <c r="CE226" t="e">
        <v>#N/A</v>
      </c>
      <c r="CF226" t="e">
        <v>#N/A</v>
      </c>
      <c r="CJ226">
        <f t="shared" si="139"/>
        <v>0.9553571428571429</v>
      </c>
      <c r="CK226">
        <v>6.66583244022E-2</v>
      </c>
      <c r="CL226">
        <f t="shared" si="140"/>
        <v>1.7504358000020037E-6</v>
      </c>
      <c r="CM226">
        <f t="shared" si="147"/>
        <v>4.4642857142858094E-3</v>
      </c>
    </row>
    <row r="227" spans="2:91">
      <c r="B227">
        <v>215</v>
      </c>
      <c r="C227" t="e">
        <f>IF(ISNUMBER(K227),IF('Lab test'!N218&gt;0,'Lab test'!N218,NA()),NA())</f>
        <v>#N/A</v>
      </c>
      <c r="D227" t="e">
        <f>IF(ISNUMBER(K227),IF('Lab test'!Q218&gt;0,'Lab test'!Q218,NA()),NA())</f>
        <v>#N/A</v>
      </c>
      <c r="E227" t="e">
        <f>IF(ISNUMBER(K227),IF('Lab test'!P218&gt;0,'Lab test'!P218,NA()),NA())</f>
        <v>#N/A</v>
      </c>
      <c r="F227" t="e">
        <f>IF(ISNUMBER(K227),IF('Lab test'!AJ218&gt;0,'Lab test'!AJ218,NA()),NA())</f>
        <v>#N/A</v>
      </c>
      <c r="G227">
        <f>IF('Lab test'!V218&gt;0,'Lab test'!V218,NA())</f>
        <v>203395.41999999998</v>
      </c>
      <c r="H227">
        <f>IF(MAX('Lab test'!W218,'Lab test'!X218)&gt;0,MAX('Lab test'!W218,'Lab test'!X218),NA())</f>
        <v>247.86662199999998</v>
      </c>
      <c r="I227">
        <f>IF('Lab test'!AU218&gt;0,'Lab test'!AU218,NA())</f>
        <v>1.1126564673157162</v>
      </c>
      <c r="J227">
        <f>IF('Lab test'!AT218&gt;0,'Lab test'!AT218,NA())</f>
        <v>0.17233597540399795</v>
      </c>
      <c r="K227" t="e">
        <f t="shared" si="141"/>
        <v>#N/A</v>
      </c>
      <c r="L227" t="str">
        <f>'Lab test'!AC218</f>
        <v>Machined</v>
      </c>
      <c r="N227">
        <v>215</v>
      </c>
      <c r="O227">
        <v>75.013584502800001</v>
      </c>
      <c r="P227">
        <v>0.156447444298</v>
      </c>
      <c r="Q227">
        <f t="shared" si="142"/>
        <v>479.48104770516193</v>
      </c>
      <c r="R227">
        <v>55.588184413299999</v>
      </c>
      <c r="S227">
        <f t="shared" si="143"/>
        <v>3.3842064448978575E-2</v>
      </c>
      <c r="T227">
        <v>1.10010449744E-2</v>
      </c>
      <c r="U227">
        <f t="shared" si="122"/>
        <v>0.9598214285714286</v>
      </c>
      <c r="W227">
        <v>215</v>
      </c>
      <c r="X227" t="e">
        <v>#N/A</v>
      </c>
      <c r="Z227" t="e">
        <f t="shared" si="123"/>
        <v>#N/A</v>
      </c>
      <c r="AB227" t="e">
        <f t="shared" si="121"/>
        <v>#N/A</v>
      </c>
      <c r="AC227" t="e">
        <f t="shared" si="124"/>
        <v>#N/A</v>
      </c>
      <c r="AE227" t="e">
        <v>#N/A</v>
      </c>
      <c r="AF227" t="e">
        <v>#N/A</v>
      </c>
      <c r="AJ227">
        <f t="shared" si="125"/>
        <v>0.9598214285714286</v>
      </c>
      <c r="AK227">
        <v>356.88459558900001</v>
      </c>
      <c r="AL227">
        <f t="shared" si="126"/>
        <v>2.049547409000013</v>
      </c>
      <c r="AM227">
        <f t="shared" si="144"/>
        <v>4.4642857142856984E-3</v>
      </c>
      <c r="AO227">
        <v>215</v>
      </c>
      <c r="AP227" t="e">
        <v>#N/A</v>
      </c>
      <c r="AR227" t="e">
        <f t="shared" si="127"/>
        <v>#N/A</v>
      </c>
      <c r="AT227" t="e">
        <f t="shared" si="128"/>
        <v>#N/A</v>
      </c>
      <c r="AU227" t="e">
        <f t="shared" si="129"/>
        <v>#N/A</v>
      </c>
      <c r="AW227" t="e">
        <v>#N/A</v>
      </c>
      <c r="AX227" t="e">
        <v>#N/A</v>
      </c>
      <c r="BB227">
        <f t="shared" si="130"/>
        <v>0.9598214285714286</v>
      </c>
      <c r="BC227">
        <v>1300.6028482312327</v>
      </c>
      <c r="BD227">
        <f t="shared" si="131"/>
        <v>4.918211591036652</v>
      </c>
      <c r="BE227">
        <f t="shared" si="145"/>
        <v>4.4642857142856984E-3</v>
      </c>
      <c r="BF227">
        <v>215</v>
      </c>
      <c r="BG227" t="e">
        <v>#N/A</v>
      </c>
      <c r="BI227" t="e">
        <f t="shared" si="132"/>
        <v>#N/A</v>
      </c>
      <c r="BK227" t="e">
        <f t="shared" si="133"/>
        <v>#N/A</v>
      </c>
      <c r="BL227" t="e">
        <f t="shared" si="134"/>
        <v>#N/A</v>
      </c>
      <c r="BN227" t="e">
        <v>#N/A</v>
      </c>
      <c r="BO227" t="e">
        <v>#N/A</v>
      </c>
      <c r="BS227">
        <f t="shared" si="135"/>
        <v>0.9598214285714286</v>
      </c>
      <c r="BT227">
        <v>0.36588444580193769</v>
      </c>
      <c r="BU227">
        <f t="shared" si="136"/>
        <v>2.8488074101712335E-2</v>
      </c>
      <c r="BV227">
        <f t="shared" si="146"/>
        <v>4.4642857142856984E-3</v>
      </c>
      <c r="BW227">
        <v>215</v>
      </c>
      <c r="BX227" t="e">
        <v>#N/A</v>
      </c>
      <c r="BZ227" t="e">
        <f t="shared" si="137"/>
        <v>#N/A</v>
      </c>
      <c r="CB227" t="e">
        <f t="shared" si="148"/>
        <v>#N/A</v>
      </c>
      <c r="CC227" t="e">
        <f t="shared" si="138"/>
        <v>#N/A</v>
      </c>
      <c r="CE227" t="e">
        <v>#N/A</v>
      </c>
      <c r="CF227" t="e">
        <v>#N/A</v>
      </c>
      <c r="CJ227">
        <f t="shared" si="139"/>
        <v>0.9598214285714286</v>
      </c>
      <c r="CK227">
        <v>6.6660074838000002E-2</v>
      </c>
      <c r="CL227">
        <f t="shared" si="140"/>
        <v>2.5534848999975157E-6</v>
      </c>
      <c r="CM227">
        <f t="shared" si="147"/>
        <v>4.4642857142856984E-3</v>
      </c>
    </row>
    <row r="228" spans="2:91">
      <c r="B228">
        <v>216</v>
      </c>
      <c r="C228" t="e">
        <f>IF(ISNUMBER(K228),IF('Lab test'!N219&gt;0,'Lab test'!N219,NA()),NA())</f>
        <v>#N/A</v>
      </c>
      <c r="D228" t="e">
        <f>IF(ISNUMBER(K228),IF('Lab test'!Q219&gt;0,'Lab test'!Q219,NA()),NA())</f>
        <v>#N/A</v>
      </c>
      <c r="E228" t="e">
        <f>IF(ISNUMBER(K228),IF('Lab test'!P219&gt;0,'Lab test'!P219,NA()),NA())</f>
        <v>#N/A</v>
      </c>
      <c r="F228" t="e">
        <f>IF(ISNUMBER(K228),IF('Lab test'!AJ219&gt;0,'Lab test'!AJ219,NA()),NA())</f>
        <v>#N/A</v>
      </c>
      <c r="G228">
        <f>IF('Lab test'!V219&gt;0,'Lab test'!V219,NA())</f>
        <v>203395.41999999998</v>
      </c>
      <c r="H228">
        <f>IF(MAX('Lab test'!W219,'Lab test'!X219)&gt;0,MAX('Lab test'!W219,'Lab test'!X219),NA())</f>
        <v>247.86662199999998</v>
      </c>
      <c r="I228">
        <f>IF('Lab test'!AU219&gt;0,'Lab test'!AU219,NA())</f>
        <v>1.1293463143254521</v>
      </c>
      <c r="J228">
        <f>IF('Lab test'!AT219&gt;0,'Lab test'!AT219,NA())</f>
        <v>0.18047406313140898</v>
      </c>
      <c r="K228" t="e">
        <f t="shared" si="141"/>
        <v>#N/A</v>
      </c>
      <c r="L228" t="str">
        <f>'Lab test'!AC219</f>
        <v>Machined</v>
      </c>
      <c r="N228">
        <v>216</v>
      </c>
      <c r="O228">
        <v>75.431616977900006</v>
      </c>
      <c r="P228">
        <v>0.25421526669599998</v>
      </c>
      <c r="Q228">
        <f t="shared" si="142"/>
        <v>296.72339493325524</v>
      </c>
      <c r="R228">
        <v>77.246081415099994</v>
      </c>
      <c r="S228">
        <f t="shared" si="143"/>
        <v>5.9449354766171227E-2</v>
      </c>
      <c r="T228">
        <v>6.6651149426199999E-2</v>
      </c>
      <c r="U228">
        <f t="shared" si="122"/>
        <v>0.9642857142857143</v>
      </c>
      <c r="W228">
        <v>216</v>
      </c>
      <c r="X228" t="e">
        <v>#N/A</v>
      </c>
      <c r="Z228" t="e">
        <f t="shared" si="123"/>
        <v>#N/A</v>
      </c>
      <c r="AB228" t="e">
        <f t="shared" si="121"/>
        <v>#N/A</v>
      </c>
      <c r="AC228" t="e">
        <f t="shared" si="124"/>
        <v>#N/A</v>
      </c>
      <c r="AE228" t="e">
        <v>#N/A</v>
      </c>
      <c r="AF228" t="e">
        <v>#N/A</v>
      </c>
      <c r="AJ228">
        <f t="shared" si="125"/>
        <v>0.9642857142857143</v>
      </c>
      <c r="AK228">
        <v>358.93414299800003</v>
      </c>
      <c r="AL228">
        <f t="shared" si="126"/>
        <v>6.4066177179999499</v>
      </c>
      <c r="AM228">
        <f t="shared" si="144"/>
        <v>4.4642857142856984E-3</v>
      </c>
      <c r="AO228">
        <v>216</v>
      </c>
      <c r="AP228" t="e">
        <v>#N/A</v>
      </c>
      <c r="AR228" t="e">
        <f t="shared" si="127"/>
        <v>#N/A</v>
      </c>
      <c r="AT228" t="e">
        <f t="shared" si="128"/>
        <v>#N/A</v>
      </c>
      <c r="AU228" t="e">
        <f t="shared" si="129"/>
        <v>#N/A</v>
      </c>
      <c r="AW228" t="e">
        <v>#N/A</v>
      </c>
      <c r="AX228" t="e">
        <v>#N/A</v>
      </c>
      <c r="BB228">
        <f t="shared" si="130"/>
        <v>0.9642857142857143</v>
      </c>
      <c r="BC228">
        <v>1305.5210598222693</v>
      </c>
      <c r="BD228">
        <f t="shared" si="131"/>
        <v>3.7615221526236837</v>
      </c>
      <c r="BE228">
        <f t="shared" si="145"/>
        <v>4.4642857142856984E-3</v>
      </c>
      <c r="BF228">
        <v>216</v>
      </c>
      <c r="BG228" t="e">
        <v>#N/A</v>
      </c>
      <c r="BI228" t="e">
        <f t="shared" si="132"/>
        <v>#N/A</v>
      </c>
      <c r="BK228" t="e">
        <f t="shared" si="133"/>
        <v>#N/A</v>
      </c>
      <c r="BL228" t="e">
        <f t="shared" si="134"/>
        <v>#N/A</v>
      </c>
      <c r="BN228" t="e">
        <v>#N/A</v>
      </c>
      <c r="BO228" t="e">
        <v>#N/A</v>
      </c>
      <c r="BS228">
        <f t="shared" si="135"/>
        <v>0.9642857142857143</v>
      </c>
      <c r="BT228">
        <v>0.39437251990365002</v>
      </c>
      <c r="BU228">
        <f t="shared" si="136"/>
        <v>1.3817943200041649E-2</v>
      </c>
      <c r="BV228">
        <f t="shared" si="146"/>
        <v>4.4642857142856984E-3</v>
      </c>
      <c r="BW228">
        <v>216</v>
      </c>
      <c r="BX228" t="e">
        <v>#N/A</v>
      </c>
      <c r="BZ228" t="e">
        <f t="shared" si="137"/>
        <v>#N/A</v>
      </c>
      <c r="CB228" t="e">
        <f t="shared" si="148"/>
        <v>#N/A</v>
      </c>
      <c r="CC228" t="e">
        <f t="shared" si="138"/>
        <v>#N/A</v>
      </c>
      <c r="CE228" t="e">
        <v>#N/A</v>
      </c>
      <c r="CF228" t="e">
        <v>#N/A</v>
      </c>
      <c r="CJ228">
        <f t="shared" si="139"/>
        <v>0.9642857142857143</v>
      </c>
      <c r="CK228">
        <v>6.66626283229E-2</v>
      </c>
      <c r="CL228">
        <f t="shared" si="140"/>
        <v>5.0045194889999922E-4</v>
      </c>
      <c r="CM228">
        <f t="shared" si="147"/>
        <v>4.4642857142856984E-3</v>
      </c>
    </row>
    <row r="229" spans="2:91">
      <c r="B229">
        <v>217</v>
      </c>
      <c r="C229" t="e">
        <f>IF(ISNUMBER(K229),IF('Lab test'!N220&gt;0,'Lab test'!N220,NA()),NA())</f>
        <v>#N/A</v>
      </c>
      <c r="D229" t="e">
        <f>IF(ISNUMBER(K229),IF('Lab test'!Q220&gt;0,'Lab test'!Q220,NA()),NA())</f>
        <v>#N/A</v>
      </c>
      <c r="E229" t="e">
        <f>IF(ISNUMBER(K229),IF('Lab test'!P220&gt;0,'Lab test'!P220,NA()),NA())</f>
        <v>#N/A</v>
      </c>
      <c r="F229" t="e">
        <f>IF(ISNUMBER(K229),IF('Lab test'!AJ220&gt;0,'Lab test'!AJ220,NA()),NA())</f>
        <v>#N/A</v>
      </c>
      <c r="G229">
        <f>IF('Lab test'!V220&gt;0,'Lab test'!V220,NA())</f>
        <v>206153.32399999999</v>
      </c>
      <c r="H229">
        <f>IF(MAX('Lab test'!W220,'Lab test'!X220)&gt;0,MAX('Lab test'!W220,'Lab test'!X220),NA())</f>
        <v>322.67476799999997</v>
      </c>
      <c r="I229">
        <f>IF('Lab test'!AU220&gt;0,'Lab test'!AU220,NA())</f>
        <v>1.0555555555555556</v>
      </c>
      <c r="J229">
        <f>IF('Lab test'!AT220&gt;0,'Lab test'!AT220,NA())</f>
        <v>0.2681571036092148</v>
      </c>
      <c r="K229" t="e">
        <f t="shared" si="141"/>
        <v>#N/A</v>
      </c>
      <c r="L229" t="str">
        <f>'Lab test'!AC220</f>
        <v>Machined</v>
      </c>
      <c r="N229">
        <v>217</v>
      </c>
      <c r="O229">
        <v>75.925569366199994</v>
      </c>
      <c r="P229">
        <v>0.11517513356799999</v>
      </c>
      <c r="Q229">
        <f t="shared" si="142"/>
        <v>659.21841819591327</v>
      </c>
      <c r="R229">
        <v>368.44057571600001</v>
      </c>
      <c r="S229">
        <f t="shared" si="143"/>
        <v>0.18900127262432923</v>
      </c>
      <c r="T229">
        <v>1.0995381592500001E-2</v>
      </c>
      <c r="U229">
        <f t="shared" si="122"/>
        <v>0.96875</v>
      </c>
      <c r="W229">
        <v>217</v>
      </c>
      <c r="X229" t="e">
        <v>#N/A</v>
      </c>
      <c r="Z229" t="e">
        <f t="shared" si="123"/>
        <v>#N/A</v>
      </c>
      <c r="AB229" t="e">
        <f t="shared" si="121"/>
        <v>#N/A</v>
      </c>
      <c r="AC229" t="e">
        <f t="shared" si="124"/>
        <v>#N/A</v>
      </c>
      <c r="AE229" t="e">
        <v>#N/A</v>
      </c>
      <c r="AF229" t="e">
        <v>#N/A</v>
      </c>
      <c r="AJ229">
        <f t="shared" si="125"/>
        <v>0.96875</v>
      </c>
      <c r="AK229">
        <v>365.34076071599998</v>
      </c>
      <c r="AL229">
        <f t="shared" si="126"/>
        <v>1.8333327550000149</v>
      </c>
      <c r="AM229">
        <f t="shared" si="144"/>
        <v>4.4642857142856984E-3</v>
      </c>
      <c r="AO229">
        <v>217</v>
      </c>
      <c r="AP229" t="e">
        <v>#N/A</v>
      </c>
      <c r="AR229" t="e">
        <f t="shared" si="127"/>
        <v>#N/A</v>
      </c>
      <c r="AT229" t="e">
        <f t="shared" si="128"/>
        <v>#N/A</v>
      </c>
      <c r="AU229" t="e">
        <f t="shared" si="129"/>
        <v>#N/A</v>
      </c>
      <c r="AW229" t="e">
        <v>#N/A</v>
      </c>
      <c r="AX229" t="e">
        <v>#N/A</v>
      </c>
      <c r="BB229">
        <f t="shared" si="130"/>
        <v>0.96875</v>
      </c>
      <c r="BC229">
        <v>1309.282581974893</v>
      </c>
      <c r="BD229">
        <f t="shared" si="131"/>
        <v>4.9588109186913698</v>
      </c>
      <c r="BE229">
        <f t="shared" si="145"/>
        <v>4.4642857142856984E-3</v>
      </c>
      <c r="BF229">
        <v>217</v>
      </c>
      <c r="BG229" t="e">
        <v>#N/A</v>
      </c>
      <c r="BI229" t="e">
        <f t="shared" si="132"/>
        <v>#N/A</v>
      </c>
      <c r="BK229" t="e">
        <f t="shared" si="133"/>
        <v>#N/A</v>
      </c>
      <c r="BL229" t="e">
        <f t="shared" si="134"/>
        <v>#N/A</v>
      </c>
      <c r="BN229" t="e">
        <v>#N/A</v>
      </c>
      <c r="BO229" t="e">
        <v>#N/A</v>
      </c>
      <c r="BS229">
        <f t="shared" si="135"/>
        <v>0.96875</v>
      </c>
      <c r="BT229">
        <v>0.40819046310369167</v>
      </c>
      <c r="BU229">
        <f t="shared" si="136"/>
        <v>1.069575403942713E-2</v>
      </c>
      <c r="BV229">
        <f t="shared" si="146"/>
        <v>4.4642857142856984E-3</v>
      </c>
      <c r="BW229">
        <v>217</v>
      </c>
      <c r="BX229" t="e">
        <v>#N/A</v>
      </c>
      <c r="BZ229" t="e">
        <f t="shared" si="137"/>
        <v>#N/A</v>
      </c>
      <c r="CB229" t="e">
        <f t="shared" si="148"/>
        <v>#N/A</v>
      </c>
      <c r="CC229" t="e">
        <f t="shared" si="138"/>
        <v>#N/A</v>
      </c>
      <c r="CE229" t="e">
        <v>#N/A</v>
      </c>
      <c r="CF229" t="e">
        <v>#N/A</v>
      </c>
      <c r="CJ229">
        <f t="shared" si="139"/>
        <v>0.96875</v>
      </c>
      <c r="CK229">
        <v>6.7163080271799999E-2</v>
      </c>
      <c r="CL229">
        <f t="shared" si="140"/>
        <v>2.0933316036000071E-3</v>
      </c>
      <c r="CM229">
        <f t="shared" si="147"/>
        <v>4.4642857142856984E-3</v>
      </c>
    </row>
    <row r="230" spans="2:91">
      <c r="B230">
        <v>218</v>
      </c>
      <c r="C230" t="e">
        <f>IF(ISNUMBER(K230),IF('Lab test'!N221&gt;0,'Lab test'!N221,NA()),NA())</f>
        <v>#N/A</v>
      </c>
      <c r="D230" t="e">
        <f>IF(ISNUMBER(K230),IF('Lab test'!Q221&gt;0,'Lab test'!Q221,NA()),NA())</f>
        <v>#N/A</v>
      </c>
      <c r="E230" t="e">
        <f>IF(ISNUMBER(K230),IF('Lab test'!P221&gt;0,'Lab test'!P221,NA()),NA())</f>
        <v>#N/A</v>
      </c>
      <c r="F230" t="e">
        <f>IF(ISNUMBER(K230),IF('Lab test'!AJ221&gt;0,'Lab test'!AJ221,NA()),NA())</f>
        <v>#N/A</v>
      </c>
      <c r="G230">
        <f>IF('Lab test'!V221&gt;0,'Lab test'!V221,NA())</f>
        <v>206153.32399999999</v>
      </c>
      <c r="H230">
        <f>IF(MAX('Lab test'!W221,'Lab test'!X221)&gt;0,MAX('Lab test'!W221,'Lab test'!X221),NA())</f>
        <v>322.67476799999997</v>
      </c>
      <c r="I230">
        <f>IF('Lab test'!AU221&gt;0,'Lab test'!AU221,NA())</f>
        <v>1.1431623931623933</v>
      </c>
      <c r="J230">
        <f>IF('Lab test'!AT221&gt;0,'Lab test'!AT221,NA())</f>
        <v>0.28927641153467182</v>
      </c>
      <c r="K230" t="e">
        <f t="shared" si="141"/>
        <v>#N/A</v>
      </c>
      <c r="L230" t="str">
        <f>'Lab test'!AC221</f>
        <v>Machined</v>
      </c>
      <c r="N230">
        <v>218</v>
      </c>
      <c r="O230">
        <v>76.050251717699993</v>
      </c>
      <c r="P230">
        <v>0.16511061410700001</v>
      </c>
      <c r="Q230">
        <f t="shared" si="142"/>
        <v>460.6018342855632</v>
      </c>
      <c r="R230">
        <v>162.89294679599999</v>
      </c>
      <c r="S230">
        <f t="shared" si="143"/>
        <v>9.9801896128599854E-2</v>
      </c>
      <c r="T230">
        <v>3.5057710917600002E-2</v>
      </c>
      <c r="U230">
        <f t="shared" si="122"/>
        <v>0.9732142857142857</v>
      </c>
      <c r="W230">
        <v>218</v>
      </c>
      <c r="X230" t="e">
        <v>#N/A</v>
      </c>
      <c r="Z230" t="e">
        <f t="shared" si="123"/>
        <v>#N/A</v>
      </c>
      <c r="AB230" t="e">
        <f t="shared" si="121"/>
        <v>#N/A</v>
      </c>
      <c r="AC230" t="e">
        <f t="shared" si="124"/>
        <v>#N/A</v>
      </c>
      <c r="AE230" t="e">
        <v>#N/A</v>
      </c>
      <c r="AF230" t="e">
        <v>#N/A</v>
      </c>
      <c r="AJ230">
        <f t="shared" si="125"/>
        <v>0.9732142857142857</v>
      </c>
      <c r="AK230">
        <v>367.17409347099999</v>
      </c>
      <c r="AL230">
        <f t="shared" si="126"/>
        <v>1.085007714000028</v>
      </c>
      <c r="AM230">
        <f t="shared" si="144"/>
        <v>4.4642857142856984E-3</v>
      </c>
      <c r="AO230">
        <v>218</v>
      </c>
      <c r="AP230" t="e">
        <v>#N/A</v>
      </c>
      <c r="AR230" t="e">
        <f t="shared" si="127"/>
        <v>#N/A</v>
      </c>
      <c r="AT230" t="e">
        <f t="shared" si="128"/>
        <v>#N/A</v>
      </c>
      <c r="AU230" t="e">
        <f t="shared" si="129"/>
        <v>#N/A</v>
      </c>
      <c r="AW230" t="e">
        <v>#N/A</v>
      </c>
      <c r="AX230" t="e">
        <v>#N/A</v>
      </c>
      <c r="BB230">
        <f t="shared" si="130"/>
        <v>0.9732142857142857</v>
      </c>
      <c r="BC230">
        <v>1314.2413928935844</v>
      </c>
      <c r="BD230">
        <f t="shared" si="131"/>
        <v>6.9995251480268053</v>
      </c>
      <c r="BE230">
        <f t="shared" si="145"/>
        <v>4.4642857142856984E-3</v>
      </c>
      <c r="BF230">
        <v>218</v>
      </c>
      <c r="BG230" t="e">
        <v>#N/A</v>
      </c>
      <c r="BI230" t="e">
        <f t="shared" si="132"/>
        <v>#N/A</v>
      </c>
      <c r="BK230" t="e">
        <f t="shared" si="133"/>
        <v>#N/A</v>
      </c>
      <c r="BL230" t="e">
        <f t="shared" si="134"/>
        <v>#N/A</v>
      </c>
      <c r="BN230" t="e">
        <v>#N/A</v>
      </c>
      <c r="BO230" t="e">
        <v>#N/A</v>
      </c>
      <c r="BS230">
        <f t="shared" si="135"/>
        <v>0.9732142857142857</v>
      </c>
      <c r="BT230">
        <v>0.4188862171431188</v>
      </c>
      <c r="BU230">
        <f t="shared" si="136"/>
        <v>0.10727764043384924</v>
      </c>
      <c r="BV230">
        <f t="shared" si="146"/>
        <v>4.4642857142856984E-3</v>
      </c>
      <c r="BW230">
        <v>218</v>
      </c>
      <c r="BX230" t="e">
        <v>#N/A</v>
      </c>
      <c r="BZ230" t="e">
        <f t="shared" si="137"/>
        <v>#N/A</v>
      </c>
      <c r="CB230" t="e">
        <f t="shared" si="148"/>
        <v>#N/A</v>
      </c>
      <c r="CC230" t="e">
        <f t="shared" si="138"/>
        <v>#N/A</v>
      </c>
      <c r="CE230" t="e">
        <v>#N/A</v>
      </c>
      <c r="CF230" t="e">
        <v>#N/A</v>
      </c>
      <c r="CJ230">
        <f t="shared" si="139"/>
        <v>0.9732142857142857</v>
      </c>
      <c r="CK230">
        <v>6.9256411875400006E-2</v>
      </c>
      <c r="CL230">
        <f t="shared" si="140"/>
        <v>1.962970513799997E-3</v>
      </c>
      <c r="CM230">
        <f t="shared" si="147"/>
        <v>4.4642857142856984E-3</v>
      </c>
    </row>
    <row r="231" spans="2:91">
      <c r="B231">
        <v>219</v>
      </c>
      <c r="C231" t="e">
        <f>IF(ISNUMBER(K231),IF('Lab test'!N222&gt;0,'Lab test'!N222,NA()),NA())</f>
        <v>#N/A</v>
      </c>
      <c r="D231" t="e">
        <f>IF(ISNUMBER(K231),IF('Lab test'!Q222&gt;0,'Lab test'!Q222,NA()),NA())</f>
        <v>#N/A</v>
      </c>
      <c r="E231" t="e">
        <f>IF(ISNUMBER(K231),IF('Lab test'!P222&gt;0,'Lab test'!P222,NA()),NA())</f>
        <v>#N/A</v>
      </c>
      <c r="F231" t="e">
        <f>IF(ISNUMBER(K231),IF('Lab test'!AJ222&gt;0,'Lab test'!AJ222,NA()),NA())</f>
        <v>#N/A</v>
      </c>
      <c r="G231">
        <f>IF('Lab test'!V222&gt;0,'Lab test'!V222,NA())</f>
        <v>206153.32399999999</v>
      </c>
      <c r="H231">
        <f>IF(MAX('Lab test'!W222,'Lab test'!X222)&gt;0,MAX('Lab test'!W222,'Lab test'!X222),NA())</f>
        <v>322.67476799999997</v>
      </c>
      <c r="I231">
        <f>IF('Lab test'!AU222&gt;0,'Lab test'!AU222,NA())</f>
        <v>0.99145299145299148</v>
      </c>
      <c r="J231">
        <f>IF('Lab test'!AT222&gt;0,'Lab test'!AT222,NA())</f>
        <v>0.25187225926047707</v>
      </c>
      <c r="K231" t="e">
        <f t="shared" si="141"/>
        <v>#N/A</v>
      </c>
      <c r="L231" t="str">
        <f>'Lab test'!AC222</f>
        <v>Machined</v>
      </c>
      <c r="N231">
        <v>219</v>
      </c>
      <c r="O231">
        <v>76.1488580953</v>
      </c>
      <c r="P231">
        <v>8.3566891106199997E-2</v>
      </c>
      <c r="Q231">
        <f t="shared" si="142"/>
        <v>911.23239224643555</v>
      </c>
      <c r="R231">
        <v>79.079106957400001</v>
      </c>
      <c r="S231">
        <f t="shared" si="143"/>
        <v>3.4402007502501004E-2</v>
      </c>
      <c r="T231">
        <v>3.3413000689699997E-2</v>
      </c>
      <c r="U231">
        <f t="shared" si="122"/>
        <v>0.9776785714285714</v>
      </c>
      <c r="W231">
        <v>219</v>
      </c>
      <c r="X231" t="e">
        <v>#N/A</v>
      </c>
      <c r="Z231" t="e">
        <f t="shared" si="123"/>
        <v>#N/A</v>
      </c>
      <c r="AB231" t="e">
        <f t="shared" si="121"/>
        <v>#N/A</v>
      </c>
      <c r="AC231" t="e">
        <f t="shared" si="124"/>
        <v>#N/A</v>
      </c>
      <c r="AE231" t="e">
        <v>#N/A</v>
      </c>
      <c r="AF231" t="e">
        <v>#N/A</v>
      </c>
      <c r="AJ231">
        <f t="shared" si="125"/>
        <v>0.9776785714285714</v>
      </c>
      <c r="AK231">
        <v>368.25910118500002</v>
      </c>
      <c r="AL231">
        <f t="shared" si="126"/>
        <v>2.1020867479999765</v>
      </c>
      <c r="AM231">
        <f t="shared" si="144"/>
        <v>4.4642857142856984E-3</v>
      </c>
      <c r="AO231">
        <v>219</v>
      </c>
      <c r="AP231" t="e">
        <v>#N/A</v>
      </c>
      <c r="AR231" t="e">
        <f t="shared" si="127"/>
        <v>#N/A</v>
      </c>
      <c r="AT231" t="e">
        <f t="shared" si="128"/>
        <v>#N/A</v>
      </c>
      <c r="AU231" t="e">
        <f t="shared" si="129"/>
        <v>#N/A</v>
      </c>
      <c r="AW231" t="e">
        <v>#N/A</v>
      </c>
      <c r="AX231" t="e">
        <v>#N/A</v>
      </c>
      <c r="BB231">
        <f t="shared" si="130"/>
        <v>0.9776785714285714</v>
      </c>
      <c r="BC231">
        <v>1321.2409180416112</v>
      </c>
      <c r="BD231">
        <f t="shared" si="131"/>
        <v>1.787681886245764</v>
      </c>
      <c r="BE231">
        <f t="shared" si="145"/>
        <v>4.4642857142856984E-3</v>
      </c>
      <c r="BF231">
        <v>219</v>
      </c>
      <c r="BG231" t="e">
        <v>#N/A</v>
      </c>
      <c r="BI231" t="e">
        <f t="shared" si="132"/>
        <v>#N/A</v>
      </c>
      <c r="BK231" t="e">
        <f t="shared" si="133"/>
        <v>#N/A</v>
      </c>
      <c r="BL231" t="e">
        <f t="shared" si="134"/>
        <v>#N/A</v>
      </c>
      <c r="BN231" t="e">
        <v>#N/A</v>
      </c>
      <c r="BO231" t="e">
        <v>#N/A</v>
      </c>
      <c r="BS231">
        <f t="shared" si="135"/>
        <v>0.9776785714285714</v>
      </c>
      <c r="BT231">
        <v>0.52616385757696804</v>
      </c>
      <c r="BU231">
        <f t="shared" si="136"/>
        <v>4.3852392092483039E-2</v>
      </c>
      <c r="BV231">
        <f t="shared" si="146"/>
        <v>4.4642857142856984E-3</v>
      </c>
      <c r="BW231">
        <v>219</v>
      </c>
      <c r="BX231" t="e">
        <v>#N/A</v>
      </c>
      <c r="BZ231" t="e">
        <f t="shared" si="137"/>
        <v>#N/A</v>
      </c>
      <c r="CB231" t="e">
        <f t="shared" si="148"/>
        <v>#N/A</v>
      </c>
      <c r="CC231" t="e">
        <f t="shared" si="138"/>
        <v>#N/A</v>
      </c>
      <c r="CE231" t="e">
        <v>#N/A</v>
      </c>
      <c r="CF231" t="e">
        <v>#N/A</v>
      </c>
      <c r="CJ231">
        <f t="shared" si="139"/>
        <v>0.9776785714285714</v>
      </c>
      <c r="CK231">
        <v>7.1219382389200003E-2</v>
      </c>
      <c r="CL231">
        <f t="shared" si="140"/>
        <v>1.8720011554999999E-3</v>
      </c>
      <c r="CM231">
        <f t="shared" si="147"/>
        <v>4.4642857142856984E-3</v>
      </c>
    </row>
    <row r="232" spans="2:91">
      <c r="B232">
        <v>220</v>
      </c>
      <c r="C232" t="e">
        <f>IF(ISNUMBER(K232),IF('Lab test'!N223&gt;0,'Lab test'!N223,NA()),NA())</f>
        <v>#N/A</v>
      </c>
      <c r="D232" t="e">
        <f>IF(ISNUMBER(K232),IF('Lab test'!Q223&gt;0,'Lab test'!Q223,NA()),NA())</f>
        <v>#N/A</v>
      </c>
      <c r="E232" t="e">
        <f>IF(ISNUMBER(K232),IF('Lab test'!P223&gt;0,'Lab test'!P223,NA()),NA())</f>
        <v>#N/A</v>
      </c>
      <c r="F232" t="e">
        <f>IF(ISNUMBER(K232),IF('Lab test'!AJ223&gt;0,'Lab test'!AJ223,NA()),NA())</f>
        <v>#N/A</v>
      </c>
      <c r="G232">
        <f>IF('Lab test'!V223&gt;0,'Lab test'!V223,NA())</f>
        <v>206153.32399999999</v>
      </c>
      <c r="H232">
        <f>IF(MAX('Lab test'!W223,'Lab test'!X223)&gt;0,MAX('Lab test'!W223,'Lab test'!X223),NA())</f>
        <v>322.67476799999997</v>
      </c>
      <c r="I232">
        <f>IF('Lab test'!AU223&gt;0,'Lab test'!AU223,NA())</f>
        <v>1.0256410256410258</v>
      </c>
      <c r="J232">
        <f>IF('Lab test'!AT223&gt;0,'Lab test'!AT223,NA())</f>
        <v>0.24026045720311631</v>
      </c>
      <c r="K232" t="e">
        <f t="shared" si="141"/>
        <v>#N/A</v>
      </c>
      <c r="L232" t="str">
        <f>'Lab test'!AC223</f>
        <v>Machined</v>
      </c>
      <c r="N232">
        <v>220</v>
      </c>
      <c r="O232">
        <v>76.146941098499994</v>
      </c>
      <c r="P232">
        <v>0.25789607695299999</v>
      </c>
      <c r="Q232">
        <f t="shared" si="142"/>
        <v>295.26211487264044</v>
      </c>
      <c r="R232">
        <v>97.296989067699997</v>
      </c>
      <c r="S232">
        <f t="shared" si="143"/>
        <v>7.4360632619112257E-2</v>
      </c>
      <c r="T232">
        <v>6.6620985477599995E-2</v>
      </c>
      <c r="U232">
        <f t="shared" si="122"/>
        <v>0.9821428571428571</v>
      </c>
      <c r="W232">
        <v>220</v>
      </c>
      <c r="X232" t="e">
        <v>#N/A</v>
      </c>
      <c r="Z232" t="e">
        <f t="shared" si="123"/>
        <v>#N/A</v>
      </c>
      <c r="AB232" t="e">
        <f t="shared" si="121"/>
        <v>#N/A</v>
      </c>
      <c r="AC232" t="e">
        <f t="shared" si="124"/>
        <v>#N/A</v>
      </c>
      <c r="AE232" t="e">
        <v>#N/A</v>
      </c>
      <c r="AF232" t="e">
        <v>#N/A</v>
      </c>
      <c r="AJ232">
        <f t="shared" si="125"/>
        <v>0.9821428571428571</v>
      </c>
      <c r="AK232">
        <v>370.361187933</v>
      </c>
      <c r="AL232">
        <f t="shared" si="126"/>
        <v>2.9221811169999796</v>
      </c>
      <c r="AM232">
        <f t="shared" si="144"/>
        <v>4.4642857142856984E-3</v>
      </c>
      <c r="AO232">
        <v>220</v>
      </c>
      <c r="AP232" t="e">
        <v>#N/A</v>
      </c>
      <c r="AR232" t="e">
        <f t="shared" si="127"/>
        <v>#N/A</v>
      </c>
      <c r="AT232" t="e">
        <f t="shared" si="128"/>
        <v>#N/A</v>
      </c>
      <c r="AU232" t="e">
        <f t="shared" si="129"/>
        <v>#N/A</v>
      </c>
      <c r="AW232" t="e">
        <v>#N/A</v>
      </c>
      <c r="AX232" t="e">
        <v>#N/A</v>
      </c>
      <c r="BB232">
        <f t="shared" si="130"/>
        <v>0.9821428571428571</v>
      </c>
      <c r="BC232">
        <v>1323.0285999278569</v>
      </c>
      <c r="BD232">
        <f t="shared" si="131"/>
        <v>75.345546793041194</v>
      </c>
      <c r="BE232">
        <f t="shared" si="145"/>
        <v>4.4642857142856984E-3</v>
      </c>
      <c r="BF232">
        <v>220</v>
      </c>
      <c r="BG232" t="e">
        <v>#N/A</v>
      </c>
      <c r="BI232" t="e">
        <f t="shared" si="132"/>
        <v>#N/A</v>
      </c>
      <c r="BK232" t="e">
        <f t="shared" si="133"/>
        <v>#N/A</v>
      </c>
      <c r="BL232" t="e">
        <f t="shared" si="134"/>
        <v>#N/A</v>
      </c>
      <c r="BN232" t="e">
        <v>#N/A</v>
      </c>
      <c r="BO232" t="e">
        <v>#N/A</v>
      </c>
      <c r="BS232">
        <f t="shared" si="135"/>
        <v>0.9821428571428571</v>
      </c>
      <c r="BT232">
        <v>0.57001624966945108</v>
      </c>
      <c r="BU232">
        <f t="shared" si="136"/>
        <v>7.0564348146611056E-2</v>
      </c>
      <c r="BV232">
        <f t="shared" si="146"/>
        <v>4.4642857142856984E-3</v>
      </c>
      <c r="BW232">
        <v>220</v>
      </c>
      <c r="BX232" t="e">
        <v>#N/A</v>
      </c>
      <c r="BZ232" t="e">
        <f t="shared" si="137"/>
        <v>#N/A</v>
      </c>
      <c r="CB232" t="e">
        <f t="shared" si="148"/>
        <v>#N/A</v>
      </c>
      <c r="CC232" t="e">
        <f t="shared" si="138"/>
        <v>#N/A</v>
      </c>
      <c r="CE232" t="e">
        <v>#N/A</v>
      </c>
      <c r="CF232" t="e">
        <v>#N/A</v>
      </c>
      <c r="CJ232">
        <f t="shared" si="139"/>
        <v>0.9821428571428571</v>
      </c>
      <c r="CK232">
        <v>7.3091383544700003E-2</v>
      </c>
      <c r="CL232">
        <f t="shared" si="140"/>
        <v>1.895602128899998E-3</v>
      </c>
      <c r="CM232">
        <f t="shared" si="147"/>
        <v>4.4642857142856984E-3</v>
      </c>
    </row>
    <row r="233" spans="2:91">
      <c r="B233">
        <v>221</v>
      </c>
      <c r="C233" t="e">
        <f>IF(ISNUMBER(K233),IF('Lab test'!N224&gt;0,'Lab test'!N224,NA()),NA())</f>
        <v>#N/A</v>
      </c>
      <c r="D233" t="e">
        <f>IF(ISNUMBER(K233),IF('Lab test'!Q224&gt;0,'Lab test'!Q224,NA()),NA())</f>
        <v>#N/A</v>
      </c>
      <c r="E233" t="e">
        <f>IF(ISNUMBER(K233),IF('Lab test'!P224&gt;0,'Lab test'!P224,NA()),NA())</f>
        <v>#N/A</v>
      </c>
      <c r="F233" t="e">
        <f>IF(ISNUMBER(K233),IF('Lab test'!AJ224&gt;0,'Lab test'!AJ224,NA()),NA())</f>
        <v>#N/A</v>
      </c>
      <c r="G233">
        <f>IF('Lab test'!V224&gt;0,'Lab test'!V224,NA())</f>
        <v>206153.32399999999</v>
      </c>
      <c r="H233">
        <f>IF(MAX('Lab test'!W224,'Lab test'!X224)&gt;0,MAX('Lab test'!W224,'Lab test'!X224),NA())</f>
        <v>322.67476799999997</v>
      </c>
      <c r="I233">
        <f>IF('Lab test'!AU224&gt;0,'Lab test'!AU224,NA())</f>
        <v>1.0811965811965811</v>
      </c>
      <c r="J233">
        <f>IF('Lab test'!AT224&gt;0,'Lab test'!AT224,NA())</f>
        <v>0.28045648956167174</v>
      </c>
      <c r="K233" t="e">
        <f t="shared" si="141"/>
        <v>#N/A</v>
      </c>
      <c r="L233" t="str">
        <f>'Lab test'!AC224</f>
        <v>Machined</v>
      </c>
      <c r="N233">
        <v>221</v>
      </c>
      <c r="O233">
        <v>77.881925528300002</v>
      </c>
      <c r="P233">
        <v>0.13127854022300001</v>
      </c>
      <c r="Q233">
        <f t="shared" si="142"/>
        <v>593.25709591227678</v>
      </c>
      <c r="R233">
        <v>49.594543336699999</v>
      </c>
      <c r="S233">
        <f t="shared" si="143"/>
        <v>2.6144223321721824E-2</v>
      </c>
      <c r="T233">
        <v>7.4986985673600001E-2</v>
      </c>
      <c r="U233">
        <f t="shared" si="122"/>
        <v>0.9866071428571429</v>
      </c>
      <c r="W233">
        <v>221</v>
      </c>
      <c r="X233" t="e">
        <v>#N/A</v>
      </c>
      <c r="Z233" t="e">
        <f t="shared" si="123"/>
        <v>#N/A</v>
      </c>
      <c r="AB233" t="e">
        <f t="shared" si="121"/>
        <v>#N/A</v>
      </c>
      <c r="AC233" t="e">
        <f t="shared" si="124"/>
        <v>#N/A</v>
      </c>
      <c r="AE233" t="e">
        <v>#N/A</v>
      </c>
      <c r="AF233" t="e">
        <v>#N/A</v>
      </c>
      <c r="AJ233">
        <f t="shared" si="125"/>
        <v>0.9866071428571429</v>
      </c>
      <c r="AK233">
        <v>373.28336904999998</v>
      </c>
      <c r="AL233">
        <f t="shared" si="126"/>
        <v>0.4059505150000291</v>
      </c>
      <c r="AM233">
        <f t="shared" si="144"/>
        <v>4.4642857142858094E-3</v>
      </c>
      <c r="AO233">
        <v>221</v>
      </c>
      <c r="AP233" t="e">
        <v>#N/A</v>
      </c>
      <c r="AR233" t="e">
        <f t="shared" si="127"/>
        <v>#N/A</v>
      </c>
      <c r="AT233" t="e">
        <f t="shared" si="128"/>
        <v>#N/A</v>
      </c>
      <c r="AU233" t="e">
        <f t="shared" si="129"/>
        <v>#N/A</v>
      </c>
      <c r="AW233" t="e">
        <v>#N/A</v>
      </c>
      <c r="AX233" t="e">
        <v>#N/A</v>
      </c>
      <c r="BB233">
        <f t="shared" si="130"/>
        <v>0.9866071428571429</v>
      </c>
      <c r="BC233">
        <v>1398.3741467208981</v>
      </c>
      <c r="BD233">
        <f t="shared" si="131"/>
        <v>13.829947730485401</v>
      </c>
      <c r="BE233">
        <f t="shared" si="145"/>
        <v>4.4642857142858094E-3</v>
      </c>
      <c r="BF233">
        <v>221</v>
      </c>
      <c r="BG233" t="e">
        <v>#N/A</v>
      </c>
      <c r="BI233" t="e">
        <f t="shared" si="132"/>
        <v>#N/A</v>
      </c>
      <c r="BK233" t="e">
        <f t="shared" si="133"/>
        <v>#N/A</v>
      </c>
      <c r="BL233" t="e">
        <f t="shared" si="134"/>
        <v>#N/A</v>
      </c>
      <c r="BN233" t="e">
        <v>#N/A</v>
      </c>
      <c r="BO233" t="e">
        <v>#N/A</v>
      </c>
      <c r="BS233">
        <f t="shared" si="135"/>
        <v>0.9866071428571429</v>
      </c>
      <c r="BT233">
        <v>0.64058059781606214</v>
      </c>
      <c r="BU233">
        <f t="shared" si="136"/>
        <v>1.661155831323502E-2</v>
      </c>
      <c r="BV233">
        <f t="shared" si="146"/>
        <v>4.4642857142858094E-3</v>
      </c>
      <c r="BW233">
        <v>221</v>
      </c>
      <c r="BX233" t="e">
        <v>#N/A</v>
      </c>
      <c r="BZ233" t="e">
        <f t="shared" si="137"/>
        <v>#N/A</v>
      </c>
      <c r="CB233" t="e">
        <f t="shared" si="148"/>
        <v>#N/A</v>
      </c>
      <c r="CC233" t="e">
        <f t="shared" si="138"/>
        <v>#N/A</v>
      </c>
      <c r="CE233" t="e">
        <v>#N/A</v>
      </c>
      <c r="CF233" t="e">
        <v>#N/A</v>
      </c>
      <c r="CJ233">
        <f t="shared" si="139"/>
        <v>0.9866071428571429</v>
      </c>
      <c r="CK233">
        <v>7.4986985673600001E-2</v>
      </c>
      <c r="CL233">
        <f t="shared" si="140"/>
        <v>5.1594017589999541E-4</v>
      </c>
      <c r="CM233">
        <f t="shared" si="147"/>
        <v>4.4642857142858094E-3</v>
      </c>
    </row>
    <row r="234" spans="2:91">
      <c r="B234">
        <v>222</v>
      </c>
      <c r="C234" t="e">
        <f>IF(ISNUMBER(K234),IF('Lab test'!N225&gt;0,'Lab test'!N225,NA()),NA())</f>
        <v>#N/A</v>
      </c>
      <c r="D234" t="e">
        <f>IF(ISNUMBER(K234),IF('Lab test'!Q225&gt;0,'Lab test'!Q225,NA()),NA())</f>
        <v>#N/A</v>
      </c>
      <c r="E234" t="e">
        <f>IF(ISNUMBER(K234),IF('Lab test'!P225&gt;0,'Lab test'!P225,NA()),NA())</f>
        <v>#N/A</v>
      </c>
      <c r="F234" t="e">
        <f>IF(ISNUMBER(K234),IF('Lab test'!AJ225&gt;0,'Lab test'!AJ225,NA()),NA())</f>
        <v>#N/A</v>
      </c>
      <c r="G234">
        <f>IF('Lab test'!V225&gt;0,'Lab test'!V225,NA())</f>
        <v>206153.32399999999</v>
      </c>
      <c r="H234">
        <f>IF(MAX('Lab test'!W225,'Lab test'!X225)&gt;0,MAX('Lab test'!W225,'Lab test'!X225),NA())</f>
        <v>322.67476799999997</v>
      </c>
      <c r="I234">
        <f>IF('Lab test'!AU225&gt;0,'Lab test'!AU225,NA())</f>
        <v>1.1858974358974359</v>
      </c>
      <c r="J234">
        <f>IF('Lab test'!AT225&gt;0,'Lab test'!AT225,NA())</f>
        <v>0.20405354199586023</v>
      </c>
      <c r="K234" t="e">
        <f t="shared" si="141"/>
        <v>#N/A</v>
      </c>
      <c r="L234" t="str">
        <f>'Lab test'!AC225</f>
        <v>Machined</v>
      </c>
      <c r="N234">
        <v>222</v>
      </c>
      <c r="O234">
        <v>82.551320073699998</v>
      </c>
      <c r="P234">
        <v>0.25918379264000002</v>
      </c>
      <c r="Q234">
        <f t="shared" si="142"/>
        <v>318.50494675167351</v>
      </c>
      <c r="R234">
        <v>84.389683845600004</v>
      </c>
      <c r="S234">
        <f t="shared" si="143"/>
        <v>5.7280558858283613E-2</v>
      </c>
      <c r="T234">
        <v>6.6540488568999995E-2</v>
      </c>
      <c r="U234">
        <f t="shared" si="122"/>
        <v>0.9910714285714286</v>
      </c>
      <c r="W234">
        <v>222</v>
      </c>
      <c r="X234" t="e">
        <v>#N/A</v>
      </c>
      <c r="Z234" t="e">
        <f t="shared" si="123"/>
        <v>#N/A</v>
      </c>
      <c r="AB234" t="e">
        <f t="shared" si="121"/>
        <v>#N/A</v>
      </c>
      <c r="AC234" t="e">
        <f t="shared" si="124"/>
        <v>#N/A</v>
      </c>
      <c r="AE234" t="e">
        <v>#N/A</v>
      </c>
      <c r="AF234" t="e">
        <v>#N/A</v>
      </c>
      <c r="AJ234">
        <f t="shared" si="125"/>
        <v>0.9910714285714286</v>
      </c>
      <c r="AK234">
        <v>373.68931956500001</v>
      </c>
      <c r="AL234">
        <f t="shared" si="126"/>
        <v>2.8615878999971756E-2</v>
      </c>
      <c r="AM234">
        <f t="shared" si="144"/>
        <v>4.4642857142856984E-3</v>
      </c>
      <c r="AO234">
        <v>222</v>
      </c>
      <c r="AP234" t="e">
        <v>#N/A</v>
      </c>
      <c r="AR234" t="e">
        <f t="shared" si="127"/>
        <v>#N/A</v>
      </c>
      <c r="AT234" t="e">
        <f t="shared" si="128"/>
        <v>#N/A</v>
      </c>
      <c r="AU234" t="e">
        <f t="shared" si="129"/>
        <v>#N/A</v>
      </c>
      <c r="AW234" t="e">
        <v>#N/A</v>
      </c>
      <c r="AX234" t="e">
        <v>#N/A</v>
      </c>
      <c r="BB234">
        <f t="shared" si="130"/>
        <v>0.9910714285714286</v>
      </c>
      <c r="BC234">
        <v>1412.2040944513835</v>
      </c>
      <c r="BD234">
        <f t="shared" si="131"/>
        <v>1.415945821340074</v>
      </c>
      <c r="BE234">
        <f t="shared" si="145"/>
        <v>4.4642857142856984E-3</v>
      </c>
      <c r="BF234">
        <v>222</v>
      </c>
      <c r="BG234" t="e">
        <v>#N/A</v>
      </c>
      <c r="BI234" t="e">
        <f t="shared" si="132"/>
        <v>#N/A</v>
      </c>
      <c r="BK234" t="e">
        <f t="shared" si="133"/>
        <v>#N/A</v>
      </c>
      <c r="BL234" t="e">
        <f t="shared" si="134"/>
        <v>#N/A</v>
      </c>
      <c r="BN234" t="e">
        <v>#N/A</v>
      </c>
      <c r="BO234" t="e">
        <v>#N/A</v>
      </c>
      <c r="BS234">
        <f t="shared" si="135"/>
        <v>0.9910714285714286</v>
      </c>
      <c r="BT234">
        <v>0.65719215612929716</v>
      </c>
      <c r="BU234">
        <f t="shared" si="136"/>
        <v>0.27306242851900486</v>
      </c>
      <c r="BV234">
        <f t="shared" si="146"/>
        <v>4.4642857142856984E-3</v>
      </c>
      <c r="BW234">
        <v>222</v>
      </c>
      <c r="BX234" t="e">
        <v>#N/A</v>
      </c>
      <c r="BZ234" t="e">
        <f t="shared" si="137"/>
        <v>#N/A</v>
      </c>
      <c r="CB234" t="e">
        <f t="shared" si="148"/>
        <v>#N/A</v>
      </c>
      <c r="CC234" t="e">
        <f t="shared" si="138"/>
        <v>#N/A</v>
      </c>
      <c r="CE234" t="e">
        <v>#N/A</v>
      </c>
      <c r="CF234" t="e">
        <v>#N/A</v>
      </c>
      <c r="CJ234">
        <f t="shared" si="139"/>
        <v>0.9910714285714286</v>
      </c>
      <c r="CK234">
        <v>7.5502925849499997E-2</v>
      </c>
      <c r="CL234">
        <f t="shared" si="140"/>
        <v>1.7841494812000092E-3</v>
      </c>
      <c r="CM234">
        <f t="shared" si="147"/>
        <v>4.4642857142856984E-3</v>
      </c>
    </row>
    <row r="235" spans="2:91">
      <c r="B235">
        <v>223</v>
      </c>
      <c r="C235" t="e">
        <f>IF(ISNUMBER(K235),IF('Lab test'!N226&gt;0,'Lab test'!N226,NA()),NA())</f>
        <v>#N/A</v>
      </c>
      <c r="D235" t="e">
        <f>IF(ISNUMBER(K235),IF('Lab test'!Q226&gt;0,'Lab test'!Q226,NA()),NA())</f>
        <v>#N/A</v>
      </c>
      <c r="E235" t="e">
        <f>IF(ISNUMBER(K235),IF('Lab test'!P226&gt;0,'Lab test'!P226,NA()),NA())</f>
        <v>#N/A</v>
      </c>
      <c r="F235" t="e">
        <f>IF(ISNUMBER(K235),IF('Lab test'!AJ226&gt;0,'Lab test'!AJ226,NA()),NA())</f>
        <v>#N/A</v>
      </c>
      <c r="G235">
        <f>IF('Lab test'!V226&gt;0,'Lab test'!V226,NA())</f>
        <v>206153.32399999999</v>
      </c>
      <c r="H235">
        <f>IF(MAX('Lab test'!W226,'Lab test'!X226)&gt;0,MAX('Lab test'!W226,'Lab test'!X226),NA())</f>
        <v>322.67476799999997</v>
      </c>
      <c r="I235">
        <f>IF('Lab test'!AU226&gt;0,'Lab test'!AU226,NA())</f>
        <v>0.86324786324786329</v>
      </c>
      <c r="J235">
        <f>IF('Lab test'!AT226&gt;0,'Lab test'!AT226,NA())</f>
        <v>0.29687502238448887</v>
      </c>
      <c r="K235" t="e">
        <f t="shared" si="141"/>
        <v>#N/A</v>
      </c>
      <c r="L235" t="str">
        <f>'Lab test'!AC226</f>
        <v>Machined</v>
      </c>
      <c r="N235">
        <v>223</v>
      </c>
      <c r="O235">
        <v>96.663453474700006</v>
      </c>
      <c r="P235">
        <v>0.189473146382</v>
      </c>
      <c r="Q235">
        <f t="shared" si="142"/>
        <v>510.16967480877315</v>
      </c>
      <c r="R235">
        <v>638.895082753</v>
      </c>
      <c r="S235">
        <f t="shared" si="143"/>
        <v>0.29262398384230354</v>
      </c>
      <c r="T235">
        <v>6.6593743491199994E-2</v>
      </c>
      <c r="U235">
        <f t="shared" si="122"/>
        <v>0.9955357142857143</v>
      </c>
      <c r="W235">
        <v>223</v>
      </c>
      <c r="X235" t="e">
        <v>#N/A</v>
      </c>
      <c r="Z235" t="e">
        <f t="shared" si="123"/>
        <v>#N/A</v>
      </c>
      <c r="AB235" t="e">
        <f t="shared" si="121"/>
        <v>#N/A</v>
      </c>
      <c r="AC235" t="e">
        <f t="shared" si="124"/>
        <v>#N/A</v>
      </c>
      <c r="AE235" t="e">
        <v>#N/A</v>
      </c>
      <c r="AF235" t="e">
        <v>#N/A</v>
      </c>
      <c r="AJ235">
        <f t="shared" si="125"/>
        <v>0.9955357142857143</v>
      </c>
      <c r="AK235">
        <v>373.71793544399998</v>
      </c>
      <c r="AL235">
        <f t="shared" si="126"/>
        <v>1.0458403490000023</v>
      </c>
      <c r="AM235">
        <f t="shared" si="144"/>
        <v>4.4642857142856984E-3</v>
      </c>
      <c r="AO235">
        <v>223</v>
      </c>
      <c r="AP235" t="e">
        <v>#N/A</v>
      </c>
      <c r="AR235" t="e">
        <f t="shared" si="127"/>
        <v>#N/A</v>
      </c>
      <c r="AT235" t="e">
        <f t="shared" si="128"/>
        <v>#N/A</v>
      </c>
      <c r="AU235" t="e">
        <f t="shared" si="129"/>
        <v>#N/A</v>
      </c>
      <c r="AW235" t="e">
        <v>#N/A</v>
      </c>
      <c r="AX235" t="e">
        <v>#N/A</v>
      </c>
      <c r="BB235">
        <f t="shared" si="130"/>
        <v>0.9955357142857143</v>
      </c>
      <c r="BC235">
        <v>1413.6200402727236</v>
      </c>
      <c r="BD235">
        <f t="shared" si="131"/>
        <v>21.130777080136568</v>
      </c>
      <c r="BE235">
        <f t="shared" si="145"/>
        <v>4.4642857142856984E-3</v>
      </c>
      <c r="BF235">
        <v>223</v>
      </c>
      <c r="BG235" t="e">
        <v>#N/A</v>
      </c>
      <c r="BI235" t="e">
        <f t="shared" si="132"/>
        <v>#N/A</v>
      </c>
      <c r="BK235" t="e">
        <f t="shared" si="133"/>
        <v>#N/A</v>
      </c>
      <c r="BL235" t="e">
        <f t="shared" si="134"/>
        <v>#N/A</v>
      </c>
      <c r="BN235" t="e">
        <v>#N/A</v>
      </c>
      <c r="BO235" t="e">
        <v>#N/A</v>
      </c>
      <c r="BS235">
        <f t="shared" si="135"/>
        <v>0.9955357142857143</v>
      </c>
      <c r="BT235">
        <v>0.93025458464830202</v>
      </c>
      <c r="BU235">
        <f t="shared" si="136"/>
        <v>6.2464112174506981E-2</v>
      </c>
      <c r="BV235">
        <f t="shared" si="146"/>
        <v>4.4642857142856984E-3</v>
      </c>
      <c r="BW235">
        <v>223</v>
      </c>
      <c r="BX235" t="e">
        <v>#N/A</v>
      </c>
      <c r="BZ235" t="e">
        <f t="shared" si="137"/>
        <v>#N/A</v>
      </c>
      <c r="CB235" t="e">
        <f t="shared" si="148"/>
        <v>#N/A</v>
      </c>
      <c r="CC235" t="e">
        <f t="shared" si="138"/>
        <v>#N/A</v>
      </c>
      <c r="CE235" t="e">
        <v>#N/A</v>
      </c>
      <c r="CF235" t="e">
        <v>#N/A</v>
      </c>
      <c r="CJ235">
        <f t="shared" si="139"/>
        <v>0.9955357142857143</v>
      </c>
      <c r="CK235">
        <v>7.7287075330700006E-2</v>
      </c>
      <c r="CL235">
        <f t="shared" si="140"/>
        <v>4.8876027599994987E-5</v>
      </c>
      <c r="CM235">
        <f t="shared" si="147"/>
        <v>4.4642857142856984E-3</v>
      </c>
    </row>
    <row r="236" spans="2:91">
      <c r="B236">
        <v>224</v>
      </c>
      <c r="C236" t="e">
        <f>IF(ISNUMBER(K236),IF('Lab test'!N227&gt;0,'Lab test'!N227,NA()),NA())</f>
        <v>#N/A</v>
      </c>
      <c r="D236" t="e">
        <f>IF(ISNUMBER(K236),IF('Lab test'!Q227&gt;0,'Lab test'!Q227,NA()),NA())</f>
        <v>#N/A</v>
      </c>
      <c r="E236" t="e">
        <f>IF(ISNUMBER(K236),IF('Lab test'!P227&gt;0,'Lab test'!P227,NA()),NA())</f>
        <v>#N/A</v>
      </c>
      <c r="F236" t="e">
        <f>IF(ISNUMBER(K236),IF('Lab test'!AJ227&gt;0,'Lab test'!AJ227,NA()),NA())</f>
        <v>#N/A</v>
      </c>
      <c r="G236">
        <f>IF('Lab test'!V227&gt;0,'Lab test'!V227,NA())</f>
        <v>206153.32399999999</v>
      </c>
      <c r="H236">
        <f>IF(MAX('Lab test'!W227,'Lab test'!X227)&gt;0,MAX('Lab test'!W227,'Lab test'!X227),NA())</f>
        <v>322.67476799999997</v>
      </c>
      <c r="I236">
        <f>IF('Lab test'!AU227&gt;0,'Lab test'!AU227,NA())</f>
        <v>1.1239316239316239</v>
      </c>
      <c r="J236">
        <f>IF('Lab test'!AT227&gt;0,'Lab test'!AT227,NA())</f>
        <v>0.19613164718240897</v>
      </c>
      <c r="K236" t="e">
        <f t="shared" si="141"/>
        <v>#N/A</v>
      </c>
      <c r="L236" t="str">
        <f>'Lab test'!AC227</f>
        <v>Machined</v>
      </c>
      <c r="N236">
        <v>224</v>
      </c>
      <c r="O236">
        <v>99.864350505800004</v>
      </c>
      <c r="P236">
        <v>0.15716718582399999</v>
      </c>
      <c r="Q236">
        <f t="shared" si="142"/>
        <v>635.40204007744194</v>
      </c>
      <c r="R236">
        <v>148.57105588799999</v>
      </c>
      <c r="S236">
        <f t="shared" si="143"/>
        <v>5.9020029962107284E-2</v>
      </c>
      <c r="T236">
        <v>1.1011908683400001E-2</v>
      </c>
      <c r="U236">
        <f t="shared" si="122"/>
        <v>1</v>
      </c>
      <c r="W236">
        <v>224</v>
      </c>
      <c r="X236" t="e">
        <v>#N/A</v>
      </c>
      <c r="Z236" t="e">
        <f t="shared" si="123"/>
        <v>#N/A</v>
      </c>
      <c r="AB236" t="e">
        <f t="shared" si="121"/>
        <v>#N/A</v>
      </c>
      <c r="AC236" t="e">
        <f t="shared" si="124"/>
        <v>#N/A</v>
      </c>
      <c r="AE236" t="e">
        <v>#N/A</v>
      </c>
      <c r="AF236" t="e">
        <v>#N/A</v>
      </c>
      <c r="AJ236">
        <f t="shared" si="125"/>
        <v>1</v>
      </c>
      <c r="AK236">
        <v>374.76377579299998</v>
      </c>
      <c r="AM236">
        <f t="shared" si="144"/>
        <v>4.4642857142856984E-3</v>
      </c>
      <c r="AO236">
        <v>224</v>
      </c>
      <c r="AP236" t="e">
        <v>#N/A</v>
      </c>
      <c r="AR236" t="e">
        <f t="shared" si="127"/>
        <v>#N/A</v>
      </c>
      <c r="AT236" t="e">
        <f t="shared" si="128"/>
        <v>#N/A</v>
      </c>
      <c r="AU236" t="e">
        <f t="shared" si="129"/>
        <v>#N/A</v>
      </c>
      <c r="AW236" t="e">
        <v>#N/A</v>
      </c>
      <c r="AX236" t="e">
        <v>#N/A</v>
      </c>
      <c r="BB236">
        <f t="shared" si="130"/>
        <v>1</v>
      </c>
      <c r="BC236">
        <v>1434.7508173528602</v>
      </c>
      <c r="BE236">
        <f t="shared" si="145"/>
        <v>4.4642857142856984E-3</v>
      </c>
      <c r="BF236">
        <v>224</v>
      </c>
      <c r="BG236" t="e">
        <v>#N/A</v>
      </c>
      <c r="BI236" t="e">
        <f t="shared" si="132"/>
        <v>#N/A</v>
      </c>
      <c r="BK236" t="e">
        <f t="shared" si="133"/>
        <v>#N/A</v>
      </c>
      <c r="BL236" t="e">
        <f t="shared" si="134"/>
        <v>#N/A</v>
      </c>
      <c r="BN236" t="e">
        <v>#N/A</v>
      </c>
      <c r="BO236" t="e">
        <v>#N/A</v>
      </c>
      <c r="BS236">
        <f t="shared" si="135"/>
        <v>1</v>
      </c>
      <c r="BT236">
        <v>0.992718696822809</v>
      </c>
      <c r="BV236">
        <f t="shared" si="146"/>
        <v>4.4642857142856984E-3</v>
      </c>
      <c r="BW236">
        <v>224</v>
      </c>
      <c r="BX236" t="e">
        <v>#N/A</v>
      </c>
      <c r="BZ236" t="e">
        <f t="shared" si="137"/>
        <v>#N/A</v>
      </c>
      <c r="CB236" t="e">
        <f t="shared" si="148"/>
        <v>#N/A</v>
      </c>
      <c r="CC236" t="e">
        <f t="shared" si="138"/>
        <v>#N/A</v>
      </c>
      <c r="CE236" t="e">
        <v>#N/A</v>
      </c>
      <c r="CF236" t="e">
        <v>#N/A</v>
      </c>
      <c r="CJ236">
        <f t="shared" si="139"/>
        <v>1</v>
      </c>
      <c r="CK236">
        <v>7.7335951358300001E-2</v>
      </c>
      <c r="CM236">
        <f t="shared" si="147"/>
        <v>4.4642857142856984E-3</v>
      </c>
    </row>
    <row r="237" spans="2:91">
      <c r="B237">
        <v>225</v>
      </c>
      <c r="C237" t="e">
        <f>IF(ISNUMBER(K237),IF('Lab test'!N228&gt;0,'Lab test'!N228,NA()),NA())</f>
        <v>#N/A</v>
      </c>
      <c r="D237" t="e">
        <f>IF(ISNUMBER(K237),IF('Lab test'!Q228&gt;0,'Lab test'!Q228,NA()),NA())</f>
        <v>#N/A</v>
      </c>
      <c r="E237" t="e">
        <f>IF(ISNUMBER(K237),IF('Lab test'!P228&gt;0,'Lab test'!P228,NA()),NA())</f>
        <v>#N/A</v>
      </c>
      <c r="F237" t="e">
        <f>IF(ISNUMBER(K237),IF('Lab test'!AJ228&gt;0,'Lab test'!AJ228,NA()),NA())</f>
        <v>#N/A</v>
      </c>
      <c r="G237">
        <f>IF('Lab test'!V228&gt;0,'Lab test'!V228,NA())</f>
        <v>206153.32399999999</v>
      </c>
      <c r="H237">
        <f>IF(MAX('Lab test'!W228,'Lab test'!X228)&gt;0,MAX('Lab test'!W228,'Lab test'!X228),NA())</f>
        <v>322.67476799999997</v>
      </c>
      <c r="I237">
        <f>IF('Lab test'!AU228&gt;0,'Lab test'!AU228,NA())</f>
        <v>0.93376068376068388</v>
      </c>
      <c r="J237">
        <f>IF('Lab test'!AT228&gt;0,'Lab test'!AT228,NA())</f>
        <v>0.32810568686800567</v>
      </c>
      <c r="K237" t="e">
        <f t="shared" si="141"/>
        <v>#N/A</v>
      </c>
      <c r="L237" t="str">
        <f>'Lab test'!AC228</f>
        <v>Machined</v>
      </c>
      <c r="W237">
        <v>225</v>
      </c>
      <c r="X237" t="e">
        <v>#N/A</v>
      </c>
      <c r="Z237" t="e">
        <f t="shared" si="123"/>
        <v>#N/A</v>
      </c>
      <c r="AB237" t="e">
        <f t="shared" si="121"/>
        <v>#N/A</v>
      </c>
      <c r="AC237" t="e">
        <f t="shared" si="124"/>
        <v>#N/A</v>
      </c>
      <c r="AE237" t="e">
        <v>#N/A</v>
      </c>
      <c r="AF237" t="e">
        <v>#N/A</v>
      </c>
      <c r="AO237">
        <v>225</v>
      </c>
      <c r="AP237" t="e">
        <v>#N/A</v>
      </c>
      <c r="AR237" t="e">
        <f t="shared" si="127"/>
        <v>#N/A</v>
      </c>
      <c r="AT237" t="e">
        <f t="shared" si="128"/>
        <v>#N/A</v>
      </c>
      <c r="AU237" t="e">
        <f t="shared" si="129"/>
        <v>#N/A</v>
      </c>
      <c r="AW237" t="e">
        <v>#N/A</v>
      </c>
      <c r="AX237" t="e">
        <v>#N/A</v>
      </c>
      <c r="BF237">
        <v>225</v>
      </c>
      <c r="BG237" t="e">
        <v>#N/A</v>
      </c>
      <c r="BI237" t="e">
        <f t="shared" si="132"/>
        <v>#N/A</v>
      </c>
      <c r="BK237" t="e">
        <f t="shared" si="133"/>
        <v>#N/A</v>
      </c>
      <c r="BL237" t="e">
        <f t="shared" si="134"/>
        <v>#N/A</v>
      </c>
      <c r="BN237" t="e">
        <v>#N/A</v>
      </c>
      <c r="BO237" t="e">
        <v>#N/A</v>
      </c>
      <c r="BW237">
        <v>225</v>
      </c>
      <c r="BX237" t="e">
        <v>#N/A</v>
      </c>
      <c r="BZ237" t="e">
        <f t="shared" si="137"/>
        <v>#N/A</v>
      </c>
      <c r="CB237" t="e">
        <f t="shared" si="148"/>
        <v>#N/A</v>
      </c>
      <c r="CC237" t="e">
        <f t="shared" si="138"/>
        <v>#N/A</v>
      </c>
      <c r="CE237" t="e">
        <v>#N/A</v>
      </c>
      <c r="CF237" t="e">
        <v>#N/A</v>
      </c>
    </row>
    <row r="238" spans="2:91">
      <c r="B238">
        <v>226</v>
      </c>
      <c r="C238" t="e">
        <f>IF(ISNUMBER(K238),IF('Lab test'!N229&gt;0,'Lab test'!N229,NA()),NA())</f>
        <v>#N/A</v>
      </c>
      <c r="D238" t="e">
        <f>IF(ISNUMBER(K238),IF('Lab test'!Q229&gt;0,'Lab test'!Q229,NA()),NA())</f>
        <v>#N/A</v>
      </c>
      <c r="E238" t="e">
        <f>IF(ISNUMBER(K238),IF('Lab test'!P229&gt;0,'Lab test'!P229,NA()),NA())</f>
        <v>#N/A</v>
      </c>
      <c r="F238" t="e">
        <f>IF(ISNUMBER(K238),IF('Lab test'!AJ229&gt;0,'Lab test'!AJ229,NA()),NA())</f>
        <v>#N/A</v>
      </c>
      <c r="G238">
        <f>IF('Lab test'!V229&gt;0,'Lab test'!V229,NA())</f>
        <v>206153.32399999999</v>
      </c>
      <c r="H238">
        <f>IF(MAX('Lab test'!W229,'Lab test'!X229)&gt;0,MAX('Lab test'!W229,'Lab test'!X229),NA())</f>
        <v>322.67476799999997</v>
      </c>
      <c r="I238">
        <f>IF('Lab test'!AU229&gt;0,'Lab test'!AU229,NA())</f>
        <v>1.1794871794871795</v>
      </c>
      <c r="J238">
        <f>IF('Lab test'!AT229&gt;0,'Lab test'!AT229,NA())</f>
        <v>0.44595712933490705</v>
      </c>
      <c r="K238" t="e">
        <f t="shared" si="141"/>
        <v>#N/A</v>
      </c>
      <c r="L238" t="str">
        <f>'Lab test'!AC229</f>
        <v>Machined</v>
      </c>
      <c r="W238">
        <v>226</v>
      </c>
      <c r="X238" t="e">
        <v>#N/A</v>
      </c>
      <c r="Z238" t="e">
        <f t="shared" si="123"/>
        <v>#N/A</v>
      </c>
      <c r="AB238" t="e">
        <f t="shared" si="121"/>
        <v>#N/A</v>
      </c>
      <c r="AC238" t="e">
        <f t="shared" si="124"/>
        <v>#N/A</v>
      </c>
      <c r="AE238" t="e">
        <v>#N/A</v>
      </c>
      <c r="AF238" t="e">
        <v>#N/A</v>
      </c>
      <c r="AO238">
        <v>226</v>
      </c>
      <c r="AP238" t="e">
        <v>#N/A</v>
      </c>
      <c r="AR238" t="e">
        <f t="shared" si="127"/>
        <v>#N/A</v>
      </c>
      <c r="AT238" t="e">
        <f t="shared" si="128"/>
        <v>#N/A</v>
      </c>
      <c r="AU238" t="e">
        <f t="shared" si="129"/>
        <v>#N/A</v>
      </c>
      <c r="AW238" t="e">
        <v>#N/A</v>
      </c>
      <c r="AX238" t="e">
        <v>#N/A</v>
      </c>
      <c r="BF238">
        <v>226</v>
      </c>
      <c r="BG238" t="e">
        <v>#N/A</v>
      </c>
      <c r="BI238" t="e">
        <f t="shared" si="132"/>
        <v>#N/A</v>
      </c>
      <c r="BK238" t="e">
        <f t="shared" si="133"/>
        <v>#N/A</v>
      </c>
      <c r="BL238" t="e">
        <f t="shared" si="134"/>
        <v>#N/A</v>
      </c>
      <c r="BN238" t="e">
        <v>#N/A</v>
      </c>
      <c r="BO238" t="e">
        <v>#N/A</v>
      </c>
      <c r="BW238">
        <v>226</v>
      </c>
      <c r="BX238" t="e">
        <v>#N/A</v>
      </c>
      <c r="BZ238" t="e">
        <f t="shared" si="137"/>
        <v>#N/A</v>
      </c>
      <c r="CB238" t="e">
        <f t="shared" si="148"/>
        <v>#N/A</v>
      </c>
      <c r="CC238" t="e">
        <f t="shared" si="138"/>
        <v>#N/A</v>
      </c>
      <c r="CE238" t="e">
        <v>#N/A</v>
      </c>
      <c r="CF238" t="e">
        <v>#N/A</v>
      </c>
    </row>
    <row r="239" spans="2:91">
      <c r="B239">
        <v>227</v>
      </c>
      <c r="C239" t="e">
        <f>IF(ISNUMBER(K239),IF('Lab test'!N230&gt;0,'Lab test'!N230,NA()),NA())</f>
        <v>#N/A</v>
      </c>
      <c r="D239" t="e">
        <f>IF(ISNUMBER(K239),IF('Lab test'!Q230&gt;0,'Lab test'!Q230,NA()),NA())</f>
        <v>#N/A</v>
      </c>
      <c r="E239" t="e">
        <f>IF(ISNUMBER(K239),IF('Lab test'!P230&gt;0,'Lab test'!P230,NA()),NA())</f>
        <v>#N/A</v>
      </c>
      <c r="F239" t="e">
        <f>IF(ISNUMBER(K239),IF('Lab test'!AJ230&gt;0,'Lab test'!AJ230,NA()),NA())</f>
        <v>#N/A</v>
      </c>
      <c r="G239">
        <f>IF('Lab test'!V230&gt;0,'Lab test'!V230,NA())</f>
        <v>206153.32399999999</v>
      </c>
      <c r="H239">
        <f>IF(MAX('Lab test'!W230,'Lab test'!X230)&gt;0,MAX('Lab test'!W230,'Lab test'!X230),NA())</f>
        <v>322.67476799999997</v>
      </c>
      <c r="I239">
        <f>IF('Lab test'!AU230&gt;0,'Lab test'!AU230,NA())</f>
        <v>0.97222222222222221</v>
      </c>
      <c r="J239">
        <f>IF('Lab test'!AT230&gt;0,'Lab test'!AT230,NA())</f>
        <v>0.33977374116629883</v>
      </c>
      <c r="K239" t="e">
        <f t="shared" si="141"/>
        <v>#N/A</v>
      </c>
      <c r="L239" t="str">
        <f>'Lab test'!AC230</f>
        <v>Machined</v>
      </c>
      <c r="W239">
        <v>227</v>
      </c>
      <c r="X239" t="e">
        <v>#N/A</v>
      </c>
      <c r="Z239" t="e">
        <f t="shared" si="123"/>
        <v>#N/A</v>
      </c>
      <c r="AB239" t="e">
        <f t="shared" si="121"/>
        <v>#N/A</v>
      </c>
      <c r="AC239" t="e">
        <f t="shared" si="124"/>
        <v>#N/A</v>
      </c>
      <c r="AE239" t="e">
        <v>#N/A</v>
      </c>
      <c r="AF239" t="e">
        <v>#N/A</v>
      </c>
      <c r="AO239">
        <v>227</v>
      </c>
      <c r="AP239" t="e">
        <v>#N/A</v>
      </c>
      <c r="AR239" t="e">
        <f t="shared" si="127"/>
        <v>#N/A</v>
      </c>
      <c r="AT239" t="e">
        <f t="shared" si="128"/>
        <v>#N/A</v>
      </c>
      <c r="AU239" t="e">
        <f t="shared" si="129"/>
        <v>#N/A</v>
      </c>
      <c r="AW239" t="e">
        <v>#N/A</v>
      </c>
      <c r="AX239" t="e">
        <v>#N/A</v>
      </c>
      <c r="BF239">
        <v>227</v>
      </c>
      <c r="BG239" t="e">
        <v>#N/A</v>
      </c>
      <c r="BI239" t="e">
        <f t="shared" si="132"/>
        <v>#N/A</v>
      </c>
      <c r="BK239" t="e">
        <f t="shared" si="133"/>
        <v>#N/A</v>
      </c>
      <c r="BL239" t="e">
        <f t="shared" si="134"/>
        <v>#N/A</v>
      </c>
      <c r="BN239" t="e">
        <v>#N/A</v>
      </c>
      <c r="BO239" t="e">
        <v>#N/A</v>
      </c>
      <c r="BW239">
        <v>227</v>
      </c>
      <c r="BX239" t="e">
        <v>#N/A</v>
      </c>
      <c r="BZ239" t="e">
        <f t="shared" si="137"/>
        <v>#N/A</v>
      </c>
      <c r="CB239" t="e">
        <f t="shared" si="148"/>
        <v>#N/A</v>
      </c>
      <c r="CC239" t="e">
        <f t="shared" si="138"/>
        <v>#N/A</v>
      </c>
      <c r="CE239" t="e">
        <v>#N/A</v>
      </c>
      <c r="CF239" t="e">
        <v>#N/A</v>
      </c>
    </row>
    <row r="240" spans="2:91">
      <c r="B240">
        <v>228</v>
      </c>
      <c r="C240" t="e">
        <f>IF(ISNUMBER(K240),IF('Lab test'!N231&gt;0,'Lab test'!N231,NA()),NA())</f>
        <v>#N/A</v>
      </c>
      <c r="D240" t="e">
        <f>IF(ISNUMBER(K240),IF('Lab test'!Q231&gt;0,'Lab test'!Q231,NA()),NA())</f>
        <v>#N/A</v>
      </c>
      <c r="E240" t="e">
        <f>IF(ISNUMBER(K240),IF('Lab test'!P231&gt;0,'Lab test'!P231,NA()),NA())</f>
        <v>#N/A</v>
      </c>
      <c r="F240" t="e">
        <f>IF(ISNUMBER(K240),IF('Lab test'!AJ231&gt;0,'Lab test'!AJ231,NA()),NA())</f>
        <v>#N/A</v>
      </c>
      <c r="G240">
        <f>IF('Lab test'!V231&gt;0,'Lab test'!V231,NA())</f>
        <v>206153.32399999999</v>
      </c>
      <c r="H240">
        <f>IF(MAX('Lab test'!W231,'Lab test'!X231)&gt;0,MAX('Lab test'!W231,'Lab test'!X231),NA())</f>
        <v>322.67476799999997</v>
      </c>
      <c r="I240">
        <f>IF('Lab test'!AU231&gt;0,'Lab test'!AU231,NA())</f>
        <v>0.76923076923076927</v>
      </c>
      <c r="J240">
        <f>IF('Lab test'!AT231&gt;0,'Lab test'!AT231,NA())</f>
        <v>0.27214180378136837</v>
      </c>
      <c r="K240" t="e">
        <f t="shared" si="141"/>
        <v>#N/A</v>
      </c>
      <c r="L240" t="str">
        <f>'Lab test'!AC231</f>
        <v>Machined</v>
      </c>
      <c r="W240">
        <v>228</v>
      </c>
      <c r="X240" t="e">
        <v>#N/A</v>
      </c>
      <c r="Z240" t="e">
        <f t="shared" si="123"/>
        <v>#N/A</v>
      </c>
      <c r="AB240" t="e">
        <f t="shared" ref="AB240:AB303" si="149">Z240</f>
        <v>#N/A</v>
      </c>
      <c r="AC240" t="e">
        <f t="shared" si="124"/>
        <v>#N/A</v>
      </c>
      <c r="AE240" t="e">
        <v>#N/A</v>
      </c>
      <c r="AF240" t="e">
        <v>#N/A</v>
      </c>
      <c r="AO240">
        <v>228</v>
      </c>
      <c r="AP240" t="e">
        <v>#N/A</v>
      </c>
      <c r="AR240" t="e">
        <f t="shared" si="127"/>
        <v>#N/A</v>
      </c>
      <c r="AT240" t="e">
        <f t="shared" si="128"/>
        <v>#N/A</v>
      </c>
      <c r="AU240" t="e">
        <f t="shared" si="129"/>
        <v>#N/A</v>
      </c>
      <c r="AW240" t="e">
        <v>#N/A</v>
      </c>
      <c r="AX240" t="e">
        <v>#N/A</v>
      </c>
      <c r="BF240">
        <v>228</v>
      </c>
      <c r="BG240" t="e">
        <v>#N/A</v>
      </c>
      <c r="BI240" t="e">
        <f t="shared" si="132"/>
        <v>#N/A</v>
      </c>
      <c r="BK240" t="e">
        <f t="shared" si="133"/>
        <v>#N/A</v>
      </c>
      <c r="BL240" t="e">
        <f t="shared" si="134"/>
        <v>#N/A</v>
      </c>
      <c r="BN240" t="e">
        <v>#N/A</v>
      </c>
      <c r="BO240" t="e">
        <v>#N/A</v>
      </c>
      <c r="BW240">
        <v>228</v>
      </c>
      <c r="BX240" t="e">
        <v>#N/A</v>
      </c>
      <c r="BZ240" t="e">
        <f t="shared" si="137"/>
        <v>#N/A</v>
      </c>
      <c r="CB240" t="e">
        <f t="shared" si="148"/>
        <v>#N/A</v>
      </c>
      <c r="CC240" t="e">
        <f t="shared" si="138"/>
        <v>#N/A</v>
      </c>
      <c r="CE240" t="e">
        <v>#N/A</v>
      </c>
      <c r="CF240" t="e">
        <v>#N/A</v>
      </c>
    </row>
    <row r="241" spans="2:84">
      <c r="B241">
        <v>229</v>
      </c>
      <c r="C241" t="e">
        <f>IF(ISNUMBER(K241),IF('Lab test'!N232&gt;0,'Lab test'!N232,NA()),NA())</f>
        <v>#N/A</v>
      </c>
      <c r="D241" t="e">
        <f>IF(ISNUMBER(K241),IF('Lab test'!Q232&gt;0,'Lab test'!Q232,NA()),NA())</f>
        <v>#N/A</v>
      </c>
      <c r="E241" t="e">
        <f>IF(ISNUMBER(K241),IF('Lab test'!P232&gt;0,'Lab test'!P232,NA()),NA())</f>
        <v>#N/A</v>
      </c>
      <c r="F241" t="e">
        <f>IF(ISNUMBER(K241),IF('Lab test'!AJ232&gt;0,'Lab test'!AJ232,NA()),NA())</f>
        <v>#N/A</v>
      </c>
      <c r="G241">
        <f>IF('Lab test'!V232&gt;0,'Lab test'!V232,NA())</f>
        <v>206153.32399999999</v>
      </c>
      <c r="H241">
        <f>IF(MAX('Lab test'!W232,'Lab test'!X232)&gt;0,MAX('Lab test'!W232,'Lab test'!X232),NA())</f>
        <v>322.67476799999997</v>
      </c>
      <c r="I241">
        <f>IF('Lab test'!AU232&gt;0,'Lab test'!AU232,NA())</f>
        <v>1.1538461538461537</v>
      </c>
      <c r="J241">
        <f>IF('Lab test'!AT232&gt;0,'Lab test'!AT232,NA())</f>
        <v>0.423267358647192</v>
      </c>
      <c r="K241" t="e">
        <f t="shared" si="141"/>
        <v>#N/A</v>
      </c>
      <c r="L241" t="str">
        <f>'Lab test'!AC232</f>
        <v>Machined</v>
      </c>
      <c r="W241">
        <v>229</v>
      </c>
      <c r="X241" t="e">
        <v>#N/A</v>
      </c>
      <c r="Z241" t="e">
        <f t="shared" si="123"/>
        <v>#N/A</v>
      </c>
      <c r="AB241" t="e">
        <f t="shared" si="149"/>
        <v>#N/A</v>
      </c>
      <c r="AC241" t="e">
        <f t="shared" si="124"/>
        <v>#N/A</v>
      </c>
      <c r="AE241" t="e">
        <v>#N/A</v>
      </c>
      <c r="AF241" t="e">
        <v>#N/A</v>
      </c>
      <c r="AO241">
        <v>229</v>
      </c>
      <c r="AP241" t="e">
        <v>#N/A</v>
      </c>
      <c r="AR241" t="e">
        <f t="shared" si="127"/>
        <v>#N/A</v>
      </c>
      <c r="AT241" t="e">
        <f t="shared" si="128"/>
        <v>#N/A</v>
      </c>
      <c r="AU241" t="e">
        <f t="shared" si="129"/>
        <v>#N/A</v>
      </c>
      <c r="AW241" t="e">
        <v>#N/A</v>
      </c>
      <c r="AX241" t="e">
        <v>#N/A</v>
      </c>
      <c r="BF241">
        <v>229</v>
      </c>
      <c r="BG241" t="e">
        <v>#N/A</v>
      </c>
      <c r="BI241" t="e">
        <f t="shared" si="132"/>
        <v>#N/A</v>
      </c>
      <c r="BK241" t="e">
        <f t="shared" si="133"/>
        <v>#N/A</v>
      </c>
      <c r="BL241" t="e">
        <f t="shared" si="134"/>
        <v>#N/A</v>
      </c>
      <c r="BN241" t="e">
        <v>#N/A</v>
      </c>
      <c r="BO241" t="e">
        <v>#N/A</v>
      </c>
      <c r="BW241">
        <v>229</v>
      </c>
      <c r="BX241" t="e">
        <v>#N/A</v>
      </c>
      <c r="BZ241" t="e">
        <f t="shared" si="137"/>
        <v>#N/A</v>
      </c>
      <c r="CB241" t="e">
        <f t="shared" si="148"/>
        <v>#N/A</v>
      </c>
      <c r="CC241" t="e">
        <f t="shared" si="138"/>
        <v>#N/A</v>
      </c>
      <c r="CE241" t="e">
        <v>#N/A</v>
      </c>
      <c r="CF241" t="e">
        <v>#N/A</v>
      </c>
    </row>
    <row r="242" spans="2:84">
      <c r="B242">
        <v>230</v>
      </c>
      <c r="C242" t="e">
        <f>IF(ISNUMBER(K242),IF('Lab test'!N233&gt;0,'Lab test'!N233,NA()),NA())</f>
        <v>#N/A</v>
      </c>
      <c r="D242" t="e">
        <f>IF(ISNUMBER(K242),IF('Lab test'!Q233&gt;0,'Lab test'!Q233,NA()),NA())</f>
        <v>#N/A</v>
      </c>
      <c r="E242" t="e">
        <f>IF(ISNUMBER(K242),IF('Lab test'!P233&gt;0,'Lab test'!P233,NA()),NA())</f>
        <v>#N/A</v>
      </c>
      <c r="F242" t="e">
        <f>IF(ISNUMBER(K242),IF('Lab test'!AJ233&gt;0,'Lab test'!AJ233,NA()),NA())</f>
        <v>#N/A</v>
      </c>
      <c r="G242">
        <f>IF('Lab test'!V233&gt;0,'Lab test'!V233,NA())</f>
        <v>206153.32399999999</v>
      </c>
      <c r="H242">
        <f>IF(MAX('Lab test'!W233,'Lab test'!X233)&gt;0,MAX('Lab test'!W233,'Lab test'!X233),NA())</f>
        <v>322.67476799999997</v>
      </c>
      <c r="I242">
        <f>IF('Lab test'!AU233&gt;0,'Lab test'!AU233,NA())</f>
        <v>1.0961538461538463</v>
      </c>
      <c r="J242">
        <f>IF('Lab test'!AT233&gt;0,'Lab test'!AT233,NA())</f>
        <v>0.40847739690771884</v>
      </c>
      <c r="K242" t="e">
        <f t="shared" si="141"/>
        <v>#N/A</v>
      </c>
      <c r="L242" t="str">
        <f>'Lab test'!AC233</f>
        <v>Machined</v>
      </c>
      <c r="W242">
        <v>230</v>
      </c>
      <c r="X242" t="e">
        <v>#N/A</v>
      </c>
      <c r="Z242" t="e">
        <f t="shared" si="123"/>
        <v>#N/A</v>
      </c>
      <c r="AB242" t="e">
        <f t="shared" si="149"/>
        <v>#N/A</v>
      </c>
      <c r="AC242" t="e">
        <f t="shared" si="124"/>
        <v>#N/A</v>
      </c>
      <c r="AE242" t="e">
        <v>#N/A</v>
      </c>
      <c r="AF242" t="e">
        <v>#N/A</v>
      </c>
      <c r="AO242">
        <v>230</v>
      </c>
      <c r="AP242" t="e">
        <v>#N/A</v>
      </c>
      <c r="AR242" t="e">
        <f t="shared" si="127"/>
        <v>#N/A</v>
      </c>
      <c r="AT242" t="e">
        <f t="shared" si="128"/>
        <v>#N/A</v>
      </c>
      <c r="AU242" t="e">
        <f t="shared" si="129"/>
        <v>#N/A</v>
      </c>
      <c r="AW242" t="e">
        <v>#N/A</v>
      </c>
      <c r="AX242" t="e">
        <v>#N/A</v>
      </c>
      <c r="BF242">
        <v>230</v>
      </c>
      <c r="BG242" t="e">
        <v>#N/A</v>
      </c>
      <c r="BI242" t="e">
        <f t="shared" si="132"/>
        <v>#N/A</v>
      </c>
      <c r="BK242" t="e">
        <f t="shared" si="133"/>
        <v>#N/A</v>
      </c>
      <c r="BL242" t="e">
        <f t="shared" si="134"/>
        <v>#N/A</v>
      </c>
      <c r="BN242" t="e">
        <v>#N/A</v>
      </c>
      <c r="BO242" t="e">
        <v>#N/A</v>
      </c>
      <c r="BW242">
        <v>230</v>
      </c>
      <c r="BX242" t="e">
        <v>#N/A</v>
      </c>
      <c r="BZ242" t="e">
        <f t="shared" si="137"/>
        <v>#N/A</v>
      </c>
      <c r="CB242" t="e">
        <f t="shared" si="148"/>
        <v>#N/A</v>
      </c>
      <c r="CC242" t="e">
        <f t="shared" si="138"/>
        <v>#N/A</v>
      </c>
      <c r="CE242" t="e">
        <v>#N/A</v>
      </c>
      <c r="CF242" t="e">
        <v>#N/A</v>
      </c>
    </row>
    <row r="243" spans="2:84">
      <c r="B243">
        <v>231</v>
      </c>
      <c r="C243" t="e">
        <f>IF(ISNUMBER(K243),IF('Lab test'!N234&gt;0,'Lab test'!N234,NA()),NA())</f>
        <v>#N/A</v>
      </c>
      <c r="D243" t="e">
        <f>IF(ISNUMBER(K243),IF('Lab test'!Q234&gt;0,'Lab test'!Q234,NA()),NA())</f>
        <v>#N/A</v>
      </c>
      <c r="E243" t="e">
        <f>IF(ISNUMBER(K243),IF('Lab test'!P234&gt;0,'Lab test'!P234,NA()),NA())</f>
        <v>#N/A</v>
      </c>
      <c r="F243" t="e">
        <f>IF(ISNUMBER(K243),IF('Lab test'!AJ234&gt;0,'Lab test'!AJ234,NA()),NA())</f>
        <v>#N/A</v>
      </c>
      <c r="G243">
        <f>IF('Lab test'!V234&gt;0,'Lab test'!V234,NA())</f>
        <v>206153.32399999999</v>
      </c>
      <c r="H243">
        <f>IF(MAX('Lab test'!W234,'Lab test'!X234)&gt;0,MAX('Lab test'!W234,'Lab test'!X234),NA())</f>
        <v>322.67476799999997</v>
      </c>
      <c r="I243">
        <f>IF('Lab test'!AU234&gt;0,'Lab test'!AU234,NA())</f>
        <v>1.1239316239316239</v>
      </c>
      <c r="J243">
        <f>IF('Lab test'!AT234&gt;0,'Lab test'!AT234,NA())</f>
        <v>0.4093902832737043</v>
      </c>
      <c r="K243" t="e">
        <f t="shared" si="141"/>
        <v>#N/A</v>
      </c>
      <c r="L243" t="str">
        <f>'Lab test'!AC234</f>
        <v>Machined</v>
      </c>
      <c r="W243">
        <v>231</v>
      </c>
      <c r="X243" t="e">
        <v>#N/A</v>
      </c>
      <c r="Z243" t="e">
        <f t="shared" si="123"/>
        <v>#N/A</v>
      </c>
      <c r="AB243" t="e">
        <f t="shared" si="149"/>
        <v>#N/A</v>
      </c>
      <c r="AC243" t="e">
        <f t="shared" si="124"/>
        <v>#N/A</v>
      </c>
      <c r="AE243" t="e">
        <v>#N/A</v>
      </c>
      <c r="AF243" t="e">
        <v>#N/A</v>
      </c>
      <c r="AO243">
        <v>231</v>
      </c>
      <c r="AP243" t="e">
        <v>#N/A</v>
      </c>
      <c r="AR243" t="e">
        <f t="shared" si="127"/>
        <v>#N/A</v>
      </c>
      <c r="AT243" t="e">
        <f t="shared" si="128"/>
        <v>#N/A</v>
      </c>
      <c r="AU243" t="e">
        <f t="shared" si="129"/>
        <v>#N/A</v>
      </c>
      <c r="AW243" t="e">
        <v>#N/A</v>
      </c>
      <c r="AX243" t="e">
        <v>#N/A</v>
      </c>
      <c r="BF243">
        <v>231</v>
      </c>
      <c r="BG243" t="e">
        <v>#N/A</v>
      </c>
      <c r="BI243" t="e">
        <f t="shared" si="132"/>
        <v>#N/A</v>
      </c>
      <c r="BK243" t="e">
        <f t="shared" si="133"/>
        <v>#N/A</v>
      </c>
      <c r="BL243" t="e">
        <f t="shared" si="134"/>
        <v>#N/A</v>
      </c>
      <c r="BN243" t="e">
        <v>#N/A</v>
      </c>
      <c r="BO243" t="e">
        <v>#N/A</v>
      </c>
      <c r="BW243">
        <v>231</v>
      </c>
      <c r="BX243" t="e">
        <v>#N/A</v>
      </c>
      <c r="BZ243" t="e">
        <f t="shared" si="137"/>
        <v>#N/A</v>
      </c>
      <c r="CB243" t="e">
        <f t="shared" si="148"/>
        <v>#N/A</v>
      </c>
      <c r="CC243" t="e">
        <f t="shared" si="138"/>
        <v>#N/A</v>
      </c>
      <c r="CE243" t="e">
        <v>#N/A</v>
      </c>
      <c r="CF243" t="e">
        <v>#N/A</v>
      </c>
    </row>
    <row r="244" spans="2:84">
      <c r="B244">
        <v>232</v>
      </c>
      <c r="C244" t="e">
        <f>IF(ISNUMBER(K244),IF('Lab test'!N235&gt;0,'Lab test'!N235,NA()),NA())</f>
        <v>#N/A</v>
      </c>
      <c r="D244" t="e">
        <f>IF(ISNUMBER(K244),IF('Lab test'!Q235&gt;0,'Lab test'!Q235,NA()),NA())</f>
        <v>#N/A</v>
      </c>
      <c r="E244" t="e">
        <f>IF(ISNUMBER(K244),IF('Lab test'!P235&gt;0,'Lab test'!P235,NA()),NA())</f>
        <v>#N/A</v>
      </c>
      <c r="F244" t="e">
        <f>IF(ISNUMBER(K244),IF('Lab test'!AJ235&gt;0,'Lab test'!AJ235,NA()),NA())</f>
        <v>#N/A</v>
      </c>
      <c r="G244">
        <f>IF('Lab test'!V235&gt;0,'Lab test'!V235,NA())</f>
        <v>206153.32399999999</v>
      </c>
      <c r="H244">
        <f>IF(MAX('Lab test'!W235,'Lab test'!X235)&gt;0,MAX('Lab test'!W235,'Lab test'!X235),NA())</f>
        <v>322.67476799999997</v>
      </c>
      <c r="I244">
        <f>IF('Lab test'!AU235&gt;0,'Lab test'!AU235,NA())</f>
        <v>1.0811965811965811</v>
      </c>
      <c r="J244">
        <f>IF('Lab test'!AT235&gt;0,'Lab test'!AT235,NA())</f>
        <v>0.38835433346248149</v>
      </c>
      <c r="K244" t="e">
        <f t="shared" si="141"/>
        <v>#N/A</v>
      </c>
      <c r="L244" t="str">
        <f>'Lab test'!AC235</f>
        <v>Machined</v>
      </c>
      <c r="W244">
        <v>232</v>
      </c>
      <c r="X244" t="e">
        <v>#N/A</v>
      </c>
      <c r="Z244" t="e">
        <f t="shared" si="123"/>
        <v>#N/A</v>
      </c>
      <c r="AB244" t="e">
        <f t="shared" si="149"/>
        <v>#N/A</v>
      </c>
      <c r="AC244" t="e">
        <f t="shared" si="124"/>
        <v>#N/A</v>
      </c>
      <c r="AE244" t="e">
        <v>#N/A</v>
      </c>
      <c r="AF244" t="e">
        <v>#N/A</v>
      </c>
      <c r="AO244">
        <v>232</v>
      </c>
      <c r="AP244" t="e">
        <v>#N/A</v>
      </c>
      <c r="AR244" t="e">
        <f t="shared" si="127"/>
        <v>#N/A</v>
      </c>
      <c r="AT244" t="e">
        <f t="shared" si="128"/>
        <v>#N/A</v>
      </c>
      <c r="AU244" t="e">
        <f t="shared" si="129"/>
        <v>#N/A</v>
      </c>
      <c r="AW244" t="e">
        <v>#N/A</v>
      </c>
      <c r="AX244" t="e">
        <v>#N/A</v>
      </c>
      <c r="BF244">
        <v>232</v>
      </c>
      <c r="BG244" t="e">
        <v>#N/A</v>
      </c>
      <c r="BI244" t="e">
        <f t="shared" si="132"/>
        <v>#N/A</v>
      </c>
      <c r="BK244" t="e">
        <f t="shared" si="133"/>
        <v>#N/A</v>
      </c>
      <c r="BL244" t="e">
        <f t="shared" si="134"/>
        <v>#N/A</v>
      </c>
      <c r="BN244" t="e">
        <v>#N/A</v>
      </c>
      <c r="BO244" t="e">
        <v>#N/A</v>
      </c>
      <c r="BW244">
        <v>232</v>
      </c>
      <c r="BX244" t="e">
        <v>#N/A</v>
      </c>
      <c r="BZ244" t="e">
        <f t="shared" si="137"/>
        <v>#N/A</v>
      </c>
      <c r="CB244" t="e">
        <f t="shared" si="148"/>
        <v>#N/A</v>
      </c>
      <c r="CC244" t="e">
        <f t="shared" si="138"/>
        <v>#N/A</v>
      </c>
      <c r="CE244" t="e">
        <v>#N/A</v>
      </c>
      <c r="CF244" t="e">
        <v>#N/A</v>
      </c>
    </row>
    <row r="245" spans="2:84">
      <c r="B245">
        <v>233</v>
      </c>
      <c r="C245" t="e">
        <f>IF(ISNUMBER(K245),IF('Lab test'!N236&gt;0,'Lab test'!N236,NA()),NA())</f>
        <v>#N/A</v>
      </c>
      <c r="D245" t="e">
        <f>IF(ISNUMBER(K245),IF('Lab test'!Q236&gt;0,'Lab test'!Q236,NA()),NA())</f>
        <v>#N/A</v>
      </c>
      <c r="E245" t="e">
        <f>IF(ISNUMBER(K245),IF('Lab test'!P236&gt;0,'Lab test'!P236,NA()),NA())</f>
        <v>#N/A</v>
      </c>
      <c r="F245" t="e">
        <f>IF(ISNUMBER(K245),IF('Lab test'!AJ236&gt;0,'Lab test'!AJ236,NA()),NA())</f>
        <v>#N/A</v>
      </c>
      <c r="G245">
        <f>IF('Lab test'!V236&gt;0,'Lab test'!V236,NA())</f>
        <v>206153.32399999999</v>
      </c>
      <c r="H245">
        <f>IF(MAX('Lab test'!W236,'Lab test'!X236)&gt;0,MAX('Lab test'!W236,'Lab test'!X236),NA())</f>
        <v>322.67476799999997</v>
      </c>
      <c r="I245">
        <f>IF('Lab test'!AU236&gt;0,'Lab test'!AU236,NA())</f>
        <v>0.84615384615384615</v>
      </c>
      <c r="J245">
        <f>IF('Lab test'!AT236&gt;0,'Lab test'!AT236,NA())</f>
        <v>0.30392947836194206</v>
      </c>
      <c r="K245" t="e">
        <f t="shared" si="141"/>
        <v>#N/A</v>
      </c>
      <c r="L245" t="str">
        <f>'Lab test'!AC236</f>
        <v>Machined</v>
      </c>
      <c r="W245">
        <v>233</v>
      </c>
      <c r="X245" t="e">
        <v>#N/A</v>
      </c>
      <c r="Z245" t="e">
        <f t="shared" si="123"/>
        <v>#N/A</v>
      </c>
      <c r="AB245" t="e">
        <f t="shared" si="149"/>
        <v>#N/A</v>
      </c>
      <c r="AC245" t="e">
        <f t="shared" si="124"/>
        <v>#N/A</v>
      </c>
      <c r="AE245" t="e">
        <v>#N/A</v>
      </c>
      <c r="AF245" t="e">
        <v>#N/A</v>
      </c>
      <c r="AO245">
        <v>233</v>
      </c>
      <c r="AP245" t="e">
        <v>#N/A</v>
      </c>
      <c r="AR245" t="e">
        <f t="shared" si="127"/>
        <v>#N/A</v>
      </c>
      <c r="AT245" t="e">
        <f t="shared" si="128"/>
        <v>#N/A</v>
      </c>
      <c r="AU245" t="e">
        <f t="shared" si="129"/>
        <v>#N/A</v>
      </c>
      <c r="AW245" t="e">
        <v>#N/A</v>
      </c>
      <c r="AX245" t="e">
        <v>#N/A</v>
      </c>
      <c r="BF245">
        <v>233</v>
      </c>
      <c r="BG245" t="e">
        <v>#N/A</v>
      </c>
      <c r="BI245" t="e">
        <f t="shared" si="132"/>
        <v>#N/A</v>
      </c>
      <c r="BK245" t="e">
        <f t="shared" si="133"/>
        <v>#N/A</v>
      </c>
      <c r="BL245" t="e">
        <f t="shared" si="134"/>
        <v>#N/A</v>
      </c>
      <c r="BN245" t="e">
        <v>#N/A</v>
      </c>
      <c r="BO245" t="e">
        <v>#N/A</v>
      </c>
      <c r="BW245">
        <v>233</v>
      </c>
      <c r="BX245" t="e">
        <v>#N/A</v>
      </c>
      <c r="BZ245" t="e">
        <f t="shared" si="137"/>
        <v>#N/A</v>
      </c>
      <c r="CB245" t="e">
        <f t="shared" si="148"/>
        <v>#N/A</v>
      </c>
      <c r="CC245" t="e">
        <f t="shared" si="138"/>
        <v>#N/A</v>
      </c>
      <c r="CE245" t="e">
        <v>#N/A</v>
      </c>
      <c r="CF245" t="e">
        <v>#N/A</v>
      </c>
    </row>
    <row r="246" spans="2:84">
      <c r="B246">
        <v>234</v>
      </c>
      <c r="C246" t="e">
        <f>IF(ISNUMBER(K246),IF('Lab test'!N237&gt;0,'Lab test'!N237,NA()),NA())</f>
        <v>#N/A</v>
      </c>
      <c r="D246" t="e">
        <f>IF(ISNUMBER(K246),IF('Lab test'!Q237&gt;0,'Lab test'!Q237,NA()),NA())</f>
        <v>#N/A</v>
      </c>
      <c r="E246" t="e">
        <f>IF(ISNUMBER(K246),IF('Lab test'!P237&gt;0,'Lab test'!P237,NA()),NA())</f>
        <v>#N/A</v>
      </c>
      <c r="F246" t="e">
        <f>IF(ISNUMBER(K246),IF('Lab test'!AJ237&gt;0,'Lab test'!AJ237,NA()),NA())</f>
        <v>#N/A</v>
      </c>
      <c r="G246">
        <f>IF('Lab test'!V237&gt;0,'Lab test'!V237,NA())</f>
        <v>199948.03999999998</v>
      </c>
      <c r="H246">
        <f>IF(MAX('Lab test'!W237,'Lab test'!X237)&gt;0,MAX('Lab test'!W237,'Lab test'!X237),NA())</f>
        <v>295.78520399999996</v>
      </c>
      <c r="I246">
        <f>IF('Lab test'!AU237&gt;0,'Lab test'!AU237,NA())</f>
        <v>0.34265734265734266</v>
      </c>
      <c r="J246">
        <f>IF('Lab test'!AT237&gt;0,'Lab test'!AT237,NA())</f>
        <v>0.40073232327226049</v>
      </c>
      <c r="K246" t="e">
        <f t="shared" si="141"/>
        <v>#N/A</v>
      </c>
      <c r="L246" t="str">
        <f>'Lab test'!AC237</f>
        <v>Machined</v>
      </c>
      <c r="W246">
        <v>234</v>
      </c>
      <c r="X246" t="e">
        <v>#N/A</v>
      </c>
      <c r="Z246" t="e">
        <f t="shared" si="123"/>
        <v>#N/A</v>
      </c>
      <c r="AB246" t="e">
        <f t="shared" si="149"/>
        <v>#N/A</v>
      </c>
      <c r="AC246" t="e">
        <f t="shared" si="124"/>
        <v>#N/A</v>
      </c>
      <c r="AE246" t="e">
        <v>#N/A</v>
      </c>
      <c r="AF246" t="e">
        <v>#N/A</v>
      </c>
      <c r="AO246">
        <v>234</v>
      </c>
      <c r="AP246" t="e">
        <v>#N/A</v>
      </c>
      <c r="AR246" t="e">
        <f t="shared" si="127"/>
        <v>#N/A</v>
      </c>
      <c r="AT246" t="e">
        <f t="shared" si="128"/>
        <v>#N/A</v>
      </c>
      <c r="AU246" t="e">
        <f t="shared" si="129"/>
        <v>#N/A</v>
      </c>
      <c r="AW246" t="e">
        <v>#N/A</v>
      </c>
      <c r="AX246" t="e">
        <v>#N/A</v>
      </c>
      <c r="BF246">
        <v>234</v>
      </c>
      <c r="BG246" t="e">
        <v>#N/A</v>
      </c>
      <c r="BI246" t="e">
        <f t="shared" si="132"/>
        <v>#N/A</v>
      </c>
      <c r="BK246" t="e">
        <f t="shared" si="133"/>
        <v>#N/A</v>
      </c>
      <c r="BL246" t="e">
        <f t="shared" si="134"/>
        <v>#N/A</v>
      </c>
      <c r="BN246" t="e">
        <v>#N/A</v>
      </c>
      <c r="BO246" t="e">
        <v>#N/A</v>
      </c>
      <c r="BW246">
        <v>234</v>
      </c>
      <c r="BX246" t="e">
        <v>#N/A</v>
      </c>
      <c r="BZ246" t="e">
        <f t="shared" si="137"/>
        <v>#N/A</v>
      </c>
      <c r="CB246" t="e">
        <f t="shared" si="148"/>
        <v>#N/A</v>
      </c>
      <c r="CC246" t="e">
        <f t="shared" si="138"/>
        <v>#N/A</v>
      </c>
      <c r="CE246" t="e">
        <v>#N/A</v>
      </c>
      <c r="CF246" t="e">
        <v>#N/A</v>
      </c>
    </row>
    <row r="247" spans="2:84">
      <c r="B247">
        <v>235</v>
      </c>
      <c r="C247" t="e">
        <f>IF(ISNUMBER(K247),IF('Lab test'!N238&gt;0,'Lab test'!N238,NA()),NA())</f>
        <v>#N/A</v>
      </c>
      <c r="D247" t="e">
        <f>IF(ISNUMBER(K247),IF('Lab test'!Q238&gt;0,'Lab test'!Q238,NA()),NA())</f>
        <v>#N/A</v>
      </c>
      <c r="E247" t="e">
        <f>IF(ISNUMBER(K247),IF('Lab test'!P238&gt;0,'Lab test'!P238,NA()),NA())</f>
        <v>#N/A</v>
      </c>
      <c r="F247" t="e">
        <f>IF(ISNUMBER(K247),IF('Lab test'!AJ238&gt;0,'Lab test'!AJ238,NA()),NA())</f>
        <v>#N/A</v>
      </c>
      <c r="G247">
        <f>IF('Lab test'!V238&gt;0,'Lab test'!V238,NA())</f>
        <v>199948.03999999998</v>
      </c>
      <c r="H247">
        <f>IF(MAX('Lab test'!W238,'Lab test'!X238)&gt;0,MAX('Lab test'!W238,'Lab test'!X238),NA())</f>
        <v>295.78520399999996</v>
      </c>
      <c r="I247">
        <f>IF('Lab test'!AU238&gt;0,'Lab test'!AU238,NA())</f>
        <v>0.73193473193473202</v>
      </c>
      <c r="J247">
        <f>IF('Lab test'!AT238&gt;0,'Lab test'!AT238,NA())</f>
        <v>0.36886821582250323</v>
      </c>
      <c r="K247" t="e">
        <f t="shared" si="141"/>
        <v>#N/A</v>
      </c>
      <c r="L247" t="str">
        <f>'Lab test'!AC238</f>
        <v>Machined</v>
      </c>
      <c r="W247">
        <v>235</v>
      </c>
      <c r="X247" t="e">
        <v>#N/A</v>
      </c>
      <c r="Z247" t="e">
        <f t="shared" si="123"/>
        <v>#N/A</v>
      </c>
      <c r="AB247" t="e">
        <f t="shared" si="149"/>
        <v>#N/A</v>
      </c>
      <c r="AC247" t="e">
        <f t="shared" si="124"/>
        <v>#N/A</v>
      </c>
      <c r="AE247" t="e">
        <v>#N/A</v>
      </c>
      <c r="AF247" t="e">
        <v>#N/A</v>
      </c>
      <c r="AO247">
        <v>235</v>
      </c>
      <c r="AP247" t="e">
        <v>#N/A</v>
      </c>
      <c r="AR247" t="e">
        <f t="shared" si="127"/>
        <v>#N/A</v>
      </c>
      <c r="AT247" t="e">
        <f t="shared" si="128"/>
        <v>#N/A</v>
      </c>
      <c r="AU247" t="e">
        <f t="shared" si="129"/>
        <v>#N/A</v>
      </c>
      <c r="AW247" t="e">
        <v>#N/A</v>
      </c>
      <c r="AX247" t="e">
        <v>#N/A</v>
      </c>
      <c r="BF247">
        <v>235</v>
      </c>
      <c r="BG247" t="e">
        <v>#N/A</v>
      </c>
      <c r="BI247" t="e">
        <f t="shared" si="132"/>
        <v>#N/A</v>
      </c>
      <c r="BK247" t="e">
        <f t="shared" si="133"/>
        <v>#N/A</v>
      </c>
      <c r="BL247" t="e">
        <f t="shared" si="134"/>
        <v>#N/A</v>
      </c>
      <c r="BN247" t="e">
        <v>#N/A</v>
      </c>
      <c r="BO247" t="e">
        <v>#N/A</v>
      </c>
      <c r="BW247">
        <v>235</v>
      </c>
      <c r="BX247" t="e">
        <v>#N/A</v>
      </c>
      <c r="BZ247" t="e">
        <f t="shared" si="137"/>
        <v>#N/A</v>
      </c>
      <c r="CB247" t="e">
        <f t="shared" si="148"/>
        <v>#N/A</v>
      </c>
      <c r="CC247" t="e">
        <f t="shared" si="138"/>
        <v>#N/A</v>
      </c>
      <c r="CE247" t="e">
        <v>#N/A</v>
      </c>
      <c r="CF247" t="e">
        <v>#N/A</v>
      </c>
    </row>
    <row r="248" spans="2:84">
      <c r="B248">
        <v>236</v>
      </c>
      <c r="C248" t="e">
        <f>IF(ISNUMBER(K248),IF('Lab test'!N239&gt;0,'Lab test'!N239,NA()),NA())</f>
        <v>#N/A</v>
      </c>
      <c r="D248" t="e">
        <f>IF(ISNUMBER(K248),IF('Lab test'!Q239&gt;0,'Lab test'!Q239,NA()),NA())</f>
        <v>#N/A</v>
      </c>
      <c r="E248" t="e">
        <f>IF(ISNUMBER(K248),IF('Lab test'!P239&gt;0,'Lab test'!P239,NA()),NA())</f>
        <v>#N/A</v>
      </c>
      <c r="F248" t="e">
        <f>IF(ISNUMBER(K248),IF('Lab test'!AJ239&gt;0,'Lab test'!AJ239,NA()),NA())</f>
        <v>#N/A</v>
      </c>
      <c r="G248">
        <f>IF('Lab test'!V239&gt;0,'Lab test'!V239,NA())</f>
        <v>199948.03999999998</v>
      </c>
      <c r="H248">
        <f>IF(MAX('Lab test'!W239,'Lab test'!X239)&gt;0,MAX('Lab test'!W239,'Lab test'!X239),NA())</f>
        <v>295.78520399999996</v>
      </c>
      <c r="I248">
        <f>IF('Lab test'!AU239&gt;0,'Lab test'!AU239,NA())</f>
        <v>0.53613053613053618</v>
      </c>
      <c r="J248">
        <f>IF('Lab test'!AT239&gt;0,'Lab test'!AT239,NA())</f>
        <v>0.43248249432427566</v>
      </c>
      <c r="K248" t="e">
        <f t="shared" si="141"/>
        <v>#N/A</v>
      </c>
      <c r="L248" t="str">
        <f>'Lab test'!AC239</f>
        <v>Machined</v>
      </c>
      <c r="W248">
        <v>236</v>
      </c>
      <c r="X248" t="e">
        <v>#N/A</v>
      </c>
      <c r="Z248" t="e">
        <f t="shared" si="123"/>
        <v>#N/A</v>
      </c>
      <c r="AB248" t="e">
        <f t="shared" si="149"/>
        <v>#N/A</v>
      </c>
      <c r="AC248" t="e">
        <f t="shared" si="124"/>
        <v>#N/A</v>
      </c>
      <c r="AE248" t="e">
        <v>#N/A</v>
      </c>
      <c r="AF248" t="e">
        <v>#N/A</v>
      </c>
      <c r="AO248">
        <v>236</v>
      </c>
      <c r="AP248" t="e">
        <v>#N/A</v>
      </c>
      <c r="AR248" t="e">
        <f t="shared" si="127"/>
        <v>#N/A</v>
      </c>
      <c r="AT248" t="e">
        <f t="shared" si="128"/>
        <v>#N/A</v>
      </c>
      <c r="AU248" t="e">
        <f t="shared" si="129"/>
        <v>#N/A</v>
      </c>
      <c r="AW248" t="e">
        <v>#N/A</v>
      </c>
      <c r="AX248" t="e">
        <v>#N/A</v>
      </c>
      <c r="BF248">
        <v>236</v>
      </c>
      <c r="BG248" t="e">
        <v>#N/A</v>
      </c>
      <c r="BI248" t="e">
        <f t="shared" si="132"/>
        <v>#N/A</v>
      </c>
      <c r="BK248" t="e">
        <f t="shared" si="133"/>
        <v>#N/A</v>
      </c>
      <c r="BL248" t="e">
        <f t="shared" si="134"/>
        <v>#N/A</v>
      </c>
      <c r="BN248" t="e">
        <v>#N/A</v>
      </c>
      <c r="BO248" t="e">
        <v>#N/A</v>
      </c>
      <c r="BW248">
        <v>236</v>
      </c>
      <c r="BX248" t="e">
        <v>#N/A</v>
      </c>
      <c r="BZ248" t="e">
        <f t="shared" si="137"/>
        <v>#N/A</v>
      </c>
      <c r="CB248" t="e">
        <f t="shared" si="148"/>
        <v>#N/A</v>
      </c>
      <c r="CC248" t="e">
        <f t="shared" si="138"/>
        <v>#N/A</v>
      </c>
      <c r="CE248" t="e">
        <v>#N/A</v>
      </c>
      <c r="CF248" t="e">
        <v>#N/A</v>
      </c>
    </row>
    <row r="249" spans="2:84">
      <c r="B249">
        <v>237</v>
      </c>
      <c r="C249" t="e">
        <f>IF(ISNUMBER(K249),IF('Lab test'!N240&gt;0,'Lab test'!N240,NA()),NA())</f>
        <v>#N/A</v>
      </c>
      <c r="D249" t="e">
        <f>IF(ISNUMBER(K249),IF('Lab test'!Q240&gt;0,'Lab test'!Q240,NA()),NA())</f>
        <v>#N/A</v>
      </c>
      <c r="E249" t="e">
        <f>IF(ISNUMBER(K249),IF('Lab test'!P240&gt;0,'Lab test'!P240,NA()),NA())</f>
        <v>#N/A</v>
      </c>
      <c r="F249" t="e">
        <f>IF(ISNUMBER(K249),IF('Lab test'!AJ240&gt;0,'Lab test'!AJ240,NA()),NA())</f>
        <v>#N/A</v>
      </c>
      <c r="G249">
        <f>IF('Lab test'!V240&gt;0,'Lab test'!V240,NA())</f>
        <v>199948.03999999998</v>
      </c>
      <c r="H249">
        <f>IF(MAX('Lab test'!W240,'Lab test'!X240)&gt;0,MAX('Lab test'!W240,'Lab test'!X240),NA())</f>
        <v>295.78520399999996</v>
      </c>
      <c r="I249">
        <f>IF('Lab test'!AU240&gt;0,'Lab test'!AU240,NA())</f>
        <v>0.51515151515151514</v>
      </c>
      <c r="J249">
        <f>IF('Lab test'!AT240&gt;0,'Lab test'!AT240,NA())</f>
        <v>0.54745416384568002</v>
      </c>
      <c r="K249" t="e">
        <f t="shared" si="141"/>
        <v>#N/A</v>
      </c>
      <c r="L249" t="str">
        <f>'Lab test'!AC240</f>
        <v>Machined</v>
      </c>
      <c r="W249">
        <v>237</v>
      </c>
      <c r="X249" t="e">
        <v>#N/A</v>
      </c>
      <c r="Z249" t="e">
        <f t="shared" si="123"/>
        <v>#N/A</v>
      </c>
      <c r="AB249" t="e">
        <f t="shared" si="149"/>
        <v>#N/A</v>
      </c>
      <c r="AC249" t="e">
        <f t="shared" si="124"/>
        <v>#N/A</v>
      </c>
      <c r="AE249" t="e">
        <v>#N/A</v>
      </c>
      <c r="AF249" t="e">
        <v>#N/A</v>
      </c>
      <c r="AO249">
        <v>237</v>
      </c>
      <c r="AP249" t="e">
        <v>#N/A</v>
      </c>
      <c r="AR249" t="e">
        <f t="shared" si="127"/>
        <v>#N/A</v>
      </c>
      <c r="AT249" t="e">
        <f t="shared" si="128"/>
        <v>#N/A</v>
      </c>
      <c r="AU249" t="e">
        <f t="shared" si="129"/>
        <v>#N/A</v>
      </c>
      <c r="AW249" t="e">
        <v>#N/A</v>
      </c>
      <c r="AX249" t="e">
        <v>#N/A</v>
      </c>
      <c r="BF249">
        <v>237</v>
      </c>
      <c r="BG249" t="e">
        <v>#N/A</v>
      </c>
      <c r="BI249" t="e">
        <f t="shared" si="132"/>
        <v>#N/A</v>
      </c>
      <c r="BK249" t="e">
        <f t="shared" si="133"/>
        <v>#N/A</v>
      </c>
      <c r="BL249" t="e">
        <f t="shared" si="134"/>
        <v>#N/A</v>
      </c>
      <c r="BN249" t="e">
        <v>#N/A</v>
      </c>
      <c r="BO249" t="e">
        <v>#N/A</v>
      </c>
      <c r="BW249">
        <v>237</v>
      </c>
      <c r="BX249" t="e">
        <v>#N/A</v>
      </c>
      <c r="BZ249" t="e">
        <f t="shared" si="137"/>
        <v>#N/A</v>
      </c>
      <c r="CB249" t="e">
        <f t="shared" si="148"/>
        <v>#N/A</v>
      </c>
      <c r="CC249" t="e">
        <f t="shared" si="138"/>
        <v>#N/A</v>
      </c>
      <c r="CE249" t="e">
        <v>#N/A</v>
      </c>
      <c r="CF249" t="e">
        <v>#N/A</v>
      </c>
    </row>
    <row r="250" spans="2:84">
      <c r="B250">
        <v>238</v>
      </c>
      <c r="C250" t="e">
        <f>IF(ISNUMBER(K250),IF('Lab test'!N241&gt;0,'Lab test'!N241,NA()),NA())</f>
        <v>#N/A</v>
      </c>
      <c r="D250" t="e">
        <f>IF(ISNUMBER(K250),IF('Lab test'!Q241&gt;0,'Lab test'!Q241,NA()),NA())</f>
        <v>#N/A</v>
      </c>
      <c r="E250" t="e">
        <f>IF(ISNUMBER(K250),IF('Lab test'!P241&gt;0,'Lab test'!P241,NA()),NA())</f>
        <v>#N/A</v>
      </c>
      <c r="F250" t="e">
        <f>IF(ISNUMBER(K250),IF('Lab test'!AJ241&gt;0,'Lab test'!AJ241,NA()),NA())</f>
        <v>#N/A</v>
      </c>
      <c r="G250">
        <f>IF('Lab test'!V241&gt;0,'Lab test'!V241,NA())</f>
        <v>199948.03999999998</v>
      </c>
      <c r="H250">
        <f>IF(MAX('Lab test'!W241,'Lab test'!X241)&gt;0,MAX('Lab test'!W241,'Lab test'!X241),NA())</f>
        <v>295.78520399999996</v>
      </c>
      <c r="I250">
        <f>IF('Lab test'!AU241&gt;0,'Lab test'!AU241,NA())</f>
        <v>0.18671328671328674</v>
      </c>
      <c r="J250">
        <f>IF('Lab test'!AT241&gt;0,'Lab test'!AT241,NA())</f>
        <v>0.34837304619975001</v>
      </c>
      <c r="K250" t="e">
        <f t="shared" si="141"/>
        <v>#N/A</v>
      </c>
      <c r="L250" t="str">
        <f>'Lab test'!AC241</f>
        <v>Machined</v>
      </c>
      <c r="W250">
        <v>238</v>
      </c>
      <c r="X250" t="e">
        <v>#N/A</v>
      </c>
      <c r="Z250" t="e">
        <f t="shared" si="123"/>
        <v>#N/A</v>
      </c>
      <c r="AB250" t="e">
        <f t="shared" si="149"/>
        <v>#N/A</v>
      </c>
      <c r="AC250" t="e">
        <f t="shared" si="124"/>
        <v>#N/A</v>
      </c>
      <c r="AE250" t="e">
        <v>#N/A</v>
      </c>
      <c r="AF250" t="e">
        <v>#N/A</v>
      </c>
      <c r="AO250">
        <v>238</v>
      </c>
      <c r="AP250" t="e">
        <v>#N/A</v>
      </c>
      <c r="AR250" t="e">
        <f t="shared" si="127"/>
        <v>#N/A</v>
      </c>
      <c r="AT250" t="e">
        <f t="shared" si="128"/>
        <v>#N/A</v>
      </c>
      <c r="AU250" t="e">
        <f t="shared" si="129"/>
        <v>#N/A</v>
      </c>
      <c r="AW250" t="e">
        <v>#N/A</v>
      </c>
      <c r="AX250" t="e">
        <v>#N/A</v>
      </c>
      <c r="BF250">
        <v>238</v>
      </c>
      <c r="BG250" t="e">
        <v>#N/A</v>
      </c>
      <c r="BI250" t="e">
        <f t="shared" si="132"/>
        <v>#N/A</v>
      </c>
      <c r="BK250" t="e">
        <f t="shared" si="133"/>
        <v>#N/A</v>
      </c>
      <c r="BL250" t="e">
        <f t="shared" si="134"/>
        <v>#N/A</v>
      </c>
      <c r="BN250" t="e">
        <v>#N/A</v>
      </c>
      <c r="BO250" t="e">
        <v>#N/A</v>
      </c>
      <c r="BW250">
        <v>238</v>
      </c>
      <c r="BX250" t="e">
        <v>#N/A</v>
      </c>
      <c r="BZ250" t="e">
        <f t="shared" si="137"/>
        <v>#N/A</v>
      </c>
      <c r="CB250" t="e">
        <f t="shared" si="148"/>
        <v>#N/A</v>
      </c>
      <c r="CC250" t="e">
        <f t="shared" si="138"/>
        <v>#N/A</v>
      </c>
      <c r="CE250" t="e">
        <v>#N/A</v>
      </c>
      <c r="CF250" t="e">
        <v>#N/A</v>
      </c>
    </row>
    <row r="251" spans="2:84">
      <c r="B251">
        <v>239</v>
      </c>
      <c r="C251" t="e">
        <f>IF(ISNUMBER(K251),IF('Lab test'!N242&gt;0,'Lab test'!N242,NA()),NA())</f>
        <v>#N/A</v>
      </c>
      <c r="D251" t="e">
        <f>IF(ISNUMBER(K251),IF('Lab test'!Q242&gt;0,'Lab test'!Q242,NA()),NA())</f>
        <v>#N/A</v>
      </c>
      <c r="E251" t="e">
        <f>IF(ISNUMBER(K251),IF('Lab test'!P242&gt;0,'Lab test'!P242,NA()),NA())</f>
        <v>#N/A</v>
      </c>
      <c r="F251" t="e">
        <f>IF(ISNUMBER(K251),IF('Lab test'!AJ242&gt;0,'Lab test'!AJ242,NA()),NA())</f>
        <v>#N/A</v>
      </c>
      <c r="G251">
        <f>IF('Lab test'!V242&gt;0,'Lab test'!V242,NA())</f>
        <v>199948.03999999998</v>
      </c>
      <c r="H251">
        <f>IF(MAX('Lab test'!W242,'Lab test'!X242)&gt;0,MAX('Lab test'!W242,'Lab test'!X242),NA())</f>
        <v>295.78520399999996</v>
      </c>
      <c r="I251">
        <f>IF('Lab test'!AU242&gt;0,'Lab test'!AU242,NA())</f>
        <v>0.3867132867132867</v>
      </c>
      <c r="J251">
        <f>IF('Lab test'!AT242&gt;0,'Lab test'!AT242,NA())</f>
        <v>0.48225155900497763</v>
      </c>
      <c r="K251" t="e">
        <f t="shared" si="141"/>
        <v>#N/A</v>
      </c>
      <c r="L251" t="str">
        <f>'Lab test'!AC242</f>
        <v>Machined</v>
      </c>
      <c r="W251">
        <v>239</v>
      </c>
      <c r="X251" t="e">
        <v>#N/A</v>
      </c>
      <c r="Z251" t="e">
        <f t="shared" si="123"/>
        <v>#N/A</v>
      </c>
      <c r="AB251" t="e">
        <f t="shared" si="149"/>
        <v>#N/A</v>
      </c>
      <c r="AC251" t="e">
        <f t="shared" si="124"/>
        <v>#N/A</v>
      </c>
      <c r="AE251" t="e">
        <v>#N/A</v>
      </c>
      <c r="AF251" t="e">
        <v>#N/A</v>
      </c>
      <c r="AO251">
        <v>239</v>
      </c>
      <c r="AP251" t="e">
        <v>#N/A</v>
      </c>
      <c r="AR251" t="e">
        <f t="shared" si="127"/>
        <v>#N/A</v>
      </c>
      <c r="AT251" t="e">
        <f t="shared" si="128"/>
        <v>#N/A</v>
      </c>
      <c r="AU251" t="e">
        <f t="shared" si="129"/>
        <v>#N/A</v>
      </c>
      <c r="AW251" t="e">
        <v>#N/A</v>
      </c>
      <c r="AX251" t="e">
        <v>#N/A</v>
      </c>
      <c r="BF251">
        <v>239</v>
      </c>
      <c r="BG251" t="e">
        <v>#N/A</v>
      </c>
      <c r="BI251" t="e">
        <f t="shared" si="132"/>
        <v>#N/A</v>
      </c>
      <c r="BK251" t="e">
        <f t="shared" si="133"/>
        <v>#N/A</v>
      </c>
      <c r="BL251" t="e">
        <f t="shared" si="134"/>
        <v>#N/A</v>
      </c>
      <c r="BN251" t="e">
        <v>#N/A</v>
      </c>
      <c r="BO251" t="e">
        <v>#N/A</v>
      </c>
      <c r="BW251">
        <v>239</v>
      </c>
      <c r="BX251" t="e">
        <v>#N/A</v>
      </c>
      <c r="BZ251" t="e">
        <f t="shared" si="137"/>
        <v>#N/A</v>
      </c>
      <c r="CB251" t="e">
        <f t="shared" si="148"/>
        <v>#N/A</v>
      </c>
      <c r="CC251" t="e">
        <f t="shared" si="138"/>
        <v>#N/A</v>
      </c>
      <c r="CE251" t="e">
        <v>#N/A</v>
      </c>
      <c r="CF251" t="e">
        <v>#N/A</v>
      </c>
    </row>
    <row r="252" spans="2:84">
      <c r="B252">
        <v>240</v>
      </c>
      <c r="C252" t="e">
        <f>IF(ISNUMBER(K252),IF('Lab test'!N243&gt;0,'Lab test'!N243,NA()),NA())</f>
        <v>#N/A</v>
      </c>
      <c r="D252" t="e">
        <f>IF(ISNUMBER(K252),IF('Lab test'!Q243&gt;0,'Lab test'!Q243,NA()),NA())</f>
        <v>#N/A</v>
      </c>
      <c r="E252" t="e">
        <f>IF(ISNUMBER(K252),IF('Lab test'!P243&gt;0,'Lab test'!P243,NA()),NA())</f>
        <v>#N/A</v>
      </c>
      <c r="F252" t="e">
        <f>IF(ISNUMBER(K252),IF('Lab test'!AJ243&gt;0,'Lab test'!AJ243,NA()),NA())</f>
        <v>#N/A</v>
      </c>
      <c r="G252">
        <f>IF('Lab test'!V243&gt;0,'Lab test'!V243,NA())</f>
        <v>199948.03999999998</v>
      </c>
      <c r="H252">
        <f>IF(MAX('Lab test'!W243,'Lab test'!X243)&gt;0,MAX('Lab test'!W243,'Lab test'!X243),NA())</f>
        <v>295.78520399999996</v>
      </c>
      <c r="I252">
        <f>IF('Lab test'!AU243&gt;0,'Lab test'!AU243,NA())</f>
        <v>0.50815850815850827</v>
      </c>
      <c r="J252">
        <f>IF('Lab test'!AT243&gt;0,'Lab test'!AT243,NA())</f>
        <v>0.42246670630132671</v>
      </c>
      <c r="K252" t="e">
        <f t="shared" si="141"/>
        <v>#N/A</v>
      </c>
      <c r="L252" t="str">
        <f>'Lab test'!AC243</f>
        <v>Machined</v>
      </c>
      <c r="W252">
        <v>240</v>
      </c>
      <c r="X252" t="e">
        <v>#N/A</v>
      </c>
      <c r="Z252" t="e">
        <f t="shared" si="123"/>
        <v>#N/A</v>
      </c>
      <c r="AB252" t="e">
        <f t="shared" si="149"/>
        <v>#N/A</v>
      </c>
      <c r="AC252" t="e">
        <f t="shared" si="124"/>
        <v>#N/A</v>
      </c>
      <c r="AE252" t="e">
        <v>#N/A</v>
      </c>
      <c r="AF252" t="e">
        <v>#N/A</v>
      </c>
      <c r="AO252">
        <v>240</v>
      </c>
      <c r="AP252" t="e">
        <v>#N/A</v>
      </c>
      <c r="AR252" t="e">
        <f t="shared" si="127"/>
        <v>#N/A</v>
      </c>
      <c r="AT252" t="e">
        <f t="shared" si="128"/>
        <v>#N/A</v>
      </c>
      <c r="AU252" t="e">
        <f t="shared" si="129"/>
        <v>#N/A</v>
      </c>
      <c r="AW252" t="e">
        <v>#N/A</v>
      </c>
      <c r="AX252" t="e">
        <v>#N/A</v>
      </c>
      <c r="BF252">
        <v>240</v>
      </c>
      <c r="BG252" t="e">
        <v>#N/A</v>
      </c>
      <c r="BI252" t="e">
        <f t="shared" si="132"/>
        <v>#N/A</v>
      </c>
      <c r="BK252" t="e">
        <f t="shared" si="133"/>
        <v>#N/A</v>
      </c>
      <c r="BL252" t="e">
        <f t="shared" si="134"/>
        <v>#N/A</v>
      </c>
      <c r="BN252" t="e">
        <v>#N/A</v>
      </c>
      <c r="BO252" t="e">
        <v>#N/A</v>
      </c>
      <c r="BW252">
        <v>240</v>
      </c>
      <c r="BX252" t="e">
        <v>#N/A</v>
      </c>
      <c r="BZ252" t="e">
        <f t="shared" si="137"/>
        <v>#N/A</v>
      </c>
      <c r="CB252" t="e">
        <f t="shared" si="148"/>
        <v>#N/A</v>
      </c>
      <c r="CC252" t="e">
        <f t="shared" si="138"/>
        <v>#N/A</v>
      </c>
      <c r="CE252" t="e">
        <v>#N/A</v>
      </c>
      <c r="CF252" t="e">
        <v>#N/A</v>
      </c>
    </row>
    <row r="253" spans="2:84">
      <c r="B253">
        <v>241</v>
      </c>
      <c r="C253" t="e">
        <f>IF(ISNUMBER(K253),IF('Lab test'!N244&gt;0,'Lab test'!N244,NA()),NA())</f>
        <v>#N/A</v>
      </c>
      <c r="D253" t="e">
        <f>IF(ISNUMBER(K253),IF('Lab test'!Q244&gt;0,'Lab test'!Q244,NA()),NA())</f>
        <v>#N/A</v>
      </c>
      <c r="E253" t="e">
        <f>IF(ISNUMBER(K253),IF('Lab test'!P244&gt;0,'Lab test'!P244,NA()),NA())</f>
        <v>#N/A</v>
      </c>
      <c r="F253" t="e">
        <f>IF(ISNUMBER(K253),IF('Lab test'!AJ244&gt;0,'Lab test'!AJ244,NA()),NA())</f>
        <v>#N/A</v>
      </c>
      <c r="G253">
        <f>IF('Lab test'!V244&gt;0,'Lab test'!V244,NA())</f>
        <v>199948.03999999998</v>
      </c>
      <c r="H253">
        <f>IF(MAX('Lab test'!W244,'Lab test'!X244)&gt;0,MAX('Lab test'!W244,'Lab test'!X244),NA())</f>
        <v>295.78520399999996</v>
      </c>
      <c r="I253">
        <f>IF('Lab test'!AU244&gt;0,'Lab test'!AU244,NA())</f>
        <v>0.70629370629370636</v>
      </c>
      <c r="J253">
        <f>IF('Lab test'!AT244&gt;0,'Lab test'!AT244,NA())</f>
        <v>0.40619729229071527</v>
      </c>
      <c r="K253" t="e">
        <f t="shared" si="141"/>
        <v>#N/A</v>
      </c>
      <c r="L253" t="str">
        <f>'Lab test'!AC244</f>
        <v>Machined</v>
      </c>
      <c r="W253">
        <v>241</v>
      </c>
      <c r="X253" t="e">
        <v>#N/A</v>
      </c>
      <c r="Z253" t="e">
        <f t="shared" si="123"/>
        <v>#N/A</v>
      </c>
      <c r="AB253" t="e">
        <f t="shared" si="149"/>
        <v>#N/A</v>
      </c>
      <c r="AC253" t="e">
        <f t="shared" si="124"/>
        <v>#N/A</v>
      </c>
      <c r="AE253" t="e">
        <v>#N/A</v>
      </c>
      <c r="AF253" t="e">
        <v>#N/A</v>
      </c>
      <c r="AO253">
        <v>241</v>
      </c>
      <c r="AP253" t="e">
        <v>#N/A</v>
      </c>
      <c r="AR253" t="e">
        <f t="shared" si="127"/>
        <v>#N/A</v>
      </c>
      <c r="AT253" t="e">
        <f t="shared" si="128"/>
        <v>#N/A</v>
      </c>
      <c r="AU253" t="e">
        <f t="shared" si="129"/>
        <v>#N/A</v>
      </c>
      <c r="AW253" t="e">
        <v>#N/A</v>
      </c>
      <c r="AX253" t="e">
        <v>#N/A</v>
      </c>
      <c r="BF253">
        <v>241</v>
      </c>
      <c r="BG253" t="e">
        <v>#N/A</v>
      </c>
      <c r="BI253" t="e">
        <f t="shared" si="132"/>
        <v>#N/A</v>
      </c>
      <c r="BK253" t="e">
        <f t="shared" si="133"/>
        <v>#N/A</v>
      </c>
      <c r="BL253" t="e">
        <f t="shared" si="134"/>
        <v>#N/A</v>
      </c>
      <c r="BN253" t="e">
        <v>#N/A</v>
      </c>
      <c r="BO253" t="e">
        <v>#N/A</v>
      </c>
      <c r="BW253">
        <v>241</v>
      </c>
      <c r="BX253" t="e">
        <v>#N/A</v>
      </c>
      <c r="BZ253" t="e">
        <f t="shared" si="137"/>
        <v>#N/A</v>
      </c>
      <c r="CB253" t="e">
        <f t="shared" si="148"/>
        <v>#N/A</v>
      </c>
      <c r="CC253" t="e">
        <f t="shared" si="138"/>
        <v>#N/A</v>
      </c>
      <c r="CE253" t="e">
        <v>#N/A</v>
      </c>
      <c r="CF253" t="e">
        <v>#N/A</v>
      </c>
    </row>
    <row r="254" spans="2:84">
      <c r="B254">
        <v>242</v>
      </c>
      <c r="C254" t="e">
        <f>IF(ISNUMBER(K254),IF('Lab test'!N245&gt;0,'Lab test'!N245,NA()),NA())</f>
        <v>#N/A</v>
      </c>
      <c r="D254" t="e">
        <f>IF(ISNUMBER(K254),IF('Lab test'!Q245&gt;0,'Lab test'!Q245,NA()),NA())</f>
        <v>#N/A</v>
      </c>
      <c r="E254" t="e">
        <f>IF(ISNUMBER(K254),IF('Lab test'!P245&gt;0,'Lab test'!P245,NA()),NA())</f>
        <v>#N/A</v>
      </c>
      <c r="F254" t="e">
        <f>IF(ISNUMBER(K254),IF('Lab test'!AJ245&gt;0,'Lab test'!AJ245,NA()),NA())</f>
        <v>#N/A</v>
      </c>
      <c r="G254">
        <f>IF('Lab test'!V245&gt;0,'Lab test'!V245,NA())</f>
        <v>200637.516</v>
      </c>
      <c r="H254">
        <f>IF(MAX('Lab test'!W245,'Lab test'!X245)&gt;0,MAX('Lab test'!W245,'Lab test'!X245),NA())</f>
        <v>245.21213939999998</v>
      </c>
      <c r="I254">
        <f>IF('Lab test'!AU245&gt;0,'Lab test'!AU245,NA())</f>
        <v>0.68128778293265846</v>
      </c>
      <c r="J254">
        <f>IF('Lab test'!AT245&gt;0,'Lab test'!AT245,NA())</f>
        <v>0.23005970823835847</v>
      </c>
      <c r="K254" t="e">
        <f t="shared" si="141"/>
        <v>#N/A</v>
      </c>
      <c r="L254" t="str">
        <f>'Lab test'!AC245</f>
        <v>CLTW</v>
      </c>
      <c r="W254">
        <v>242</v>
      </c>
      <c r="X254" t="e">
        <v>#N/A</v>
      </c>
      <c r="Z254" t="e">
        <f t="shared" si="123"/>
        <v>#N/A</v>
      </c>
      <c r="AB254" t="e">
        <f t="shared" si="149"/>
        <v>#N/A</v>
      </c>
      <c r="AC254" t="e">
        <f t="shared" si="124"/>
        <v>#N/A</v>
      </c>
      <c r="AE254" t="e">
        <v>#N/A</v>
      </c>
      <c r="AF254" t="e">
        <v>#N/A</v>
      </c>
      <c r="AO254">
        <v>242</v>
      </c>
      <c r="AP254" t="e">
        <v>#N/A</v>
      </c>
      <c r="AR254" t="e">
        <f t="shared" si="127"/>
        <v>#N/A</v>
      </c>
      <c r="AT254" t="e">
        <f t="shared" si="128"/>
        <v>#N/A</v>
      </c>
      <c r="AU254" t="e">
        <f t="shared" si="129"/>
        <v>#N/A</v>
      </c>
      <c r="AW254" t="e">
        <v>#N/A</v>
      </c>
      <c r="AX254" t="e">
        <v>#N/A</v>
      </c>
      <c r="BF254">
        <v>242</v>
      </c>
      <c r="BG254" t="e">
        <v>#N/A</v>
      </c>
      <c r="BI254" t="e">
        <f t="shared" si="132"/>
        <v>#N/A</v>
      </c>
      <c r="BK254" t="e">
        <f t="shared" si="133"/>
        <v>#N/A</v>
      </c>
      <c r="BL254" t="e">
        <f t="shared" si="134"/>
        <v>#N/A</v>
      </c>
      <c r="BN254" t="e">
        <v>#N/A</v>
      </c>
      <c r="BO254" t="e">
        <v>#N/A</v>
      </c>
      <c r="BW254">
        <v>242</v>
      </c>
      <c r="BX254" t="e">
        <v>#N/A</v>
      </c>
      <c r="BZ254" t="e">
        <f t="shared" si="137"/>
        <v>#N/A</v>
      </c>
      <c r="CB254" t="e">
        <f t="shared" si="148"/>
        <v>#N/A</v>
      </c>
      <c r="CC254" t="e">
        <f t="shared" si="138"/>
        <v>#N/A</v>
      </c>
      <c r="CE254" t="e">
        <v>#N/A</v>
      </c>
      <c r="CF254" t="e">
        <v>#N/A</v>
      </c>
    </row>
    <row r="255" spans="2:84">
      <c r="B255">
        <v>243</v>
      </c>
      <c r="C255" t="e">
        <f>IF(ISNUMBER(K255),IF('Lab test'!N246&gt;0,'Lab test'!N246,NA()),NA())</f>
        <v>#N/A</v>
      </c>
      <c r="D255" t="e">
        <f>IF(ISNUMBER(K255),IF('Lab test'!Q246&gt;0,'Lab test'!Q246,NA()),NA())</f>
        <v>#N/A</v>
      </c>
      <c r="E255" t="e">
        <f>IF(ISNUMBER(K255),IF('Lab test'!P246&gt;0,'Lab test'!P246,NA()),NA())</f>
        <v>#N/A</v>
      </c>
      <c r="F255" t="e">
        <f>IF(ISNUMBER(K255),IF('Lab test'!AJ246&gt;0,'Lab test'!AJ246,NA()),NA())</f>
        <v>#N/A</v>
      </c>
      <c r="G255">
        <f>IF('Lab test'!V246&gt;0,'Lab test'!V246,NA())</f>
        <v>197190.136</v>
      </c>
      <c r="H255">
        <f>IF(MAX('Lab test'!W246,'Lab test'!X246)&gt;0,MAX('Lab test'!W246,'Lab test'!X246),NA())</f>
        <v>248.7974146</v>
      </c>
      <c r="I255">
        <f>IF('Lab test'!AU246&gt;0,'Lab test'!AU246,NA())</f>
        <v>0.65484273243730073</v>
      </c>
      <c r="J255">
        <f>IF('Lab test'!AT246&gt;0,'Lab test'!AT246,NA())</f>
        <v>0.2349648400377404</v>
      </c>
      <c r="K255" t="e">
        <f t="shared" si="141"/>
        <v>#N/A</v>
      </c>
      <c r="L255" t="str">
        <f>'Lab test'!AC246</f>
        <v>CLTW</v>
      </c>
      <c r="W255">
        <v>243</v>
      </c>
      <c r="X255" t="e">
        <v>#N/A</v>
      </c>
      <c r="Z255" t="e">
        <f t="shared" si="123"/>
        <v>#N/A</v>
      </c>
      <c r="AB255" t="e">
        <f t="shared" si="149"/>
        <v>#N/A</v>
      </c>
      <c r="AC255" t="e">
        <f t="shared" si="124"/>
        <v>#N/A</v>
      </c>
      <c r="AE255" t="e">
        <v>#N/A</v>
      </c>
      <c r="AF255" t="e">
        <v>#N/A</v>
      </c>
      <c r="AO255">
        <v>243</v>
      </c>
      <c r="AP255" t="e">
        <v>#N/A</v>
      </c>
      <c r="AR255" t="e">
        <f t="shared" si="127"/>
        <v>#N/A</v>
      </c>
      <c r="AT255" t="e">
        <f t="shared" si="128"/>
        <v>#N/A</v>
      </c>
      <c r="AU255" t="e">
        <f t="shared" si="129"/>
        <v>#N/A</v>
      </c>
      <c r="AW255" t="e">
        <v>#N/A</v>
      </c>
      <c r="AX255" t="e">
        <v>#N/A</v>
      </c>
      <c r="BF255">
        <v>243</v>
      </c>
      <c r="BG255" t="e">
        <v>#N/A</v>
      </c>
      <c r="BI255" t="e">
        <f t="shared" si="132"/>
        <v>#N/A</v>
      </c>
      <c r="BK255" t="e">
        <f t="shared" si="133"/>
        <v>#N/A</v>
      </c>
      <c r="BL255" t="e">
        <f t="shared" si="134"/>
        <v>#N/A</v>
      </c>
      <c r="BN255" t="e">
        <v>#N/A</v>
      </c>
      <c r="BO255" t="e">
        <v>#N/A</v>
      </c>
      <c r="BW255">
        <v>243</v>
      </c>
      <c r="BX255" t="e">
        <v>#N/A</v>
      </c>
      <c r="BZ255" t="e">
        <f t="shared" si="137"/>
        <v>#N/A</v>
      </c>
      <c r="CB255" t="e">
        <f t="shared" si="148"/>
        <v>#N/A</v>
      </c>
      <c r="CC255" t="e">
        <f t="shared" si="138"/>
        <v>#N/A</v>
      </c>
      <c r="CE255" t="e">
        <v>#N/A</v>
      </c>
      <c r="CF255" t="e">
        <v>#N/A</v>
      </c>
    </row>
    <row r="256" spans="2:84">
      <c r="B256">
        <v>244</v>
      </c>
      <c r="C256" t="e">
        <f>IF(ISNUMBER(K256),IF('Lab test'!N247&gt;0,'Lab test'!N247,NA()),NA())</f>
        <v>#N/A</v>
      </c>
      <c r="D256" t="e">
        <f>IF(ISNUMBER(K256),IF('Lab test'!Q247&gt;0,'Lab test'!Q247,NA()),NA())</f>
        <v>#N/A</v>
      </c>
      <c r="E256" t="e">
        <f>IF(ISNUMBER(K256),IF('Lab test'!P247&gt;0,'Lab test'!P247,NA()),NA())</f>
        <v>#N/A</v>
      </c>
      <c r="F256" t="e">
        <f>IF(ISNUMBER(K256),IF('Lab test'!AJ247&gt;0,'Lab test'!AJ247,NA()),NA())</f>
        <v>#N/A</v>
      </c>
      <c r="G256">
        <f>IF('Lab test'!V247&gt;0,'Lab test'!V247,NA())</f>
        <v>204774.372</v>
      </c>
      <c r="H256">
        <f>IF(MAX('Lab test'!W247,'Lab test'!X247)&gt;0,MAX('Lab test'!W247,'Lab test'!X247),NA())</f>
        <v>260.78050747999998</v>
      </c>
      <c r="I256">
        <f>IF('Lab test'!AU247&gt;0,'Lab test'!AU247,NA())</f>
        <v>0.69217143008222515</v>
      </c>
      <c r="J256">
        <f>IF('Lab test'!AT247&gt;0,'Lab test'!AT247,NA())</f>
        <v>0.24073494770506743</v>
      </c>
      <c r="K256" t="e">
        <f t="shared" si="141"/>
        <v>#N/A</v>
      </c>
      <c r="L256" t="str">
        <f>'Lab test'!AC247</f>
        <v>CLTW</v>
      </c>
      <c r="W256">
        <v>244</v>
      </c>
      <c r="X256" t="e">
        <v>#N/A</v>
      </c>
      <c r="Z256" t="e">
        <f t="shared" si="123"/>
        <v>#N/A</v>
      </c>
      <c r="AB256" t="e">
        <f t="shared" si="149"/>
        <v>#N/A</v>
      </c>
      <c r="AC256" t="e">
        <f t="shared" si="124"/>
        <v>#N/A</v>
      </c>
      <c r="AE256" t="e">
        <v>#N/A</v>
      </c>
      <c r="AF256" t="e">
        <v>#N/A</v>
      </c>
      <c r="AO256">
        <v>244</v>
      </c>
      <c r="AP256" t="e">
        <v>#N/A</v>
      </c>
      <c r="AR256" t="e">
        <f t="shared" si="127"/>
        <v>#N/A</v>
      </c>
      <c r="AT256" t="e">
        <f t="shared" si="128"/>
        <v>#N/A</v>
      </c>
      <c r="AU256" t="e">
        <f t="shared" si="129"/>
        <v>#N/A</v>
      </c>
      <c r="AW256" t="e">
        <v>#N/A</v>
      </c>
      <c r="AX256" t="e">
        <v>#N/A</v>
      </c>
      <c r="BF256">
        <v>244</v>
      </c>
      <c r="BG256" t="e">
        <v>#N/A</v>
      </c>
      <c r="BI256" t="e">
        <f t="shared" si="132"/>
        <v>#N/A</v>
      </c>
      <c r="BK256" t="e">
        <f t="shared" si="133"/>
        <v>#N/A</v>
      </c>
      <c r="BL256" t="e">
        <f t="shared" si="134"/>
        <v>#N/A</v>
      </c>
      <c r="BN256" t="e">
        <v>#N/A</v>
      </c>
      <c r="BO256" t="e">
        <v>#N/A</v>
      </c>
      <c r="BW256">
        <v>244</v>
      </c>
      <c r="BX256" t="e">
        <v>#N/A</v>
      </c>
      <c r="BZ256" t="e">
        <f t="shared" si="137"/>
        <v>#N/A</v>
      </c>
      <c r="CB256" t="e">
        <f t="shared" si="148"/>
        <v>#N/A</v>
      </c>
      <c r="CC256" t="e">
        <f t="shared" si="138"/>
        <v>#N/A</v>
      </c>
      <c r="CE256" t="e">
        <v>#N/A</v>
      </c>
      <c r="CF256" t="e">
        <v>#N/A</v>
      </c>
    </row>
    <row r="257" spans="2:84">
      <c r="B257">
        <v>245</v>
      </c>
      <c r="C257" t="e">
        <f>IF(ISNUMBER(K257),IF('Lab test'!N248&gt;0,'Lab test'!N248,NA()),NA())</f>
        <v>#N/A</v>
      </c>
      <c r="D257" t="e">
        <f>IF(ISNUMBER(K257),IF('Lab test'!Q248&gt;0,'Lab test'!Q248,NA()),NA())</f>
        <v>#N/A</v>
      </c>
      <c r="E257" t="e">
        <f>IF(ISNUMBER(K257),IF('Lab test'!P248&gt;0,'Lab test'!P248,NA()),NA())</f>
        <v>#N/A</v>
      </c>
      <c r="F257" t="e">
        <f>IF(ISNUMBER(K257),IF('Lab test'!AJ248&gt;0,'Lab test'!AJ248,NA()),NA())</f>
        <v>#N/A</v>
      </c>
      <c r="G257">
        <f>IF('Lab test'!V248&gt;0,'Lab test'!V248,NA())</f>
        <v>199948.03999999998</v>
      </c>
      <c r="H257">
        <f>IF(MAX('Lab test'!W248,'Lab test'!X248)&gt;0,MAX('Lab test'!W248,'Lab test'!X248),NA())</f>
        <v>248.8318884</v>
      </c>
      <c r="I257">
        <f>IF('Lab test'!AU248&gt;0,'Lab test'!AU248,NA())</f>
        <v>0.7605985037406483</v>
      </c>
      <c r="J257">
        <f>IF('Lab test'!AT248&gt;0,'Lab test'!AT248,NA())</f>
        <v>0.26153179250894387</v>
      </c>
      <c r="K257" t="e">
        <f t="shared" si="141"/>
        <v>#N/A</v>
      </c>
      <c r="L257" t="str">
        <f>'Lab test'!AC248</f>
        <v>CLTW</v>
      </c>
      <c r="W257">
        <v>245</v>
      </c>
      <c r="X257" t="e">
        <v>#N/A</v>
      </c>
      <c r="Z257" t="e">
        <f t="shared" si="123"/>
        <v>#N/A</v>
      </c>
      <c r="AB257" t="e">
        <f t="shared" si="149"/>
        <v>#N/A</v>
      </c>
      <c r="AC257" t="e">
        <f t="shared" si="124"/>
        <v>#N/A</v>
      </c>
      <c r="AE257" t="e">
        <v>#N/A</v>
      </c>
      <c r="AF257" t="e">
        <v>#N/A</v>
      </c>
      <c r="AO257">
        <v>245</v>
      </c>
      <c r="AP257" t="e">
        <v>#N/A</v>
      </c>
      <c r="AR257" t="e">
        <f t="shared" si="127"/>
        <v>#N/A</v>
      </c>
      <c r="AT257" t="e">
        <f t="shared" si="128"/>
        <v>#N/A</v>
      </c>
      <c r="AU257" t="e">
        <f t="shared" si="129"/>
        <v>#N/A</v>
      </c>
      <c r="AW257" t="e">
        <v>#N/A</v>
      </c>
      <c r="AX257" t="e">
        <v>#N/A</v>
      </c>
      <c r="BF257">
        <v>245</v>
      </c>
      <c r="BG257" t="e">
        <v>#N/A</v>
      </c>
      <c r="BI257" t="e">
        <f t="shared" si="132"/>
        <v>#N/A</v>
      </c>
      <c r="BK257" t="e">
        <f t="shared" si="133"/>
        <v>#N/A</v>
      </c>
      <c r="BL257" t="e">
        <f t="shared" si="134"/>
        <v>#N/A</v>
      </c>
      <c r="BN257" t="e">
        <v>#N/A</v>
      </c>
      <c r="BO257" t="e">
        <v>#N/A</v>
      </c>
      <c r="BW257">
        <v>245</v>
      </c>
      <c r="BX257" t="e">
        <v>#N/A</v>
      </c>
      <c r="BZ257" t="e">
        <f t="shared" si="137"/>
        <v>#N/A</v>
      </c>
      <c r="CB257" t="e">
        <f t="shared" si="148"/>
        <v>#N/A</v>
      </c>
      <c r="CC257" t="e">
        <f t="shared" si="138"/>
        <v>#N/A</v>
      </c>
      <c r="CE257" t="e">
        <v>#N/A</v>
      </c>
      <c r="CF257" t="e">
        <v>#N/A</v>
      </c>
    </row>
    <row r="258" spans="2:84">
      <c r="B258">
        <v>246</v>
      </c>
      <c r="C258" t="e">
        <f>IF(ISNUMBER(K258),IF('Lab test'!N249&gt;0,'Lab test'!N249,NA()),NA())</f>
        <v>#N/A</v>
      </c>
      <c r="D258" t="e">
        <f>IF(ISNUMBER(K258),IF('Lab test'!Q249&gt;0,'Lab test'!Q249,NA()),NA())</f>
        <v>#N/A</v>
      </c>
      <c r="E258" t="e">
        <f>IF(ISNUMBER(K258),IF('Lab test'!P249&gt;0,'Lab test'!P249,NA()),NA())</f>
        <v>#N/A</v>
      </c>
      <c r="F258" t="e">
        <f>IF(ISNUMBER(K258),IF('Lab test'!AJ249&gt;0,'Lab test'!AJ249,NA()),NA())</f>
        <v>#N/A</v>
      </c>
      <c r="G258">
        <f>IF('Lab test'!V249&gt;0,'Lab test'!V249,NA())</f>
        <v>202705.94399999999</v>
      </c>
      <c r="H258">
        <f>IF(MAX('Lab test'!W249,'Lab test'!X249)&gt;0,MAX('Lab test'!W249,'Lab test'!X249),NA())</f>
        <v>226.14812799999999</v>
      </c>
      <c r="I258">
        <f>IF('Lab test'!AU249&gt;0,'Lab test'!AU249,NA())</f>
        <v>0.6097560975609756</v>
      </c>
      <c r="J258">
        <f>IF('Lab test'!AT249&gt;0,'Lab test'!AT249,NA())</f>
        <v>0.15611027628361965</v>
      </c>
      <c r="K258" t="e">
        <f t="shared" si="141"/>
        <v>#N/A</v>
      </c>
      <c r="L258" t="str">
        <f>'Lab test'!AC249</f>
        <v>CLTW</v>
      </c>
      <c r="W258">
        <v>246</v>
      </c>
      <c r="X258" t="e">
        <v>#N/A</v>
      </c>
      <c r="Z258" t="e">
        <f t="shared" si="123"/>
        <v>#N/A</v>
      </c>
      <c r="AB258" t="e">
        <f t="shared" si="149"/>
        <v>#N/A</v>
      </c>
      <c r="AC258" t="e">
        <f t="shared" si="124"/>
        <v>#N/A</v>
      </c>
      <c r="AE258" t="e">
        <v>#N/A</v>
      </c>
      <c r="AF258" t="e">
        <v>#N/A</v>
      </c>
      <c r="AO258">
        <v>246</v>
      </c>
      <c r="AP258" t="e">
        <v>#N/A</v>
      </c>
      <c r="AR258" t="e">
        <f t="shared" si="127"/>
        <v>#N/A</v>
      </c>
      <c r="AT258" t="e">
        <f t="shared" si="128"/>
        <v>#N/A</v>
      </c>
      <c r="AU258" t="e">
        <f t="shared" si="129"/>
        <v>#N/A</v>
      </c>
      <c r="AW258" t="e">
        <v>#N/A</v>
      </c>
      <c r="AX258" t="e">
        <v>#N/A</v>
      </c>
      <c r="BF258">
        <v>246</v>
      </c>
      <c r="BG258" t="e">
        <v>#N/A</v>
      </c>
      <c r="BI258" t="e">
        <f t="shared" si="132"/>
        <v>#N/A</v>
      </c>
      <c r="BK258" t="e">
        <f t="shared" si="133"/>
        <v>#N/A</v>
      </c>
      <c r="BL258" t="e">
        <f t="shared" si="134"/>
        <v>#N/A</v>
      </c>
      <c r="BN258" t="e">
        <v>#N/A</v>
      </c>
      <c r="BO258" t="e">
        <v>#N/A</v>
      </c>
      <c r="BW258">
        <v>246</v>
      </c>
      <c r="BX258" t="e">
        <v>#N/A</v>
      </c>
      <c r="BZ258" t="e">
        <f t="shared" si="137"/>
        <v>#N/A</v>
      </c>
      <c r="CB258" t="e">
        <f t="shared" si="148"/>
        <v>#N/A</v>
      </c>
      <c r="CC258" t="e">
        <f t="shared" si="138"/>
        <v>#N/A</v>
      </c>
      <c r="CE258" t="e">
        <v>#N/A</v>
      </c>
      <c r="CF258" t="e">
        <v>#N/A</v>
      </c>
    </row>
    <row r="259" spans="2:84">
      <c r="B259">
        <v>247</v>
      </c>
      <c r="C259" t="e">
        <f>IF(ISNUMBER(K259),IF('Lab test'!N250&gt;0,'Lab test'!N250,NA()),NA())</f>
        <v>#N/A</v>
      </c>
      <c r="D259" t="e">
        <f>IF(ISNUMBER(K259),IF('Lab test'!Q250&gt;0,'Lab test'!Q250,NA()),NA())</f>
        <v>#N/A</v>
      </c>
      <c r="E259" t="e">
        <f>IF(ISNUMBER(K259),IF('Lab test'!P250&gt;0,'Lab test'!P250,NA()),NA())</f>
        <v>#N/A</v>
      </c>
      <c r="F259" t="e">
        <f>IF(ISNUMBER(K259),IF('Lab test'!AJ250&gt;0,'Lab test'!AJ250,NA()),NA())</f>
        <v>#N/A</v>
      </c>
      <c r="G259">
        <f>IF('Lab test'!V250&gt;0,'Lab test'!V250,NA())</f>
        <v>194432.23199999999</v>
      </c>
      <c r="H259">
        <f>IF(MAX('Lab test'!W250,'Lab test'!X250)&gt;0,MAX('Lab test'!W250,'Lab test'!X250),NA())</f>
        <v>223.39022399999999</v>
      </c>
      <c r="I259">
        <f>IF('Lab test'!AU250&gt;0,'Lab test'!AU250,NA())</f>
        <v>0.68518518518518523</v>
      </c>
      <c r="J259">
        <f>IF('Lab test'!AT250&gt;0,'Lab test'!AT250,NA())</f>
        <v>0.19648400422599385</v>
      </c>
      <c r="K259" t="e">
        <f t="shared" si="141"/>
        <v>#N/A</v>
      </c>
      <c r="L259" t="str">
        <f>'Lab test'!AC250</f>
        <v>CLTW</v>
      </c>
      <c r="W259">
        <v>247</v>
      </c>
      <c r="X259" t="e">
        <v>#N/A</v>
      </c>
      <c r="Z259" t="e">
        <f t="shared" si="123"/>
        <v>#N/A</v>
      </c>
      <c r="AB259" t="e">
        <f t="shared" si="149"/>
        <v>#N/A</v>
      </c>
      <c r="AC259" t="e">
        <f t="shared" si="124"/>
        <v>#N/A</v>
      </c>
      <c r="AE259" t="e">
        <v>#N/A</v>
      </c>
      <c r="AF259" t="e">
        <v>#N/A</v>
      </c>
      <c r="AO259">
        <v>247</v>
      </c>
      <c r="AP259" t="e">
        <v>#N/A</v>
      </c>
      <c r="AR259" t="e">
        <f t="shared" si="127"/>
        <v>#N/A</v>
      </c>
      <c r="AT259" t="e">
        <f t="shared" si="128"/>
        <v>#N/A</v>
      </c>
      <c r="AU259" t="e">
        <f t="shared" si="129"/>
        <v>#N/A</v>
      </c>
      <c r="AW259" t="e">
        <v>#N/A</v>
      </c>
      <c r="AX259" t="e">
        <v>#N/A</v>
      </c>
      <c r="BF259">
        <v>247</v>
      </c>
      <c r="BG259" t="e">
        <v>#N/A</v>
      </c>
      <c r="BI259" t="e">
        <f t="shared" si="132"/>
        <v>#N/A</v>
      </c>
      <c r="BK259" t="e">
        <f t="shared" si="133"/>
        <v>#N/A</v>
      </c>
      <c r="BL259" t="e">
        <f t="shared" si="134"/>
        <v>#N/A</v>
      </c>
      <c r="BN259" t="e">
        <v>#N/A</v>
      </c>
      <c r="BO259" t="e">
        <v>#N/A</v>
      </c>
      <c r="BW259">
        <v>247</v>
      </c>
      <c r="BX259" t="e">
        <v>#N/A</v>
      </c>
      <c r="BZ259" t="e">
        <f t="shared" si="137"/>
        <v>#N/A</v>
      </c>
      <c r="CB259" t="e">
        <f t="shared" si="148"/>
        <v>#N/A</v>
      </c>
      <c r="CC259" t="e">
        <f t="shared" si="138"/>
        <v>#N/A</v>
      </c>
      <c r="CE259" t="e">
        <v>#N/A</v>
      </c>
      <c r="CF259" t="e">
        <v>#N/A</v>
      </c>
    </row>
    <row r="260" spans="2:84">
      <c r="B260">
        <v>248</v>
      </c>
      <c r="C260" t="e">
        <f>IF(ISNUMBER(K260),IF('Lab test'!N251&gt;0,'Lab test'!N251,NA()),NA())</f>
        <v>#N/A</v>
      </c>
      <c r="D260" t="e">
        <f>IF(ISNUMBER(K260),IF('Lab test'!Q251&gt;0,'Lab test'!Q251,NA()),NA())</f>
        <v>#N/A</v>
      </c>
      <c r="E260" t="e">
        <f>IF(ISNUMBER(K260),IF('Lab test'!P251&gt;0,'Lab test'!P251,NA()),NA())</f>
        <v>#N/A</v>
      </c>
      <c r="F260" t="e">
        <f>IF(ISNUMBER(K260),IF('Lab test'!AJ251&gt;0,'Lab test'!AJ251,NA()),NA())</f>
        <v>#N/A</v>
      </c>
      <c r="G260">
        <f>IF('Lab test'!V251&gt;0,'Lab test'!V251,NA())</f>
        <v>197879.61199999999</v>
      </c>
      <c r="H260">
        <f>IF(MAX('Lab test'!W251,'Lab test'!X251)&gt;0,MAX('Lab test'!W251,'Lab test'!X251),NA())</f>
        <v>311.29841399999998</v>
      </c>
      <c r="I260">
        <f>IF('Lab test'!AU251&gt;0,'Lab test'!AU251,NA())</f>
        <v>0.5138427464008859</v>
      </c>
      <c r="J260">
        <f>IF('Lab test'!AT251&gt;0,'Lab test'!AT251,NA())</f>
        <v>0.18945160752767079</v>
      </c>
      <c r="K260" t="e">
        <f t="shared" si="141"/>
        <v>#N/A</v>
      </c>
      <c r="L260" t="str">
        <f>'Lab test'!AC251</f>
        <v>CLTW</v>
      </c>
      <c r="W260">
        <v>248</v>
      </c>
      <c r="X260" t="e">
        <v>#N/A</v>
      </c>
      <c r="Z260" t="e">
        <f t="shared" si="123"/>
        <v>#N/A</v>
      </c>
      <c r="AB260" t="e">
        <f t="shared" si="149"/>
        <v>#N/A</v>
      </c>
      <c r="AC260" t="e">
        <f t="shared" si="124"/>
        <v>#N/A</v>
      </c>
      <c r="AE260" t="e">
        <v>#N/A</v>
      </c>
      <c r="AF260" t="e">
        <v>#N/A</v>
      </c>
      <c r="AO260">
        <v>248</v>
      </c>
      <c r="AP260" t="e">
        <v>#N/A</v>
      </c>
      <c r="AR260" t="e">
        <f t="shared" si="127"/>
        <v>#N/A</v>
      </c>
      <c r="AT260" t="e">
        <f t="shared" si="128"/>
        <v>#N/A</v>
      </c>
      <c r="AU260" t="e">
        <f t="shared" si="129"/>
        <v>#N/A</v>
      </c>
      <c r="AW260" t="e">
        <v>#N/A</v>
      </c>
      <c r="AX260" t="e">
        <v>#N/A</v>
      </c>
      <c r="BF260">
        <v>248</v>
      </c>
      <c r="BG260" t="e">
        <v>#N/A</v>
      </c>
      <c r="BI260" t="e">
        <f t="shared" si="132"/>
        <v>#N/A</v>
      </c>
      <c r="BK260" t="e">
        <f t="shared" si="133"/>
        <v>#N/A</v>
      </c>
      <c r="BL260" t="e">
        <f t="shared" si="134"/>
        <v>#N/A</v>
      </c>
      <c r="BN260" t="e">
        <v>#N/A</v>
      </c>
      <c r="BO260" t="e">
        <v>#N/A</v>
      </c>
      <c r="BW260">
        <v>248</v>
      </c>
      <c r="BX260" t="e">
        <v>#N/A</v>
      </c>
      <c r="BZ260" t="e">
        <f t="shared" si="137"/>
        <v>#N/A</v>
      </c>
      <c r="CB260" t="e">
        <f t="shared" si="148"/>
        <v>#N/A</v>
      </c>
      <c r="CC260" t="e">
        <f t="shared" si="138"/>
        <v>#N/A</v>
      </c>
      <c r="CE260" t="e">
        <v>#N/A</v>
      </c>
      <c r="CF260" t="e">
        <v>#N/A</v>
      </c>
    </row>
    <row r="261" spans="2:84">
      <c r="B261">
        <v>249</v>
      </c>
      <c r="C261" t="e">
        <f>IF(ISNUMBER(K261),IF('Lab test'!N252&gt;0,'Lab test'!N252,NA()),NA())</f>
        <v>#N/A</v>
      </c>
      <c r="D261" t="e">
        <f>IF(ISNUMBER(K261),IF('Lab test'!Q252&gt;0,'Lab test'!Q252,NA()),NA())</f>
        <v>#N/A</v>
      </c>
      <c r="E261" t="e">
        <f>IF(ISNUMBER(K261),IF('Lab test'!P252&gt;0,'Lab test'!P252,NA()),NA())</f>
        <v>#N/A</v>
      </c>
      <c r="F261" t="e">
        <f>IF(ISNUMBER(K261),IF('Lab test'!AJ252&gt;0,'Lab test'!AJ252,NA()),NA())</f>
        <v>#N/A</v>
      </c>
      <c r="G261">
        <f>IF('Lab test'!V252&gt;0,'Lab test'!V252,NA())</f>
        <v>205463.848</v>
      </c>
      <c r="H261">
        <f>IF(MAX('Lab test'!W252,'Lab test'!X252)&gt;0,MAX('Lab test'!W252,'Lab test'!X252),NA())</f>
        <v>262.69035600000001</v>
      </c>
      <c r="I261">
        <f>IF('Lab test'!AU252&gt;0,'Lab test'!AU252,NA())</f>
        <v>0.61154855643044614</v>
      </c>
      <c r="J261">
        <f>IF('Lab test'!AT252&gt;0,'Lab test'!AT252,NA())</f>
        <v>0.18376620870063035</v>
      </c>
      <c r="K261" t="e">
        <f t="shared" si="141"/>
        <v>#N/A</v>
      </c>
      <c r="L261" t="str">
        <f>'Lab test'!AC252</f>
        <v>CLTW</v>
      </c>
      <c r="W261">
        <v>249</v>
      </c>
      <c r="X261" t="e">
        <v>#N/A</v>
      </c>
      <c r="Z261" t="e">
        <f t="shared" si="123"/>
        <v>#N/A</v>
      </c>
      <c r="AB261" t="e">
        <f t="shared" si="149"/>
        <v>#N/A</v>
      </c>
      <c r="AC261" t="e">
        <f t="shared" si="124"/>
        <v>#N/A</v>
      </c>
      <c r="AE261" t="e">
        <v>#N/A</v>
      </c>
      <c r="AF261" t="e">
        <v>#N/A</v>
      </c>
      <c r="AO261">
        <v>249</v>
      </c>
      <c r="AP261" t="e">
        <v>#N/A</v>
      </c>
      <c r="AR261" t="e">
        <f t="shared" si="127"/>
        <v>#N/A</v>
      </c>
      <c r="AT261" t="e">
        <f t="shared" si="128"/>
        <v>#N/A</v>
      </c>
      <c r="AU261" t="e">
        <f t="shared" si="129"/>
        <v>#N/A</v>
      </c>
      <c r="AW261" t="e">
        <v>#N/A</v>
      </c>
      <c r="AX261" t="e">
        <v>#N/A</v>
      </c>
      <c r="BF261">
        <v>249</v>
      </c>
      <c r="BG261" t="e">
        <v>#N/A</v>
      </c>
      <c r="BI261" t="e">
        <f t="shared" si="132"/>
        <v>#N/A</v>
      </c>
      <c r="BK261" t="e">
        <f t="shared" si="133"/>
        <v>#N/A</v>
      </c>
      <c r="BL261" t="e">
        <f t="shared" si="134"/>
        <v>#N/A</v>
      </c>
      <c r="BN261" t="e">
        <v>#N/A</v>
      </c>
      <c r="BO261" t="e">
        <v>#N/A</v>
      </c>
      <c r="BW261">
        <v>249</v>
      </c>
      <c r="BX261" t="e">
        <v>#N/A</v>
      </c>
      <c r="BZ261" t="e">
        <f t="shared" si="137"/>
        <v>#N/A</v>
      </c>
      <c r="CB261" t="e">
        <f t="shared" si="148"/>
        <v>#N/A</v>
      </c>
      <c r="CC261" t="e">
        <f t="shared" si="138"/>
        <v>#N/A</v>
      </c>
      <c r="CE261" t="e">
        <v>#N/A</v>
      </c>
      <c r="CF261" t="e">
        <v>#N/A</v>
      </c>
    </row>
    <row r="262" spans="2:84">
      <c r="B262">
        <v>250</v>
      </c>
      <c r="C262" t="e">
        <f>IF(ISNUMBER(K262),IF('Lab test'!N253&gt;0,'Lab test'!N253,NA()),NA())</f>
        <v>#N/A</v>
      </c>
      <c r="D262" t="e">
        <f>IF(ISNUMBER(K262),IF('Lab test'!Q253&gt;0,'Lab test'!Q253,NA()),NA())</f>
        <v>#N/A</v>
      </c>
      <c r="E262" t="e">
        <f>IF(ISNUMBER(K262),IF('Lab test'!P253&gt;0,'Lab test'!P253,NA()),NA())</f>
        <v>#N/A</v>
      </c>
      <c r="F262" t="e">
        <f>IF(ISNUMBER(K262),IF('Lab test'!AJ253&gt;0,'Lab test'!AJ253,NA()),NA())</f>
        <v>#N/A</v>
      </c>
      <c r="G262">
        <f>IF('Lab test'!V253&gt;0,'Lab test'!V253,NA())</f>
        <v>197879.61199999999</v>
      </c>
      <c r="H262">
        <f>IF(MAX('Lab test'!W253,'Lab test'!X253)&gt;0,MAX('Lab test'!W253,'Lab test'!X253),NA())</f>
        <v>176.16111799999999</v>
      </c>
      <c r="I262">
        <f>IF('Lab test'!AU253&gt;0,'Lab test'!AU253,NA())</f>
        <v>0.40704500978473579</v>
      </c>
      <c r="J262">
        <f>IF('Lab test'!AT253&gt;0,'Lab test'!AT253,NA())</f>
        <v>9.9457210619263534E-2</v>
      </c>
      <c r="K262" t="e">
        <f t="shared" si="141"/>
        <v>#N/A</v>
      </c>
      <c r="L262" t="str">
        <f>'Lab test'!AC253</f>
        <v>LTWa</v>
      </c>
      <c r="W262">
        <v>250</v>
      </c>
      <c r="X262" t="e">
        <v>#N/A</v>
      </c>
      <c r="Z262" t="e">
        <f t="shared" si="123"/>
        <v>#N/A</v>
      </c>
      <c r="AB262" t="e">
        <f t="shared" si="149"/>
        <v>#N/A</v>
      </c>
      <c r="AC262" t="e">
        <f t="shared" si="124"/>
        <v>#N/A</v>
      </c>
      <c r="AE262" t="e">
        <v>#N/A</v>
      </c>
      <c r="AF262" t="e">
        <v>#N/A</v>
      </c>
      <c r="AO262">
        <v>250</v>
      </c>
      <c r="AP262" t="e">
        <v>#N/A</v>
      </c>
      <c r="AR262" t="e">
        <f t="shared" si="127"/>
        <v>#N/A</v>
      </c>
      <c r="AT262" t="e">
        <f t="shared" si="128"/>
        <v>#N/A</v>
      </c>
      <c r="AU262" t="e">
        <f t="shared" si="129"/>
        <v>#N/A</v>
      </c>
      <c r="AW262" t="e">
        <v>#N/A</v>
      </c>
      <c r="AX262" t="e">
        <v>#N/A</v>
      </c>
      <c r="BF262">
        <v>250</v>
      </c>
      <c r="BG262" t="e">
        <v>#N/A</v>
      </c>
      <c r="BI262" t="e">
        <f t="shared" si="132"/>
        <v>#N/A</v>
      </c>
      <c r="BK262" t="e">
        <f t="shared" si="133"/>
        <v>#N/A</v>
      </c>
      <c r="BL262" t="e">
        <f t="shared" si="134"/>
        <v>#N/A</v>
      </c>
      <c r="BN262" t="e">
        <v>#N/A</v>
      </c>
      <c r="BO262" t="e">
        <v>#N/A</v>
      </c>
      <c r="BW262">
        <v>250</v>
      </c>
      <c r="BX262" t="e">
        <v>#N/A</v>
      </c>
      <c r="BZ262" t="e">
        <f t="shared" si="137"/>
        <v>#N/A</v>
      </c>
      <c r="CB262" t="e">
        <f t="shared" si="148"/>
        <v>#N/A</v>
      </c>
      <c r="CC262" t="e">
        <f t="shared" si="138"/>
        <v>#N/A</v>
      </c>
      <c r="CE262" t="e">
        <v>#N/A</v>
      </c>
      <c r="CF262" t="e">
        <v>#N/A</v>
      </c>
    </row>
    <row r="263" spans="2:84">
      <c r="B263">
        <v>251</v>
      </c>
      <c r="C263" t="e">
        <f>IF(ISNUMBER(K263),IF('Lab test'!N254&gt;0,'Lab test'!N254,NA()),NA())</f>
        <v>#N/A</v>
      </c>
      <c r="D263" t="e">
        <f>IF(ISNUMBER(K263),IF('Lab test'!Q254&gt;0,'Lab test'!Q254,NA()),NA())</f>
        <v>#N/A</v>
      </c>
      <c r="E263" t="e">
        <f>IF(ISNUMBER(K263),IF('Lab test'!P254&gt;0,'Lab test'!P254,NA()),NA())</f>
        <v>#N/A</v>
      </c>
      <c r="F263" t="e">
        <f>IF(ISNUMBER(K263),IF('Lab test'!AJ254&gt;0,'Lab test'!AJ254,NA()),NA())</f>
        <v>#N/A</v>
      </c>
      <c r="G263">
        <f>IF('Lab test'!V254&gt;0,'Lab test'!V254,NA())</f>
        <v>207532.27599999998</v>
      </c>
      <c r="H263">
        <f>IF(MAX('Lab test'!W254,'Lab test'!X254)&gt;0,MAX('Lab test'!W254,'Lab test'!X254),NA())</f>
        <v>186.50325799999999</v>
      </c>
      <c r="I263">
        <f>IF('Lab test'!AU254&gt;0,'Lab test'!AU254,NA())</f>
        <v>0.5471349353049908</v>
      </c>
      <c r="J263">
        <f>IF('Lab test'!AT254&gt;0,'Lab test'!AT254,NA())</f>
        <v>0.13653989910355002</v>
      </c>
      <c r="K263" t="e">
        <f t="shared" si="141"/>
        <v>#N/A</v>
      </c>
      <c r="L263" t="str">
        <f>'Lab test'!AC254</f>
        <v>LTWa</v>
      </c>
      <c r="W263">
        <v>251</v>
      </c>
      <c r="X263" t="e">
        <v>#N/A</v>
      </c>
      <c r="Z263" t="e">
        <f t="shared" si="123"/>
        <v>#N/A</v>
      </c>
      <c r="AB263" t="e">
        <f t="shared" si="149"/>
        <v>#N/A</v>
      </c>
      <c r="AC263" t="e">
        <f t="shared" si="124"/>
        <v>#N/A</v>
      </c>
      <c r="AE263" t="e">
        <v>#N/A</v>
      </c>
      <c r="AF263" t="e">
        <v>#N/A</v>
      </c>
      <c r="AO263">
        <v>251</v>
      </c>
      <c r="AP263" t="e">
        <v>#N/A</v>
      </c>
      <c r="AR263" t="e">
        <f t="shared" si="127"/>
        <v>#N/A</v>
      </c>
      <c r="AT263" t="e">
        <f t="shared" si="128"/>
        <v>#N/A</v>
      </c>
      <c r="AU263" t="e">
        <f t="shared" si="129"/>
        <v>#N/A</v>
      </c>
      <c r="AW263" t="e">
        <v>#N/A</v>
      </c>
      <c r="AX263" t="e">
        <v>#N/A</v>
      </c>
      <c r="BF263">
        <v>251</v>
      </c>
      <c r="BG263" t="e">
        <v>#N/A</v>
      </c>
      <c r="BI263" t="e">
        <f t="shared" si="132"/>
        <v>#N/A</v>
      </c>
      <c r="BK263" t="e">
        <f t="shared" si="133"/>
        <v>#N/A</v>
      </c>
      <c r="BL263" t="e">
        <f t="shared" si="134"/>
        <v>#N/A</v>
      </c>
      <c r="BN263" t="e">
        <v>#N/A</v>
      </c>
      <c r="BO263" t="e">
        <v>#N/A</v>
      </c>
      <c r="BW263">
        <v>251</v>
      </c>
      <c r="BX263" t="e">
        <v>#N/A</v>
      </c>
      <c r="BZ263" t="e">
        <f t="shared" si="137"/>
        <v>#N/A</v>
      </c>
      <c r="CB263" t="e">
        <f t="shared" si="148"/>
        <v>#N/A</v>
      </c>
      <c r="CC263" t="e">
        <f t="shared" si="138"/>
        <v>#N/A</v>
      </c>
      <c r="CE263" t="e">
        <v>#N/A</v>
      </c>
      <c r="CF263" t="e">
        <v>#N/A</v>
      </c>
    </row>
    <row r="264" spans="2:84">
      <c r="B264">
        <v>252</v>
      </c>
      <c r="C264" t="e">
        <f>IF(ISNUMBER(K264),IF('Lab test'!N255&gt;0,'Lab test'!N255,NA()),NA())</f>
        <v>#N/A</v>
      </c>
      <c r="D264" t="e">
        <f>IF(ISNUMBER(K264),IF('Lab test'!Q255&gt;0,'Lab test'!Q255,NA()),NA())</f>
        <v>#N/A</v>
      </c>
      <c r="E264" t="e">
        <f>IF(ISNUMBER(K264),IF('Lab test'!P255&gt;0,'Lab test'!P255,NA()),NA())</f>
        <v>#N/A</v>
      </c>
      <c r="F264" t="e">
        <f>IF(ISNUMBER(K264),IF('Lab test'!AJ255&gt;0,'Lab test'!AJ255,NA()),NA())</f>
        <v>#N/A</v>
      </c>
      <c r="G264">
        <f>IF('Lab test'!V255&gt;0,'Lab test'!V255,NA())</f>
        <v>207532.27599999998</v>
      </c>
      <c r="H264">
        <f>IF(MAX('Lab test'!W255,'Lab test'!X255)&gt;0,MAX('Lab test'!W255,'Lab test'!X255),NA())</f>
        <v>186.50325799999999</v>
      </c>
      <c r="I264">
        <f>IF('Lab test'!AU255&gt;0,'Lab test'!AU255,NA())</f>
        <v>0.33493530499075785</v>
      </c>
      <c r="J264">
        <f>IF('Lab test'!AT255&gt;0,'Lab test'!AT255,NA())</f>
        <v>0.16359477998255403</v>
      </c>
      <c r="K264" t="e">
        <f t="shared" si="141"/>
        <v>#N/A</v>
      </c>
      <c r="L264" t="str">
        <f>'Lab test'!AC255</f>
        <v>LTWa</v>
      </c>
      <c r="W264">
        <v>252</v>
      </c>
      <c r="X264" t="e">
        <v>#N/A</v>
      </c>
      <c r="Z264" t="e">
        <f t="shared" si="123"/>
        <v>#N/A</v>
      </c>
      <c r="AB264" t="e">
        <f t="shared" si="149"/>
        <v>#N/A</v>
      </c>
      <c r="AC264" t="e">
        <f t="shared" si="124"/>
        <v>#N/A</v>
      </c>
      <c r="AE264" t="e">
        <v>#N/A</v>
      </c>
      <c r="AF264" t="e">
        <v>#N/A</v>
      </c>
      <c r="AO264">
        <v>252</v>
      </c>
      <c r="AP264" t="e">
        <v>#N/A</v>
      </c>
      <c r="AR264" t="e">
        <f t="shared" si="127"/>
        <v>#N/A</v>
      </c>
      <c r="AT264" t="e">
        <f t="shared" si="128"/>
        <v>#N/A</v>
      </c>
      <c r="AU264" t="e">
        <f t="shared" si="129"/>
        <v>#N/A</v>
      </c>
      <c r="AW264" t="e">
        <v>#N/A</v>
      </c>
      <c r="AX264" t="e">
        <v>#N/A</v>
      </c>
      <c r="BF264">
        <v>252</v>
      </c>
      <c r="BG264" t="e">
        <v>#N/A</v>
      </c>
      <c r="BI264" t="e">
        <f t="shared" si="132"/>
        <v>#N/A</v>
      </c>
      <c r="BK264" t="e">
        <f t="shared" si="133"/>
        <v>#N/A</v>
      </c>
      <c r="BL264" t="e">
        <f t="shared" si="134"/>
        <v>#N/A</v>
      </c>
      <c r="BN264" t="e">
        <v>#N/A</v>
      </c>
      <c r="BO264" t="e">
        <v>#N/A</v>
      </c>
      <c r="BW264">
        <v>252</v>
      </c>
      <c r="BX264" t="e">
        <v>#N/A</v>
      </c>
      <c r="BZ264" t="e">
        <f t="shared" si="137"/>
        <v>#N/A</v>
      </c>
      <c r="CB264" t="e">
        <f t="shared" si="148"/>
        <v>#N/A</v>
      </c>
      <c r="CC264" t="e">
        <f t="shared" si="138"/>
        <v>#N/A</v>
      </c>
      <c r="CE264" t="e">
        <v>#N/A</v>
      </c>
      <c r="CF264" t="e">
        <v>#N/A</v>
      </c>
    </row>
    <row r="265" spans="2:84">
      <c r="B265">
        <v>253</v>
      </c>
      <c r="C265" t="e">
        <f>IF(ISNUMBER(K265),IF('Lab test'!N256&gt;0,'Lab test'!N256,NA()),NA())</f>
        <v>#N/A</v>
      </c>
      <c r="D265" t="e">
        <f>IF(ISNUMBER(K265),IF('Lab test'!Q256&gt;0,'Lab test'!Q256,NA()),NA())</f>
        <v>#N/A</v>
      </c>
      <c r="E265" t="e">
        <f>IF(ISNUMBER(K265),IF('Lab test'!P256&gt;0,'Lab test'!P256,NA()),NA())</f>
        <v>#N/A</v>
      </c>
      <c r="F265" t="e">
        <f>IF(ISNUMBER(K265),IF('Lab test'!AJ256&gt;0,'Lab test'!AJ256,NA()),NA())</f>
        <v>#N/A</v>
      </c>
      <c r="G265">
        <f>IF('Lab test'!V256&gt;0,'Lab test'!V256,NA())</f>
        <v>206842.8</v>
      </c>
      <c r="H265">
        <f>IF(MAX('Lab test'!W256,'Lab test'!X256)&gt;0,MAX('Lab test'!W256,'Lab test'!X256),NA())</f>
        <v>204.42963399999999</v>
      </c>
      <c r="I265">
        <f>IF('Lab test'!AU256&gt;0,'Lab test'!AU256,NA())</f>
        <v>0.30219224283305229</v>
      </c>
      <c r="J265">
        <f>IF('Lab test'!AT256&gt;0,'Lab test'!AT256,NA())</f>
        <v>0.25568824924188327</v>
      </c>
      <c r="K265" t="e">
        <f t="shared" si="141"/>
        <v>#N/A</v>
      </c>
      <c r="L265" t="str">
        <f>'Lab test'!AC256</f>
        <v>LTWa</v>
      </c>
      <c r="W265">
        <v>253</v>
      </c>
      <c r="X265" t="e">
        <v>#N/A</v>
      </c>
      <c r="Z265" t="e">
        <f t="shared" si="123"/>
        <v>#N/A</v>
      </c>
      <c r="AB265" t="e">
        <f t="shared" si="149"/>
        <v>#N/A</v>
      </c>
      <c r="AC265" t="e">
        <f t="shared" si="124"/>
        <v>#N/A</v>
      </c>
      <c r="AE265" t="e">
        <v>#N/A</v>
      </c>
      <c r="AF265" t="e">
        <v>#N/A</v>
      </c>
      <c r="AO265">
        <v>253</v>
      </c>
      <c r="AP265" t="e">
        <v>#N/A</v>
      </c>
      <c r="AR265" t="e">
        <f t="shared" si="127"/>
        <v>#N/A</v>
      </c>
      <c r="AT265" t="e">
        <f t="shared" si="128"/>
        <v>#N/A</v>
      </c>
      <c r="AU265" t="e">
        <f t="shared" si="129"/>
        <v>#N/A</v>
      </c>
      <c r="AW265" t="e">
        <v>#N/A</v>
      </c>
      <c r="AX265" t="e">
        <v>#N/A</v>
      </c>
      <c r="BF265">
        <v>253</v>
      </c>
      <c r="BG265" t="e">
        <v>#N/A</v>
      </c>
      <c r="BI265" t="e">
        <f t="shared" si="132"/>
        <v>#N/A</v>
      </c>
      <c r="BK265" t="e">
        <f t="shared" si="133"/>
        <v>#N/A</v>
      </c>
      <c r="BL265" t="e">
        <f t="shared" si="134"/>
        <v>#N/A</v>
      </c>
      <c r="BN265" t="e">
        <v>#N/A</v>
      </c>
      <c r="BO265" t="e">
        <v>#N/A</v>
      </c>
      <c r="BW265">
        <v>253</v>
      </c>
      <c r="BX265" t="e">
        <v>#N/A</v>
      </c>
      <c r="BZ265" t="e">
        <f t="shared" si="137"/>
        <v>#N/A</v>
      </c>
      <c r="CB265" t="e">
        <f t="shared" si="148"/>
        <v>#N/A</v>
      </c>
      <c r="CC265" t="e">
        <f t="shared" si="138"/>
        <v>#N/A</v>
      </c>
      <c r="CE265" t="e">
        <v>#N/A</v>
      </c>
      <c r="CF265" t="e">
        <v>#N/A</v>
      </c>
    </row>
    <row r="266" spans="2:84">
      <c r="B266">
        <v>254</v>
      </c>
      <c r="C266" t="e">
        <f>IF(ISNUMBER(K266),IF('Lab test'!N257&gt;0,'Lab test'!N257,NA()),NA())</f>
        <v>#N/A</v>
      </c>
      <c r="D266" t="e">
        <f>IF(ISNUMBER(K266),IF('Lab test'!Q257&gt;0,'Lab test'!Q257,NA()),NA())</f>
        <v>#N/A</v>
      </c>
      <c r="E266" t="e">
        <f>IF(ISNUMBER(K266),IF('Lab test'!P257&gt;0,'Lab test'!P257,NA()),NA())</f>
        <v>#N/A</v>
      </c>
      <c r="F266" t="e">
        <f>IF(ISNUMBER(K266),IF('Lab test'!AJ257&gt;0,'Lab test'!AJ257,NA()),NA())</f>
        <v>#N/A</v>
      </c>
      <c r="G266">
        <f>IF('Lab test'!V257&gt;0,'Lab test'!V257,NA())</f>
        <v>206842.8</v>
      </c>
      <c r="H266">
        <f>IF(MAX('Lab test'!W257,'Lab test'!X257)&gt;0,MAX('Lab test'!W257,'Lab test'!X257),NA())</f>
        <v>223.04548599999998</v>
      </c>
      <c r="I266">
        <f>IF('Lab test'!AU257&gt;0,'Lab test'!AU257,NA())</f>
        <v>0.31406491499227207</v>
      </c>
      <c r="J266">
        <f>IF('Lab test'!AT257&gt;0,'Lab test'!AT257,NA())</f>
        <v>0.25205818360552606</v>
      </c>
      <c r="K266" t="e">
        <f t="shared" si="141"/>
        <v>#N/A</v>
      </c>
      <c r="L266" t="str">
        <f>'Lab test'!AC257</f>
        <v>LTWa</v>
      </c>
      <c r="W266">
        <v>254</v>
      </c>
      <c r="X266" t="e">
        <v>#N/A</v>
      </c>
      <c r="Z266" t="e">
        <f t="shared" si="123"/>
        <v>#N/A</v>
      </c>
      <c r="AB266" t="e">
        <f t="shared" si="149"/>
        <v>#N/A</v>
      </c>
      <c r="AC266" t="e">
        <f t="shared" si="124"/>
        <v>#N/A</v>
      </c>
      <c r="AE266" t="e">
        <v>#N/A</v>
      </c>
      <c r="AF266" t="e">
        <v>#N/A</v>
      </c>
      <c r="AO266">
        <v>254</v>
      </c>
      <c r="AP266" t="e">
        <v>#N/A</v>
      </c>
      <c r="AR266" t="e">
        <f t="shared" si="127"/>
        <v>#N/A</v>
      </c>
      <c r="AT266" t="e">
        <f t="shared" si="128"/>
        <v>#N/A</v>
      </c>
      <c r="AU266" t="e">
        <f t="shared" si="129"/>
        <v>#N/A</v>
      </c>
      <c r="AW266" t="e">
        <v>#N/A</v>
      </c>
      <c r="AX266" t="e">
        <v>#N/A</v>
      </c>
      <c r="BF266">
        <v>254</v>
      </c>
      <c r="BG266" t="e">
        <v>#N/A</v>
      </c>
      <c r="BI266" t="e">
        <f t="shared" si="132"/>
        <v>#N/A</v>
      </c>
      <c r="BK266" t="e">
        <f t="shared" si="133"/>
        <v>#N/A</v>
      </c>
      <c r="BL266" t="e">
        <f t="shared" si="134"/>
        <v>#N/A</v>
      </c>
      <c r="BN266" t="e">
        <v>#N/A</v>
      </c>
      <c r="BO266" t="e">
        <v>#N/A</v>
      </c>
      <c r="BW266">
        <v>254</v>
      </c>
      <c r="BX266" t="e">
        <v>#N/A</v>
      </c>
      <c r="BZ266" t="e">
        <f t="shared" si="137"/>
        <v>#N/A</v>
      </c>
      <c r="CB266" t="e">
        <f t="shared" si="148"/>
        <v>#N/A</v>
      </c>
      <c r="CC266" t="e">
        <f t="shared" si="138"/>
        <v>#N/A</v>
      </c>
      <c r="CE266" t="e">
        <v>#N/A</v>
      </c>
      <c r="CF266" t="e">
        <v>#N/A</v>
      </c>
    </row>
    <row r="267" spans="2:84">
      <c r="B267">
        <v>255</v>
      </c>
      <c r="C267" t="e">
        <f>IF(ISNUMBER(K267),IF('Lab test'!N258&gt;0,'Lab test'!N258,NA()),NA())</f>
        <v>#N/A</v>
      </c>
      <c r="D267" t="e">
        <f>IF(ISNUMBER(K267),IF('Lab test'!Q258&gt;0,'Lab test'!Q258,NA()),NA())</f>
        <v>#N/A</v>
      </c>
      <c r="E267" t="e">
        <f>IF(ISNUMBER(K267),IF('Lab test'!P258&gt;0,'Lab test'!P258,NA()),NA())</f>
        <v>#N/A</v>
      </c>
      <c r="F267" t="e">
        <f>IF(ISNUMBER(K267),IF('Lab test'!AJ258&gt;0,'Lab test'!AJ258,NA()),NA())</f>
        <v>#N/A</v>
      </c>
      <c r="G267">
        <f>IF('Lab test'!V258&gt;0,'Lab test'!V258,NA())</f>
        <v>207532.27599999998</v>
      </c>
      <c r="H267">
        <f>IF(MAX('Lab test'!W258,'Lab test'!X258)&gt;0,MAX('Lab test'!W258,'Lab test'!X258),NA())</f>
        <v>275.44566199999997</v>
      </c>
      <c r="I267">
        <f>IF('Lab test'!AU258&gt;0,'Lab test'!AU258,NA())</f>
        <v>0.67334167709637049</v>
      </c>
      <c r="J267">
        <f>IF('Lab test'!AT258&gt;0,'Lab test'!AT258,NA())</f>
        <v>0.22171387824667943</v>
      </c>
      <c r="K267" t="e">
        <f t="shared" si="141"/>
        <v>#N/A</v>
      </c>
      <c r="L267" t="str">
        <f>'Lab test'!AC258</f>
        <v>LTWa</v>
      </c>
      <c r="W267">
        <v>255</v>
      </c>
      <c r="X267" t="e">
        <v>#N/A</v>
      </c>
      <c r="Z267" t="e">
        <f t="shared" si="123"/>
        <v>#N/A</v>
      </c>
      <c r="AB267" t="e">
        <f t="shared" si="149"/>
        <v>#N/A</v>
      </c>
      <c r="AC267" t="e">
        <f t="shared" si="124"/>
        <v>#N/A</v>
      </c>
      <c r="AE267" t="e">
        <v>#N/A</v>
      </c>
      <c r="AF267" t="e">
        <v>#N/A</v>
      </c>
      <c r="AO267">
        <v>255</v>
      </c>
      <c r="AP267" t="e">
        <v>#N/A</v>
      </c>
      <c r="AR267" t="e">
        <f t="shared" si="127"/>
        <v>#N/A</v>
      </c>
      <c r="AT267" t="e">
        <f t="shared" si="128"/>
        <v>#N/A</v>
      </c>
      <c r="AU267" t="e">
        <f t="shared" si="129"/>
        <v>#N/A</v>
      </c>
      <c r="AW267" t="e">
        <v>#N/A</v>
      </c>
      <c r="AX267" t="e">
        <v>#N/A</v>
      </c>
      <c r="BF267">
        <v>255</v>
      </c>
      <c r="BG267" t="e">
        <v>#N/A</v>
      </c>
      <c r="BI267" t="e">
        <f t="shared" si="132"/>
        <v>#N/A</v>
      </c>
      <c r="BK267" t="e">
        <f t="shared" si="133"/>
        <v>#N/A</v>
      </c>
      <c r="BL267" t="e">
        <f t="shared" si="134"/>
        <v>#N/A</v>
      </c>
      <c r="BN267" t="e">
        <v>#N/A</v>
      </c>
      <c r="BO267" t="e">
        <v>#N/A</v>
      </c>
      <c r="BW267">
        <v>255</v>
      </c>
      <c r="BX267" t="e">
        <v>#N/A</v>
      </c>
      <c r="BZ267" t="e">
        <f t="shared" si="137"/>
        <v>#N/A</v>
      </c>
      <c r="CB267" t="e">
        <f t="shared" si="148"/>
        <v>#N/A</v>
      </c>
      <c r="CC267" t="e">
        <f t="shared" si="138"/>
        <v>#N/A</v>
      </c>
      <c r="CE267" t="e">
        <v>#N/A</v>
      </c>
      <c r="CF267" t="e">
        <v>#N/A</v>
      </c>
    </row>
    <row r="268" spans="2:84">
      <c r="B268">
        <v>256</v>
      </c>
      <c r="C268" t="e">
        <f>IF(ISNUMBER(K268),IF('Lab test'!N259&gt;0,'Lab test'!N259,NA()),NA())</f>
        <v>#N/A</v>
      </c>
      <c r="D268" t="e">
        <f>IF(ISNUMBER(K268),IF('Lab test'!Q259&gt;0,'Lab test'!Q259,NA()),NA())</f>
        <v>#N/A</v>
      </c>
      <c r="E268" t="e">
        <f>IF(ISNUMBER(K268),IF('Lab test'!P259&gt;0,'Lab test'!P259,NA()),NA())</f>
        <v>#N/A</v>
      </c>
      <c r="F268" t="e">
        <f>IF(ISNUMBER(K268),IF('Lab test'!AJ259&gt;0,'Lab test'!AJ259,NA()),NA())</f>
        <v>#N/A</v>
      </c>
      <c r="G268">
        <f>IF('Lab test'!V259&gt;0,'Lab test'!V259,NA())</f>
        <v>200637.516</v>
      </c>
      <c r="H268">
        <f>IF(MAX('Lab test'!W259,'Lab test'!X259)&gt;0,MAX('Lab test'!W259,'Lab test'!X259),NA())</f>
        <v>282.68516</v>
      </c>
      <c r="I268">
        <f>IF('Lab test'!AU259&gt;0,'Lab test'!AU259,NA())</f>
        <v>0.6707317073170731</v>
      </c>
      <c r="J268">
        <f>IF('Lab test'!AT259&gt;0,'Lab test'!AT259,NA())</f>
        <v>0.22695125576955136</v>
      </c>
      <c r="K268" t="e">
        <f t="shared" si="141"/>
        <v>#N/A</v>
      </c>
      <c r="L268" t="str">
        <f>'Lab test'!AC259</f>
        <v>LTWa</v>
      </c>
      <c r="W268">
        <v>256</v>
      </c>
      <c r="X268" t="e">
        <v>#N/A</v>
      </c>
      <c r="Z268" t="e">
        <f t="shared" si="123"/>
        <v>#N/A</v>
      </c>
      <c r="AB268" t="e">
        <f t="shared" si="149"/>
        <v>#N/A</v>
      </c>
      <c r="AC268" t="e">
        <f t="shared" si="124"/>
        <v>#N/A</v>
      </c>
      <c r="AE268" t="e">
        <v>#N/A</v>
      </c>
      <c r="AF268" t="e">
        <v>#N/A</v>
      </c>
      <c r="AO268">
        <v>256</v>
      </c>
      <c r="AP268" t="e">
        <v>#N/A</v>
      </c>
      <c r="AR268" t="e">
        <f t="shared" si="127"/>
        <v>#N/A</v>
      </c>
      <c r="AT268" t="e">
        <f t="shared" si="128"/>
        <v>#N/A</v>
      </c>
      <c r="AU268" t="e">
        <f t="shared" si="129"/>
        <v>#N/A</v>
      </c>
      <c r="AW268" t="e">
        <v>#N/A</v>
      </c>
      <c r="AX268" t="e">
        <v>#N/A</v>
      </c>
      <c r="BF268">
        <v>256</v>
      </c>
      <c r="BG268" t="e">
        <v>#N/A</v>
      </c>
      <c r="BI268" t="e">
        <f t="shared" si="132"/>
        <v>#N/A</v>
      </c>
      <c r="BK268" t="e">
        <f t="shared" si="133"/>
        <v>#N/A</v>
      </c>
      <c r="BL268" t="e">
        <f t="shared" si="134"/>
        <v>#N/A</v>
      </c>
      <c r="BN268" t="e">
        <v>#N/A</v>
      </c>
      <c r="BO268" t="e">
        <v>#N/A</v>
      </c>
      <c r="BW268">
        <v>256</v>
      </c>
      <c r="BX268" t="e">
        <v>#N/A</v>
      </c>
      <c r="BZ268" t="e">
        <f t="shared" si="137"/>
        <v>#N/A</v>
      </c>
      <c r="CB268" t="e">
        <f t="shared" si="148"/>
        <v>#N/A</v>
      </c>
      <c r="CC268" t="e">
        <f t="shared" si="138"/>
        <v>#N/A</v>
      </c>
      <c r="CE268" t="e">
        <v>#N/A</v>
      </c>
      <c r="CF268" t="e">
        <v>#N/A</v>
      </c>
    </row>
    <row r="269" spans="2:84">
      <c r="B269">
        <v>257</v>
      </c>
      <c r="C269" t="e">
        <f>IF(ISNUMBER(K269),IF('Lab test'!N260&gt;0,'Lab test'!N260,NA()),NA())</f>
        <v>#N/A</v>
      </c>
      <c r="D269" t="e">
        <f>IF(ISNUMBER(K269),IF('Lab test'!Q260&gt;0,'Lab test'!Q260,NA()),NA())</f>
        <v>#N/A</v>
      </c>
      <c r="E269" t="e">
        <f>IF(ISNUMBER(K269),IF('Lab test'!P260&gt;0,'Lab test'!P260,NA()),NA())</f>
        <v>#N/A</v>
      </c>
      <c r="F269" t="e">
        <f>IF(ISNUMBER(K269),IF('Lab test'!AJ260&gt;0,'Lab test'!AJ260,NA()),NA())</f>
        <v>#N/A</v>
      </c>
      <c r="G269">
        <f>IF('Lab test'!V260&gt;0,'Lab test'!V260,NA())</f>
        <v>206153.32399999999</v>
      </c>
      <c r="H269">
        <f>IF(MAX('Lab test'!W260,'Lab test'!X260)&gt;0,MAX('Lab test'!W260,'Lab test'!X260),NA())</f>
        <v>170.30057199999999</v>
      </c>
      <c r="I269">
        <f>IF('Lab test'!AU260&gt;0,'Lab test'!AU260,NA())</f>
        <v>0.23117408906882592</v>
      </c>
      <c r="J269">
        <f>IF('Lab test'!AT260&gt;0,'Lab test'!AT260,NA())</f>
        <v>0.21035603896323504</v>
      </c>
      <c r="K269" t="e">
        <f t="shared" si="141"/>
        <v>#N/A</v>
      </c>
      <c r="L269" t="str">
        <f>'Lab test'!AC260</f>
        <v>Miscellaneous</v>
      </c>
      <c r="W269">
        <v>257</v>
      </c>
      <c r="X269" t="e">
        <v>#N/A</v>
      </c>
      <c r="Z269" t="e">
        <f t="shared" ref="Z269:Z332" si="150">IF(X269=X270,NA(),Y269)</f>
        <v>#N/A</v>
      </c>
      <c r="AB269" t="e">
        <f t="shared" si="149"/>
        <v>#N/A</v>
      </c>
      <c r="AC269" t="e">
        <f t="shared" ref="AC269:AC332" si="151">X269</f>
        <v>#N/A</v>
      </c>
      <c r="AE269" t="e">
        <v>#N/A</v>
      </c>
      <c r="AF269" t="e">
        <v>#N/A</v>
      </c>
      <c r="AO269">
        <v>257</v>
      </c>
      <c r="AP269" t="e">
        <v>#N/A</v>
      </c>
      <c r="AR269" t="e">
        <f t="shared" ref="AR269:AR332" si="152">IF(AP269=AP270,NA(),AQ269)</f>
        <v>#N/A</v>
      </c>
      <c r="AT269" t="e">
        <f t="shared" ref="AT269:AT332" si="153">AR269</f>
        <v>#N/A</v>
      </c>
      <c r="AU269" t="e">
        <f t="shared" ref="AU269:AU332" si="154">AP269</f>
        <v>#N/A</v>
      </c>
      <c r="AW269" t="e">
        <v>#N/A</v>
      </c>
      <c r="AX269" t="e">
        <v>#N/A</v>
      </c>
      <c r="BF269">
        <v>257</v>
      </c>
      <c r="BG269" t="e">
        <v>#N/A</v>
      </c>
      <c r="BI269" t="e">
        <f t="shared" ref="BI269:BI332" si="155">IF(BG269=BG270,NA(),BH269)</f>
        <v>#N/A</v>
      </c>
      <c r="BK269" t="e">
        <f t="shared" ref="BK269:BK332" si="156">BI269</f>
        <v>#N/A</v>
      </c>
      <c r="BL269" t="e">
        <f t="shared" ref="BL269:BL332" si="157">BG269</f>
        <v>#N/A</v>
      </c>
      <c r="BN269" t="e">
        <v>#N/A</v>
      </c>
      <c r="BO269" t="e">
        <v>#N/A</v>
      </c>
      <c r="BW269">
        <v>257</v>
      </c>
      <c r="BX269" t="e">
        <v>#N/A</v>
      </c>
      <c r="BZ269" t="e">
        <f t="shared" ref="BZ269:BZ332" si="158">IF(BX269=BX270,NA(),BY269)</f>
        <v>#N/A</v>
      </c>
      <c r="CB269" t="e">
        <f t="shared" si="148"/>
        <v>#N/A</v>
      </c>
      <c r="CC269" t="e">
        <f t="shared" ref="CC269:CC332" si="159">BX269</f>
        <v>#N/A</v>
      </c>
      <c r="CE269" t="e">
        <v>#N/A</v>
      </c>
      <c r="CF269" t="e">
        <v>#N/A</v>
      </c>
    </row>
    <row r="270" spans="2:84">
      <c r="B270">
        <v>258</v>
      </c>
      <c r="C270" t="e">
        <f>IF(ISNUMBER(K270),IF('Lab test'!N261&gt;0,'Lab test'!N261,NA()),NA())</f>
        <v>#N/A</v>
      </c>
      <c r="D270" t="e">
        <f>IF(ISNUMBER(K270),IF('Lab test'!Q261&gt;0,'Lab test'!Q261,NA()),NA())</f>
        <v>#N/A</v>
      </c>
      <c r="E270" t="e">
        <f>IF(ISNUMBER(K270),IF('Lab test'!P261&gt;0,'Lab test'!P261,NA()),NA())</f>
        <v>#N/A</v>
      </c>
      <c r="F270" t="e">
        <f>IF(ISNUMBER(K270),IF('Lab test'!AJ261&gt;0,'Lab test'!AJ261,NA()),NA())</f>
        <v>#N/A</v>
      </c>
      <c r="G270">
        <f>IF('Lab test'!V261&gt;0,'Lab test'!V261,NA())</f>
        <v>206153.32399999999</v>
      </c>
      <c r="H270">
        <f>IF(MAX('Lab test'!W261,'Lab test'!X261)&gt;0,MAX('Lab test'!W261,'Lab test'!X261),NA())</f>
        <v>170.30057199999999</v>
      </c>
      <c r="I270">
        <f>IF('Lab test'!AU261&gt;0,'Lab test'!AU261,NA())</f>
        <v>0.23238866396761132</v>
      </c>
      <c r="J270">
        <f>IF('Lab test'!AT261&gt;0,'Lab test'!AT261,NA())</f>
        <v>0.20731493830036216</v>
      </c>
      <c r="K270" t="e">
        <f t="shared" ref="K270:K333" si="160">IF(AND(OR(ISNUMBER(I270),ISNUMBER(J270)),ISNUMBER(G270),ISNUMBER(H270),L270="LTWb"),1,NA())</f>
        <v>#N/A</v>
      </c>
      <c r="L270" t="str">
        <f>'Lab test'!AC261</f>
        <v>Miscellaneous</v>
      </c>
      <c r="W270">
        <v>258</v>
      </c>
      <c r="X270" t="e">
        <v>#N/A</v>
      </c>
      <c r="Z270" t="e">
        <f t="shared" si="150"/>
        <v>#N/A</v>
      </c>
      <c r="AB270" t="e">
        <f t="shared" si="149"/>
        <v>#N/A</v>
      </c>
      <c r="AC270" t="e">
        <f t="shared" si="151"/>
        <v>#N/A</v>
      </c>
      <c r="AE270" t="e">
        <v>#N/A</v>
      </c>
      <c r="AF270" t="e">
        <v>#N/A</v>
      </c>
      <c r="AO270">
        <v>258</v>
      </c>
      <c r="AP270" t="e">
        <v>#N/A</v>
      </c>
      <c r="AR270" t="e">
        <f t="shared" si="152"/>
        <v>#N/A</v>
      </c>
      <c r="AT270" t="e">
        <f t="shared" si="153"/>
        <v>#N/A</v>
      </c>
      <c r="AU270" t="e">
        <f t="shared" si="154"/>
        <v>#N/A</v>
      </c>
      <c r="AW270" t="e">
        <v>#N/A</v>
      </c>
      <c r="AX270" t="e">
        <v>#N/A</v>
      </c>
      <c r="BF270">
        <v>258</v>
      </c>
      <c r="BG270" t="e">
        <v>#N/A</v>
      </c>
      <c r="BI270" t="e">
        <f t="shared" si="155"/>
        <v>#N/A</v>
      </c>
      <c r="BK270" t="e">
        <f t="shared" si="156"/>
        <v>#N/A</v>
      </c>
      <c r="BL270" t="e">
        <f t="shared" si="157"/>
        <v>#N/A</v>
      </c>
      <c r="BN270" t="e">
        <v>#N/A</v>
      </c>
      <c r="BO270" t="e">
        <v>#N/A</v>
      </c>
      <c r="BW270">
        <v>258</v>
      </c>
      <c r="BX270" t="e">
        <v>#N/A</v>
      </c>
      <c r="BZ270" t="e">
        <f t="shared" si="158"/>
        <v>#N/A</v>
      </c>
      <c r="CB270" t="e">
        <f t="shared" si="148"/>
        <v>#N/A</v>
      </c>
      <c r="CC270" t="e">
        <f t="shared" si="159"/>
        <v>#N/A</v>
      </c>
      <c r="CE270" t="e">
        <v>#N/A</v>
      </c>
      <c r="CF270" t="e">
        <v>#N/A</v>
      </c>
    </row>
    <row r="271" spans="2:84">
      <c r="B271">
        <v>259</v>
      </c>
      <c r="C271" t="e">
        <f>IF(ISNUMBER(K271),IF('Lab test'!N262&gt;0,'Lab test'!N262,NA()),NA())</f>
        <v>#N/A</v>
      </c>
      <c r="D271" t="e">
        <f>IF(ISNUMBER(K271),IF('Lab test'!Q262&gt;0,'Lab test'!Q262,NA()),NA())</f>
        <v>#N/A</v>
      </c>
      <c r="E271" t="e">
        <f>IF(ISNUMBER(K271),IF('Lab test'!P262&gt;0,'Lab test'!P262,NA()),NA())</f>
        <v>#N/A</v>
      </c>
      <c r="F271" t="e">
        <f>IF(ISNUMBER(K271),IF('Lab test'!AJ262&gt;0,'Lab test'!AJ262,NA()),NA())</f>
        <v>#N/A</v>
      </c>
      <c r="G271">
        <f>IF('Lab test'!V262&gt;0,'Lab test'!V262,NA())</f>
        <v>206842.8</v>
      </c>
      <c r="H271">
        <f>IF(MAX('Lab test'!W262,'Lab test'!X262)&gt;0,MAX('Lab test'!W262,'Lab test'!X262),NA())</f>
        <v>198.913826</v>
      </c>
      <c r="I271">
        <f>IF('Lab test'!AU262&gt;0,'Lab test'!AU262,NA())</f>
        <v>0.15355285961871751</v>
      </c>
      <c r="J271">
        <f>IF('Lab test'!AT262&gt;0,'Lab test'!AT262,NA())</f>
        <v>0.20164080598741679</v>
      </c>
      <c r="K271" t="e">
        <f t="shared" si="160"/>
        <v>#N/A</v>
      </c>
      <c r="L271" t="str">
        <f>'Lab test'!AC262</f>
        <v>Miscellaneous</v>
      </c>
      <c r="W271">
        <v>259</v>
      </c>
      <c r="X271" t="e">
        <v>#N/A</v>
      </c>
      <c r="Z271" t="e">
        <f t="shared" si="150"/>
        <v>#N/A</v>
      </c>
      <c r="AB271" t="e">
        <f t="shared" si="149"/>
        <v>#N/A</v>
      </c>
      <c r="AC271" t="e">
        <f t="shared" si="151"/>
        <v>#N/A</v>
      </c>
      <c r="AE271" t="e">
        <v>#N/A</v>
      </c>
      <c r="AF271" t="e">
        <v>#N/A</v>
      </c>
      <c r="AO271">
        <v>259</v>
      </c>
      <c r="AP271" t="e">
        <v>#N/A</v>
      </c>
      <c r="AR271" t="e">
        <f t="shared" si="152"/>
        <v>#N/A</v>
      </c>
      <c r="AT271" t="e">
        <f t="shared" si="153"/>
        <v>#N/A</v>
      </c>
      <c r="AU271" t="e">
        <f t="shared" si="154"/>
        <v>#N/A</v>
      </c>
      <c r="AW271" t="e">
        <v>#N/A</v>
      </c>
      <c r="AX271" t="e">
        <v>#N/A</v>
      </c>
      <c r="BF271">
        <v>259</v>
      </c>
      <c r="BG271" t="e">
        <v>#N/A</v>
      </c>
      <c r="BI271" t="e">
        <f t="shared" si="155"/>
        <v>#N/A</v>
      </c>
      <c r="BK271" t="e">
        <f t="shared" si="156"/>
        <v>#N/A</v>
      </c>
      <c r="BL271" t="e">
        <f t="shared" si="157"/>
        <v>#N/A</v>
      </c>
      <c r="BN271" t="e">
        <v>#N/A</v>
      </c>
      <c r="BO271" t="e">
        <v>#N/A</v>
      </c>
      <c r="BW271">
        <v>259</v>
      </c>
      <c r="BX271" t="e">
        <v>#N/A</v>
      </c>
      <c r="BZ271" t="e">
        <f t="shared" si="158"/>
        <v>#N/A</v>
      </c>
      <c r="CB271" t="e">
        <f t="shared" si="148"/>
        <v>#N/A</v>
      </c>
      <c r="CC271" t="e">
        <f t="shared" si="159"/>
        <v>#N/A</v>
      </c>
      <c r="CE271" t="e">
        <v>#N/A</v>
      </c>
      <c r="CF271" t="e">
        <v>#N/A</v>
      </c>
    </row>
    <row r="272" spans="2:84">
      <c r="B272">
        <v>260</v>
      </c>
      <c r="C272" t="e">
        <f>IF(ISNUMBER(K272),IF('Lab test'!N263&gt;0,'Lab test'!N263,NA()),NA())</f>
        <v>#N/A</v>
      </c>
      <c r="D272" t="e">
        <f>IF(ISNUMBER(K272),IF('Lab test'!Q263&gt;0,'Lab test'!Q263,NA()),NA())</f>
        <v>#N/A</v>
      </c>
      <c r="E272" t="e">
        <f>IF(ISNUMBER(K272),IF('Lab test'!P263&gt;0,'Lab test'!P263,NA()),NA())</f>
        <v>#N/A</v>
      </c>
      <c r="F272" t="e">
        <f>IF(ISNUMBER(K272),IF('Lab test'!AJ263&gt;0,'Lab test'!AJ263,NA()),NA())</f>
        <v>#N/A</v>
      </c>
      <c r="G272">
        <f>IF('Lab test'!V263&gt;0,'Lab test'!V263,NA())</f>
        <v>206842.8</v>
      </c>
      <c r="H272">
        <f>IF(MAX('Lab test'!W263,'Lab test'!X263)&gt;0,MAX('Lab test'!W263,'Lab test'!X263),NA())</f>
        <v>175.64401100000001</v>
      </c>
      <c r="I272">
        <f>IF('Lab test'!AU263&gt;0,'Lab test'!AU263,NA())</f>
        <v>0.16800785083415112</v>
      </c>
      <c r="J272">
        <f>IF('Lab test'!AT263&gt;0,'Lab test'!AT263,NA())</f>
        <v>0.199766118155801</v>
      </c>
      <c r="K272" t="e">
        <f t="shared" si="160"/>
        <v>#N/A</v>
      </c>
      <c r="L272" t="str">
        <f>'Lab test'!AC263</f>
        <v>Miscellaneous</v>
      </c>
      <c r="W272">
        <v>260</v>
      </c>
      <c r="X272" t="e">
        <v>#N/A</v>
      </c>
      <c r="Z272" t="e">
        <f t="shared" si="150"/>
        <v>#N/A</v>
      </c>
      <c r="AB272" t="e">
        <f t="shared" si="149"/>
        <v>#N/A</v>
      </c>
      <c r="AC272" t="e">
        <f t="shared" si="151"/>
        <v>#N/A</v>
      </c>
      <c r="AE272" t="e">
        <v>#N/A</v>
      </c>
      <c r="AF272" t="e">
        <v>#N/A</v>
      </c>
      <c r="AO272">
        <v>260</v>
      </c>
      <c r="AP272" t="e">
        <v>#N/A</v>
      </c>
      <c r="AR272" t="e">
        <f t="shared" si="152"/>
        <v>#N/A</v>
      </c>
      <c r="AT272" t="e">
        <f t="shared" si="153"/>
        <v>#N/A</v>
      </c>
      <c r="AU272" t="e">
        <f t="shared" si="154"/>
        <v>#N/A</v>
      </c>
      <c r="AW272" t="e">
        <v>#N/A</v>
      </c>
      <c r="AX272" t="e">
        <v>#N/A</v>
      </c>
      <c r="BF272">
        <v>260</v>
      </c>
      <c r="BG272" t="e">
        <v>#N/A</v>
      </c>
      <c r="BI272" t="e">
        <f t="shared" si="155"/>
        <v>#N/A</v>
      </c>
      <c r="BK272" t="e">
        <f t="shared" si="156"/>
        <v>#N/A</v>
      </c>
      <c r="BL272" t="e">
        <f t="shared" si="157"/>
        <v>#N/A</v>
      </c>
      <c r="BN272" t="e">
        <v>#N/A</v>
      </c>
      <c r="BO272" t="e">
        <v>#N/A</v>
      </c>
      <c r="BW272">
        <v>260</v>
      </c>
      <c r="BX272" t="e">
        <v>#N/A</v>
      </c>
      <c r="BZ272" t="e">
        <f t="shared" si="158"/>
        <v>#N/A</v>
      </c>
      <c r="CB272" t="e">
        <f t="shared" si="148"/>
        <v>#N/A</v>
      </c>
      <c r="CC272" t="e">
        <f t="shared" si="159"/>
        <v>#N/A</v>
      </c>
      <c r="CE272" t="e">
        <v>#N/A</v>
      </c>
      <c r="CF272" t="e">
        <v>#N/A</v>
      </c>
    </row>
    <row r="273" spans="2:84">
      <c r="B273">
        <v>261</v>
      </c>
      <c r="C273" t="e">
        <f>IF(ISNUMBER(K273),IF('Lab test'!N264&gt;0,'Lab test'!N264,NA()),NA())</f>
        <v>#N/A</v>
      </c>
      <c r="D273" t="e">
        <f>IF(ISNUMBER(K273),IF('Lab test'!Q264&gt;0,'Lab test'!Q264,NA()),NA())</f>
        <v>#N/A</v>
      </c>
      <c r="E273" t="e">
        <f>IF(ISNUMBER(K273),IF('Lab test'!P264&gt;0,'Lab test'!P264,NA()),NA())</f>
        <v>#N/A</v>
      </c>
      <c r="F273" t="e">
        <f>IF(ISNUMBER(K273),IF('Lab test'!AJ264&gt;0,'Lab test'!AJ264,NA()),NA())</f>
        <v>#N/A</v>
      </c>
      <c r="G273">
        <f>IF('Lab test'!V264&gt;0,'Lab test'!V264,NA())</f>
        <v>206842.8</v>
      </c>
      <c r="H273">
        <f>IF(MAX('Lab test'!W264,'Lab test'!X264)&gt;0,MAX('Lab test'!W264,'Lab test'!X264),NA())</f>
        <v>218.35704920000001</v>
      </c>
      <c r="I273">
        <f>IF('Lab test'!AU264&gt;0,'Lab test'!AU264,NA())</f>
        <v>0.13135459425323651</v>
      </c>
      <c r="J273">
        <f>IF('Lab test'!AT264&gt;0,'Lab test'!AT264,NA())</f>
        <v>0.22244168423990465</v>
      </c>
      <c r="K273" t="e">
        <f t="shared" si="160"/>
        <v>#N/A</v>
      </c>
      <c r="L273" t="str">
        <f>'Lab test'!AC264</f>
        <v>Miscellaneous</v>
      </c>
      <c r="W273">
        <v>261</v>
      </c>
      <c r="X273" t="e">
        <v>#N/A</v>
      </c>
      <c r="Z273" t="e">
        <f t="shared" si="150"/>
        <v>#N/A</v>
      </c>
      <c r="AB273" t="e">
        <f t="shared" si="149"/>
        <v>#N/A</v>
      </c>
      <c r="AC273" t="e">
        <f t="shared" si="151"/>
        <v>#N/A</v>
      </c>
      <c r="AE273" t="e">
        <v>#N/A</v>
      </c>
      <c r="AF273" t="e">
        <v>#N/A</v>
      </c>
      <c r="AO273">
        <v>261</v>
      </c>
      <c r="AP273" t="e">
        <v>#N/A</v>
      </c>
      <c r="AR273" t="e">
        <f t="shared" si="152"/>
        <v>#N/A</v>
      </c>
      <c r="AT273" t="e">
        <f t="shared" si="153"/>
        <v>#N/A</v>
      </c>
      <c r="AU273" t="e">
        <f t="shared" si="154"/>
        <v>#N/A</v>
      </c>
      <c r="AW273" t="e">
        <v>#N/A</v>
      </c>
      <c r="AX273" t="e">
        <v>#N/A</v>
      </c>
      <c r="BF273">
        <v>261</v>
      </c>
      <c r="BG273" t="e">
        <v>#N/A</v>
      </c>
      <c r="BI273" t="e">
        <f t="shared" si="155"/>
        <v>#N/A</v>
      </c>
      <c r="BK273" t="e">
        <f t="shared" si="156"/>
        <v>#N/A</v>
      </c>
      <c r="BL273" t="e">
        <f t="shared" si="157"/>
        <v>#N/A</v>
      </c>
      <c r="BN273" t="e">
        <v>#N/A</v>
      </c>
      <c r="BO273" t="e">
        <v>#N/A</v>
      </c>
      <c r="BW273">
        <v>261</v>
      </c>
      <c r="BX273" t="e">
        <v>#N/A</v>
      </c>
      <c r="BZ273" t="e">
        <f t="shared" si="158"/>
        <v>#N/A</v>
      </c>
      <c r="CB273" t="e">
        <f t="shared" si="148"/>
        <v>#N/A</v>
      </c>
      <c r="CC273" t="e">
        <f t="shared" si="159"/>
        <v>#N/A</v>
      </c>
      <c r="CE273" t="e">
        <v>#N/A</v>
      </c>
      <c r="CF273" t="e">
        <v>#N/A</v>
      </c>
    </row>
    <row r="274" spans="2:84">
      <c r="B274">
        <v>262</v>
      </c>
      <c r="C274" t="e">
        <f>IF(ISNUMBER(K274),IF('Lab test'!N265&gt;0,'Lab test'!N265,NA()),NA())</f>
        <v>#N/A</v>
      </c>
      <c r="D274" t="e">
        <f>IF(ISNUMBER(K274),IF('Lab test'!Q265&gt;0,'Lab test'!Q265,NA()),NA())</f>
        <v>#N/A</v>
      </c>
      <c r="E274" t="e">
        <f>IF(ISNUMBER(K274),IF('Lab test'!P265&gt;0,'Lab test'!P265,NA()),NA())</f>
        <v>#N/A</v>
      </c>
      <c r="F274" t="e">
        <f>IF(ISNUMBER(K274),IF('Lab test'!AJ265&gt;0,'Lab test'!AJ265,NA()),NA())</f>
        <v>#N/A</v>
      </c>
      <c r="G274">
        <f>IF('Lab test'!V265&gt;0,'Lab test'!V265,NA())</f>
        <v>206842.8</v>
      </c>
      <c r="H274">
        <f>IF(MAX('Lab test'!W265,'Lab test'!X265)&gt;0,MAX('Lab test'!W265,'Lab test'!X265),NA())</f>
        <v>315.43527</v>
      </c>
      <c r="I274">
        <f>IF('Lab test'!AU265&gt;0,'Lab test'!AU265,NA())</f>
        <v>8.4590163934426227E-2</v>
      </c>
      <c r="J274">
        <f>IF('Lab test'!AT265&gt;0,'Lab test'!AT265,NA())</f>
        <v>0.21103265364353677</v>
      </c>
      <c r="K274" t="e">
        <f t="shared" si="160"/>
        <v>#N/A</v>
      </c>
      <c r="L274" t="str">
        <f>'Lab test'!AC265</f>
        <v>Miscellaneous</v>
      </c>
      <c r="W274">
        <v>262</v>
      </c>
      <c r="X274" t="e">
        <v>#N/A</v>
      </c>
      <c r="Z274" t="e">
        <f t="shared" si="150"/>
        <v>#N/A</v>
      </c>
      <c r="AB274" t="e">
        <f t="shared" si="149"/>
        <v>#N/A</v>
      </c>
      <c r="AC274" t="e">
        <f t="shared" si="151"/>
        <v>#N/A</v>
      </c>
      <c r="AE274" t="e">
        <v>#N/A</v>
      </c>
      <c r="AF274" t="e">
        <v>#N/A</v>
      </c>
      <c r="AO274">
        <v>262</v>
      </c>
      <c r="AP274" t="e">
        <v>#N/A</v>
      </c>
      <c r="AR274" t="e">
        <f t="shared" si="152"/>
        <v>#N/A</v>
      </c>
      <c r="AT274" t="e">
        <f t="shared" si="153"/>
        <v>#N/A</v>
      </c>
      <c r="AU274" t="e">
        <f t="shared" si="154"/>
        <v>#N/A</v>
      </c>
      <c r="AW274" t="e">
        <v>#N/A</v>
      </c>
      <c r="AX274" t="e">
        <v>#N/A</v>
      </c>
      <c r="BF274">
        <v>262</v>
      </c>
      <c r="BG274" t="e">
        <v>#N/A</v>
      </c>
      <c r="BI274" t="e">
        <f t="shared" si="155"/>
        <v>#N/A</v>
      </c>
      <c r="BK274" t="e">
        <f t="shared" si="156"/>
        <v>#N/A</v>
      </c>
      <c r="BL274" t="e">
        <f t="shared" si="157"/>
        <v>#N/A</v>
      </c>
      <c r="BN274" t="e">
        <v>#N/A</v>
      </c>
      <c r="BO274" t="e">
        <v>#N/A</v>
      </c>
      <c r="BW274">
        <v>262</v>
      </c>
      <c r="BX274" t="e">
        <v>#N/A</v>
      </c>
      <c r="BZ274" t="e">
        <f t="shared" si="158"/>
        <v>#N/A</v>
      </c>
      <c r="CB274" t="e">
        <f t="shared" si="148"/>
        <v>#N/A</v>
      </c>
      <c r="CC274" t="e">
        <f t="shared" si="159"/>
        <v>#N/A</v>
      </c>
      <c r="CE274" t="e">
        <v>#N/A</v>
      </c>
      <c r="CF274" t="e">
        <v>#N/A</v>
      </c>
    </row>
    <row r="275" spans="2:84">
      <c r="B275">
        <v>263</v>
      </c>
      <c r="C275" t="e">
        <f>IF(ISNUMBER(K275),IF('Lab test'!N266&gt;0,'Lab test'!N266,NA()),NA())</f>
        <v>#N/A</v>
      </c>
      <c r="D275" t="e">
        <f>IF(ISNUMBER(K275),IF('Lab test'!Q266&gt;0,'Lab test'!Q266,NA()),NA())</f>
        <v>#N/A</v>
      </c>
      <c r="E275" t="e">
        <f>IF(ISNUMBER(K275),IF('Lab test'!P266&gt;0,'Lab test'!P266,NA()),NA())</f>
        <v>#N/A</v>
      </c>
      <c r="F275" t="e">
        <f>IF(ISNUMBER(K275),IF('Lab test'!AJ266&gt;0,'Lab test'!AJ266,NA()),NA())</f>
        <v>#N/A</v>
      </c>
      <c r="G275">
        <f>IF('Lab test'!V266&gt;0,'Lab test'!V266,NA())</f>
        <v>197000</v>
      </c>
      <c r="H275">
        <f>IF(MAX('Lab test'!W266,'Lab test'!X266)&gt;0,MAX('Lab test'!W266,'Lab test'!X266),NA())</f>
        <v>373</v>
      </c>
      <c r="I275">
        <f>IF('Lab test'!AU266&gt;0,'Lab test'!AU266,NA())</f>
        <v>0.71045576407506705</v>
      </c>
      <c r="J275">
        <f>IF('Lab test'!AT266&gt;0,'Lab test'!AT266,NA())</f>
        <v>0.69696291321268566</v>
      </c>
      <c r="K275" t="e">
        <f t="shared" si="160"/>
        <v>#N/A</v>
      </c>
      <c r="L275" t="str">
        <f>'Lab test'!AC266</f>
        <v>LTWa</v>
      </c>
      <c r="W275">
        <v>263</v>
      </c>
      <c r="X275" t="e">
        <v>#N/A</v>
      </c>
      <c r="Z275" t="e">
        <f t="shared" si="150"/>
        <v>#N/A</v>
      </c>
      <c r="AB275" t="e">
        <f t="shared" si="149"/>
        <v>#N/A</v>
      </c>
      <c r="AC275" t="e">
        <f t="shared" si="151"/>
        <v>#N/A</v>
      </c>
      <c r="AE275" t="e">
        <v>#N/A</v>
      </c>
      <c r="AF275" t="e">
        <v>#N/A</v>
      </c>
      <c r="AO275">
        <v>263</v>
      </c>
      <c r="AP275" t="e">
        <v>#N/A</v>
      </c>
      <c r="AR275" t="e">
        <f t="shared" si="152"/>
        <v>#N/A</v>
      </c>
      <c r="AT275" t="e">
        <f t="shared" si="153"/>
        <v>#N/A</v>
      </c>
      <c r="AU275" t="e">
        <f t="shared" si="154"/>
        <v>#N/A</v>
      </c>
      <c r="AW275" t="e">
        <v>#N/A</v>
      </c>
      <c r="AX275" t="e">
        <v>#N/A</v>
      </c>
      <c r="BF275">
        <v>263</v>
      </c>
      <c r="BG275" t="e">
        <v>#N/A</v>
      </c>
      <c r="BI275" t="e">
        <f t="shared" si="155"/>
        <v>#N/A</v>
      </c>
      <c r="BK275" t="e">
        <f t="shared" si="156"/>
        <v>#N/A</v>
      </c>
      <c r="BL275" t="e">
        <f t="shared" si="157"/>
        <v>#N/A</v>
      </c>
      <c r="BN275" t="e">
        <v>#N/A</v>
      </c>
      <c r="BO275" t="e">
        <v>#N/A</v>
      </c>
      <c r="BW275">
        <v>263</v>
      </c>
      <c r="BX275" t="e">
        <v>#N/A</v>
      </c>
      <c r="BZ275" t="e">
        <f t="shared" si="158"/>
        <v>#N/A</v>
      </c>
      <c r="CB275" t="e">
        <f t="shared" si="148"/>
        <v>#N/A</v>
      </c>
      <c r="CC275" t="e">
        <f t="shared" si="159"/>
        <v>#N/A</v>
      </c>
      <c r="CE275" t="e">
        <v>#N/A</v>
      </c>
      <c r="CF275" t="e">
        <v>#N/A</v>
      </c>
    </row>
    <row r="276" spans="2:84">
      <c r="B276">
        <v>264</v>
      </c>
      <c r="C276" t="e">
        <f>IF(ISNUMBER(K276),IF('Lab test'!N267&gt;0,'Lab test'!N267,NA()),NA())</f>
        <v>#N/A</v>
      </c>
      <c r="D276" t="e">
        <f>IF(ISNUMBER(K276),IF('Lab test'!Q267&gt;0,'Lab test'!Q267,NA()),NA())</f>
        <v>#N/A</v>
      </c>
      <c r="E276" t="e">
        <f>IF(ISNUMBER(K276),IF('Lab test'!P267&gt;0,'Lab test'!P267,NA()),NA())</f>
        <v>#N/A</v>
      </c>
      <c r="F276" t="e">
        <f>IF(ISNUMBER(K276),IF('Lab test'!AJ267&gt;0,'Lab test'!AJ267,NA()),NA())</f>
        <v>#N/A</v>
      </c>
      <c r="G276">
        <f>IF('Lab test'!V267&gt;0,'Lab test'!V267,NA())</f>
        <v>197000</v>
      </c>
      <c r="H276">
        <f>IF(MAX('Lab test'!W267,'Lab test'!X267)&gt;0,MAX('Lab test'!W267,'Lab test'!X267),NA())</f>
        <v>390</v>
      </c>
      <c r="I276">
        <f>IF('Lab test'!AU267&gt;0,'Lab test'!AU267,NA())</f>
        <v>0.54358974358974355</v>
      </c>
      <c r="J276">
        <f>IF('Lab test'!AT267&gt;0,'Lab test'!AT267,NA())</f>
        <v>0.55757033057014849</v>
      </c>
      <c r="K276" t="e">
        <f t="shared" si="160"/>
        <v>#N/A</v>
      </c>
      <c r="L276" t="str">
        <f>'Lab test'!AC267</f>
        <v>LTWa</v>
      </c>
      <c r="W276">
        <v>264</v>
      </c>
      <c r="X276" t="e">
        <v>#N/A</v>
      </c>
      <c r="Z276" t="e">
        <f t="shared" si="150"/>
        <v>#N/A</v>
      </c>
      <c r="AB276" t="e">
        <f t="shared" si="149"/>
        <v>#N/A</v>
      </c>
      <c r="AC276" t="e">
        <f t="shared" si="151"/>
        <v>#N/A</v>
      </c>
      <c r="AE276" t="e">
        <v>#N/A</v>
      </c>
      <c r="AF276" t="e">
        <v>#N/A</v>
      </c>
      <c r="AO276">
        <v>264</v>
      </c>
      <c r="AP276" t="e">
        <v>#N/A</v>
      </c>
      <c r="AR276" t="e">
        <f t="shared" si="152"/>
        <v>#N/A</v>
      </c>
      <c r="AT276" t="e">
        <f t="shared" si="153"/>
        <v>#N/A</v>
      </c>
      <c r="AU276" t="e">
        <f t="shared" si="154"/>
        <v>#N/A</v>
      </c>
      <c r="AW276" t="e">
        <v>#N/A</v>
      </c>
      <c r="AX276" t="e">
        <v>#N/A</v>
      </c>
      <c r="BF276">
        <v>264</v>
      </c>
      <c r="BG276" t="e">
        <v>#N/A</v>
      </c>
      <c r="BI276" t="e">
        <f t="shared" si="155"/>
        <v>#N/A</v>
      </c>
      <c r="BK276" t="e">
        <f t="shared" si="156"/>
        <v>#N/A</v>
      </c>
      <c r="BL276" t="e">
        <f t="shared" si="157"/>
        <v>#N/A</v>
      </c>
      <c r="BN276" t="e">
        <v>#N/A</v>
      </c>
      <c r="BO276" t="e">
        <v>#N/A</v>
      </c>
      <c r="BW276">
        <v>264</v>
      </c>
      <c r="BX276" t="e">
        <v>#N/A</v>
      </c>
      <c r="BZ276" t="e">
        <f t="shared" si="158"/>
        <v>#N/A</v>
      </c>
      <c r="CB276" t="e">
        <f t="shared" ref="CB276:CB339" si="161">BZ276</f>
        <v>#N/A</v>
      </c>
      <c r="CC276" t="e">
        <f t="shared" si="159"/>
        <v>#N/A</v>
      </c>
      <c r="CE276" t="e">
        <v>#N/A</v>
      </c>
      <c r="CF276" t="e">
        <v>#N/A</v>
      </c>
    </row>
    <row r="277" spans="2:84">
      <c r="B277">
        <v>265</v>
      </c>
      <c r="C277" t="e">
        <f>IF(ISNUMBER(K277),IF('Lab test'!N268&gt;0,'Lab test'!N268,NA()),NA())</f>
        <v>#N/A</v>
      </c>
      <c r="D277" t="e">
        <f>IF(ISNUMBER(K277),IF('Lab test'!Q268&gt;0,'Lab test'!Q268,NA()),NA())</f>
        <v>#N/A</v>
      </c>
      <c r="E277" t="e">
        <f>IF(ISNUMBER(K277),IF('Lab test'!P268&gt;0,'Lab test'!P268,NA()),NA())</f>
        <v>#N/A</v>
      </c>
      <c r="F277" t="e">
        <f>IF(ISNUMBER(K277),IF('Lab test'!AJ268&gt;0,'Lab test'!AJ268,NA()),NA())</f>
        <v>#N/A</v>
      </c>
      <c r="G277">
        <f>IF('Lab test'!V268&gt;0,'Lab test'!V268,NA())</f>
        <v>197000</v>
      </c>
      <c r="H277">
        <f>IF(MAX('Lab test'!W268,'Lab test'!X268)&gt;0,MAX('Lab test'!W268,'Lab test'!X268),NA())</f>
        <v>412</v>
      </c>
      <c r="I277">
        <f>IF('Lab test'!AU268&gt;0,'Lab test'!AU268,NA())</f>
        <v>0.55024271844660189</v>
      </c>
      <c r="J277">
        <f>IF('Lab test'!AT268&gt;0,'Lab test'!AT268,NA())</f>
        <v>0.59623204688798426</v>
      </c>
      <c r="K277" t="e">
        <f t="shared" si="160"/>
        <v>#N/A</v>
      </c>
      <c r="L277" t="str">
        <f>'Lab test'!AC268</f>
        <v>LTWa</v>
      </c>
      <c r="W277">
        <v>265</v>
      </c>
      <c r="X277" t="e">
        <v>#N/A</v>
      </c>
      <c r="Z277" t="e">
        <f t="shared" si="150"/>
        <v>#N/A</v>
      </c>
      <c r="AB277" t="e">
        <f t="shared" si="149"/>
        <v>#N/A</v>
      </c>
      <c r="AC277" t="e">
        <f t="shared" si="151"/>
        <v>#N/A</v>
      </c>
      <c r="AE277" t="e">
        <v>#N/A</v>
      </c>
      <c r="AF277" t="e">
        <v>#N/A</v>
      </c>
      <c r="AO277">
        <v>265</v>
      </c>
      <c r="AP277" t="e">
        <v>#N/A</v>
      </c>
      <c r="AR277" t="e">
        <f t="shared" si="152"/>
        <v>#N/A</v>
      </c>
      <c r="AT277" t="e">
        <f t="shared" si="153"/>
        <v>#N/A</v>
      </c>
      <c r="AU277" t="e">
        <f t="shared" si="154"/>
        <v>#N/A</v>
      </c>
      <c r="AW277" t="e">
        <v>#N/A</v>
      </c>
      <c r="AX277" t="e">
        <v>#N/A</v>
      </c>
      <c r="BF277">
        <v>265</v>
      </c>
      <c r="BG277" t="e">
        <v>#N/A</v>
      </c>
      <c r="BI277" t="e">
        <f t="shared" si="155"/>
        <v>#N/A</v>
      </c>
      <c r="BK277" t="e">
        <f t="shared" si="156"/>
        <v>#N/A</v>
      </c>
      <c r="BL277" t="e">
        <f t="shared" si="157"/>
        <v>#N/A</v>
      </c>
      <c r="BN277" t="e">
        <v>#N/A</v>
      </c>
      <c r="BO277" t="e">
        <v>#N/A</v>
      </c>
      <c r="BW277">
        <v>265</v>
      </c>
      <c r="BX277" t="e">
        <v>#N/A</v>
      </c>
      <c r="BZ277" t="e">
        <f t="shared" si="158"/>
        <v>#N/A</v>
      </c>
      <c r="CB277" t="e">
        <f t="shared" si="161"/>
        <v>#N/A</v>
      </c>
      <c r="CC277" t="e">
        <f t="shared" si="159"/>
        <v>#N/A</v>
      </c>
      <c r="CE277" t="e">
        <v>#N/A</v>
      </c>
      <c r="CF277" t="e">
        <v>#N/A</v>
      </c>
    </row>
    <row r="278" spans="2:84">
      <c r="B278">
        <v>266</v>
      </c>
      <c r="C278" t="e">
        <f>IF(ISNUMBER(K278),IF('Lab test'!N269&gt;0,'Lab test'!N269,NA()),NA())</f>
        <v>#N/A</v>
      </c>
      <c r="D278" t="e">
        <f>IF(ISNUMBER(K278),IF('Lab test'!Q269&gt;0,'Lab test'!Q269,NA()),NA())</f>
        <v>#N/A</v>
      </c>
      <c r="E278" t="e">
        <f>IF(ISNUMBER(K278),IF('Lab test'!P269&gt;0,'Lab test'!P269,NA()),NA())</f>
        <v>#N/A</v>
      </c>
      <c r="F278" t="e">
        <f>IF(ISNUMBER(K278),IF('Lab test'!AJ269&gt;0,'Lab test'!AJ269,NA()),NA())</f>
        <v>#N/A</v>
      </c>
      <c r="G278">
        <f>IF('Lab test'!V269&gt;0,'Lab test'!V269,NA())</f>
        <v>197000</v>
      </c>
      <c r="H278">
        <f>IF(MAX('Lab test'!W269,'Lab test'!X269)&gt;0,MAX('Lab test'!W269,'Lab test'!X269),NA())</f>
        <v>412</v>
      </c>
      <c r="I278">
        <f>IF('Lab test'!AU269&gt;0,'Lab test'!AU269,NA())</f>
        <v>0.56966019417475722</v>
      </c>
      <c r="J278">
        <f>IF('Lab test'!AT269&gt;0,'Lab test'!AT269,NA())</f>
        <v>0.61727243672082011</v>
      </c>
      <c r="K278" t="e">
        <f t="shared" si="160"/>
        <v>#N/A</v>
      </c>
      <c r="L278" t="str">
        <f>'Lab test'!AC269</f>
        <v>LTWa</v>
      </c>
      <c r="W278">
        <v>266</v>
      </c>
      <c r="X278" t="e">
        <v>#N/A</v>
      </c>
      <c r="Z278" t="e">
        <f t="shared" si="150"/>
        <v>#N/A</v>
      </c>
      <c r="AB278" t="e">
        <f t="shared" si="149"/>
        <v>#N/A</v>
      </c>
      <c r="AC278" t="e">
        <f t="shared" si="151"/>
        <v>#N/A</v>
      </c>
      <c r="AE278" t="e">
        <v>#N/A</v>
      </c>
      <c r="AF278" t="e">
        <v>#N/A</v>
      </c>
      <c r="AO278">
        <v>266</v>
      </c>
      <c r="AP278" t="e">
        <v>#N/A</v>
      </c>
      <c r="AR278" t="e">
        <f t="shared" si="152"/>
        <v>#N/A</v>
      </c>
      <c r="AT278" t="e">
        <f t="shared" si="153"/>
        <v>#N/A</v>
      </c>
      <c r="AU278" t="e">
        <f t="shared" si="154"/>
        <v>#N/A</v>
      </c>
      <c r="AW278" t="e">
        <v>#N/A</v>
      </c>
      <c r="AX278" t="e">
        <v>#N/A</v>
      </c>
      <c r="BF278">
        <v>266</v>
      </c>
      <c r="BG278" t="e">
        <v>#N/A</v>
      </c>
      <c r="BI278" t="e">
        <f t="shared" si="155"/>
        <v>#N/A</v>
      </c>
      <c r="BK278" t="e">
        <f t="shared" si="156"/>
        <v>#N/A</v>
      </c>
      <c r="BL278" t="e">
        <f t="shared" si="157"/>
        <v>#N/A</v>
      </c>
      <c r="BN278" t="e">
        <v>#N/A</v>
      </c>
      <c r="BO278" t="e">
        <v>#N/A</v>
      </c>
      <c r="BW278">
        <v>266</v>
      </c>
      <c r="BX278" t="e">
        <v>#N/A</v>
      </c>
      <c r="BZ278" t="e">
        <f t="shared" si="158"/>
        <v>#N/A</v>
      </c>
      <c r="CB278" t="e">
        <f t="shared" si="161"/>
        <v>#N/A</v>
      </c>
      <c r="CC278" t="e">
        <f t="shared" si="159"/>
        <v>#N/A</v>
      </c>
      <c r="CE278" t="e">
        <v>#N/A</v>
      </c>
      <c r="CF278" t="e">
        <v>#N/A</v>
      </c>
    </row>
    <row r="279" spans="2:84">
      <c r="B279">
        <v>267</v>
      </c>
      <c r="C279" t="e">
        <f>IF(ISNUMBER(K279),IF('Lab test'!N270&gt;0,'Lab test'!N270,NA()),NA())</f>
        <v>#N/A</v>
      </c>
      <c r="D279" t="e">
        <f>IF(ISNUMBER(K279),IF('Lab test'!Q270&gt;0,'Lab test'!Q270,NA()),NA())</f>
        <v>#N/A</v>
      </c>
      <c r="E279" t="e">
        <f>IF(ISNUMBER(K279),IF('Lab test'!P270&gt;0,'Lab test'!P270,NA()),NA())</f>
        <v>#N/A</v>
      </c>
      <c r="F279" t="e">
        <f>IF(ISNUMBER(K279),IF('Lab test'!AJ270&gt;0,'Lab test'!AJ270,NA()),NA())</f>
        <v>#N/A</v>
      </c>
      <c r="G279">
        <f>IF('Lab test'!V270&gt;0,'Lab test'!V270,NA())</f>
        <v>222294.32911496531</v>
      </c>
      <c r="H279">
        <f>IF(MAX('Lab test'!W270,'Lab test'!X270)&gt;0,MAX('Lab test'!W270,'Lab test'!X270),NA())</f>
        <v>617.77025228799994</v>
      </c>
      <c r="I279">
        <f>IF('Lab test'!AU270&gt;0,'Lab test'!AU270,NA())</f>
        <v>0.97750000000000004</v>
      </c>
      <c r="J279">
        <f>IF('Lab test'!AT270&gt;0,'Lab test'!AT270,NA())</f>
        <v>0.48262937231742575</v>
      </c>
      <c r="K279" t="e">
        <f t="shared" si="160"/>
        <v>#N/A</v>
      </c>
      <c r="L279" t="str">
        <f>'Lab test'!AC270</f>
        <v>LTWa</v>
      </c>
      <c r="W279">
        <v>267</v>
      </c>
      <c r="X279" t="e">
        <v>#N/A</v>
      </c>
      <c r="Z279" t="e">
        <f t="shared" si="150"/>
        <v>#N/A</v>
      </c>
      <c r="AB279" t="e">
        <f t="shared" si="149"/>
        <v>#N/A</v>
      </c>
      <c r="AC279" t="e">
        <f t="shared" si="151"/>
        <v>#N/A</v>
      </c>
      <c r="AE279" t="e">
        <v>#N/A</v>
      </c>
      <c r="AF279" t="e">
        <v>#N/A</v>
      </c>
      <c r="AO279">
        <v>267</v>
      </c>
      <c r="AP279" t="e">
        <v>#N/A</v>
      </c>
      <c r="AR279" t="e">
        <f t="shared" si="152"/>
        <v>#N/A</v>
      </c>
      <c r="AT279" t="e">
        <f t="shared" si="153"/>
        <v>#N/A</v>
      </c>
      <c r="AU279" t="e">
        <f t="shared" si="154"/>
        <v>#N/A</v>
      </c>
      <c r="AW279" t="e">
        <v>#N/A</v>
      </c>
      <c r="AX279" t="e">
        <v>#N/A</v>
      </c>
      <c r="BF279">
        <v>267</v>
      </c>
      <c r="BG279" t="e">
        <v>#N/A</v>
      </c>
      <c r="BI279" t="e">
        <f t="shared" si="155"/>
        <v>#N/A</v>
      </c>
      <c r="BK279" t="e">
        <f t="shared" si="156"/>
        <v>#N/A</v>
      </c>
      <c r="BL279" t="e">
        <f t="shared" si="157"/>
        <v>#N/A</v>
      </c>
      <c r="BN279" t="e">
        <v>#N/A</v>
      </c>
      <c r="BO279" t="e">
        <v>#N/A</v>
      </c>
      <c r="BW279">
        <v>267</v>
      </c>
      <c r="BX279" t="e">
        <v>#N/A</v>
      </c>
      <c r="BZ279" t="e">
        <f t="shared" si="158"/>
        <v>#N/A</v>
      </c>
      <c r="CB279" t="e">
        <f t="shared" si="161"/>
        <v>#N/A</v>
      </c>
      <c r="CC279" t="e">
        <f t="shared" si="159"/>
        <v>#N/A</v>
      </c>
      <c r="CE279" t="e">
        <v>#N/A</v>
      </c>
      <c r="CF279" t="e">
        <v>#N/A</v>
      </c>
    </row>
    <row r="280" spans="2:84">
      <c r="B280">
        <v>268</v>
      </c>
      <c r="C280" t="e">
        <f>IF(ISNUMBER(K280),IF('Lab test'!N271&gt;0,'Lab test'!N271,NA()),NA())</f>
        <v>#N/A</v>
      </c>
      <c r="D280" t="e">
        <f>IF(ISNUMBER(K280),IF('Lab test'!Q271&gt;0,'Lab test'!Q271,NA()),NA())</f>
        <v>#N/A</v>
      </c>
      <c r="E280" t="e">
        <f>IF(ISNUMBER(K280),IF('Lab test'!P271&gt;0,'Lab test'!P271,NA()),NA())</f>
        <v>#N/A</v>
      </c>
      <c r="F280" t="e">
        <f>IF(ISNUMBER(K280),IF('Lab test'!AJ271&gt;0,'Lab test'!AJ271,NA()),NA())</f>
        <v>#N/A</v>
      </c>
      <c r="G280">
        <f>IF('Lab test'!V271&gt;0,'Lab test'!V271,NA())</f>
        <v>222294.32911496531</v>
      </c>
      <c r="H280">
        <f>IF(MAX('Lab test'!W271,'Lab test'!X271)&gt;0,MAX('Lab test'!W271,'Lab test'!X271),NA())</f>
        <v>617.77025228799994</v>
      </c>
      <c r="I280">
        <f>IF('Lab test'!AU271&gt;0,'Lab test'!AU271,NA())</f>
        <v>1.0875000000000001</v>
      </c>
      <c r="J280">
        <f>IF('Lab test'!AT271&gt;0,'Lab test'!AT271,NA())</f>
        <v>0.54874149847113507</v>
      </c>
      <c r="K280" t="e">
        <f t="shared" si="160"/>
        <v>#N/A</v>
      </c>
      <c r="L280" t="str">
        <f>'Lab test'!AC271</f>
        <v>LTWa</v>
      </c>
      <c r="W280">
        <v>268</v>
      </c>
      <c r="X280" t="e">
        <v>#N/A</v>
      </c>
      <c r="Z280" t="e">
        <f t="shared" si="150"/>
        <v>#N/A</v>
      </c>
      <c r="AB280" t="e">
        <f t="shared" si="149"/>
        <v>#N/A</v>
      </c>
      <c r="AC280" t="e">
        <f t="shared" si="151"/>
        <v>#N/A</v>
      </c>
      <c r="AE280" t="e">
        <v>#N/A</v>
      </c>
      <c r="AF280" t="e">
        <v>#N/A</v>
      </c>
      <c r="AO280">
        <v>268</v>
      </c>
      <c r="AP280" t="e">
        <v>#N/A</v>
      </c>
      <c r="AR280" t="e">
        <f t="shared" si="152"/>
        <v>#N/A</v>
      </c>
      <c r="AT280" t="e">
        <f t="shared" si="153"/>
        <v>#N/A</v>
      </c>
      <c r="AU280" t="e">
        <f t="shared" si="154"/>
        <v>#N/A</v>
      </c>
      <c r="AW280" t="e">
        <v>#N/A</v>
      </c>
      <c r="AX280" t="e">
        <v>#N/A</v>
      </c>
      <c r="BF280">
        <v>268</v>
      </c>
      <c r="BG280" t="e">
        <v>#N/A</v>
      </c>
      <c r="BI280" t="e">
        <f t="shared" si="155"/>
        <v>#N/A</v>
      </c>
      <c r="BK280" t="e">
        <f t="shared" si="156"/>
        <v>#N/A</v>
      </c>
      <c r="BL280" t="e">
        <f t="shared" si="157"/>
        <v>#N/A</v>
      </c>
      <c r="BN280" t="e">
        <v>#N/A</v>
      </c>
      <c r="BO280" t="e">
        <v>#N/A</v>
      </c>
      <c r="BW280">
        <v>268</v>
      </c>
      <c r="BX280" t="e">
        <v>#N/A</v>
      </c>
      <c r="BZ280" t="e">
        <f t="shared" si="158"/>
        <v>#N/A</v>
      </c>
      <c r="CB280" t="e">
        <f t="shared" si="161"/>
        <v>#N/A</v>
      </c>
      <c r="CC280" t="e">
        <f t="shared" si="159"/>
        <v>#N/A</v>
      </c>
      <c r="CE280" t="e">
        <v>#N/A</v>
      </c>
      <c r="CF280" t="e">
        <v>#N/A</v>
      </c>
    </row>
    <row r="281" spans="2:84">
      <c r="B281">
        <v>269</v>
      </c>
      <c r="C281" t="e">
        <f>IF(ISNUMBER(K281),IF('Lab test'!N272&gt;0,'Lab test'!N272,NA()),NA())</f>
        <v>#N/A</v>
      </c>
      <c r="D281" t="e">
        <f>IF(ISNUMBER(K281),IF('Lab test'!Q272&gt;0,'Lab test'!Q272,NA()),NA())</f>
        <v>#N/A</v>
      </c>
      <c r="E281" t="e">
        <f>IF(ISNUMBER(K281),IF('Lab test'!P272&gt;0,'Lab test'!P272,NA()),NA())</f>
        <v>#N/A</v>
      </c>
      <c r="F281" t="e">
        <f>IF(ISNUMBER(K281),IF('Lab test'!AJ272&gt;0,'Lab test'!AJ272,NA()),NA())</f>
        <v>#N/A</v>
      </c>
      <c r="G281">
        <f>IF('Lab test'!V272&gt;0,'Lab test'!V272,NA())</f>
        <v>222294.32911496531</v>
      </c>
      <c r="H281">
        <f>IF(MAX('Lab test'!W272,'Lab test'!X272)&gt;0,MAX('Lab test'!W272,'Lab test'!X272),NA())</f>
        <v>617.77025228799994</v>
      </c>
      <c r="I281">
        <f>IF('Lab test'!AU272&gt;0,'Lab test'!AU272,NA())</f>
        <v>1.0875000000000001</v>
      </c>
      <c r="J281">
        <f>IF('Lab test'!AT272&gt;0,'Lab test'!AT272,NA())</f>
        <v>0.54277691696601416</v>
      </c>
      <c r="K281" t="e">
        <f t="shared" si="160"/>
        <v>#N/A</v>
      </c>
      <c r="L281" t="str">
        <f>'Lab test'!AC272</f>
        <v>LTWa</v>
      </c>
      <c r="W281">
        <v>269</v>
      </c>
      <c r="X281" t="e">
        <v>#N/A</v>
      </c>
      <c r="Z281" t="e">
        <f t="shared" si="150"/>
        <v>#N/A</v>
      </c>
      <c r="AB281" t="e">
        <f t="shared" si="149"/>
        <v>#N/A</v>
      </c>
      <c r="AC281" t="e">
        <f t="shared" si="151"/>
        <v>#N/A</v>
      </c>
      <c r="AE281" t="e">
        <v>#N/A</v>
      </c>
      <c r="AF281" t="e">
        <v>#N/A</v>
      </c>
      <c r="AO281">
        <v>269</v>
      </c>
      <c r="AP281" t="e">
        <v>#N/A</v>
      </c>
      <c r="AR281" t="e">
        <f t="shared" si="152"/>
        <v>#N/A</v>
      </c>
      <c r="AT281" t="e">
        <f t="shared" si="153"/>
        <v>#N/A</v>
      </c>
      <c r="AU281" t="e">
        <f t="shared" si="154"/>
        <v>#N/A</v>
      </c>
      <c r="AW281" t="e">
        <v>#N/A</v>
      </c>
      <c r="AX281" t="e">
        <v>#N/A</v>
      </c>
      <c r="BF281">
        <v>269</v>
      </c>
      <c r="BG281" t="e">
        <v>#N/A</v>
      </c>
      <c r="BI281" t="e">
        <f t="shared" si="155"/>
        <v>#N/A</v>
      </c>
      <c r="BK281" t="e">
        <f t="shared" si="156"/>
        <v>#N/A</v>
      </c>
      <c r="BL281" t="e">
        <f t="shared" si="157"/>
        <v>#N/A</v>
      </c>
      <c r="BN281" t="e">
        <v>#N/A</v>
      </c>
      <c r="BO281" t="e">
        <v>#N/A</v>
      </c>
      <c r="BW281">
        <v>269</v>
      </c>
      <c r="BX281" t="e">
        <v>#N/A</v>
      </c>
      <c r="BZ281" t="e">
        <f t="shared" si="158"/>
        <v>#N/A</v>
      </c>
      <c r="CB281" t="e">
        <f t="shared" si="161"/>
        <v>#N/A</v>
      </c>
      <c r="CC281" t="e">
        <f t="shared" si="159"/>
        <v>#N/A</v>
      </c>
      <c r="CE281" t="e">
        <v>#N/A</v>
      </c>
      <c r="CF281" t="e">
        <v>#N/A</v>
      </c>
    </row>
    <row r="282" spans="2:84">
      <c r="B282">
        <v>270</v>
      </c>
      <c r="C282" t="e">
        <f>IF(ISNUMBER(K282),IF('Lab test'!N273&gt;0,'Lab test'!N273,NA()),NA())</f>
        <v>#N/A</v>
      </c>
      <c r="D282" t="e">
        <f>IF(ISNUMBER(K282),IF('Lab test'!Q273&gt;0,'Lab test'!Q273,NA()),NA())</f>
        <v>#N/A</v>
      </c>
      <c r="E282" t="e">
        <f>IF(ISNUMBER(K282),IF('Lab test'!P273&gt;0,'Lab test'!P273,NA()),NA())</f>
        <v>#N/A</v>
      </c>
      <c r="F282" t="e">
        <f>IF(ISNUMBER(K282),IF('Lab test'!AJ273&gt;0,'Lab test'!AJ273,NA()),NA())</f>
        <v>#N/A</v>
      </c>
      <c r="G282">
        <f>IF('Lab test'!V273&gt;0,'Lab test'!V273,NA())</f>
        <v>222294.32911496531</v>
      </c>
      <c r="H282">
        <f>IF(MAX('Lab test'!W273,'Lab test'!X273)&gt;0,MAX('Lab test'!W273,'Lab test'!X273),NA())</f>
        <v>617.77025228799994</v>
      </c>
      <c r="I282">
        <f>IF('Lab test'!AU273&gt;0,'Lab test'!AU273,NA())</f>
        <v>0.75625000000000009</v>
      </c>
      <c r="J282">
        <f>IF('Lab test'!AT273&gt;0,'Lab test'!AT273,NA())</f>
        <v>0.55828368256510974</v>
      </c>
      <c r="K282" t="e">
        <f t="shared" si="160"/>
        <v>#N/A</v>
      </c>
      <c r="L282" t="str">
        <f>'Lab test'!AC273</f>
        <v>LTWa</v>
      </c>
      <c r="W282">
        <v>270</v>
      </c>
      <c r="X282" t="e">
        <v>#N/A</v>
      </c>
      <c r="Z282" t="e">
        <f t="shared" si="150"/>
        <v>#N/A</v>
      </c>
      <c r="AB282" t="e">
        <f t="shared" si="149"/>
        <v>#N/A</v>
      </c>
      <c r="AC282" t="e">
        <f t="shared" si="151"/>
        <v>#N/A</v>
      </c>
      <c r="AE282" t="e">
        <v>#N/A</v>
      </c>
      <c r="AF282" t="e">
        <v>#N/A</v>
      </c>
      <c r="AO282">
        <v>270</v>
      </c>
      <c r="AP282" t="e">
        <v>#N/A</v>
      </c>
      <c r="AR282" t="e">
        <f t="shared" si="152"/>
        <v>#N/A</v>
      </c>
      <c r="AT282" t="e">
        <f t="shared" si="153"/>
        <v>#N/A</v>
      </c>
      <c r="AU282" t="e">
        <f t="shared" si="154"/>
        <v>#N/A</v>
      </c>
      <c r="AW282" t="e">
        <v>#N/A</v>
      </c>
      <c r="AX282" t="e">
        <v>#N/A</v>
      </c>
      <c r="BF282">
        <v>270</v>
      </c>
      <c r="BG282" t="e">
        <v>#N/A</v>
      </c>
      <c r="BI282" t="e">
        <f t="shared" si="155"/>
        <v>#N/A</v>
      </c>
      <c r="BK282" t="e">
        <f t="shared" si="156"/>
        <v>#N/A</v>
      </c>
      <c r="BL282" t="e">
        <f t="shared" si="157"/>
        <v>#N/A</v>
      </c>
      <c r="BN282" t="e">
        <v>#N/A</v>
      </c>
      <c r="BO282" t="e">
        <v>#N/A</v>
      </c>
      <c r="BW282">
        <v>270</v>
      </c>
      <c r="BX282" t="e">
        <v>#N/A</v>
      </c>
      <c r="BZ282" t="e">
        <f t="shared" si="158"/>
        <v>#N/A</v>
      </c>
      <c r="CB282" t="e">
        <f t="shared" si="161"/>
        <v>#N/A</v>
      </c>
      <c r="CC282" t="e">
        <f t="shared" si="159"/>
        <v>#N/A</v>
      </c>
      <c r="CE282" t="e">
        <v>#N/A</v>
      </c>
      <c r="CF282" t="e">
        <v>#N/A</v>
      </c>
    </row>
    <row r="283" spans="2:84">
      <c r="B283">
        <v>271</v>
      </c>
      <c r="C283" t="e">
        <f>IF(ISNUMBER(K283),IF('Lab test'!N274&gt;0,'Lab test'!N274,NA()),NA())</f>
        <v>#N/A</v>
      </c>
      <c r="D283" t="e">
        <f>IF(ISNUMBER(K283),IF('Lab test'!Q274&gt;0,'Lab test'!Q274,NA()),NA())</f>
        <v>#N/A</v>
      </c>
      <c r="E283" t="e">
        <f>IF(ISNUMBER(K283),IF('Lab test'!P274&gt;0,'Lab test'!P274,NA()),NA())</f>
        <v>#N/A</v>
      </c>
      <c r="F283" t="e">
        <f>IF(ISNUMBER(K283),IF('Lab test'!AJ274&gt;0,'Lab test'!AJ274,NA()),NA())</f>
        <v>#N/A</v>
      </c>
      <c r="G283">
        <f>IF('Lab test'!V274&gt;0,'Lab test'!V274,NA())</f>
        <v>222294.32911496531</v>
      </c>
      <c r="H283">
        <f>IF(MAX('Lab test'!W274,'Lab test'!X274)&gt;0,MAX('Lab test'!W274,'Lab test'!X274),NA())</f>
        <v>617.77025228799994</v>
      </c>
      <c r="I283">
        <f>IF('Lab test'!AU274&gt;0,'Lab test'!AU274,NA())</f>
        <v>0.70250000000000012</v>
      </c>
      <c r="J283">
        <f>IF('Lab test'!AT274&gt;0,'Lab test'!AT274,NA())</f>
        <v>0.53229653114090503</v>
      </c>
      <c r="K283" t="e">
        <f t="shared" si="160"/>
        <v>#N/A</v>
      </c>
      <c r="L283" t="str">
        <f>'Lab test'!AC274</f>
        <v>LTWa</v>
      </c>
      <c r="W283">
        <v>271</v>
      </c>
      <c r="X283" t="e">
        <v>#N/A</v>
      </c>
      <c r="Z283" t="e">
        <f t="shared" si="150"/>
        <v>#N/A</v>
      </c>
      <c r="AB283" t="e">
        <f t="shared" si="149"/>
        <v>#N/A</v>
      </c>
      <c r="AC283" t="e">
        <f t="shared" si="151"/>
        <v>#N/A</v>
      </c>
      <c r="AE283" t="e">
        <v>#N/A</v>
      </c>
      <c r="AF283" t="e">
        <v>#N/A</v>
      </c>
      <c r="AO283">
        <v>271</v>
      </c>
      <c r="AP283" t="e">
        <v>#N/A</v>
      </c>
      <c r="AR283" t="e">
        <f t="shared" si="152"/>
        <v>#N/A</v>
      </c>
      <c r="AT283" t="e">
        <f t="shared" si="153"/>
        <v>#N/A</v>
      </c>
      <c r="AU283" t="e">
        <f t="shared" si="154"/>
        <v>#N/A</v>
      </c>
      <c r="AW283" t="e">
        <v>#N/A</v>
      </c>
      <c r="AX283" t="e">
        <v>#N/A</v>
      </c>
      <c r="BF283">
        <v>271</v>
      </c>
      <c r="BG283" t="e">
        <v>#N/A</v>
      </c>
      <c r="BI283" t="e">
        <f t="shared" si="155"/>
        <v>#N/A</v>
      </c>
      <c r="BK283" t="e">
        <f t="shared" si="156"/>
        <v>#N/A</v>
      </c>
      <c r="BL283" t="e">
        <f t="shared" si="157"/>
        <v>#N/A</v>
      </c>
      <c r="BN283" t="e">
        <v>#N/A</v>
      </c>
      <c r="BO283" t="e">
        <v>#N/A</v>
      </c>
      <c r="BW283">
        <v>271</v>
      </c>
      <c r="BX283" t="e">
        <v>#N/A</v>
      </c>
      <c r="BZ283" t="e">
        <f t="shared" si="158"/>
        <v>#N/A</v>
      </c>
      <c r="CB283" t="e">
        <f t="shared" si="161"/>
        <v>#N/A</v>
      </c>
      <c r="CC283" t="e">
        <f t="shared" si="159"/>
        <v>#N/A</v>
      </c>
      <c r="CE283" t="e">
        <v>#N/A</v>
      </c>
      <c r="CF283" t="e">
        <v>#N/A</v>
      </c>
    </row>
    <row r="284" spans="2:84">
      <c r="B284">
        <v>272</v>
      </c>
      <c r="C284" t="e">
        <f>IF(ISNUMBER(K284),IF('Lab test'!N275&gt;0,'Lab test'!N275,NA()),NA())</f>
        <v>#N/A</v>
      </c>
      <c r="D284" t="e">
        <f>IF(ISNUMBER(K284),IF('Lab test'!Q275&gt;0,'Lab test'!Q275,NA()),NA())</f>
        <v>#N/A</v>
      </c>
      <c r="E284" t="e">
        <f>IF(ISNUMBER(K284),IF('Lab test'!P275&gt;0,'Lab test'!P275,NA()),NA())</f>
        <v>#N/A</v>
      </c>
      <c r="F284" t="e">
        <f>IF(ISNUMBER(K284),IF('Lab test'!AJ275&gt;0,'Lab test'!AJ275,NA()),NA())</f>
        <v>#N/A</v>
      </c>
      <c r="G284">
        <f>IF('Lab test'!V275&gt;0,'Lab test'!V275,NA())</f>
        <v>222294.32911496531</v>
      </c>
      <c r="H284">
        <f>IF(MAX('Lab test'!W275,'Lab test'!X275)&gt;0,MAX('Lab test'!W275,'Lab test'!X275),NA())</f>
        <v>617.77025228799994</v>
      </c>
      <c r="I284">
        <f>IF('Lab test'!AU275&gt;0,'Lab test'!AU275,NA())</f>
        <v>0.42125000000000007</v>
      </c>
      <c r="J284">
        <f>IF('Lab test'!AT275&gt;0,'Lab test'!AT275,NA())</f>
        <v>0.50371933469870411</v>
      </c>
      <c r="K284" t="e">
        <f t="shared" si="160"/>
        <v>#N/A</v>
      </c>
      <c r="L284" t="str">
        <f>'Lab test'!AC275</f>
        <v>LTWa</v>
      </c>
      <c r="W284">
        <v>272</v>
      </c>
      <c r="X284" t="e">
        <v>#N/A</v>
      </c>
      <c r="Z284" t="e">
        <f t="shared" si="150"/>
        <v>#N/A</v>
      </c>
      <c r="AB284" t="e">
        <f t="shared" si="149"/>
        <v>#N/A</v>
      </c>
      <c r="AC284" t="e">
        <f t="shared" si="151"/>
        <v>#N/A</v>
      </c>
      <c r="AE284" t="e">
        <v>#N/A</v>
      </c>
      <c r="AF284" t="e">
        <v>#N/A</v>
      </c>
      <c r="AO284">
        <v>272</v>
      </c>
      <c r="AP284" t="e">
        <v>#N/A</v>
      </c>
      <c r="AR284" t="e">
        <f t="shared" si="152"/>
        <v>#N/A</v>
      </c>
      <c r="AT284" t="e">
        <f t="shared" si="153"/>
        <v>#N/A</v>
      </c>
      <c r="AU284" t="e">
        <f t="shared" si="154"/>
        <v>#N/A</v>
      </c>
      <c r="AW284" t="e">
        <v>#N/A</v>
      </c>
      <c r="AX284" t="e">
        <v>#N/A</v>
      </c>
      <c r="BF284">
        <v>272</v>
      </c>
      <c r="BG284" t="e">
        <v>#N/A</v>
      </c>
      <c r="BI284" t="e">
        <f t="shared" si="155"/>
        <v>#N/A</v>
      </c>
      <c r="BK284" t="e">
        <f t="shared" si="156"/>
        <v>#N/A</v>
      </c>
      <c r="BL284" t="e">
        <f t="shared" si="157"/>
        <v>#N/A</v>
      </c>
      <c r="BN284" t="e">
        <v>#N/A</v>
      </c>
      <c r="BO284" t="e">
        <v>#N/A</v>
      </c>
      <c r="BW284">
        <v>272</v>
      </c>
      <c r="BX284" t="e">
        <v>#N/A</v>
      </c>
      <c r="BZ284" t="e">
        <f t="shared" si="158"/>
        <v>#N/A</v>
      </c>
      <c r="CB284" t="e">
        <f t="shared" si="161"/>
        <v>#N/A</v>
      </c>
      <c r="CC284" t="e">
        <f t="shared" si="159"/>
        <v>#N/A</v>
      </c>
      <c r="CE284" t="e">
        <v>#N/A</v>
      </c>
      <c r="CF284" t="e">
        <v>#N/A</v>
      </c>
    </row>
    <row r="285" spans="2:84">
      <c r="B285">
        <v>273</v>
      </c>
      <c r="C285" t="e">
        <f>IF(ISNUMBER(K285),IF('Lab test'!N276&gt;0,'Lab test'!N276,NA()),NA())</f>
        <v>#N/A</v>
      </c>
      <c r="D285" t="e">
        <f>IF(ISNUMBER(K285),IF('Lab test'!Q276&gt;0,'Lab test'!Q276,NA()),NA())</f>
        <v>#N/A</v>
      </c>
      <c r="E285" t="e">
        <f>IF(ISNUMBER(K285),IF('Lab test'!P276&gt;0,'Lab test'!P276,NA()),NA())</f>
        <v>#N/A</v>
      </c>
      <c r="F285" t="e">
        <f>IF(ISNUMBER(K285),IF('Lab test'!AJ276&gt;0,'Lab test'!AJ276,NA()),NA())</f>
        <v>#N/A</v>
      </c>
      <c r="G285">
        <f>IF('Lab test'!V276&gt;0,'Lab test'!V276,NA())</f>
        <v>222294.32911496531</v>
      </c>
      <c r="H285">
        <f>IF(MAX('Lab test'!W276,'Lab test'!X276)&gt;0,MAX('Lab test'!W276,'Lab test'!X276),NA())</f>
        <v>617.77025228799994</v>
      </c>
      <c r="I285">
        <f>IF('Lab test'!AU276&gt;0,'Lab test'!AU276,NA())</f>
        <v>0.4875000000000001</v>
      </c>
      <c r="J285">
        <f>IF('Lab test'!AT276&gt;0,'Lab test'!AT276,NA())</f>
        <v>0.60499645171607908</v>
      </c>
      <c r="K285" t="e">
        <f t="shared" si="160"/>
        <v>#N/A</v>
      </c>
      <c r="L285" t="str">
        <f>'Lab test'!AC276</f>
        <v>LTWa</v>
      </c>
      <c r="W285">
        <v>273</v>
      </c>
      <c r="X285" t="e">
        <v>#N/A</v>
      </c>
      <c r="Z285" t="e">
        <f t="shared" si="150"/>
        <v>#N/A</v>
      </c>
      <c r="AB285" t="e">
        <f t="shared" si="149"/>
        <v>#N/A</v>
      </c>
      <c r="AC285" t="e">
        <f t="shared" si="151"/>
        <v>#N/A</v>
      </c>
      <c r="AE285" t="e">
        <v>#N/A</v>
      </c>
      <c r="AF285" t="e">
        <v>#N/A</v>
      </c>
      <c r="AO285">
        <v>273</v>
      </c>
      <c r="AP285" t="e">
        <v>#N/A</v>
      </c>
      <c r="AR285" t="e">
        <f t="shared" si="152"/>
        <v>#N/A</v>
      </c>
      <c r="AT285" t="e">
        <f t="shared" si="153"/>
        <v>#N/A</v>
      </c>
      <c r="AU285" t="e">
        <f t="shared" si="154"/>
        <v>#N/A</v>
      </c>
      <c r="AW285" t="e">
        <v>#N/A</v>
      </c>
      <c r="AX285" t="e">
        <v>#N/A</v>
      </c>
      <c r="BF285">
        <v>273</v>
      </c>
      <c r="BG285" t="e">
        <v>#N/A</v>
      </c>
      <c r="BI285" t="e">
        <f t="shared" si="155"/>
        <v>#N/A</v>
      </c>
      <c r="BK285" t="e">
        <f t="shared" si="156"/>
        <v>#N/A</v>
      </c>
      <c r="BL285" t="e">
        <f t="shared" si="157"/>
        <v>#N/A</v>
      </c>
      <c r="BN285" t="e">
        <v>#N/A</v>
      </c>
      <c r="BO285" t="e">
        <v>#N/A</v>
      </c>
      <c r="BW285">
        <v>273</v>
      </c>
      <c r="BX285" t="e">
        <v>#N/A</v>
      </c>
      <c r="BZ285" t="e">
        <f t="shared" si="158"/>
        <v>#N/A</v>
      </c>
      <c r="CB285" t="e">
        <f t="shared" si="161"/>
        <v>#N/A</v>
      </c>
      <c r="CC285" t="e">
        <f t="shared" si="159"/>
        <v>#N/A</v>
      </c>
      <c r="CE285" t="e">
        <v>#N/A</v>
      </c>
      <c r="CF285" t="e">
        <v>#N/A</v>
      </c>
    </row>
    <row r="286" spans="2:84">
      <c r="B286">
        <v>274</v>
      </c>
      <c r="C286" t="e">
        <f>IF(ISNUMBER(K286),IF('Lab test'!N277&gt;0,'Lab test'!N277,NA()),NA())</f>
        <v>#N/A</v>
      </c>
      <c r="D286" t="e">
        <f>IF(ISNUMBER(K286),IF('Lab test'!Q277&gt;0,'Lab test'!Q277,NA()),NA())</f>
        <v>#N/A</v>
      </c>
      <c r="E286" t="e">
        <f>IF(ISNUMBER(K286),IF('Lab test'!P277&gt;0,'Lab test'!P277,NA()),NA())</f>
        <v>#N/A</v>
      </c>
      <c r="F286" t="e">
        <f>IF(ISNUMBER(K286),IF('Lab test'!AJ277&gt;0,'Lab test'!AJ277,NA()),NA())</f>
        <v>#N/A</v>
      </c>
      <c r="G286">
        <f>IF('Lab test'!V277&gt;0,'Lab test'!V277,NA())</f>
        <v>222294.32911496531</v>
      </c>
      <c r="H286">
        <f>IF(MAX('Lab test'!W277,'Lab test'!X277)&gt;0,MAX('Lab test'!W277,'Lab test'!X277),NA())</f>
        <v>617.77025228799994</v>
      </c>
      <c r="I286">
        <f>IF('Lab test'!AU277&gt;0,'Lab test'!AU277,NA())</f>
        <v>0.24375000000000005</v>
      </c>
      <c r="J286">
        <f>IF('Lab test'!AT277&gt;0,'Lab test'!AT277,NA())</f>
        <v>0.53809780561285891</v>
      </c>
      <c r="K286" t="e">
        <f t="shared" si="160"/>
        <v>#N/A</v>
      </c>
      <c r="L286" t="str">
        <f>'Lab test'!AC277</f>
        <v>LTWa</v>
      </c>
      <c r="W286">
        <v>274</v>
      </c>
      <c r="X286" t="e">
        <v>#N/A</v>
      </c>
      <c r="Z286" t="e">
        <f t="shared" si="150"/>
        <v>#N/A</v>
      </c>
      <c r="AB286" t="e">
        <f t="shared" si="149"/>
        <v>#N/A</v>
      </c>
      <c r="AC286" t="e">
        <f t="shared" si="151"/>
        <v>#N/A</v>
      </c>
      <c r="AE286" t="e">
        <v>#N/A</v>
      </c>
      <c r="AF286" t="e">
        <v>#N/A</v>
      </c>
      <c r="AO286">
        <v>274</v>
      </c>
      <c r="AP286" t="e">
        <v>#N/A</v>
      </c>
      <c r="AR286" t="e">
        <f t="shared" si="152"/>
        <v>#N/A</v>
      </c>
      <c r="AT286" t="e">
        <f t="shared" si="153"/>
        <v>#N/A</v>
      </c>
      <c r="AU286" t="e">
        <f t="shared" si="154"/>
        <v>#N/A</v>
      </c>
      <c r="AW286" t="e">
        <v>#N/A</v>
      </c>
      <c r="AX286" t="e">
        <v>#N/A</v>
      </c>
      <c r="BF286">
        <v>274</v>
      </c>
      <c r="BG286" t="e">
        <v>#N/A</v>
      </c>
      <c r="BI286" t="e">
        <f t="shared" si="155"/>
        <v>#N/A</v>
      </c>
      <c r="BK286" t="e">
        <f t="shared" si="156"/>
        <v>#N/A</v>
      </c>
      <c r="BL286" t="e">
        <f t="shared" si="157"/>
        <v>#N/A</v>
      </c>
      <c r="BN286" t="e">
        <v>#N/A</v>
      </c>
      <c r="BO286" t="e">
        <v>#N/A</v>
      </c>
      <c r="BW286">
        <v>274</v>
      </c>
      <c r="BX286" t="e">
        <v>#N/A</v>
      </c>
      <c r="BZ286" t="e">
        <f t="shared" si="158"/>
        <v>#N/A</v>
      </c>
      <c r="CB286" t="e">
        <f t="shared" si="161"/>
        <v>#N/A</v>
      </c>
      <c r="CC286" t="e">
        <f t="shared" si="159"/>
        <v>#N/A</v>
      </c>
      <c r="CE286" t="e">
        <v>#N/A</v>
      </c>
      <c r="CF286" t="e">
        <v>#N/A</v>
      </c>
    </row>
    <row r="287" spans="2:84">
      <c r="B287">
        <v>275</v>
      </c>
      <c r="C287" t="e">
        <f>IF(ISNUMBER(K287),IF('Lab test'!N278&gt;0,'Lab test'!N278,NA()),NA())</f>
        <v>#N/A</v>
      </c>
      <c r="D287" t="e">
        <f>IF(ISNUMBER(K287),IF('Lab test'!Q278&gt;0,'Lab test'!Q278,NA()),NA())</f>
        <v>#N/A</v>
      </c>
      <c r="E287" t="e">
        <f>IF(ISNUMBER(K287),IF('Lab test'!P278&gt;0,'Lab test'!P278,NA()),NA())</f>
        <v>#N/A</v>
      </c>
      <c r="F287" t="e">
        <f>IF(ISNUMBER(K287),IF('Lab test'!AJ278&gt;0,'Lab test'!AJ278,NA()),NA())</f>
        <v>#N/A</v>
      </c>
      <c r="G287">
        <f>IF('Lab test'!V278&gt;0,'Lab test'!V278,NA())</f>
        <v>222294.32911496531</v>
      </c>
      <c r="H287">
        <f>IF(MAX('Lab test'!W278,'Lab test'!X278)&gt;0,MAX('Lab test'!W278,'Lab test'!X278),NA())</f>
        <v>617.77025228799994</v>
      </c>
      <c r="I287">
        <f>IF('Lab test'!AU278&gt;0,'Lab test'!AU278,NA())</f>
        <v>0.16900000000000001</v>
      </c>
      <c r="J287">
        <f>IF('Lab test'!AT278&gt;0,'Lab test'!AT278,NA())</f>
        <v>0.39592284799378785</v>
      </c>
      <c r="K287" t="e">
        <f t="shared" si="160"/>
        <v>#N/A</v>
      </c>
      <c r="L287" t="str">
        <f>'Lab test'!AC278</f>
        <v>LTWa</v>
      </c>
      <c r="W287">
        <v>275</v>
      </c>
      <c r="X287" t="e">
        <v>#N/A</v>
      </c>
      <c r="Z287" t="e">
        <f t="shared" si="150"/>
        <v>#N/A</v>
      </c>
      <c r="AB287" t="e">
        <f t="shared" si="149"/>
        <v>#N/A</v>
      </c>
      <c r="AC287" t="e">
        <f t="shared" si="151"/>
        <v>#N/A</v>
      </c>
      <c r="AE287" t="e">
        <v>#N/A</v>
      </c>
      <c r="AF287" t="e">
        <v>#N/A</v>
      </c>
      <c r="AO287">
        <v>275</v>
      </c>
      <c r="AP287" t="e">
        <v>#N/A</v>
      </c>
      <c r="AR287" t="e">
        <f t="shared" si="152"/>
        <v>#N/A</v>
      </c>
      <c r="AT287" t="e">
        <f t="shared" si="153"/>
        <v>#N/A</v>
      </c>
      <c r="AU287" t="e">
        <f t="shared" si="154"/>
        <v>#N/A</v>
      </c>
      <c r="AW287" t="e">
        <v>#N/A</v>
      </c>
      <c r="AX287" t="e">
        <v>#N/A</v>
      </c>
      <c r="BF287">
        <v>275</v>
      </c>
      <c r="BG287" t="e">
        <v>#N/A</v>
      </c>
      <c r="BI287" t="e">
        <f t="shared" si="155"/>
        <v>#N/A</v>
      </c>
      <c r="BK287" t="e">
        <f t="shared" si="156"/>
        <v>#N/A</v>
      </c>
      <c r="BL287" t="e">
        <f t="shared" si="157"/>
        <v>#N/A</v>
      </c>
      <c r="BN287" t="e">
        <v>#N/A</v>
      </c>
      <c r="BO287" t="e">
        <v>#N/A</v>
      </c>
      <c r="BW287">
        <v>275</v>
      </c>
      <c r="BX287" t="e">
        <v>#N/A</v>
      </c>
      <c r="BZ287" t="e">
        <f t="shared" si="158"/>
        <v>#N/A</v>
      </c>
      <c r="CB287" t="e">
        <f t="shared" si="161"/>
        <v>#N/A</v>
      </c>
      <c r="CC287" t="e">
        <f t="shared" si="159"/>
        <v>#N/A</v>
      </c>
      <c r="CE287" t="e">
        <v>#N/A</v>
      </c>
      <c r="CF287" t="e">
        <v>#N/A</v>
      </c>
    </row>
    <row r="288" spans="2:84">
      <c r="B288">
        <v>276</v>
      </c>
      <c r="C288" t="e">
        <f>IF(ISNUMBER(K288),IF('Lab test'!N279&gt;0,'Lab test'!N279,NA()),NA())</f>
        <v>#N/A</v>
      </c>
      <c r="D288" t="e">
        <f>IF(ISNUMBER(K288),IF('Lab test'!Q279&gt;0,'Lab test'!Q279,NA()),NA())</f>
        <v>#N/A</v>
      </c>
      <c r="E288" t="e">
        <f>IF(ISNUMBER(K288),IF('Lab test'!P279&gt;0,'Lab test'!P279,NA()),NA())</f>
        <v>#N/A</v>
      </c>
      <c r="F288" t="e">
        <f>IF(ISNUMBER(K288),IF('Lab test'!AJ279&gt;0,'Lab test'!AJ279,NA()),NA())</f>
        <v>#N/A</v>
      </c>
      <c r="G288">
        <f>IF('Lab test'!V279&gt;0,'Lab test'!V279,NA())</f>
        <v>192392</v>
      </c>
      <c r="H288">
        <f>IF(MAX('Lab test'!W279,'Lab test'!X279)&gt;0,MAX('Lab test'!W279,'Lab test'!X279),NA())</f>
        <v>277</v>
      </c>
      <c r="I288">
        <f>IF('Lab test'!AU279&gt;0,'Lab test'!AU279,NA())</f>
        <v>1.0342644271697803</v>
      </c>
      <c r="J288">
        <f>IF('Lab test'!AT279&gt;0,'Lab test'!AT279,NA())</f>
        <v>6.5880440172496016E-2</v>
      </c>
      <c r="K288" t="e">
        <f t="shared" si="160"/>
        <v>#N/A</v>
      </c>
      <c r="L288" t="str">
        <f>'Lab test'!AC279</f>
        <v>LTWa</v>
      </c>
      <c r="X288" t="e">
        <v>#N/A</v>
      </c>
      <c r="Z288" t="e">
        <f t="shared" si="150"/>
        <v>#N/A</v>
      </c>
      <c r="AB288" t="e">
        <f t="shared" si="149"/>
        <v>#N/A</v>
      </c>
      <c r="AC288" t="e">
        <f t="shared" si="151"/>
        <v>#N/A</v>
      </c>
      <c r="AE288" t="e">
        <v>#N/A</v>
      </c>
      <c r="AF288" t="e">
        <v>#N/A</v>
      </c>
      <c r="AP288" t="e">
        <v>#N/A</v>
      </c>
      <c r="AR288" t="e">
        <f t="shared" si="152"/>
        <v>#N/A</v>
      </c>
      <c r="AT288" t="e">
        <f t="shared" si="153"/>
        <v>#N/A</v>
      </c>
      <c r="AU288" t="e">
        <f t="shared" si="154"/>
        <v>#N/A</v>
      </c>
      <c r="AW288" t="e">
        <v>#N/A</v>
      </c>
      <c r="AX288" t="e">
        <v>#N/A</v>
      </c>
      <c r="BG288" t="e">
        <v>#N/A</v>
      </c>
      <c r="BI288" t="e">
        <f t="shared" si="155"/>
        <v>#N/A</v>
      </c>
      <c r="BK288" t="e">
        <f t="shared" si="156"/>
        <v>#N/A</v>
      </c>
      <c r="BL288" t="e">
        <f t="shared" si="157"/>
        <v>#N/A</v>
      </c>
      <c r="BN288" t="e">
        <v>#N/A</v>
      </c>
      <c r="BO288" t="e">
        <v>#N/A</v>
      </c>
      <c r="BX288" t="e">
        <v>#N/A</v>
      </c>
      <c r="BZ288" t="e">
        <f t="shared" si="158"/>
        <v>#N/A</v>
      </c>
      <c r="CB288" t="e">
        <f t="shared" si="161"/>
        <v>#N/A</v>
      </c>
      <c r="CC288" t="e">
        <f t="shared" si="159"/>
        <v>#N/A</v>
      </c>
      <c r="CE288" t="e">
        <v>#N/A</v>
      </c>
      <c r="CF288" t="e">
        <v>#N/A</v>
      </c>
    </row>
    <row r="289" spans="2:84">
      <c r="B289">
        <v>277</v>
      </c>
      <c r="C289" t="e">
        <f>IF(ISNUMBER(K289),IF('Lab test'!N280&gt;0,'Lab test'!N280,NA()),NA())</f>
        <v>#N/A</v>
      </c>
      <c r="D289" t="e">
        <f>IF(ISNUMBER(K289),IF('Lab test'!Q280&gt;0,'Lab test'!Q280,NA()),NA())</f>
        <v>#N/A</v>
      </c>
      <c r="E289" t="e">
        <f>IF(ISNUMBER(K289),IF('Lab test'!P280&gt;0,'Lab test'!P280,NA()),NA())</f>
        <v>#N/A</v>
      </c>
      <c r="F289" t="e">
        <f>IF(ISNUMBER(K289),IF('Lab test'!AJ280&gt;0,'Lab test'!AJ280,NA()),NA())</f>
        <v>#N/A</v>
      </c>
      <c r="G289">
        <f>IF('Lab test'!V280&gt;0,'Lab test'!V280,NA())</f>
        <v>192392</v>
      </c>
      <c r="H289">
        <f>IF(MAX('Lab test'!W280,'Lab test'!X280)&gt;0,MAX('Lab test'!W280,'Lab test'!X280),NA())</f>
        <v>277</v>
      </c>
      <c r="I289">
        <f>IF('Lab test'!AU280&gt;0,'Lab test'!AU280,NA())</f>
        <v>1.024778471330511</v>
      </c>
      <c r="J289">
        <f>IF('Lab test'!AT280&gt;0,'Lab test'!AT280,NA())</f>
        <v>9.7192580415400728E-2</v>
      </c>
      <c r="K289" t="e">
        <f t="shared" si="160"/>
        <v>#N/A</v>
      </c>
      <c r="L289" t="str">
        <f>'Lab test'!AC280</f>
        <v>LTWa</v>
      </c>
      <c r="X289" t="e">
        <v>#N/A</v>
      </c>
      <c r="Z289" t="e">
        <f t="shared" si="150"/>
        <v>#N/A</v>
      </c>
      <c r="AB289" t="e">
        <f t="shared" si="149"/>
        <v>#N/A</v>
      </c>
      <c r="AC289" t="e">
        <f t="shared" si="151"/>
        <v>#N/A</v>
      </c>
      <c r="AE289" t="e">
        <v>#N/A</v>
      </c>
      <c r="AF289" t="e">
        <v>#N/A</v>
      </c>
      <c r="AP289" t="e">
        <v>#N/A</v>
      </c>
      <c r="AR289" t="e">
        <f t="shared" si="152"/>
        <v>#N/A</v>
      </c>
      <c r="AT289" t="e">
        <f t="shared" si="153"/>
        <v>#N/A</v>
      </c>
      <c r="AU289" t="e">
        <f t="shared" si="154"/>
        <v>#N/A</v>
      </c>
      <c r="AW289" t="e">
        <v>#N/A</v>
      </c>
      <c r="AX289" t="e">
        <v>#N/A</v>
      </c>
      <c r="BG289" t="e">
        <v>#N/A</v>
      </c>
      <c r="BI289" t="e">
        <f t="shared" si="155"/>
        <v>#N/A</v>
      </c>
      <c r="BK289" t="e">
        <f t="shared" si="156"/>
        <v>#N/A</v>
      </c>
      <c r="BL289" t="e">
        <f t="shared" si="157"/>
        <v>#N/A</v>
      </c>
      <c r="BN289" t="e">
        <v>#N/A</v>
      </c>
      <c r="BO289" t="e">
        <v>#N/A</v>
      </c>
      <c r="BX289" t="e">
        <v>#N/A</v>
      </c>
      <c r="BZ289" t="e">
        <f t="shared" si="158"/>
        <v>#N/A</v>
      </c>
      <c r="CB289" t="e">
        <f t="shared" si="161"/>
        <v>#N/A</v>
      </c>
      <c r="CC289" t="e">
        <f t="shared" si="159"/>
        <v>#N/A</v>
      </c>
      <c r="CE289" t="e">
        <v>#N/A</v>
      </c>
      <c r="CF289" t="e">
        <v>#N/A</v>
      </c>
    </row>
    <row r="290" spans="2:84">
      <c r="B290">
        <v>278</v>
      </c>
      <c r="C290" t="e">
        <f>IF(ISNUMBER(K290),IF('Lab test'!N281&gt;0,'Lab test'!N281,NA()),NA())</f>
        <v>#N/A</v>
      </c>
      <c r="D290" t="e">
        <f>IF(ISNUMBER(K290),IF('Lab test'!Q281&gt;0,'Lab test'!Q281,NA()),NA())</f>
        <v>#N/A</v>
      </c>
      <c r="E290" t="e">
        <f>IF(ISNUMBER(K290),IF('Lab test'!P281&gt;0,'Lab test'!P281,NA()),NA())</f>
        <v>#N/A</v>
      </c>
      <c r="F290" t="e">
        <f>IF(ISNUMBER(K290),IF('Lab test'!AJ281&gt;0,'Lab test'!AJ281,NA()),NA())</f>
        <v>#N/A</v>
      </c>
      <c r="G290">
        <f>IF('Lab test'!V281&gt;0,'Lab test'!V281,NA())</f>
        <v>192392</v>
      </c>
      <c r="H290">
        <f>IF(MAX('Lab test'!W281,'Lab test'!X281)&gt;0,MAX('Lab test'!W281,'Lab test'!X281),NA())</f>
        <v>277</v>
      </c>
      <c r="I290">
        <f>IF('Lab test'!AU281&gt;0,'Lab test'!AU281,NA())</f>
        <v>0.84554380320268663</v>
      </c>
      <c r="J290">
        <f>IF('Lab test'!AT281&gt;0,'Lab test'!AT281,NA())</f>
        <v>0.1079833421677923</v>
      </c>
      <c r="K290" t="e">
        <f t="shared" si="160"/>
        <v>#N/A</v>
      </c>
      <c r="L290" t="str">
        <f>'Lab test'!AC281</f>
        <v>LTWa</v>
      </c>
      <c r="X290" t="e">
        <v>#N/A</v>
      </c>
      <c r="Z290" t="e">
        <f t="shared" si="150"/>
        <v>#N/A</v>
      </c>
      <c r="AB290" t="e">
        <f t="shared" si="149"/>
        <v>#N/A</v>
      </c>
      <c r="AC290" t="e">
        <f t="shared" si="151"/>
        <v>#N/A</v>
      </c>
      <c r="AE290" t="e">
        <v>#N/A</v>
      </c>
      <c r="AF290" t="e">
        <v>#N/A</v>
      </c>
      <c r="AP290" t="e">
        <v>#N/A</v>
      </c>
      <c r="AR290" t="e">
        <f t="shared" si="152"/>
        <v>#N/A</v>
      </c>
      <c r="AT290" t="e">
        <f t="shared" si="153"/>
        <v>#N/A</v>
      </c>
      <c r="AU290" t="e">
        <f t="shared" si="154"/>
        <v>#N/A</v>
      </c>
      <c r="AW290" t="e">
        <v>#N/A</v>
      </c>
      <c r="AX290" t="e">
        <v>#N/A</v>
      </c>
      <c r="BG290" t="e">
        <v>#N/A</v>
      </c>
      <c r="BI290" t="e">
        <f t="shared" si="155"/>
        <v>#N/A</v>
      </c>
      <c r="BK290" t="e">
        <f t="shared" si="156"/>
        <v>#N/A</v>
      </c>
      <c r="BL290" t="e">
        <f t="shared" si="157"/>
        <v>#N/A</v>
      </c>
      <c r="BN290" t="e">
        <v>#N/A</v>
      </c>
      <c r="BO290" t="e">
        <v>#N/A</v>
      </c>
      <c r="BX290" t="e">
        <v>#N/A</v>
      </c>
      <c r="BZ290" t="e">
        <f t="shared" si="158"/>
        <v>#N/A</v>
      </c>
      <c r="CB290" t="e">
        <f t="shared" si="161"/>
        <v>#N/A</v>
      </c>
      <c r="CC290" t="e">
        <f t="shared" si="159"/>
        <v>#N/A</v>
      </c>
      <c r="CE290" t="e">
        <v>#N/A</v>
      </c>
      <c r="CF290" t="e">
        <v>#N/A</v>
      </c>
    </row>
    <row r="291" spans="2:84">
      <c r="B291">
        <v>279</v>
      </c>
      <c r="C291" t="e">
        <f>IF(ISNUMBER(K291),IF('Lab test'!N282&gt;0,'Lab test'!N282,NA()),NA())</f>
        <v>#N/A</v>
      </c>
      <c r="D291" t="e">
        <f>IF(ISNUMBER(K291),IF('Lab test'!Q282&gt;0,'Lab test'!Q282,NA()),NA())</f>
        <v>#N/A</v>
      </c>
      <c r="E291" t="e">
        <f>IF(ISNUMBER(K291),IF('Lab test'!P282&gt;0,'Lab test'!P282,NA()),NA())</f>
        <v>#N/A</v>
      </c>
      <c r="F291" t="e">
        <f>IF(ISNUMBER(K291),IF('Lab test'!AJ282&gt;0,'Lab test'!AJ282,NA()),NA())</f>
        <v>#N/A</v>
      </c>
      <c r="G291">
        <f>IF('Lab test'!V282&gt;0,'Lab test'!V282,NA())</f>
        <v>192392</v>
      </c>
      <c r="H291">
        <f>IF(MAX('Lab test'!W282,'Lab test'!X282)&gt;0,MAX('Lab test'!W282,'Lab test'!X282),NA())</f>
        <v>277</v>
      </c>
      <c r="I291">
        <f>IF('Lab test'!AU282&gt;0,'Lab test'!AU282,NA())</f>
        <v>0.83163899996276169</v>
      </c>
      <c r="J291">
        <f>IF('Lab test'!AT282&gt;0,'Lab test'!AT282,NA())</f>
        <v>0.1335404094760882</v>
      </c>
      <c r="K291" t="e">
        <f t="shared" si="160"/>
        <v>#N/A</v>
      </c>
      <c r="L291" t="str">
        <f>'Lab test'!AC282</f>
        <v>LTWa</v>
      </c>
      <c r="X291" t="e">
        <v>#N/A</v>
      </c>
      <c r="Z291" t="e">
        <f t="shared" si="150"/>
        <v>#N/A</v>
      </c>
      <c r="AB291" t="e">
        <f t="shared" si="149"/>
        <v>#N/A</v>
      </c>
      <c r="AC291" t="e">
        <f t="shared" si="151"/>
        <v>#N/A</v>
      </c>
      <c r="AE291" t="e">
        <v>#N/A</v>
      </c>
      <c r="AF291" t="e">
        <v>#N/A</v>
      </c>
      <c r="AP291" t="e">
        <v>#N/A</v>
      </c>
      <c r="AR291" t="e">
        <f t="shared" si="152"/>
        <v>#N/A</v>
      </c>
      <c r="AT291" t="e">
        <f t="shared" si="153"/>
        <v>#N/A</v>
      </c>
      <c r="AU291" t="e">
        <f t="shared" si="154"/>
        <v>#N/A</v>
      </c>
      <c r="AW291" t="e">
        <v>#N/A</v>
      </c>
      <c r="AX291" t="e">
        <v>#N/A</v>
      </c>
      <c r="BG291" t="e">
        <v>#N/A</v>
      </c>
      <c r="BI291" t="e">
        <f t="shared" si="155"/>
        <v>#N/A</v>
      </c>
      <c r="BK291" t="e">
        <f t="shared" si="156"/>
        <v>#N/A</v>
      </c>
      <c r="BL291" t="e">
        <f t="shared" si="157"/>
        <v>#N/A</v>
      </c>
      <c r="BN291" t="e">
        <v>#N/A</v>
      </c>
      <c r="BO291" t="e">
        <v>#N/A</v>
      </c>
      <c r="BX291" t="e">
        <v>#N/A</v>
      </c>
      <c r="BZ291" t="e">
        <f t="shared" si="158"/>
        <v>#N/A</v>
      </c>
      <c r="CB291" t="e">
        <f t="shared" si="161"/>
        <v>#N/A</v>
      </c>
      <c r="CC291" t="e">
        <f t="shared" si="159"/>
        <v>#N/A</v>
      </c>
      <c r="CE291" t="e">
        <v>#N/A</v>
      </c>
      <c r="CF291" t="e">
        <v>#N/A</v>
      </c>
    </row>
    <row r="292" spans="2:84">
      <c r="B292">
        <v>280</v>
      </c>
      <c r="C292" t="e">
        <f>IF(ISNUMBER(K292),IF('Lab test'!N283&gt;0,'Lab test'!N283,NA()),NA())</f>
        <v>#N/A</v>
      </c>
      <c r="D292" t="e">
        <f>IF(ISNUMBER(K292),IF('Lab test'!Q283&gt;0,'Lab test'!Q283,NA()),NA())</f>
        <v>#N/A</v>
      </c>
      <c r="E292" t="e">
        <f>IF(ISNUMBER(K292),IF('Lab test'!P283&gt;0,'Lab test'!P283,NA()),NA())</f>
        <v>#N/A</v>
      </c>
      <c r="F292" t="e">
        <f>IF(ISNUMBER(K292),IF('Lab test'!AJ283&gt;0,'Lab test'!AJ283,NA()),NA())</f>
        <v>#N/A</v>
      </c>
      <c r="G292">
        <f>IF('Lab test'!V283&gt;0,'Lab test'!V283,NA())</f>
        <v>192392</v>
      </c>
      <c r="H292">
        <f>IF(MAX('Lab test'!W283,'Lab test'!X283)&gt;0,MAX('Lab test'!W283,'Lab test'!X283),NA())</f>
        <v>277</v>
      </c>
      <c r="I292">
        <f>IF('Lab test'!AU283&gt;0,'Lab test'!AU283,NA())</f>
        <v>0.83813195359536996</v>
      </c>
      <c r="J292">
        <f>IF('Lab test'!AT283&gt;0,'Lab test'!AT283,NA())</f>
        <v>0.10703678411933691</v>
      </c>
      <c r="K292" t="e">
        <f t="shared" si="160"/>
        <v>#N/A</v>
      </c>
      <c r="L292" t="str">
        <f>'Lab test'!AC283</f>
        <v>LTWa</v>
      </c>
      <c r="X292" t="e">
        <v>#N/A</v>
      </c>
      <c r="Z292" t="e">
        <f t="shared" si="150"/>
        <v>#N/A</v>
      </c>
      <c r="AB292" t="e">
        <f t="shared" si="149"/>
        <v>#N/A</v>
      </c>
      <c r="AC292" t="e">
        <f t="shared" si="151"/>
        <v>#N/A</v>
      </c>
      <c r="AE292" t="e">
        <v>#N/A</v>
      </c>
      <c r="AF292" t="e">
        <v>#N/A</v>
      </c>
      <c r="AP292" t="e">
        <v>#N/A</v>
      </c>
      <c r="AR292" t="e">
        <f t="shared" si="152"/>
        <v>#N/A</v>
      </c>
      <c r="AT292" t="e">
        <f t="shared" si="153"/>
        <v>#N/A</v>
      </c>
      <c r="AU292" t="e">
        <f t="shared" si="154"/>
        <v>#N/A</v>
      </c>
      <c r="AW292" t="e">
        <v>#N/A</v>
      </c>
      <c r="AX292" t="e">
        <v>#N/A</v>
      </c>
      <c r="BG292" t="e">
        <v>#N/A</v>
      </c>
      <c r="BI292" t="e">
        <f t="shared" si="155"/>
        <v>#N/A</v>
      </c>
      <c r="BK292" t="e">
        <f t="shared" si="156"/>
        <v>#N/A</v>
      </c>
      <c r="BL292" t="e">
        <f t="shared" si="157"/>
        <v>#N/A</v>
      </c>
      <c r="BN292" t="e">
        <v>#N/A</v>
      </c>
      <c r="BO292" t="e">
        <v>#N/A</v>
      </c>
      <c r="BX292" t="e">
        <v>#N/A</v>
      </c>
      <c r="BZ292" t="e">
        <f t="shared" si="158"/>
        <v>#N/A</v>
      </c>
      <c r="CB292" t="e">
        <f t="shared" si="161"/>
        <v>#N/A</v>
      </c>
      <c r="CC292" t="e">
        <f t="shared" si="159"/>
        <v>#N/A</v>
      </c>
      <c r="CE292" t="e">
        <v>#N/A</v>
      </c>
      <c r="CF292" t="e">
        <v>#N/A</v>
      </c>
    </row>
    <row r="293" spans="2:84">
      <c r="B293">
        <v>281</v>
      </c>
      <c r="C293" t="e">
        <f>IF(ISNUMBER(K293),IF('Lab test'!N284&gt;0,'Lab test'!N284,NA()),NA())</f>
        <v>#N/A</v>
      </c>
      <c r="D293" t="e">
        <f>IF(ISNUMBER(K293),IF('Lab test'!Q284&gt;0,'Lab test'!Q284,NA()),NA())</f>
        <v>#N/A</v>
      </c>
      <c r="E293" t="e">
        <f>IF(ISNUMBER(K293),IF('Lab test'!P284&gt;0,'Lab test'!P284,NA()),NA())</f>
        <v>#N/A</v>
      </c>
      <c r="F293" t="e">
        <f>IF(ISNUMBER(K293),IF('Lab test'!AJ284&gt;0,'Lab test'!AJ284,NA()),NA())</f>
        <v>#N/A</v>
      </c>
      <c r="G293">
        <f>IF('Lab test'!V284&gt;0,'Lab test'!V284,NA())</f>
        <v>211700</v>
      </c>
      <c r="H293">
        <f>IF(MAX('Lab test'!W284,'Lab test'!X284)&gt;0,MAX('Lab test'!W284,'Lab test'!X284),NA())</f>
        <v>720</v>
      </c>
      <c r="I293">
        <f>IF('Lab test'!AU284&gt;0,'Lab test'!AU284,NA())</f>
        <v>1.1111413228196587</v>
      </c>
      <c r="J293">
        <f>IF('Lab test'!AT284&gt;0,'Lab test'!AT284,NA())</f>
        <v>0.13013613388687759</v>
      </c>
      <c r="K293" t="e">
        <f t="shared" si="160"/>
        <v>#N/A</v>
      </c>
      <c r="L293" t="str">
        <f>'Lab test'!AC284</f>
        <v>Tubes</v>
      </c>
      <c r="X293" t="e">
        <v>#N/A</v>
      </c>
      <c r="Z293" t="e">
        <f t="shared" si="150"/>
        <v>#N/A</v>
      </c>
      <c r="AB293" t="e">
        <f t="shared" si="149"/>
        <v>#N/A</v>
      </c>
      <c r="AC293" t="e">
        <f t="shared" si="151"/>
        <v>#N/A</v>
      </c>
      <c r="AE293" t="e">
        <v>#N/A</v>
      </c>
      <c r="AF293" t="e">
        <v>#N/A</v>
      </c>
      <c r="AP293" t="e">
        <v>#N/A</v>
      </c>
      <c r="AR293" t="e">
        <f t="shared" si="152"/>
        <v>#N/A</v>
      </c>
      <c r="AT293" t="e">
        <f t="shared" si="153"/>
        <v>#N/A</v>
      </c>
      <c r="AU293" t="e">
        <f t="shared" si="154"/>
        <v>#N/A</v>
      </c>
      <c r="AW293" t="e">
        <v>#N/A</v>
      </c>
      <c r="AX293" t="e">
        <v>#N/A</v>
      </c>
      <c r="BG293" t="e">
        <v>#N/A</v>
      </c>
      <c r="BI293" t="e">
        <f t="shared" si="155"/>
        <v>#N/A</v>
      </c>
      <c r="BK293" t="e">
        <f t="shared" si="156"/>
        <v>#N/A</v>
      </c>
      <c r="BL293" t="e">
        <f t="shared" si="157"/>
        <v>#N/A</v>
      </c>
      <c r="BN293" t="e">
        <v>#N/A</v>
      </c>
      <c r="BO293" t="e">
        <v>#N/A</v>
      </c>
      <c r="BX293" t="e">
        <v>#N/A</v>
      </c>
      <c r="BZ293" t="e">
        <f t="shared" si="158"/>
        <v>#N/A</v>
      </c>
      <c r="CB293" t="e">
        <f t="shared" si="161"/>
        <v>#N/A</v>
      </c>
      <c r="CC293" t="e">
        <f t="shared" si="159"/>
        <v>#N/A</v>
      </c>
      <c r="CE293" t="e">
        <v>#N/A</v>
      </c>
      <c r="CF293" t="e">
        <v>#N/A</v>
      </c>
    </row>
    <row r="294" spans="2:84">
      <c r="B294">
        <v>282</v>
      </c>
      <c r="C294" t="e">
        <f>IF(ISNUMBER(K294),IF('Lab test'!N285&gt;0,'Lab test'!N285,NA()),NA())</f>
        <v>#N/A</v>
      </c>
      <c r="D294" t="e">
        <f>IF(ISNUMBER(K294),IF('Lab test'!Q285&gt;0,'Lab test'!Q285,NA()),NA())</f>
        <v>#N/A</v>
      </c>
      <c r="E294" t="e">
        <f>IF(ISNUMBER(K294),IF('Lab test'!P285&gt;0,'Lab test'!P285,NA()),NA())</f>
        <v>#N/A</v>
      </c>
      <c r="F294" t="e">
        <f>IF(ISNUMBER(K294),IF('Lab test'!AJ285&gt;0,'Lab test'!AJ285,NA()),NA())</f>
        <v>#N/A</v>
      </c>
      <c r="G294">
        <f>IF('Lab test'!V285&gt;0,'Lab test'!V285,NA())</f>
        <v>213300</v>
      </c>
      <c r="H294">
        <f>IF(MAX('Lab test'!W285,'Lab test'!X285)&gt;0,MAX('Lab test'!W285,'Lab test'!X285),NA())</f>
        <v>742.4</v>
      </c>
      <c r="I294">
        <f>IF('Lab test'!AU285&gt;0,'Lab test'!AU285,NA())</f>
        <v>1.1230610952833175</v>
      </c>
      <c r="J294">
        <f>IF('Lab test'!AT285&gt;0,'Lab test'!AT285,NA())</f>
        <v>0.11044789816484829</v>
      </c>
      <c r="K294" t="e">
        <f t="shared" si="160"/>
        <v>#N/A</v>
      </c>
      <c r="L294" t="str">
        <f>'Lab test'!AC285</f>
        <v>Tubes</v>
      </c>
      <c r="X294" t="e">
        <v>#N/A</v>
      </c>
      <c r="Z294" t="e">
        <f t="shared" si="150"/>
        <v>#N/A</v>
      </c>
      <c r="AB294" t="e">
        <f t="shared" si="149"/>
        <v>#N/A</v>
      </c>
      <c r="AC294" t="e">
        <f t="shared" si="151"/>
        <v>#N/A</v>
      </c>
      <c r="AE294" t="e">
        <v>#N/A</v>
      </c>
      <c r="AF294" t="e">
        <v>#N/A</v>
      </c>
      <c r="AP294" t="e">
        <v>#N/A</v>
      </c>
      <c r="AR294" t="e">
        <f t="shared" si="152"/>
        <v>#N/A</v>
      </c>
      <c r="AT294" t="e">
        <f t="shared" si="153"/>
        <v>#N/A</v>
      </c>
      <c r="AU294" t="e">
        <f t="shared" si="154"/>
        <v>#N/A</v>
      </c>
      <c r="AW294" t="e">
        <v>#N/A</v>
      </c>
      <c r="AX294" t="e">
        <v>#N/A</v>
      </c>
      <c r="BG294" t="e">
        <v>#N/A</v>
      </c>
      <c r="BI294" t="e">
        <f t="shared" si="155"/>
        <v>#N/A</v>
      </c>
      <c r="BK294" t="e">
        <f t="shared" si="156"/>
        <v>#N/A</v>
      </c>
      <c r="BL294" t="e">
        <f t="shared" si="157"/>
        <v>#N/A</v>
      </c>
      <c r="BN294" t="e">
        <v>#N/A</v>
      </c>
      <c r="BO294" t="e">
        <v>#N/A</v>
      </c>
      <c r="BX294" t="e">
        <v>#N/A</v>
      </c>
      <c r="BZ294" t="e">
        <f t="shared" si="158"/>
        <v>#N/A</v>
      </c>
      <c r="CB294" t="e">
        <f t="shared" si="161"/>
        <v>#N/A</v>
      </c>
      <c r="CC294" t="e">
        <f t="shared" si="159"/>
        <v>#N/A</v>
      </c>
      <c r="CE294" t="e">
        <v>#N/A</v>
      </c>
      <c r="CF294" t="e">
        <v>#N/A</v>
      </c>
    </row>
    <row r="295" spans="2:84">
      <c r="B295">
        <v>283</v>
      </c>
      <c r="C295" t="e">
        <f>IF(ISNUMBER(K295),IF('Lab test'!N286&gt;0,'Lab test'!N286,NA()),NA())</f>
        <v>#N/A</v>
      </c>
      <c r="D295" t="e">
        <f>IF(ISNUMBER(K295),IF('Lab test'!Q286&gt;0,'Lab test'!Q286,NA()),NA())</f>
        <v>#N/A</v>
      </c>
      <c r="E295" t="e">
        <f>IF(ISNUMBER(K295),IF('Lab test'!P286&gt;0,'Lab test'!P286,NA()),NA())</f>
        <v>#N/A</v>
      </c>
      <c r="F295" t="e">
        <f>IF(ISNUMBER(K295),IF('Lab test'!AJ286&gt;0,'Lab test'!AJ286,NA()),NA())</f>
        <v>#N/A</v>
      </c>
      <c r="G295">
        <f>IF('Lab test'!V286&gt;0,'Lab test'!V286,NA())</f>
        <v>212500</v>
      </c>
      <c r="H295">
        <f>IF(MAX('Lab test'!W286,'Lab test'!X286)&gt;0,MAX('Lab test'!W286,'Lab test'!X286),NA())</f>
        <v>729.7</v>
      </c>
      <c r="I295">
        <f>IF('Lab test'!AU286&gt;0,'Lab test'!AU286,NA())</f>
        <v>1.1800406797454237</v>
      </c>
      <c r="J295">
        <f>IF('Lab test'!AT286&gt;0,'Lab test'!AT286,NA())</f>
        <v>9.2318763434484113E-2</v>
      </c>
      <c r="K295" t="e">
        <f t="shared" si="160"/>
        <v>#N/A</v>
      </c>
      <c r="L295" t="str">
        <f>'Lab test'!AC286</f>
        <v>Tubes</v>
      </c>
      <c r="X295" t="e">
        <v>#N/A</v>
      </c>
      <c r="Z295" t="e">
        <f t="shared" si="150"/>
        <v>#N/A</v>
      </c>
      <c r="AB295" t="e">
        <f t="shared" si="149"/>
        <v>#N/A</v>
      </c>
      <c r="AC295" t="e">
        <f t="shared" si="151"/>
        <v>#N/A</v>
      </c>
      <c r="AE295" t="e">
        <v>#N/A</v>
      </c>
      <c r="AF295" t="e">
        <v>#N/A</v>
      </c>
      <c r="AP295" t="e">
        <v>#N/A</v>
      </c>
      <c r="AR295" t="e">
        <f t="shared" si="152"/>
        <v>#N/A</v>
      </c>
      <c r="AT295" t="e">
        <f t="shared" si="153"/>
        <v>#N/A</v>
      </c>
      <c r="AU295" t="e">
        <f t="shared" si="154"/>
        <v>#N/A</v>
      </c>
      <c r="AW295" t="e">
        <v>#N/A</v>
      </c>
      <c r="AX295" t="e">
        <v>#N/A</v>
      </c>
      <c r="BG295" t="e">
        <v>#N/A</v>
      </c>
      <c r="BI295" t="e">
        <f t="shared" si="155"/>
        <v>#N/A</v>
      </c>
      <c r="BK295" t="e">
        <f t="shared" si="156"/>
        <v>#N/A</v>
      </c>
      <c r="BL295" t="e">
        <f t="shared" si="157"/>
        <v>#N/A</v>
      </c>
      <c r="BN295" t="e">
        <v>#N/A</v>
      </c>
      <c r="BO295" t="e">
        <v>#N/A</v>
      </c>
      <c r="BX295" t="e">
        <v>#N/A</v>
      </c>
      <c r="BZ295" t="e">
        <f t="shared" si="158"/>
        <v>#N/A</v>
      </c>
      <c r="CB295" t="e">
        <f t="shared" si="161"/>
        <v>#N/A</v>
      </c>
      <c r="CC295" t="e">
        <f t="shared" si="159"/>
        <v>#N/A</v>
      </c>
      <c r="CE295" t="e">
        <v>#N/A</v>
      </c>
      <c r="CF295" t="e">
        <v>#N/A</v>
      </c>
    </row>
    <row r="296" spans="2:84">
      <c r="B296">
        <v>284</v>
      </c>
      <c r="C296" t="e">
        <f>IF(ISNUMBER(K296),IF('Lab test'!N287&gt;0,'Lab test'!N287,NA()),NA())</f>
        <v>#N/A</v>
      </c>
      <c r="D296" t="e">
        <f>IF(ISNUMBER(K296),IF('Lab test'!Q287&gt;0,'Lab test'!Q287,NA()),NA())</f>
        <v>#N/A</v>
      </c>
      <c r="E296" t="e">
        <f>IF(ISNUMBER(K296),IF('Lab test'!P287&gt;0,'Lab test'!P287,NA()),NA())</f>
        <v>#N/A</v>
      </c>
      <c r="F296" t="e">
        <f>IF(ISNUMBER(K296),IF('Lab test'!AJ287&gt;0,'Lab test'!AJ287,NA()),NA())</f>
        <v>#N/A</v>
      </c>
      <c r="G296">
        <f>IF('Lab test'!V287&gt;0,'Lab test'!V287,NA())</f>
        <v>207900</v>
      </c>
      <c r="H296">
        <f>IF(MAX('Lab test'!W287,'Lab test'!X287)&gt;0,MAX('Lab test'!W287,'Lab test'!X287),NA())</f>
        <v>779</v>
      </c>
      <c r="I296">
        <f>IF('Lab test'!AU287&gt;0,'Lab test'!AU287,NA())</f>
        <v>1.143095430651031</v>
      </c>
      <c r="J296">
        <f>IF('Lab test'!AT287&gt;0,'Lab test'!AT287,NA())</f>
        <v>7.8409679859592532E-2</v>
      </c>
      <c r="K296" t="e">
        <f t="shared" si="160"/>
        <v>#N/A</v>
      </c>
      <c r="L296" t="str">
        <f>'Lab test'!AC287</f>
        <v>Tubes</v>
      </c>
      <c r="X296" t="e">
        <v>#N/A</v>
      </c>
      <c r="Z296" t="e">
        <f t="shared" si="150"/>
        <v>#N/A</v>
      </c>
      <c r="AB296" t="e">
        <f t="shared" si="149"/>
        <v>#N/A</v>
      </c>
      <c r="AC296" t="e">
        <f t="shared" si="151"/>
        <v>#N/A</v>
      </c>
      <c r="AE296" t="e">
        <v>#N/A</v>
      </c>
      <c r="AF296" t="e">
        <v>#N/A</v>
      </c>
      <c r="AP296" t="e">
        <v>#N/A</v>
      </c>
      <c r="AR296" t="e">
        <f t="shared" si="152"/>
        <v>#N/A</v>
      </c>
      <c r="AT296" t="e">
        <f t="shared" si="153"/>
        <v>#N/A</v>
      </c>
      <c r="AU296" t="e">
        <f t="shared" si="154"/>
        <v>#N/A</v>
      </c>
      <c r="AW296" t="e">
        <v>#N/A</v>
      </c>
      <c r="AX296" t="e">
        <v>#N/A</v>
      </c>
      <c r="BG296" t="e">
        <v>#N/A</v>
      </c>
      <c r="BI296" t="e">
        <f t="shared" si="155"/>
        <v>#N/A</v>
      </c>
      <c r="BK296" t="e">
        <f t="shared" si="156"/>
        <v>#N/A</v>
      </c>
      <c r="BL296" t="e">
        <f t="shared" si="157"/>
        <v>#N/A</v>
      </c>
      <c r="BN296" t="e">
        <v>#N/A</v>
      </c>
      <c r="BO296" t="e">
        <v>#N/A</v>
      </c>
      <c r="BX296" t="e">
        <v>#N/A</v>
      </c>
      <c r="BZ296" t="e">
        <f t="shared" si="158"/>
        <v>#N/A</v>
      </c>
      <c r="CB296" t="e">
        <f t="shared" si="161"/>
        <v>#N/A</v>
      </c>
      <c r="CC296" t="e">
        <f t="shared" si="159"/>
        <v>#N/A</v>
      </c>
      <c r="CE296" t="e">
        <v>#N/A</v>
      </c>
      <c r="CF296" t="e">
        <v>#N/A</v>
      </c>
    </row>
    <row r="297" spans="2:84">
      <c r="B297">
        <v>285</v>
      </c>
      <c r="C297" t="e">
        <f>IF(ISNUMBER(K297),IF('Lab test'!N288&gt;0,'Lab test'!N288,NA()),NA())</f>
        <v>#N/A</v>
      </c>
      <c r="D297" t="e">
        <f>IF(ISNUMBER(K297),IF('Lab test'!Q288&gt;0,'Lab test'!Q288,NA()),NA())</f>
        <v>#N/A</v>
      </c>
      <c r="E297" t="e">
        <f>IF(ISNUMBER(K297),IF('Lab test'!P288&gt;0,'Lab test'!P288,NA()),NA())</f>
        <v>#N/A</v>
      </c>
      <c r="F297" t="e">
        <f>IF(ISNUMBER(K297),IF('Lab test'!AJ288&gt;0,'Lab test'!AJ288,NA()),NA())</f>
        <v>#N/A</v>
      </c>
      <c r="G297">
        <f>IF('Lab test'!V288&gt;0,'Lab test'!V288,NA())</f>
        <v>205700</v>
      </c>
      <c r="H297">
        <f>IF(MAX('Lab test'!W288,'Lab test'!X288)&gt;0,MAX('Lab test'!W288,'Lab test'!X288),NA())</f>
        <v>784.8</v>
      </c>
      <c r="I297">
        <f>IF('Lab test'!AU288&gt;0,'Lab test'!AU288,NA())</f>
        <v>1.1419999999999999</v>
      </c>
      <c r="J297">
        <f>IF('Lab test'!AT288&gt;0,'Lab test'!AT288,NA())</f>
        <v>6.0569111778250508E-2</v>
      </c>
      <c r="K297" t="e">
        <f t="shared" si="160"/>
        <v>#N/A</v>
      </c>
      <c r="L297" t="str">
        <f>'Lab test'!AC288</f>
        <v>Tubes</v>
      </c>
      <c r="X297" t="e">
        <v>#N/A</v>
      </c>
      <c r="Z297" t="e">
        <f t="shared" si="150"/>
        <v>#N/A</v>
      </c>
      <c r="AB297" t="e">
        <f t="shared" si="149"/>
        <v>#N/A</v>
      </c>
      <c r="AC297" t="e">
        <f t="shared" si="151"/>
        <v>#N/A</v>
      </c>
      <c r="AE297" t="e">
        <v>#N/A</v>
      </c>
      <c r="AF297" t="e">
        <v>#N/A</v>
      </c>
      <c r="AP297" t="e">
        <v>#N/A</v>
      </c>
      <c r="AR297" t="e">
        <f t="shared" si="152"/>
        <v>#N/A</v>
      </c>
      <c r="AT297" t="e">
        <f t="shared" si="153"/>
        <v>#N/A</v>
      </c>
      <c r="AU297" t="e">
        <f t="shared" si="154"/>
        <v>#N/A</v>
      </c>
      <c r="AW297" t="e">
        <v>#N/A</v>
      </c>
      <c r="AX297" t="e">
        <v>#N/A</v>
      </c>
      <c r="BG297" t="e">
        <v>#N/A</v>
      </c>
      <c r="BI297" t="e">
        <f t="shared" si="155"/>
        <v>#N/A</v>
      </c>
      <c r="BK297" t="e">
        <f t="shared" si="156"/>
        <v>#N/A</v>
      </c>
      <c r="BL297" t="e">
        <f t="shared" si="157"/>
        <v>#N/A</v>
      </c>
      <c r="BN297" t="e">
        <v>#N/A</v>
      </c>
      <c r="BO297" t="e">
        <v>#N/A</v>
      </c>
      <c r="BX297" t="e">
        <v>#N/A</v>
      </c>
      <c r="BZ297" t="e">
        <f t="shared" si="158"/>
        <v>#N/A</v>
      </c>
      <c r="CB297" t="e">
        <f t="shared" si="161"/>
        <v>#N/A</v>
      </c>
      <c r="CC297" t="e">
        <f t="shared" si="159"/>
        <v>#N/A</v>
      </c>
      <c r="CE297" t="e">
        <v>#N/A</v>
      </c>
      <c r="CF297" t="e">
        <v>#N/A</v>
      </c>
    </row>
    <row r="298" spans="2:84">
      <c r="B298">
        <v>286</v>
      </c>
      <c r="C298" t="e">
        <f>IF(ISNUMBER(K298),IF('Lab test'!N289&gt;0,'Lab test'!N289,NA()),NA())</f>
        <v>#N/A</v>
      </c>
      <c r="D298" t="e">
        <f>IF(ISNUMBER(K298),IF('Lab test'!Q289&gt;0,'Lab test'!Q289,NA()),NA())</f>
        <v>#N/A</v>
      </c>
      <c r="E298" t="e">
        <f>IF(ISNUMBER(K298),IF('Lab test'!P289&gt;0,'Lab test'!P289,NA()),NA())</f>
        <v>#N/A</v>
      </c>
      <c r="F298" t="e">
        <f>IF(ISNUMBER(K298),IF('Lab test'!AJ289&gt;0,'Lab test'!AJ289,NA()),NA())</f>
        <v>#N/A</v>
      </c>
      <c r="G298">
        <f>IF('Lab test'!V289&gt;0,'Lab test'!V289,NA())</f>
        <v>205600</v>
      </c>
      <c r="H298">
        <f>IF(MAX('Lab test'!W289,'Lab test'!X289)&gt;0,MAX('Lab test'!W289,'Lab test'!X289),NA())</f>
        <v>787.6</v>
      </c>
      <c r="I298">
        <f>IF('Lab test'!AU289&gt;0,'Lab test'!AU289,NA())</f>
        <v>1.1741194104421684</v>
      </c>
      <c r="J298">
        <f>IF('Lab test'!AT289&gt;0,'Lab test'!AT289,NA())</f>
        <v>4.8771677430958567E-2</v>
      </c>
      <c r="K298" t="e">
        <f t="shared" si="160"/>
        <v>#N/A</v>
      </c>
      <c r="L298" t="str">
        <f>'Lab test'!AC289</f>
        <v>Tubes</v>
      </c>
      <c r="X298" t="e">
        <v>#N/A</v>
      </c>
      <c r="Z298" t="e">
        <f t="shared" si="150"/>
        <v>#N/A</v>
      </c>
      <c r="AB298" t="e">
        <f t="shared" si="149"/>
        <v>#N/A</v>
      </c>
      <c r="AC298" t="e">
        <f t="shared" si="151"/>
        <v>#N/A</v>
      </c>
      <c r="AE298" t="e">
        <v>#N/A</v>
      </c>
      <c r="AF298" t="e">
        <v>#N/A</v>
      </c>
      <c r="AP298" t="e">
        <v>#N/A</v>
      </c>
      <c r="AR298" t="e">
        <f t="shared" si="152"/>
        <v>#N/A</v>
      </c>
      <c r="AT298" t="e">
        <f t="shared" si="153"/>
        <v>#N/A</v>
      </c>
      <c r="AU298" t="e">
        <f t="shared" si="154"/>
        <v>#N/A</v>
      </c>
      <c r="AW298" t="e">
        <v>#N/A</v>
      </c>
      <c r="AX298" t="e">
        <v>#N/A</v>
      </c>
      <c r="BG298" t="e">
        <v>#N/A</v>
      </c>
      <c r="BI298" t="e">
        <f t="shared" si="155"/>
        <v>#N/A</v>
      </c>
      <c r="BK298" t="e">
        <f t="shared" si="156"/>
        <v>#N/A</v>
      </c>
      <c r="BL298" t="e">
        <f t="shared" si="157"/>
        <v>#N/A</v>
      </c>
      <c r="BN298" t="e">
        <v>#N/A</v>
      </c>
      <c r="BO298" t="e">
        <v>#N/A</v>
      </c>
      <c r="BX298" t="e">
        <v>#N/A</v>
      </c>
      <c r="BZ298" t="e">
        <f t="shared" si="158"/>
        <v>#N/A</v>
      </c>
      <c r="CB298" t="e">
        <f t="shared" si="161"/>
        <v>#N/A</v>
      </c>
      <c r="CC298" t="e">
        <f t="shared" si="159"/>
        <v>#N/A</v>
      </c>
      <c r="CE298" t="e">
        <v>#N/A</v>
      </c>
      <c r="CF298" t="e">
        <v>#N/A</v>
      </c>
    </row>
    <row r="299" spans="2:84">
      <c r="B299">
        <v>287</v>
      </c>
      <c r="C299">
        <f>IF(ISNUMBER(K299),IF('Lab test'!N290&gt;0,'Lab test'!N290,NA()),NA())</f>
        <v>75</v>
      </c>
      <c r="D299">
        <f>IF(ISNUMBER(K299),IF('Lab test'!Q290&gt;0,'Lab test'!Q290,NA()),NA())</f>
        <v>37.5</v>
      </c>
      <c r="E299">
        <f>IF(ISNUMBER(K299),IF('Lab test'!P290&gt;0,'Lab test'!P290,NA()),NA())</f>
        <v>0.97979589711327131</v>
      </c>
      <c r="F299" t="e">
        <f>IF(ISNUMBER(K299),IF('Lab test'!AJ290&gt;0,'Lab test'!AJ290,NA()),NA())</f>
        <v>#N/A</v>
      </c>
      <c r="G299">
        <f>IF('Lab test'!V290&gt;0,'Lab test'!V290,NA())</f>
        <v>188000</v>
      </c>
      <c r="H299">
        <f>IF(MAX('Lab test'!W290,'Lab test'!X290)&gt;0,MAX('Lab test'!W290,'Lab test'!X290),NA())</f>
        <v>190</v>
      </c>
      <c r="I299">
        <f>IF('Lab test'!AU290&gt;0,'Lab test'!AU290,NA())</f>
        <v>1.1052631578947369</v>
      </c>
      <c r="J299">
        <f>IF('Lab test'!AT290&gt;0,'Lab test'!AT290,NA())</f>
        <v>6.9210826691294761E-2</v>
      </c>
      <c r="K299">
        <f t="shared" si="160"/>
        <v>1</v>
      </c>
      <c r="L299" t="str">
        <f>'Lab test'!AC290</f>
        <v>LTWb</v>
      </c>
      <c r="X299" t="e">
        <v>#N/A</v>
      </c>
      <c r="Z299" t="e">
        <f t="shared" si="150"/>
        <v>#N/A</v>
      </c>
      <c r="AB299" t="e">
        <f t="shared" si="149"/>
        <v>#N/A</v>
      </c>
      <c r="AC299" t="e">
        <f t="shared" si="151"/>
        <v>#N/A</v>
      </c>
      <c r="AE299" t="e">
        <v>#N/A</v>
      </c>
      <c r="AF299" t="e">
        <v>#N/A</v>
      </c>
      <c r="AP299" t="e">
        <v>#N/A</v>
      </c>
      <c r="AR299" t="e">
        <f t="shared" si="152"/>
        <v>#N/A</v>
      </c>
      <c r="AT299" t="e">
        <f t="shared" si="153"/>
        <v>#N/A</v>
      </c>
      <c r="AU299" t="e">
        <f t="shared" si="154"/>
        <v>#N/A</v>
      </c>
      <c r="AW299" t="e">
        <v>#N/A</v>
      </c>
      <c r="AX299" t="e">
        <v>#N/A</v>
      </c>
      <c r="BG299" t="e">
        <v>#N/A</v>
      </c>
      <c r="BI299" t="e">
        <f t="shared" si="155"/>
        <v>#N/A</v>
      </c>
      <c r="BK299" t="e">
        <f t="shared" si="156"/>
        <v>#N/A</v>
      </c>
      <c r="BL299" t="e">
        <f t="shared" si="157"/>
        <v>#N/A</v>
      </c>
      <c r="BN299" t="e">
        <v>#N/A</v>
      </c>
      <c r="BO299" t="e">
        <v>#N/A</v>
      </c>
      <c r="BX299" t="e">
        <v>#N/A</v>
      </c>
      <c r="BZ299" t="e">
        <f t="shared" si="158"/>
        <v>#N/A</v>
      </c>
      <c r="CB299" t="e">
        <f t="shared" si="161"/>
        <v>#N/A</v>
      </c>
      <c r="CC299" t="e">
        <f t="shared" si="159"/>
        <v>#N/A</v>
      </c>
      <c r="CE299" t="e">
        <v>#N/A</v>
      </c>
      <c r="CF299" t="e">
        <v>#N/A</v>
      </c>
    </row>
    <row r="300" spans="2:84">
      <c r="B300">
        <v>288</v>
      </c>
      <c r="C300" t="e">
        <f>IF(ISNUMBER(K300),IF('Lab test'!N291&gt;0,'Lab test'!N291,NA()),NA())</f>
        <v>#N/A</v>
      </c>
      <c r="D300" t="e">
        <f>IF(ISNUMBER(K300),IF('Lab test'!Q291&gt;0,'Lab test'!Q291,NA()),NA())</f>
        <v>#N/A</v>
      </c>
      <c r="E300" t="e">
        <f>IF(ISNUMBER(K300),IF('Lab test'!P291&gt;0,'Lab test'!P291,NA()),NA())</f>
        <v>#N/A</v>
      </c>
      <c r="F300" t="e">
        <f>IF(ISNUMBER(K300),IF('Lab test'!AJ291&gt;0,'Lab test'!AJ291,NA()),NA())</f>
        <v>#N/A</v>
      </c>
      <c r="G300">
        <f>IF('Lab test'!V291&gt;0,'Lab test'!V291,NA())</f>
        <v>188000</v>
      </c>
      <c r="H300">
        <f>IF(MAX('Lab test'!W291,'Lab test'!X291)&gt;0,MAX('Lab test'!W291,'Lab test'!X291),NA())</f>
        <v>190</v>
      </c>
      <c r="I300" t="e">
        <f>IF('Lab test'!AU291&gt;0,'Lab test'!AU291,NA())</f>
        <v>#N/A</v>
      </c>
      <c r="J300" t="e">
        <f>IF('Lab test'!AT291&gt;0,'Lab test'!AT291,NA())</f>
        <v>#N/A</v>
      </c>
      <c r="K300" t="e">
        <f t="shared" si="160"/>
        <v>#N/A</v>
      </c>
      <c r="L300" t="str">
        <f>'Lab test'!AC291</f>
        <v>LTWb</v>
      </c>
      <c r="X300" t="e">
        <v>#N/A</v>
      </c>
      <c r="Z300" t="e">
        <f t="shared" si="150"/>
        <v>#N/A</v>
      </c>
      <c r="AB300" t="e">
        <f t="shared" si="149"/>
        <v>#N/A</v>
      </c>
      <c r="AC300" t="e">
        <f t="shared" si="151"/>
        <v>#N/A</v>
      </c>
      <c r="AE300" t="e">
        <v>#N/A</v>
      </c>
      <c r="AF300" t="e">
        <v>#N/A</v>
      </c>
      <c r="AP300" t="e">
        <v>#N/A</v>
      </c>
      <c r="AR300" t="e">
        <f t="shared" si="152"/>
        <v>#N/A</v>
      </c>
      <c r="AT300" t="e">
        <f t="shared" si="153"/>
        <v>#N/A</v>
      </c>
      <c r="AU300" t="e">
        <f t="shared" si="154"/>
        <v>#N/A</v>
      </c>
      <c r="AW300" t="e">
        <v>#N/A</v>
      </c>
      <c r="AX300" t="e">
        <v>#N/A</v>
      </c>
      <c r="BG300" t="e">
        <v>#N/A</v>
      </c>
      <c r="BI300" t="e">
        <f t="shared" si="155"/>
        <v>#N/A</v>
      </c>
      <c r="BK300" t="e">
        <f t="shared" si="156"/>
        <v>#N/A</v>
      </c>
      <c r="BL300" t="e">
        <f t="shared" si="157"/>
        <v>#N/A</v>
      </c>
      <c r="BN300" t="e">
        <v>#N/A</v>
      </c>
      <c r="BO300" t="e">
        <v>#N/A</v>
      </c>
      <c r="BX300" t="e">
        <v>#N/A</v>
      </c>
      <c r="BZ300" t="e">
        <f t="shared" si="158"/>
        <v>#N/A</v>
      </c>
      <c r="CB300" t="e">
        <f t="shared" si="161"/>
        <v>#N/A</v>
      </c>
      <c r="CC300" t="e">
        <f t="shared" si="159"/>
        <v>#N/A</v>
      </c>
      <c r="CE300" t="e">
        <v>#N/A</v>
      </c>
      <c r="CF300" t="e">
        <v>#N/A</v>
      </c>
    </row>
    <row r="301" spans="2:84">
      <c r="B301">
        <v>289</v>
      </c>
      <c r="C301" t="e">
        <f>IF(ISNUMBER(K301),IF('Lab test'!N292&gt;0,'Lab test'!N292,NA()),NA())</f>
        <v>#N/A</v>
      </c>
      <c r="D301" t="e">
        <f>IF(ISNUMBER(K301),IF('Lab test'!Q292&gt;0,'Lab test'!Q292,NA()),NA())</f>
        <v>#N/A</v>
      </c>
      <c r="E301" t="e">
        <f>IF(ISNUMBER(K301),IF('Lab test'!P292&gt;0,'Lab test'!P292,NA()),NA())</f>
        <v>#N/A</v>
      </c>
      <c r="F301" t="e">
        <f>IF(ISNUMBER(K301),IF('Lab test'!AJ292&gt;0,'Lab test'!AJ292,NA()),NA())</f>
        <v>#N/A</v>
      </c>
      <c r="G301">
        <f>IF('Lab test'!V292&gt;0,'Lab test'!V292,NA())</f>
        <v>188000</v>
      </c>
      <c r="H301">
        <f>IF(MAX('Lab test'!W292,'Lab test'!X292)&gt;0,MAX('Lab test'!W292,'Lab test'!X292),NA())</f>
        <v>190</v>
      </c>
      <c r="I301" t="e">
        <f>IF('Lab test'!AU292&gt;0,'Lab test'!AU292,NA())</f>
        <v>#N/A</v>
      </c>
      <c r="J301" t="e">
        <f>IF('Lab test'!AT292&gt;0,'Lab test'!AT292,NA())</f>
        <v>#N/A</v>
      </c>
      <c r="K301" t="e">
        <f t="shared" si="160"/>
        <v>#N/A</v>
      </c>
      <c r="L301" t="str">
        <f>'Lab test'!AC292</f>
        <v>LTWb</v>
      </c>
      <c r="X301" t="e">
        <v>#N/A</v>
      </c>
      <c r="Z301" t="e">
        <f t="shared" si="150"/>
        <v>#N/A</v>
      </c>
      <c r="AB301" t="e">
        <f t="shared" si="149"/>
        <v>#N/A</v>
      </c>
      <c r="AC301" t="e">
        <f t="shared" si="151"/>
        <v>#N/A</v>
      </c>
      <c r="AE301" t="e">
        <v>#N/A</v>
      </c>
      <c r="AF301" t="e">
        <v>#N/A</v>
      </c>
      <c r="AP301" t="e">
        <v>#N/A</v>
      </c>
      <c r="AR301" t="e">
        <f t="shared" si="152"/>
        <v>#N/A</v>
      </c>
      <c r="AT301" t="e">
        <f t="shared" si="153"/>
        <v>#N/A</v>
      </c>
      <c r="AU301" t="e">
        <f t="shared" si="154"/>
        <v>#N/A</v>
      </c>
      <c r="AW301" t="e">
        <v>#N/A</v>
      </c>
      <c r="AX301" t="e">
        <v>#N/A</v>
      </c>
      <c r="BG301" t="e">
        <v>#N/A</v>
      </c>
      <c r="BI301" t="e">
        <f t="shared" si="155"/>
        <v>#N/A</v>
      </c>
      <c r="BK301" t="e">
        <f t="shared" si="156"/>
        <v>#N/A</v>
      </c>
      <c r="BL301" t="e">
        <f t="shared" si="157"/>
        <v>#N/A</v>
      </c>
      <c r="BN301" t="e">
        <v>#N/A</v>
      </c>
      <c r="BO301" t="e">
        <v>#N/A</v>
      </c>
      <c r="BX301" t="e">
        <v>#N/A</v>
      </c>
      <c r="BZ301" t="e">
        <f t="shared" si="158"/>
        <v>#N/A</v>
      </c>
      <c r="CB301" t="e">
        <f t="shared" si="161"/>
        <v>#N/A</v>
      </c>
      <c r="CC301" t="e">
        <f t="shared" si="159"/>
        <v>#N/A</v>
      </c>
      <c r="CE301" t="e">
        <v>#N/A</v>
      </c>
      <c r="CF301" t="e">
        <v>#N/A</v>
      </c>
    </row>
    <row r="302" spans="2:84">
      <c r="B302">
        <v>290</v>
      </c>
      <c r="C302">
        <f>IF(ISNUMBER(K302),IF('Lab test'!N293&gt;0,'Lab test'!N293,NA()),NA())</f>
        <v>100</v>
      </c>
      <c r="D302">
        <f>IF(ISNUMBER(K302),IF('Lab test'!Q293&gt;0,'Lab test'!Q293,NA()),NA())</f>
        <v>50</v>
      </c>
      <c r="E302">
        <f>IF(ISNUMBER(K302),IF('Lab test'!P293&gt;0,'Lab test'!P293,NA()),NA())</f>
        <v>0.84852813742385702</v>
      </c>
      <c r="F302" t="e">
        <f>IF(ISNUMBER(K302),IF('Lab test'!AJ293&gt;0,'Lab test'!AJ293,NA()),NA())</f>
        <v>#N/A</v>
      </c>
      <c r="G302">
        <f>IF('Lab test'!V293&gt;0,'Lab test'!V293,NA())</f>
        <v>188000</v>
      </c>
      <c r="H302">
        <f>IF(MAX('Lab test'!W293,'Lab test'!X293)&gt;0,MAX('Lab test'!W293,'Lab test'!X293),NA())</f>
        <v>190</v>
      </c>
      <c r="I302">
        <f>IF('Lab test'!AU293&gt;0,'Lab test'!AU293,NA())</f>
        <v>0.9</v>
      </c>
      <c r="J302">
        <f>IF('Lab test'!AT293&gt;0,'Lab test'!AT293,NA())</f>
        <v>7.514318326483431E-2</v>
      </c>
      <c r="K302">
        <f t="shared" si="160"/>
        <v>1</v>
      </c>
      <c r="L302" t="str">
        <f>'Lab test'!AC293</f>
        <v>LTWb</v>
      </c>
      <c r="X302" t="e">
        <v>#N/A</v>
      </c>
      <c r="Z302" t="e">
        <f t="shared" si="150"/>
        <v>#N/A</v>
      </c>
      <c r="AB302" t="e">
        <f t="shared" si="149"/>
        <v>#N/A</v>
      </c>
      <c r="AC302" t="e">
        <f t="shared" si="151"/>
        <v>#N/A</v>
      </c>
      <c r="AE302" t="e">
        <v>#N/A</v>
      </c>
      <c r="AF302" t="e">
        <v>#N/A</v>
      </c>
      <c r="AP302" t="e">
        <v>#N/A</v>
      </c>
      <c r="AR302" t="e">
        <f t="shared" si="152"/>
        <v>#N/A</v>
      </c>
      <c r="AT302" t="e">
        <f t="shared" si="153"/>
        <v>#N/A</v>
      </c>
      <c r="AU302" t="e">
        <f t="shared" si="154"/>
        <v>#N/A</v>
      </c>
      <c r="AW302" t="e">
        <v>#N/A</v>
      </c>
      <c r="AX302" t="e">
        <v>#N/A</v>
      </c>
      <c r="BG302" t="e">
        <v>#N/A</v>
      </c>
      <c r="BI302" t="e">
        <f t="shared" si="155"/>
        <v>#N/A</v>
      </c>
      <c r="BK302" t="e">
        <f t="shared" si="156"/>
        <v>#N/A</v>
      </c>
      <c r="BL302" t="e">
        <f t="shared" si="157"/>
        <v>#N/A</v>
      </c>
      <c r="BN302" t="e">
        <v>#N/A</v>
      </c>
      <c r="BO302" t="e">
        <v>#N/A</v>
      </c>
      <c r="BX302" t="e">
        <v>#N/A</v>
      </c>
      <c r="BZ302" t="e">
        <f t="shared" si="158"/>
        <v>#N/A</v>
      </c>
      <c r="CB302" t="e">
        <f t="shared" si="161"/>
        <v>#N/A</v>
      </c>
      <c r="CC302" t="e">
        <f t="shared" si="159"/>
        <v>#N/A</v>
      </c>
      <c r="CE302" t="e">
        <v>#N/A</v>
      </c>
      <c r="CF302" t="e">
        <v>#N/A</v>
      </c>
    </row>
    <row r="303" spans="2:84">
      <c r="B303">
        <v>291</v>
      </c>
      <c r="C303" t="e">
        <f>IF(ISNUMBER(K303),IF('Lab test'!N294&gt;0,'Lab test'!N294,NA()),NA())</f>
        <v>#N/A</v>
      </c>
      <c r="D303" t="e">
        <f>IF(ISNUMBER(K303),IF('Lab test'!Q294&gt;0,'Lab test'!Q294,NA()),NA())</f>
        <v>#N/A</v>
      </c>
      <c r="E303" t="e">
        <f>IF(ISNUMBER(K303),IF('Lab test'!P294&gt;0,'Lab test'!P294,NA()),NA())</f>
        <v>#N/A</v>
      </c>
      <c r="F303" t="e">
        <f>IF(ISNUMBER(K303),IF('Lab test'!AJ294&gt;0,'Lab test'!AJ294,NA()),NA())</f>
        <v>#N/A</v>
      </c>
      <c r="G303">
        <f>IF('Lab test'!V294&gt;0,'Lab test'!V294,NA())</f>
        <v>188000</v>
      </c>
      <c r="H303">
        <f>IF(MAX('Lab test'!W294,'Lab test'!X294)&gt;0,MAX('Lab test'!W294,'Lab test'!X294),NA())</f>
        <v>190</v>
      </c>
      <c r="I303" t="e">
        <f>IF('Lab test'!AU294&gt;0,'Lab test'!AU294,NA())</f>
        <v>#N/A</v>
      </c>
      <c r="J303" t="e">
        <f>IF('Lab test'!AT294&gt;0,'Lab test'!AT294,NA())</f>
        <v>#N/A</v>
      </c>
      <c r="K303" t="e">
        <f t="shared" si="160"/>
        <v>#N/A</v>
      </c>
      <c r="L303" t="str">
        <f>'Lab test'!AC294</f>
        <v>LTWb</v>
      </c>
      <c r="X303" t="e">
        <v>#N/A</v>
      </c>
      <c r="Z303" t="e">
        <f t="shared" si="150"/>
        <v>#N/A</v>
      </c>
      <c r="AB303" t="e">
        <f t="shared" si="149"/>
        <v>#N/A</v>
      </c>
      <c r="AC303" t="e">
        <f t="shared" si="151"/>
        <v>#N/A</v>
      </c>
      <c r="AE303" t="e">
        <v>#N/A</v>
      </c>
      <c r="AF303" t="e">
        <v>#N/A</v>
      </c>
      <c r="AP303" t="e">
        <v>#N/A</v>
      </c>
      <c r="AR303" t="e">
        <f t="shared" si="152"/>
        <v>#N/A</v>
      </c>
      <c r="AT303" t="e">
        <f t="shared" si="153"/>
        <v>#N/A</v>
      </c>
      <c r="AU303" t="e">
        <f t="shared" si="154"/>
        <v>#N/A</v>
      </c>
      <c r="AW303" t="e">
        <v>#N/A</v>
      </c>
      <c r="AX303" t="e">
        <v>#N/A</v>
      </c>
      <c r="BG303" t="e">
        <v>#N/A</v>
      </c>
      <c r="BI303" t="e">
        <f t="shared" si="155"/>
        <v>#N/A</v>
      </c>
      <c r="BK303" t="e">
        <f t="shared" si="156"/>
        <v>#N/A</v>
      </c>
      <c r="BL303" t="e">
        <f t="shared" si="157"/>
        <v>#N/A</v>
      </c>
      <c r="BN303" t="e">
        <v>#N/A</v>
      </c>
      <c r="BO303" t="e">
        <v>#N/A</v>
      </c>
      <c r="BX303" t="e">
        <v>#N/A</v>
      </c>
      <c r="BZ303" t="e">
        <f t="shared" si="158"/>
        <v>#N/A</v>
      </c>
      <c r="CB303" t="e">
        <f t="shared" si="161"/>
        <v>#N/A</v>
      </c>
      <c r="CC303" t="e">
        <f t="shared" si="159"/>
        <v>#N/A</v>
      </c>
      <c r="CE303" t="e">
        <v>#N/A</v>
      </c>
      <c r="CF303" t="e">
        <v>#N/A</v>
      </c>
    </row>
    <row r="304" spans="2:84">
      <c r="B304">
        <v>292</v>
      </c>
      <c r="C304" t="e">
        <f>IF(ISNUMBER(K304),IF('Lab test'!N295&gt;0,'Lab test'!N295,NA()),NA())</f>
        <v>#N/A</v>
      </c>
      <c r="D304" t="e">
        <f>IF(ISNUMBER(K304),IF('Lab test'!Q295&gt;0,'Lab test'!Q295,NA()),NA())</f>
        <v>#N/A</v>
      </c>
      <c r="E304" t="e">
        <f>IF(ISNUMBER(K304),IF('Lab test'!P295&gt;0,'Lab test'!P295,NA()),NA())</f>
        <v>#N/A</v>
      </c>
      <c r="F304" t="e">
        <f>IF(ISNUMBER(K304),IF('Lab test'!AJ295&gt;0,'Lab test'!AJ295,NA()),NA())</f>
        <v>#N/A</v>
      </c>
      <c r="G304">
        <f>IF('Lab test'!V295&gt;0,'Lab test'!V295,NA())</f>
        <v>188000</v>
      </c>
      <c r="H304">
        <f>IF(MAX('Lab test'!W295,'Lab test'!X295)&gt;0,MAX('Lab test'!W295,'Lab test'!X295),NA())</f>
        <v>190</v>
      </c>
      <c r="I304" t="e">
        <f>IF('Lab test'!AU295&gt;0,'Lab test'!AU295,NA())</f>
        <v>#N/A</v>
      </c>
      <c r="J304" t="e">
        <f>IF('Lab test'!AT295&gt;0,'Lab test'!AT295,NA())</f>
        <v>#N/A</v>
      </c>
      <c r="K304" t="e">
        <f t="shared" si="160"/>
        <v>#N/A</v>
      </c>
      <c r="L304" t="str">
        <f>'Lab test'!AC295</f>
        <v>LTWb</v>
      </c>
      <c r="X304" t="e">
        <v>#N/A</v>
      </c>
      <c r="Z304" t="e">
        <f t="shared" si="150"/>
        <v>#N/A</v>
      </c>
      <c r="AB304" t="e">
        <f t="shared" ref="AB304:AB367" si="162">Z304</f>
        <v>#N/A</v>
      </c>
      <c r="AC304" t="e">
        <f t="shared" si="151"/>
        <v>#N/A</v>
      </c>
      <c r="AE304" t="e">
        <v>#N/A</v>
      </c>
      <c r="AF304" t="e">
        <v>#N/A</v>
      </c>
      <c r="AP304" t="e">
        <v>#N/A</v>
      </c>
      <c r="AR304" t="e">
        <f t="shared" si="152"/>
        <v>#N/A</v>
      </c>
      <c r="AT304" t="e">
        <f t="shared" si="153"/>
        <v>#N/A</v>
      </c>
      <c r="AU304" t="e">
        <f t="shared" si="154"/>
        <v>#N/A</v>
      </c>
      <c r="AW304" t="e">
        <v>#N/A</v>
      </c>
      <c r="AX304" t="e">
        <v>#N/A</v>
      </c>
      <c r="BG304" t="e">
        <v>#N/A</v>
      </c>
      <c r="BI304" t="e">
        <f t="shared" si="155"/>
        <v>#N/A</v>
      </c>
      <c r="BK304" t="e">
        <f t="shared" si="156"/>
        <v>#N/A</v>
      </c>
      <c r="BL304" t="e">
        <f t="shared" si="157"/>
        <v>#N/A</v>
      </c>
      <c r="BN304" t="e">
        <v>#N/A</v>
      </c>
      <c r="BO304" t="e">
        <v>#N/A</v>
      </c>
      <c r="BX304" t="e">
        <v>#N/A</v>
      </c>
      <c r="BZ304" t="e">
        <f t="shared" si="158"/>
        <v>#N/A</v>
      </c>
      <c r="CB304" t="e">
        <f t="shared" si="161"/>
        <v>#N/A</v>
      </c>
      <c r="CC304" t="e">
        <f t="shared" si="159"/>
        <v>#N/A</v>
      </c>
      <c r="CE304" t="e">
        <v>#N/A</v>
      </c>
      <c r="CF304" t="e">
        <v>#N/A</v>
      </c>
    </row>
    <row r="305" spans="2:84">
      <c r="B305">
        <v>293</v>
      </c>
      <c r="C305" t="e">
        <f>IF(ISNUMBER(K305),IF('Lab test'!N296&gt;0,'Lab test'!N296,NA()),NA())</f>
        <v>#N/A</v>
      </c>
      <c r="D305" t="e">
        <f>IF(ISNUMBER(K305),IF('Lab test'!Q296&gt;0,'Lab test'!Q296,NA()),NA())</f>
        <v>#N/A</v>
      </c>
      <c r="E305" t="e">
        <f>IF(ISNUMBER(K305),IF('Lab test'!P296&gt;0,'Lab test'!P296,NA()),NA())</f>
        <v>#N/A</v>
      </c>
      <c r="F305" t="e">
        <f>IF(ISNUMBER(K305),IF('Lab test'!AJ296&gt;0,'Lab test'!AJ296,NA()),NA())</f>
        <v>#N/A</v>
      </c>
      <c r="G305">
        <f>IF('Lab test'!V296&gt;0,'Lab test'!V296,NA())</f>
        <v>188000</v>
      </c>
      <c r="H305">
        <f>IF(MAX('Lab test'!W296,'Lab test'!X296)&gt;0,MAX('Lab test'!W296,'Lab test'!X296),NA())</f>
        <v>190</v>
      </c>
      <c r="I305" t="e">
        <f>IF('Lab test'!AU296&gt;0,'Lab test'!AU296,NA())</f>
        <v>#N/A</v>
      </c>
      <c r="J305" t="e">
        <f>IF('Lab test'!AT296&gt;0,'Lab test'!AT296,NA())</f>
        <v>#N/A</v>
      </c>
      <c r="K305" t="e">
        <f t="shared" si="160"/>
        <v>#N/A</v>
      </c>
      <c r="L305" t="str">
        <f>'Lab test'!AC296</f>
        <v>LTWb</v>
      </c>
      <c r="X305" t="e">
        <v>#N/A</v>
      </c>
      <c r="Z305" t="e">
        <f t="shared" si="150"/>
        <v>#N/A</v>
      </c>
      <c r="AB305" t="e">
        <f t="shared" si="162"/>
        <v>#N/A</v>
      </c>
      <c r="AC305" t="e">
        <f t="shared" si="151"/>
        <v>#N/A</v>
      </c>
      <c r="AE305" t="e">
        <v>#N/A</v>
      </c>
      <c r="AF305" t="e">
        <v>#N/A</v>
      </c>
      <c r="AP305" t="e">
        <v>#N/A</v>
      </c>
      <c r="AR305" t="e">
        <f t="shared" si="152"/>
        <v>#N/A</v>
      </c>
      <c r="AT305" t="e">
        <f t="shared" si="153"/>
        <v>#N/A</v>
      </c>
      <c r="AU305" t="e">
        <f t="shared" si="154"/>
        <v>#N/A</v>
      </c>
      <c r="AW305" t="e">
        <v>#N/A</v>
      </c>
      <c r="AX305" t="e">
        <v>#N/A</v>
      </c>
      <c r="BG305" t="e">
        <v>#N/A</v>
      </c>
      <c r="BI305" t="e">
        <f t="shared" si="155"/>
        <v>#N/A</v>
      </c>
      <c r="BK305" t="e">
        <f t="shared" si="156"/>
        <v>#N/A</v>
      </c>
      <c r="BL305" t="e">
        <f t="shared" si="157"/>
        <v>#N/A</v>
      </c>
      <c r="BN305" t="e">
        <v>#N/A</v>
      </c>
      <c r="BO305" t="e">
        <v>#N/A</v>
      </c>
      <c r="BX305" t="e">
        <v>#N/A</v>
      </c>
      <c r="BZ305" t="e">
        <f t="shared" si="158"/>
        <v>#N/A</v>
      </c>
      <c r="CB305" t="e">
        <f t="shared" si="161"/>
        <v>#N/A</v>
      </c>
      <c r="CC305" t="e">
        <f t="shared" si="159"/>
        <v>#N/A</v>
      </c>
      <c r="CE305" t="e">
        <v>#N/A</v>
      </c>
      <c r="CF305" t="e">
        <v>#N/A</v>
      </c>
    </row>
    <row r="306" spans="2:84">
      <c r="B306">
        <v>294</v>
      </c>
      <c r="C306" t="e">
        <f>IF(ISNUMBER(K306),IF('Lab test'!N297&gt;0,'Lab test'!N297,NA()),NA())</f>
        <v>#N/A</v>
      </c>
      <c r="D306" t="e">
        <f>IF(ISNUMBER(K306),IF('Lab test'!Q297&gt;0,'Lab test'!Q297,NA()),NA())</f>
        <v>#N/A</v>
      </c>
      <c r="E306" t="e">
        <f>IF(ISNUMBER(K306),IF('Lab test'!P297&gt;0,'Lab test'!P297,NA()),NA())</f>
        <v>#N/A</v>
      </c>
      <c r="F306" t="e">
        <f>IF(ISNUMBER(K306),IF('Lab test'!AJ297&gt;0,'Lab test'!AJ297,NA()),NA())</f>
        <v>#N/A</v>
      </c>
      <c r="G306">
        <f>IF('Lab test'!V297&gt;0,'Lab test'!V297,NA())</f>
        <v>188000</v>
      </c>
      <c r="H306">
        <f>IF(MAX('Lab test'!W297,'Lab test'!X297)&gt;0,MAX('Lab test'!W297,'Lab test'!X297),NA())</f>
        <v>190</v>
      </c>
      <c r="I306" t="e">
        <f>IF('Lab test'!AU297&gt;0,'Lab test'!AU297,NA())</f>
        <v>#N/A</v>
      </c>
      <c r="J306" t="e">
        <f>IF('Lab test'!AT297&gt;0,'Lab test'!AT297,NA())</f>
        <v>#N/A</v>
      </c>
      <c r="K306" t="e">
        <f t="shared" si="160"/>
        <v>#N/A</v>
      </c>
      <c r="L306" t="str">
        <f>'Lab test'!AC297</f>
        <v>LTWb</v>
      </c>
      <c r="X306" t="e">
        <v>#N/A</v>
      </c>
      <c r="Z306" t="e">
        <f t="shared" si="150"/>
        <v>#N/A</v>
      </c>
      <c r="AB306" t="e">
        <f t="shared" si="162"/>
        <v>#N/A</v>
      </c>
      <c r="AC306" t="e">
        <f t="shared" si="151"/>
        <v>#N/A</v>
      </c>
      <c r="AE306" t="e">
        <v>#N/A</v>
      </c>
      <c r="AF306" t="e">
        <v>#N/A</v>
      </c>
      <c r="AP306" t="e">
        <v>#N/A</v>
      </c>
      <c r="AR306" t="e">
        <f t="shared" si="152"/>
        <v>#N/A</v>
      </c>
      <c r="AT306" t="e">
        <f t="shared" si="153"/>
        <v>#N/A</v>
      </c>
      <c r="AU306" t="e">
        <f t="shared" si="154"/>
        <v>#N/A</v>
      </c>
      <c r="AW306" t="e">
        <v>#N/A</v>
      </c>
      <c r="AX306" t="e">
        <v>#N/A</v>
      </c>
      <c r="BG306" t="e">
        <v>#N/A</v>
      </c>
      <c r="BI306" t="e">
        <f t="shared" si="155"/>
        <v>#N/A</v>
      </c>
      <c r="BK306" t="e">
        <f t="shared" si="156"/>
        <v>#N/A</v>
      </c>
      <c r="BL306" t="e">
        <f t="shared" si="157"/>
        <v>#N/A</v>
      </c>
      <c r="BN306" t="e">
        <v>#N/A</v>
      </c>
      <c r="BO306" t="e">
        <v>#N/A</v>
      </c>
      <c r="BX306" t="e">
        <v>#N/A</v>
      </c>
      <c r="BZ306" t="e">
        <f t="shared" si="158"/>
        <v>#N/A</v>
      </c>
      <c r="CB306" t="e">
        <f t="shared" si="161"/>
        <v>#N/A</v>
      </c>
      <c r="CC306" t="e">
        <f t="shared" si="159"/>
        <v>#N/A</v>
      </c>
      <c r="CE306" t="e">
        <v>#N/A</v>
      </c>
      <c r="CF306" t="e">
        <v>#N/A</v>
      </c>
    </row>
    <row r="307" spans="2:84">
      <c r="B307">
        <v>295</v>
      </c>
      <c r="C307" t="e">
        <f>IF(ISNUMBER(K307),IF('Lab test'!N298&gt;0,'Lab test'!N298,NA()),NA())</f>
        <v>#N/A</v>
      </c>
      <c r="D307" t="e">
        <f>IF(ISNUMBER(K307),IF('Lab test'!Q298&gt;0,'Lab test'!Q298,NA()),NA())</f>
        <v>#N/A</v>
      </c>
      <c r="E307" t="e">
        <f>IF(ISNUMBER(K307),IF('Lab test'!P298&gt;0,'Lab test'!P298,NA()),NA())</f>
        <v>#N/A</v>
      </c>
      <c r="F307" t="e">
        <f>IF(ISNUMBER(K307),IF('Lab test'!AJ298&gt;0,'Lab test'!AJ298,NA()),NA())</f>
        <v>#N/A</v>
      </c>
      <c r="G307">
        <f>IF('Lab test'!V298&gt;0,'Lab test'!V298,NA())</f>
        <v>188000</v>
      </c>
      <c r="H307">
        <f>IF(MAX('Lab test'!W298,'Lab test'!X298)&gt;0,MAX('Lab test'!W298,'Lab test'!X298),NA())</f>
        <v>190</v>
      </c>
      <c r="I307" t="e">
        <f>IF('Lab test'!AU298&gt;0,'Lab test'!AU298,NA())</f>
        <v>#N/A</v>
      </c>
      <c r="J307" t="e">
        <f>IF('Lab test'!AT298&gt;0,'Lab test'!AT298,NA())</f>
        <v>#N/A</v>
      </c>
      <c r="K307" t="e">
        <f t="shared" si="160"/>
        <v>#N/A</v>
      </c>
      <c r="L307" t="str">
        <f>'Lab test'!AC298</f>
        <v>LTWb</v>
      </c>
      <c r="X307" t="e">
        <v>#N/A</v>
      </c>
      <c r="Z307" t="e">
        <f t="shared" si="150"/>
        <v>#N/A</v>
      </c>
      <c r="AB307" t="e">
        <f t="shared" si="162"/>
        <v>#N/A</v>
      </c>
      <c r="AC307" t="e">
        <f t="shared" si="151"/>
        <v>#N/A</v>
      </c>
      <c r="AE307" t="e">
        <v>#N/A</v>
      </c>
      <c r="AF307" t="e">
        <v>#N/A</v>
      </c>
      <c r="AP307" t="e">
        <v>#N/A</v>
      </c>
      <c r="AR307" t="e">
        <f t="shared" si="152"/>
        <v>#N/A</v>
      </c>
      <c r="AT307" t="e">
        <f t="shared" si="153"/>
        <v>#N/A</v>
      </c>
      <c r="AU307" t="e">
        <f t="shared" si="154"/>
        <v>#N/A</v>
      </c>
      <c r="AW307" t="e">
        <v>#N/A</v>
      </c>
      <c r="AX307" t="e">
        <v>#N/A</v>
      </c>
      <c r="BG307" t="e">
        <v>#N/A</v>
      </c>
      <c r="BI307" t="e">
        <f t="shared" si="155"/>
        <v>#N/A</v>
      </c>
      <c r="BK307" t="e">
        <f t="shared" si="156"/>
        <v>#N/A</v>
      </c>
      <c r="BL307" t="e">
        <f t="shared" si="157"/>
        <v>#N/A</v>
      </c>
      <c r="BN307" t="e">
        <v>#N/A</v>
      </c>
      <c r="BO307" t="e">
        <v>#N/A</v>
      </c>
      <c r="BX307" t="e">
        <v>#N/A</v>
      </c>
      <c r="BZ307" t="e">
        <f t="shared" si="158"/>
        <v>#N/A</v>
      </c>
      <c r="CB307" t="e">
        <f t="shared" si="161"/>
        <v>#N/A</v>
      </c>
      <c r="CC307" t="e">
        <f t="shared" si="159"/>
        <v>#N/A</v>
      </c>
      <c r="CE307" t="e">
        <v>#N/A</v>
      </c>
      <c r="CF307" t="e">
        <v>#N/A</v>
      </c>
    </row>
    <row r="308" spans="2:84">
      <c r="B308">
        <v>296</v>
      </c>
      <c r="C308" t="e">
        <f>IF(ISNUMBER(K308),IF('Lab test'!N299&gt;0,'Lab test'!N299,NA()),NA())</f>
        <v>#N/A</v>
      </c>
      <c r="D308" t="e">
        <f>IF(ISNUMBER(K308),IF('Lab test'!Q299&gt;0,'Lab test'!Q299,NA()),NA())</f>
        <v>#N/A</v>
      </c>
      <c r="E308" t="e">
        <f>IF(ISNUMBER(K308),IF('Lab test'!P299&gt;0,'Lab test'!P299,NA()),NA())</f>
        <v>#N/A</v>
      </c>
      <c r="F308" t="e">
        <f>IF(ISNUMBER(K308),IF('Lab test'!AJ299&gt;0,'Lab test'!AJ299,NA()),NA())</f>
        <v>#N/A</v>
      </c>
      <c r="G308">
        <f>IF('Lab test'!V299&gt;0,'Lab test'!V299,NA())</f>
        <v>188000</v>
      </c>
      <c r="H308">
        <f>IF(MAX('Lab test'!W299,'Lab test'!X299)&gt;0,MAX('Lab test'!W299,'Lab test'!X299),NA())</f>
        <v>190</v>
      </c>
      <c r="I308" t="e">
        <f>IF('Lab test'!AU299&gt;0,'Lab test'!AU299,NA())</f>
        <v>#N/A</v>
      </c>
      <c r="J308" t="e">
        <f>IF('Lab test'!AT299&gt;0,'Lab test'!AT299,NA())</f>
        <v>#N/A</v>
      </c>
      <c r="K308" t="e">
        <f t="shared" si="160"/>
        <v>#N/A</v>
      </c>
      <c r="L308" t="str">
        <f>'Lab test'!AC299</f>
        <v>LTWb</v>
      </c>
      <c r="X308" t="e">
        <v>#N/A</v>
      </c>
      <c r="Z308" t="e">
        <f t="shared" si="150"/>
        <v>#N/A</v>
      </c>
      <c r="AB308" t="e">
        <f t="shared" si="162"/>
        <v>#N/A</v>
      </c>
      <c r="AC308" t="e">
        <f t="shared" si="151"/>
        <v>#N/A</v>
      </c>
      <c r="AE308" t="e">
        <v>#N/A</v>
      </c>
      <c r="AF308" t="e">
        <v>#N/A</v>
      </c>
      <c r="AP308" t="e">
        <v>#N/A</v>
      </c>
      <c r="AR308" t="e">
        <f t="shared" si="152"/>
        <v>#N/A</v>
      </c>
      <c r="AT308" t="e">
        <f t="shared" si="153"/>
        <v>#N/A</v>
      </c>
      <c r="AU308" t="e">
        <f t="shared" si="154"/>
        <v>#N/A</v>
      </c>
      <c r="AW308" t="e">
        <v>#N/A</v>
      </c>
      <c r="AX308" t="e">
        <v>#N/A</v>
      </c>
      <c r="BG308" t="e">
        <v>#N/A</v>
      </c>
      <c r="BI308" t="e">
        <f t="shared" si="155"/>
        <v>#N/A</v>
      </c>
      <c r="BK308" t="e">
        <f t="shared" si="156"/>
        <v>#N/A</v>
      </c>
      <c r="BL308" t="e">
        <f t="shared" si="157"/>
        <v>#N/A</v>
      </c>
      <c r="BN308" t="e">
        <v>#N/A</v>
      </c>
      <c r="BO308" t="e">
        <v>#N/A</v>
      </c>
      <c r="BX308" t="e">
        <v>#N/A</v>
      </c>
      <c r="BZ308" t="e">
        <f t="shared" si="158"/>
        <v>#N/A</v>
      </c>
      <c r="CB308" t="e">
        <f t="shared" si="161"/>
        <v>#N/A</v>
      </c>
      <c r="CC308" t="e">
        <f t="shared" si="159"/>
        <v>#N/A</v>
      </c>
      <c r="CE308" t="e">
        <v>#N/A</v>
      </c>
      <c r="CF308" t="e">
        <v>#N/A</v>
      </c>
    </row>
    <row r="309" spans="2:84">
      <c r="B309">
        <v>297</v>
      </c>
      <c r="C309" t="e">
        <f>IF(ISNUMBER(K309),IF('Lab test'!N300&gt;0,'Lab test'!N300,NA()),NA())</f>
        <v>#N/A</v>
      </c>
      <c r="D309" t="e">
        <f>IF(ISNUMBER(K309),IF('Lab test'!Q300&gt;0,'Lab test'!Q300,NA()),NA())</f>
        <v>#N/A</v>
      </c>
      <c r="E309" t="e">
        <f>IF(ISNUMBER(K309),IF('Lab test'!P300&gt;0,'Lab test'!P300,NA()),NA())</f>
        <v>#N/A</v>
      </c>
      <c r="F309" t="e">
        <f>IF(ISNUMBER(K309),IF('Lab test'!AJ300&gt;0,'Lab test'!AJ300,NA()),NA())</f>
        <v>#N/A</v>
      </c>
      <c r="G309">
        <f>IF('Lab test'!V300&gt;0,'Lab test'!V300,NA())</f>
        <v>188000</v>
      </c>
      <c r="H309">
        <f>IF(MAX('Lab test'!W300,'Lab test'!X300)&gt;0,MAX('Lab test'!W300,'Lab test'!X300),NA())</f>
        <v>190</v>
      </c>
      <c r="I309" t="e">
        <f>IF('Lab test'!AU300&gt;0,'Lab test'!AU300,NA())</f>
        <v>#N/A</v>
      </c>
      <c r="J309" t="e">
        <f>IF('Lab test'!AT300&gt;0,'Lab test'!AT300,NA())</f>
        <v>#N/A</v>
      </c>
      <c r="K309" t="e">
        <f t="shared" si="160"/>
        <v>#N/A</v>
      </c>
      <c r="L309" t="str">
        <f>'Lab test'!AC300</f>
        <v>LTWb</v>
      </c>
      <c r="X309" t="e">
        <v>#N/A</v>
      </c>
      <c r="Z309" t="e">
        <f t="shared" si="150"/>
        <v>#N/A</v>
      </c>
      <c r="AB309" t="e">
        <f t="shared" si="162"/>
        <v>#N/A</v>
      </c>
      <c r="AC309" t="e">
        <f t="shared" si="151"/>
        <v>#N/A</v>
      </c>
      <c r="AE309" t="e">
        <v>#N/A</v>
      </c>
      <c r="AF309" t="e">
        <v>#N/A</v>
      </c>
      <c r="AP309" t="e">
        <v>#N/A</v>
      </c>
      <c r="AR309" t="e">
        <f t="shared" si="152"/>
        <v>#N/A</v>
      </c>
      <c r="AT309" t="e">
        <f t="shared" si="153"/>
        <v>#N/A</v>
      </c>
      <c r="AU309" t="e">
        <f t="shared" si="154"/>
        <v>#N/A</v>
      </c>
      <c r="AW309" t="e">
        <v>#N/A</v>
      </c>
      <c r="AX309" t="e">
        <v>#N/A</v>
      </c>
      <c r="BG309" t="e">
        <v>#N/A</v>
      </c>
      <c r="BI309" t="e">
        <f t="shared" si="155"/>
        <v>#N/A</v>
      </c>
      <c r="BK309" t="e">
        <f t="shared" si="156"/>
        <v>#N/A</v>
      </c>
      <c r="BL309" t="e">
        <f t="shared" si="157"/>
        <v>#N/A</v>
      </c>
      <c r="BN309" t="e">
        <v>#N/A</v>
      </c>
      <c r="BO309" t="e">
        <v>#N/A</v>
      </c>
      <c r="BX309" t="e">
        <v>#N/A</v>
      </c>
      <c r="BZ309" t="e">
        <f t="shared" si="158"/>
        <v>#N/A</v>
      </c>
      <c r="CB309" t="e">
        <f t="shared" si="161"/>
        <v>#N/A</v>
      </c>
      <c r="CC309" t="e">
        <f t="shared" si="159"/>
        <v>#N/A</v>
      </c>
      <c r="CE309" t="e">
        <v>#N/A</v>
      </c>
      <c r="CF309" t="e">
        <v>#N/A</v>
      </c>
    </row>
    <row r="310" spans="2:84">
      <c r="B310">
        <v>298</v>
      </c>
      <c r="C310" t="e">
        <f>IF(ISNUMBER(K310),IF('Lab test'!N301&gt;0,'Lab test'!N301,NA()),NA())</f>
        <v>#N/A</v>
      </c>
      <c r="D310" t="e">
        <f>IF(ISNUMBER(K310),IF('Lab test'!Q301&gt;0,'Lab test'!Q301,NA()),NA())</f>
        <v>#N/A</v>
      </c>
      <c r="E310" t="e">
        <f>IF(ISNUMBER(K310),IF('Lab test'!P301&gt;0,'Lab test'!P301,NA()),NA())</f>
        <v>#N/A</v>
      </c>
      <c r="F310" t="e">
        <f>IF(ISNUMBER(K310),IF('Lab test'!AJ301&gt;0,'Lab test'!AJ301,NA()),NA())</f>
        <v>#N/A</v>
      </c>
      <c r="G310">
        <f>IF('Lab test'!V301&gt;0,'Lab test'!V301,NA())</f>
        <v>188000</v>
      </c>
      <c r="H310">
        <f>IF(MAX('Lab test'!W301,'Lab test'!X301)&gt;0,MAX('Lab test'!W301,'Lab test'!X301),NA())</f>
        <v>190</v>
      </c>
      <c r="I310" t="e">
        <f>IF('Lab test'!AU301&gt;0,'Lab test'!AU301,NA())</f>
        <v>#N/A</v>
      </c>
      <c r="J310" t="e">
        <f>IF('Lab test'!AT301&gt;0,'Lab test'!AT301,NA())</f>
        <v>#N/A</v>
      </c>
      <c r="K310" t="e">
        <f t="shared" si="160"/>
        <v>#N/A</v>
      </c>
      <c r="L310" t="str">
        <f>'Lab test'!AC301</f>
        <v>LTWb</v>
      </c>
      <c r="X310" t="e">
        <v>#N/A</v>
      </c>
      <c r="Z310" t="e">
        <f t="shared" si="150"/>
        <v>#N/A</v>
      </c>
      <c r="AB310" t="e">
        <f t="shared" si="162"/>
        <v>#N/A</v>
      </c>
      <c r="AC310" t="e">
        <f t="shared" si="151"/>
        <v>#N/A</v>
      </c>
      <c r="AE310" t="e">
        <v>#N/A</v>
      </c>
      <c r="AF310" t="e">
        <v>#N/A</v>
      </c>
      <c r="AP310" t="e">
        <v>#N/A</v>
      </c>
      <c r="AR310" t="e">
        <f t="shared" si="152"/>
        <v>#N/A</v>
      </c>
      <c r="AT310" t="e">
        <f t="shared" si="153"/>
        <v>#N/A</v>
      </c>
      <c r="AU310" t="e">
        <f t="shared" si="154"/>
        <v>#N/A</v>
      </c>
      <c r="AW310" t="e">
        <v>#N/A</v>
      </c>
      <c r="AX310" t="e">
        <v>#N/A</v>
      </c>
      <c r="BG310" t="e">
        <v>#N/A</v>
      </c>
      <c r="BI310" t="e">
        <f t="shared" si="155"/>
        <v>#N/A</v>
      </c>
      <c r="BK310" t="e">
        <f t="shared" si="156"/>
        <v>#N/A</v>
      </c>
      <c r="BL310" t="e">
        <f t="shared" si="157"/>
        <v>#N/A</v>
      </c>
      <c r="BN310" t="e">
        <v>#N/A</v>
      </c>
      <c r="BO310" t="e">
        <v>#N/A</v>
      </c>
      <c r="BX310" t="e">
        <v>#N/A</v>
      </c>
      <c r="BZ310" t="e">
        <f t="shared" si="158"/>
        <v>#N/A</v>
      </c>
      <c r="CB310" t="e">
        <f t="shared" si="161"/>
        <v>#N/A</v>
      </c>
      <c r="CC310" t="e">
        <f t="shared" si="159"/>
        <v>#N/A</v>
      </c>
      <c r="CE310" t="e">
        <v>#N/A</v>
      </c>
      <c r="CF310" t="e">
        <v>#N/A</v>
      </c>
    </row>
    <row r="311" spans="2:84">
      <c r="B311">
        <v>299</v>
      </c>
      <c r="C311" t="e">
        <f>IF(ISNUMBER(K311),IF('Lab test'!N302&gt;0,'Lab test'!N302,NA()),NA())</f>
        <v>#N/A</v>
      </c>
      <c r="D311" t="e">
        <f>IF(ISNUMBER(K311),IF('Lab test'!Q302&gt;0,'Lab test'!Q302,NA()),NA())</f>
        <v>#N/A</v>
      </c>
      <c r="E311" t="e">
        <f>IF(ISNUMBER(K311),IF('Lab test'!P302&gt;0,'Lab test'!P302,NA()),NA())</f>
        <v>#N/A</v>
      </c>
      <c r="F311" t="e">
        <f>IF(ISNUMBER(K311),IF('Lab test'!AJ302&gt;0,'Lab test'!AJ302,NA()),NA())</f>
        <v>#N/A</v>
      </c>
      <c r="G311">
        <f>IF('Lab test'!V302&gt;0,'Lab test'!V302,NA())</f>
        <v>188000</v>
      </c>
      <c r="H311">
        <f>IF(MAX('Lab test'!W302,'Lab test'!X302)&gt;0,MAX('Lab test'!W302,'Lab test'!X302),NA())</f>
        <v>190</v>
      </c>
      <c r="I311">
        <f>IF('Lab test'!AU302&gt;0,'Lab test'!AU302,NA())</f>
        <v>0.75421052631578955</v>
      </c>
      <c r="J311">
        <f>IF('Lab test'!AT302&gt;0,'Lab test'!AT302,NA())</f>
        <v>0.12594173288714336</v>
      </c>
      <c r="K311" t="e">
        <f t="shared" si="160"/>
        <v>#N/A</v>
      </c>
      <c r="L311" t="str">
        <f>'Lab test'!AC302</f>
        <v>CLTW</v>
      </c>
      <c r="X311" t="e">
        <v>#N/A</v>
      </c>
      <c r="Z311" t="e">
        <f t="shared" si="150"/>
        <v>#N/A</v>
      </c>
      <c r="AB311" t="e">
        <f t="shared" si="162"/>
        <v>#N/A</v>
      </c>
      <c r="AC311" t="e">
        <f t="shared" si="151"/>
        <v>#N/A</v>
      </c>
      <c r="AE311" t="e">
        <v>#N/A</v>
      </c>
      <c r="AF311" t="e">
        <v>#N/A</v>
      </c>
      <c r="AP311" t="e">
        <v>#N/A</v>
      </c>
      <c r="AR311" t="e">
        <f t="shared" si="152"/>
        <v>#N/A</v>
      </c>
      <c r="AT311" t="e">
        <f t="shared" si="153"/>
        <v>#N/A</v>
      </c>
      <c r="AU311" t="e">
        <f t="shared" si="154"/>
        <v>#N/A</v>
      </c>
      <c r="AW311" t="e">
        <v>#N/A</v>
      </c>
      <c r="AX311" t="e">
        <v>#N/A</v>
      </c>
      <c r="BG311" t="e">
        <v>#N/A</v>
      </c>
      <c r="BI311" t="e">
        <f t="shared" si="155"/>
        <v>#N/A</v>
      </c>
      <c r="BK311" t="e">
        <f t="shared" si="156"/>
        <v>#N/A</v>
      </c>
      <c r="BL311" t="e">
        <f t="shared" si="157"/>
        <v>#N/A</v>
      </c>
      <c r="BN311" t="e">
        <v>#N/A</v>
      </c>
      <c r="BO311" t="e">
        <v>#N/A</v>
      </c>
      <c r="BX311" t="e">
        <v>#N/A</v>
      </c>
      <c r="BZ311" t="e">
        <f t="shared" si="158"/>
        <v>#N/A</v>
      </c>
      <c r="CB311" t="e">
        <f t="shared" si="161"/>
        <v>#N/A</v>
      </c>
      <c r="CC311" t="e">
        <f t="shared" si="159"/>
        <v>#N/A</v>
      </c>
      <c r="CE311" t="e">
        <v>#N/A</v>
      </c>
      <c r="CF311" t="e">
        <v>#N/A</v>
      </c>
    </row>
    <row r="312" spans="2:84">
      <c r="B312">
        <v>300</v>
      </c>
      <c r="C312" t="e">
        <f>IF(ISNUMBER(K312),IF('Lab test'!N303&gt;0,'Lab test'!N303,NA()),NA())</f>
        <v>#N/A</v>
      </c>
      <c r="D312" t="e">
        <f>IF(ISNUMBER(K312),IF('Lab test'!Q303&gt;0,'Lab test'!Q303,NA()),NA())</f>
        <v>#N/A</v>
      </c>
      <c r="E312" t="e">
        <f>IF(ISNUMBER(K312),IF('Lab test'!P303&gt;0,'Lab test'!P303,NA()),NA())</f>
        <v>#N/A</v>
      </c>
      <c r="F312" t="e">
        <f>IF(ISNUMBER(K312),IF('Lab test'!AJ303&gt;0,'Lab test'!AJ303,NA()),NA())</f>
        <v>#N/A</v>
      </c>
      <c r="G312">
        <f>IF('Lab test'!V303&gt;0,'Lab test'!V303,NA())</f>
        <v>188000</v>
      </c>
      <c r="H312">
        <f>IF(MAX('Lab test'!W303,'Lab test'!X303)&gt;0,MAX('Lab test'!W303,'Lab test'!X303),NA())</f>
        <v>190</v>
      </c>
      <c r="I312" t="e">
        <f>IF('Lab test'!AU303&gt;0,'Lab test'!AU303,NA())</f>
        <v>#N/A</v>
      </c>
      <c r="J312" t="e">
        <f>IF('Lab test'!AT303&gt;0,'Lab test'!AT303,NA())</f>
        <v>#N/A</v>
      </c>
      <c r="K312" t="e">
        <f t="shared" si="160"/>
        <v>#N/A</v>
      </c>
      <c r="L312" t="str">
        <f>'Lab test'!AC303</f>
        <v>CLTW</v>
      </c>
      <c r="X312" t="e">
        <v>#N/A</v>
      </c>
      <c r="Z312" t="e">
        <f t="shared" si="150"/>
        <v>#N/A</v>
      </c>
      <c r="AB312" t="e">
        <f t="shared" si="162"/>
        <v>#N/A</v>
      </c>
      <c r="AC312" t="e">
        <f t="shared" si="151"/>
        <v>#N/A</v>
      </c>
      <c r="AE312" t="e">
        <v>#N/A</v>
      </c>
      <c r="AF312" t="e">
        <v>#N/A</v>
      </c>
      <c r="AP312" t="e">
        <v>#N/A</v>
      </c>
      <c r="AR312" t="e">
        <f t="shared" si="152"/>
        <v>#N/A</v>
      </c>
      <c r="AT312" t="e">
        <f t="shared" si="153"/>
        <v>#N/A</v>
      </c>
      <c r="AU312" t="e">
        <f t="shared" si="154"/>
        <v>#N/A</v>
      </c>
      <c r="AW312" t="e">
        <v>#N/A</v>
      </c>
      <c r="AX312" t="e">
        <v>#N/A</v>
      </c>
      <c r="BG312" t="e">
        <v>#N/A</v>
      </c>
      <c r="BI312" t="e">
        <f t="shared" si="155"/>
        <v>#N/A</v>
      </c>
      <c r="BK312" t="e">
        <f t="shared" si="156"/>
        <v>#N/A</v>
      </c>
      <c r="BL312" t="e">
        <f t="shared" si="157"/>
        <v>#N/A</v>
      </c>
      <c r="BN312" t="e">
        <v>#N/A</v>
      </c>
      <c r="BO312" t="e">
        <v>#N/A</v>
      </c>
      <c r="BX312" t="e">
        <v>#N/A</v>
      </c>
      <c r="BZ312" t="e">
        <f t="shared" si="158"/>
        <v>#N/A</v>
      </c>
      <c r="CB312" t="e">
        <f t="shared" si="161"/>
        <v>#N/A</v>
      </c>
      <c r="CC312" t="e">
        <f t="shared" si="159"/>
        <v>#N/A</v>
      </c>
      <c r="CE312" t="e">
        <v>#N/A</v>
      </c>
      <c r="CF312" t="e">
        <v>#N/A</v>
      </c>
    </row>
    <row r="313" spans="2:84">
      <c r="B313">
        <v>301</v>
      </c>
      <c r="C313" t="e">
        <f>IF(ISNUMBER(K313),IF('Lab test'!N304&gt;0,'Lab test'!N304,NA()),NA())</f>
        <v>#N/A</v>
      </c>
      <c r="D313" t="e">
        <f>IF(ISNUMBER(K313),IF('Lab test'!Q304&gt;0,'Lab test'!Q304,NA()),NA())</f>
        <v>#N/A</v>
      </c>
      <c r="E313" t="e">
        <f>IF(ISNUMBER(K313),IF('Lab test'!P304&gt;0,'Lab test'!P304,NA()),NA())</f>
        <v>#N/A</v>
      </c>
      <c r="F313" t="e">
        <f>IF(ISNUMBER(K313),IF('Lab test'!AJ304&gt;0,'Lab test'!AJ304,NA()),NA())</f>
        <v>#N/A</v>
      </c>
      <c r="G313">
        <f>IF('Lab test'!V304&gt;0,'Lab test'!V304,NA())</f>
        <v>188000</v>
      </c>
      <c r="H313">
        <f>IF(MAX('Lab test'!W304,'Lab test'!X304)&gt;0,MAX('Lab test'!W304,'Lab test'!X304),NA())</f>
        <v>190</v>
      </c>
      <c r="I313">
        <f>IF('Lab test'!AU304&gt;0,'Lab test'!AU304,NA())</f>
        <v>0.58684210526315794</v>
      </c>
      <c r="J313">
        <f>IF('Lab test'!AT304&gt;0,'Lab test'!AT304,NA())</f>
        <v>0.14699061287770221</v>
      </c>
      <c r="K313" t="e">
        <f t="shared" si="160"/>
        <v>#N/A</v>
      </c>
      <c r="L313" t="str">
        <f>'Lab test'!AC304</f>
        <v>CLTW</v>
      </c>
      <c r="X313" t="e">
        <v>#N/A</v>
      </c>
      <c r="Z313" t="e">
        <f t="shared" si="150"/>
        <v>#N/A</v>
      </c>
      <c r="AB313" t="e">
        <f t="shared" si="162"/>
        <v>#N/A</v>
      </c>
      <c r="AC313" t="e">
        <f t="shared" si="151"/>
        <v>#N/A</v>
      </c>
      <c r="AE313" t="e">
        <v>#N/A</v>
      </c>
      <c r="AF313" t="e">
        <v>#N/A</v>
      </c>
      <c r="AP313" t="e">
        <v>#N/A</v>
      </c>
      <c r="AR313" t="e">
        <f t="shared" si="152"/>
        <v>#N/A</v>
      </c>
      <c r="AT313" t="e">
        <f t="shared" si="153"/>
        <v>#N/A</v>
      </c>
      <c r="AU313" t="e">
        <f t="shared" si="154"/>
        <v>#N/A</v>
      </c>
      <c r="AW313" t="e">
        <v>#N/A</v>
      </c>
      <c r="AX313" t="e">
        <v>#N/A</v>
      </c>
      <c r="BG313" t="e">
        <v>#N/A</v>
      </c>
      <c r="BI313" t="e">
        <f t="shared" si="155"/>
        <v>#N/A</v>
      </c>
      <c r="BK313" t="e">
        <f t="shared" si="156"/>
        <v>#N/A</v>
      </c>
      <c r="BL313" t="e">
        <f t="shared" si="157"/>
        <v>#N/A</v>
      </c>
      <c r="BN313" t="e">
        <v>#N/A</v>
      </c>
      <c r="BO313" t="e">
        <v>#N/A</v>
      </c>
      <c r="BX313" t="e">
        <v>#N/A</v>
      </c>
      <c r="BZ313" t="e">
        <f t="shared" si="158"/>
        <v>#N/A</v>
      </c>
      <c r="CB313" t="e">
        <f t="shared" si="161"/>
        <v>#N/A</v>
      </c>
      <c r="CC313" t="e">
        <f t="shared" si="159"/>
        <v>#N/A</v>
      </c>
      <c r="CE313" t="e">
        <v>#N/A</v>
      </c>
      <c r="CF313" t="e">
        <v>#N/A</v>
      </c>
    </row>
    <row r="314" spans="2:84">
      <c r="B314">
        <v>302</v>
      </c>
      <c r="C314" t="e">
        <f>IF(ISNUMBER(K314),IF('Lab test'!N305&gt;0,'Lab test'!N305,NA()),NA())</f>
        <v>#N/A</v>
      </c>
      <c r="D314" t="e">
        <f>IF(ISNUMBER(K314),IF('Lab test'!Q305&gt;0,'Lab test'!Q305,NA()),NA())</f>
        <v>#N/A</v>
      </c>
      <c r="E314" t="e">
        <f>IF(ISNUMBER(K314),IF('Lab test'!P305&gt;0,'Lab test'!P305,NA()),NA())</f>
        <v>#N/A</v>
      </c>
      <c r="F314" t="e">
        <f>IF(ISNUMBER(K314),IF('Lab test'!AJ305&gt;0,'Lab test'!AJ305,NA()),NA())</f>
        <v>#N/A</v>
      </c>
      <c r="G314">
        <f>IF('Lab test'!V305&gt;0,'Lab test'!V305,NA())</f>
        <v>188000</v>
      </c>
      <c r="H314">
        <f>IF(MAX('Lab test'!W305,'Lab test'!X305)&gt;0,MAX('Lab test'!W305,'Lab test'!X305),NA())</f>
        <v>190</v>
      </c>
      <c r="I314" t="e">
        <f>IF('Lab test'!AU305&gt;0,'Lab test'!AU305,NA())</f>
        <v>#N/A</v>
      </c>
      <c r="J314" t="e">
        <f>IF('Lab test'!AT305&gt;0,'Lab test'!AT305,NA())</f>
        <v>#N/A</v>
      </c>
      <c r="K314" t="e">
        <f t="shared" si="160"/>
        <v>#N/A</v>
      </c>
      <c r="L314" t="str">
        <f>'Lab test'!AC305</f>
        <v>CLTW</v>
      </c>
      <c r="X314" t="e">
        <v>#N/A</v>
      </c>
      <c r="Z314" t="e">
        <f t="shared" si="150"/>
        <v>#N/A</v>
      </c>
      <c r="AB314" t="e">
        <f t="shared" si="162"/>
        <v>#N/A</v>
      </c>
      <c r="AC314" t="e">
        <f t="shared" si="151"/>
        <v>#N/A</v>
      </c>
      <c r="AE314" t="e">
        <v>#N/A</v>
      </c>
      <c r="AF314" t="e">
        <v>#N/A</v>
      </c>
      <c r="AP314" t="e">
        <v>#N/A</v>
      </c>
      <c r="AR314" t="e">
        <f t="shared" si="152"/>
        <v>#N/A</v>
      </c>
      <c r="AT314" t="e">
        <f t="shared" si="153"/>
        <v>#N/A</v>
      </c>
      <c r="AU314" t="e">
        <f t="shared" si="154"/>
        <v>#N/A</v>
      </c>
      <c r="AW314" t="e">
        <v>#N/A</v>
      </c>
      <c r="AX314" t="e">
        <v>#N/A</v>
      </c>
      <c r="BG314" t="e">
        <v>#N/A</v>
      </c>
      <c r="BI314" t="e">
        <f t="shared" si="155"/>
        <v>#N/A</v>
      </c>
      <c r="BK314" t="e">
        <f t="shared" si="156"/>
        <v>#N/A</v>
      </c>
      <c r="BL314" t="e">
        <f t="shared" si="157"/>
        <v>#N/A</v>
      </c>
      <c r="BN314" t="e">
        <v>#N/A</v>
      </c>
      <c r="BO314" t="e">
        <v>#N/A</v>
      </c>
      <c r="BX314" t="e">
        <v>#N/A</v>
      </c>
      <c r="BZ314" t="e">
        <f t="shared" si="158"/>
        <v>#N/A</v>
      </c>
      <c r="CB314" t="e">
        <f t="shared" si="161"/>
        <v>#N/A</v>
      </c>
      <c r="CC314" t="e">
        <f t="shared" si="159"/>
        <v>#N/A</v>
      </c>
      <c r="CE314" t="e">
        <v>#N/A</v>
      </c>
      <c r="CF314" t="e">
        <v>#N/A</v>
      </c>
    </row>
    <row r="315" spans="2:84">
      <c r="B315">
        <v>303</v>
      </c>
      <c r="C315" t="e">
        <f>IF(ISNUMBER(K315),IF('Lab test'!N306&gt;0,'Lab test'!N306,NA()),NA())</f>
        <v>#N/A</v>
      </c>
      <c r="D315" t="e">
        <f>IF(ISNUMBER(K315),IF('Lab test'!Q306&gt;0,'Lab test'!Q306,NA()),NA())</f>
        <v>#N/A</v>
      </c>
      <c r="E315" t="e">
        <f>IF(ISNUMBER(K315),IF('Lab test'!P306&gt;0,'Lab test'!P306,NA()),NA())</f>
        <v>#N/A</v>
      </c>
      <c r="F315" t="e">
        <f>IF(ISNUMBER(K315),IF('Lab test'!AJ306&gt;0,'Lab test'!AJ306,NA()),NA())</f>
        <v>#N/A</v>
      </c>
      <c r="G315">
        <f>IF('Lab test'!V306&gt;0,'Lab test'!V306,NA())</f>
        <v>190000</v>
      </c>
      <c r="H315">
        <f>IF(MAX('Lab test'!W306,'Lab test'!X306)&gt;0,MAX('Lab test'!W306,'Lab test'!X306),NA())</f>
        <v>355</v>
      </c>
      <c r="I315">
        <f>IF('Lab test'!AU306&gt;0,'Lab test'!AU306,NA())</f>
        <v>1.5874861716202324</v>
      </c>
      <c r="J315">
        <f>IF('Lab test'!AT306&gt;0,'Lab test'!AT306,NA())</f>
        <v>5.0788395033448272E-2</v>
      </c>
      <c r="K315" t="e">
        <f t="shared" si="160"/>
        <v>#N/A</v>
      </c>
      <c r="L315" t="str">
        <f>'Lab test'!AC306</f>
        <v>Tubes</v>
      </c>
      <c r="X315" t="e">
        <v>#N/A</v>
      </c>
      <c r="Z315" t="e">
        <f t="shared" si="150"/>
        <v>#N/A</v>
      </c>
      <c r="AB315" t="e">
        <f t="shared" si="162"/>
        <v>#N/A</v>
      </c>
      <c r="AC315" t="e">
        <f t="shared" si="151"/>
        <v>#N/A</v>
      </c>
      <c r="AE315" t="e">
        <v>#N/A</v>
      </c>
      <c r="AF315" t="e">
        <v>#N/A</v>
      </c>
      <c r="AP315" t="e">
        <v>#N/A</v>
      </c>
      <c r="AR315" t="e">
        <f t="shared" si="152"/>
        <v>#N/A</v>
      </c>
      <c r="AT315" t="e">
        <f t="shared" si="153"/>
        <v>#N/A</v>
      </c>
      <c r="AU315" t="e">
        <f t="shared" si="154"/>
        <v>#N/A</v>
      </c>
      <c r="AW315" t="e">
        <v>#N/A</v>
      </c>
      <c r="AX315" t="e">
        <v>#N/A</v>
      </c>
      <c r="BG315" t="e">
        <v>#N/A</v>
      </c>
      <c r="BI315" t="e">
        <f t="shared" si="155"/>
        <v>#N/A</v>
      </c>
      <c r="BK315" t="e">
        <f t="shared" si="156"/>
        <v>#N/A</v>
      </c>
      <c r="BL315" t="e">
        <f t="shared" si="157"/>
        <v>#N/A</v>
      </c>
      <c r="BN315" t="e">
        <v>#N/A</v>
      </c>
      <c r="BO315" t="e">
        <v>#N/A</v>
      </c>
      <c r="BX315" t="e">
        <v>#N/A</v>
      </c>
      <c r="BZ315" t="e">
        <f t="shared" si="158"/>
        <v>#N/A</v>
      </c>
      <c r="CB315" t="e">
        <f t="shared" si="161"/>
        <v>#N/A</v>
      </c>
      <c r="CC315" t="e">
        <f t="shared" si="159"/>
        <v>#N/A</v>
      </c>
      <c r="CE315" t="e">
        <v>#N/A</v>
      </c>
      <c r="CF315" t="e">
        <v>#N/A</v>
      </c>
    </row>
    <row r="316" spans="2:84">
      <c r="B316">
        <v>304</v>
      </c>
      <c r="C316" t="e">
        <f>IF(ISNUMBER(K316),IF('Lab test'!N307&gt;0,'Lab test'!N307,NA()),NA())</f>
        <v>#N/A</v>
      </c>
      <c r="D316" t="e">
        <f>IF(ISNUMBER(K316),IF('Lab test'!Q307&gt;0,'Lab test'!Q307,NA()),NA())</f>
        <v>#N/A</v>
      </c>
      <c r="E316" t="e">
        <f>IF(ISNUMBER(K316),IF('Lab test'!P307&gt;0,'Lab test'!P307,NA()),NA())</f>
        <v>#N/A</v>
      </c>
      <c r="F316" t="e">
        <f>IF(ISNUMBER(K316),IF('Lab test'!AJ307&gt;0,'Lab test'!AJ307,NA()),NA())</f>
        <v>#N/A</v>
      </c>
      <c r="G316">
        <f>IF('Lab test'!V307&gt;0,'Lab test'!V307,NA())</f>
        <v>195000</v>
      </c>
      <c r="H316">
        <f>IF(MAX('Lab test'!W307,'Lab test'!X307)&gt;0,MAX('Lab test'!W307,'Lab test'!X307),NA())</f>
        <v>302</v>
      </c>
      <c r="I316">
        <f>IF('Lab test'!AU307&gt;0,'Lab test'!AU307,NA())</f>
        <v>1.5869004051105828</v>
      </c>
      <c r="J316">
        <f>IF('Lab test'!AT307&gt;0,'Lab test'!AT307,NA())</f>
        <v>5.0036823857674308E-2</v>
      </c>
      <c r="K316" t="e">
        <f t="shared" si="160"/>
        <v>#N/A</v>
      </c>
      <c r="L316" t="str">
        <f>'Lab test'!AC307</f>
        <v>Tubes</v>
      </c>
      <c r="X316" t="e">
        <v>#N/A</v>
      </c>
      <c r="Z316" t="e">
        <f t="shared" si="150"/>
        <v>#N/A</v>
      </c>
      <c r="AB316" t="e">
        <f t="shared" si="162"/>
        <v>#N/A</v>
      </c>
      <c r="AC316" t="e">
        <f t="shared" si="151"/>
        <v>#N/A</v>
      </c>
      <c r="AE316" t="e">
        <v>#N/A</v>
      </c>
      <c r="AF316" t="e">
        <v>#N/A</v>
      </c>
      <c r="AP316" t="e">
        <v>#N/A</v>
      </c>
      <c r="AR316" t="e">
        <f t="shared" si="152"/>
        <v>#N/A</v>
      </c>
      <c r="AT316" t="e">
        <f t="shared" si="153"/>
        <v>#N/A</v>
      </c>
      <c r="AU316" t="e">
        <f t="shared" si="154"/>
        <v>#N/A</v>
      </c>
      <c r="AW316" t="e">
        <v>#N/A</v>
      </c>
      <c r="AX316" t="e">
        <v>#N/A</v>
      </c>
      <c r="BG316" t="e">
        <v>#N/A</v>
      </c>
      <c r="BI316" t="e">
        <f t="shared" si="155"/>
        <v>#N/A</v>
      </c>
      <c r="BK316" t="e">
        <f t="shared" si="156"/>
        <v>#N/A</v>
      </c>
      <c r="BL316" t="e">
        <f t="shared" si="157"/>
        <v>#N/A</v>
      </c>
      <c r="BN316" t="e">
        <v>#N/A</v>
      </c>
      <c r="BO316" t="e">
        <v>#N/A</v>
      </c>
      <c r="BX316" t="e">
        <v>#N/A</v>
      </c>
      <c r="BZ316" t="e">
        <f t="shared" si="158"/>
        <v>#N/A</v>
      </c>
      <c r="CB316" t="e">
        <f t="shared" si="161"/>
        <v>#N/A</v>
      </c>
      <c r="CC316" t="e">
        <f t="shared" si="159"/>
        <v>#N/A</v>
      </c>
      <c r="CE316" t="e">
        <v>#N/A</v>
      </c>
      <c r="CF316" t="e">
        <v>#N/A</v>
      </c>
    </row>
    <row r="317" spans="2:84">
      <c r="B317">
        <v>305</v>
      </c>
      <c r="C317" t="e">
        <f>IF(ISNUMBER(K317),IF('Lab test'!N308&gt;0,'Lab test'!N308,NA()),NA())</f>
        <v>#N/A</v>
      </c>
      <c r="D317" t="e">
        <f>IF(ISNUMBER(K317),IF('Lab test'!Q308&gt;0,'Lab test'!Q308,NA()),NA())</f>
        <v>#N/A</v>
      </c>
      <c r="E317" t="e">
        <f>IF(ISNUMBER(K317),IF('Lab test'!P308&gt;0,'Lab test'!P308,NA()),NA())</f>
        <v>#N/A</v>
      </c>
      <c r="F317" t="e">
        <f>IF(ISNUMBER(K317),IF('Lab test'!AJ308&gt;0,'Lab test'!AJ308,NA()),NA())</f>
        <v>#N/A</v>
      </c>
      <c r="G317">
        <f>IF('Lab test'!V308&gt;0,'Lab test'!V308,NA())</f>
        <v>187000</v>
      </c>
      <c r="H317">
        <f>IF(MAX('Lab test'!W308,'Lab test'!X308)&gt;0,MAX('Lab test'!W308,'Lab test'!X308),NA())</f>
        <v>290</v>
      </c>
      <c r="I317">
        <f>IF('Lab test'!AU308&gt;0,'Lab test'!AU308,NA())</f>
        <v>1.3020624788107931</v>
      </c>
      <c r="J317">
        <f>IF('Lab test'!AT308&gt;0,'Lab test'!AT308,NA())</f>
        <v>6.4435117578470175E-2</v>
      </c>
      <c r="K317" t="e">
        <f t="shared" si="160"/>
        <v>#N/A</v>
      </c>
      <c r="L317" t="str">
        <f>'Lab test'!AC308</f>
        <v>Tubes</v>
      </c>
      <c r="X317" t="e">
        <v>#N/A</v>
      </c>
      <c r="Z317" t="e">
        <f t="shared" si="150"/>
        <v>#N/A</v>
      </c>
      <c r="AB317" t="e">
        <f t="shared" si="162"/>
        <v>#N/A</v>
      </c>
      <c r="AC317" t="e">
        <f t="shared" si="151"/>
        <v>#N/A</v>
      </c>
      <c r="AE317" t="e">
        <v>#N/A</v>
      </c>
      <c r="AF317" t="e">
        <v>#N/A</v>
      </c>
      <c r="AP317" t="e">
        <v>#N/A</v>
      </c>
      <c r="AR317" t="e">
        <f t="shared" si="152"/>
        <v>#N/A</v>
      </c>
      <c r="AT317" t="e">
        <f t="shared" si="153"/>
        <v>#N/A</v>
      </c>
      <c r="AU317" t="e">
        <f t="shared" si="154"/>
        <v>#N/A</v>
      </c>
      <c r="AW317" t="e">
        <v>#N/A</v>
      </c>
      <c r="AX317" t="e">
        <v>#N/A</v>
      </c>
      <c r="BG317" t="e">
        <v>#N/A</v>
      </c>
      <c r="BI317" t="e">
        <f t="shared" si="155"/>
        <v>#N/A</v>
      </c>
      <c r="BK317" t="e">
        <f t="shared" si="156"/>
        <v>#N/A</v>
      </c>
      <c r="BL317" t="e">
        <f t="shared" si="157"/>
        <v>#N/A</v>
      </c>
      <c r="BN317" t="e">
        <v>#N/A</v>
      </c>
      <c r="BO317" t="e">
        <v>#N/A</v>
      </c>
      <c r="BX317" t="e">
        <v>#N/A</v>
      </c>
      <c r="BZ317" t="e">
        <f t="shared" si="158"/>
        <v>#N/A</v>
      </c>
      <c r="CB317" t="e">
        <f t="shared" si="161"/>
        <v>#N/A</v>
      </c>
      <c r="CC317" t="e">
        <f t="shared" si="159"/>
        <v>#N/A</v>
      </c>
      <c r="CE317" t="e">
        <v>#N/A</v>
      </c>
      <c r="CF317" t="e">
        <v>#N/A</v>
      </c>
    </row>
    <row r="318" spans="2:84">
      <c r="B318">
        <v>306</v>
      </c>
      <c r="C318" t="e">
        <f>IF(ISNUMBER(K318),IF('Lab test'!N309&gt;0,'Lab test'!N309,NA()),NA())</f>
        <v>#N/A</v>
      </c>
      <c r="D318" t="e">
        <f>IF(ISNUMBER(K318),IF('Lab test'!Q309&gt;0,'Lab test'!Q309,NA()),NA())</f>
        <v>#N/A</v>
      </c>
      <c r="E318" t="e">
        <f>IF(ISNUMBER(K318),IF('Lab test'!P309&gt;0,'Lab test'!P309,NA()),NA())</f>
        <v>#N/A</v>
      </c>
      <c r="F318" t="e">
        <f>IF(ISNUMBER(K318),IF('Lab test'!AJ309&gt;0,'Lab test'!AJ309,NA()),NA())</f>
        <v>#N/A</v>
      </c>
      <c r="G318">
        <f>IF('Lab test'!V309&gt;0,'Lab test'!V309,NA())</f>
        <v>188000</v>
      </c>
      <c r="H318">
        <f>IF(MAX('Lab test'!W309,'Lab test'!X309)&gt;0,MAX('Lab test'!W309,'Lab test'!X309),NA())</f>
        <v>323</v>
      </c>
      <c r="I318">
        <f>IF('Lab test'!AU309&gt;0,'Lab test'!AU309,NA())</f>
        <v>1.1250588124005259</v>
      </c>
      <c r="J318">
        <f>IF('Lab test'!AT309&gt;0,'Lab test'!AT309,NA())</f>
        <v>7.4856302549148837E-2</v>
      </c>
      <c r="K318" t="e">
        <f t="shared" si="160"/>
        <v>#N/A</v>
      </c>
      <c r="L318" t="str">
        <f>'Lab test'!AC309</f>
        <v>Tubes</v>
      </c>
      <c r="X318" t="e">
        <v>#N/A</v>
      </c>
      <c r="Z318" t="e">
        <f t="shared" si="150"/>
        <v>#N/A</v>
      </c>
      <c r="AB318" t="e">
        <f t="shared" si="162"/>
        <v>#N/A</v>
      </c>
      <c r="AC318" t="e">
        <f t="shared" si="151"/>
        <v>#N/A</v>
      </c>
      <c r="AE318" t="e">
        <v>#N/A</v>
      </c>
      <c r="AF318" t="e">
        <v>#N/A</v>
      </c>
      <c r="AP318" t="e">
        <v>#N/A</v>
      </c>
      <c r="AR318" t="e">
        <f t="shared" si="152"/>
        <v>#N/A</v>
      </c>
      <c r="AT318" t="e">
        <f t="shared" si="153"/>
        <v>#N/A</v>
      </c>
      <c r="AU318" t="e">
        <f t="shared" si="154"/>
        <v>#N/A</v>
      </c>
      <c r="AW318" t="e">
        <v>#N/A</v>
      </c>
      <c r="AX318" t="e">
        <v>#N/A</v>
      </c>
      <c r="BG318" t="e">
        <v>#N/A</v>
      </c>
      <c r="BI318" t="e">
        <f t="shared" si="155"/>
        <v>#N/A</v>
      </c>
      <c r="BK318" t="e">
        <f t="shared" si="156"/>
        <v>#N/A</v>
      </c>
      <c r="BL318" t="e">
        <f t="shared" si="157"/>
        <v>#N/A</v>
      </c>
      <c r="BN318" t="e">
        <v>#N/A</v>
      </c>
      <c r="BO318" t="e">
        <v>#N/A</v>
      </c>
      <c r="BX318" t="e">
        <v>#N/A</v>
      </c>
      <c r="BZ318" t="e">
        <f t="shared" si="158"/>
        <v>#N/A</v>
      </c>
      <c r="CB318" t="e">
        <f t="shared" si="161"/>
        <v>#N/A</v>
      </c>
      <c r="CC318" t="e">
        <f t="shared" si="159"/>
        <v>#N/A</v>
      </c>
      <c r="CE318" t="e">
        <v>#N/A</v>
      </c>
      <c r="CF318" t="e">
        <v>#N/A</v>
      </c>
    </row>
    <row r="319" spans="2:84">
      <c r="B319">
        <v>307</v>
      </c>
      <c r="C319" t="e">
        <f>IF(ISNUMBER(K319),IF('Lab test'!N310&gt;0,'Lab test'!N310,NA()),NA())</f>
        <v>#N/A</v>
      </c>
      <c r="D319" t="e">
        <f>IF(ISNUMBER(K319),IF('Lab test'!Q310&gt;0,'Lab test'!Q310,NA()),NA())</f>
        <v>#N/A</v>
      </c>
      <c r="E319" t="e">
        <f>IF(ISNUMBER(K319),IF('Lab test'!P310&gt;0,'Lab test'!P310,NA()),NA())</f>
        <v>#N/A</v>
      </c>
      <c r="F319" t="e">
        <f>IF(ISNUMBER(K319),IF('Lab test'!AJ310&gt;0,'Lab test'!AJ310,NA()),NA())</f>
        <v>#N/A</v>
      </c>
      <c r="G319">
        <f>IF('Lab test'!V310&gt;0,'Lab test'!V310,NA())</f>
        <v>195500</v>
      </c>
      <c r="H319" t="e">
        <f>IF(MAX('Lab test'!W310,'Lab test'!X310)&gt;0,MAX('Lab test'!W310,'Lab test'!X310),NA())</f>
        <v>#N/A</v>
      </c>
      <c r="I319" t="e">
        <f>IF('Lab test'!AU310&gt;0,'Lab test'!AU310,NA())</f>
        <v>#N/A</v>
      </c>
      <c r="J319">
        <f>IF('Lab test'!AT310&gt;0,'Lab test'!AT310,NA())</f>
        <v>7.4469224855689145E-2</v>
      </c>
      <c r="K319" t="e">
        <f t="shared" si="160"/>
        <v>#N/A</v>
      </c>
      <c r="L319" t="str">
        <f>'Lab test'!AC310</f>
        <v>Miscellaneous</v>
      </c>
      <c r="X319" t="e">
        <v>#N/A</v>
      </c>
      <c r="Z319" t="e">
        <f t="shared" si="150"/>
        <v>#N/A</v>
      </c>
      <c r="AB319" t="e">
        <f t="shared" si="162"/>
        <v>#N/A</v>
      </c>
      <c r="AC319" t="e">
        <f t="shared" si="151"/>
        <v>#N/A</v>
      </c>
      <c r="AE319" t="e">
        <v>#N/A</v>
      </c>
      <c r="AF319" t="e">
        <v>#N/A</v>
      </c>
      <c r="AP319" t="e">
        <v>#N/A</v>
      </c>
      <c r="AR319" t="e">
        <f t="shared" si="152"/>
        <v>#N/A</v>
      </c>
      <c r="AT319" t="e">
        <f t="shared" si="153"/>
        <v>#N/A</v>
      </c>
      <c r="AU319" t="e">
        <f t="shared" si="154"/>
        <v>#N/A</v>
      </c>
      <c r="AW319" t="e">
        <v>#N/A</v>
      </c>
      <c r="AX319" t="e">
        <v>#N/A</v>
      </c>
      <c r="BG319" t="e">
        <v>#N/A</v>
      </c>
      <c r="BI319" t="e">
        <f t="shared" si="155"/>
        <v>#N/A</v>
      </c>
      <c r="BK319" t="e">
        <f t="shared" si="156"/>
        <v>#N/A</v>
      </c>
      <c r="BL319" t="e">
        <f t="shared" si="157"/>
        <v>#N/A</v>
      </c>
      <c r="BN319" t="e">
        <v>#N/A</v>
      </c>
      <c r="BO319" t="e">
        <v>#N/A</v>
      </c>
      <c r="BX319" t="e">
        <v>#N/A</v>
      </c>
      <c r="BZ319" t="e">
        <f t="shared" si="158"/>
        <v>#N/A</v>
      </c>
      <c r="CB319" t="e">
        <f t="shared" si="161"/>
        <v>#N/A</v>
      </c>
      <c r="CC319" t="e">
        <f t="shared" si="159"/>
        <v>#N/A</v>
      </c>
      <c r="CE319" t="e">
        <v>#N/A</v>
      </c>
      <c r="CF319" t="e">
        <v>#N/A</v>
      </c>
    </row>
    <row r="320" spans="2:84">
      <c r="B320">
        <v>308</v>
      </c>
      <c r="C320" t="e">
        <f>IF(ISNUMBER(K320),IF('Lab test'!N311&gt;0,'Lab test'!N311,NA()),NA())</f>
        <v>#N/A</v>
      </c>
      <c r="D320" t="e">
        <f>IF(ISNUMBER(K320),IF('Lab test'!Q311&gt;0,'Lab test'!Q311,NA()),NA())</f>
        <v>#N/A</v>
      </c>
      <c r="E320" t="e">
        <f>IF(ISNUMBER(K320),IF('Lab test'!P311&gt;0,'Lab test'!P311,NA()),NA())</f>
        <v>#N/A</v>
      </c>
      <c r="F320" t="e">
        <f>IF(ISNUMBER(K320),IF('Lab test'!AJ311&gt;0,'Lab test'!AJ311,NA()),NA())</f>
        <v>#N/A</v>
      </c>
      <c r="G320">
        <f>IF('Lab test'!V311&gt;0,'Lab test'!V311,NA())</f>
        <v>195500</v>
      </c>
      <c r="H320" t="e">
        <f>IF(MAX('Lab test'!W311,'Lab test'!X311)&gt;0,MAX('Lab test'!W311,'Lab test'!X311),NA())</f>
        <v>#N/A</v>
      </c>
      <c r="I320" t="e">
        <f>IF('Lab test'!AU311&gt;0,'Lab test'!AU311,NA())</f>
        <v>#N/A</v>
      </c>
      <c r="J320">
        <f>IF('Lab test'!AT311&gt;0,'Lab test'!AT311,NA())</f>
        <v>8.9075535875300829E-2</v>
      </c>
      <c r="K320" t="e">
        <f t="shared" si="160"/>
        <v>#N/A</v>
      </c>
      <c r="L320" t="str">
        <f>'Lab test'!AC311</f>
        <v>Miscellaneous</v>
      </c>
      <c r="X320" t="e">
        <v>#N/A</v>
      </c>
      <c r="Z320" t="e">
        <f t="shared" si="150"/>
        <v>#N/A</v>
      </c>
      <c r="AB320" t="e">
        <f t="shared" si="162"/>
        <v>#N/A</v>
      </c>
      <c r="AC320" t="e">
        <f t="shared" si="151"/>
        <v>#N/A</v>
      </c>
      <c r="AE320" t="e">
        <v>#N/A</v>
      </c>
      <c r="AF320" t="e">
        <v>#N/A</v>
      </c>
      <c r="AP320" t="e">
        <v>#N/A</v>
      </c>
      <c r="AR320" t="e">
        <f t="shared" si="152"/>
        <v>#N/A</v>
      </c>
      <c r="AT320" t="e">
        <f t="shared" si="153"/>
        <v>#N/A</v>
      </c>
      <c r="AU320" t="e">
        <f t="shared" si="154"/>
        <v>#N/A</v>
      </c>
      <c r="AW320" t="e">
        <v>#N/A</v>
      </c>
      <c r="AX320" t="e">
        <v>#N/A</v>
      </c>
      <c r="BG320" t="e">
        <v>#N/A</v>
      </c>
      <c r="BI320" t="e">
        <f t="shared" si="155"/>
        <v>#N/A</v>
      </c>
      <c r="BK320" t="e">
        <f t="shared" si="156"/>
        <v>#N/A</v>
      </c>
      <c r="BL320" t="e">
        <f t="shared" si="157"/>
        <v>#N/A</v>
      </c>
      <c r="BN320" t="e">
        <v>#N/A</v>
      </c>
      <c r="BO320" t="e">
        <v>#N/A</v>
      </c>
      <c r="BX320" t="e">
        <v>#N/A</v>
      </c>
      <c r="BZ320" t="e">
        <f t="shared" si="158"/>
        <v>#N/A</v>
      </c>
      <c r="CB320" t="e">
        <f t="shared" si="161"/>
        <v>#N/A</v>
      </c>
      <c r="CC320" t="e">
        <f t="shared" si="159"/>
        <v>#N/A</v>
      </c>
      <c r="CE320" t="e">
        <v>#N/A</v>
      </c>
      <c r="CF320" t="e">
        <v>#N/A</v>
      </c>
    </row>
    <row r="321" spans="2:84">
      <c r="B321">
        <v>309</v>
      </c>
      <c r="C321" t="e">
        <f>IF(ISNUMBER(K321),IF('Lab test'!N312&gt;0,'Lab test'!N312,NA()),NA())</f>
        <v>#N/A</v>
      </c>
      <c r="D321" t="e">
        <f>IF(ISNUMBER(K321),IF('Lab test'!Q312&gt;0,'Lab test'!Q312,NA()),NA())</f>
        <v>#N/A</v>
      </c>
      <c r="E321" t="e">
        <f>IF(ISNUMBER(K321),IF('Lab test'!P312&gt;0,'Lab test'!P312,NA()),NA())</f>
        <v>#N/A</v>
      </c>
      <c r="F321" t="e">
        <f>IF(ISNUMBER(K321),IF('Lab test'!AJ312&gt;0,'Lab test'!AJ312,NA()),NA())</f>
        <v>#N/A</v>
      </c>
      <c r="G321">
        <f>IF('Lab test'!V312&gt;0,'Lab test'!V312,NA())</f>
        <v>180500</v>
      </c>
      <c r="H321" t="e">
        <f>IF(MAX('Lab test'!W312,'Lab test'!X312)&gt;0,MAX('Lab test'!W312,'Lab test'!X312),NA())</f>
        <v>#N/A</v>
      </c>
      <c r="I321" t="e">
        <f>IF('Lab test'!AU312&gt;0,'Lab test'!AU312,NA())</f>
        <v>#N/A</v>
      </c>
      <c r="J321">
        <f>IF('Lab test'!AT312&gt;0,'Lab test'!AT312,NA())</f>
        <v>0.12553628027610716</v>
      </c>
      <c r="K321" t="e">
        <f t="shared" si="160"/>
        <v>#N/A</v>
      </c>
      <c r="L321" t="str">
        <f>'Lab test'!AC312</f>
        <v>Miscellaneous</v>
      </c>
      <c r="X321" t="e">
        <v>#N/A</v>
      </c>
      <c r="Z321" t="e">
        <f t="shared" si="150"/>
        <v>#N/A</v>
      </c>
      <c r="AB321" t="e">
        <f t="shared" si="162"/>
        <v>#N/A</v>
      </c>
      <c r="AC321" t="e">
        <f t="shared" si="151"/>
        <v>#N/A</v>
      </c>
      <c r="AE321" t="e">
        <v>#N/A</v>
      </c>
      <c r="AF321" t="e">
        <v>#N/A</v>
      </c>
      <c r="AP321" t="e">
        <v>#N/A</v>
      </c>
      <c r="AR321" t="e">
        <f t="shared" si="152"/>
        <v>#N/A</v>
      </c>
      <c r="AT321" t="e">
        <f t="shared" si="153"/>
        <v>#N/A</v>
      </c>
      <c r="AU321" t="e">
        <f t="shared" si="154"/>
        <v>#N/A</v>
      </c>
      <c r="AW321" t="e">
        <v>#N/A</v>
      </c>
      <c r="AX321" t="e">
        <v>#N/A</v>
      </c>
      <c r="BG321" t="e">
        <v>#N/A</v>
      </c>
      <c r="BI321" t="e">
        <f t="shared" si="155"/>
        <v>#N/A</v>
      </c>
      <c r="BK321" t="e">
        <f t="shared" si="156"/>
        <v>#N/A</v>
      </c>
      <c r="BL321" t="e">
        <f t="shared" si="157"/>
        <v>#N/A</v>
      </c>
      <c r="BN321" t="e">
        <v>#N/A</v>
      </c>
      <c r="BO321" t="e">
        <v>#N/A</v>
      </c>
      <c r="BX321" t="e">
        <v>#N/A</v>
      </c>
      <c r="BZ321" t="e">
        <f t="shared" si="158"/>
        <v>#N/A</v>
      </c>
      <c r="CB321" t="e">
        <f t="shared" si="161"/>
        <v>#N/A</v>
      </c>
      <c r="CC321" t="e">
        <f t="shared" si="159"/>
        <v>#N/A</v>
      </c>
      <c r="CE321" t="e">
        <v>#N/A</v>
      </c>
      <c r="CF321" t="e">
        <v>#N/A</v>
      </c>
    </row>
    <row r="322" spans="2:84">
      <c r="B322">
        <v>310</v>
      </c>
      <c r="C322" t="e">
        <f>IF(ISNUMBER(K322),IF('Lab test'!N313&gt;0,'Lab test'!N313,NA()),NA())</f>
        <v>#N/A</v>
      </c>
      <c r="D322" t="e">
        <f>IF(ISNUMBER(K322),IF('Lab test'!Q313&gt;0,'Lab test'!Q313,NA()),NA())</f>
        <v>#N/A</v>
      </c>
      <c r="E322" t="e">
        <f>IF(ISNUMBER(K322),IF('Lab test'!P313&gt;0,'Lab test'!P313,NA()),NA())</f>
        <v>#N/A</v>
      </c>
      <c r="F322" t="e">
        <f>IF(ISNUMBER(K322),IF('Lab test'!AJ313&gt;0,'Lab test'!AJ313,NA()),NA())</f>
        <v>#N/A</v>
      </c>
      <c r="G322">
        <f>IF('Lab test'!V313&gt;0,'Lab test'!V313,NA())</f>
        <v>180500</v>
      </c>
      <c r="H322" t="e">
        <f>IF(MAX('Lab test'!W313,'Lab test'!X313)&gt;0,MAX('Lab test'!W313,'Lab test'!X313),NA())</f>
        <v>#N/A</v>
      </c>
      <c r="I322" t="e">
        <f>IF('Lab test'!AU313&gt;0,'Lab test'!AU313,NA())</f>
        <v>#N/A</v>
      </c>
      <c r="J322">
        <f>IF('Lab test'!AT313&gt;0,'Lab test'!AT313,NA())</f>
        <v>9.0518265251719382E-2</v>
      </c>
      <c r="K322" t="e">
        <f t="shared" si="160"/>
        <v>#N/A</v>
      </c>
      <c r="L322" t="str">
        <f>'Lab test'!AC313</f>
        <v>Miscellaneous</v>
      </c>
      <c r="X322" t="e">
        <v>#N/A</v>
      </c>
      <c r="Z322" t="e">
        <f t="shared" si="150"/>
        <v>#N/A</v>
      </c>
      <c r="AB322" t="e">
        <f t="shared" si="162"/>
        <v>#N/A</v>
      </c>
      <c r="AC322" t="e">
        <f t="shared" si="151"/>
        <v>#N/A</v>
      </c>
      <c r="AE322" t="e">
        <v>#N/A</v>
      </c>
      <c r="AF322" t="e">
        <v>#N/A</v>
      </c>
      <c r="AP322" t="e">
        <v>#N/A</v>
      </c>
      <c r="AR322" t="e">
        <f t="shared" si="152"/>
        <v>#N/A</v>
      </c>
      <c r="AT322" t="e">
        <f t="shared" si="153"/>
        <v>#N/A</v>
      </c>
      <c r="AU322" t="e">
        <f t="shared" si="154"/>
        <v>#N/A</v>
      </c>
      <c r="AW322" t="e">
        <v>#N/A</v>
      </c>
      <c r="AX322" t="e">
        <v>#N/A</v>
      </c>
      <c r="BG322" t="e">
        <v>#N/A</v>
      </c>
      <c r="BI322" t="e">
        <f t="shared" si="155"/>
        <v>#N/A</v>
      </c>
      <c r="BK322" t="e">
        <f t="shared" si="156"/>
        <v>#N/A</v>
      </c>
      <c r="BL322" t="e">
        <f t="shared" si="157"/>
        <v>#N/A</v>
      </c>
      <c r="BN322" t="e">
        <v>#N/A</v>
      </c>
      <c r="BO322" t="e">
        <v>#N/A</v>
      </c>
      <c r="BX322" t="e">
        <v>#N/A</v>
      </c>
      <c r="BZ322" t="e">
        <f t="shared" si="158"/>
        <v>#N/A</v>
      </c>
      <c r="CB322" t="e">
        <f t="shared" si="161"/>
        <v>#N/A</v>
      </c>
      <c r="CC322" t="e">
        <f t="shared" si="159"/>
        <v>#N/A</v>
      </c>
      <c r="CE322" t="e">
        <v>#N/A</v>
      </c>
      <c r="CF322" t="e">
        <v>#N/A</v>
      </c>
    </row>
    <row r="323" spans="2:84">
      <c r="B323">
        <v>311</v>
      </c>
      <c r="C323" t="e">
        <f>IF(ISNUMBER(K323),IF('Lab test'!N314&gt;0,'Lab test'!N314,NA()),NA())</f>
        <v>#N/A</v>
      </c>
      <c r="D323" t="e">
        <f>IF(ISNUMBER(K323),IF('Lab test'!Q314&gt;0,'Lab test'!Q314,NA()),NA())</f>
        <v>#N/A</v>
      </c>
      <c r="E323" t="e">
        <f>IF(ISNUMBER(K323),IF('Lab test'!P314&gt;0,'Lab test'!P314,NA()),NA())</f>
        <v>#N/A</v>
      </c>
      <c r="F323" t="e">
        <f>IF(ISNUMBER(K323),IF('Lab test'!AJ314&gt;0,'Lab test'!AJ314,NA()),NA())</f>
        <v>#N/A</v>
      </c>
      <c r="G323">
        <f>IF('Lab test'!V314&gt;0,'Lab test'!V314,NA())</f>
        <v>180500</v>
      </c>
      <c r="H323" t="e">
        <f>IF(MAX('Lab test'!W314,'Lab test'!X314)&gt;0,MAX('Lab test'!W314,'Lab test'!X314),NA())</f>
        <v>#N/A</v>
      </c>
      <c r="I323" t="e">
        <f>IF('Lab test'!AU314&gt;0,'Lab test'!AU314,NA())</f>
        <v>#N/A</v>
      </c>
      <c r="J323">
        <f>IF('Lab test'!AT314&gt;0,'Lab test'!AT314,NA())</f>
        <v>0.10967906592544101</v>
      </c>
      <c r="K323" t="e">
        <f t="shared" si="160"/>
        <v>#N/A</v>
      </c>
      <c r="L323" t="str">
        <f>'Lab test'!AC314</f>
        <v>Miscellaneous</v>
      </c>
      <c r="X323" t="e">
        <v>#N/A</v>
      </c>
      <c r="Z323" t="e">
        <f t="shared" si="150"/>
        <v>#N/A</v>
      </c>
      <c r="AB323" t="e">
        <f t="shared" si="162"/>
        <v>#N/A</v>
      </c>
      <c r="AC323" t="e">
        <f t="shared" si="151"/>
        <v>#N/A</v>
      </c>
      <c r="AE323" t="e">
        <v>#N/A</v>
      </c>
      <c r="AF323" t="e">
        <v>#N/A</v>
      </c>
      <c r="AP323" t="e">
        <v>#N/A</v>
      </c>
      <c r="AR323" t="e">
        <f t="shared" si="152"/>
        <v>#N/A</v>
      </c>
      <c r="AT323" t="e">
        <f t="shared" si="153"/>
        <v>#N/A</v>
      </c>
      <c r="AU323" t="e">
        <f t="shared" si="154"/>
        <v>#N/A</v>
      </c>
      <c r="AW323" t="e">
        <v>#N/A</v>
      </c>
      <c r="AX323" t="e">
        <v>#N/A</v>
      </c>
      <c r="BG323" t="e">
        <v>#N/A</v>
      </c>
      <c r="BI323" t="e">
        <f t="shared" si="155"/>
        <v>#N/A</v>
      </c>
      <c r="BK323" t="e">
        <f t="shared" si="156"/>
        <v>#N/A</v>
      </c>
      <c r="BL323" t="e">
        <f t="shared" si="157"/>
        <v>#N/A</v>
      </c>
      <c r="BN323" t="e">
        <v>#N/A</v>
      </c>
      <c r="BO323" t="e">
        <v>#N/A</v>
      </c>
      <c r="BX323" t="e">
        <v>#N/A</v>
      </c>
      <c r="BZ323" t="e">
        <f t="shared" si="158"/>
        <v>#N/A</v>
      </c>
      <c r="CB323" t="e">
        <f t="shared" si="161"/>
        <v>#N/A</v>
      </c>
      <c r="CC323" t="e">
        <f t="shared" si="159"/>
        <v>#N/A</v>
      </c>
      <c r="CE323" t="e">
        <v>#N/A</v>
      </c>
      <c r="CF323" t="e">
        <v>#N/A</v>
      </c>
    </row>
    <row r="324" spans="2:84">
      <c r="B324">
        <v>312</v>
      </c>
      <c r="C324" t="e">
        <f>IF(ISNUMBER(K324),IF('Lab test'!N315&gt;0,'Lab test'!N315,NA()),NA())</f>
        <v>#N/A</v>
      </c>
      <c r="D324" t="e">
        <f>IF(ISNUMBER(K324),IF('Lab test'!Q315&gt;0,'Lab test'!Q315,NA()),NA())</f>
        <v>#N/A</v>
      </c>
      <c r="E324" t="e">
        <f>IF(ISNUMBER(K324),IF('Lab test'!P315&gt;0,'Lab test'!P315,NA()),NA())</f>
        <v>#N/A</v>
      </c>
      <c r="F324" t="e">
        <f>IF(ISNUMBER(K324),IF('Lab test'!AJ315&gt;0,'Lab test'!AJ315,NA()),NA())</f>
        <v>#N/A</v>
      </c>
      <c r="G324">
        <f>IF('Lab test'!V315&gt;0,'Lab test'!V315,NA())</f>
        <v>180500</v>
      </c>
      <c r="H324" t="e">
        <f>IF(MAX('Lab test'!W315,'Lab test'!X315)&gt;0,MAX('Lab test'!W315,'Lab test'!X315),NA())</f>
        <v>#N/A</v>
      </c>
      <c r="I324" t="e">
        <f>IF('Lab test'!AU315&gt;0,'Lab test'!AU315,NA())</f>
        <v>#N/A</v>
      </c>
      <c r="J324">
        <f>IF('Lab test'!AT315&gt;0,'Lab test'!AT315,NA())</f>
        <v>0.11562552130694083</v>
      </c>
      <c r="K324" t="e">
        <f t="shared" si="160"/>
        <v>#N/A</v>
      </c>
      <c r="L324" t="str">
        <f>'Lab test'!AC315</f>
        <v>Miscellaneous</v>
      </c>
      <c r="X324" t="e">
        <v>#N/A</v>
      </c>
      <c r="Z324" t="e">
        <f t="shared" si="150"/>
        <v>#N/A</v>
      </c>
      <c r="AB324" t="e">
        <f t="shared" si="162"/>
        <v>#N/A</v>
      </c>
      <c r="AC324" t="e">
        <f t="shared" si="151"/>
        <v>#N/A</v>
      </c>
      <c r="AE324" t="e">
        <v>#N/A</v>
      </c>
      <c r="AF324" t="e">
        <v>#N/A</v>
      </c>
      <c r="AP324" t="e">
        <v>#N/A</v>
      </c>
      <c r="AR324" t="e">
        <f t="shared" si="152"/>
        <v>#N/A</v>
      </c>
      <c r="AT324" t="e">
        <f t="shared" si="153"/>
        <v>#N/A</v>
      </c>
      <c r="AU324" t="e">
        <f t="shared" si="154"/>
        <v>#N/A</v>
      </c>
      <c r="AW324" t="e">
        <v>#N/A</v>
      </c>
      <c r="AX324" t="e">
        <v>#N/A</v>
      </c>
      <c r="BG324" t="e">
        <v>#N/A</v>
      </c>
      <c r="BI324" t="e">
        <f t="shared" si="155"/>
        <v>#N/A</v>
      </c>
      <c r="BK324" t="e">
        <f t="shared" si="156"/>
        <v>#N/A</v>
      </c>
      <c r="BL324" t="e">
        <f t="shared" si="157"/>
        <v>#N/A</v>
      </c>
      <c r="BN324" t="e">
        <v>#N/A</v>
      </c>
      <c r="BO324" t="e">
        <v>#N/A</v>
      </c>
      <c r="BX324" t="e">
        <v>#N/A</v>
      </c>
      <c r="BZ324" t="e">
        <f t="shared" si="158"/>
        <v>#N/A</v>
      </c>
      <c r="CB324" t="e">
        <f t="shared" si="161"/>
        <v>#N/A</v>
      </c>
      <c r="CC324" t="e">
        <f t="shared" si="159"/>
        <v>#N/A</v>
      </c>
      <c r="CE324" t="e">
        <v>#N/A</v>
      </c>
      <c r="CF324" t="e">
        <v>#N/A</v>
      </c>
    </row>
    <row r="325" spans="2:84">
      <c r="B325">
        <v>313</v>
      </c>
      <c r="C325" t="e">
        <f>IF(ISNUMBER(K325),IF('Lab test'!N316&gt;0,'Lab test'!N316,NA()),NA())</f>
        <v>#N/A</v>
      </c>
      <c r="D325" t="e">
        <f>IF(ISNUMBER(K325),IF('Lab test'!Q316&gt;0,'Lab test'!Q316,NA()),NA())</f>
        <v>#N/A</v>
      </c>
      <c r="E325" t="e">
        <f>IF(ISNUMBER(K325),IF('Lab test'!P316&gt;0,'Lab test'!P316,NA()),NA())</f>
        <v>#N/A</v>
      </c>
      <c r="F325" t="e">
        <f>IF(ISNUMBER(K325),IF('Lab test'!AJ316&gt;0,'Lab test'!AJ316,NA()),NA())</f>
        <v>#N/A</v>
      </c>
      <c r="G325">
        <f>IF('Lab test'!V316&gt;0,'Lab test'!V316,NA())</f>
        <v>180500</v>
      </c>
      <c r="H325" t="e">
        <f>IF(MAX('Lab test'!W316,'Lab test'!X316)&gt;0,MAX('Lab test'!W316,'Lab test'!X316),NA())</f>
        <v>#N/A</v>
      </c>
      <c r="I325" t="e">
        <f>IF('Lab test'!AU316&gt;0,'Lab test'!AU316,NA())</f>
        <v>#N/A</v>
      </c>
      <c r="J325">
        <f>IF('Lab test'!AT316&gt;0,'Lab test'!AT316,NA())</f>
        <v>0.13379524608374582</v>
      </c>
      <c r="K325" t="e">
        <f t="shared" si="160"/>
        <v>#N/A</v>
      </c>
      <c r="L325" t="str">
        <f>'Lab test'!AC316</f>
        <v>Miscellaneous</v>
      </c>
      <c r="X325" t="e">
        <v>#N/A</v>
      </c>
      <c r="Z325" t="e">
        <f t="shared" si="150"/>
        <v>#N/A</v>
      </c>
      <c r="AB325" t="e">
        <f t="shared" si="162"/>
        <v>#N/A</v>
      </c>
      <c r="AC325" t="e">
        <f t="shared" si="151"/>
        <v>#N/A</v>
      </c>
      <c r="AE325" t="e">
        <v>#N/A</v>
      </c>
      <c r="AF325" t="e">
        <v>#N/A</v>
      </c>
      <c r="AP325" t="e">
        <v>#N/A</v>
      </c>
      <c r="AR325" t="e">
        <f t="shared" si="152"/>
        <v>#N/A</v>
      </c>
      <c r="AT325" t="e">
        <f t="shared" si="153"/>
        <v>#N/A</v>
      </c>
      <c r="AU325" t="e">
        <f t="shared" si="154"/>
        <v>#N/A</v>
      </c>
      <c r="AW325" t="e">
        <v>#N/A</v>
      </c>
      <c r="AX325" t="e">
        <v>#N/A</v>
      </c>
      <c r="BG325" t="e">
        <v>#N/A</v>
      </c>
      <c r="BI325" t="e">
        <f t="shared" si="155"/>
        <v>#N/A</v>
      </c>
      <c r="BK325" t="e">
        <f t="shared" si="156"/>
        <v>#N/A</v>
      </c>
      <c r="BL325" t="e">
        <f t="shared" si="157"/>
        <v>#N/A</v>
      </c>
      <c r="BN325" t="e">
        <v>#N/A</v>
      </c>
      <c r="BO325" t="e">
        <v>#N/A</v>
      </c>
      <c r="BX325" t="e">
        <v>#N/A</v>
      </c>
      <c r="BZ325" t="e">
        <f t="shared" si="158"/>
        <v>#N/A</v>
      </c>
      <c r="CB325" t="e">
        <f t="shared" si="161"/>
        <v>#N/A</v>
      </c>
      <c r="CC325" t="e">
        <f t="shared" si="159"/>
        <v>#N/A</v>
      </c>
      <c r="CE325" t="e">
        <v>#N/A</v>
      </c>
      <c r="CF325" t="e">
        <v>#N/A</v>
      </c>
    </row>
    <row r="326" spans="2:84">
      <c r="B326">
        <v>314</v>
      </c>
      <c r="C326" t="e">
        <f>IF(ISNUMBER(K326),IF('Lab test'!N317&gt;0,'Lab test'!N317,NA()),NA())</f>
        <v>#N/A</v>
      </c>
      <c r="D326" t="e">
        <f>IF(ISNUMBER(K326),IF('Lab test'!Q317&gt;0,'Lab test'!Q317,NA()),NA())</f>
        <v>#N/A</v>
      </c>
      <c r="E326" t="e">
        <f>IF(ISNUMBER(K326),IF('Lab test'!P317&gt;0,'Lab test'!P317,NA()),NA())</f>
        <v>#N/A</v>
      </c>
      <c r="F326" t="e">
        <f>IF(ISNUMBER(K326),IF('Lab test'!AJ317&gt;0,'Lab test'!AJ317,NA()),NA())</f>
        <v>#N/A</v>
      </c>
      <c r="G326">
        <f>IF('Lab test'!V317&gt;0,'Lab test'!V317,NA())</f>
        <v>180500</v>
      </c>
      <c r="H326" t="e">
        <f>IF(MAX('Lab test'!W317,'Lab test'!X317)&gt;0,MAX('Lab test'!W317,'Lab test'!X317),NA())</f>
        <v>#N/A</v>
      </c>
      <c r="I326" t="e">
        <f>IF('Lab test'!AU317&gt;0,'Lab test'!AU317,NA())</f>
        <v>#N/A</v>
      </c>
      <c r="J326">
        <f>IF('Lab test'!AT317&gt;0,'Lab test'!AT317,NA())</f>
        <v>0.13049165976069035</v>
      </c>
      <c r="K326" t="e">
        <f t="shared" si="160"/>
        <v>#N/A</v>
      </c>
      <c r="L326" t="str">
        <f>'Lab test'!AC317</f>
        <v>Miscellaneous</v>
      </c>
      <c r="X326" t="e">
        <v>#N/A</v>
      </c>
      <c r="Z326" t="e">
        <f t="shared" si="150"/>
        <v>#N/A</v>
      </c>
      <c r="AB326" t="e">
        <f t="shared" si="162"/>
        <v>#N/A</v>
      </c>
      <c r="AC326" t="e">
        <f t="shared" si="151"/>
        <v>#N/A</v>
      </c>
      <c r="AE326" t="e">
        <v>#N/A</v>
      </c>
      <c r="AF326" t="e">
        <v>#N/A</v>
      </c>
      <c r="AP326" t="e">
        <v>#N/A</v>
      </c>
      <c r="AR326" t="e">
        <f t="shared" si="152"/>
        <v>#N/A</v>
      </c>
      <c r="AT326" t="e">
        <f t="shared" si="153"/>
        <v>#N/A</v>
      </c>
      <c r="AU326" t="e">
        <f t="shared" si="154"/>
        <v>#N/A</v>
      </c>
      <c r="AW326" t="e">
        <v>#N/A</v>
      </c>
      <c r="AX326" t="e">
        <v>#N/A</v>
      </c>
      <c r="BG326" t="e">
        <v>#N/A</v>
      </c>
      <c r="BI326" t="e">
        <f t="shared" si="155"/>
        <v>#N/A</v>
      </c>
      <c r="BK326" t="e">
        <f t="shared" si="156"/>
        <v>#N/A</v>
      </c>
      <c r="BL326" t="e">
        <f t="shared" si="157"/>
        <v>#N/A</v>
      </c>
      <c r="BN326" t="e">
        <v>#N/A</v>
      </c>
      <c r="BO326" t="e">
        <v>#N/A</v>
      </c>
      <c r="BX326" t="e">
        <v>#N/A</v>
      </c>
      <c r="BZ326" t="e">
        <f t="shared" si="158"/>
        <v>#N/A</v>
      </c>
      <c r="CB326" t="e">
        <f t="shared" si="161"/>
        <v>#N/A</v>
      </c>
      <c r="CC326" t="e">
        <f t="shared" si="159"/>
        <v>#N/A</v>
      </c>
      <c r="CE326" t="e">
        <v>#N/A</v>
      </c>
      <c r="CF326" t="e">
        <v>#N/A</v>
      </c>
    </row>
    <row r="327" spans="2:84">
      <c r="B327">
        <v>315</v>
      </c>
      <c r="C327" t="e">
        <f>IF(ISNUMBER(K327),IF('Lab test'!N318&gt;0,'Lab test'!N318,NA()),NA())</f>
        <v>#N/A</v>
      </c>
      <c r="D327" t="e">
        <f>IF(ISNUMBER(K327),IF('Lab test'!Q318&gt;0,'Lab test'!Q318,NA()),NA())</f>
        <v>#N/A</v>
      </c>
      <c r="E327" t="e">
        <f>IF(ISNUMBER(K327),IF('Lab test'!P318&gt;0,'Lab test'!P318,NA()),NA())</f>
        <v>#N/A</v>
      </c>
      <c r="F327" t="e">
        <f>IF(ISNUMBER(K327),IF('Lab test'!AJ318&gt;0,'Lab test'!AJ318,NA()),NA())</f>
        <v>#N/A</v>
      </c>
      <c r="G327">
        <f>IF('Lab test'!V318&gt;0,'Lab test'!V318,NA())</f>
        <v>197123.02584555556</v>
      </c>
      <c r="H327">
        <f>IF(MAX('Lab test'!W318,'Lab test'!X318)&gt;0,MAX('Lab test'!W318,'Lab test'!X318),NA())</f>
        <v>239.9376</v>
      </c>
      <c r="I327">
        <f>IF('Lab test'!AU318&gt;0,'Lab test'!AU318,NA())</f>
        <v>0.85632181033735433</v>
      </c>
      <c r="J327">
        <f>IF('Lab test'!AT318&gt;0,'Lab test'!AT318,NA())</f>
        <v>8.7918162649678389E-2</v>
      </c>
      <c r="K327" t="e">
        <f t="shared" si="160"/>
        <v>#N/A</v>
      </c>
      <c r="L327" t="str">
        <f>'Lab test'!AC318</f>
        <v>CLTW</v>
      </c>
      <c r="X327" t="e">
        <v>#N/A</v>
      </c>
      <c r="Z327" t="e">
        <f t="shared" si="150"/>
        <v>#N/A</v>
      </c>
      <c r="AB327" t="e">
        <f t="shared" si="162"/>
        <v>#N/A</v>
      </c>
      <c r="AC327" t="e">
        <f t="shared" si="151"/>
        <v>#N/A</v>
      </c>
      <c r="AE327" t="e">
        <v>#N/A</v>
      </c>
      <c r="AF327" t="e">
        <v>#N/A</v>
      </c>
      <c r="AP327" t="e">
        <v>#N/A</v>
      </c>
      <c r="AR327" t="e">
        <f t="shared" si="152"/>
        <v>#N/A</v>
      </c>
      <c r="AT327" t="e">
        <f t="shared" si="153"/>
        <v>#N/A</v>
      </c>
      <c r="AU327" t="e">
        <f t="shared" si="154"/>
        <v>#N/A</v>
      </c>
      <c r="AW327" t="e">
        <v>#N/A</v>
      </c>
      <c r="AX327" t="e">
        <v>#N/A</v>
      </c>
      <c r="BG327" t="e">
        <v>#N/A</v>
      </c>
      <c r="BI327" t="e">
        <f t="shared" si="155"/>
        <v>#N/A</v>
      </c>
      <c r="BK327" t="e">
        <f t="shared" si="156"/>
        <v>#N/A</v>
      </c>
      <c r="BL327" t="e">
        <f t="shared" si="157"/>
        <v>#N/A</v>
      </c>
      <c r="BN327" t="e">
        <v>#N/A</v>
      </c>
      <c r="BO327" t="e">
        <v>#N/A</v>
      </c>
      <c r="BX327" t="e">
        <v>#N/A</v>
      </c>
      <c r="BZ327" t="e">
        <f t="shared" si="158"/>
        <v>#N/A</v>
      </c>
      <c r="CB327" t="e">
        <f t="shared" si="161"/>
        <v>#N/A</v>
      </c>
      <c r="CC327" t="e">
        <f t="shared" si="159"/>
        <v>#N/A</v>
      </c>
      <c r="CE327" t="e">
        <v>#N/A</v>
      </c>
      <c r="CF327" t="e">
        <v>#N/A</v>
      </c>
    </row>
    <row r="328" spans="2:84">
      <c r="B328">
        <v>316</v>
      </c>
      <c r="C328" t="e">
        <f>IF(ISNUMBER(K328),IF('Lab test'!N319&gt;0,'Lab test'!N319,NA()),NA())</f>
        <v>#N/A</v>
      </c>
      <c r="D328" t="e">
        <f>IF(ISNUMBER(K328),IF('Lab test'!Q319&gt;0,'Lab test'!Q319,NA()),NA())</f>
        <v>#N/A</v>
      </c>
      <c r="E328" t="e">
        <f>IF(ISNUMBER(K328),IF('Lab test'!P319&gt;0,'Lab test'!P319,NA()),NA())</f>
        <v>#N/A</v>
      </c>
      <c r="F328" t="e">
        <f>IF(ISNUMBER(K328),IF('Lab test'!AJ319&gt;0,'Lab test'!AJ319,NA()),NA())</f>
        <v>#N/A</v>
      </c>
      <c r="G328">
        <f>IF('Lab test'!V319&gt;0,'Lab test'!V319,NA())</f>
        <v>197123.02584555556</v>
      </c>
      <c r="H328">
        <f>IF(MAX('Lab test'!W319,'Lab test'!X319)&gt;0,MAX('Lab test'!W319,'Lab test'!X319),NA())</f>
        <v>234.42169999999999</v>
      </c>
      <c r="I328">
        <f>IF('Lab test'!AU319&gt;0,'Lab test'!AU319,NA())</f>
        <v>0.72647071495514282</v>
      </c>
      <c r="J328">
        <f>IF('Lab test'!AT319&gt;0,'Lab test'!AT319,NA())</f>
        <v>7.3307854036667397E-2</v>
      </c>
      <c r="K328" t="e">
        <f t="shared" si="160"/>
        <v>#N/A</v>
      </c>
      <c r="L328" t="str">
        <f>'Lab test'!AC319</f>
        <v>CLTW</v>
      </c>
      <c r="X328" t="e">
        <v>#N/A</v>
      </c>
      <c r="Z328" t="e">
        <f t="shared" si="150"/>
        <v>#N/A</v>
      </c>
      <c r="AB328" t="e">
        <f t="shared" si="162"/>
        <v>#N/A</v>
      </c>
      <c r="AC328" t="e">
        <f t="shared" si="151"/>
        <v>#N/A</v>
      </c>
      <c r="AE328" t="e">
        <v>#N/A</v>
      </c>
      <c r="AF328" t="e">
        <v>#N/A</v>
      </c>
      <c r="AP328" t="e">
        <v>#N/A</v>
      </c>
      <c r="AR328" t="e">
        <f t="shared" si="152"/>
        <v>#N/A</v>
      </c>
      <c r="AT328" t="e">
        <f t="shared" si="153"/>
        <v>#N/A</v>
      </c>
      <c r="AU328" t="e">
        <f t="shared" si="154"/>
        <v>#N/A</v>
      </c>
      <c r="AW328" t="e">
        <v>#N/A</v>
      </c>
      <c r="AX328" t="e">
        <v>#N/A</v>
      </c>
      <c r="BG328" t="e">
        <v>#N/A</v>
      </c>
      <c r="BI328" t="e">
        <f t="shared" si="155"/>
        <v>#N/A</v>
      </c>
      <c r="BK328" t="e">
        <f t="shared" si="156"/>
        <v>#N/A</v>
      </c>
      <c r="BL328" t="e">
        <f t="shared" si="157"/>
        <v>#N/A</v>
      </c>
      <c r="BN328" t="e">
        <v>#N/A</v>
      </c>
      <c r="BO328" t="e">
        <v>#N/A</v>
      </c>
      <c r="BX328" t="e">
        <v>#N/A</v>
      </c>
      <c r="BZ328" t="e">
        <f t="shared" si="158"/>
        <v>#N/A</v>
      </c>
      <c r="CB328" t="e">
        <f t="shared" si="161"/>
        <v>#N/A</v>
      </c>
      <c r="CC328" t="e">
        <f t="shared" si="159"/>
        <v>#N/A</v>
      </c>
      <c r="CE328" t="e">
        <v>#N/A</v>
      </c>
      <c r="CF328" t="e">
        <v>#N/A</v>
      </c>
    </row>
    <row r="329" spans="2:84">
      <c r="B329">
        <v>317</v>
      </c>
      <c r="C329" t="e">
        <f>IF(ISNUMBER(K329),IF('Lab test'!N320&gt;0,'Lab test'!N320,NA()),NA())</f>
        <v>#N/A</v>
      </c>
      <c r="D329" t="e">
        <f>IF(ISNUMBER(K329),IF('Lab test'!Q320&gt;0,'Lab test'!Q320,NA()),NA())</f>
        <v>#N/A</v>
      </c>
      <c r="E329" t="e">
        <f>IF(ISNUMBER(K329),IF('Lab test'!P320&gt;0,'Lab test'!P320,NA()),NA())</f>
        <v>#N/A</v>
      </c>
      <c r="F329" t="e">
        <f>IF(ISNUMBER(K329),IF('Lab test'!AJ320&gt;0,'Lab test'!AJ320,NA()),NA())</f>
        <v>#N/A</v>
      </c>
      <c r="G329">
        <f>IF('Lab test'!V320&gt;0,'Lab test'!V320,NA())</f>
        <v>197485.54780571428</v>
      </c>
      <c r="H329">
        <f>IF(MAX('Lab test'!W320,'Lab test'!X320)&gt;0,MAX('Lab test'!W320,'Lab test'!X320),NA())</f>
        <v>268.89550000000003</v>
      </c>
      <c r="I329">
        <f>IF('Lab test'!AU320&gt;0,'Lab test'!AU320,NA())</f>
        <v>0.72307718054039571</v>
      </c>
      <c r="J329">
        <f>IF('Lab test'!AT320&gt;0,'Lab test'!AT320,NA())</f>
        <v>8.9617770164284072E-2</v>
      </c>
      <c r="K329" t="e">
        <f t="shared" si="160"/>
        <v>#N/A</v>
      </c>
      <c r="L329" t="str">
        <f>'Lab test'!AC320</f>
        <v>CLTW</v>
      </c>
      <c r="X329" t="e">
        <v>#N/A</v>
      </c>
      <c r="Z329" t="e">
        <f t="shared" si="150"/>
        <v>#N/A</v>
      </c>
      <c r="AB329" t="e">
        <f t="shared" si="162"/>
        <v>#N/A</v>
      </c>
      <c r="AC329" t="e">
        <f t="shared" si="151"/>
        <v>#N/A</v>
      </c>
      <c r="AE329" t="e">
        <v>#N/A</v>
      </c>
      <c r="AF329" t="e">
        <v>#N/A</v>
      </c>
      <c r="AP329" t="e">
        <v>#N/A</v>
      </c>
      <c r="AR329" t="e">
        <f t="shared" si="152"/>
        <v>#N/A</v>
      </c>
      <c r="AT329" t="e">
        <f t="shared" si="153"/>
        <v>#N/A</v>
      </c>
      <c r="AU329" t="e">
        <f t="shared" si="154"/>
        <v>#N/A</v>
      </c>
      <c r="AW329" t="e">
        <v>#N/A</v>
      </c>
      <c r="AX329" t="e">
        <v>#N/A</v>
      </c>
      <c r="BG329" t="e">
        <v>#N/A</v>
      </c>
      <c r="BI329" t="e">
        <f t="shared" si="155"/>
        <v>#N/A</v>
      </c>
      <c r="BK329" t="e">
        <f t="shared" si="156"/>
        <v>#N/A</v>
      </c>
      <c r="BL329" t="e">
        <f t="shared" si="157"/>
        <v>#N/A</v>
      </c>
      <c r="BN329" t="e">
        <v>#N/A</v>
      </c>
      <c r="BO329" t="e">
        <v>#N/A</v>
      </c>
      <c r="BX329" t="e">
        <v>#N/A</v>
      </c>
      <c r="BZ329" t="e">
        <f t="shared" si="158"/>
        <v>#N/A</v>
      </c>
      <c r="CB329" t="e">
        <f t="shared" si="161"/>
        <v>#N/A</v>
      </c>
      <c r="CC329" t="e">
        <f t="shared" si="159"/>
        <v>#N/A</v>
      </c>
      <c r="CE329" t="e">
        <v>#N/A</v>
      </c>
      <c r="CF329" t="e">
        <v>#N/A</v>
      </c>
    </row>
    <row r="330" spans="2:84">
      <c r="B330">
        <v>318</v>
      </c>
      <c r="C330" t="e">
        <f>IF(ISNUMBER(K330),IF('Lab test'!N321&gt;0,'Lab test'!N321,NA()),NA())</f>
        <v>#N/A</v>
      </c>
      <c r="D330" t="e">
        <f>IF(ISNUMBER(K330),IF('Lab test'!Q321&gt;0,'Lab test'!Q321,NA()),NA())</f>
        <v>#N/A</v>
      </c>
      <c r="E330" t="e">
        <f>IF(ISNUMBER(K330),IF('Lab test'!P321&gt;0,'Lab test'!P321,NA()),NA())</f>
        <v>#N/A</v>
      </c>
      <c r="F330" t="e">
        <f>IF(ISNUMBER(K330),IF('Lab test'!AJ321&gt;0,'Lab test'!AJ321,NA()),NA())</f>
        <v>#N/A</v>
      </c>
      <c r="G330">
        <f>IF('Lab test'!V321&gt;0,'Lab test'!V321,NA())</f>
        <v>197485.54780571428</v>
      </c>
      <c r="H330">
        <f>IF(MAX('Lab test'!W321,'Lab test'!X321)&gt;0,MAX('Lab test'!W321,'Lab test'!X321),NA())</f>
        <v>262.00080000000003</v>
      </c>
      <c r="I330">
        <f>IF('Lab test'!AU321&gt;0,'Lab test'!AU321,NA())</f>
        <v>0.70263144234674091</v>
      </c>
      <c r="J330">
        <f>IF('Lab test'!AT321&gt;0,'Lab test'!AT321,NA())</f>
        <v>8.8561313041331746E-2</v>
      </c>
      <c r="K330" t="e">
        <f t="shared" si="160"/>
        <v>#N/A</v>
      </c>
      <c r="L330" t="str">
        <f>'Lab test'!AC321</f>
        <v>CLTW</v>
      </c>
      <c r="X330" t="e">
        <v>#N/A</v>
      </c>
      <c r="Z330" t="e">
        <f t="shared" si="150"/>
        <v>#N/A</v>
      </c>
      <c r="AB330" t="e">
        <f t="shared" si="162"/>
        <v>#N/A</v>
      </c>
      <c r="AC330" t="e">
        <f t="shared" si="151"/>
        <v>#N/A</v>
      </c>
      <c r="AE330" t="e">
        <v>#N/A</v>
      </c>
      <c r="AF330" t="e">
        <v>#N/A</v>
      </c>
      <c r="AP330" t="e">
        <v>#N/A</v>
      </c>
      <c r="AR330" t="e">
        <f t="shared" si="152"/>
        <v>#N/A</v>
      </c>
      <c r="AT330" t="e">
        <f t="shared" si="153"/>
        <v>#N/A</v>
      </c>
      <c r="AU330" t="e">
        <f t="shared" si="154"/>
        <v>#N/A</v>
      </c>
      <c r="AW330" t="e">
        <v>#N/A</v>
      </c>
      <c r="AX330" t="e">
        <v>#N/A</v>
      </c>
      <c r="BG330" t="e">
        <v>#N/A</v>
      </c>
      <c r="BI330" t="e">
        <f t="shared" si="155"/>
        <v>#N/A</v>
      </c>
      <c r="BK330" t="e">
        <f t="shared" si="156"/>
        <v>#N/A</v>
      </c>
      <c r="BL330" t="e">
        <f t="shared" si="157"/>
        <v>#N/A</v>
      </c>
      <c r="BN330" t="e">
        <v>#N/A</v>
      </c>
      <c r="BO330" t="e">
        <v>#N/A</v>
      </c>
      <c r="BX330" t="e">
        <v>#N/A</v>
      </c>
      <c r="BZ330" t="e">
        <f t="shared" si="158"/>
        <v>#N/A</v>
      </c>
      <c r="CB330" t="e">
        <f t="shared" si="161"/>
        <v>#N/A</v>
      </c>
      <c r="CC330" t="e">
        <f t="shared" si="159"/>
        <v>#N/A</v>
      </c>
      <c r="CE330" t="e">
        <v>#N/A</v>
      </c>
      <c r="CF330" t="e">
        <v>#N/A</v>
      </c>
    </row>
    <row r="331" spans="2:84">
      <c r="B331">
        <v>319</v>
      </c>
      <c r="C331" t="e">
        <f>IF(ISNUMBER(K331),IF('Lab test'!N322&gt;0,'Lab test'!N322,NA()),NA())</f>
        <v>#N/A</v>
      </c>
      <c r="D331" t="e">
        <f>IF(ISNUMBER(K331),IF('Lab test'!Q322&gt;0,'Lab test'!Q322,NA()),NA())</f>
        <v>#N/A</v>
      </c>
      <c r="E331" t="e">
        <f>IF(ISNUMBER(K331),IF('Lab test'!P322&gt;0,'Lab test'!P322,NA()),NA())</f>
        <v>#N/A</v>
      </c>
      <c r="F331" t="e">
        <f>IF(ISNUMBER(K331),IF('Lab test'!AJ322&gt;0,'Lab test'!AJ322,NA()),NA())</f>
        <v>#N/A</v>
      </c>
      <c r="G331">
        <f>IF('Lab test'!V322&gt;0,'Lab test'!V322,NA())</f>
        <v>198655.19413000002</v>
      </c>
      <c r="H331">
        <f>IF(MAX('Lab test'!W322,'Lab test'!X322)&gt;0,MAX('Lab test'!W322,'Lab test'!X322),NA())</f>
        <v>275.7903</v>
      </c>
      <c r="I331">
        <f>IF('Lab test'!AU322&gt;0,'Lab test'!AU322,NA())</f>
        <v>0.53499996192759491</v>
      </c>
      <c r="J331">
        <f>IF('Lab test'!AT322&gt;0,'Lab test'!AT322,NA())</f>
        <v>0.11935476436873577</v>
      </c>
      <c r="K331" t="e">
        <f t="shared" si="160"/>
        <v>#N/A</v>
      </c>
      <c r="L331" t="str">
        <f>'Lab test'!AC322</f>
        <v>CLTW</v>
      </c>
      <c r="X331" t="e">
        <v>#N/A</v>
      </c>
      <c r="Z331" t="e">
        <f t="shared" si="150"/>
        <v>#N/A</v>
      </c>
      <c r="AB331" t="e">
        <f t="shared" si="162"/>
        <v>#N/A</v>
      </c>
      <c r="AC331" t="e">
        <f t="shared" si="151"/>
        <v>#N/A</v>
      </c>
      <c r="AE331" t="e">
        <v>#N/A</v>
      </c>
      <c r="AF331" t="e">
        <v>#N/A</v>
      </c>
      <c r="AP331" t="e">
        <v>#N/A</v>
      </c>
      <c r="AR331" t="e">
        <f t="shared" si="152"/>
        <v>#N/A</v>
      </c>
      <c r="AT331" t="e">
        <f t="shared" si="153"/>
        <v>#N/A</v>
      </c>
      <c r="AU331" t="e">
        <f t="shared" si="154"/>
        <v>#N/A</v>
      </c>
      <c r="AW331" t="e">
        <v>#N/A</v>
      </c>
      <c r="AX331" t="e">
        <v>#N/A</v>
      </c>
      <c r="BG331" t="e">
        <v>#N/A</v>
      </c>
      <c r="BI331" t="e">
        <f t="shared" si="155"/>
        <v>#N/A</v>
      </c>
      <c r="BK331" t="e">
        <f t="shared" si="156"/>
        <v>#N/A</v>
      </c>
      <c r="BL331" t="e">
        <f t="shared" si="157"/>
        <v>#N/A</v>
      </c>
      <c r="BN331" t="e">
        <v>#N/A</v>
      </c>
      <c r="BO331" t="e">
        <v>#N/A</v>
      </c>
      <c r="BX331" t="e">
        <v>#N/A</v>
      </c>
      <c r="BZ331" t="e">
        <f t="shared" si="158"/>
        <v>#N/A</v>
      </c>
      <c r="CB331" t="e">
        <f t="shared" si="161"/>
        <v>#N/A</v>
      </c>
      <c r="CC331" t="e">
        <f t="shared" si="159"/>
        <v>#N/A</v>
      </c>
      <c r="CE331" t="e">
        <v>#N/A</v>
      </c>
      <c r="CF331" t="e">
        <v>#N/A</v>
      </c>
    </row>
    <row r="332" spans="2:84">
      <c r="B332">
        <v>320</v>
      </c>
      <c r="C332" t="e">
        <f>IF(ISNUMBER(K332),IF('Lab test'!N323&gt;0,'Lab test'!N323,NA()),NA())</f>
        <v>#N/A</v>
      </c>
      <c r="D332" t="e">
        <f>IF(ISNUMBER(K332),IF('Lab test'!Q323&gt;0,'Lab test'!Q323,NA()),NA())</f>
        <v>#N/A</v>
      </c>
      <c r="E332" t="e">
        <f>IF(ISNUMBER(K332),IF('Lab test'!P323&gt;0,'Lab test'!P323,NA()),NA())</f>
        <v>#N/A</v>
      </c>
      <c r="F332" t="e">
        <f>IF(ISNUMBER(K332),IF('Lab test'!AJ323&gt;0,'Lab test'!AJ323,NA()),NA())</f>
        <v>#N/A</v>
      </c>
      <c r="G332">
        <f>IF('Lab test'!V323&gt;0,'Lab test'!V323,NA())</f>
        <v>198655.19413000002</v>
      </c>
      <c r="H332">
        <f>IF(MAX('Lab test'!W323,'Lab test'!X323)&gt;0,MAX('Lab test'!W323,'Lab test'!X323),NA())</f>
        <v>275.7903</v>
      </c>
      <c r="I332">
        <f>IF('Lab test'!AU323&gt;0,'Lab test'!AU323,NA())</f>
        <v>0.54499995104976495</v>
      </c>
      <c r="J332">
        <f>IF('Lab test'!AT323&gt;0,'Lab test'!AT323,NA())</f>
        <v>0.12025106294422178</v>
      </c>
      <c r="K332" t="e">
        <f t="shared" si="160"/>
        <v>#N/A</v>
      </c>
      <c r="L332" t="str">
        <f>'Lab test'!AC323</f>
        <v>CLTW</v>
      </c>
      <c r="X332" t="e">
        <v>#N/A</v>
      </c>
      <c r="Z332" t="e">
        <f t="shared" si="150"/>
        <v>#N/A</v>
      </c>
      <c r="AB332" t="e">
        <f t="shared" si="162"/>
        <v>#N/A</v>
      </c>
      <c r="AC332" t="e">
        <f t="shared" si="151"/>
        <v>#N/A</v>
      </c>
      <c r="AE332" t="e">
        <v>#N/A</v>
      </c>
      <c r="AF332" t="e">
        <v>#N/A</v>
      </c>
      <c r="AP332" t="e">
        <v>#N/A</v>
      </c>
      <c r="AR332" t="e">
        <f t="shared" si="152"/>
        <v>#N/A</v>
      </c>
      <c r="AT332" t="e">
        <f t="shared" si="153"/>
        <v>#N/A</v>
      </c>
      <c r="AU332" t="e">
        <f t="shared" si="154"/>
        <v>#N/A</v>
      </c>
      <c r="AW332" t="e">
        <v>#N/A</v>
      </c>
      <c r="AX332" t="e">
        <v>#N/A</v>
      </c>
      <c r="BG332" t="e">
        <v>#N/A</v>
      </c>
      <c r="BI332" t="e">
        <f t="shared" si="155"/>
        <v>#N/A</v>
      </c>
      <c r="BK332" t="e">
        <f t="shared" si="156"/>
        <v>#N/A</v>
      </c>
      <c r="BL332" t="e">
        <f t="shared" si="157"/>
        <v>#N/A</v>
      </c>
      <c r="BN332" t="e">
        <v>#N/A</v>
      </c>
      <c r="BO332" t="e">
        <v>#N/A</v>
      </c>
      <c r="BX332" t="e">
        <v>#N/A</v>
      </c>
      <c r="BZ332" t="e">
        <f t="shared" si="158"/>
        <v>#N/A</v>
      </c>
      <c r="CB332" t="e">
        <f t="shared" si="161"/>
        <v>#N/A</v>
      </c>
      <c r="CC332" t="e">
        <f t="shared" si="159"/>
        <v>#N/A</v>
      </c>
      <c r="CE332" t="e">
        <v>#N/A</v>
      </c>
      <c r="CF332" t="e">
        <v>#N/A</v>
      </c>
    </row>
    <row r="333" spans="2:84">
      <c r="B333">
        <v>321</v>
      </c>
      <c r="C333" t="e">
        <f>IF(ISNUMBER(K333),IF('Lab test'!N324&gt;0,'Lab test'!N324,NA()),NA())</f>
        <v>#N/A</v>
      </c>
      <c r="D333" t="e">
        <f>IF(ISNUMBER(K333),IF('Lab test'!Q324&gt;0,'Lab test'!Q324,NA()),NA())</f>
        <v>#N/A</v>
      </c>
      <c r="E333" t="e">
        <f>IF(ISNUMBER(K333),IF('Lab test'!P324&gt;0,'Lab test'!P324,NA()),NA())</f>
        <v>#N/A</v>
      </c>
      <c r="F333" t="e">
        <f>IF(ISNUMBER(K333),IF('Lab test'!AJ324&gt;0,'Lab test'!AJ324,NA()),NA())</f>
        <v>#N/A</v>
      </c>
      <c r="G333">
        <f>IF('Lab test'!V324&gt;0,'Lab test'!V324,NA())</f>
        <v>215461.16500000001</v>
      </c>
      <c r="H333">
        <f>IF(MAX('Lab test'!W324,'Lab test'!X324)&gt;0,MAX('Lab test'!W324,'Lab test'!X324),NA())</f>
        <v>237.8691</v>
      </c>
      <c r="I333">
        <f>IF('Lab test'!AU324&gt;0,'Lab test'!AU324,NA())</f>
        <v>0.97101473037061137</v>
      </c>
      <c r="J333">
        <f>IF('Lab test'!AT324&gt;0,'Lab test'!AT324,NA())</f>
        <v>8.6051899270541202E-2</v>
      </c>
      <c r="K333" t="e">
        <f t="shared" si="160"/>
        <v>#N/A</v>
      </c>
      <c r="L333" t="str">
        <f>'Lab test'!AC324</f>
        <v>CLTW</v>
      </c>
      <c r="X333" t="e">
        <v>#N/A</v>
      </c>
      <c r="Z333" t="e">
        <f t="shared" ref="Z333:Z396" si="163">IF(X333=X334,NA(),Y333)</f>
        <v>#N/A</v>
      </c>
      <c r="AB333" t="e">
        <f t="shared" si="162"/>
        <v>#N/A</v>
      </c>
      <c r="AC333" t="e">
        <f t="shared" ref="AC333:AC396" si="164">X333</f>
        <v>#N/A</v>
      </c>
      <c r="AE333" t="e">
        <v>#N/A</v>
      </c>
      <c r="AF333" t="e">
        <v>#N/A</v>
      </c>
      <c r="AP333" t="e">
        <v>#N/A</v>
      </c>
      <c r="AR333" t="e">
        <f t="shared" ref="AR333:AR396" si="165">IF(AP333=AP334,NA(),AQ333)</f>
        <v>#N/A</v>
      </c>
      <c r="AT333" t="e">
        <f t="shared" ref="AT333:AT396" si="166">AR333</f>
        <v>#N/A</v>
      </c>
      <c r="AU333" t="e">
        <f t="shared" ref="AU333:AU396" si="167">AP333</f>
        <v>#N/A</v>
      </c>
      <c r="AW333" t="e">
        <v>#N/A</v>
      </c>
      <c r="AX333" t="e">
        <v>#N/A</v>
      </c>
      <c r="BG333" t="e">
        <v>#N/A</v>
      </c>
      <c r="BI333" t="e">
        <f t="shared" ref="BI333:BI396" si="168">IF(BG333=BG334,NA(),BH333)</f>
        <v>#N/A</v>
      </c>
      <c r="BK333" t="e">
        <f t="shared" ref="BK333:BK396" si="169">BI333</f>
        <v>#N/A</v>
      </c>
      <c r="BL333" t="e">
        <f t="shared" ref="BL333:BL396" si="170">BG333</f>
        <v>#N/A</v>
      </c>
      <c r="BN333" t="e">
        <v>#N/A</v>
      </c>
      <c r="BO333" t="e">
        <v>#N/A</v>
      </c>
      <c r="BX333" t="e">
        <v>#N/A</v>
      </c>
      <c r="BZ333" t="e">
        <f t="shared" ref="BZ333:BZ396" si="171">IF(BX333=BX334,NA(),BY333)</f>
        <v>#N/A</v>
      </c>
      <c r="CB333" t="e">
        <f t="shared" si="161"/>
        <v>#N/A</v>
      </c>
      <c r="CC333" t="e">
        <f t="shared" ref="CC333:CC396" si="172">BX333</f>
        <v>#N/A</v>
      </c>
      <c r="CE333" t="e">
        <v>#N/A</v>
      </c>
      <c r="CF333" t="e">
        <v>#N/A</v>
      </c>
    </row>
    <row r="334" spans="2:84">
      <c r="B334">
        <v>322</v>
      </c>
      <c r="C334" t="e">
        <f>IF(ISNUMBER(K334),IF('Lab test'!N325&gt;0,'Lab test'!N325,NA()),NA())</f>
        <v>#N/A</v>
      </c>
      <c r="D334" t="e">
        <f>IF(ISNUMBER(K334),IF('Lab test'!Q325&gt;0,'Lab test'!Q325,NA()),NA())</f>
        <v>#N/A</v>
      </c>
      <c r="E334" t="e">
        <f>IF(ISNUMBER(K334),IF('Lab test'!P325&gt;0,'Lab test'!P325,NA()),NA())</f>
        <v>#N/A</v>
      </c>
      <c r="F334" t="e">
        <f>IF(ISNUMBER(K334),IF('Lab test'!AJ325&gt;0,'Lab test'!AJ325,NA()),NA())</f>
        <v>#N/A</v>
      </c>
      <c r="G334">
        <f>IF('Lab test'!V325&gt;0,'Lab test'!V325,NA())</f>
        <v>215461.16500000001</v>
      </c>
      <c r="H334">
        <f>IF(MAX('Lab test'!W325,'Lab test'!X325)&gt;0,MAX('Lab test'!W325,'Lab test'!X325),NA())</f>
        <v>234.42169999999999</v>
      </c>
      <c r="I334">
        <f>IF('Lab test'!AU325&gt;0,'Lab test'!AU325,NA())</f>
        <v>0.9088237138456039</v>
      </c>
      <c r="J334">
        <f>IF('Lab test'!AT325&gt;0,'Lab test'!AT325,NA())</f>
        <v>7.953423419951508E-2</v>
      </c>
      <c r="K334" t="e">
        <f t="shared" ref="K334:K397" si="173">IF(AND(OR(ISNUMBER(I334),ISNUMBER(J334)),ISNUMBER(G334),ISNUMBER(H334),L334="LTWb"),1,NA())</f>
        <v>#N/A</v>
      </c>
      <c r="L334" t="str">
        <f>'Lab test'!AC325</f>
        <v>CLTW</v>
      </c>
      <c r="X334" t="e">
        <v>#N/A</v>
      </c>
      <c r="Z334" t="e">
        <f t="shared" si="163"/>
        <v>#N/A</v>
      </c>
      <c r="AB334" t="e">
        <f t="shared" si="162"/>
        <v>#N/A</v>
      </c>
      <c r="AC334" t="e">
        <f t="shared" si="164"/>
        <v>#N/A</v>
      </c>
      <c r="AE334" t="e">
        <v>#N/A</v>
      </c>
      <c r="AF334" t="e">
        <v>#N/A</v>
      </c>
      <c r="AP334" t="e">
        <v>#N/A</v>
      </c>
      <c r="AR334" t="e">
        <f t="shared" si="165"/>
        <v>#N/A</v>
      </c>
      <c r="AT334" t="e">
        <f t="shared" si="166"/>
        <v>#N/A</v>
      </c>
      <c r="AU334" t="e">
        <f t="shared" si="167"/>
        <v>#N/A</v>
      </c>
      <c r="AW334" t="e">
        <v>#N/A</v>
      </c>
      <c r="AX334" t="e">
        <v>#N/A</v>
      </c>
      <c r="BG334" t="e">
        <v>#N/A</v>
      </c>
      <c r="BI334" t="e">
        <f t="shared" si="168"/>
        <v>#N/A</v>
      </c>
      <c r="BK334" t="e">
        <f t="shared" si="169"/>
        <v>#N/A</v>
      </c>
      <c r="BL334" t="e">
        <f t="shared" si="170"/>
        <v>#N/A</v>
      </c>
      <c r="BN334" t="e">
        <v>#N/A</v>
      </c>
      <c r="BO334" t="e">
        <v>#N/A</v>
      </c>
      <c r="BX334" t="e">
        <v>#N/A</v>
      </c>
      <c r="BZ334" t="e">
        <f t="shared" si="171"/>
        <v>#N/A</v>
      </c>
      <c r="CB334" t="e">
        <f t="shared" si="161"/>
        <v>#N/A</v>
      </c>
      <c r="CC334" t="e">
        <f t="shared" si="172"/>
        <v>#N/A</v>
      </c>
      <c r="CE334" t="e">
        <v>#N/A</v>
      </c>
      <c r="CF334" t="e">
        <v>#N/A</v>
      </c>
    </row>
    <row r="335" spans="2:84">
      <c r="B335">
        <v>323</v>
      </c>
      <c r="C335" t="e">
        <f>IF(ISNUMBER(K335),IF('Lab test'!N326&gt;0,'Lab test'!N326,NA()),NA())</f>
        <v>#N/A</v>
      </c>
      <c r="D335" t="e">
        <f>IF(ISNUMBER(K335),IF('Lab test'!Q326&gt;0,'Lab test'!Q326,NA()),NA())</f>
        <v>#N/A</v>
      </c>
      <c r="E335" t="e">
        <f>IF(ISNUMBER(K335),IF('Lab test'!P326&gt;0,'Lab test'!P326,NA()),NA())</f>
        <v>#N/A</v>
      </c>
      <c r="F335" t="e">
        <f>IF(ISNUMBER(K335),IF('Lab test'!AJ326&gt;0,'Lab test'!AJ326,NA()),NA())</f>
        <v>#N/A</v>
      </c>
      <c r="G335">
        <f>IF('Lab test'!V326&gt;0,'Lab test'!V326,NA())</f>
        <v>193709.84739047621</v>
      </c>
      <c r="H335">
        <f>IF(MAX('Lab test'!W326,'Lab test'!X326)&gt;0,MAX('Lab test'!W326,'Lab test'!X326),NA())</f>
        <v>220.63220000000001</v>
      </c>
      <c r="I335">
        <f>IF('Lab test'!AU326&gt;0,'Lab test'!AU326,NA())</f>
        <v>0.77187509348136851</v>
      </c>
      <c r="J335">
        <f>IF('Lab test'!AT326&gt;0,'Lab test'!AT326,NA())</f>
        <v>7.632402556224846E-2</v>
      </c>
      <c r="K335" t="e">
        <f t="shared" si="173"/>
        <v>#N/A</v>
      </c>
      <c r="L335" t="str">
        <f>'Lab test'!AC326</f>
        <v>CLTW</v>
      </c>
      <c r="X335" t="e">
        <v>#N/A</v>
      </c>
      <c r="Z335" t="e">
        <f t="shared" si="163"/>
        <v>#N/A</v>
      </c>
      <c r="AB335" t="e">
        <f t="shared" si="162"/>
        <v>#N/A</v>
      </c>
      <c r="AC335" t="e">
        <f t="shared" si="164"/>
        <v>#N/A</v>
      </c>
      <c r="AE335" t="e">
        <v>#N/A</v>
      </c>
      <c r="AF335" t="e">
        <v>#N/A</v>
      </c>
      <c r="AP335" t="e">
        <v>#N/A</v>
      </c>
      <c r="AR335" t="e">
        <f t="shared" si="165"/>
        <v>#N/A</v>
      </c>
      <c r="AT335" t="e">
        <f t="shared" si="166"/>
        <v>#N/A</v>
      </c>
      <c r="AU335" t="e">
        <f t="shared" si="167"/>
        <v>#N/A</v>
      </c>
      <c r="AW335" t="e">
        <v>#N/A</v>
      </c>
      <c r="AX335" t="e">
        <v>#N/A</v>
      </c>
      <c r="BG335" t="e">
        <v>#N/A</v>
      </c>
      <c r="BI335" t="e">
        <f t="shared" si="168"/>
        <v>#N/A</v>
      </c>
      <c r="BK335" t="e">
        <f t="shared" si="169"/>
        <v>#N/A</v>
      </c>
      <c r="BL335" t="e">
        <f t="shared" si="170"/>
        <v>#N/A</v>
      </c>
      <c r="BN335" t="e">
        <v>#N/A</v>
      </c>
      <c r="BO335" t="e">
        <v>#N/A</v>
      </c>
      <c r="BX335" t="e">
        <v>#N/A</v>
      </c>
      <c r="BZ335" t="e">
        <f t="shared" si="171"/>
        <v>#N/A</v>
      </c>
      <c r="CB335" t="e">
        <f t="shared" si="161"/>
        <v>#N/A</v>
      </c>
      <c r="CC335" t="e">
        <f t="shared" si="172"/>
        <v>#N/A</v>
      </c>
      <c r="CE335" t="e">
        <v>#N/A</v>
      </c>
      <c r="CF335" t="e">
        <v>#N/A</v>
      </c>
    </row>
    <row r="336" spans="2:84">
      <c r="B336">
        <v>324</v>
      </c>
      <c r="C336" t="e">
        <f>IF(ISNUMBER(K336),IF('Lab test'!N327&gt;0,'Lab test'!N327,NA()),NA())</f>
        <v>#N/A</v>
      </c>
      <c r="D336" t="e">
        <f>IF(ISNUMBER(K336),IF('Lab test'!Q327&gt;0,'Lab test'!Q327,NA()),NA())</f>
        <v>#N/A</v>
      </c>
      <c r="E336" t="e">
        <f>IF(ISNUMBER(K336),IF('Lab test'!P327&gt;0,'Lab test'!P327,NA()),NA())</f>
        <v>#N/A</v>
      </c>
      <c r="F336" t="e">
        <f>IF(ISNUMBER(K336),IF('Lab test'!AJ327&gt;0,'Lab test'!AJ327,NA()),NA())</f>
        <v>#N/A</v>
      </c>
      <c r="G336">
        <f>IF('Lab test'!V327&gt;0,'Lab test'!V327,NA())</f>
        <v>193709.84739047621</v>
      </c>
      <c r="H336">
        <f>IF(MAX('Lab test'!W327,'Lab test'!X327)&gt;0,MAX('Lab test'!W327,'Lab test'!X327),NA())</f>
        <v>234.42169999999999</v>
      </c>
      <c r="I336">
        <f>IF('Lab test'!AU327&gt;0,'Lab test'!AU327,NA())</f>
        <v>0.72941199556184444</v>
      </c>
      <c r="J336">
        <f>IF('Lab test'!AT327&gt;0,'Lab test'!AT327,NA())</f>
        <v>7.6633040601107247E-2</v>
      </c>
      <c r="K336" t="e">
        <f t="shared" si="173"/>
        <v>#N/A</v>
      </c>
      <c r="L336" t="str">
        <f>'Lab test'!AC327</f>
        <v>CLTW</v>
      </c>
      <c r="X336" t="e">
        <v>#N/A</v>
      </c>
      <c r="Z336" t="e">
        <f t="shared" si="163"/>
        <v>#N/A</v>
      </c>
      <c r="AB336" t="e">
        <f t="shared" si="162"/>
        <v>#N/A</v>
      </c>
      <c r="AC336" t="e">
        <f t="shared" si="164"/>
        <v>#N/A</v>
      </c>
      <c r="AE336" t="e">
        <v>#N/A</v>
      </c>
      <c r="AF336" t="e">
        <v>#N/A</v>
      </c>
      <c r="AP336" t="e">
        <v>#N/A</v>
      </c>
      <c r="AR336" t="e">
        <f t="shared" si="165"/>
        <v>#N/A</v>
      </c>
      <c r="AT336" t="e">
        <f t="shared" si="166"/>
        <v>#N/A</v>
      </c>
      <c r="AU336" t="e">
        <f t="shared" si="167"/>
        <v>#N/A</v>
      </c>
      <c r="AW336" t="e">
        <v>#N/A</v>
      </c>
      <c r="AX336" t="e">
        <v>#N/A</v>
      </c>
      <c r="BG336" t="e">
        <v>#N/A</v>
      </c>
      <c r="BI336" t="e">
        <f t="shared" si="168"/>
        <v>#N/A</v>
      </c>
      <c r="BK336" t="e">
        <f t="shared" si="169"/>
        <v>#N/A</v>
      </c>
      <c r="BL336" t="e">
        <f t="shared" si="170"/>
        <v>#N/A</v>
      </c>
      <c r="BN336" t="e">
        <v>#N/A</v>
      </c>
      <c r="BO336" t="e">
        <v>#N/A</v>
      </c>
      <c r="BX336" t="e">
        <v>#N/A</v>
      </c>
      <c r="BZ336" t="e">
        <f t="shared" si="171"/>
        <v>#N/A</v>
      </c>
      <c r="CB336" t="e">
        <f t="shared" si="161"/>
        <v>#N/A</v>
      </c>
      <c r="CC336" t="e">
        <f t="shared" si="172"/>
        <v>#N/A</v>
      </c>
      <c r="CE336" t="e">
        <v>#N/A</v>
      </c>
      <c r="CF336" t="e">
        <v>#N/A</v>
      </c>
    </row>
    <row r="337" spans="2:84">
      <c r="B337">
        <v>325</v>
      </c>
      <c r="C337" t="e">
        <f>IF(ISNUMBER(K337),IF('Lab test'!N328&gt;0,'Lab test'!N328,NA()),NA())</f>
        <v>#N/A</v>
      </c>
      <c r="D337" t="e">
        <f>IF(ISNUMBER(K337),IF('Lab test'!Q328&gt;0,'Lab test'!Q328,NA()),NA())</f>
        <v>#N/A</v>
      </c>
      <c r="E337" t="e">
        <f>IF(ISNUMBER(K337),IF('Lab test'!P328&gt;0,'Lab test'!P328,NA()),NA())</f>
        <v>#N/A</v>
      </c>
      <c r="F337" t="e">
        <f>IF(ISNUMBER(K337),IF('Lab test'!AJ328&gt;0,'Lab test'!AJ328,NA()),NA())</f>
        <v>#N/A</v>
      </c>
      <c r="G337">
        <f>IF('Lab test'!V328&gt;0,'Lab test'!V328,NA())</f>
        <v>184407.39709206353</v>
      </c>
      <c r="H337">
        <f>IF(MAX('Lab test'!W328,'Lab test'!X328)&gt;0,MAX('Lab test'!W328,'Lab test'!X328),NA())</f>
        <v>220.63220000000001</v>
      </c>
      <c r="I337">
        <f>IF('Lab test'!AU328&gt;0,'Lab test'!AU328,NA())</f>
        <v>1.0859375920649841</v>
      </c>
      <c r="J337">
        <f>IF('Lab test'!AT328&gt;0,'Lab test'!AT328,NA())</f>
        <v>7.5401556039258216E-2</v>
      </c>
      <c r="K337" t="e">
        <f t="shared" si="173"/>
        <v>#N/A</v>
      </c>
      <c r="L337" t="str">
        <f>'Lab test'!AC328</f>
        <v>CLTW</v>
      </c>
      <c r="X337" t="e">
        <v>#N/A</v>
      </c>
      <c r="Z337" t="e">
        <f t="shared" si="163"/>
        <v>#N/A</v>
      </c>
      <c r="AB337" t="e">
        <f t="shared" si="162"/>
        <v>#N/A</v>
      </c>
      <c r="AC337" t="e">
        <f t="shared" si="164"/>
        <v>#N/A</v>
      </c>
      <c r="AE337" t="e">
        <v>#N/A</v>
      </c>
      <c r="AF337" t="e">
        <v>#N/A</v>
      </c>
      <c r="AP337" t="e">
        <v>#N/A</v>
      </c>
      <c r="AR337" t="e">
        <f t="shared" si="165"/>
        <v>#N/A</v>
      </c>
      <c r="AT337" t="e">
        <f t="shared" si="166"/>
        <v>#N/A</v>
      </c>
      <c r="AU337" t="e">
        <f t="shared" si="167"/>
        <v>#N/A</v>
      </c>
      <c r="AW337" t="e">
        <v>#N/A</v>
      </c>
      <c r="AX337" t="e">
        <v>#N/A</v>
      </c>
      <c r="BG337" t="e">
        <v>#N/A</v>
      </c>
      <c r="BI337" t="e">
        <f t="shared" si="168"/>
        <v>#N/A</v>
      </c>
      <c r="BK337" t="e">
        <f t="shared" si="169"/>
        <v>#N/A</v>
      </c>
      <c r="BL337" t="e">
        <f t="shared" si="170"/>
        <v>#N/A</v>
      </c>
      <c r="BN337" t="e">
        <v>#N/A</v>
      </c>
      <c r="BO337" t="e">
        <v>#N/A</v>
      </c>
      <c r="BX337" t="e">
        <v>#N/A</v>
      </c>
      <c r="BZ337" t="e">
        <f t="shared" si="171"/>
        <v>#N/A</v>
      </c>
      <c r="CB337" t="e">
        <f t="shared" si="161"/>
        <v>#N/A</v>
      </c>
      <c r="CC337" t="e">
        <f t="shared" si="172"/>
        <v>#N/A</v>
      </c>
      <c r="CE337" t="e">
        <v>#N/A</v>
      </c>
      <c r="CF337" t="e">
        <v>#N/A</v>
      </c>
    </row>
    <row r="338" spans="2:84">
      <c r="B338">
        <v>326</v>
      </c>
      <c r="C338" t="e">
        <f>IF(ISNUMBER(K338),IF('Lab test'!N329&gt;0,'Lab test'!N329,NA()),NA())</f>
        <v>#N/A</v>
      </c>
      <c r="D338" t="e">
        <f>IF(ISNUMBER(K338),IF('Lab test'!Q329&gt;0,'Lab test'!Q329,NA()),NA())</f>
        <v>#N/A</v>
      </c>
      <c r="E338" t="e">
        <f>IF(ISNUMBER(K338),IF('Lab test'!P329&gt;0,'Lab test'!P329,NA()),NA())</f>
        <v>#N/A</v>
      </c>
      <c r="F338" t="e">
        <f>IF(ISNUMBER(K338),IF('Lab test'!AJ329&gt;0,'Lab test'!AJ329,NA()),NA())</f>
        <v>#N/A</v>
      </c>
      <c r="G338">
        <f>IF('Lab test'!V329&gt;0,'Lab test'!V329,NA())</f>
        <v>184407.39709206353</v>
      </c>
      <c r="H338">
        <f>IF(MAX('Lab test'!W329,'Lab test'!X329)&gt;0,MAX('Lab test'!W329,'Lab test'!X329),NA())</f>
        <v>224.0796</v>
      </c>
      <c r="I338">
        <f>IF('Lab test'!AU329&gt;0,'Lab test'!AU329,NA())</f>
        <v>1.1243076121164086</v>
      </c>
      <c r="J338">
        <f>IF('Lab test'!AT329&gt;0,'Lab test'!AT329,NA())</f>
        <v>7.8155201402365912E-2</v>
      </c>
      <c r="K338" t="e">
        <f t="shared" si="173"/>
        <v>#N/A</v>
      </c>
      <c r="L338" t="str">
        <f>'Lab test'!AC329</f>
        <v>CLTW</v>
      </c>
      <c r="X338" t="e">
        <v>#N/A</v>
      </c>
      <c r="Z338" t="e">
        <f t="shared" si="163"/>
        <v>#N/A</v>
      </c>
      <c r="AB338" t="e">
        <f t="shared" si="162"/>
        <v>#N/A</v>
      </c>
      <c r="AC338" t="e">
        <f t="shared" si="164"/>
        <v>#N/A</v>
      </c>
      <c r="AE338" t="e">
        <v>#N/A</v>
      </c>
      <c r="AF338" t="e">
        <v>#N/A</v>
      </c>
      <c r="AP338" t="e">
        <v>#N/A</v>
      </c>
      <c r="AR338" t="e">
        <f t="shared" si="165"/>
        <v>#N/A</v>
      </c>
      <c r="AT338" t="e">
        <f t="shared" si="166"/>
        <v>#N/A</v>
      </c>
      <c r="AU338" t="e">
        <f t="shared" si="167"/>
        <v>#N/A</v>
      </c>
      <c r="AW338" t="e">
        <v>#N/A</v>
      </c>
      <c r="AX338" t="e">
        <v>#N/A</v>
      </c>
      <c r="BG338" t="e">
        <v>#N/A</v>
      </c>
      <c r="BI338" t="e">
        <f t="shared" si="168"/>
        <v>#N/A</v>
      </c>
      <c r="BK338" t="e">
        <f t="shared" si="169"/>
        <v>#N/A</v>
      </c>
      <c r="BL338" t="e">
        <f t="shared" si="170"/>
        <v>#N/A</v>
      </c>
      <c r="BN338" t="e">
        <v>#N/A</v>
      </c>
      <c r="BO338" t="e">
        <v>#N/A</v>
      </c>
      <c r="BX338" t="e">
        <v>#N/A</v>
      </c>
      <c r="BZ338" t="e">
        <f t="shared" si="171"/>
        <v>#N/A</v>
      </c>
      <c r="CB338" t="e">
        <f t="shared" si="161"/>
        <v>#N/A</v>
      </c>
      <c r="CC338" t="e">
        <f t="shared" si="172"/>
        <v>#N/A</v>
      </c>
      <c r="CE338" t="e">
        <v>#N/A</v>
      </c>
      <c r="CF338" t="e">
        <v>#N/A</v>
      </c>
    </row>
    <row r="339" spans="2:84">
      <c r="B339">
        <v>327</v>
      </c>
      <c r="C339" t="e">
        <f>IF(ISNUMBER(K339),IF('Lab test'!N330&gt;0,'Lab test'!N330,NA()),NA())</f>
        <v>#N/A</v>
      </c>
      <c r="D339" t="e">
        <f>IF(ISNUMBER(K339),IF('Lab test'!Q330&gt;0,'Lab test'!Q330,NA()),NA())</f>
        <v>#N/A</v>
      </c>
      <c r="E339" t="e">
        <f>IF(ISNUMBER(K339),IF('Lab test'!P330&gt;0,'Lab test'!P330,NA()),NA())</f>
        <v>#N/A</v>
      </c>
      <c r="F339" t="e">
        <f>IF(ISNUMBER(K339),IF('Lab test'!AJ330&gt;0,'Lab test'!AJ330,NA()),NA())</f>
        <v>#N/A</v>
      </c>
      <c r="G339">
        <f>IF('Lab test'!V330&gt;0,'Lab test'!V330,NA())</f>
        <v>179838.25238666666</v>
      </c>
      <c r="H339">
        <f>IF(MAX('Lab test'!W330,'Lab test'!X330)&gt;0,MAX('Lab test'!W330,'Lab test'!X330),NA())</f>
        <v>220.63220000000001</v>
      </c>
      <c r="I339">
        <f>IF('Lab test'!AU330&gt;0,'Lab test'!AU330,NA())</f>
        <v>0.95593752861096426</v>
      </c>
      <c r="J339">
        <f>IF('Lab test'!AT330&gt;0,'Lab test'!AT330,NA())</f>
        <v>0.12603249466126315</v>
      </c>
      <c r="K339" t="e">
        <f t="shared" si="173"/>
        <v>#N/A</v>
      </c>
      <c r="L339" t="str">
        <f>'Lab test'!AC330</f>
        <v>CLTW</v>
      </c>
      <c r="X339" t="e">
        <v>#N/A</v>
      </c>
      <c r="Z339" t="e">
        <f t="shared" si="163"/>
        <v>#N/A</v>
      </c>
      <c r="AB339" t="e">
        <f t="shared" si="162"/>
        <v>#N/A</v>
      </c>
      <c r="AC339" t="e">
        <f t="shared" si="164"/>
        <v>#N/A</v>
      </c>
      <c r="AE339" t="e">
        <v>#N/A</v>
      </c>
      <c r="AF339" t="e">
        <v>#N/A</v>
      </c>
      <c r="AP339" t="e">
        <v>#N/A</v>
      </c>
      <c r="AR339" t="e">
        <f t="shared" si="165"/>
        <v>#N/A</v>
      </c>
      <c r="AT339" t="e">
        <f t="shared" si="166"/>
        <v>#N/A</v>
      </c>
      <c r="AU339" t="e">
        <f t="shared" si="167"/>
        <v>#N/A</v>
      </c>
      <c r="AW339" t="e">
        <v>#N/A</v>
      </c>
      <c r="AX339" t="e">
        <v>#N/A</v>
      </c>
      <c r="BG339" t="e">
        <v>#N/A</v>
      </c>
      <c r="BI339" t="e">
        <f t="shared" si="168"/>
        <v>#N/A</v>
      </c>
      <c r="BK339" t="e">
        <f t="shared" si="169"/>
        <v>#N/A</v>
      </c>
      <c r="BL339" t="e">
        <f t="shared" si="170"/>
        <v>#N/A</v>
      </c>
      <c r="BN339" t="e">
        <v>#N/A</v>
      </c>
      <c r="BO339" t="e">
        <v>#N/A</v>
      </c>
      <c r="BX339" t="e">
        <v>#N/A</v>
      </c>
      <c r="BZ339" t="e">
        <f t="shared" si="171"/>
        <v>#N/A</v>
      </c>
      <c r="CB339" t="e">
        <f t="shared" si="161"/>
        <v>#N/A</v>
      </c>
      <c r="CC339" t="e">
        <f t="shared" si="172"/>
        <v>#N/A</v>
      </c>
      <c r="CE339" t="e">
        <v>#N/A</v>
      </c>
      <c r="CF339" t="e">
        <v>#N/A</v>
      </c>
    </row>
    <row r="340" spans="2:84">
      <c r="B340">
        <v>328</v>
      </c>
      <c r="C340" t="e">
        <f>IF(ISNUMBER(K340),IF('Lab test'!N331&gt;0,'Lab test'!N331,NA()),NA())</f>
        <v>#N/A</v>
      </c>
      <c r="D340" t="e">
        <f>IF(ISNUMBER(K340),IF('Lab test'!Q331&gt;0,'Lab test'!Q331,NA()),NA())</f>
        <v>#N/A</v>
      </c>
      <c r="E340" t="e">
        <f>IF(ISNUMBER(K340),IF('Lab test'!P331&gt;0,'Lab test'!P331,NA()),NA())</f>
        <v>#N/A</v>
      </c>
      <c r="F340" t="e">
        <f>IF(ISNUMBER(K340),IF('Lab test'!AJ331&gt;0,'Lab test'!AJ331,NA()),NA())</f>
        <v>#N/A</v>
      </c>
      <c r="G340">
        <f>IF('Lab test'!V331&gt;0,'Lab test'!V331,NA())</f>
        <v>179838.25238666666</v>
      </c>
      <c r="H340">
        <f>IF(MAX('Lab test'!W331,'Lab test'!X331)&gt;0,MAX('Lab test'!W331,'Lab test'!X331),NA())</f>
        <v>227.52699999999999</v>
      </c>
      <c r="I340">
        <f>IF('Lab test'!AU331&gt;0,'Lab test'!AU331,NA())</f>
        <v>0.95484843557028409</v>
      </c>
      <c r="J340">
        <f>IF('Lab test'!AT331&gt;0,'Lab test'!AT331,NA())</f>
        <v>0.13053044207686629</v>
      </c>
      <c r="K340" t="e">
        <f t="shared" si="173"/>
        <v>#N/A</v>
      </c>
      <c r="L340" t="str">
        <f>'Lab test'!AC331</f>
        <v>CLTW</v>
      </c>
      <c r="X340" t="e">
        <v>#N/A</v>
      </c>
      <c r="Z340" t="e">
        <f t="shared" si="163"/>
        <v>#N/A</v>
      </c>
      <c r="AB340" t="e">
        <f t="shared" si="162"/>
        <v>#N/A</v>
      </c>
      <c r="AC340" t="e">
        <f t="shared" si="164"/>
        <v>#N/A</v>
      </c>
      <c r="AE340" t="e">
        <v>#N/A</v>
      </c>
      <c r="AF340" t="e">
        <v>#N/A</v>
      </c>
      <c r="AP340" t="e">
        <v>#N/A</v>
      </c>
      <c r="AR340" t="e">
        <f t="shared" si="165"/>
        <v>#N/A</v>
      </c>
      <c r="AT340" t="e">
        <f t="shared" si="166"/>
        <v>#N/A</v>
      </c>
      <c r="AU340" t="e">
        <f t="shared" si="167"/>
        <v>#N/A</v>
      </c>
      <c r="AW340" t="e">
        <v>#N/A</v>
      </c>
      <c r="AX340" t="e">
        <v>#N/A</v>
      </c>
      <c r="BG340" t="e">
        <v>#N/A</v>
      </c>
      <c r="BI340" t="e">
        <f t="shared" si="168"/>
        <v>#N/A</v>
      </c>
      <c r="BK340" t="e">
        <f t="shared" si="169"/>
        <v>#N/A</v>
      </c>
      <c r="BL340" t="e">
        <f t="shared" si="170"/>
        <v>#N/A</v>
      </c>
      <c r="BN340" t="e">
        <v>#N/A</v>
      </c>
      <c r="BO340" t="e">
        <v>#N/A</v>
      </c>
      <c r="BX340" t="e">
        <v>#N/A</v>
      </c>
      <c r="BZ340" t="e">
        <f t="shared" si="171"/>
        <v>#N/A</v>
      </c>
      <c r="CB340" t="e">
        <f t="shared" ref="CB340:CB403" si="174">BZ340</f>
        <v>#N/A</v>
      </c>
      <c r="CC340" t="e">
        <f t="shared" si="172"/>
        <v>#N/A</v>
      </c>
      <c r="CE340" t="e">
        <v>#N/A</v>
      </c>
      <c r="CF340" t="e">
        <v>#N/A</v>
      </c>
    </row>
    <row r="341" spans="2:84">
      <c r="B341">
        <v>329</v>
      </c>
      <c r="C341" t="e">
        <f>IF(ISNUMBER(K341),IF('Lab test'!N332&gt;0,'Lab test'!N332,NA()),NA())</f>
        <v>#N/A</v>
      </c>
      <c r="D341" t="e">
        <f>IF(ISNUMBER(K341),IF('Lab test'!Q332&gt;0,'Lab test'!Q332,NA()),NA())</f>
        <v>#N/A</v>
      </c>
      <c r="E341" t="e">
        <f>IF(ISNUMBER(K341),IF('Lab test'!P332&gt;0,'Lab test'!P332,NA()),NA())</f>
        <v>#N/A</v>
      </c>
      <c r="F341" t="e">
        <f>IF(ISNUMBER(K341),IF('Lab test'!AJ332&gt;0,'Lab test'!AJ332,NA()),NA())</f>
        <v>#N/A</v>
      </c>
      <c r="G341">
        <f>IF('Lab test'!V332&gt;0,'Lab test'!V332,NA())</f>
        <v>211439.22325333333</v>
      </c>
      <c r="H341">
        <f>IF(MAX('Lab test'!W332,'Lab test'!X332)&gt;0,MAX('Lab test'!W332,'Lab test'!X332),NA())</f>
        <v>279.23770000000002</v>
      </c>
      <c r="I341">
        <f>IF('Lab test'!AU332&gt;0,'Lab test'!AU332,NA())</f>
        <v>0.72765425298947806</v>
      </c>
      <c r="J341">
        <f>IF('Lab test'!AT332&gt;0,'Lab test'!AT332,NA())</f>
        <v>0.15490699443535211</v>
      </c>
      <c r="K341" t="e">
        <f t="shared" si="173"/>
        <v>#N/A</v>
      </c>
      <c r="L341" t="str">
        <f>'Lab test'!AC332</f>
        <v>CLTW</v>
      </c>
      <c r="X341" t="e">
        <v>#N/A</v>
      </c>
      <c r="Z341" t="e">
        <f t="shared" si="163"/>
        <v>#N/A</v>
      </c>
      <c r="AB341" t="e">
        <f t="shared" si="162"/>
        <v>#N/A</v>
      </c>
      <c r="AC341" t="e">
        <f t="shared" si="164"/>
        <v>#N/A</v>
      </c>
      <c r="AE341" t="e">
        <v>#N/A</v>
      </c>
      <c r="AF341" t="e">
        <v>#N/A</v>
      </c>
      <c r="AP341" t="e">
        <v>#N/A</v>
      </c>
      <c r="AR341" t="e">
        <f t="shared" si="165"/>
        <v>#N/A</v>
      </c>
      <c r="AT341" t="e">
        <f t="shared" si="166"/>
        <v>#N/A</v>
      </c>
      <c r="AU341" t="e">
        <f t="shared" si="167"/>
        <v>#N/A</v>
      </c>
      <c r="AW341" t="e">
        <v>#N/A</v>
      </c>
      <c r="AX341" t="e">
        <v>#N/A</v>
      </c>
      <c r="BG341" t="e">
        <v>#N/A</v>
      </c>
      <c r="BI341" t="e">
        <f t="shared" si="168"/>
        <v>#N/A</v>
      </c>
      <c r="BK341" t="e">
        <f t="shared" si="169"/>
        <v>#N/A</v>
      </c>
      <c r="BL341" t="e">
        <f t="shared" si="170"/>
        <v>#N/A</v>
      </c>
      <c r="BN341" t="e">
        <v>#N/A</v>
      </c>
      <c r="BO341" t="e">
        <v>#N/A</v>
      </c>
      <c r="BX341" t="e">
        <v>#N/A</v>
      </c>
      <c r="BZ341" t="e">
        <f t="shared" si="171"/>
        <v>#N/A</v>
      </c>
      <c r="CB341" t="e">
        <f t="shared" si="174"/>
        <v>#N/A</v>
      </c>
      <c r="CC341" t="e">
        <f t="shared" si="172"/>
        <v>#N/A</v>
      </c>
      <c r="CE341" t="e">
        <v>#N/A</v>
      </c>
      <c r="CF341" t="e">
        <v>#N/A</v>
      </c>
    </row>
    <row r="342" spans="2:84">
      <c r="B342">
        <v>330</v>
      </c>
      <c r="C342" t="e">
        <f>IF(ISNUMBER(K342),IF('Lab test'!N333&gt;0,'Lab test'!N333,NA()),NA())</f>
        <v>#N/A</v>
      </c>
      <c r="D342" t="e">
        <f>IF(ISNUMBER(K342),IF('Lab test'!Q333&gt;0,'Lab test'!Q333,NA()),NA())</f>
        <v>#N/A</v>
      </c>
      <c r="E342" t="e">
        <f>IF(ISNUMBER(K342),IF('Lab test'!P333&gt;0,'Lab test'!P333,NA()),NA())</f>
        <v>#N/A</v>
      </c>
      <c r="F342" t="e">
        <f>IF(ISNUMBER(K342),IF('Lab test'!AJ333&gt;0,'Lab test'!AJ333,NA()),NA())</f>
        <v>#N/A</v>
      </c>
      <c r="G342">
        <f>IF('Lab test'!V333&gt;0,'Lab test'!V333,NA())</f>
        <v>211439.22325333333</v>
      </c>
      <c r="H342">
        <f>IF(MAX('Lab test'!W333,'Lab test'!X333)&gt;0,MAX('Lab test'!W333,'Lab test'!X333),NA())</f>
        <v>273.0324</v>
      </c>
      <c r="I342">
        <f>IF('Lab test'!AU333&gt;0,'Lab test'!AU333,NA())</f>
        <v>0.79898979022269889</v>
      </c>
      <c r="J342">
        <f>IF('Lab test'!AT333&gt;0,'Lab test'!AT333,NA())</f>
        <v>0.16365241490312282</v>
      </c>
      <c r="K342" t="e">
        <f t="shared" si="173"/>
        <v>#N/A</v>
      </c>
      <c r="L342" t="str">
        <f>'Lab test'!AC333</f>
        <v>CLTW</v>
      </c>
      <c r="X342" t="e">
        <v>#N/A</v>
      </c>
      <c r="Z342" t="e">
        <f t="shared" si="163"/>
        <v>#N/A</v>
      </c>
      <c r="AB342" t="e">
        <f t="shared" si="162"/>
        <v>#N/A</v>
      </c>
      <c r="AC342" t="e">
        <f t="shared" si="164"/>
        <v>#N/A</v>
      </c>
      <c r="AE342" t="e">
        <v>#N/A</v>
      </c>
      <c r="AF342" t="e">
        <v>#N/A</v>
      </c>
      <c r="AP342" t="e">
        <v>#N/A</v>
      </c>
      <c r="AR342" t="e">
        <f t="shared" si="165"/>
        <v>#N/A</v>
      </c>
      <c r="AT342" t="e">
        <f t="shared" si="166"/>
        <v>#N/A</v>
      </c>
      <c r="AU342" t="e">
        <f t="shared" si="167"/>
        <v>#N/A</v>
      </c>
      <c r="AW342" t="e">
        <v>#N/A</v>
      </c>
      <c r="AX342" t="e">
        <v>#N/A</v>
      </c>
      <c r="BG342" t="e">
        <v>#N/A</v>
      </c>
      <c r="BI342" t="e">
        <f t="shared" si="168"/>
        <v>#N/A</v>
      </c>
      <c r="BK342" t="e">
        <f t="shared" si="169"/>
        <v>#N/A</v>
      </c>
      <c r="BL342" t="e">
        <f t="shared" si="170"/>
        <v>#N/A</v>
      </c>
      <c r="BN342" t="e">
        <v>#N/A</v>
      </c>
      <c r="BO342" t="e">
        <v>#N/A</v>
      </c>
      <c r="BX342" t="e">
        <v>#N/A</v>
      </c>
      <c r="BZ342" t="e">
        <f t="shared" si="171"/>
        <v>#N/A</v>
      </c>
      <c r="CB342" t="e">
        <f t="shared" si="174"/>
        <v>#N/A</v>
      </c>
      <c r="CC342" t="e">
        <f t="shared" si="172"/>
        <v>#N/A</v>
      </c>
      <c r="CE342" t="e">
        <v>#N/A</v>
      </c>
      <c r="CF342" t="e">
        <v>#N/A</v>
      </c>
    </row>
    <row r="343" spans="2:84">
      <c r="B343">
        <v>331</v>
      </c>
      <c r="C343">
        <f>IF(ISNUMBER(K343),IF('Lab test'!N334&gt;0,'Lab test'!N334,NA()),NA())</f>
        <v>381</v>
      </c>
      <c r="D343">
        <f>IF(ISNUMBER(K343),IF('Lab test'!Q334&gt;0,'Lab test'!Q334,NA()),NA())</f>
        <v>1294.3274968148473</v>
      </c>
      <c r="E343">
        <f>IF(ISNUMBER(K343),IF('Lab test'!P334&gt;0,'Lab test'!P334,NA()),NA())</f>
        <v>6.9489297296079994E-3</v>
      </c>
      <c r="F343">
        <f>IF(ISNUMBER(K343),IF('Lab test'!AJ334&gt;0,'Lab test'!AJ334,NA()),NA())</f>
        <v>3.3333333333333333E-2</v>
      </c>
      <c r="G343">
        <f>IF('Lab test'!V334&gt;0,'Lab test'!V334,NA())</f>
        <v>72705.215656460379</v>
      </c>
      <c r="H343">
        <f>IF(MAX('Lab test'!W334,'Lab test'!X334)&gt;0,MAX('Lab test'!W334,'Lab test'!X334),NA())</f>
        <v>253.72706838859571</v>
      </c>
      <c r="I343">
        <f>IF('Lab test'!AU334&gt;0,'Lab test'!AU334,NA())</f>
        <v>5.730978260869566E-2</v>
      </c>
      <c r="J343">
        <f>IF('Lab test'!AT334&gt;0,'Lab test'!AT334,NA())</f>
        <v>0.42771599999999999</v>
      </c>
      <c r="K343">
        <f t="shared" si="173"/>
        <v>1</v>
      </c>
      <c r="L343" t="str">
        <f>'Lab test'!AC334</f>
        <v>LTWb</v>
      </c>
      <c r="X343" t="e">
        <v>#N/A</v>
      </c>
      <c r="Z343" t="e">
        <f t="shared" si="163"/>
        <v>#N/A</v>
      </c>
      <c r="AB343" t="e">
        <f t="shared" si="162"/>
        <v>#N/A</v>
      </c>
      <c r="AC343" t="e">
        <f t="shared" si="164"/>
        <v>#N/A</v>
      </c>
      <c r="AE343" t="e">
        <v>#N/A</v>
      </c>
      <c r="AF343" t="e">
        <v>#N/A</v>
      </c>
      <c r="AP343" t="e">
        <v>#N/A</v>
      </c>
      <c r="AR343" t="e">
        <f t="shared" si="165"/>
        <v>#N/A</v>
      </c>
      <c r="AT343" t="e">
        <f t="shared" si="166"/>
        <v>#N/A</v>
      </c>
      <c r="AU343" t="e">
        <f t="shared" si="167"/>
        <v>#N/A</v>
      </c>
      <c r="AW343" t="e">
        <v>#N/A</v>
      </c>
      <c r="AX343" t="e">
        <v>#N/A</v>
      </c>
      <c r="BG343" t="e">
        <v>#N/A</v>
      </c>
      <c r="BI343" t="e">
        <f t="shared" si="168"/>
        <v>#N/A</v>
      </c>
      <c r="BK343" t="e">
        <f t="shared" si="169"/>
        <v>#N/A</v>
      </c>
      <c r="BL343" t="e">
        <f t="shared" si="170"/>
        <v>#N/A</v>
      </c>
      <c r="BN343" t="e">
        <v>#N/A</v>
      </c>
      <c r="BO343" t="e">
        <v>#N/A</v>
      </c>
      <c r="BX343" t="e">
        <v>#N/A</v>
      </c>
      <c r="BZ343" t="e">
        <f t="shared" si="171"/>
        <v>#N/A</v>
      </c>
      <c r="CB343" t="e">
        <f t="shared" si="174"/>
        <v>#N/A</v>
      </c>
      <c r="CC343" t="e">
        <f t="shared" si="172"/>
        <v>#N/A</v>
      </c>
      <c r="CE343" t="e">
        <v>#N/A</v>
      </c>
      <c r="CF343" t="e">
        <v>#N/A</v>
      </c>
    </row>
    <row r="344" spans="2:84">
      <c r="B344">
        <v>332</v>
      </c>
      <c r="C344">
        <f>IF(ISNUMBER(K344),IF('Lab test'!N335&gt;0,'Lab test'!N335,NA()),NA())</f>
        <v>381</v>
      </c>
      <c r="D344">
        <f>IF(ISNUMBER(K344),IF('Lab test'!Q335&gt;0,'Lab test'!Q335,NA()),NA())</f>
        <v>1294.3274968148473</v>
      </c>
      <c r="E344">
        <f>IF(ISNUMBER(K344),IF('Lab test'!P335&gt;0,'Lab test'!P335,NA()),NA())</f>
        <v>1.3897859459215999E-2</v>
      </c>
      <c r="F344">
        <f>IF(ISNUMBER(K344),IF('Lab test'!AJ335&gt;0,'Lab test'!AJ335,NA()),NA())</f>
        <v>3.3333333333333333E-2</v>
      </c>
      <c r="G344">
        <f>IF('Lab test'!V335&gt;0,'Lab test'!V335,NA())</f>
        <v>72705.215656460379</v>
      </c>
      <c r="H344">
        <f>IF(MAX('Lab test'!W335,'Lab test'!X335)&gt;0,MAX('Lab test'!W335,'Lab test'!X335),NA())</f>
        <v>253.72706838859571</v>
      </c>
      <c r="I344">
        <f>IF('Lab test'!AU335&gt;0,'Lab test'!AU335,NA())</f>
        <v>3.6363057065217391E-2</v>
      </c>
      <c r="J344">
        <f>IF('Lab test'!AT335&gt;0,'Lab test'!AT335,NA())</f>
        <v>0.27138580199999995</v>
      </c>
      <c r="K344">
        <f t="shared" si="173"/>
        <v>1</v>
      </c>
      <c r="L344" t="str">
        <f>'Lab test'!AC335</f>
        <v>LTWb</v>
      </c>
      <c r="X344" t="e">
        <v>#N/A</v>
      </c>
      <c r="Z344" t="e">
        <f t="shared" si="163"/>
        <v>#N/A</v>
      </c>
      <c r="AB344" t="e">
        <f t="shared" si="162"/>
        <v>#N/A</v>
      </c>
      <c r="AC344" t="e">
        <f t="shared" si="164"/>
        <v>#N/A</v>
      </c>
      <c r="AE344" t="e">
        <v>#N/A</v>
      </c>
      <c r="AF344" t="e">
        <v>#N/A</v>
      </c>
      <c r="AP344" t="e">
        <v>#N/A</v>
      </c>
      <c r="AR344" t="e">
        <f t="shared" si="165"/>
        <v>#N/A</v>
      </c>
      <c r="AT344" t="e">
        <f t="shared" si="166"/>
        <v>#N/A</v>
      </c>
      <c r="AU344" t="e">
        <f t="shared" si="167"/>
        <v>#N/A</v>
      </c>
      <c r="AW344" t="e">
        <v>#N/A</v>
      </c>
      <c r="AX344" t="e">
        <v>#N/A</v>
      </c>
      <c r="BG344" t="e">
        <v>#N/A</v>
      </c>
      <c r="BI344" t="e">
        <f t="shared" si="168"/>
        <v>#N/A</v>
      </c>
      <c r="BK344" t="e">
        <f t="shared" si="169"/>
        <v>#N/A</v>
      </c>
      <c r="BL344" t="e">
        <f t="shared" si="170"/>
        <v>#N/A</v>
      </c>
      <c r="BN344" t="e">
        <v>#N/A</v>
      </c>
      <c r="BO344" t="e">
        <v>#N/A</v>
      </c>
      <c r="BX344" t="e">
        <v>#N/A</v>
      </c>
      <c r="BZ344" t="e">
        <f t="shared" si="171"/>
        <v>#N/A</v>
      </c>
      <c r="CB344" t="e">
        <f t="shared" si="174"/>
        <v>#N/A</v>
      </c>
      <c r="CC344" t="e">
        <f t="shared" si="172"/>
        <v>#N/A</v>
      </c>
      <c r="CE344" t="e">
        <v>#N/A</v>
      </c>
      <c r="CF344" t="e">
        <v>#N/A</v>
      </c>
    </row>
    <row r="345" spans="2:84">
      <c r="B345">
        <v>333</v>
      </c>
      <c r="C345">
        <f>IF(ISNUMBER(K345),IF('Lab test'!N336&gt;0,'Lab test'!N336,NA()),NA())</f>
        <v>381</v>
      </c>
      <c r="D345">
        <f>IF(ISNUMBER(K345),IF('Lab test'!Q336&gt;0,'Lab test'!Q336,NA()),NA())</f>
        <v>1440.7441415180838</v>
      </c>
      <c r="E345">
        <f>IF(ISNUMBER(K345),IF('Lab test'!P336&gt;0,'Lab test'!P336,NA()),NA())</f>
        <v>1.3172753748300384E-2</v>
      </c>
      <c r="F345">
        <f>IF(ISNUMBER(K345),IF('Lab test'!AJ336&gt;0,'Lab test'!AJ336,NA()),NA())</f>
        <v>3.3333333333333333E-2</v>
      </c>
      <c r="G345">
        <f>IF('Lab test'!V336&gt;0,'Lab test'!V336,NA())</f>
        <v>72705.215656460379</v>
      </c>
      <c r="H345">
        <f>IF(MAX('Lab test'!W336,'Lab test'!X336)&gt;0,MAX('Lab test'!W336,'Lab test'!X336),NA())</f>
        <v>253.72706838859571</v>
      </c>
      <c r="I345">
        <f>IF('Lab test'!AU336&gt;0,'Lab test'!AU336,NA())</f>
        <v>3.5130896739130439E-2</v>
      </c>
      <c r="J345">
        <f>IF('Lab test'!AT336&gt;0,'Lab test'!AT336,NA())</f>
        <v>0.29184929999999987</v>
      </c>
      <c r="K345">
        <f t="shared" si="173"/>
        <v>1</v>
      </c>
      <c r="L345" t="str">
        <f>'Lab test'!AC336</f>
        <v>LTWb</v>
      </c>
      <c r="X345" t="e">
        <v>#N/A</v>
      </c>
      <c r="Z345" t="e">
        <f t="shared" si="163"/>
        <v>#N/A</v>
      </c>
      <c r="AB345" t="e">
        <f t="shared" si="162"/>
        <v>#N/A</v>
      </c>
      <c r="AC345" t="e">
        <f t="shared" si="164"/>
        <v>#N/A</v>
      </c>
      <c r="AE345" t="e">
        <v>#N/A</v>
      </c>
      <c r="AF345" t="e">
        <v>#N/A</v>
      </c>
      <c r="AP345" t="e">
        <v>#N/A</v>
      </c>
      <c r="AR345" t="e">
        <f t="shared" si="165"/>
        <v>#N/A</v>
      </c>
      <c r="AT345" t="e">
        <f t="shared" si="166"/>
        <v>#N/A</v>
      </c>
      <c r="AU345" t="e">
        <f t="shared" si="167"/>
        <v>#N/A</v>
      </c>
      <c r="AW345" t="e">
        <v>#N/A</v>
      </c>
      <c r="AX345" t="e">
        <v>#N/A</v>
      </c>
      <c r="BG345" t="e">
        <v>#N/A</v>
      </c>
      <c r="BI345" t="e">
        <f t="shared" si="168"/>
        <v>#N/A</v>
      </c>
      <c r="BK345" t="e">
        <f t="shared" si="169"/>
        <v>#N/A</v>
      </c>
      <c r="BL345" t="e">
        <f t="shared" si="170"/>
        <v>#N/A</v>
      </c>
      <c r="BN345" t="e">
        <v>#N/A</v>
      </c>
      <c r="BO345" t="e">
        <v>#N/A</v>
      </c>
      <c r="BX345" t="e">
        <v>#N/A</v>
      </c>
      <c r="BZ345" t="e">
        <f t="shared" si="171"/>
        <v>#N/A</v>
      </c>
      <c r="CB345" t="e">
        <f t="shared" si="174"/>
        <v>#N/A</v>
      </c>
      <c r="CC345" t="e">
        <f t="shared" si="172"/>
        <v>#N/A</v>
      </c>
      <c r="CE345" t="e">
        <v>#N/A</v>
      </c>
      <c r="CF345" t="e">
        <v>#N/A</v>
      </c>
    </row>
    <row r="346" spans="2:84">
      <c r="B346">
        <v>334</v>
      </c>
      <c r="C346">
        <f>IF(ISNUMBER(K346),IF('Lab test'!N337&gt;0,'Lab test'!N337,NA()),NA())</f>
        <v>381</v>
      </c>
      <c r="D346">
        <f>IF(ISNUMBER(K346),IF('Lab test'!Q337&gt;0,'Lab test'!Q337,NA()),NA())</f>
        <v>1440.7441415180838</v>
      </c>
      <c r="E346">
        <f>IF(ISNUMBER(K346),IF('Lab test'!P337&gt;0,'Lab test'!P337,NA()),NA())</f>
        <v>1.71245798727905E-2</v>
      </c>
      <c r="F346">
        <f>IF(ISNUMBER(K346),IF('Lab test'!AJ337&gt;0,'Lab test'!AJ337,NA()),NA())</f>
        <v>3.3333333333333333E-2</v>
      </c>
      <c r="G346">
        <f>IF('Lab test'!V337&gt;0,'Lab test'!V337,NA())</f>
        <v>72705.215656460379</v>
      </c>
      <c r="H346">
        <f>IF(MAX('Lab test'!W337,'Lab test'!X337)&gt;0,MAX('Lab test'!W337,'Lab test'!X337),NA())</f>
        <v>253.72706838859571</v>
      </c>
      <c r="I346">
        <f>IF('Lab test'!AU337&gt;0,'Lab test'!AU337,NA())</f>
        <v>2.8872668478260873E-2</v>
      </c>
      <c r="J346">
        <f>IF('Lab test'!AT337&gt;0,'Lab test'!AT337,NA())</f>
        <v>0.23985917999999989</v>
      </c>
      <c r="K346">
        <f t="shared" si="173"/>
        <v>1</v>
      </c>
      <c r="L346" t="str">
        <f>'Lab test'!AC337</f>
        <v>LTWb</v>
      </c>
      <c r="X346" t="e">
        <v>#N/A</v>
      </c>
      <c r="Z346" t="e">
        <f t="shared" si="163"/>
        <v>#N/A</v>
      </c>
      <c r="AB346" t="e">
        <f t="shared" si="162"/>
        <v>#N/A</v>
      </c>
      <c r="AC346" t="e">
        <f t="shared" si="164"/>
        <v>#N/A</v>
      </c>
      <c r="AE346" t="e">
        <v>#N/A</v>
      </c>
      <c r="AF346" t="e">
        <v>#N/A</v>
      </c>
      <c r="AP346" t="e">
        <v>#N/A</v>
      </c>
      <c r="AR346" t="e">
        <f t="shared" si="165"/>
        <v>#N/A</v>
      </c>
      <c r="AT346" t="e">
        <f t="shared" si="166"/>
        <v>#N/A</v>
      </c>
      <c r="AU346" t="e">
        <f t="shared" si="167"/>
        <v>#N/A</v>
      </c>
      <c r="AW346" t="e">
        <v>#N/A</v>
      </c>
      <c r="AX346" t="e">
        <v>#N/A</v>
      </c>
      <c r="BG346" t="e">
        <v>#N/A</v>
      </c>
      <c r="BI346" t="e">
        <f t="shared" si="168"/>
        <v>#N/A</v>
      </c>
      <c r="BK346" t="e">
        <f t="shared" si="169"/>
        <v>#N/A</v>
      </c>
      <c r="BL346" t="e">
        <f t="shared" si="170"/>
        <v>#N/A</v>
      </c>
      <c r="BN346" t="e">
        <v>#N/A</v>
      </c>
      <c r="BO346" t="e">
        <v>#N/A</v>
      </c>
      <c r="BX346" t="e">
        <v>#N/A</v>
      </c>
      <c r="BZ346" t="e">
        <f t="shared" si="171"/>
        <v>#N/A</v>
      </c>
      <c r="CB346" t="e">
        <f t="shared" si="174"/>
        <v>#N/A</v>
      </c>
      <c r="CC346" t="e">
        <f t="shared" si="172"/>
        <v>#N/A</v>
      </c>
      <c r="CE346" t="e">
        <v>#N/A</v>
      </c>
      <c r="CF346" t="e">
        <v>#N/A</v>
      </c>
    </row>
    <row r="347" spans="2:84">
      <c r="B347">
        <v>335</v>
      </c>
      <c r="C347">
        <f>IF(ISNUMBER(K347),IF('Lab test'!N338&gt;0,'Lab test'!N338,NA()),NA())</f>
        <v>381</v>
      </c>
      <c r="D347">
        <f>IF(ISNUMBER(K347),IF('Lab test'!Q338&gt;0,'Lab test'!Q338,NA()),NA())</f>
        <v>1415.7966626214763</v>
      </c>
      <c r="E347">
        <f>IF(ISNUMBER(K347),IF('Lab test'!P338&gt;0,'Lab test'!P338,NA()),NA())</f>
        <v>2.6576608439553402E-2</v>
      </c>
      <c r="F347">
        <f>IF(ISNUMBER(K347),IF('Lab test'!AJ338&gt;0,'Lab test'!AJ338,NA()),NA())</f>
        <v>3.3333333333333333E-2</v>
      </c>
      <c r="G347">
        <f>IF('Lab test'!V338&gt;0,'Lab test'!V338,NA())</f>
        <v>72705.215656460379</v>
      </c>
      <c r="H347">
        <f>IF(MAX('Lab test'!W338,'Lab test'!X338)&gt;0,MAX('Lab test'!W338,'Lab test'!X338),NA())</f>
        <v>253.72706838859571</v>
      </c>
      <c r="I347">
        <f>IF('Lab test'!AU338&gt;0,'Lab test'!AU338,NA())</f>
        <v>2.8874244497282611E-2</v>
      </c>
      <c r="J347">
        <f>IF('Lab test'!AT338&gt;0,'Lab test'!AT338,NA())</f>
        <v>0.23571871884000001</v>
      </c>
      <c r="K347">
        <f t="shared" si="173"/>
        <v>1</v>
      </c>
      <c r="L347" t="str">
        <f>'Lab test'!AC338</f>
        <v>LTWb</v>
      </c>
      <c r="X347" t="e">
        <v>#N/A</v>
      </c>
      <c r="Z347" t="e">
        <f t="shared" si="163"/>
        <v>#N/A</v>
      </c>
      <c r="AB347" t="e">
        <f t="shared" si="162"/>
        <v>#N/A</v>
      </c>
      <c r="AC347" t="e">
        <f t="shared" si="164"/>
        <v>#N/A</v>
      </c>
      <c r="AE347" t="e">
        <v>#N/A</v>
      </c>
      <c r="AF347" t="e">
        <v>#N/A</v>
      </c>
      <c r="AP347" t="e">
        <v>#N/A</v>
      </c>
      <c r="AR347" t="e">
        <f t="shared" si="165"/>
        <v>#N/A</v>
      </c>
      <c r="AT347" t="e">
        <f t="shared" si="166"/>
        <v>#N/A</v>
      </c>
      <c r="AU347" t="e">
        <f t="shared" si="167"/>
        <v>#N/A</v>
      </c>
      <c r="AW347" t="e">
        <v>#N/A</v>
      </c>
      <c r="AX347" t="e">
        <v>#N/A</v>
      </c>
      <c r="BG347" t="e">
        <v>#N/A</v>
      </c>
      <c r="BI347" t="e">
        <f t="shared" si="168"/>
        <v>#N/A</v>
      </c>
      <c r="BK347" t="e">
        <f t="shared" si="169"/>
        <v>#N/A</v>
      </c>
      <c r="BL347" t="e">
        <f t="shared" si="170"/>
        <v>#N/A</v>
      </c>
      <c r="BN347" t="e">
        <v>#N/A</v>
      </c>
      <c r="BO347" t="e">
        <v>#N/A</v>
      </c>
      <c r="BX347" t="e">
        <v>#N/A</v>
      </c>
      <c r="BZ347" t="e">
        <f t="shared" si="171"/>
        <v>#N/A</v>
      </c>
      <c r="CB347" t="e">
        <f t="shared" si="174"/>
        <v>#N/A</v>
      </c>
      <c r="CC347" t="e">
        <f t="shared" si="172"/>
        <v>#N/A</v>
      </c>
      <c r="CE347" t="e">
        <v>#N/A</v>
      </c>
      <c r="CF347" t="e">
        <v>#N/A</v>
      </c>
    </row>
    <row r="348" spans="2:84">
      <c r="B348">
        <v>336</v>
      </c>
      <c r="C348">
        <f>IF(ISNUMBER(K348),IF('Lab test'!N339&gt;0,'Lab test'!N339,NA()),NA())</f>
        <v>381</v>
      </c>
      <c r="D348">
        <f>IF(ISNUMBER(K348),IF('Lab test'!Q339&gt;0,'Lab test'!Q339,NA()),NA())</f>
        <v>1432.4041061179078</v>
      </c>
      <c r="E348">
        <f>IF(ISNUMBER(K348),IF('Lab test'!P339&gt;0,'Lab test'!P339,NA()),NA())</f>
        <v>2.6422093274207165E-2</v>
      </c>
      <c r="F348">
        <f>IF(ISNUMBER(K348),IF('Lab test'!AJ339&gt;0,'Lab test'!AJ339,NA()),NA())</f>
        <v>3.3333333333333333E-2</v>
      </c>
      <c r="G348">
        <f>IF('Lab test'!V339&gt;0,'Lab test'!V339,NA())</f>
        <v>72705.215656460379</v>
      </c>
      <c r="H348">
        <f>IF(MAX('Lab test'!W339,'Lab test'!X339)&gt;0,MAX('Lab test'!W339,'Lab test'!X339),NA())</f>
        <v>253.72706838859571</v>
      </c>
      <c r="I348">
        <f>IF('Lab test'!AU339&gt;0,'Lab test'!AU339,NA())</f>
        <v>2.9468117119565217E-2</v>
      </c>
      <c r="J348">
        <f>IF('Lab test'!AT339&gt;0,'Lab test'!AT339,NA())</f>
        <v>0.24338875135999993</v>
      </c>
      <c r="K348">
        <f t="shared" si="173"/>
        <v>1</v>
      </c>
      <c r="L348" t="str">
        <f>'Lab test'!AC339</f>
        <v>LTWb</v>
      </c>
      <c r="X348" t="e">
        <v>#N/A</v>
      </c>
      <c r="Z348" t="e">
        <f t="shared" si="163"/>
        <v>#N/A</v>
      </c>
      <c r="AB348" t="e">
        <f t="shared" si="162"/>
        <v>#N/A</v>
      </c>
      <c r="AC348" t="e">
        <f t="shared" si="164"/>
        <v>#N/A</v>
      </c>
      <c r="AE348" t="e">
        <v>#N/A</v>
      </c>
      <c r="AF348" t="e">
        <v>#N/A</v>
      </c>
      <c r="AP348" t="e">
        <v>#N/A</v>
      </c>
      <c r="AR348" t="e">
        <f t="shared" si="165"/>
        <v>#N/A</v>
      </c>
      <c r="AT348" t="e">
        <f t="shared" si="166"/>
        <v>#N/A</v>
      </c>
      <c r="AU348" t="e">
        <f t="shared" si="167"/>
        <v>#N/A</v>
      </c>
      <c r="AW348" t="e">
        <v>#N/A</v>
      </c>
      <c r="AX348" t="e">
        <v>#N/A</v>
      </c>
      <c r="BG348" t="e">
        <v>#N/A</v>
      </c>
      <c r="BI348" t="e">
        <f t="shared" si="168"/>
        <v>#N/A</v>
      </c>
      <c r="BK348" t="e">
        <f t="shared" si="169"/>
        <v>#N/A</v>
      </c>
      <c r="BL348" t="e">
        <f t="shared" si="170"/>
        <v>#N/A</v>
      </c>
      <c r="BN348" t="e">
        <v>#N/A</v>
      </c>
      <c r="BO348" t="e">
        <v>#N/A</v>
      </c>
      <c r="BX348" t="e">
        <v>#N/A</v>
      </c>
      <c r="BZ348" t="e">
        <f t="shared" si="171"/>
        <v>#N/A</v>
      </c>
      <c r="CB348" t="e">
        <f t="shared" si="174"/>
        <v>#N/A</v>
      </c>
      <c r="CC348" t="e">
        <f t="shared" si="172"/>
        <v>#N/A</v>
      </c>
      <c r="CE348" t="e">
        <v>#N/A</v>
      </c>
      <c r="CF348" t="e">
        <v>#N/A</v>
      </c>
    </row>
    <row r="349" spans="2:84">
      <c r="B349">
        <v>337</v>
      </c>
      <c r="C349">
        <f>IF(ISNUMBER(K349),IF('Lab test'!N340&gt;0,'Lab test'!N340,NA()),NA())</f>
        <v>381</v>
      </c>
      <c r="D349">
        <f>IF(ISNUMBER(K349),IF('Lab test'!Q340&gt;0,'Lab test'!Q340,NA()),NA())</f>
        <v>915.40664316156347</v>
      </c>
      <c r="E349">
        <f>IF(ISNUMBER(K349),IF('Lab test'!P340&gt;0,'Lab test'!P340,NA()),NA())</f>
        <v>3.3051636677553689E-2</v>
      </c>
      <c r="F349">
        <f>IF(ISNUMBER(K349),IF('Lab test'!AJ340&gt;0,'Lab test'!AJ340,NA()),NA())</f>
        <v>3.3333333333333333E-2</v>
      </c>
      <c r="G349">
        <f>IF('Lab test'!V340&gt;0,'Lab test'!V340,NA())</f>
        <v>71412.448663991308</v>
      </c>
      <c r="H349">
        <f>IF(MAX('Lab test'!W340,'Lab test'!X340)&gt;0,MAX('Lab test'!W340,'Lab test'!X340),NA())</f>
        <v>249.76258294502389</v>
      </c>
      <c r="I349">
        <f>IF('Lab test'!AU340&gt;0,'Lab test'!AU340,NA())</f>
        <v>6.5055107246376823E-2</v>
      </c>
      <c r="J349">
        <f>IF('Lab test'!AT340&gt;0,'Lab test'!AT340,NA())</f>
        <v>0.34413609999999989</v>
      </c>
      <c r="K349">
        <f t="shared" si="173"/>
        <v>1</v>
      </c>
      <c r="L349" t="str">
        <f>'Lab test'!AC340</f>
        <v>LTWb</v>
      </c>
      <c r="X349" t="e">
        <v>#N/A</v>
      </c>
      <c r="Z349" t="e">
        <f t="shared" si="163"/>
        <v>#N/A</v>
      </c>
      <c r="AB349" t="e">
        <f t="shared" si="162"/>
        <v>#N/A</v>
      </c>
      <c r="AC349" t="e">
        <f t="shared" si="164"/>
        <v>#N/A</v>
      </c>
      <c r="AE349" t="e">
        <v>#N/A</v>
      </c>
      <c r="AF349" t="e">
        <v>#N/A</v>
      </c>
      <c r="AP349" t="e">
        <v>#N/A</v>
      </c>
      <c r="AR349" t="e">
        <f t="shared" si="165"/>
        <v>#N/A</v>
      </c>
      <c r="AT349" t="e">
        <f t="shared" si="166"/>
        <v>#N/A</v>
      </c>
      <c r="AU349" t="e">
        <f t="shared" si="167"/>
        <v>#N/A</v>
      </c>
      <c r="AW349" t="e">
        <v>#N/A</v>
      </c>
      <c r="AX349" t="e">
        <v>#N/A</v>
      </c>
      <c r="BG349" t="e">
        <v>#N/A</v>
      </c>
      <c r="BI349" t="e">
        <f t="shared" si="168"/>
        <v>#N/A</v>
      </c>
      <c r="BK349" t="e">
        <f t="shared" si="169"/>
        <v>#N/A</v>
      </c>
      <c r="BL349" t="e">
        <f t="shared" si="170"/>
        <v>#N/A</v>
      </c>
      <c r="BN349" t="e">
        <v>#N/A</v>
      </c>
      <c r="BO349" t="e">
        <v>#N/A</v>
      </c>
      <c r="BX349" t="e">
        <v>#N/A</v>
      </c>
      <c r="BZ349" t="e">
        <f t="shared" si="171"/>
        <v>#N/A</v>
      </c>
      <c r="CB349" t="e">
        <f t="shared" si="174"/>
        <v>#N/A</v>
      </c>
      <c r="CC349" t="e">
        <f t="shared" si="172"/>
        <v>#N/A</v>
      </c>
      <c r="CE349" t="e">
        <v>#N/A</v>
      </c>
      <c r="CF349" t="e">
        <v>#N/A</v>
      </c>
    </row>
    <row r="350" spans="2:84">
      <c r="B350">
        <v>338</v>
      </c>
      <c r="C350">
        <f>IF(ISNUMBER(K350),IF('Lab test'!N341&gt;0,'Lab test'!N341,NA()),NA())</f>
        <v>381</v>
      </c>
      <c r="D350">
        <f>IF(ISNUMBER(K350),IF('Lab test'!Q341&gt;0,'Lab test'!Q341,NA()),NA())</f>
        <v>928.77006708289071</v>
      </c>
      <c r="E350">
        <f>IF(ISNUMBER(K350),IF('Lab test'!P341&gt;0,'Lab test'!P341,NA()),NA())</f>
        <v>3.2812996701542467E-2</v>
      </c>
      <c r="F350">
        <f>IF(ISNUMBER(K350),IF('Lab test'!AJ341&gt;0,'Lab test'!AJ341,NA()),NA())</f>
        <v>3.3333333333333333E-2</v>
      </c>
      <c r="G350">
        <f>IF('Lab test'!V341&gt;0,'Lab test'!V341,NA())</f>
        <v>71412.448663991308</v>
      </c>
      <c r="H350">
        <f>IF(MAX('Lab test'!W341,'Lab test'!X341)&gt;0,MAX('Lab test'!W341,'Lab test'!X341),NA())</f>
        <v>249.76258294502389</v>
      </c>
      <c r="I350">
        <f>IF('Lab test'!AU341&gt;0,'Lab test'!AU341,NA())</f>
        <v>5.9557412008281581E-2</v>
      </c>
      <c r="J350">
        <f>IF('Lab test'!AT341&gt;0,'Lab test'!AT341,NA())</f>
        <v>0.3196530139999999</v>
      </c>
      <c r="K350">
        <f t="shared" si="173"/>
        <v>1</v>
      </c>
      <c r="L350" t="str">
        <f>'Lab test'!AC341</f>
        <v>LTWb</v>
      </c>
      <c r="X350" t="e">
        <v>#N/A</v>
      </c>
      <c r="Z350" t="e">
        <f t="shared" si="163"/>
        <v>#N/A</v>
      </c>
      <c r="AB350" t="e">
        <f t="shared" si="162"/>
        <v>#N/A</v>
      </c>
      <c r="AC350" t="e">
        <f t="shared" si="164"/>
        <v>#N/A</v>
      </c>
      <c r="AE350" t="e">
        <v>#N/A</v>
      </c>
      <c r="AF350" t="e">
        <v>#N/A</v>
      </c>
      <c r="AP350" t="e">
        <v>#N/A</v>
      </c>
      <c r="AR350" t="e">
        <f t="shared" si="165"/>
        <v>#N/A</v>
      </c>
      <c r="AT350" t="e">
        <f t="shared" si="166"/>
        <v>#N/A</v>
      </c>
      <c r="AU350" t="e">
        <f t="shared" si="167"/>
        <v>#N/A</v>
      </c>
      <c r="AW350" t="e">
        <v>#N/A</v>
      </c>
      <c r="AX350" t="e">
        <v>#N/A</v>
      </c>
      <c r="BG350" t="e">
        <v>#N/A</v>
      </c>
      <c r="BI350" t="e">
        <f t="shared" si="168"/>
        <v>#N/A</v>
      </c>
      <c r="BK350" t="e">
        <f t="shared" si="169"/>
        <v>#N/A</v>
      </c>
      <c r="BL350" t="e">
        <f t="shared" si="170"/>
        <v>#N/A</v>
      </c>
      <c r="BN350" t="e">
        <v>#N/A</v>
      </c>
      <c r="BO350" t="e">
        <v>#N/A</v>
      </c>
      <c r="BX350" t="e">
        <v>#N/A</v>
      </c>
      <c r="BZ350" t="e">
        <f t="shared" si="171"/>
        <v>#N/A</v>
      </c>
      <c r="CB350" t="e">
        <f t="shared" si="174"/>
        <v>#N/A</v>
      </c>
      <c r="CC350" t="e">
        <f t="shared" si="172"/>
        <v>#N/A</v>
      </c>
      <c r="CE350" t="e">
        <v>#N/A</v>
      </c>
      <c r="CF350" t="e">
        <v>#N/A</v>
      </c>
    </row>
    <row r="351" spans="2:84">
      <c r="B351">
        <v>339</v>
      </c>
      <c r="C351">
        <f>IF(ISNUMBER(K351),IF('Lab test'!N342&gt;0,'Lab test'!N342,NA()),NA())</f>
        <v>381</v>
      </c>
      <c r="D351">
        <f>IF(ISNUMBER(K351),IF('Lab test'!Q342&gt;0,'Lab test'!Q342,NA()),NA())</f>
        <v>720.65652769939629</v>
      </c>
      <c r="E351">
        <f>IF(ISNUMBER(K351),IF('Lab test'!P342&gt;0,'Lab test'!P342,NA()),NA())</f>
        <v>1.8625410012965703E-2</v>
      </c>
      <c r="F351">
        <f>IF(ISNUMBER(K351),IF('Lab test'!AJ342&gt;0,'Lab test'!AJ342,NA()),NA())</f>
        <v>3.3333333333333333E-2</v>
      </c>
      <c r="G351">
        <f>IF('Lab test'!V342&gt;0,'Lab test'!V342,NA())</f>
        <v>70050.734098590561</v>
      </c>
      <c r="H351">
        <f>IF(MAX('Lab test'!W342,'Lab test'!X342)&gt;0,MAX('Lab test'!W342,'Lab test'!X342),NA())</f>
        <v>262.62130529678291</v>
      </c>
      <c r="I351">
        <f>IF('Lab test'!AU342&gt;0,'Lab test'!AU342,NA())</f>
        <v>0.11408327645051196</v>
      </c>
      <c r="J351">
        <f>IF('Lab test'!AT342&gt;0,'Lab test'!AT342,NA())</f>
        <v>0.50927094399999995</v>
      </c>
      <c r="K351">
        <f t="shared" si="173"/>
        <v>1</v>
      </c>
      <c r="L351" t="str">
        <f>'Lab test'!AC342</f>
        <v>LTWb</v>
      </c>
      <c r="X351" t="e">
        <v>#N/A</v>
      </c>
      <c r="Z351" t="e">
        <f t="shared" si="163"/>
        <v>#N/A</v>
      </c>
      <c r="AB351" t="e">
        <f t="shared" si="162"/>
        <v>#N/A</v>
      </c>
      <c r="AC351" t="e">
        <f t="shared" si="164"/>
        <v>#N/A</v>
      </c>
      <c r="AE351" t="e">
        <v>#N/A</v>
      </c>
      <c r="AF351" t="e">
        <v>#N/A</v>
      </c>
      <c r="AP351" t="e">
        <v>#N/A</v>
      </c>
      <c r="AR351" t="e">
        <f t="shared" si="165"/>
        <v>#N/A</v>
      </c>
      <c r="AT351" t="e">
        <f t="shared" si="166"/>
        <v>#N/A</v>
      </c>
      <c r="AU351" t="e">
        <f t="shared" si="167"/>
        <v>#N/A</v>
      </c>
      <c r="AW351" t="e">
        <v>#N/A</v>
      </c>
      <c r="AX351" t="e">
        <v>#N/A</v>
      </c>
      <c r="BG351" t="e">
        <v>#N/A</v>
      </c>
      <c r="BI351" t="e">
        <f t="shared" si="168"/>
        <v>#N/A</v>
      </c>
      <c r="BK351" t="e">
        <f t="shared" si="169"/>
        <v>#N/A</v>
      </c>
      <c r="BL351" t="e">
        <f t="shared" si="170"/>
        <v>#N/A</v>
      </c>
      <c r="BN351" t="e">
        <v>#N/A</v>
      </c>
      <c r="BO351" t="e">
        <v>#N/A</v>
      </c>
      <c r="BX351" t="e">
        <v>#N/A</v>
      </c>
      <c r="BZ351" t="e">
        <f t="shared" si="171"/>
        <v>#N/A</v>
      </c>
      <c r="CB351" t="e">
        <f t="shared" si="174"/>
        <v>#N/A</v>
      </c>
      <c r="CC351" t="e">
        <f t="shared" si="172"/>
        <v>#N/A</v>
      </c>
      <c r="CE351" t="e">
        <v>#N/A</v>
      </c>
      <c r="CF351" t="e">
        <v>#N/A</v>
      </c>
    </row>
    <row r="352" spans="2:84">
      <c r="B352">
        <v>340</v>
      </c>
      <c r="C352">
        <f>IF(ISNUMBER(K352),IF('Lab test'!N343&gt;0,'Lab test'!N343,NA()),NA())</f>
        <v>381</v>
      </c>
      <c r="D352">
        <f>IF(ISNUMBER(K352),IF('Lab test'!Q343&gt;0,'Lab test'!Q343,NA()),NA())</f>
        <v>768.68738469199252</v>
      </c>
      <c r="E352">
        <f>IF(ISNUMBER(K352),IF('Lab test'!P343&gt;0,'Lab test'!P343,NA()),NA())</f>
        <v>1.8034127155411236E-2</v>
      </c>
      <c r="F352">
        <f>IF(ISNUMBER(K352),IF('Lab test'!AJ343&gt;0,'Lab test'!AJ343,NA()),NA())</f>
        <v>3.3333333333333333E-2</v>
      </c>
      <c r="G352">
        <f>IF('Lab test'!V343&gt;0,'Lab test'!V343,NA())</f>
        <v>70050.734098590561</v>
      </c>
      <c r="H352">
        <f>IF(MAX('Lab test'!W343,'Lab test'!X343)&gt;0,MAX('Lab test'!W343,'Lab test'!X343),NA())</f>
        <v>262.62130529678291</v>
      </c>
      <c r="I352">
        <f>IF('Lab test'!AU343&gt;0,'Lab test'!AU343,NA())</f>
        <v>9.0578440535573651E-2</v>
      </c>
      <c r="J352">
        <f>IF('Lab test'!AT343&gt;0,'Lab test'!AT343,NA())</f>
        <v>0.4312937664</v>
      </c>
      <c r="K352">
        <f t="shared" si="173"/>
        <v>1</v>
      </c>
      <c r="L352" t="str">
        <f>'Lab test'!AC343</f>
        <v>LTWb</v>
      </c>
      <c r="X352" t="e">
        <v>#N/A</v>
      </c>
      <c r="Z352" t="e">
        <f t="shared" si="163"/>
        <v>#N/A</v>
      </c>
      <c r="AB352" t="e">
        <f t="shared" si="162"/>
        <v>#N/A</v>
      </c>
      <c r="AC352" t="e">
        <f t="shared" si="164"/>
        <v>#N/A</v>
      </c>
      <c r="AE352" t="e">
        <v>#N/A</v>
      </c>
      <c r="AF352" t="e">
        <v>#N/A</v>
      </c>
      <c r="AP352" t="e">
        <v>#N/A</v>
      </c>
      <c r="AR352" t="e">
        <f t="shared" si="165"/>
        <v>#N/A</v>
      </c>
      <c r="AT352" t="e">
        <f t="shared" si="166"/>
        <v>#N/A</v>
      </c>
      <c r="AU352" t="e">
        <f t="shared" si="167"/>
        <v>#N/A</v>
      </c>
      <c r="AW352" t="e">
        <v>#N/A</v>
      </c>
      <c r="AX352" t="e">
        <v>#N/A</v>
      </c>
      <c r="BG352" t="e">
        <v>#N/A</v>
      </c>
      <c r="BI352" t="e">
        <f t="shared" si="168"/>
        <v>#N/A</v>
      </c>
      <c r="BK352" t="e">
        <f t="shared" si="169"/>
        <v>#N/A</v>
      </c>
      <c r="BL352" t="e">
        <f t="shared" si="170"/>
        <v>#N/A</v>
      </c>
      <c r="BN352" t="e">
        <v>#N/A</v>
      </c>
      <c r="BO352" t="e">
        <v>#N/A</v>
      </c>
      <c r="BX352" t="e">
        <v>#N/A</v>
      </c>
      <c r="BZ352" t="e">
        <f t="shared" si="171"/>
        <v>#N/A</v>
      </c>
      <c r="CB352" t="e">
        <f t="shared" si="174"/>
        <v>#N/A</v>
      </c>
      <c r="CC352" t="e">
        <f t="shared" si="172"/>
        <v>#N/A</v>
      </c>
      <c r="CE352" t="e">
        <v>#N/A</v>
      </c>
      <c r="CF352" t="e">
        <v>#N/A</v>
      </c>
    </row>
    <row r="353" spans="2:84">
      <c r="B353">
        <v>341</v>
      </c>
      <c r="C353">
        <f>IF(ISNUMBER(K353),IF('Lab test'!N344&gt;0,'Lab test'!N344,NA()),NA())</f>
        <v>381</v>
      </c>
      <c r="D353">
        <f>IF(ISNUMBER(K353),IF('Lab test'!Q344&gt;0,'Lab test'!Q344,NA()),NA())</f>
        <v>756.53441583600295</v>
      </c>
      <c r="E353">
        <f>IF(ISNUMBER(K353),IF('Lab test'!P344&gt;0,'Lab test'!P344,NA()),NA())</f>
        <v>1.8178400172654527E-2</v>
      </c>
      <c r="F353">
        <f>IF(ISNUMBER(K353),IF('Lab test'!AJ344&gt;0,'Lab test'!AJ344,NA()),NA())</f>
        <v>3.3333333333333333E-2</v>
      </c>
      <c r="G353">
        <f>IF('Lab test'!V344&gt;0,'Lab test'!V344,NA())</f>
        <v>70050.734098590561</v>
      </c>
      <c r="H353">
        <f>IF(MAX('Lab test'!W344,'Lab test'!X344)&gt;0,MAX('Lab test'!W344,'Lab test'!X344),NA())</f>
        <v>262.62130529678291</v>
      </c>
      <c r="I353">
        <f>IF('Lab test'!AU344&gt;0,'Lab test'!AU344,NA())</f>
        <v>0.11178934103439224</v>
      </c>
      <c r="J353">
        <f>IF('Lab test'!AT344&gt;0,'Lab test'!AT344,NA())</f>
        <v>0.52387499999999998</v>
      </c>
      <c r="K353">
        <f t="shared" si="173"/>
        <v>1</v>
      </c>
      <c r="L353" t="str">
        <f>'Lab test'!AC344</f>
        <v>LTWb</v>
      </c>
      <c r="X353" t="e">
        <v>#N/A</v>
      </c>
      <c r="Z353" t="e">
        <f t="shared" si="163"/>
        <v>#N/A</v>
      </c>
      <c r="AB353" t="e">
        <f t="shared" si="162"/>
        <v>#N/A</v>
      </c>
      <c r="AC353" t="e">
        <f t="shared" si="164"/>
        <v>#N/A</v>
      </c>
      <c r="AE353" t="e">
        <v>#N/A</v>
      </c>
      <c r="AF353" t="e">
        <v>#N/A</v>
      </c>
      <c r="AP353" t="e">
        <v>#N/A</v>
      </c>
      <c r="AR353" t="e">
        <f t="shared" si="165"/>
        <v>#N/A</v>
      </c>
      <c r="AT353" t="e">
        <f t="shared" si="166"/>
        <v>#N/A</v>
      </c>
      <c r="AU353" t="e">
        <f t="shared" si="167"/>
        <v>#N/A</v>
      </c>
      <c r="AW353" t="e">
        <v>#N/A</v>
      </c>
      <c r="AX353" t="e">
        <v>#N/A</v>
      </c>
      <c r="BG353" t="e">
        <v>#N/A</v>
      </c>
      <c r="BI353" t="e">
        <f t="shared" si="168"/>
        <v>#N/A</v>
      </c>
      <c r="BK353" t="e">
        <f t="shared" si="169"/>
        <v>#N/A</v>
      </c>
      <c r="BL353" t="e">
        <f t="shared" si="170"/>
        <v>#N/A</v>
      </c>
      <c r="BN353" t="e">
        <v>#N/A</v>
      </c>
      <c r="BO353" t="e">
        <v>#N/A</v>
      </c>
      <c r="BX353" t="e">
        <v>#N/A</v>
      </c>
      <c r="BZ353" t="e">
        <f t="shared" si="171"/>
        <v>#N/A</v>
      </c>
      <c r="CB353" t="e">
        <f t="shared" si="174"/>
        <v>#N/A</v>
      </c>
      <c r="CC353" t="e">
        <f t="shared" si="172"/>
        <v>#N/A</v>
      </c>
      <c r="CE353" t="e">
        <v>#N/A</v>
      </c>
      <c r="CF353" t="e">
        <v>#N/A</v>
      </c>
    </row>
    <row r="354" spans="2:84">
      <c r="B354">
        <v>342</v>
      </c>
      <c r="C354">
        <f>IF(ISNUMBER(K354),IF('Lab test'!N345&gt;0,'Lab test'!N345,NA()),NA())</f>
        <v>381</v>
      </c>
      <c r="D354">
        <f>IF(ISNUMBER(K354),IF('Lab test'!Q345&gt;0,'Lab test'!Q345,NA()),NA())</f>
        <v>674.17505319043255</v>
      </c>
      <c r="E354">
        <f>IF(ISNUMBER(K354),IF('Lab test'!P345&gt;0,'Lab test'!P345,NA()),NA())</f>
        <v>3.8513559687827381E-2</v>
      </c>
      <c r="F354">
        <f>IF(ISNUMBER(K354),IF('Lab test'!AJ345&gt;0,'Lab test'!AJ345,NA()),NA())</f>
        <v>3.3333333333333333E-2</v>
      </c>
      <c r="G354">
        <f>IF('Lab test'!V345&gt;0,'Lab test'!V345,NA())</f>
        <v>70050.734098590561</v>
      </c>
      <c r="H354">
        <f>IF(MAX('Lab test'!W345,'Lab test'!X345)&gt;0,MAX('Lab test'!W345,'Lab test'!X345),NA())</f>
        <v>262.62130529678291</v>
      </c>
      <c r="I354">
        <f>IF('Lab test'!AU345&gt;0,'Lab test'!AU345,NA())</f>
        <v>0.10952207928590181</v>
      </c>
      <c r="J354">
        <f>IF('Lab test'!AT345&gt;0,'Lab test'!AT345,NA())</f>
        <v>0.45737555200000007</v>
      </c>
      <c r="K354">
        <f t="shared" si="173"/>
        <v>1</v>
      </c>
      <c r="L354" t="str">
        <f>'Lab test'!AC345</f>
        <v>LTWb</v>
      </c>
      <c r="X354" t="e">
        <v>#N/A</v>
      </c>
      <c r="Z354" t="e">
        <f t="shared" si="163"/>
        <v>#N/A</v>
      </c>
      <c r="AB354" t="e">
        <f t="shared" si="162"/>
        <v>#N/A</v>
      </c>
      <c r="AC354" t="e">
        <f t="shared" si="164"/>
        <v>#N/A</v>
      </c>
      <c r="AE354" t="e">
        <v>#N/A</v>
      </c>
      <c r="AF354" t="e">
        <v>#N/A</v>
      </c>
      <c r="AP354" t="e">
        <v>#N/A</v>
      </c>
      <c r="AR354" t="e">
        <f t="shared" si="165"/>
        <v>#N/A</v>
      </c>
      <c r="AT354" t="e">
        <f t="shared" si="166"/>
        <v>#N/A</v>
      </c>
      <c r="AU354" t="e">
        <f t="shared" si="167"/>
        <v>#N/A</v>
      </c>
      <c r="AW354" t="e">
        <v>#N/A</v>
      </c>
      <c r="AX354" t="e">
        <v>#N/A</v>
      </c>
      <c r="BG354" t="e">
        <v>#N/A</v>
      </c>
      <c r="BI354" t="e">
        <f t="shared" si="168"/>
        <v>#N/A</v>
      </c>
      <c r="BK354" t="e">
        <f t="shared" si="169"/>
        <v>#N/A</v>
      </c>
      <c r="BL354" t="e">
        <f t="shared" si="170"/>
        <v>#N/A</v>
      </c>
      <c r="BN354" t="e">
        <v>#N/A</v>
      </c>
      <c r="BO354" t="e">
        <v>#N/A</v>
      </c>
      <c r="BX354" t="e">
        <v>#N/A</v>
      </c>
      <c r="BZ354" t="e">
        <f t="shared" si="171"/>
        <v>#N/A</v>
      </c>
      <c r="CB354" t="e">
        <f t="shared" si="174"/>
        <v>#N/A</v>
      </c>
      <c r="CC354" t="e">
        <f t="shared" si="172"/>
        <v>#N/A</v>
      </c>
      <c r="CE354" t="e">
        <v>#N/A</v>
      </c>
      <c r="CF354" t="e">
        <v>#N/A</v>
      </c>
    </row>
    <row r="355" spans="2:84">
      <c r="B355">
        <v>343</v>
      </c>
      <c r="C355">
        <f>IF(ISNUMBER(K355),IF('Lab test'!N346&gt;0,'Lab test'!N346,NA()),NA())</f>
        <v>381</v>
      </c>
      <c r="D355">
        <f>IF(ISNUMBER(K355),IF('Lab test'!Q346&gt;0,'Lab test'!Q346,NA()),NA())</f>
        <v>691.42403787149306</v>
      </c>
      <c r="E355">
        <f>IF(ISNUMBER(K355),IF('Lab test'!P346&gt;0,'Lab test'!P346,NA()),NA())</f>
        <v>3.8030125884214498E-2</v>
      </c>
      <c r="F355">
        <f>IF(ISNUMBER(K355),IF('Lab test'!AJ346&gt;0,'Lab test'!AJ346,NA()),NA())</f>
        <v>3.3333333333333333E-2</v>
      </c>
      <c r="G355">
        <f>IF('Lab test'!V346&gt;0,'Lab test'!V346,NA())</f>
        <v>70050.734098590561</v>
      </c>
      <c r="H355">
        <f>IF(MAX('Lab test'!W346,'Lab test'!X346)&gt;0,MAX('Lab test'!W346,'Lab test'!X346),NA())</f>
        <v>262.62130529678291</v>
      </c>
      <c r="I355">
        <f>IF('Lab test'!AU346&gt;0,'Lab test'!AU346,NA())</f>
        <v>0.10234953006038332</v>
      </c>
      <c r="J355">
        <f>IF('Lab test'!AT346&gt;0,'Lab test'!AT346,NA())</f>
        <v>0.43835797819999983</v>
      </c>
      <c r="K355">
        <f t="shared" si="173"/>
        <v>1</v>
      </c>
      <c r="L355" t="str">
        <f>'Lab test'!AC346</f>
        <v>LTWb</v>
      </c>
      <c r="X355" t="e">
        <v>#N/A</v>
      </c>
      <c r="Z355" t="e">
        <f t="shared" si="163"/>
        <v>#N/A</v>
      </c>
      <c r="AB355" t="e">
        <f t="shared" si="162"/>
        <v>#N/A</v>
      </c>
      <c r="AC355" t="e">
        <f t="shared" si="164"/>
        <v>#N/A</v>
      </c>
      <c r="AE355" t="e">
        <v>#N/A</v>
      </c>
      <c r="AF355" t="e">
        <v>#N/A</v>
      </c>
      <c r="AP355" t="e">
        <v>#N/A</v>
      </c>
      <c r="AR355" t="e">
        <f t="shared" si="165"/>
        <v>#N/A</v>
      </c>
      <c r="AT355" t="e">
        <f t="shared" si="166"/>
        <v>#N/A</v>
      </c>
      <c r="AU355" t="e">
        <f t="shared" si="167"/>
        <v>#N/A</v>
      </c>
      <c r="AW355" t="e">
        <v>#N/A</v>
      </c>
      <c r="AX355" t="e">
        <v>#N/A</v>
      </c>
      <c r="BG355" t="e">
        <v>#N/A</v>
      </c>
      <c r="BI355" t="e">
        <f t="shared" si="168"/>
        <v>#N/A</v>
      </c>
      <c r="BK355" t="e">
        <f t="shared" si="169"/>
        <v>#N/A</v>
      </c>
      <c r="BL355" t="e">
        <f t="shared" si="170"/>
        <v>#N/A</v>
      </c>
      <c r="BN355" t="e">
        <v>#N/A</v>
      </c>
      <c r="BO355" t="e">
        <v>#N/A</v>
      </c>
      <c r="BX355" t="e">
        <v>#N/A</v>
      </c>
      <c r="BZ355" t="e">
        <f t="shared" si="171"/>
        <v>#N/A</v>
      </c>
      <c r="CB355" t="e">
        <f t="shared" si="174"/>
        <v>#N/A</v>
      </c>
      <c r="CC355" t="e">
        <f t="shared" si="172"/>
        <v>#N/A</v>
      </c>
      <c r="CE355" t="e">
        <v>#N/A</v>
      </c>
      <c r="CF355" t="e">
        <v>#N/A</v>
      </c>
    </row>
    <row r="356" spans="2:84">
      <c r="B356">
        <v>344</v>
      </c>
      <c r="C356">
        <f>IF(ISNUMBER(K356),IF('Lab test'!N347&gt;0,'Lab test'!N347,NA()),NA())</f>
        <v>381</v>
      </c>
      <c r="D356">
        <f>IF(ISNUMBER(K356),IF('Lab test'!Q347&gt;0,'Lab test'!Q347,NA()),NA())</f>
        <v>685.65016720983283</v>
      </c>
      <c r="E356">
        <f>IF(ISNUMBER(K356),IF('Lab test'!P347&gt;0,'Lab test'!P347,NA()),NA())</f>
        <v>5.7284874493659224E-2</v>
      </c>
      <c r="F356">
        <f>IF(ISNUMBER(K356),IF('Lab test'!AJ347&gt;0,'Lab test'!AJ347,NA()),NA())</f>
        <v>3.3333333333333333E-2</v>
      </c>
      <c r="G356">
        <f>IF('Lab test'!V347&gt;0,'Lab test'!V347,NA())</f>
        <v>70050.734098590561</v>
      </c>
      <c r="H356">
        <f>IF(MAX('Lab test'!W347,'Lab test'!X347)&gt;0,MAX('Lab test'!W347,'Lab test'!X347),NA())</f>
        <v>262.62130529678291</v>
      </c>
      <c r="I356">
        <f>IF('Lab test'!AU347&gt;0,'Lab test'!AU347,NA())</f>
        <v>0.11255220792859019</v>
      </c>
      <c r="J356">
        <f>IF('Lab test'!AT347&gt;0,'Lab test'!AT347,NA())</f>
        <v>0.47803004479999994</v>
      </c>
      <c r="K356">
        <f t="shared" si="173"/>
        <v>1</v>
      </c>
      <c r="L356" t="str">
        <f>'Lab test'!AC347</f>
        <v>LTWb</v>
      </c>
      <c r="X356" t="e">
        <v>#N/A</v>
      </c>
      <c r="Z356" t="e">
        <f t="shared" si="163"/>
        <v>#N/A</v>
      </c>
      <c r="AB356" t="e">
        <f t="shared" si="162"/>
        <v>#N/A</v>
      </c>
      <c r="AC356" t="e">
        <f t="shared" si="164"/>
        <v>#N/A</v>
      </c>
      <c r="AE356" t="e">
        <v>#N/A</v>
      </c>
      <c r="AF356" t="e">
        <v>#N/A</v>
      </c>
      <c r="AP356" t="e">
        <v>#N/A</v>
      </c>
      <c r="AR356" t="e">
        <f t="shared" si="165"/>
        <v>#N/A</v>
      </c>
      <c r="AT356" t="e">
        <f t="shared" si="166"/>
        <v>#N/A</v>
      </c>
      <c r="AU356" t="e">
        <f t="shared" si="167"/>
        <v>#N/A</v>
      </c>
      <c r="AW356" t="e">
        <v>#N/A</v>
      </c>
      <c r="AX356" t="e">
        <v>#N/A</v>
      </c>
      <c r="BG356" t="e">
        <v>#N/A</v>
      </c>
      <c r="BI356" t="e">
        <f t="shared" si="168"/>
        <v>#N/A</v>
      </c>
      <c r="BK356" t="e">
        <f t="shared" si="169"/>
        <v>#N/A</v>
      </c>
      <c r="BL356" t="e">
        <f t="shared" si="170"/>
        <v>#N/A</v>
      </c>
      <c r="BN356" t="e">
        <v>#N/A</v>
      </c>
      <c r="BO356" t="e">
        <v>#N/A</v>
      </c>
      <c r="BX356" t="e">
        <v>#N/A</v>
      </c>
      <c r="BZ356" t="e">
        <f t="shared" si="171"/>
        <v>#N/A</v>
      </c>
      <c r="CB356" t="e">
        <f t="shared" si="174"/>
        <v>#N/A</v>
      </c>
      <c r="CC356" t="e">
        <f t="shared" si="172"/>
        <v>#N/A</v>
      </c>
      <c r="CE356" t="e">
        <v>#N/A</v>
      </c>
      <c r="CF356" t="e">
        <v>#N/A</v>
      </c>
    </row>
    <row r="357" spans="2:84">
      <c r="B357">
        <v>345</v>
      </c>
      <c r="C357">
        <f>IF(ISNUMBER(K357),IF('Lab test'!N348&gt;0,'Lab test'!N348,NA()),NA())</f>
        <v>381</v>
      </c>
      <c r="D357">
        <f>IF(ISNUMBER(K357),IF('Lab test'!Q348&gt;0,'Lab test'!Q348,NA()),NA())</f>
        <v>685.65016720983283</v>
      </c>
      <c r="E357">
        <f>IF(ISNUMBER(K357),IF('Lab test'!P348&gt;0,'Lab test'!P348,NA()),NA())</f>
        <v>5.7284874493659224E-2</v>
      </c>
      <c r="F357">
        <f>IF(ISNUMBER(K357),IF('Lab test'!AJ348&gt;0,'Lab test'!AJ348,NA()),NA())</f>
        <v>3.3333333333333333E-2</v>
      </c>
      <c r="G357">
        <f>IF('Lab test'!V348&gt;0,'Lab test'!V348,NA())</f>
        <v>70050.734098590561</v>
      </c>
      <c r="H357">
        <f>IF(MAX('Lab test'!W348,'Lab test'!X348)&gt;0,MAX('Lab test'!W348,'Lab test'!X348),NA())</f>
        <v>262.62130529678291</v>
      </c>
      <c r="I357">
        <f>IF('Lab test'!AU348&gt;0,'Lab test'!AU348,NA())</f>
        <v>0.12546493042793386</v>
      </c>
      <c r="J357">
        <f>IF('Lab test'!AT348&gt;0,'Lab test'!AT348,NA())</f>
        <v>0.53287276559999996</v>
      </c>
      <c r="K357">
        <f t="shared" si="173"/>
        <v>1</v>
      </c>
      <c r="L357" t="str">
        <f>'Lab test'!AC348</f>
        <v>LTWb</v>
      </c>
      <c r="X357" t="e">
        <v>#N/A</v>
      </c>
      <c r="Z357" t="e">
        <f t="shared" si="163"/>
        <v>#N/A</v>
      </c>
      <c r="AB357" t="e">
        <f t="shared" si="162"/>
        <v>#N/A</v>
      </c>
      <c r="AC357" t="e">
        <f t="shared" si="164"/>
        <v>#N/A</v>
      </c>
      <c r="AE357" t="e">
        <v>#N/A</v>
      </c>
      <c r="AF357" t="e">
        <v>#N/A</v>
      </c>
      <c r="AP357" t="e">
        <v>#N/A</v>
      </c>
      <c r="AR357" t="e">
        <f t="shared" si="165"/>
        <v>#N/A</v>
      </c>
      <c r="AT357" t="e">
        <f t="shared" si="166"/>
        <v>#N/A</v>
      </c>
      <c r="AU357" t="e">
        <f t="shared" si="167"/>
        <v>#N/A</v>
      </c>
      <c r="AW357" t="e">
        <v>#N/A</v>
      </c>
      <c r="AX357" t="e">
        <v>#N/A</v>
      </c>
      <c r="BG357" t="e">
        <v>#N/A</v>
      </c>
      <c r="BI357" t="e">
        <f t="shared" si="168"/>
        <v>#N/A</v>
      </c>
      <c r="BK357" t="e">
        <f t="shared" si="169"/>
        <v>#N/A</v>
      </c>
      <c r="BL357" t="e">
        <f t="shared" si="170"/>
        <v>#N/A</v>
      </c>
      <c r="BN357" t="e">
        <v>#N/A</v>
      </c>
      <c r="BO357" t="e">
        <v>#N/A</v>
      </c>
      <c r="BX357" t="e">
        <v>#N/A</v>
      </c>
      <c r="BZ357" t="e">
        <f t="shared" si="171"/>
        <v>#N/A</v>
      </c>
      <c r="CB357" t="e">
        <f t="shared" si="174"/>
        <v>#N/A</v>
      </c>
      <c r="CC357" t="e">
        <f t="shared" si="172"/>
        <v>#N/A</v>
      </c>
      <c r="CE357" t="e">
        <v>#N/A</v>
      </c>
      <c r="CF357" t="e">
        <v>#N/A</v>
      </c>
    </row>
    <row r="358" spans="2:84">
      <c r="B358">
        <v>346</v>
      </c>
      <c r="C358">
        <f>IF(ISNUMBER(K358),IF('Lab test'!N349&gt;0,'Lab test'!N349,NA()),NA())</f>
        <v>190.5</v>
      </c>
      <c r="D358">
        <f>IF(ISNUMBER(K358),IF('Lab test'!Q349&gt;0,'Lab test'!Q349,NA()),NA())</f>
        <v>651.51533436731233</v>
      </c>
      <c r="E358">
        <f>IF(ISNUMBER(K358),IF('Lab test'!P349&gt;0,'Lab test'!P349,NA()),NA())</f>
        <v>1.9588793289498415E-2</v>
      </c>
      <c r="F358">
        <f>IF(ISNUMBER(K358),IF('Lab test'!AJ349&gt;0,'Lab test'!AJ349,NA()),NA())</f>
        <v>6.6666666666666666E-2</v>
      </c>
      <c r="G358">
        <f>IF('Lab test'!V349&gt;0,'Lab test'!V349,NA())</f>
        <v>72705.215656460379</v>
      </c>
      <c r="H358">
        <f>IF(MAX('Lab test'!W349,'Lab test'!X349)&gt;0,MAX('Lab test'!W349,'Lab test'!X349),NA())</f>
        <v>253.72706838859571</v>
      </c>
      <c r="I358">
        <f>IF('Lab test'!AU349&gt;0,'Lab test'!AU349,NA())</f>
        <v>0.1641036970108696</v>
      </c>
      <c r="J358">
        <f>IF('Lab test'!AT349&gt;0,'Lab test'!AT349,NA())</f>
        <v>0.61648933120000005</v>
      </c>
      <c r="K358">
        <f t="shared" si="173"/>
        <v>1</v>
      </c>
      <c r="L358" t="str">
        <f>'Lab test'!AC349</f>
        <v>LTWb</v>
      </c>
      <c r="X358" t="e">
        <v>#N/A</v>
      </c>
      <c r="Z358" t="e">
        <f t="shared" si="163"/>
        <v>#N/A</v>
      </c>
      <c r="AB358" t="e">
        <f t="shared" si="162"/>
        <v>#N/A</v>
      </c>
      <c r="AC358" t="e">
        <f t="shared" si="164"/>
        <v>#N/A</v>
      </c>
      <c r="AE358" t="e">
        <v>#N/A</v>
      </c>
      <c r="AF358" t="e">
        <v>#N/A</v>
      </c>
      <c r="AP358" t="e">
        <v>#N/A</v>
      </c>
      <c r="AR358" t="e">
        <f t="shared" si="165"/>
        <v>#N/A</v>
      </c>
      <c r="AT358" t="e">
        <f t="shared" si="166"/>
        <v>#N/A</v>
      </c>
      <c r="AU358" t="e">
        <f t="shared" si="167"/>
        <v>#N/A</v>
      </c>
      <c r="AW358" t="e">
        <v>#N/A</v>
      </c>
      <c r="AX358" t="e">
        <v>#N/A</v>
      </c>
      <c r="BG358" t="e">
        <v>#N/A</v>
      </c>
      <c r="BI358" t="e">
        <f t="shared" si="168"/>
        <v>#N/A</v>
      </c>
      <c r="BK358" t="e">
        <f t="shared" si="169"/>
        <v>#N/A</v>
      </c>
      <c r="BL358" t="e">
        <f t="shared" si="170"/>
        <v>#N/A</v>
      </c>
      <c r="BN358" t="e">
        <v>#N/A</v>
      </c>
      <c r="BO358" t="e">
        <v>#N/A</v>
      </c>
      <c r="BX358" t="e">
        <v>#N/A</v>
      </c>
      <c r="BZ358" t="e">
        <f t="shared" si="171"/>
        <v>#N/A</v>
      </c>
      <c r="CB358" t="e">
        <f t="shared" si="174"/>
        <v>#N/A</v>
      </c>
      <c r="CC358" t="e">
        <f t="shared" si="172"/>
        <v>#N/A</v>
      </c>
      <c r="CE358" t="e">
        <v>#N/A</v>
      </c>
      <c r="CF358" t="e">
        <v>#N/A</v>
      </c>
    </row>
    <row r="359" spans="2:84">
      <c r="B359">
        <v>347</v>
      </c>
      <c r="C359">
        <f>IF(ISNUMBER(K359),IF('Lab test'!N350&gt;0,'Lab test'!N350,NA()),NA())</f>
        <v>190.5</v>
      </c>
      <c r="D359">
        <f>IF(ISNUMBER(K359),IF('Lab test'!Q350&gt;0,'Lab test'!Q350,NA()),NA())</f>
        <v>657.14395042113222</v>
      </c>
      <c r="E359">
        <f>IF(ISNUMBER(K359),IF('Lab test'!P350&gt;0,'Lab test'!P350,NA()),NA())</f>
        <v>1.9504721215294556E-2</v>
      </c>
      <c r="F359">
        <f>IF(ISNUMBER(K359),IF('Lab test'!AJ350&gt;0,'Lab test'!AJ350,NA()),NA())</f>
        <v>6.6666666666666666E-2</v>
      </c>
      <c r="G359">
        <f>IF('Lab test'!V350&gt;0,'Lab test'!V350,NA())</f>
        <v>72705.215656460379</v>
      </c>
      <c r="H359">
        <f>IF(MAX('Lab test'!W350,'Lab test'!X350)&gt;0,MAX('Lab test'!W350,'Lab test'!X350),NA())</f>
        <v>253.72706838859571</v>
      </c>
      <c r="I359">
        <f>IF('Lab test'!AU350&gt;0,'Lab test'!AU350,NA())</f>
        <v>0.1492295160326087</v>
      </c>
      <c r="J359">
        <f>IF('Lab test'!AT350&gt;0,'Lab test'!AT350,NA())</f>
        <v>0.56545467995999987</v>
      </c>
      <c r="K359">
        <f t="shared" si="173"/>
        <v>1</v>
      </c>
      <c r="L359" t="str">
        <f>'Lab test'!AC350</f>
        <v>LTWb</v>
      </c>
      <c r="X359" t="e">
        <v>#N/A</v>
      </c>
      <c r="Z359" t="e">
        <f t="shared" si="163"/>
        <v>#N/A</v>
      </c>
      <c r="AB359" t="e">
        <f t="shared" si="162"/>
        <v>#N/A</v>
      </c>
      <c r="AC359" t="e">
        <f t="shared" si="164"/>
        <v>#N/A</v>
      </c>
      <c r="AE359" t="e">
        <v>#N/A</v>
      </c>
      <c r="AF359" t="e">
        <v>#N/A</v>
      </c>
      <c r="AP359" t="e">
        <v>#N/A</v>
      </c>
      <c r="AR359" t="e">
        <f t="shared" si="165"/>
        <v>#N/A</v>
      </c>
      <c r="AT359" t="e">
        <f t="shared" si="166"/>
        <v>#N/A</v>
      </c>
      <c r="AU359" t="e">
        <f t="shared" si="167"/>
        <v>#N/A</v>
      </c>
      <c r="AW359" t="e">
        <v>#N/A</v>
      </c>
      <c r="AX359" t="e">
        <v>#N/A</v>
      </c>
      <c r="BG359" t="e">
        <v>#N/A</v>
      </c>
      <c r="BI359" t="e">
        <f t="shared" si="168"/>
        <v>#N/A</v>
      </c>
      <c r="BK359" t="e">
        <f t="shared" si="169"/>
        <v>#N/A</v>
      </c>
      <c r="BL359" t="e">
        <f t="shared" si="170"/>
        <v>#N/A</v>
      </c>
      <c r="BN359" t="e">
        <v>#N/A</v>
      </c>
      <c r="BO359" t="e">
        <v>#N/A</v>
      </c>
      <c r="BX359" t="e">
        <v>#N/A</v>
      </c>
      <c r="BZ359" t="e">
        <f t="shared" si="171"/>
        <v>#N/A</v>
      </c>
      <c r="CB359" t="e">
        <f t="shared" si="174"/>
        <v>#N/A</v>
      </c>
      <c r="CC359" t="e">
        <f t="shared" si="172"/>
        <v>#N/A</v>
      </c>
      <c r="CE359" t="e">
        <v>#N/A</v>
      </c>
      <c r="CF359" t="e">
        <v>#N/A</v>
      </c>
    </row>
    <row r="360" spans="2:84">
      <c r="B360">
        <v>348</v>
      </c>
      <c r="C360">
        <f>IF(ISNUMBER(K360),IF('Lab test'!N351&gt;0,'Lab test'!N351,NA()),NA())</f>
        <v>190.5</v>
      </c>
      <c r="D360">
        <f>IF(ISNUMBER(K360),IF('Lab test'!Q351&gt;0,'Lab test'!Q351,NA()),NA())</f>
        <v>691.42403787149306</v>
      </c>
      <c r="E360">
        <f>IF(ISNUMBER(K360),IF('Lab test'!P351&gt;0,'Lab test'!P351,NA()),NA())</f>
        <v>1.9015062942107249E-2</v>
      </c>
      <c r="F360">
        <f>IF(ISNUMBER(K360),IF('Lab test'!AJ351&gt;0,'Lab test'!AJ351,NA()),NA())</f>
        <v>6.6666666666666666E-2</v>
      </c>
      <c r="G360">
        <f>IF('Lab test'!V351&gt;0,'Lab test'!V351,NA())</f>
        <v>72705.215656460379</v>
      </c>
      <c r="H360">
        <f>IF(MAX('Lab test'!W351,'Lab test'!X351)&gt;0,MAX('Lab test'!W351,'Lab test'!X351),NA())</f>
        <v>253.72706838859571</v>
      </c>
      <c r="I360">
        <f>IF('Lab test'!AU351&gt;0,'Lab test'!AU351,NA())</f>
        <v>9.4701550271739141E-2</v>
      </c>
      <c r="J360">
        <f>IF('Lab test'!AT351&gt;0,'Lab test'!AT351,NA())</f>
        <v>0.3775583857999999</v>
      </c>
      <c r="K360">
        <f t="shared" si="173"/>
        <v>1</v>
      </c>
      <c r="L360" t="str">
        <f>'Lab test'!AC351</f>
        <v>LTWb</v>
      </c>
      <c r="X360" t="e">
        <v>#N/A</v>
      </c>
      <c r="Z360" t="e">
        <f t="shared" si="163"/>
        <v>#N/A</v>
      </c>
      <c r="AB360" t="e">
        <f t="shared" si="162"/>
        <v>#N/A</v>
      </c>
      <c r="AC360" t="e">
        <f t="shared" si="164"/>
        <v>#N/A</v>
      </c>
      <c r="AE360" t="e">
        <v>#N/A</v>
      </c>
      <c r="AF360" t="e">
        <v>#N/A</v>
      </c>
      <c r="AP360" t="e">
        <v>#N/A</v>
      </c>
      <c r="AR360" t="e">
        <f t="shared" si="165"/>
        <v>#N/A</v>
      </c>
      <c r="AT360" t="e">
        <f t="shared" si="166"/>
        <v>#N/A</v>
      </c>
      <c r="AU360" t="e">
        <f t="shared" si="167"/>
        <v>#N/A</v>
      </c>
      <c r="AW360" t="e">
        <v>#N/A</v>
      </c>
      <c r="AX360" t="e">
        <v>#N/A</v>
      </c>
      <c r="BG360" t="e">
        <v>#N/A</v>
      </c>
      <c r="BI360" t="e">
        <f t="shared" si="168"/>
        <v>#N/A</v>
      </c>
      <c r="BK360" t="e">
        <f t="shared" si="169"/>
        <v>#N/A</v>
      </c>
      <c r="BL360" t="e">
        <f t="shared" si="170"/>
        <v>#N/A</v>
      </c>
      <c r="BN360" t="e">
        <v>#N/A</v>
      </c>
      <c r="BO360" t="e">
        <v>#N/A</v>
      </c>
      <c r="BX360" t="e">
        <v>#N/A</v>
      </c>
      <c r="BZ360" t="e">
        <f t="shared" si="171"/>
        <v>#N/A</v>
      </c>
      <c r="CB360" t="e">
        <f t="shared" si="174"/>
        <v>#N/A</v>
      </c>
      <c r="CC360" t="e">
        <f t="shared" si="172"/>
        <v>#N/A</v>
      </c>
      <c r="CE360" t="e">
        <v>#N/A</v>
      </c>
      <c r="CF360" t="e">
        <v>#N/A</v>
      </c>
    </row>
    <row r="361" spans="2:84">
      <c r="B361">
        <v>349</v>
      </c>
      <c r="C361">
        <f>IF(ISNUMBER(K361),IF('Lab test'!N352&gt;0,'Lab test'!N352,NA()),NA())</f>
        <v>190.5</v>
      </c>
      <c r="D361">
        <f>IF(ISNUMBER(K361),IF('Lab test'!Q352&gt;0,'Lab test'!Q352,NA()),NA())</f>
        <v>629.2429611651005</v>
      </c>
      <c r="E361">
        <f>IF(ISNUMBER(K361),IF('Lab test'!P352&gt;0,'Lab test'!P352,NA()),NA())</f>
        <v>1.9932456329665053E-2</v>
      </c>
      <c r="F361">
        <f>IF(ISNUMBER(K361),IF('Lab test'!AJ352&gt;0,'Lab test'!AJ352,NA()),NA())</f>
        <v>6.6666666666666666E-2</v>
      </c>
      <c r="G361">
        <f>IF('Lab test'!V352&gt;0,'Lab test'!V352,NA())</f>
        <v>72705.215656460379</v>
      </c>
      <c r="H361">
        <f>IF(MAX('Lab test'!W352,'Lab test'!X352)&gt;0,MAX('Lab test'!W352,'Lab test'!X352),NA())</f>
        <v>253.72706838859571</v>
      </c>
      <c r="I361">
        <f>IF('Lab test'!AU352&gt;0,'Lab test'!AU352,NA())</f>
        <v>0.15542986141304346</v>
      </c>
      <c r="J361">
        <f>IF('Lab test'!AT352&gt;0,'Lab test'!AT352,NA())</f>
        <v>0.56394322559999988</v>
      </c>
      <c r="K361">
        <f t="shared" si="173"/>
        <v>1</v>
      </c>
      <c r="L361" t="str">
        <f>'Lab test'!AC352</f>
        <v>LTWb</v>
      </c>
      <c r="X361" t="e">
        <v>#N/A</v>
      </c>
      <c r="Z361" t="e">
        <f t="shared" si="163"/>
        <v>#N/A</v>
      </c>
      <c r="AB361" t="e">
        <f t="shared" si="162"/>
        <v>#N/A</v>
      </c>
      <c r="AC361" t="e">
        <f t="shared" si="164"/>
        <v>#N/A</v>
      </c>
      <c r="AE361" t="e">
        <v>#N/A</v>
      </c>
      <c r="AF361" t="e">
        <v>#N/A</v>
      </c>
      <c r="AP361" t="e">
        <v>#N/A</v>
      </c>
      <c r="AR361" t="e">
        <f t="shared" si="165"/>
        <v>#N/A</v>
      </c>
      <c r="AT361" t="e">
        <f t="shared" si="166"/>
        <v>#N/A</v>
      </c>
      <c r="AU361" t="e">
        <f t="shared" si="167"/>
        <v>#N/A</v>
      </c>
      <c r="AW361" t="e">
        <v>#N/A</v>
      </c>
      <c r="AX361" t="e">
        <v>#N/A</v>
      </c>
      <c r="BG361" t="e">
        <v>#N/A</v>
      </c>
      <c r="BI361" t="e">
        <f t="shared" si="168"/>
        <v>#N/A</v>
      </c>
      <c r="BK361" t="e">
        <f t="shared" si="169"/>
        <v>#N/A</v>
      </c>
      <c r="BL361" t="e">
        <f t="shared" si="170"/>
        <v>#N/A</v>
      </c>
      <c r="BN361" t="e">
        <v>#N/A</v>
      </c>
      <c r="BO361" t="e">
        <v>#N/A</v>
      </c>
      <c r="BX361" t="e">
        <v>#N/A</v>
      </c>
      <c r="BZ361" t="e">
        <f t="shared" si="171"/>
        <v>#N/A</v>
      </c>
      <c r="CB361" t="e">
        <f t="shared" si="174"/>
        <v>#N/A</v>
      </c>
      <c r="CC361" t="e">
        <f t="shared" si="172"/>
        <v>#N/A</v>
      </c>
      <c r="CE361" t="e">
        <v>#N/A</v>
      </c>
      <c r="CF361" t="e">
        <v>#N/A</v>
      </c>
    </row>
    <row r="362" spans="2:84">
      <c r="B362">
        <v>350</v>
      </c>
      <c r="C362">
        <f>IF(ISNUMBER(K362),IF('Lab test'!N353&gt;0,'Lab test'!N353,NA()),NA())</f>
        <v>190.5</v>
      </c>
      <c r="D362">
        <f>IF(ISNUMBER(K362),IF('Lab test'!Q353&gt;0,'Lab test'!Q353,NA()),NA())</f>
        <v>662.79677557625882</v>
      </c>
      <c r="E362">
        <f>IF(ISNUMBER(K362),IF('Lab test'!P353&gt;0,'Lab test'!P353,NA()),NA())</f>
        <v>2.5247778017575731E-2</v>
      </c>
      <c r="F362">
        <f>IF(ISNUMBER(K362),IF('Lab test'!AJ353&gt;0,'Lab test'!AJ353,NA()),NA())</f>
        <v>6.6666666666666666E-2</v>
      </c>
      <c r="G362">
        <f>IF('Lab test'!V353&gt;0,'Lab test'!V353,NA())</f>
        <v>72705.215656460379</v>
      </c>
      <c r="H362">
        <f>IF(MAX('Lab test'!W353,'Lab test'!X353)&gt;0,MAX('Lab test'!W353,'Lab test'!X353),NA())</f>
        <v>253.72706838859571</v>
      </c>
      <c r="I362">
        <f>IF('Lab test'!AU353&gt;0,'Lab test'!AU353,NA())</f>
        <v>0.11069957608695653</v>
      </c>
      <c r="J362">
        <f>IF('Lab test'!AT353&gt;0,'Lab test'!AT353,NA())</f>
        <v>0.42306675839999996</v>
      </c>
      <c r="K362">
        <f t="shared" si="173"/>
        <v>1</v>
      </c>
      <c r="L362" t="str">
        <f>'Lab test'!AC353</f>
        <v>LTWb</v>
      </c>
      <c r="X362" t="e">
        <v>#N/A</v>
      </c>
      <c r="Z362" t="e">
        <f t="shared" si="163"/>
        <v>#N/A</v>
      </c>
      <c r="AB362" t="e">
        <f t="shared" si="162"/>
        <v>#N/A</v>
      </c>
      <c r="AC362" t="e">
        <f t="shared" si="164"/>
        <v>#N/A</v>
      </c>
      <c r="AE362" t="e">
        <v>#N/A</v>
      </c>
      <c r="AF362" t="e">
        <v>#N/A</v>
      </c>
      <c r="AP362" t="e">
        <v>#N/A</v>
      </c>
      <c r="AR362" t="e">
        <f t="shared" si="165"/>
        <v>#N/A</v>
      </c>
      <c r="AT362" t="e">
        <f t="shared" si="166"/>
        <v>#N/A</v>
      </c>
      <c r="AU362" t="e">
        <f t="shared" si="167"/>
        <v>#N/A</v>
      </c>
      <c r="AW362" t="e">
        <v>#N/A</v>
      </c>
      <c r="AX362" t="e">
        <v>#N/A</v>
      </c>
      <c r="BG362" t="e">
        <v>#N/A</v>
      </c>
      <c r="BI362" t="e">
        <f t="shared" si="168"/>
        <v>#N/A</v>
      </c>
      <c r="BK362" t="e">
        <f t="shared" si="169"/>
        <v>#N/A</v>
      </c>
      <c r="BL362" t="e">
        <f t="shared" si="170"/>
        <v>#N/A</v>
      </c>
      <c r="BN362" t="e">
        <v>#N/A</v>
      </c>
      <c r="BO362" t="e">
        <v>#N/A</v>
      </c>
      <c r="BX362" t="e">
        <v>#N/A</v>
      </c>
      <c r="BZ362" t="e">
        <f t="shared" si="171"/>
        <v>#N/A</v>
      </c>
      <c r="CB362" t="e">
        <f t="shared" si="174"/>
        <v>#N/A</v>
      </c>
      <c r="CC362" t="e">
        <f t="shared" si="172"/>
        <v>#N/A</v>
      </c>
      <c r="CE362" t="e">
        <v>#N/A</v>
      </c>
      <c r="CF362" t="e">
        <v>#N/A</v>
      </c>
    </row>
    <row r="363" spans="2:84">
      <c r="B363">
        <v>351</v>
      </c>
      <c r="C363">
        <f>IF(ISNUMBER(K363),IF('Lab test'!N354&gt;0,'Lab test'!N354,NA()),NA())</f>
        <v>190.5</v>
      </c>
      <c r="D363">
        <f>IF(ISNUMBER(K363),IF('Lab test'!Q354&gt;0,'Lab test'!Q354,NA()),NA())</f>
        <v>662.79677557625882</v>
      </c>
      <c r="E363">
        <f>IF(ISNUMBER(K363),IF('Lab test'!P354&gt;0,'Lab test'!P354,NA()),NA())</f>
        <v>2.5247778017575731E-2</v>
      </c>
      <c r="F363">
        <f>IF(ISNUMBER(K363),IF('Lab test'!AJ354&gt;0,'Lab test'!AJ354,NA()),NA())</f>
        <v>6.6666666666666666E-2</v>
      </c>
      <c r="G363">
        <f>IF('Lab test'!V354&gt;0,'Lab test'!V354,NA())</f>
        <v>72705.215656460379</v>
      </c>
      <c r="H363">
        <f>IF(MAX('Lab test'!W354,'Lab test'!X354)&gt;0,MAX('Lab test'!W354,'Lab test'!X354),NA())</f>
        <v>253.72706838859571</v>
      </c>
      <c r="I363">
        <f>IF('Lab test'!AU354&gt;0,'Lab test'!AU354,NA())</f>
        <v>0.16189274290760869</v>
      </c>
      <c r="J363">
        <f>IF('Lab test'!AT354&gt;0,'Lab test'!AT354,NA())</f>
        <v>0.61871454590399988</v>
      </c>
      <c r="K363">
        <f t="shared" si="173"/>
        <v>1</v>
      </c>
      <c r="L363" t="str">
        <f>'Lab test'!AC354</f>
        <v>LTWb</v>
      </c>
      <c r="X363" t="e">
        <v>#N/A</v>
      </c>
      <c r="Z363" t="e">
        <f t="shared" si="163"/>
        <v>#N/A</v>
      </c>
      <c r="AB363" t="e">
        <f t="shared" si="162"/>
        <v>#N/A</v>
      </c>
      <c r="AC363" t="e">
        <f t="shared" si="164"/>
        <v>#N/A</v>
      </c>
      <c r="AE363" t="e">
        <v>#N/A</v>
      </c>
      <c r="AF363" t="e">
        <v>#N/A</v>
      </c>
      <c r="AP363" t="e">
        <v>#N/A</v>
      </c>
      <c r="AR363" t="e">
        <f t="shared" si="165"/>
        <v>#N/A</v>
      </c>
      <c r="AT363" t="e">
        <f t="shared" si="166"/>
        <v>#N/A</v>
      </c>
      <c r="AU363" t="e">
        <f t="shared" si="167"/>
        <v>#N/A</v>
      </c>
      <c r="AW363" t="e">
        <v>#N/A</v>
      </c>
      <c r="AX363" t="e">
        <v>#N/A</v>
      </c>
      <c r="BG363" t="e">
        <v>#N/A</v>
      </c>
      <c r="BI363" t="e">
        <f t="shared" si="168"/>
        <v>#N/A</v>
      </c>
      <c r="BK363" t="e">
        <f t="shared" si="169"/>
        <v>#N/A</v>
      </c>
      <c r="BL363" t="e">
        <f t="shared" si="170"/>
        <v>#N/A</v>
      </c>
      <c r="BN363" t="e">
        <v>#N/A</v>
      </c>
      <c r="BO363" t="e">
        <v>#N/A</v>
      </c>
      <c r="BX363" t="e">
        <v>#N/A</v>
      </c>
      <c r="BZ363" t="e">
        <f t="shared" si="171"/>
        <v>#N/A</v>
      </c>
      <c r="CB363" t="e">
        <f t="shared" si="174"/>
        <v>#N/A</v>
      </c>
      <c r="CC363" t="e">
        <f t="shared" si="172"/>
        <v>#N/A</v>
      </c>
      <c r="CE363" t="e">
        <v>#N/A</v>
      </c>
      <c r="CF363" t="e">
        <v>#N/A</v>
      </c>
    </row>
    <row r="364" spans="2:84">
      <c r="B364">
        <v>352</v>
      </c>
      <c r="C364">
        <f>IF(ISNUMBER(K364),IF('Lab test'!N355&gt;0,'Lab test'!N355,NA()),NA())</f>
        <v>190.5</v>
      </c>
      <c r="D364">
        <f>IF(ISNUMBER(K364),IF('Lab test'!Q355&gt;0,'Lab test'!Q355,NA()),NA())</f>
        <v>668.47380983269215</v>
      </c>
      <c r="E364">
        <f>IF(ISNUMBER(K364),IF('Lab test'!P355&gt;0,'Lab test'!P355,NA()),NA())</f>
        <v>2.5140340664309455E-2</v>
      </c>
      <c r="F364">
        <f>IF(ISNUMBER(K364),IF('Lab test'!AJ355&gt;0,'Lab test'!AJ355,NA()),NA())</f>
        <v>6.6666666666666666E-2</v>
      </c>
      <c r="G364">
        <f>IF('Lab test'!V355&gt;0,'Lab test'!V355,NA())</f>
        <v>72705.215656460379</v>
      </c>
      <c r="H364">
        <f>IF(MAX('Lab test'!W355,'Lab test'!X355)&gt;0,MAX('Lab test'!W355,'Lab test'!X355),NA())</f>
        <v>253.72706838859571</v>
      </c>
      <c r="I364">
        <f>IF('Lab test'!AU355&gt;0,'Lab test'!AU355,NA())</f>
        <v>0.11297763994565219</v>
      </c>
      <c r="J364">
        <f>IF('Lab test'!AT355&gt;0,'Lab test'!AT355,NA())</f>
        <v>0.43547121499999997</v>
      </c>
      <c r="K364">
        <f t="shared" si="173"/>
        <v>1</v>
      </c>
      <c r="L364" t="str">
        <f>'Lab test'!AC355</f>
        <v>LTWb</v>
      </c>
      <c r="X364" t="e">
        <v>#N/A</v>
      </c>
      <c r="Z364" t="e">
        <f t="shared" si="163"/>
        <v>#N/A</v>
      </c>
      <c r="AB364" t="e">
        <f t="shared" si="162"/>
        <v>#N/A</v>
      </c>
      <c r="AC364" t="e">
        <f t="shared" si="164"/>
        <v>#N/A</v>
      </c>
      <c r="AE364" t="e">
        <v>#N/A</v>
      </c>
      <c r="AF364" t="e">
        <v>#N/A</v>
      </c>
      <c r="AP364" t="e">
        <v>#N/A</v>
      </c>
      <c r="AR364" t="e">
        <f t="shared" si="165"/>
        <v>#N/A</v>
      </c>
      <c r="AT364" t="e">
        <f t="shared" si="166"/>
        <v>#N/A</v>
      </c>
      <c r="AU364" t="e">
        <f t="shared" si="167"/>
        <v>#N/A</v>
      </c>
      <c r="AW364" t="e">
        <v>#N/A</v>
      </c>
      <c r="AX364" t="e">
        <v>#N/A</v>
      </c>
      <c r="BG364" t="e">
        <v>#N/A</v>
      </c>
      <c r="BI364" t="e">
        <f t="shared" si="168"/>
        <v>#N/A</v>
      </c>
      <c r="BK364" t="e">
        <f t="shared" si="169"/>
        <v>#N/A</v>
      </c>
      <c r="BL364" t="e">
        <f t="shared" si="170"/>
        <v>#N/A</v>
      </c>
      <c r="BN364" t="e">
        <v>#N/A</v>
      </c>
      <c r="BO364" t="e">
        <v>#N/A</v>
      </c>
      <c r="BX364" t="e">
        <v>#N/A</v>
      </c>
      <c r="BZ364" t="e">
        <f t="shared" si="171"/>
        <v>#N/A</v>
      </c>
      <c r="CB364" t="e">
        <f t="shared" si="174"/>
        <v>#N/A</v>
      </c>
      <c r="CC364" t="e">
        <f t="shared" si="172"/>
        <v>#N/A</v>
      </c>
      <c r="CE364" t="e">
        <v>#N/A</v>
      </c>
      <c r="CF364" t="e">
        <v>#N/A</v>
      </c>
    </row>
    <row r="365" spans="2:84">
      <c r="B365">
        <v>353</v>
      </c>
      <c r="C365">
        <f>IF(ISNUMBER(K365),IF('Lab test'!N356&gt;0,'Lab test'!N356,NA()),NA())</f>
        <v>190.5</v>
      </c>
      <c r="D365">
        <f>IF(ISNUMBER(K365),IF('Lab test'!Q356&gt;0,'Lab test'!Q356,NA()),NA())</f>
        <v>720.65652769939629</v>
      </c>
      <c r="E365">
        <f>IF(ISNUMBER(K365),IF('Lab test'!P356&gt;0,'Lab test'!P356,NA()),NA())</f>
        <v>3.7250820025931407E-2</v>
      </c>
      <c r="F365">
        <f>IF(ISNUMBER(K365),IF('Lab test'!AJ356&gt;0,'Lab test'!AJ356,NA()),NA())</f>
        <v>6.6666666666666666E-2</v>
      </c>
      <c r="G365">
        <f>IF('Lab test'!V356&gt;0,'Lab test'!V356,NA())</f>
        <v>72705.215656460379</v>
      </c>
      <c r="H365">
        <f>IF(MAX('Lab test'!W356,'Lab test'!X356)&gt;0,MAX('Lab test'!W356,'Lab test'!X356),NA())</f>
        <v>253.72706838859571</v>
      </c>
      <c r="I365">
        <f>IF('Lab test'!AU356&gt;0,'Lab test'!AU356,NA())</f>
        <v>0.11069957608695653</v>
      </c>
      <c r="J365">
        <f>IF('Lab test'!AT356&gt;0,'Lab test'!AT356,NA())</f>
        <v>0.4599989504</v>
      </c>
      <c r="K365">
        <f t="shared" si="173"/>
        <v>1</v>
      </c>
      <c r="L365" t="str">
        <f>'Lab test'!AC356</f>
        <v>LTWb</v>
      </c>
      <c r="X365" t="e">
        <v>#N/A</v>
      </c>
      <c r="Z365" t="e">
        <f t="shared" si="163"/>
        <v>#N/A</v>
      </c>
      <c r="AB365" t="e">
        <f t="shared" si="162"/>
        <v>#N/A</v>
      </c>
      <c r="AC365" t="e">
        <f t="shared" si="164"/>
        <v>#N/A</v>
      </c>
      <c r="AE365" t="e">
        <v>#N/A</v>
      </c>
      <c r="AF365" t="e">
        <v>#N/A</v>
      </c>
      <c r="AP365" t="e">
        <v>#N/A</v>
      </c>
      <c r="AR365" t="e">
        <f t="shared" si="165"/>
        <v>#N/A</v>
      </c>
      <c r="AT365" t="e">
        <f t="shared" si="166"/>
        <v>#N/A</v>
      </c>
      <c r="AU365" t="e">
        <f t="shared" si="167"/>
        <v>#N/A</v>
      </c>
      <c r="AW365" t="e">
        <v>#N/A</v>
      </c>
      <c r="AX365" t="e">
        <v>#N/A</v>
      </c>
      <c r="BG365" t="e">
        <v>#N/A</v>
      </c>
      <c r="BI365" t="e">
        <f t="shared" si="168"/>
        <v>#N/A</v>
      </c>
      <c r="BK365" t="e">
        <f t="shared" si="169"/>
        <v>#N/A</v>
      </c>
      <c r="BL365" t="e">
        <f t="shared" si="170"/>
        <v>#N/A</v>
      </c>
      <c r="BN365" t="e">
        <v>#N/A</v>
      </c>
      <c r="BO365" t="e">
        <v>#N/A</v>
      </c>
      <c r="BX365" t="e">
        <v>#N/A</v>
      </c>
      <c r="BZ365" t="e">
        <f t="shared" si="171"/>
        <v>#N/A</v>
      </c>
      <c r="CB365" t="e">
        <f t="shared" si="174"/>
        <v>#N/A</v>
      </c>
      <c r="CC365" t="e">
        <f t="shared" si="172"/>
        <v>#N/A</v>
      </c>
      <c r="CE365" t="e">
        <v>#N/A</v>
      </c>
      <c r="CF365" t="e">
        <v>#N/A</v>
      </c>
    </row>
    <row r="366" spans="2:84">
      <c r="B366">
        <v>354</v>
      </c>
      <c r="C366">
        <f>IF(ISNUMBER(K366),IF('Lab test'!N357&gt;0,'Lab test'!N357,NA()),NA())</f>
        <v>190.5</v>
      </c>
      <c r="D366">
        <f>IF(ISNUMBER(K366),IF('Lab test'!Q357&gt;0,'Lab test'!Q357,NA()),NA())</f>
        <v>668.47380983269215</v>
      </c>
      <c r="E366">
        <f>IF(ISNUMBER(K366),IF('Lab test'!P357&gt;0,'Lab test'!P357,NA()),NA())</f>
        <v>3.8677447175860698E-2</v>
      </c>
      <c r="F366">
        <f>IF(ISNUMBER(K366),IF('Lab test'!AJ357&gt;0,'Lab test'!AJ357,NA()),NA())</f>
        <v>6.6666666666666666E-2</v>
      </c>
      <c r="G366">
        <f>IF('Lab test'!V357&gt;0,'Lab test'!V357,NA())</f>
        <v>72705.215656460379</v>
      </c>
      <c r="H366">
        <f>IF(MAX('Lab test'!W357,'Lab test'!X357)&gt;0,MAX('Lab test'!W357,'Lab test'!X357),NA())</f>
        <v>253.72706838859571</v>
      </c>
      <c r="I366">
        <f>IF('Lab test'!AU357&gt;0,'Lab test'!AU357,NA())</f>
        <v>9.5334823369565225E-2</v>
      </c>
      <c r="J366">
        <f>IF('Lab test'!AT357&gt;0,'Lab test'!AT357,NA())</f>
        <v>0.36746714999999996</v>
      </c>
      <c r="K366">
        <f t="shared" si="173"/>
        <v>1</v>
      </c>
      <c r="L366" t="str">
        <f>'Lab test'!AC357</f>
        <v>LTWb</v>
      </c>
      <c r="X366" t="e">
        <v>#N/A</v>
      </c>
      <c r="Z366" t="e">
        <f t="shared" si="163"/>
        <v>#N/A</v>
      </c>
      <c r="AB366" t="e">
        <f t="shared" si="162"/>
        <v>#N/A</v>
      </c>
      <c r="AC366" t="e">
        <f t="shared" si="164"/>
        <v>#N/A</v>
      </c>
      <c r="AE366" t="e">
        <v>#N/A</v>
      </c>
      <c r="AF366" t="e">
        <v>#N/A</v>
      </c>
      <c r="AP366" t="e">
        <v>#N/A</v>
      </c>
      <c r="AR366" t="e">
        <f t="shared" si="165"/>
        <v>#N/A</v>
      </c>
      <c r="AT366" t="e">
        <f t="shared" si="166"/>
        <v>#N/A</v>
      </c>
      <c r="AU366" t="e">
        <f t="shared" si="167"/>
        <v>#N/A</v>
      </c>
      <c r="AW366" t="e">
        <v>#N/A</v>
      </c>
      <c r="AX366" t="e">
        <v>#N/A</v>
      </c>
      <c r="BG366" t="e">
        <v>#N/A</v>
      </c>
      <c r="BI366" t="e">
        <f t="shared" si="168"/>
        <v>#N/A</v>
      </c>
      <c r="BK366" t="e">
        <f t="shared" si="169"/>
        <v>#N/A</v>
      </c>
      <c r="BL366" t="e">
        <f t="shared" si="170"/>
        <v>#N/A</v>
      </c>
      <c r="BN366" t="e">
        <v>#N/A</v>
      </c>
      <c r="BO366" t="e">
        <v>#N/A</v>
      </c>
      <c r="BX366" t="e">
        <v>#N/A</v>
      </c>
      <c r="BZ366" t="e">
        <f t="shared" si="171"/>
        <v>#N/A</v>
      </c>
      <c r="CB366" t="e">
        <f t="shared" si="174"/>
        <v>#N/A</v>
      </c>
      <c r="CC366" t="e">
        <f t="shared" si="172"/>
        <v>#N/A</v>
      </c>
      <c r="CE366" t="e">
        <v>#N/A</v>
      </c>
      <c r="CF366" t="e">
        <v>#N/A</v>
      </c>
    </row>
    <row r="367" spans="2:84">
      <c r="B367">
        <v>355</v>
      </c>
      <c r="C367">
        <f>IF(ISNUMBER(K367),IF('Lab test'!N358&gt;0,'Lab test'!N358,NA()),NA())</f>
        <v>190.5</v>
      </c>
      <c r="D367">
        <f>IF(ISNUMBER(K367),IF('Lab test'!Q358&gt;0,'Lab test'!Q358,NA()),NA())</f>
        <v>651.51533436731233</v>
      </c>
      <c r="E367">
        <f>IF(ISNUMBER(K367),IF('Lab test'!P358&gt;0,'Lab test'!P358,NA()),NA())</f>
        <v>3.917758657899683E-2</v>
      </c>
      <c r="F367">
        <f>IF(ISNUMBER(K367),IF('Lab test'!AJ358&gt;0,'Lab test'!AJ358,NA()),NA())</f>
        <v>6.6666666666666666E-2</v>
      </c>
      <c r="G367">
        <f>IF('Lab test'!V358&gt;0,'Lab test'!V358,NA())</f>
        <v>72705.215656460379</v>
      </c>
      <c r="H367">
        <f>IF(MAX('Lab test'!W358,'Lab test'!X358)&gt;0,MAX('Lab test'!W358,'Lab test'!X358),NA())</f>
        <v>253.72706838859571</v>
      </c>
      <c r="I367">
        <f>IF('Lab test'!AU358&gt;0,'Lab test'!AU358,NA())</f>
        <v>0.15126914254076088</v>
      </c>
      <c r="J367">
        <f>IF('Lab test'!AT358&gt;0,'Lab test'!AT358,NA())</f>
        <v>0.56827368435199987</v>
      </c>
      <c r="K367">
        <f t="shared" si="173"/>
        <v>1</v>
      </c>
      <c r="L367" t="str">
        <f>'Lab test'!AC358</f>
        <v>LTWb</v>
      </c>
      <c r="X367" t="e">
        <v>#N/A</v>
      </c>
      <c r="Z367" t="e">
        <f t="shared" si="163"/>
        <v>#N/A</v>
      </c>
      <c r="AB367" t="e">
        <f t="shared" si="162"/>
        <v>#N/A</v>
      </c>
      <c r="AC367" t="e">
        <f t="shared" si="164"/>
        <v>#N/A</v>
      </c>
      <c r="AE367" t="e">
        <v>#N/A</v>
      </c>
      <c r="AF367" t="e">
        <v>#N/A</v>
      </c>
      <c r="AP367" t="e">
        <v>#N/A</v>
      </c>
      <c r="AR367" t="e">
        <f t="shared" si="165"/>
        <v>#N/A</v>
      </c>
      <c r="AT367" t="e">
        <f t="shared" si="166"/>
        <v>#N/A</v>
      </c>
      <c r="AU367" t="e">
        <f t="shared" si="167"/>
        <v>#N/A</v>
      </c>
      <c r="AW367" t="e">
        <v>#N/A</v>
      </c>
      <c r="AX367" t="e">
        <v>#N/A</v>
      </c>
      <c r="BG367" t="e">
        <v>#N/A</v>
      </c>
      <c r="BI367" t="e">
        <f t="shared" si="168"/>
        <v>#N/A</v>
      </c>
      <c r="BK367" t="e">
        <f t="shared" si="169"/>
        <v>#N/A</v>
      </c>
      <c r="BL367" t="e">
        <f t="shared" si="170"/>
        <v>#N/A</v>
      </c>
      <c r="BN367" t="e">
        <v>#N/A</v>
      </c>
      <c r="BO367" t="e">
        <v>#N/A</v>
      </c>
      <c r="BX367" t="e">
        <v>#N/A</v>
      </c>
      <c r="BZ367" t="e">
        <f t="shared" si="171"/>
        <v>#N/A</v>
      </c>
      <c r="CB367" t="e">
        <f t="shared" si="174"/>
        <v>#N/A</v>
      </c>
      <c r="CC367" t="e">
        <f t="shared" si="172"/>
        <v>#N/A</v>
      </c>
      <c r="CE367" t="e">
        <v>#N/A</v>
      </c>
      <c r="CF367" t="e">
        <v>#N/A</v>
      </c>
    </row>
    <row r="368" spans="2:84">
      <c r="B368">
        <v>356</v>
      </c>
      <c r="C368">
        <f>IF(ISNUMBER(K368),IF('Lab test'!N359&gt;0,'Lab test'!N359,NA()),NA())</f>
        <v>190.5</v>
      </c>
      <c r="D368">
        <f>IF(ISNUMBER(K368),IF('Lab test'!Q359&gt;0,'Lab test'!Q359,NA()),NA())</f>
        <v>651.51533436731233</v>
      </c>
      <c r="E368">
        <f>IF(ISNUMBER(K368),IF('Lab test'!P359&gt;0,'Lab test'!P359,NA()),NA())</f>
        <v>3.917758657899683E-2</v>
      </c>
      <c r="F368">
        <f>IF(ISNUMBER(K368),IF('Lab test'!AJ359&gt;0,'Lab test'!AJ359,NA()),NA())</f>
        <v>6.6666666666666666E-2</v>
      </c>
      <c r="G368">
        <f>IF('Lab test'!V359&gt;0,'Lab test'!V359,NA())</f>
        <v>72705.215656460379</v>
      </c>
      <c r="H368">
        <f>IF(MAX('Lab test'!W359,'Lab test'!X359)&gt;0,MAX('Lab test'!W359,'Lab test'!X359),NA())</f>
        <v>253.72706838859571</v>
      </c>
      <c r="I368">
        <f>IF('Lab test'!AU359&gt;0,'Lab test'!AU359,NA())</f>
        <v>0.13478401222826086</v>
      </c>
      <c r="J368">
        <f>IF('Lab test'!AT359&gt;0,'Lab test'!AT359,NA())</f>
        <v>0.50634389759999987</v>
      </c>
      <c r="K368">
        <f t="shared" si="173"/>
        <v>1</v>
      </c>
      <c r="L368" t="str">
        <f>'Lab test'!AC359</f>
        <v>LTWb</v>
      </c>
      <c r="X368" t="e">
        <v>#N/A</v>
      </c>
      <c r="Z368" t="e">
        <f t="shared" si="163"/>
        <v>#N/A</v>
      </c>
      <c r="AB368" t="e">
        <f t="shared" ref="AB368:AB431" si="175">Z368</f>
        <v>#N/A</v>
      </c>
      <c r="AC368" t="e">
        <f t="shared" si="164"/>
        <v>#N/A</v>
      </c>
      <c r="AE368" t="e">
        <v>#N/A</v>
      </c>
      <c r="AF368" t="e">
        <v>#N/A</v>
      </c>
      <c r="AP368" t="e">
        <v>#N/A</v>
      </c>
      <c r="AR368" t="e">
        <f t="shared" si="165"/>
        <v>#N/A</v>
      </c>
      <c r="AT368" t="e">
        <f t="shared" si="166"/>
        <v>#N/A</v>
      </c>
      <c r="AU368" t="e">
        <f t="shared" si="167"/>
        <v>#N/A</v>
      </c>
      <c r="AW368" t="e">
        <v>#N/A</v>
      </c>
      <c r="AX368" t="e">
        <v>#N/A</v>
      </c>
      <c r="BG368" t="e">
        <v>#N/A</v>
      </c>
      <c r="BI368" t="e">
        <f t="shared" si="168"/>
        <v>#N/A</v>
      </c>
      <c r="BK368" t="e">
        <f t="shared" si="169"/>
        <v>#N/A</v>
      </c>
      <c r="BL368" t="e">
        <f t="shared" si="170"/>
        <v>#N/A</v>
      </c>
      <c r="BN368" t="e">
        <v>#N/A</v>
      </c>
      <c r="BO368" t="e">
        <v>#N/A</v>
      </c>
      <c r="BX368" t="e">
        <v>#N/A</v>
      </c>
      <c r="BZ368" t="e">
        <f t="shared" si="171"/>
        <v>#N/A</v>
      </c>
      <c r="CB368" t="e">
        <f t="shared" si="174"/>
        <v>#N/A</v>
      </c>
      <c r="CC368" t="e">
        <f t="shared" si="172"/>
        <v>#N/A</v>
      </c>
      <c r="CE368" t="e">
        <v>#N/A</v>
      </c>
      <c r="CF368" t="e">
        <v>#N/A</v>
      </c>
    </row>
    <row r="369" spans="2:84">
      <c r="B369">
        <v>357</v>
      </c>
      <c r="C369">
        <f>IF(ISNUMBER(K369),IF('Lab test'!N360&gt;0,'Lab test'!N360,NA()),NA())</f>
        <v>190.5</v>
      </c>
      <c r="D369">
        <f>IF(ISNUMBER(K369),IF('Lab test'!Q360&gt;0,'Lab test'!Q360,NA()),NA())</f>
        <v>685.65016720983283</v>
      </c>
      <c r="E369">
        <f>IF(ISNUMBER(K369),IF('Lab test'!P360&gt;0,'Lab test'!P360,NA()),NA())</f>
        <v>5.7284874493659224E-2</v>
      </c>
      <c r="F369">
        <f>IF(ISNUMBER(K369),IF('Lab test'!AJ360&gt;0,'Lab test'!AJ360,NA()),NA())</f>
        <v>6.6666666666666666E-2</v>
      </c>
      <c r="G369">
        <f>IF('Lab test'!V360&gt;0,'Lab test'!V360,NA())</f>
        <v>72705.215656460379</v>
      </c>
      <c r="H369">
        <f>IF(MAX('Lab test'!W360,'Lab test'!X360)&gt;0,MAX('Lab test'!W360,'Lab test'!X360),NA())</f>
        <v>253.72706838859571</v>
      </c>
      <c r="I369">
        <f>IF('Lab test'!AU360&gt;0,'Lab test'!AU360,NA())</f>
        <v>8.5534850543478272E-2</v>
      </c>
      <c r="J369">
        <f>IF('Lab test'!AT360&gt;0,'Lab test'!AT360,NA())</f>
        <v>0.33816467999999994</v>
      </c>
      <c r="K369">
        <f t="shared" si="173"/>
        <v>1</v>
      </c>
      <c r="L369" t="str">
        <f>'Lab test'!AC360</f>
        <v>LTWb</v>
      </c>
      <c r="X369" t="e">
        <v>#N/A</v>
      </c>
      <c r="Z369" t="e">
        <f t="shared" si="163"/>
        <v>#N/A</v>
      </c>
      <c r="AB369" t="e">
        <f t="shared" si="175"/>
        <v>#N/A</v>
      </c>
      <c r="AC369" t="e">
        <f t="shared" si="164"/>
        <v>#N/A</v>
      </c>
      <c r="AE369" t="e">
        <v>#N/A</v>
      </c>
      <c r="AF369" t="e">
        <v>#N/A</v>
      </c>
      <c r="AP369" t="e">
        <v>#N/A</v>
      </c>
      <c r="AR369" t="e">
        <f t="shared" si="165"/>
        <v>#N/A</v>
      </c>
      <c r="AT369" t="e">
        <f t="shared" si="166"/>
        <v>#N/A</v>
      </c>
      <c r="AU369" t="e">
        <f t="shared" si="167"/>
        <v>#N/A</v>
      </c>
      <c r="AW369" t="e">
        <v>#N/A</v>
      </c>
      <c r="AX369" t="e">
        <v>#N/A</v>
      </c>
      <c r="BG369" t="e">
        <v>#N/A</v>
      </c>
      <c r="BI369" t="e">
        <f t="shared" si="168"/>
        <v>#N/A</v>
      </c>
      <c r="BK369" t="e">
        <f t="shared" si="169"/>
        <v>#N/A</v>
      </c>
      <c r="BL369" t="e">
        <f t="shared" si="170"/>
        <v>#N/A</v>
      </c>
      <c r="BN369" t="e">
        <v>#N/A</v>
      </c>
      <c r="BO369" t="e">
        <v>#N/A</v>
      </c>
      <c r="BX369" t="e">
        <v>#N/A</v>
      </c>
      <c r="BZ369" t="e">
        <f t="shared" si="171"/>
        <v>#N/A</v>
      </c>
      <c r="CB369" t="e">
        <f t="shared" si="174"/>
        <v>#N/A</v>
      </c>
      <c r="CC369" t="e">
        <f t="shared" si="172"/>
        <v>#N/A</v>
      </c>
      <c r="CE369" t="e">
        <v>#N/A</v>
      </c>
      <c r="CF369" t="e">
        <v>#N/A</v>
      </c>
    </row>
    <row r="370" spans="2:84">
      <c r="B370">
        <v>358</v>
      </c>
      <c r="C370">
        <f>IF(ISNUMBER(K370),IF('Lab test'!N361&gt;0,'Lab test'!N361,NA()),NA())</f>
        <v>190.5</v>
      </c>
      <c r="D370">
        <f>IF(ISNUMBER(K370),IF('Lab test'!Q361&gt;0,'Lab test'!Q361,NA()),NA())</f>
        <v>645.9109274147994</v>
      </c>
      <c r="E370">
        <f>IF(ISNUMBER(K370),IF('Lab test'!P361&gt;0,'Lab test'!P361,NA()),NA())</f>
        <v>5.9020779781345858E-2</v>
      </c>
      <c r="F370">
        <f>IF(ISNUMBER(K370),IF('Lab test'!AJ361&gt;0,'Lab test'!AJ361,NA()),NA())</f>
        <v>6.6666666666666666E-2</v>
      </c>
      <c r="G370">
        <f>IF('Lab test'!V361&gt;0,'Lab test'!V361,NA())</f>
        <v>72705.215656460379</v>
      </c>
      <c r="H370">
        <f>IF(MAX('Lab test'!W361,'Lab test'!X361)&gt;0,MAX('Lab test'!W361,'Lab test'!X361),NA())</f>
        <v>253.72706838859571</v>
      </c>
      <c r="I370">
        <f>IF('Lab test'!AU361&gt;0,'Lab test'!AU361,NA())</f>
        <v>0.12940548913043479</v>
      </c>
      <c r="J370">
        <f>IF('Lab test'!AT361&gt;0,'Lab test'!AT361,NA())</f>
        <v>0.48195655200000015</v>
      </c>
      <c r="K370">
        <f t="shared" si="173"/>
        <v>1</v>
      </c>
      <c r="L370" t="str">
        <f>'Lab test'!AC361</f>
        <v>LTWb</v>
      </c>
      <c r="X370" t="e">
        <v>#N/A</v>
      </c>
      <c r="Z370" t="e">
        <f t="shared" si="163"/>
        <v>#N/A</v>
      </c>
      <c r="AB370" t="e">
        <f t="shared" si="175"/>
        <v>#N/A</v>
      </c>
      <c r="AC370" t="e">
        <f t="shared" si="164"/>
        <v>#N/A</v>
      </c>
      <c r="AE370" t="e">
        <v>#N/A</v>
      </c>
      <c r="AF370" t="e">
        <v>#N/A</v>
      </c>
      <c r="AP370" t="e">
        <v>#N/A</v>
      </c>
      <c r="AR370" t="e">
        <f t="shared" si="165"/>
        <v>#N/A</v>
      </c>
      <c r="AT370" t="e">
        <f t="shared" si="166"/>
        <v>#N/A</v>
      </c>
      <c r="AU370" t="e">
        <f t="shared" si="167"/>
        <v>#N/A</v>
      </c>
      <c r="AW370" t="e">
        <v>#N/A</v>
      </c>
      <c r="AX370" t="e">
        <v>#N/A</v>
      </c>
      <c r="BG370" t="e">
        <v>#N/A</v>
      </c>
      <c r="BI370" t="e">
        <f t="shared" si="168"/>
        <v>#N/A</v>
      </c>
      <c r="BK370" t="e">
        <f t="shared" si="169"/>
        <v>#N/A</v>
      </c>
      <c r="BL370" t="e">
        <f t="shared" si="170"/>
        <v>#N/A</v>
      </c>
      <c r="BN370" t="e">
        <v>#N/A</v>
      </c>
      <c r="BO370" t="e">
        <v>#N/A</v>
      </c>
      <c r="BX370" t="e">
        <v>#N/A</v>
      </c>
      <c r="BZ370" t="e">
        <f t="shared" si="171"/>
        <v>#N/A</v>
      </c>
      <c r="CB370" t="e">
        <f t="shared" si="174"/>
        <v>#N/A</v>
      </c>
      <c r="CC370" t="e">
        <f t="shared" si="172"/>
        <v>#N/A</v>
      </c>
      <c r="CE370" t="e">
        <v>#N/A</v>
      </c>
      <c r="CF370" t="e">
        <v>#N/A</v>
      </c>
    </row>
    <row r="371" spans="2:84">
      <c r="B371">
        <v>359</v>
      </c>
      <c r="C371">
        <f>IF(ISNUMBER(K371),IF('Lab test'!N362&gt;0,'Lab test'!N362,NA()),NA())</f>
        <v>190.5</v>
      </c>
      <c r="D371">
        <f>IF(ISNUMBER(K371),IF('Lab test'!Q362&gt;0,'Lab test'!Q362,NA()),NA())</f>
        <v>640.33072956359285</v>
      </c>
      <c r="E371">
        <f>IF(ISNUMBER(K371),IF('Lab test'!P362&gt;0,'Lab test'!P362,NA()),NA())</f>
        <v>5.9277391867351717E-2</v>
      </c>
      <c r="F371">
        <f>IF(ISNUMBER(K371),IF('Lab test'!AJ362&gt;0,'Lab test'!AJ362,NA()),NA())</f>
        <v>6.6666666666666666E-2</v>
      </c>
      <c r="G371">
        <f>IF('Lab test'!V362&gt;0,'Lab test'!V362,NA())</f>
        <v>72705.215656460379</v>
      </c>
      <c r="H371">
        <f>IF(MAX('Lab test'!W362,'Lab test'!X362)&gt;0,MAX('Lab test'!W362,'Lab test'!X362),NA())</f>
        <v>253.72706838859571</v>
      </c>
      <c r="I371">
        <f>IF('Lab test'!AU362&gt;0,'Lab test'!AU362,NA())</f>
        <v>0.1452229891304348</v>
      </c>
      <c r="J371">
        <f>IF('Lab test'!AT362&gt;0,'Lab test'!AT362,NA())</f>
        <v>0.53619439999999985</v>
      </c>
      <c r="K371">
        <f t="shared" si="173"/>
        <v>1</v>
      </c>
      <c r="L371" t="str">
        <f>'Lab test'!AC362</f>
        <v>LTWb</v>
      </c>
      <c r="X371" t="e">
        <v>#N/A</v>
      </c>
      <c r="Z371" t="e">
        <f t="shared" si="163"/>
        <v>#N/A</v>
      </c>
      <c r="AB371" t="e">
        <f t="shared" si="175"/>
        <v>#N/A</v>
      </c>
      <c r="AC371" t="e">
        <f t="shared" si="164"/>
        <v>#N/A</v>
      </c>
      <c r="AE371" t="e">
        <v>#N/A</v>
      </c>
      <c r="AF371" t="e">
        <v>#N/A</v>
      </c>
      <c r="AP371" t="e">
        <v>#N/A</v>
      </c>
      <c r="AR371" t="e">
        <f t="shared" si="165"/>
        <v>#N/A</v>
      </c>
      <c r="AT371" t="e">
        <f t="shared" si="166"/>
        <v>#N/A</v>
      </c>
      <c r="AU371" t="e">
        <f t="shared" si="167"/>
        <v>#N/A</v>
      </c>
      <c r="AW371" t="e">
        <v>#N/A</v>
      </c>
      <c r="AX371" t="e">
        <v>#N/A</v>
      </c>
      <c r="BG371" t="e">
        <v>#N/A</v>
      </c>
      <c r="BI371" t="e">
        <f t="shared" si="168"/>
        <v>#N/A</v>
      </c>
      <c r="BK371" t="e">
        <f t="shared" si="169"/>
        <v>#N/A</v>
      </c>
      <c r="BL371" t="e">
        <f t="shared" si="170"/>
        <v>#N/A</v>
      </c>
      <c r="BN371" t="e">
        <v>#N/A</v>
      </c>
      <c r="BO371" t="e">
        <v>#N/A</v>
      </c>
      <c r="BX371" t="e">
        <v>#N/A</v>
      </c>
      <c r="BZ371" t="e">
        <f t="shared" si="171"/>
        <v>#N/A</v>
      </c>
      <c r="CB371" t="e">
        <f t="shared" si="174"/>
        <v>#N/A</v>
      </c>
      <c r="CC371" t="e">
        <f t="shared" si="172"/>
        <v>#N/A</v>
      </c>
      <c r="CE371" t="e">
        <v>#N/A</v>
      </c>
      <c r="CF371" t="e">
        <v>#N/A</v>
      </c>
    </row>
    <row r="372" spans="2:84">
      <c r="B372">
        <v>360</v>
      </c>
      <c r="C372">
        <f>IF(ISNUMBER(K372),IF('Lab test'!N363&gt;0,'Lab test'!N363,NA()),NA())</f>
        <v>190.5</v>
      </c>
      <c r="D372">
        <f>IF(ISNUMBER(K372),IF('Lab test'!Q363&gt;0,'Lab test'!Q363,NA()),NA())</f>
        <v>640.33072956359285</v>
      </c>
      <c r="E372">
        <f>IF(ISNUMBER(K372),IF('Lab test'!P363&gt;0,'Lab test'!P363,NA()),NA())</f>
        <v>5.9277391867351717E-2</v>
      </c>
      <c r="F372">
        <f>IF(ISNUMBER(K372),IF('Lab test'!AJ363&gt;0,'Lab test'!AJ363,NA()),NA())</f>
        <v>6.6666666666666666E-2</v>
      </c>
      <c r="G372">
        <f>IF('Lab test'!V363&gt;0,'Lab test'!V363,NA())</f>
        <v>72705.215656460379</v>
      </c>
      <c r="H372">
        <f>IF(MAX('Lab test'!W363,'Lab test'!X363)&gt;0,MAX('Lab test'!W363,'Lab test'!X363),NA())</f>
        <v>253.72706838859571</v>
      </c>
      <c r="I372">
        <f>IF('Lab test'!AU363&gt;0,'Lab test'!AU363,NA())</f>
        <v>0.11145606521739131</v>
      </c>
      <c r="J372">
        <f>IF('Lab test'!AT363&gt;0,'Lab test'!AT363,NA())</f>
        <v>0.41151967999999983</v>
      </c>
      <c r="K372">
        <f t="shared" si="173"/>
        <v>1</v>
      </c>
      <c r="L372" t="str">
        <f>'Lab test'!AC363</f>
        <v>LTWb</v>
      </c>
      <c r="X372" t="e">
        <v>#N/A</v>
      </c>
      <c r="Z372" t="e">
        <f t="shared" si="163"/>
        <v>#N/A</v>
      </c>
      <c r="AB372" t="e">
        <f t="shared" si="175"/>
        <v>#N/A</v>
      </c>
      <c r="AC372" t="e">
        <f t="shared" si="164"/>
        <v>#N/A</v>
      </c>
      <c r="AE372" t="e">
        <v>#N/A</v>
      </c>
      <c r="AF372" t="e">
        <v>#N/A</v>
      </c>
      <c r="AP372" t="e">
        <v>#N/A</v>
      </c>
      <c r="AR372" t="e">
        <f t="shared" si="165"/>
        <v>#N/A</v>
      </c>
      <c r="AT372" t="e">
        <f t="shared" si="166"/>
        <v>#N/A</v>
      </c>
      <c r="AU372" t="e">
        <f t="shared" si="167"/>
        <v>#N/A</v>
      </c>
      <c r="AW372" t="e">
        <v>#N/A</v>
      </c>
      <c r="AX372" t="e">
        <v>#N/A</v>
      </c>
      <c r="BG372" t="e">
        <v>#N/A</v>
      </c>
      <c r="BI372" t="e">
        <f t="shared" si="168"/>
        <v>#N/A</v>
      </c>
      <c r="BK372" t="e">
        <f t="shared" si="169"/>
        <v>#N/A</v>
      </c>
      <c r="BL372" t="e">
        <f t="shared" si="170"/>
        <v>#N/A</v>
      </c>
      <c r="BN372" t="e">
        <v>#N/A</v>
      </c>
      <c r="BO372" t="e">
        <v>#N/A</v>
      </c>
      <c r="BX372" t="e">
        <v>#N/A</v>
      </c>
      <c r="BZ372" t="e">
        <f t="shared" si="171"/>
        <v>#N/A</v>
      </c>
      <c r="CB372" t="e">
        <f t="shared" si="174"/>
        <v>#N/A</v>
      </c>
      <c r="CC372" t="e">
        <f t="shared" si="172"/>
        <v>#N/A</v>
      </c>
      <c r="CE372" t="e">
        <v>#N/A</v>
      </c>
      <c r="CF372" t="e">
        <v>#N/A</v>
      </c>
    </row>
    <row r="373" spans="2:84">
      <c r="B373">
        <v>361</v>
      </c>
      <c r="C373">
        <f>IF(ISNUMBER(K373),IF('Lab test'!N364&gt;0,'Lab test'!N364,NA()),NA())</f>
        <v>190.5</v>
      </c>
      <c r="D373">
        <f>IF(ISNUMBER(K373),IF('Lab test'!Q364&gt;0,'Lab test'!Q364,NA()),NA())</f>
        <v>662.79677557625882</v>
      </c>
      <c r="E373">
        <f>IF(ISNUMBER(K373),IF('Lab test'!P364&gt;0,'Lab test'!P364,NA()),NA())</f>
        <v>7.7685470823309941E-2</v>
      </c>
      <c r="F373">
        <f>IF(ISNUMBER(K373),IF('Lab test'!AJ364&gt;0,'Lab test'!AJ364,NA()),NA())</f>
        <v>6.6666666666666666E-2</v>
      </c>
      <c r="G373">
        <f>IF('Lab test'!V364&gt;0,'Lab test'!V364,NA())</f>
        <v>72705.215656460379</v>
      </c>
      <c r="H373">
        <f>IF(MAX('Lab test'!W364,'Lab test'!X364)&gt;0,MAX('Lab test'!W364,'Lab test'!X364),NA())</f>
        <v>253.72706838859571</v>
      </c>
      <c r="I373">
        <f>IF('Lab test'!AU364&gt;0,'Lab test'!AU364,NA())</f>
        <v>0.13028519429347829</v>
      </c>
      <c r="J373">
        <f>IF('Lab test'!AT364&gt;0,'Lab test'!AT364,NA())</f>
        <v>0.49791821040000001</v>
      </c>
      <c r="K373">
        <f t="shared" si="173"/>
        <v>1</v>
      </c>
      <c r="L373" t="str">
        <f>'Lab test'!AC364</f>
        <v>LTWb</v>
      </c>
      <c r="X373" t="e">
        <v>#N/A</v>
      </c>
      <c r="Z373" t="e">
        <f t="shared" si="163"/>
        <v>#N/A</v>
      </c>
      <c r="AB373" t="e">
        <f t="shared" si="175"/>
        <v>#N/A</v>
      </c>
      <c r="AC373" t="e">
        <f t="shared" si="164"/>
        <v>#N/A</v>
      </c>
      <c r="AE373" t="e">
        <v>#N/A</v>
      </c>
      <c r="AF373" t="e">
        <v>#N/A</v>
      </c>
      <c r="AP373" t="e">
        <v>#N/A</v>
      </c>
      <c r="AR373" t="e">
        <f t="shared" si="165"/>
        <v>#N/A</v>
      </c>
      <c r="AT373" t="e">
        <f t="shared" si="166"/>
        <v>#N/A</v>
      </c>
      <c r="AU373" t="e">
        <f t="shared" si="167"/>
        <v>#N/A</v>
      </c>
      <c r="AW373" t="e">
        <v>#N/A</v>
      </c>
      <c r="AX373" t="e">
        <v>#N/A</v>
      </c>
      <c r="BG373" t="e">
        <v>#N/A</v>
      </c>
      <c r="BI373" t="e">
        <f t="shared" si="168"/>
        <v>#N/A</v>
      </c>
      <c r="BK373" t="e">
        <f t="shared" si="169"/>
        <v>#N/A</v>
      </c>
      <c r="BL373" t="e">
        <f t="shared" si="170"/>
        <v>#N/A</v>
      </c>
      <c r="BN373" t="e">
        <v>#N/A</v>
      </c>
      <c r="BO373" t="e">
        <v>#N/A</v>
      </c>
      <c r="BX373" t="e">
        <v>#N/A</v>
      </c>
      <c r="BZ373" t="e">
        <f t="shared" si="171"/>
        <v>#N/A</v>
      </c>
      <c r="CB373" t="e">
        <f t="shared" si="174"/>
        <v>#N/A</v>
      </c>
      <c r="CC373" t="e">
        <f t="shared" si="172"/>
        <v>#N/A</v>
      </c>
      <c r="CE373" t="e">
        <v>#N/A</v>
      </c>
      <c r="CF373" t="e">
        <v>#N/A</v>
      </c>
    </row>
    <row r="374" spans="2:84">
      <c r="B374">
        <v>362</v>
      </c>
      <c r="C374">
        <f>IF(ISNUMBER(K374),IF('Lab test'!N365&gt;0,'Lab test'!N365,NA()),NA())</f>
        <v>190.5</v>
      </c>
      <c r="D374">
        <f>IF(ISNUMBER(K374),IF('Lab test'!Q365&gt;0,'Lab test'!Q365,NA()),NA())</f>
        <v>674.17505319043255</v>
      </c>
      <c r="E374">
        <f>IF(ISNUMBER(K374),IF('Lab test'!P365&gt;0,'Lab test'!P365,NA()),NA())</f>
        <v>7.7027119375654762E-2</v>
      </c>
      <c r="F374">
        <f>IF(ISNUMBER(K374),IF('Lab test'!AJ365&gt;0,'Lab test'!AJ365,NA()),NA())</f>
        <v>6.6666666666666666E-2</v>
      </c>
      <c r="G374">
        <f>IF('Lab test'!V365&gt;0,'Lab test'!V365,NA())</f>
        <v>72705.215656460379</v>
      </c>
      <c r="H374">
        <f>IF(MAX('Lab test'!W365,'Lab test'!X365)&gt;0,MAX('Lab test'!W365,'Lab test'!X365),NA())</f>
        <v>253.72706838859571</v>
      </c>
      <c r="I374">
        <f>IF('Lab test'!AU365&gt;0,'Lab test'!AU365,NA())</f>
        <v>0.11450494565217392</v>
      </c>
      <c r="J374">
        <f>IF('Lab test'!AT365&gt;0,'Lab test'!AT365,NA())</f>
        <v>0.44512243200000001</v>
      </c>
      <c r="K374">
        <f t="shared" si="173"/>
        <v>1</v>
      </c>
      <c r="L374" t="str">
        <f>'Lab test'!AC365</f>
        <v>LTWb</v>
      </c>
      <c r="X374" t="e">
        <v>#N/A</v>
      </c>
      <c r="Z374" t="e">
        <f t="shared" si="163"/>
        <v>#N/A</v>
      </c>
      <c r="AB374" t="e">
        <f t="shared" si="175"/>
        <v>#N/A</v>
      </c>
      <c r="AC374" t="e">
        <f t="shared" si="164"/>
        <v>#N/A</v>
      </c>
      <c r="AE374" t="e">
        <v>#N/A</v>
      </c>
      <c r="AF374" t="e">
        <v>#N/A</v>
      </c>
      <c r="AP374" t="e">
        <v>#N/A</v>
      </c>
      <c r="AR374" t="e">
        <f t="shared" si="165"/>
        <v>#N/A</v>
      </c>
      <c r="AT374" t="e">
        <f t="shared" si="166"/>
        <v>#N/A</v>
      </c>
      <c r="AU374" t="e">
        <f t="shared" si="167"/>
        <v>#N/A</v>
      </c>
      <c r="AW374" t="e">
        <v>#N/A</v>
      </c>
      <c r="AX374" t="e">
        <v>#N/A</v>
      </c>
      <c r="BG374" t="e">
        <v>#N/A</v>
      </c>
      <c r="BI374" t="e">
        <f t="shared" si="168"/>
        <v>#N/A</v>
      </c>
      <c r="BK374" t="e">
        <f t="shared" si="169"/>
        <v>#N/A</v>
      </c>
      <c r="BL374" t="e">
        <f t="shared" si="170"/>
        <v>#N/A</v>
      </c>
      <c r="BN374" t="e">
        <v>#N/A</v>
      </c>
      <c r="BO374" t="e">
        <v>#N/A</v>
      </c>
      <c r="BX374" t="e">
        <v>#N/A</v>
      </c>
      <c r="BZ374" t="e">
        <f t="shared" si="171"/>
        <v>#N/A</v>
      </c>
      <c r="CB374" t="e">
        <f t="shared" si="174"/>
        <v>#N/A</v>
      </c>
      <c r="CC374" t="e">
        <f t="shared" si="172"/>
        <v>#N/A</v>
      </c>
      <c r="CE374" t="e">
        <v>#N/A</v>
      </c>
      <c r="CF374" t="e">
        <v>#N/A</v>
      </c>
    </row>
    <row r="375" spans="2:84">
      <c r="B375">
        <v>363</v>
      </c>
      <c r="C375">
        <f>IF(ISNUMBER(K375),IF('Lab test'!N366&gt;0,'Lab test'!N366,NA()),NA())</f>
        <v>190.5</v>
      </c>
      <c r="D375">
        <f>IF(ISNUMBER(K375),IF('Lab test'!Q366&gt;0,'Lab test'!Q366,NA()),NA())</f>
        <v>629.2429611651005</v>
      </c>
      <c r="E375">
        <f>IF(ISNUMBER(K375),IF('Lab test'!P366&gt;0,'Lab test'!P366,NA()),NA())</f>
        <v>7.9729825318660213E-2</v>
      </c>
      <c r="F375">
        <f>IF(ISNUMBER(K375),IF('Lab test'!AJ366&gt;0,'Lab test'!AJ366,NA()),NA())</f>
        <v>6.6666666666666666E-2</v>
      </c>
      <c r="G375">
        <f>IF('Lab test'!V366&gt;0,'Lab test'!V366,NA())</f>
        <v>72705.215656460379</v>
      </c>
      <c r="H375">
        <f>IF(MAX('Lab test'!W366,'Lab test'!X366)&gt;0,MAX('Lab test'!W366,'Lab test'!X366),NA())</f>
        <v>253.72706838859571</v>
      </c>
      <c r="I375">
        <f>IF('Lab test'!AU366&gt;0,'Lab test'!AU366,NA())</f>
        <v>0.12852864945652173</v>
      </c>
      <c r="J375">
        <f>IF('Lab test'!AT366&gt;0,'Lab test'!AT366,NA())</f>
        <v>0.46633806719999993</v>
      </c>
      <c r="K375">
        <f t="shared" si="173"/>
        <v>1</v>
      </c>
      <c r="L375" t="str">
        <f>'Lab test'!AC366</f>
        <v>LTWb</v>
      </c>
      <c r="X375" t="e">
        <v>#N/A</v>
      </c>
      <c r="Z375" t="e">
        <f t="shared" si="163"/>
        <v>#N/A</v>
      </c>
      <c r="AB375" t="e">
        <f t="shared" si="175"/>
        <v>#N/A</v>
      </c>
      <c r="AC375" t="e">
        <f t="shared" si="164"/>
        <v>#N/A</v>
      </c>
      <c r="AE375" t="e">
        <v>#N/A</v>
      </c>
      <c r="AF375" t="e">
        <v>#N/A</v>
      </c>
      <c r="AP375" t="e">
        <v>#N/A</v>
      </c>
      <c r="AR375" t="e">
        <f t="shared" si="165"/>
        <v>#N/A</v>
      </c>
      <c r="AT375" t="e">
        <f t="shared" si="166"/>
        <v>#N/A</v>
      </c>
      <c r="AU375" t="e">
        <f t="shared" si="167"/>
        <v>#N/A</v>
      </c>
      <c r="AW375" t="e">
        <v>#N/A</v>
      </c>
      <c r="AX375" t="e">
        <v>#N/A</v>
      </c>
      <c r="BG375" t="e">
        <v>#N/A</v>
      </c>
      <c r="BI375" t="e">
        <f t="shared" si="168"/>
        <v>#N/A</v>
      </c>
      <c r="BK375" t="e">
        <f t="shared" si="169"/>
        <v>#N/A</v>
      </c>
      <c r="BL375" t="e">
        <f t="shared" si="170"/>
        <v>#N/A</v>
      </c>
      <c r="BN375" t="e">
        <v>#N/A</v>
      </c>
      <c r="BO375" t="e">
        <v>#N/A</v>
      </c>
      <c r="BX375" t="e">
        <v>#N/A</v>
      </c>
      <c r="BZ375" t="e">
        <f t="shared" si="171"/>
        <v>#N/A</v>
      </c>
      <c r="CB375" t="e">
        <f t="shared" si="174"/>
        <v>#N/A</v>
      </c>
      <c r="CC375" t="e">
        <f t="shared" si="172"/>
        <v>#N/A</v>
      </c>
      <c r="CE375" t="e">
        <v>#N/A</v>
      </c>
      <c r="CF375" t="e">
        <v>#N/A</v>
      </c>
    </row>
    <row r="376" spans="2:84">
      <c r="B376">
        <v>364</v>
      </c>
      <c r="C376">
        <f>IF(ISNUMBER(K376),IF('Lab test'!N367&gt;0,'Lab test'!N367,NA()),NA())</f>
        <v>190.5</v>
      </c>
      <c r="D376">
        <f>IF(ISNUMBER(K376),IF('Lab test'!Q367&gt;0,'Lab test'!Q367,NA()),NA())</f>
        <v>634.77474081369314</v>
      </c>
      <c r="E376">
        <f>IF(ISNUMBER(K376),IF('Lab test'!P367&gt;0,'Lab test'!P367,NA()),NA())</f>
        <v>9.922707517824525E-2</v>
      </c>
      <c r="F376">
        <f>IF(ISNUMBER(K376),IF('Lab test'!AJ367&gt;0,'Lab test'!AJ367,NA()),NA())</f>
        <v>6.6666666666666666E-2</v>
      </c>
      <c r="G376">
        <f>IF('Lab test'!V367&gt;0,'Lab test'!V367,NA())</f>
        <v>72705.215656460379</v>
      </c>
      <c r="H376">
        <f>IF(MAX('Lab test'!W367,'Lab test'!X367)&gt;0,MAX('Lab test'!W367,'Lab test'!X367),NA())</f>
        <v>253.72706838859571</v>
      </c>
      <c r="I376">
        <f>IF('Lab test'!AU367&gt;0,'Lab test'!AU367,NA())</f>
        <v>0.11374845652173914</v>
      </c>
      <c r="J376">
        <f>IF('Lab test'!AT367&gt;0,'Lab test'!AT367,NA())</f>
        <v>0.41633958719999981</v>
      </c>
      <c r="K376">
        <f t="shared" si="173"/>
        <v>1</v>
      </c>
      <c r="L376" t="str">
        <f>'Lab test'!AC367</f>
        <v>LTWb</v>
      </c>
      <c r="X376" t="e">
        <v>#N/A</v>
      </c>
      <c r="Z376" t="e">
        <f t="shared" si="163"/>
        <v>#N/A</v>
      </c>
      <c r="AB376" t="e">
        <f t="shared" si="175"/>
        <v>#N/A</v>
      </c>
      <c r="AC376" t="e">
        <f t="shared" si="164"/>
        <v>#N/A</v>
      </c>
      <c r="AE376" t="e">
        <v>#N/A</v>
      </c>
      <c r="AF376" t="e">
        <v>#N/A</v>
      </c>
      <c r="AP376" t="e">
        <v>#N/A</v>
      </c>
      <c r="AR376" t="e">
        <f t="shared" si="165"/>
        <v>#N/A</v>
      </c>
      <c r="AT376" t="e">
        <f t="shared" si="166"/>
        <v>#N/A</v>
      </c>
      <c r="AU376" t="e">
        <f t="shared" si="167"/>
        <v>#N/A</v>
      </c>
      <c r="AW376" t="e">
        <v>#N/A</v>
      </c>
      <c r="AX376" t="e">
        <v>#N/A</v>
      </c>
      <c r="BG376" t="e">
        <v>#N/A</v>
      </c>
      <c r="BI376" t="e">
        <f t="shared" si="168"/>
        <v>#N/A</v>
      </c>
      <c r="BK376" t="e">
        <f t="shared" si="169"/>
        <v>#N/A</v>
      </c>
      <c r="BL376" t="e">
        <f t="shared" si="170"/>
        <v>#N/A</v>
      </c>
      <c r="BN376" t="e">
        <v>#N/A</v>
      </c>
      <c r="BO376" t="e">
        <v>#N/A</v>
      </c>
      <c r="BX376" t="e">
        <v>#N/A</v>
      </c>
      <c r="BZ376" t="e">
        <f t="shared" si="171"/>
        <v>#N/A</v>
      </c>
      <c r="CB376" t="e">
        <f t="shared" si="174"/>
        <v>#N/A</v>
      </c>
      <c r="CC376" t="e">
        <f t="shared" si="172"/>
        <v>#N/A</v>
      </c>
      <c r="CE376" t="e">
        <v>#N/A</v>
      </c>
      <c r="CF376" t="e">
        <v>#N/A</v>
      </c>
    </row>
    <row r="377" spans="2:84">
      <c r="B377">
        <v>365</v>
      </c>
      <c r="C377">
        <f>IF(ISNUMBER(K377),IF('Lab test'!N368&gt;0,'Lab test'!N368,NA()),NA())</f>
        <v>190.5</v>
      </c>
      <c r="D377">
        <f>IF(ISNUMBER(K377),IF('Lab test'!Q368&gt;0,'Lab test'!Q368,NA()),NA())</f>
        <v>651.51533436731233</v>
      </c>
      <c r="E377">
        <f>IF(ISNUMBER(K377),IF('Lab test'!P368&gt;0,'Lab test'!P368,NA()),NA())</f>
        <v>9.7943966447492078E-2</v>
      </c>
      <c r="F377">
        <f>IF(ISNUMBER(K377),IF('Lab test'!AJ368&gt;0,'Lab test'!AJ368,NA()),NA())</f>
        <v>6.6666666666666666E-2</v>
      </c>
      <c r="G377">
        <f>IF('Lab test'!V368&gt;0,'Lab test'!V368,NA())</f>
        <v>72705.215656460379</v>
      </c>
      <c r="H377">
        <f>IF(MAX('Lab test'!W368,'Lab test'!X368)&gt;0,MAX('Lab test'!W368,'Lab test'!X368),NA())</f>
        <v>253.72706838859571</v>
      </c>
      <c r="I377">
        <f>IF('Lab test'!AU368&gt;0,'Lab test'!AU368,NA())</f>
        <v>0.13028519429347829</v>
      </c>
      <c r="J377">
        <f>IF('Lab test'!AT368&gt;0,'Lab test'!AT368,NA())</f>
        <v>0.48944316159999995</v>
      </c>
      <c r="K377">
        <f t="shared" si="173"/>
        <v>1</v>
      </c>
      <c r="L377" t="str">
        <f>'Lab test'!AC368</f>
        <v>LTWb</v>
      </c>
      <c r="X377" t="e">
        <v>#N/A</v>
      </c>
      <c r="Z377" t="e">
        <f t="shared" si="163"/>
        <v>#N/A</v>
      </c>
      <c r="AB377" t="e">
        <f t="shared" si="175"/>
        <v>#N/A</v>
      </c>
      <c r="AC377" t="e">
        <f t="shared" si="164"/>
        <v>#N/A</v>
      </c>
      <c r="AE377" t="e">
        <v>#N/A</v>
      </c>
      <c r="AF377" t="e">
        <v>#N/A</v>
      </c>
      <c r="AP377" t="e">
        <v>#N/A</v>
      </c>
      <c r="AR377" t="e">
        <f t="shared" si="165"/>
        <v>#N/A</v>
      </c>
      <c r="AT377" t="e">
        <f t="shared" si="166"/>
        <v>#N/A</v>
      </c>
      <c r="AU377" t="e">
        <f t="shared" si="167"/>
        <v>#N/A</v>
      </c>
      <c r="AW377" t="e">
        <v>#N/A</v>
      </c>
      <c r="AX377" t="e">
        <v>#N/A</v>
      </c>
      <c r="BG377" t="e">
        <v>#N/A</v>
      </c>
      <c r="BI377" t="e">
        <f t="shared" si="168"/>
        <v>#N/A</v>
      </c>
      <c r="BK377" t="e">
        <f t="shared" si="169"/>
        <v>#N/A</v>
      </c>
      <c r="BL377" t="e">
        <f t="shared" si="170"/>
        <v>#N/A</v>
      </c>
      <c r="BN377" t="e">
        <v>#N/A</v>
      </c>
      <c r="BO377" t="e">
        <v>#N/A</v>
      </c>
      <c r="BX377" t="e">
        <v>#N/A</v>
      </c>
      <c r="BZ377" t="e">
        <f t="shared" si="171"/>
        <v>#N/A</v>
      </c>
      <c r="CB377" t="e">
        <f t="shared" si="174"/>
        <v>#N/A</v>
      </c>
      <c r="CC377" t="e">
        <f t="shared" si="172"/>
        <v>#N/A</v>
      </c>
      <c r="CE377" t="e">
        <v>#N/A</v>
      </c>
      <c r="CF377" t="e">
        <v>#N/A</v>
      </c>
    </row>
    <row r="378" spans="2:84">
      <c r="B378">
        <v>366</v>
      </c>
      <c r="C378">
        <f>IF(ISNUMBER(K378),IF('Lab test'!N369&gt;0,'Lab test'!N369,NA()),NA())</f>
        <v>190.5</v>
      </c>
      <c r="D378">
        <f>IF(ISNUMBER(K378),IF('Lab test'!Q369&gt;0,'Lab test'!Q369,NA()),NA())</f>
        <v>640.33072956359285</v>
      </c>
      <c r="E378">
        <f>IF(ISNUMBER(K378),IF('Lab test'!P369&gt;0,'Lab test'!P369,NA()),NA())</f>
        <v>0.11855478373470343</v>
      </c>
      <c r="F378">
        <f>IF(ISNUMBER(K378),IF('Lab test'!AJ369&gt;0,'Lab test'!AJ369,NA()),NA())</f>
        <v>6.6666666666666666E-2</v>
      </c>
      <c r="G378">
        <f>IF('Lab test'!V369&gt;0,'Lab test'!V369,NA())</f>
        <v>72705.215656460379</v>
      </c>
      <c r="H378">
        <f>IF(MAX('Lab test'!W369,'Lab test'!X369)&gt;0,MAX('Lab test'!W369,'Lab test'!X369),NA())</f>
        <v>253.72706838859571</v>
      </c>
      <c r="I378">
        <f>IF('Lab test'!AU369&gt;0,'Lab test'!AU369,NA())</f>
        <v>0.1384919551630435</v>
      </c>
      <c r="J378">
        <f>IF('Lab test'!AT369&gt;0,'Lab test'!AT369,NA())</f>
        <v>0.51134197999999986</v>
      </c>
      <c r="K378">
        <f t="shared" si="173"/>
        <v>1</v>
      </c>
      <c r="L378" t="str">
        <f>'Lab test'!AC369</f>
        <v>LTWb</v>
      </c>
      <c r="X378" t="e">
        <v>#N/A</v>
      </c>
      <c r="Z378" t="e">
        <f t="shared" si="163"/>
        <v>#N/A</v>
      </c>
      <c r="AB378" t="e">
        <f t="shared" si="175"/>
        <v>#N/A</v>
      </c>
      <c r="AC378" t="e">
        <f t="shared" si="164"/>
        <v>#N/A</v>
      </c>
      <c r="AE378" t="e">
        <v>#N/A</v>
      </c>
      <c r="AF378" t="e">
        <v>#N/A</v>
      </c>
      <c r="AP378" t="e">
        <v>#N/A</v>
      </c>
      <c r="AR378" t="e">
        <f t="shared" si="165"/>
        <v>#N/A</v>
      </c>
      <c r="AT378" t="e">
        <f t="shared" si="166"/>
        <v>#N/A</v>
      </c>
      <c r="AU378" t="e">
        <f t="shared" si="167"/>
        <v>#N/A</v>
      </c>
      <c r="AW378" t="e">
        <v>#N/A</v>
      </c>
      <c r="AX378" t="e">
        <v>#N/A</v>
      </c>
      <c r="BG378" t="e">
        <v>#N/A</v>
      </c>
      <c r="BI378" t="e">
        <f t="shared" si="168"/>
        <v>#N/A</v>
      </c>
      <c r="BK378" t="e">
        <f t="shared" si="169"/>
        <v>#N/A</v>
      </c>
      <c r="BL378" t="e">
        <f t="shared" si="170"/>
        <v>#N/A</v>
      </c>
      <c r="BN378" t="e">
        <v>#N/A</v>
      </c>
      <c r="BO378" t="e">
        <v>#N/A</v>
      </c>
      <c r="BX378" t="e">
        <v>#N/A</v>
      </c>
      <c r="BZ378" t="e">
        <f t="shared" si="171"/>
        <v>#N/A</v>
      </c>
      <c r="CB378" t="e">
        <f t="shared" si="174"/>
        <v>#N/A</v>
      </c>
      <c r="CC378" t="e">
        <f t="shared" si="172"/>
        <v>#N/A</v>
      </c>
      <c r="CE378" t="e">
        <v>#N/A</v>
      </c>
      <c r="CF378" t="e">
        <v>#N/A</v>
      </c>
    </row>
    <row r="379" spans="2:84">
      <c r="B379">
        <v>367</v>
      </c>
      <c r="C379">
        <f>IF(ISNUMBER(K379),IF('Lab test'!N370&gt;0,'Lab test'!N370,NA()),NA())</f>
        <v>190.5</v>
      </c>
      <c r="D379">
        <f>IF(ISNUMBER(K379),IF('Lab test'!Q370&gt;0,'Lab test'!Q370,NA()),NA())</f>
        <v>460.27553859462421</v>
      </c>
      <c r="E379">
        <f>IF(ISNUMBER(K379),IF('Lab test'!P370&gt;0,'Lab test'!P370,NA()),NA())</f>
        <v>4.6611282493985967E-2</v>
      </c>
      <c r="F379">
        <f>IF(ISNUMBER(K379),IF('Lab test'!AJ370&gt;0,'Lab test'!AJ370,NA()),NA())</f>
        <v>6.6666666666666666E-2</v>
      </c>
      <c r="G379">
        <f>IF('Lab test'!V370&gt;0,'Lab test'!V370,NA())</f>
        <v>71412.448663991308</v>
      </c>
      <c r="H379">
        <f>IF(MAX('Lab test'!W370,'Lab test'!X370)&gt;0,MAX('Lab test'!W370,'Lab test'!X370),NA())</f>
        <v>249.76258294502389</v>
      </c>
      <c r="I379">
        <f>IF('Lab test'!AU370&gt;0,'Lab test'!AU370,NA())</f>
        <v>0.20765322153209109</v>
      </c>
      <c r="J379">
        <f>IF('Lab test'!AT370&gt;0,'Lab test'!AT370,NA())</f>
        <v>0.55232072999999982</v>
      </c>
      <c r="K379">
        <f t="shared" si="173"/>
        <v>1</v>
      </c>
      <c r="L379" t="str">
        <f>'Lab test'!AC370</f>
        <v>LTWb</v>
      </c>
      <c r="X379" t="e">
        <v>#N/A</v>
      </c>
      <c r="Z379" t="e">
        <f t="shared" si="163"/>
        <v>#N/A</v>
      </c>
      <c r="AB379" t="e">
        <f t="shared" si="175"/>
        <v>#N/A</v>
      </c>
      <c r="AC379" t="e">
        <f t="shared" si="164"/>
        <v>#N/A</v>
      </c>
      <c r="AE379" t="e">
        <v>#N/A</v>
      </c>
      <c r="AF379" t="e">
        <v>#N/A</v>
      </c>
      <c r="AP379" t="e">
        <v>#N/A</v>
      </c>
      <c r="AR379" t="e">
        <f t="shared" si="165"/>
        <v>#N/A</v>
      </c>
      <c r="AT379" t="e">
        <f t="shared" si="166"/>
        <v>#N/A</v>
      </c>
      <c r="AU379" t="e">
        <f t="shared" si="167"/>
        <v>#N/A</v>
      </c>
      <c r="AW379" t="e">
        <v>#N/A</v>
      </c>
      <c r="AX379" t="e">
        <v>#N/A</v>
      </c>
      <c r="BG379" t="e">
        <v>#N/A</v>
      </c>
      <c r="BI379" t="e">
        <f t="shared" si="168"/>
        <v>#N/A</v>
      </c>
      <c r="BK379" t="e">
        <f t="shared" si="169"/>
        <v>#N/A</v>
      </c>
      <c r="BL379" t="e">
        <f t="shared" si="170"/>
        <v>#N/A</v>
      </c>
      <c r="BN379" t="e">
        <v>#N/A</v>
      </c>
      <c r="BO379" t="e">
        <v>#N/A</v>
      </c>
      <c r="BX379" t="e">
        <v>#N/A</v>
      </c>
      <c r="BZ379" t="e">
        <f t="shared" si="171"/>
        <v>#N/A</v>
      </c>
      <c r="CB379" t="e">
        <f t="shared" si="174"/>
        <v>#N/A</v>
      </c>
      <c r="CC379" t="e">
        <f t="shared" si="172"/>
        <v>#N/A</v>
      </c>
      <c r="CE379" t="e">
        <v>#N/A</v>
      </c>
      <c r="CF379" t="e">
        <v>#N/A</v>
      </c>
    </row>
    <row r="380" spans="2:84">
      <c r="B380">
        <v>368</v>
      </c>
      <c r="C380">
        <f>IF(ISNUMBER(K380),IF('Lab test'!N371&gt;0,'Lab test'!N371,NA()),NA())</f>
        <v>190.5</v>
      </c>
      <c r="D380">
        <f>IF(ISNUMBER(K380),IF('Lab test'!Q371&gt;0,'Lab test'!Q371,NA()),NA())</f>
        <v>460.27553859462421</v>
      </c>
      <c r="E380">
        <f>IF(ISNUMBER(K380),IF('Lab test'!P371&gt;0,'Lab test'!P371,NA()),NA())</f>
        <v>4.6611282493985967E-2</v>
      </c>
      <c r="F380">
        <f>IF(ISNUMBER(K380),IF('Lab test'!AJ371&gt;0,'Lab test'!AJ371,NA()),NA())</f>
        <v>6.6666666666666666E-2</v>
      </c>
      <c r="G380">
        <f>IF('Lab test'!V371&gt;0,'Lab test'!V371,NA())</f>
        <v>71412.448663991308</v>
      </c>
      <c r="H380">
        <f>IF(MAX('Lab test'!W371,'Lab test'!X371)&gt;0,MAX('Lab test'!W371,'Lab test'!X371),NA())</f>
        <v>249.76258294502389</v>
      </c>
      <c r="I380">
        <f>IF('Lab test'!AU371&gt;0,'Lab test'!AU371,NA())</f>
        <v>0.19011652298136647</v>
      </c>
      <c r="J380">
        <f>IF('Lab test'!AT371&gt;0,'Lab test'!AT371,NA())</f>
        <v>0.50567622299999992</v>
      </c>
      <c r="K380">
        <f t="shared" si="173"/>
        <v>1</v>
      </c>
      <c r="L380" t="str">
        <f>'Lab test'!AC371</f>
        <v>LTWb</v>
      </c>
      <c r="X380" t="e">
        <v>#N/A</v>
      </c>
      <c r="Z380" t="e">
        <f t="shared" si="163"/>
        <v>#N/A</v>
      </c>
      <c r="AB380" t="e">
        <f t="shared" si="175"/>
        <v>#N/A</v>
      </c>
      <c r="AC380" t="e">
        <f t="shared" si="164"/>
        <v>#N/A</v>
      </c>
      <c r="AE380" t="e">
        <v>#N/A</v>
      </c>
      <c r="AF380" t="e">
        <v>#N/A</v>
      </c>
      <c r="AP380" t="e">
        <v>#N/A</v>
      </c>
      <c r="AR380" t="e">
        <f t="shared" si="165"/>
        <v>#N/A</v>
      </c>
      <c r="AT380" t="e">
        <f t="shared" si="166"/>
        <v>#N/A</v>
      </c>
      <c r="AU380" t="e">
        <f t="shared" si="167"/>
        <v>#N/A</v>
      </c>
      <c r="AW380" t="e">
        <v>#N/A</v>
      </c>
      <c r="AX380" t="e">
        <v>#N/A</v>
      </c>
      <c r="BG380" t="e">
        <v>#N/A</v>
      </c>
      <c r="BI380" t="e">
        <f t="shared" si="168"/>
        <v>#N/A</v>
      </c>
      <c r="BK380" t="e">
        <f t="shared" si="169"/>
        <v>#N/A</v>
      </c>
      <c r="BL380" t="e">
        <f t="shared" si="170"/>
        <v>#N/A</v>
      </c>
      <c r="BN380" t="e">
        <v>#N/A</v>
      </c>
      <c r="BO380" t="e">
        <v>#N/A</v>
      </c>
      <c r="BX380" t="e">
        <v>#N/A</v>
      </c>
      <c r="BZ380" t="e">
        <f t="shared" si="171"/>
        <v>#N/A</v>
      </c>
      <c r="CB380" t="e">
        <f t="shared" si="174"/>
        <v>#N/A</v>
      </c>
      <c r="CC380" t="e">
        <f t="shared" si="172"/>
        <v>#N/A</v>
      </c>
      <c r="CE380" t="e">
        <v>#N/A</v>
      </c>
      <c r="CF380" t="e">
        <v>#N/A</v>
      </c>
    </row>
    <row r="381" spans="2:84">
      <c r="B381">
        <v>369</v>
      </c>
      <c r="C381">
        <f>IF(ISNUMBER(K381),IF('Lab test'!N372&gt;0,'Lab test'!N372,NA()),NA())</f>
        <v>190.5</v>
      </c>
      <c r="D381">
        <f>IF(ISNUMBER(K381),IF('Lab test'!Q372&gt;0,'Lab test'!Q372,NA()),NA())</f>
        <v>460.27553859462421</v>
      </c>
      <c r="E381">
        <f>IF(ISNUMBER(K381),IF('Lab test'!P372&gt;0,'Lab test'!P372,NA()),NA())</f>
        <v>4.6611282493985967E-2</v>
      </c>
      <c r="F381">
        <f>IF(ISNUMBER(K381),IF('Lab test'!AJ372&gt;0,'Lab test'!AJ372,NA()),NA())</f>
        <v>6.6666666666666666E-2</v>
      </c>
      <c r="G381">
        <f>IF('Lab test'!V372&gt;0,'Lab test'!V372,NA())</f>
        <v>71412.448663991308</v>
      </c>
      <c r="H381">
        <f>IF(MAX('Lab test'!W372,'Lab test'!X372)&gt;0,MAX('Lab test'!W372,'Lab test'!X372),NA())</f>
        <v>249.76258294502389</v>
      </c>
      <c r="I381">
        <f>IF('Lab test'!AU372&gt;0,'Lab test'!AU372,NA())</f>
        <v>0.16597732919254657</v>
      </c>
      <c r="J381">
        <f>IF('Lab test'!AT372&gt;0,'Lab test'!AT372,NA())</f>
        <v>0.44147024999999984</v>
      </c>
      <c r="K381">
        <f t="shared" si="173"/>
        <v>1</v>
      </c>
      <c r="L381" t="str">
        <f>'Lab test'!AC372</f>
        <v>LTWb</v>
      </c>
      <c r="X381" t="e">
        <v>#N/A</v>
      </c>
      <c r="Z381" t="e">
        <f t="shared" si="163"/>
        <v>#N/A</v>
      </c>
      <c r="AB381" t="e">
        <f t="shared" si="175"/>
        <v>#N/A</v>
      </c>
      <c r="AC381" t="e">
        <f t="shared" si="164"/>
        <v>#N/A</v>
      </c>
      <c r="AE381" t="e">
        <v>#N/A</v>
      </c>
      <c r="AF381" t="e">
        <v>#N/A</v>
      </c>
      <c r="AP381" t="e">
        <v>#N/A</v>
      </c>
      <c r="AR381" t="e">
        <f t="shared" si="165"/>
        <v>#N/A</v>
      </c>
      <c r="AT381" t="e">
        <f t="shared" si="166"/>
        <v>#N/A</v>
      </c>
      <c r="AU381" t="e">
        <f t="shared" si="167"/>
        <v>#N/A</v>
      </c>
      <c r="AW381" t="e">
        <v>#N/A</v>
      </c>
      <c r="AX381" t="e">
        <v>#N/A</v>
      </c>
      <c r="BG381" t="e">
        <v>#N/A</v>
      </c>
      <c r="BI381" t="e">
        <f t="shared" si="168"/>
        <v>#N/A</v>
      </c>
      <c r="BK381" t="e">
        <f t="shared" si="169"/>
        <v>#N/A</v>
      </c>
      <c r="BL381" t="e">
        <f t="shared" si="170"/>
        <v>#N/A</v>
      </c>
      <c r="BN381" t="e">
        <v>#N/A</v>
      </c>
      <c r="BO381" t="e">
        <v>#N/A</v>
      </c>
      <c r="BX381" t="e">
        <v>#N/A</v>
      </c>
      <c r="BZ381" t="e">
        <f t="shared" si="171"/>
        <v>#N/A</v>
      </c>
      <c r="CB381" t="e">
        <f t="shared" si="174"/>
        <v>#N/A</v>
      </c>
      <c r="CC381" t="e">
        <f t="shared" si="172"/>
        <v>#N/A</v>
      </c>
      <c r="CE381" t="e">
        <v>#N/A</v>
      </c>
      <c r="CF381" t="e">
        <v>#N/A</v>
      </c>
    </row>
    <row r="382" spans="2:84">
      <c r="B382">
        <v>370</v>
      </c>
      <c r="C382">
        <f>IF(ISNUMBER(K382),IF('Lab test'!N373&gt;0,'Lab test'!N373,NA()),NA())</f>
        <v>190.5</v>
      </c>
      <c r="D382">
        <f>IF(ISNUMBER(K382),IF('Lab test'!Q373&gt;0,'Lab test'!Q373,NA()),NA())</f>
        <v>455.5668683904608</v>
      </c>
      <c r="E382">
        <f>IF(ISNUMBER(K382),IF('Lab test'!P373&gt;0,'Lab test'!P373,NA()),NA())</f>
        <v>4.6851546836738478E-2</v>
      </c>
      <c r="F382">
        <f>IF(ISNUMBER(K382),IF('Lab test'!AJ373&gt;0,'Lab test'!AJ373,NA()),NA())</f>
        <v>6.6666666666666666E-2</v>
      </c>
      <c r="G382">
        <f>IF('Lab test'!V373&gt;0,'Lab test'!V373,NA())</f>
        <v>71412.448663991308</v>
      </c>
      <c r="H382">
        <f>IF(MAX('Lab test'!W373,'Lab test'!X373)&gt;0,MAX('Lab test'!W373,'Lab test'!X373),NA())</f>
        <v>249.76258294502389</v>
      </c>
      <c r="I382">
        <f>IF('Lab test'!AU373&gt;0,'Lab test'!AU373,NA())</f>
        <v>0.1615369710144928</v>
      </c>
      <c r="J382">
        <f>IF('Lab test'!AT373&gt;0,'Lab test'!AT373,NA())</f>
        <v>0.42526421839999989</v>
      </c>
      <c r="K382">
        <f t="shared" si="173"/>
        <v>1</v>
      </c>
      <c r="L382" t="str">
        <f>'Lab test'!AC373</f>
        <v>LTWb</v>
      </c>
      <c r="X382" t="e">
        <v>#N/A</v>
      </c>
      <c r="Z382" t="e">
        <f t="shared" si="163"/>
        <v>#N/A</v>
      </c>
      <c r="AB382" t="e">
        <f t="shared" si="175"/>
        <v>#N/A</v>
      </c>
      <c r="AC382" t="e">
        <f t="shared" si="164"/>
        <v>#N/A</v>
      </c>
      <c r="AE382" t="e">
        <v>#N/A</v>
      </c>
      <c r="AF382" t="e">
        <v>#N/A</v>
      </c>
      <c r="AP382" t="e">
        <v>#N/A</v>
      </c>
      <c r="AR382" t="e">
        <f t="shared" si="165"/>
        <v>#N/A</v>
      </c>
      <c r="AT382" t="e">
        <f t="shared" si="166"/>
        <v>#N/A</v>
      </c>
      <c r="AU382" t="e">
        <f t="shared" si="167"/>
        <v>#N/A</v>
      </c>
      <c r="AW382" t="e">
        <v>#N/A</v>
      </c>
      <c r="AX382" t="e">
        <v>#N/A</v>
      </c>
      <c r="BG382" t="e">
        <v>#N/A</v>
      </c>
      <c r="BI382" t="e">
        <f t="shared" si="168"/>
        <v>#N/A</v>
      </c>
      <c r="BK382" t="e">
        <f t="shared" si="169"/>
        <v>#N/A</v>
      </c>
      <c r="BL382" t="e">
        <f t="shared" si="170"/>
        <v>#N/A</v>
      </c>
      <c r="BN382" t="e">
        <v>#N/A</v>
      </c>
      <c r="BO382" t="e">
        <v>#N/A</v>
      </c>
      <c r="BX382" t="e">
        <v>#N/A</v>
      </c>
      <c r="BZ382" t="e">
        <f t="shared" si="171"/>
        <v>#N/A</v>
      </c>
      <c r="CB382" t="e">
        <f t="shared" si="174"/>
        <v>#N/A</v>
      </c>
      <c r="CC382" t="e">
        <f t="shared" si="172"/>
        <v>#N/A</v>
      </c>
      <c r="CE382" t="e">
        <v>#N/A</v>
      </c>
      <c r="CF382" t="e">
        <v>#N/A</v>
      </c>
    </row>
    <row r="383" spans="2:84">
      <c r="B383">
        <v>371</v>
      </c>
      <c r="C383">
        <f>IF(ISNUMBER(K383),IF('Lab test'!N374&gt;0,'Lab test'!N374,NA()),NA())</f>
        <v>190.5</v>
      </c>
      <c r="D383">
        <f>IF(ISNUMBER(K383),IF('Lab test'!Q374&gt;0,'Lab test'!Q374,NA()),NA())</f>
        <v>358.10102652947694</v>
      </c>
      <c r="E383">
        <f>IF(ISNUMBER(K383),IF('Lab test'!P374&gt;0,'Lab test'!P374,NA()),NA())</f>
        <v>2.6422093274207165E-2</v>
      </c>
      <c r="F383">
        <f>IF(ISNUMBER(K383),IF('Lab test'!AJ374&gt;0,'Lab test'!AJ374,NA()),NA())</f>
        <v>6.6666666666666666E-2</v>
      </c>
      <c r="G383">
        <f>IF('Lab test'!V374&gt;0,'Lab test'!V374,NA())</f>
        <v>70050.734098590561</v>
      </c>
      <c r="H383">
        <f>IF(MAX('Lab test'!W374,'Lab test'!X374)&gt;0,MAX('Lab test'!W374,'Lab test'!X374),NA())</f>
        <v>262.62130529678291</v>
      </c>
      <c r="I383">
        <f>IF('Lab test'!AU374&gt;0,'Lab test'!AU374,NA())</f>
        <v>0.24235425003938041</v>
      </c>
      <c r="J383">
        <f>IF('Lab test'!AT374&gt;0,'Lab test'!AT374,NA())</f>
        <v>0.53759447203199984</v>
      </c>
      <c r="K383">
        <f t="shared" si="173"/>
        <v>1</v>
      </c>
      <c r="L383" t="str">
        <f>'Lab test'!AC374</f>
        <v>LTWb</v>
      </c>
      <c r="X383" t="e">
        <v>#N/A</v>
      </c>
      <c r="Z383" t="e">
        <f t="shared" si="163"/>
        <v>#N/A</v>
      </c>
      <c r="AB383" t="e">
        <f t="shared" si="175"/>
        <v>#N/A</v>
      </c>
      <c r="AC383" t="e">
        <f t="shared" si="164"/>
        <v>#N/A</v>
      </c>
      <c r="AE383" t="e">
        <v>#N/A</v>
      </c>
      <c r="AF383" t="e">
        <v>#N/A</v>
      </c>
      <c r="AP383" t="e">
        <v>#N/A</v>
      </c>
      <c r="AR383" t="e">
        <f t="shared" si="165"/>
        <v>#N/A</v>
      </c>
      <c r="AT383" t="e">
        <f t="shared" si="166"/>
        <v>#N/A</v>
      </c>
      <c r="AU383" t="e">
        <f t="shared" si="167"/>
        <v>#N/A</v>
      </c>
      <c r="AW383" t="e">
        <v>#N/A</v>
      </c>
      <c r="AX383" t="e">
        <v>#N/A</v>
      </c>
      <c r="BG383" t="e">
        <v>#N/A</v>
      </c>
      <c r="BI383" t="e">
        <f t="shared" si="168"/>
        <v>#N/A</v>
      </c>
      <c r="BK383" t="e">
        <f t="shared" si="169"/>
        <v>#N/A</v>
      </c>
      <c r="BL383" t="e">
        <f t="shared" si="170"/>
        <v>#N/A</v>
      </c>
      <c r="BN383" t="e">
        <v>#N/A</v>
      </c>
      <c r="BO383" t="e">
        <v>#N/A</v>
      </c>
      <c r="BX383" t="e">
        <v>#N/A</v>
      </c>
      <c r="BZ383" t="e">
        <f t="shared" si="171"/>
        <v>#N/A</v>
      </c>
      <c r="CB383" t="e">
        <f t="shared" si="174"/>
        <v>#N/A</v>
      </c>
      <c r="CC383" t="e">
        <f t="shared" si="172"/>
        <v>#N/A</v>
      </c>
      <c r="CE383" t="e">
        <v>#N/A</v>
      </c>
      <c r="CF383" t="e">
        <v>#N/A</v>
      </c>
    </row>
    <row r="384" spans="2:84">
      <c r="B384">
        <v>372</v>
      </c>
      <c r="C384">
        <f>IF(ISNUMBER(K384),IF('Lab test'!N375&gt;0,'Lab test'!N375,NA()),NA())</f>
        <v>190.5</v>
      </c>
      <c r="D384">
        <f>IF(ISNUMBER(K384),IF('Lab test'!Q375&gt;0,'Lab test'!Q375,NA()),NA())</f>
        <v>345.71807121107321</v>
      </c>
      <c r="E384">
        <f>IF(ISNUMBER(K384),IF('Lab test'!P375&gt;0,'Lab test'!P375,NA()),NA())</f>
        <v>5.3782249031522275E-2</v>
      </c>
      <c r="F384">
        <f>IF(ISNUMBER(K384),IF('Lab test'!AJ375&gt;0,'Lab test'!AJ375,NA()),NA())</f>
        <v>6.6666666666666666E-2</v>
      </c>
      <c r="G384">
        <f>IF('Lab test'!V375&gt;0,'Lab test'!V375,NA())</f>
        <v>70050.734098590561</v>
      </c>
      <c r="H384">
        <f>IF(MAX('Lab test'!W375,'Lab test'!X375)&gt;0,MAX('Lab test'!W375,'Lab test'!X375),NA())</f>
        <v>262.62130529678291</v>
      </c>
      <c r="I384">
        <f>IF('Lab test'!AU375&gt;0,'Lab test'!AU375,NA())</f>
        <v>0.22339196639537937</v>
      </c>
      <c r="J384">
        <f>IF('Lab test'!AT375&gt;0,'Lab test'!AT375,NA())</f>
        <v>0.47839674999999982</v>
      </c>
      <c r="K384">
        <f t="shared" si="173"/>
        <v>1</v>
      </c>
      <c r="L384" t="str">
        <f>'Lab test'!AC375</f>
        <v>LTWb</v>
      </c>
      <c r="X384" t="e">
        <v>#N/A</v>
      </c>
      <c r="Z384" t="e">
        <f t="shared" si="163"/>
        <v>#N/A</v>
      </c>
      <c r="AB384" t="e">
        <f t="shared" si="175"/>
        <v>#N/A</v>
      </c>
      <c r="AC384" t="e">
        <f t="shared" si="164"/>
        <v>#N/A</v>
      </c>
      <c r="AE384" t="e">
        <v>#N/A</v>
      </c>
      <c r="AF384" t="e">
        <v>#N/A</v>
      </c>
      <c r="AP384" t="e">
        <v>#N/A</v>
      </c>
      <c r="AR384" t="e">
        <f t="shared" si="165"/>
        <v>#N/A</v>
      </c>
      <c r="AT384" t="e">
        <f t="shared" si="166"/>
        <v>#N/A</v>
      </c>
      <c r="AU384" t="e">
        <f t="shared" si="167"/>
        <v>#N/A</v>
      </c>
      <c r="AW384" t="e">
        <v>#N/A</v>
      </c>
      <c r="AX384" t="e">
        <v>#N/A</v>
      </c>
      <c r="BG384" t="e">
        <v>#N/A</v>
      </c>
      <c r="BI384" t="e">
        <f t="shared" si="168"/>
        <v>#N/A</v>
      </c>
      <c r="BK384" t="e">
        <f t="shared" si="169"/>
        <v>#N/A</v>
      </c>
      <c r="BL384" t="e">
        <f t="shared" si="170"/>
        <v>#N/A</v>
      </c>
      <c r="BN384" t="e">
        <v>#N/A</v>
      </c>
      <c r="BO384" t="e">
        <v>#N/A</v>
      </c>
      <c r="BX384" t="e">
        <v>#N/A</v>
      </c>
      <c r="BZ384" t="e">
        <f t="shared" si="171"/>
        <v>#N/A</v>
      </c>
      <c r="CB384" t="e">
        <f t="shared" si="174"/>
        <v>#N/A</v>
      </c>
      <c r="CC384" t="e">
        <f t="shared" si="172"/>
        <v>#N/A</v>
      </c>
      <c r="CE384" t="e">
        <v>#N/A</v>
      </c>
      <c r="CF384" t="e">
        <v>#N/A</v>
      </c>
    </row>
    <row r="385" spans="2:84">
      <c r="B385">
        <v>373</v>
      </c>
      <c r="C385">
        <f>IF(ISNUMBER(K385),IF('Lab test'!N376&gt;0,'Lab test'!N376,NA()),NA())</f>
        <v>190.5</v>
      </c>
      <c r="D385">
        <f>IF(ISNUMBER(K385),IF('Lab test'!Q376&gt;0,'Lab test'!Q376,NA()),NA())</f>
        <v>358.10102652947694</v>
      </c>
      <c r="E385">
        <f>IF(ISNUMBER(K385),IF('Lab test'!P376&gt;0,'Lab test'!P376,NA()),NA())</f>
        <v>5.2844186548414329E-2</v>
      </c>
      <c r="F385">
        <f>IF(ISNUMBER(K385),IF('Lab test'!AJ376&gt;0,'Lab test'!AJ376,NA()),NA())</f>
        <v>6.6666666666666666E-2</v>
      </c>
      <c r="G385">
        <f>IF('Lab test'!V376&gt;0,'Lab test'!V376,NA())</f>
        <v>70050.734098590561</v>
      </c>
      <c r="H385">
        <f>IF(MAX('Lab test'!W376,'Lab test'!X376)&gt;0,MAX('Lab test'!W376,'Lab test'!X376),NA())</f>
        <v>262.62130529678291</v>
      </c>
      <c r="I385">
        <f>IF('Lab test'!AU376&gt;0,'Lab test'!AU376,NA())</f>
        <v>0.20177029141506961</v>
      </c>
      <c r="J385">
        <f>IF('Lab test'!AT376&gt;0,'Lab test'!AT376,NA())</f>
        <v>0.4475704191999999</v>
      </c>
      <c r="K385">
        <f t="shared" si="173"/>
        <v>1</v>
      </c>
      <c r="L385" t="str">
        <f>'Lab test'!AC376</f>
        <v>LTWb</v>
      </c>
      <c r="X385" t="e">
        <v>#N/A</v>
      </c>
      <c r="Z385" t="e">
        <f t="shared" si="163"/>
        <v>#N/A</v>
      </c>
      <c r="AB385" t="e">
        <f t="shared" si="175"/>
        <v>#N/A</v>
      </c>
      <c r="AC385" t="e">
        <f t="shared" si="164"/>
        <v>#N/A</v>
      </c>
      <c r="AE385" t="e">
        <v>#N/A</v>
      </c>
      <c r="AF385" t="e">
        <v>#N/A</v>
      </c>
      <c r="AP385" t="e">
        <v>#N/A</v>
      </c>
      <c r="AR385" t="e">
        <f t="shared" si="165"/>
        <v>#N/A</v>
      </c>
      <c r="AT385" t="e">
        <f t="shared" si="166"/>
        <v>#N/A</v>
      </c>
      <c r="AU385" t="e">
        <f t="shared" si="167"/>
        <v>#N/A</v>
      </c>
      <c r="AW385" t="e">
        <v>#N/A</v>
      </c>
      <c r="AX385" t="e">
        <v>#N/A</v>
      </c>
      <c r="BG385" t="e">
        <v>#N/A</v>
      </c>
      <c r="BI385" t="e">
        <f t="shared" si="168"/>
        <v>#N/A</v>
      </c>
      <c r="BK385" t="e">
        <f t="shared" si="169"/>
        <v>#N/A</v>
      </c>
      <c r="BL385" t="e">
        <f t="shared" si="170"/>
        <v>#N/A</v>
      </c>
      <c r="BN385" t="e">
        <v>#N/A</v>
      </c>
      <c r="BO385" t="e">
        <v>#N/A</v>
      </c>
      <c r="BX385" t="e">
        <v>#N/A</v>
      </c>
      <c r="BZ385" t="e">
        <f t="shared" si="171"/>
        <v>#N/A</v>
      </c>
      <c r="CB385" t="e">
        <f t="shared" si="174"/>
        <v>#N/A</v>
      </c>
      <c r="CC385" t="e">
        <f t="shared" si="172"/>
        <v>#N/A</v>
      </c>
      <c r="CE385" t="e">
        <v>#N/A</v>
      </c>
      <c r="CF385" t="e">
        <v>#N/A</v>
      </c>
    </row>
    <row r="386" spans="2:84">
      <c r="B386">
        <v>374</v>
      </c>
      <c r="C386">
        <f>IF(ISNUMBER(K386),IF('Lab test'!N377&gt;0,'Lab test'!N377,NA()),NA())</f>
        <v>190.5</v>
      </c>
      <c r="D386">
        <f>IF(ISNUMBER(K386),IF('Lab test'!Q377&gt;0,'Lab test'!Q377,NA()),NA())</f>
        <v>362.2770965048918</v>
      </c>
      <c r="E386">
        <f>IF(ISNUMBER(K386),IF('Lab test'!P377&gt;0,'Lab test'!P377,NA()),NA())</f>
        <v>5.2538728822700942E-2</v>
      </c>
      <c r="F386">
        <f>IF(ISNUMBER(K386),IF('Lab test'!AJ377&gt;0,'Lab test'!AJ377,NA()),NA())</f>
        <v>6.6666666666666666E-2</v>
      </c>
      <c r="G386">
        <f>IF('Lab test'!V377&gt;0,'Lab test'!V377,NA())</f>
        <v>70050.734098590561</v>
      </c>
      <c r="H386">
        <f>IF(MAX('Lab test'!W377,'Lab test'!X377)&gt;0,MAX('Lab test'!W377,'Lab test'!X377),NA())</f>
        <v>262.62130529678291</v>
      </c>
      <c r="I386">
        <f>IF('Lab test'!AU377&gt;0,'Lab test'!AU377,NA())</f>
        <v>0.22644876870569705</v>
      </c>
      <c r="J386">
        <f>IF('Lab test'!AT377&gt;0,'Lab test'!AT377,NA())</f>
        <v>0.50817047680000005</v>
      </c>
      <c r="K386">
        <f t="shared" si="173"/>
        <v>1</v>
      </c>
      <c r="L386" t="str">
        <f>'Lab test'!AC377</f>
        <v>LTWb</v>
      </c>
      <c r="X386" t="e">
        <v>#N/A</v>
      </c>
      <c r="Z386" t="e">
        <f t="shared" si="163"/>
        <v>#N/A</v>
      </c>
      <c r="AB386" t="e">
        <f t="shared" si="175"/>
        <v>#N/A</v>
      </c>
      <c r="AC386" t="e">
        <f t="shared" si="164"/>
        <v>#N/A</v>
      </c>
      <c r="AE386" t="e">
        <v>#N/A</v>
      </c>
      <c r="AF386" t="e">
        <v>#N/A</v>
      </c>
      <c r="AP386" t="e">
        <v>#N/A</v>
      </c>
      <c r="AR386" t="e">
        <f t="shared" si="165"/>
        <v>#N/A</v>
      </c>
      <c r="AT386" t="e">
        <f t="shared" si="166"/>
        <v>#N/A</v>
      </c>
      <c r="AU386" t="e">
        <f t="shared" si="167"/>
        <v>#N/A</v>
      </c>
      <c r="AW386" t="e">
        <v>#N/A</v>
      </c>
      <c r="AX386" t="e">
        <v>#N/A</v>
      </c>
      <c r="BG386" t="e">
        <v>#N/A</v>
      </c>
      <c r="BI386" t="e">
        <f t="shared" si="168"/>
        <v>#N/A</v>
      </c>
      <c r="BK386" t="e">
        <f t="shared" si="169"/>
        <v>#N/A</v>
      </c>
      <c r="BL386" t="e">
        <f t="shared" si="170"/>
        <v>#N/A</v>
      </c>
      <c r="BN386" t="e">
        <v>#N/A</v>
      </c>
      <c r="BO386" t="e">
        <v>#N/A</v>
      </c>
      <c r="BX386" t="e">
        <v>#N/A</v>
      </c>
      <c r="BZ386" t="e">
        <f t="shared" si="171"/>
        <v>#N/A</v>
      </c>
      <c r="CB386" t="e">
        <f t="shared" si="174"/>
        <v>#N/A</v>
      </c>
      <c r="CC386" t="e">
        <f t="shared" si="172"/>
        <v>#N/A</v>
      </c>
      <c r="CE386" t="e">
        <v>#N/A</v>
      </c>
      <c r="CF386" t="e">
        <v>#N/A</v>
      </c>
    </row>
    <row r="387" spans="2:84">
      <c r="B387">
        <v>375</v>
      </c>
      <c r="C387">
        <f>IF(ISNUMBER(K387),IF('Lab test'!N378&gt;0,'Lab test'!N378,NA()),NA())</f>
        <v>190.5</v>
      </c>
      <c r="D387">
        <f>IF(ISNUMBER(K387),IF('Lab test'!Q378&gt;0,'Lab test'!Q378,NA()),NA())</f>
        <v>362.2770965048918</v>
      </c>
      <c r="E387">
        <f>IF(ISNUMBER(K387),IF('Lab test'!P378&gt;0,'Lab test'!P378,NA()),NA())</f>
        <v>5.2538728822700942E-2</v>
      </c>
      <c r="F387">
        <f>IF(ISNUMBER(K387),IF('Lab test'!AJ378&gt;0,'Lab test'!AJ378,NA()),NA())</f>
        <v>6.6666666666666666E-2</v>
      </c>
      <c r="G387">
        <f>IF('Lab test'!V378&gt;0,'Lab test'!V378,NA())</f>
        <v>70050.734098590561</v>
      </c>
      <c r="H387">
        <f>IF(MAX('Lab test'!W378,'Lab test'!X378)&gt;0,MAX('Lab test'!W378,'Lab test'!X378),NA())</f>
        <v>262.62130529678291</v>
      </c>
      <c r="I387">
        <f>IF('Lab test'!AU378&gt;0,'Lab test'!AU378,NA())</f>
        <v>0.24400270937253873</v>
      </c>
      <c r="J387">
        <f>IF('Lab test'!AT378&gt;0,'Lab test'!AT378,NA())</f>
        <v>0.54756302660000011</v>
      </c>
      <c r="K387">
        <f t="shared" si="173"/>
        <v>1</v>
      </c>
      <c r="L387" t="str">
        <f>'Lab test'!AC378</f>
        <v>LTWb</v>
      </c>
      <c r="X387" t="e">
        <v>#N/A</v>
      </c>
      <c r="Z387" t="e">
        <f t="shared" si="163"/>
        <v>#N/A</v>
      </c>
      <c r="AB387" t="e">
        <f t="shared" si="175"/>
        <v>#N/A</v>
      </c>
      <c r="AC387" t="e">
        <f t="shared" si="164"/>
        <v>#N/A</v>
      </c>
      <c r="AE387" t="e">
        <v>#N/A</v>
      </c>
      <c r="AF387" t="e">
        <v>#N/A</v>
      </c>
      <c r="AP387" t="e">
        <v>#N/A</v>
      </c>
      <c r="AR387" t="e">
        <f t="shared" si="165"/>
        <v>#N/A</v>
      </c>
      <c r="AT387" t="e">
        <f t="shared" si="166"/>
        <v>#N/A</v>
      </c>
      <c r="AU387" t="e">
        <f t="shared" si="167"/>
        <v>#N/A</v>
      </c>
      <c r="AW387" t="e">
        <v>#N/A</v>
      </c>
      <c r="AX387" t="e">
        <v>#N/A</v>
      </c>
      <c r="BG387" t="e">
        <v>#N/A</v>
      </c>
      <c r="BI387" t="e">
        <f t="shared" si="168"/>
        <v>#N/A</v>
      </c>
      <c r="BK387" t="e">
        <f t="shared" si="169"/>
        <v>#N/A</v>
      </c>
      <c r="BL387" t="e">
        <f t="shared" si="170"/>
        <v>#N/A</v>
      </c>
      <c r="BN387" t="e">
        <v>#N/A</v>
      </c>
      <c r="BO387" t="e">
        <v>#N/A</v>
      </c>
      <c r="BX387" t="e">
        <v>#N/A</v>
      </c>
      <c r="BZ387" t="e">
        <f t="shared" si="171"/>
        <v>#N/A</v>
      </c>
      <c r="CB387" t="e">
        <f t="shared" si="174"/>
        <v>#N/A</v>
      </c>
      <c r="CC387" t="e">
        <f t="shared" si="172"/>
        <v>#N/A</v>
      </c>
      <c r="CE387" t="e">
        <v>#N/A</v>
      </c>
      <c r="CF387" t="e">
        <v>#N/A</v>
      </c>
    </row>
    <row r="388" spans="2:84">
      <c r="B388">
        <v>376</v>
      </c>
      <c r="C388" t="e">
        <f>IF(ISNUMBER(K388),IF('Lab test'!N379&gt;0,'Lab test'!N379,NA()),NA())</f>
        <v>#N/A</v>
      </c>
      <c r="D388" t="e">
        <f>IF(ISNUMBER(K388),IF('Lab test'!Q379&gt;0,'Lab test'!Q379,NA()),NA())</f>
        <v>#N/A</v>
      </c>
      <c r="E388" t="e">
        <f>IF(ISNUMBER(K388),IF('Lab test'!P379&gt;0,'Lab test'!P379,NA()),NA())</f>
        <v>#N/A</v>
      </c>
      <c r="F388" t="e">
        <f>IF(ISNUMBER(K388),IF('Lab test'!AJ379&gt;0,'Lab test'!AJ379,NA()),NA())</f>
        <v>#N/A</v>
      </c>
      <c r="G388">
        <f>IF('Lab test'!V379&gt;0,'Lab test'!V379,NA())</f>
        <v>212500</v>
      </c>
      <c r="H388">
        <f>IF(MAX('Lab test'!W379,'Lab test'!X379)&gt;0,MAX('Lab test'!W379,'Lab test'!X379),NA())</f>
        <v>271</v>
      </c>
      <c r="I388">
        <f>IF('Lab test'!AU379&gt;0,'Lab test'!AU379,NA())</f>
        <v>0.9667307232158302</v>
      </c>
      <c r="J388">
        <f>IF('Lab test'!AT379&gt;0,'Lab test'!AT379,NA())</f>
        <v>4.8888694771544478E-2</v>
      </c>
      <c r="K388" t="e">
        <f t="shared" si="173"/>
        <v>#N/A</v>
      </c>
      <c r="L388" t="str">
        <f>'Lab test'!AC379</f>
        <v>CLTW</v>
      </c>
      <c r="X388" t="e">
        <v>#N/A</v>
      </c>
      <c r="Z388" t="e">
        <f t="shared" si="163"/>
        <v>#N/A</v>
      </c>
      <c r="AB388" t="e">
        <f t="shared" si="175"/>
        <v>#N/A</v>
      </c>
      <c r="AC388" t="e">
        <f t="shared" si="164"/>
        <v>#N/A</v>
      </c>
      <c r="AE388" t="e">
        <v>#N/A</v>
      </c>
      <c r="AF388" t="e">
        <v>#N/A</v>
      </c>
      <c r="AP388" t="e">
        <v>#N/A</v>
      </c>
      <c r="AR388" t="e">
        <f t="shared" si="165"/>
        <v>#N/A</v>
      </c>
      <c r="AT388" t="e">
        <f t="shared" si="166"/>
        <v>#N/A</v>
      </c>
      <c r="AU388" t="e">
        <f t="shared" si="167"/>
        <v>#N/A</v>
      </c>
      <c r="AW388" t="e">
        <v>#N/A</v>
      </c>
      <c r="AX388" t="e">
        <v>#N/A</v>
      </c>
      <c r="BG388" t="e">
        <v>#N/A</v>
      </c>
      <c r="BI388" t="e">
        <f t="shared" si="168"/>
        <v>#N/A</v>
      </c>
      <c r="BK388" t="e">
        <f t="shared" si="169"/>
        <v>#N/A</v>
      </c>
      <c r="BL388" t="e">
        <f t="shared" si="170"/>
        <v>#N/A</v>
      </c>
      <c r="BN388" t="e">
        <v>#N/A</v>
      </c>
      <c r="BO388" t="e">
        <v>#N/A</v>
      </c>
      <c r="BX388" t="e">
        <v>#N/A</v>
      </c>
      <c r="BZ388" t="e">
        <f t="shared" si="171"/>
        <v>#N/A</v>
      </c>
      <c r="CB388" t="e">
        <f t="shared" si="174"/>
        <v>#N/A</v>
      </c>
      <c r="CC388" t="e">
        <f t="shared" si="172"/>
        <v>#N/A</v>
      </c>
      <c r="CE388" t="e">
        <v>#N/A</v>
      </c>
      <c r="CF388" t="e">
        <v>#N/A</v>
      </c>
    </row>
    <row r="389" spans="2:84">
      <c r="B389">
        <v>377</v>
      </c>
      <c r="C389" t="e">
        <f>IF(ISNUMBER(K389),IF('Lab test'!N380&gt;0,'Lab test'!N380,NA()),NA())</f>
        <v>#N/A</v>
      </c>
      <c r="D389" t="e">
        <f>IF(ISNUMBER(K389),IF('Lab test'!Q380&gt;0,'Lab test'!Q380,NA()),NA())</f>
        <v>#N/A</v>
      </c>
      <c r="E389" t="e">
        <f>IF(ISNUMBER(K389),IF('Lab test'!P380&gt;0,'Lab test'!P380,NA()),NA())</f>
        <v>#N/A</v>
      </c>
      <c r="F389" t="e">
        <f>IF(ISNUMBER(K389),IF('Lab test'!AJ380&gt;0,'Lab test'!AJ380,NA()),NA())</f>
        <v>#N/A</v>
      </c>
      <c r="G389">
        <f>IF('Lab test'!V380&gt;0,'Lab test'!V380,NA())</f>
        <v>212500</v>
      </c>
      <c r="H389">
        <f>IF(MAX('Lab test'!W380,'Lab test'!X380)&gt;0,MAX('Lab test'!W380,'Lab test'!X380),NA())</f>
        <v>271</v>
      </c>
      <c r="I389">
        <f>IF('Lab test'!AU380&gt;0,'Lab test'!AU380,NA())</f>
        <v>0.97297777150801645</v>
      </c>
      <c r="J389">
        <f>IF('Lab test'!AT380&gt;0,'Lab test'!AT380,NA())</f>
        <v>4.9204615254720849E-2</v>
      </c>
      <c r="K389" t="e">
        <f t="shared" si="173"/>
        <v>#N/A</v>
      </c>
      <c r="L389" t="str">
        <f>'Lab test'!AC380</f>
        <v>CLTW</v>
      </c>
      <c r="X389" t="e">
        <v>#N/A</v>
      </c>
      <c r="Z389" t="e">
        <f t="shared" si="163"/>
        <v>#N/A</v>
      </c>
      <c r="AB389" t="e">
        <f t="shared" si="175"/>
        <v>#N/A</v>
      </c>
      <c r="AC389" t="e">
        <f t="shared" si="164"/>
        <v>#N/A</v>
      </c>
      <c r="AE389" t="e">
        <v>#N/A</v>
      </c>
      <c r="AF389" t="e">
        <v>#N/A</v>
      </c>
      <c r="AP389" t="e">
        <v>#N/A</v>
      </c>
      <c r="AR389" t="e">
        <f t="shared" si="165"/>
        <v>#N/A</v>
      </c>
      <c r="AT389" t="e">
        <f t="shared" si="166"/>
        <v>#N/A</v>
      </c>
      <c r="AU389" t="e">
        <f t="shared" si="167"/>
        <v>#N/A</v>
      </c>
      <c r="AW389" t="e">
        <v>#N/A</v>
      </c>
      <c r="AX389" t="e">
        <v>#N/A</v>
      </c>
      <c r="BG389" t="e">
        <v>#N/A</v>
      </c>
      <c r="BI389" t="e">
        <f t="shared" si="168"/>
        <v>#N/A</v>
      </c>
      <c r="BK389" t="e">
        <f t="shared" si="169"/>
        <v>#N/A</v>
      </c>
      <c r="BL389" t="e">
        <f t="shared" si="170"/>
        <v>#N/A</v>
      </c>
      <c r="BN389" t="e">
        <v>#N/A</v>
      </c>
      <c r="BO389" t="e">
        <v>#N/A</v>
      </c>
      <c r="BX389" t="e">
        <v>#N/A</v>
      </c>
      <c r="BZ389" t="e">
        <f t="shared" si="171"/>
        <v>#N/A</v>
      </c>
      <c r="CB389" t="e">
        <f t="shared" si="174"/>
        <v>#N/A</v>
      </c>
      <c r="CC389" t="e">
        <f t="shared" si="172"/>
        <v>#N/A</v>
      </c>
      <c r="CE389" t="e">
        <v>#N/A</v>
      </c>
      <c r="CF389" t="e">
        <v>#N/A</v>
      </c>
    </row>
    <row r="390" spans="2:84">
      <c r="B390">
        <v>378</v>
      </c>
      <c r="C390" t="e">
        <f>IF(ISNUMBER(K390),IF('Lab test'!N381&gt;0,'Lab test'!N381,NA()),NA())</f>
        <v>#N/A</v>
      </c>
      <c r="D390" t="e">
        <f>IF(ISNUMBER(K390),IF('Lab test'!Q381&gt;0,'Lab test'!Q381,NA()),NA())</f>
        <v>#N/A</v>
      </c>
      <c r="E390" t="e">
        <f>IF(ISNUMBER(K390),IF('Lab test'!P381&gt;0,'Lab test'!P381,NA()),NA())</f>
        <v>#N/A</v>
      </c>
      <c r="F390" t="e">
        <f>IF(ISNUMBER(K390),IF('Lab test'!AJ381&gt;0,'Lab test'!AJ381,NA()),NA())</f>
        <v>#N/A</v>
      </c>
      <c r="G390">
        <f>IF('Lab test'!V381&gt;0,'Lab test'!V381,NA())</f>
        <v>212500</v>
      </c>
      <c r="H390">
        <f>IF(MAX('Lab test'!W381,'Lab test'!X381)&gt;0,MAX('Lab test'!W381,'Lab test'!X381),NA())</f>
        <v>308</v>
      </c>
      <c r="I390">
        <f>IF('Lab test'!AU381&gt;0,'Lab test'!AU381,NA())</f>
        <v>0.77982887538641377</v>
      </c>
      <c r="J390">
        <f>IF('Lab test'!AT381&gt;0,'Lab test'!AT381,NA())</f>
        <v>4.4821218550648606E-2</v>
      </c>
      <c r="K390" t="e">
        <f t="shared" si="173"/>
        <v>#N/A</v>
      </c>
      <c r="L390" t="str">
        <f>'Lab test'!AC381</f>
        <v>CLTW</v>
      </c>
      <c r="X390" t="e">
        <v>#N/A</v>
      </c>
      <c r="Z390" t="e">
        <f t="shared" si="163"/>
        <v>#N/A</v>
      </c>
      <c r="AB390" t="e">
        <f t="shared" si="175"/>
        <v>#N/A</v>
      </c>
      <c r="AC390" t="e">
        <f t="shared" si="164"/>
        <v>#N/A</v>
      </c>
      <c r="AE390" t="e">
        <v>#N/A</v>
      </c>
      <c r="AF390" t="e">
        <v>#N/A</v>
      </c>
      <c r="AP390" t="e">
        <v>#N/A</v>
      </c>
      <c r="AR390" t="e">
        <f t="shared" si="165"/>
        <v>#N/A</v>
      </c>
      <c r="AT390" t="e">
        <f t="shared" si="166"/>
        <v>#N/A</v>
      </c>
      <c r="AU390" t="e">
        <f t="shared" si="167"/>
        <v>#N/A</v>
      </c>
      <c r="AW390" t="e">
        <v>#N/A</v>
      </c>
      <c r="AX390" t="e">
        <v>#N/A</v>
      </c>
      <c r="BG390" t="e">
        <v>#N/A</v>
      </c>
      <c r="BI390" t="e">
        <f t="shared" si="168"/>
        <v>#N/A</v>
      </c>
      <c r="BK390" t="e">
        <f t="shared" si="169"/>
        <v>#N/A</v>
      </c>
      <c r="BL390" t="e">
        <f t="shared" si="170"/>
        <v>#N/A</v>
      </c>
      <c r="BN390" t="e">
        <v>#N/A</v>
      </c>
      <c r="BO390" t="e">
        <v>#N/A</v>
      </c>
      <c r="BX390" t="e">
        <v>#N/A</v>
      </c>
      <c r="BZ390" t="e">
        <f t="shared" si="171"/>
        <v>#N/A</v>
      </c>
      <c r="CB390" t="e">
        <f t="shared" si="174"/>
        <v>#N/A</v>
      </c>
      <c r="CC390" t="e">
        <f t="shared" si="172"/>
        <v>#N/A</v>
      </c>
      <c r="CE390" t="e">
        <v>#N/A</v>
      </c>
      <c r="CF390" t="e">
        <v>#N/A</v>
      </c>
    </row>
    <row r="391" spans="2:84">
      <c r="B391">
        <v>379</v>
      </c>
      <c r="C391" t="e">
        <f>IF(ISNUMBER(K391),IF('Lab test'!N382&gt;0,'Lab test'!N382,NA()),NA())</f>
        <v>#N/A</v>
      </c>
      <c r="D391" t="e">
        <f>IF(ISNUMBER(K391),IF('Lab test'!Q382&gt;0,'Lab test'!Q382,NA()),NA())</f>
        <v>#N/A</v>
      </c>
      <c r="E391" t="e">
        <f>IF(ISNUMBER(K391),IF('Lab test'!P382&gt;0,'Lab test'!P382,NA()),NA())</f>
        <v>#N/A</v>
      </c>
      <c r="F391" t="e">
        <f>IF(ISNUMBER(K391),IF('Lab test'!AJ382&gt;0,'Lab test'!AJ382,NA()),NA())</f>
        <v>#N/A</v>
      </c>
      <c r="G391">
        <f>IF('Lab test'!V382&gt;0,'Lab test'!V382,NA())</f>
        <v>212500</v>
      </c>
      <c r="H391">
        <f>IF(MAX('Lab test'!W382,'Lab test'!X382)&gt;0,MAX('Lab test'!W382,'Lab test'!X382),NA())</f>
        <v>308</v>
      </c>
      <c r="I391">
        <f>IF('Lab test'!AU382&gt;0,'Lab test'!AU382,NA())</f>
        <v>0.7887608360736591</v>
      </c>
      <c r="J391">
        <f>IF('Lab test'!AT382&gt;0,'Lab test'!AT382,NA())</f>
        <v>4.5334589335810221E-2</v>
      </c>
      <c r="K391" t="e">
        <f t="shared" si="173"/>
        <v>#N/A</v>
      </c>
      <c r="L391" t="str">
        <f>'Lab test'!AC382</f>
        <v>CLTW</v>
      </c>
      <c r="X391" t="e">
        <v>#N/A</v>
      </c>
      <c r="Z391" t="e">
        <f t="shared" si="163"/>
        <v>#N/A</v>
      </c>
      <c r="AB391" t="e">
        <f t="shared" si="175"/>
        <v>#N/A</v>
      </c>
      <c r="AC391" t="e">
        <f t="shared" si="164"/>
        <v>#N/A</v>
      </c>
      <c r="AE391" t="e">
        <v>#N/A</v>
      </c>
      <c r="AF391" t="e">
        <v>#N/A</v>
      </c>
      <c r="AP391" t="e">
        <v>#N/A</v>
      </c>
      <c r="AR391" t="e">
        <f t="shared" si="165"/>
        <v>#N/A</v>
      </c>
      <c r="AT391" t="e">
        <f t="shared" si="166"/>
        <v>#N/A</v>
      </c>
      <c r="AU391" t="e">
        <f t="shared" si="167"/>
        <v>#N/A</v>
      </c>
      <c r="AW391" t="e">
        <v>#N/A</v>
      </c>
      <c r="AX391" t="e">
        <v>#N/A</v>
      </c>
      <c r="BG391" t="e">
        <v>#N/A</v>
      </c>
      <c r="BI391" t="e">
        <f t="shared" si="168"/>
        <v>#N/A</v>
      </c>
      <c r="BK391" t="e">
        <f t="shared" si="169"/>
        <v>#N/A</v>
      </c>
      <c r="BL391" t="e">
        <f t="shared" si="170"/>
        <v>#N/A</v>
      </c>
      <c r="BN391" t="e">
        <v>#N/A</v>
      </c>
      <c r="BO391" t="e">
        <v>#N/A</v>
      </c>
      <c r="BX391" t="e">
        <v>#N/A</v>
      </c>
      <c r="BZ391" t="e">
        <f t="shared" si="171"/>
        <v>#N/A</v>
      </c>
      <c r="CB391" t="e">
        <f t="shared" si="174"/>
        <v>#N/A</v>
      </c>
      <c r="CC391" t="e">
        <f t="shared" si="172"/>
        <v>#N/A</v>
      </c>
      <c r="CE391" t="e">
        <v>#N/A</v>
      </c>
      <c r="CF391" t="e">
        <v>#N/A</v>
      </c>
    </row>
    <row r="392" spans="2:84">
      <c r="B392">
        <v>380</v>
      </c>
      <c r="C392" t="e">
        <f>IF(ISNUMBER(K392),IF('Lab test'!N383&gt;0,'Lab test'!N383,NA()),NA())</f>
        <v>#N/A</v>
      </c>
      <c r="D392" t="e">
        <f>IF(ISNUMBER(K392),IF('Lab test'!Q383&gt;0,'Lab test'!Q383,NA()),NA())</f>
        <v>#N/A</v>
      </c>
      <c r="E392" t="e">
        <f>IF(ISNUMBER(K392),IF('Lab test'!P383&gt;0,'Lab test'!P383,NA()),NA())</f>
        <v>#N/A</v>
      </c>
      <c r="F392" t="e">
        <f>IF(ISNUMBER(K392),IF('Lab test'!AJ383&gt;0,'Lab test'!AJ383,NA()),NA())</f>
        <v>#N/A</v>
      </c>
      <c r="G392">
        <f>IF('Lab test'!V383&gt;0,'Lab test'!V383,NA())</f>
        <v>212500</v>
      </c>
      <c r="H392">
        <f>IF(MAX('Lab test'!W383,'Lab test'!X383)&gt;0,MAX('Lab test'!W383,'Lab test'!X383),NA())</f>
        <v>308</v>
      </c>
      <c r="I392">
        <f>IF('Lab test'!AU383&gt;0,'Lab test'!AU383,NA())</f>
        <v>0.98341477620702389</v>
      </c>
      <c r="J392">
        <f>IF('Lab test'!AT383&gt;0,'Lab test'!AT383,NA())</f>
        <v>8.2428591603750365E-2</v>
      </c>
      <c r="K392" t="e">
        <f t="shared" si="173"/>
        <v>#N/A</v>
      </c>
      <c r="L392" t="str">
        <f>'Lab test'!AC383</f>
        <v>CLTW</v>
      </c>
      <c r="X392" t="e">
        <v>#N/A</v>
      </c>
      <c r="Z392" t="e">
        <f t="shared" si="163"/>
        <v>#N/A</v>
      </c>
      <c r="AB392" t="e">
        <f t="shared" si="175"/>
        <v>#N/A</v>
      </c>
      <c r="AC392" t="e">
        <f t="shared" si="164"/>
        <v>#N/A</v>
      </c>
      <c r="AE392" t="e">
        <v>#N/A</v>
      </c>
      <c r="AF392" t="e">
        <v>#N/A</v>
      </c>
      <c r="AP392" t="e">
        <v>#N/A</v>
      </c>
      <c r="AR392" t="e">
        <f t="shared" si="165"/>
        <v>#N/A</v>
      </c>
      <c r="AT392" t="e">
        <f t="shared" si="166"/>
        <v>#N/A</v>
      </c>
      <c r="AU392" t="e">
        <f t="shared" si="167"/>
        <v>#N/A</v>
      </c>
      <c r="AW392" t="e">
        <v>#N/A</v>
      </c>
      <c r="AX392" t="e">
        <v>#N/A</v>
      </c>
      <c r="BG392" t="e">
        <v>#N/A</v>
      </c>
      <c r="BI392" t="e">
        <f t="shared" si="168"/>
        <v>#N/A</v>
      </c>
      <c r="BK392" t="e">
        <f t="shared" si="169"/>
        <v>#N/A</v>
      </c>
      <c r="BL392" t="e">
        <f t="shared" si="170"/>
        <v>#N/A</v>
      </c>
      <c r="BN392" t="e">
        <v>#N/A</v>
      </c>
      <c r="BO392" t="e">
        <v>#N/A</v>
      </c>
      <c r="BX392" t="e">
        <v>#N/A</v>
      </c>
      <c r="BZ392" t="e">
        <f t="shared" si="171"/>
        <v>#N/A</v>
      </c>
      <c r="CB392" t="e">
        <f t="shared" si="174"/>
        <v>#N/A</v>
      </c>
      <c r="CC392" t="e">
        <f t="shared" si="172"/>
        <v>#N/A</v>
      </c>
      <c r="CE392" t="e">
        <v>#N/A</v>
      </c>
      <c r="CF392" t="e">
        <v>#N/A</v>
      </c>
    </row>
    <row r="393" spans="2:84">
      <c r="B393">
        <v>381</v>
      </c>
      <c r="C393" t="e">
        <f>IF(ISNUMBER(K393),IF('Lab test'!N384&gt;0,'Lab test'!N384,NA()),NA())</f>
        <v>#N/A</v>
      </c>
      <c r="D393" t="e">
        <f>IF(ISNUMBER(K393),IF('Lab test'!Q384&gt;0,'Lab test'!Q384,NA()),NA())</f>
        <v>#N/A</v>
      </c>
      <c r="E393" t="e">
        <f>IF(ISNUMBER(K393),IF('Lab test'!P384&gt;0,'Lab test'!P384,NA()),NA())</f>
        <v>#N/A</v>
      </c>
      <c r="F393" t="e">
        <f>IF(ISNUMBER(K393),IF('Lab test'!AJ384&gt;0,'Lab test'!AJ384,NA()),NA())</f>
        <v>#N/A</v>
      </c>
      <c r="G393">
        <f>IF('Lab test'!V384&gt;0,'Lab test'!V384,NA())</f>
        <v>212500</v>
      </c>
      <c r="H393">
        <f>IF(MAX('Lab test'!W384,'Lab test'!X384)&gt;0,MAX('Lab test'!W384,'Lab test'!X384),NA())</f>
        <v>308</v>
      </c>
      <c r="I393">
        <f>IF('Lab test'!AU384&gt;0,'Lab test'!AU384,NA())</f>
        <v>0.94858117751894955</v>
      </c>
      <c r="J393">
        <f>IF('Lab test'!AT384&gt;0,'Lab test'!AT384,NA())</f>
        <v>7.9508883104532371E-2</v>
      </c>
      <c r="K393" t="e">
        <f t="shared" si="173"/>
        <v>#N/A</v>
      </c>
      <c r="L393" t="str">
        <f>'Lab test'!AC384</f>
        <v>CLTW</v>
      </c>
      <c r="X393" t="e">
        <v>#N/A</v>
      </c>
      <c r="Z393" t="e">
        <f t="shared" si="163"/>
        <v>#N/A</v>
      </c>
      <c r="AB393" t="e">
        <f t="shared" si="175"/>
        <v>#N/A</v>
      </c>
      <c r="AC393" t="e">
        <f t="shared" si="164"/>
        <v>#N/A</v>
      </c>
      <c r="AE393" t="e">
        <v>#N/A</v>
      </c>
      <c r="AF393" t="e">
        <v>#N/A</v>
      </c>
      <c r="AP393" t="e">
        <v>#N/A</v>
      </c>
      <c r="AR393" t="e">
        <f t="shared" si="165"/>
        <v>#N/A</v>
      </c>
      <c r="AT393" t="e">
        <f t="shared" si="166"/>
        <v>#N/A</v>
      </c>
      <c r="AU393" t="e">
        <f t="shared" si="167"/>
        <v>#N/A</v>
      </c>
      <c r="AW393" t="e">
        <v>#N/A</v>
      </c>
      <c r="AX393" t="e">
        <v>#N/A</v>
      </c>
      <c r="BG393" t="e">
        <v>#N/A</v>
      </c>
      <c r="BI393" t="e">
        <f t="shared" si="168"/>
        <v>#N/A</v>
      </c>
      <c r="BK393" t="e">
        <f t="shared" si="169"/>
        <v>#N/A</v>
      </c>
      <c r="BL393" t="e">
        <f t="shared" si="170"/>
        <v>#N/A</v>
      </c>
      <c r="BN393" t="e">
        <v>#N/A</v>
      </c>
      <c r="BO393" t="e">
        <v>#N/A</v>
      </c>
      <c r="BX393" t="e">
        <v>#N/A</v>
      </c>
      <c r="BZ393" t="e">
        <f t="shared" si="171"/>
        <v>#N/A</v>
      </c>
      <c r="CB393" t="e">
        <f t="shared" si="174"/>
        <v>#N/A</v>
      </c>
      <c r="CC393" t="e">
        <f t="shared" si="172"/>
        <v>#N/A</v>
      </c>
      <c r="CE393" t="e">
        <v>#N/A</v>
      </c>
      <c r="CF393" t="e">
        <v>#N/A</v>
      </c>
    </row>
    <row r="394" spans="2:84">
      <c r="B394">
        <v>382</v>
      </c>
      <c r="C394" t="e">
        <f>IF(ISNUMBER(K394),IF('Lab test'!N385&gt;0,'Lab test'!N385,NA()),NA())</f>
        <v>#N/A</v>
      </c>
      <c r="D394" t="e">
        <f>IF(ISNUMBER(K394),IF('Lab test'!Q385&gt;0,'Lab test'!Q385,NA()),NA())</f>
        <v>#N/A</v>
      </c>
      <c r="E394" t="e">
        <f>IF(ISNUMBER(K394),IF('Lab test'!P385&gt;0,'Lab test'!P385,NA()),NA())</f>
        <v>#N/A</v>
      </c>
      <c r="F394" t="e">
        <f>IF(ISNUMBER(K394),IF('Lab test'!AJ385&gt;0,'Lab test'!AJ385,NA()),NA())</f>
        <v>#N/A</v>
      </c>
      <c r="G394">
        <f>IF('Lab test'!V385&gt;0,'Lab test'!V385,NA())</f>
        <v>212500</v>
      </c>
      <c r="H394">
        <f>IF(MAX('Lab test'!W385,'Lab test'!X385)&gt;0,MAX('Lab test'!W385,'Lab test'!X385),NA())</f>
        <v>308</v>
      </c>
      <c r="I394">
        <f>IF('Lab test'!AU385&gt;0,'Lab test'!AU385,NA())</f>
        <v>0.75990373231486663</v>
      </c>
      <c r="J394">
        <f>IF('Lab test'!AT385&gt;0,'Lab test'!AT385,NA())</f>
        <v>4.3676006799134234E-2</v>
      </c>
      <c r="K394" t="e">
        <f t="shared" si="173"/>
        <v>#N/A</v>
      </c>
      <c r="L394" t="str">
        <f>'Lab test'!AC385</f>
        <v>CLTW</v>
      </c>
      <c r="X394" t="e">
        <v>#N/A</v>
      </c>
      <c r="Z394" t="e">
        <f t="shared" si="163"/>
        <v>#N/A</v>
      </c>
      <c r="AB394" t="e">
        <f t="shared" si="175"/>
        <v>#N/A</v>
      </c>
      <c r="AC394" t="e">
        <f t="shared" si="164"/>
        <v>#N/A</v>
      </c>
      <c r="AE394" t="e">
        <v>#N/A</v>
      </c>
      <c r="AF394" t="e">
        <v>#N/A</v>
      </c>
      <c r="AP394" t="e">
        <v>#N/A</v>
      </c>
      <c r="AR394" t="e">
        <f t="shared" si="165"/>
        <v>#N/A</v>
      </c>
      <c r="AT394" t="e">
        <f t="shared" si="166"/>
        <v>#N/A</v>
      </c>
      <c r="AU394" t="e">
        <f t="shared" si="167"/>
        <v>#N/A</v>
      </c>
      <c r="AW394" t="e">
        <v>#N/A</v>
      </c>
      <c r="AX394" t="e">
        <v>#N/A</v>
      </c>
      <c r="BG394" t="e">
        <v>#N/A</v>
      </c>
      <c r="BI394" t="e">
        <f t="shared" si="168"/>
        <v>#N/A</v>
      </c>
      <c r="BK394" t="e">
        <f t="shared" si="169"/>
        <v>#N/A</v>
      </c>
      <c r="BL394" t="e">
        <f t="shared" si="170"/>
        <v>#N/A</v>
      </c>
      <c r="BN394" t="e">
        <v>#N/A</v>
      </c>
      <c r="BO394" t="e">
        <v>#N/A</v>
      </c>
      <c r="BX394" t="e">
        <v>#N/A</v>
      </c>
      <c r="BZ394" t="e">
        <f t="shared" si="171"/>
        <v>#N/A</v>
      </c>
      <c r="CB394" t="e">
        <f t="shared" si="174"/>
        <v>#N/A</v>
      </c>
      <c r="CC394" t="e">
        <f t="shared" si="172"/>
        <v>#N/A</v>
      </c>
      <c r="CE394" t="e">
        <v>#N/A</v>
      </c>
      <c r="CF394" t="e">
        <v>#N/A</v>
      </c>
    </row>
    <row r="395" spans="2:84">
      <c r="B395">
        <v>383</v>
      </c>
      <c r="C395" t="e">
        <f>IF(ISNUMBER(K395),IF('Lab test'!N386&gt;0,'Lab test'!N386,NA()),NA())</f>
        <v>#N/A</v>
      </c>
      <c r="D395" t="e">
        <f>IF(ISNUMBER(K395),IF('Lab test'!Q386&gt;0,'Lab test'!Q386,NA()),NA())</f>
        <v>#N/A</v>
      </c>
      <c r="E395" t="e">
        <f>IF(ISNUMBER(K395),IF('Lab test'!P386&gt;0,'Lab test'!P386,NA()),NA())</f>
        <v>#N/A</v>
      </c>
      <c r="F395" t="e">
        <f>IF(ISNUMBER(K395),IF('Lab test'!AJ386&gt;0,'Lab test'!AJ386,NA()),NA())</f>
        <v>#N/A</v>
      </c>
      <c r="G395">
        <f>IF('Lab test'!V386&gt;0,'Lab test'!V386,NA())</f>
        <v>212500</v>
      </c>
      <c r="H395">
        <f>IF(MAX('Lab test'!W386,'Lab test'!X386)&gt;0,MAX('Lab test'!W386,'Lab test'!X386),NA())</f>
        <v>271</v>
      </c>
      <c r="I395">
        <f>IF('Lab test'!AU386&gt;0,'Lab test'!AU386,NA())</f>
        <v>0.92417270672531104</v>
      </c>
      <c r="J395">
        <f>IF('Lab test'!AT386&gt;0,'Lab test'!AT386,NA())</f>
        <v>4.6736486479905401E-2</v>
      </c>
      <c r="K395" t="e">
        <f t="shared" si="173"/>
        <v>#N/A</v>
      </c>
      <c r="L395" t="str">
        <f>'Lab test'!AC386</f>
        <v>CLTW</v>
      </c>
      <c r="X395" t="e">
        <v>#N/A</v>
      </c>
      <c r="Z395" t="e">
        <f t="shared" si="163"/>
        <v>#N/A</v>
      </c>
      <c r="AB395" t="e">
        <f t="shared" si="175"/>
        <v>#N/A</v>
      </c>
      <c r="AC395" t="e">
        <f t="shared" si="164"/>
        <v>#N/A</v>
      </c>
      <c r="AE395" t="e">
        <v>#N/A</v>
      </c>
      <c r="AF395" t="e">
        <v>#N/A</v>
      </c>
      <c r="AP395" t="e">
        <v>#N/A</v>
      </c>
      <c r="AR395" t="e">
        <f t="shared" si="165"/>
        <v>#N/A</v>
      </c>
      <c r="AT395" t="e">
        <f t="shared" si="166"/>
        <v>#N/A</v>
      </c>
      <c r="AU395" t="e">
        <f t="shared" si="167"/>
        <v>#N/A</v>
      </c>
      <c r="AW395" t="e">
        <v>#N/A</v>
      </c>
      <c r="AX395" t="e">
        <v>#N/A</v>
      </c>
      <c r="BG395" t="e">
        <v>#N/A</v>
      </c>
      <c r="BI395" t="e">
        <f t="shared" si="168"/>
        <v>#N/A</v>
      </c>
      <c r="BK395" t="e">
        <f t="shared" si="169"/>
        <v>#N/A</v>
      </c>
      <c r="BL395" t="e">
        <f t="shared" si="170"/>
        <v>#N/A</v>
      </c>
      <c r="BN395" t="e">
        <v>#N/A</v>
      </c>
      <c r="BO395" t="e">
        <v>#N/A</v>
      </c>
      <c r="BX395" t="e">
        <v>#N/A</v>
      </c>
      <c r="BZ395" t="e">
        <f t="shared" si="171"/>
        <v>#N/A</v>
      </c>
      <c r="CB395" t="e">
        <f t="shared" si="174"/>
        <v>#N/A</v>
      </c>
      <c r="CC395" t="e">
        <f t="shared" si="172"/>
        <v>#N/A</v>
      </c>
      <c r="CE395" t="e">
        <v>#N/A</v>
      </c>
      <c r="CF395" t="e">
        <v>#N/A</v>
      </c>
    </row>
    <row r="396" spans="2:84">
      <c r="B396">
        <v>384</v>
      </c>
      <c r="C396" t="e">
        <f>IF(ISNUMBER(K396),IF('Lab test'!N387&gt;0,'Lab test'!N387,NA()),NA())</f>
        <v>#N/A</v>
      </c>
      <c r="D396" t="e">
        <f>IF(ISNUMBER(K396),IF('Lab test'!Q387&gt;0,'Lab test'!Q387,NA()),NA())</f>
        <v>#N/A</v>
      </c>
      <c r="E396" t="e">
        <f>IF(ISNUMBER(K396),IF('Lab test'!P387&gt;0,'Lab test'!P387,NA()),NA())</f>
        <v>#N/A</v>
      </c>
      <c r="F396" t="e">
        <f>IF(ISNUMBER(K396),IF('Lab test'!AJ387&gt;0,'Lab test'!AJ387,NA()),NA())</f>
        <v>#N/A</v>
      </c>
      <c r="G396">
        <f>IF('Lab test'!V387&gt;0,'Lab test'!V387,NA())</f>
        <v>212500</v>
      </c>
      <c r="H396">
        <f>IF(MAX('Lab test'!W387,'Lab test'!X387)&gt;0,MAX('Lab test'!W387,'Lab test'!X387),NA())</f>
        <v>308</v>
      </c>
      <c r="I396">
        <f>IF('Lab test'!AU387&gt;0,'Lab test'!AU387,NA())</f>
        <v>0.96495988948486533</v>
      </c>
      <c r="J396">
        <f>IF('Lab test'!AT387&gt;0,'Lab test'!AT387,NA())</f>
        <v>8.0881726173701096E-2</v>
      </c>
      <c r="K396" t="e">
        <f t="shared" si="173"/>
        <v>#N/A</v>
      </c>
      <c r="L396" t="str">
        <f>'Lab test'!AC387</f>
        <v>CLTW</v>
      </c>
      <c r="X396" t="e">
        <v>#N/A</v>
      </c>
      <c r="Z396" t="e">
        <f t="shared" si="163"/>
        <v>#N/A</v>
      </c>
      <c r="AB396" t="e">
        <f t="shared" si="175"/>
        <v>#N/A</v>
      </c>
      <c r="AC396" t="e">
        <f t="shared" si="164"/>
        <v>#N/A</v>
      </c>
      <c r="AE396" t="e">
        <v>#N/A</v>
      </c>
      <c r="AF396" t="e">
        <v>#N/A</v>
      </c>
      <c r="AP396" t="e">
        <v>#N/A</v>
      </c>
      <c r="AR396" t="e">
        <f t="shared" si="165"/>
        <v>#N/A</v>
      </c>
      <c r="AT396" t="e">
        <f t="shared" si="166"/>
        <v>#N/A</v>
      </c>
      <c r="AU396" t="e">
        <f t="shared" si="167"/>
        <v>#N/A</v>
      </c>
      <c r="AW396" t="e">
        <v>#N/A</v>
      </c>
      <c r="AX396" t="e">
        <v>#N/A</v>
      </c>
      <c r="BG396" t="e">
        <v>#N/A</v>
      </c>
      <c r="BI396" t="e">
        <f t="shared" si="168"/>
        <v>#N/A</v>
      </c>
      <c r="BK396" t="e">
        <f t="shared" si="169"/>
        <v>#N/A</v>
      </c>
      <c r="BL396" t="e">
        <f t="shared" si="170"/>
        <v>#N/A</v>
      </c>
      <c r="BN396" t="e">
        <v>#N/A</v>
      </c>
      <c r="BO396" t="e">
        <v>#N/A</v>
      </c>
      <c r="BX396" t="e">
        <v>#N/A</v>
      </c>
      <c r="BZ396" t="e">
        <f t="shared" si="171"/>
        <v>#N/A</v>
      </c>
      <c r="CB396" t="e">
        <f t="shared" si="174"/>
        <v>#N/A</v>
      </c>
      <c r="CC396" t="e">
        <f t="shared" si="172"/>
        <v>#N/A</v>
      </c>
      <c r="CE396" t="e">
        <v>#N/A</v>
      </c>
      <c r="CF396" t="e">
        <v>#N/A</v>
      </c>
    </row>
    <row r="397" spans="2:84">
      <c r="B397">
        <v>385</v>
      </c>
      <c r="C397" t="e">
        <f>IF(ISNUMBER(K397),IF('Lab test'!N388&gt;0,'Lab test'!N388,NA()),NA())</f>
        <v>#N/A</v>
      </c>
      <c r="D397" t="e">
        <f>IF(ISNUMBER(K397),IF('Lab test'!Q388&gt;0,'Lab test'!Q388,NA()),NA())</f>
        <v>#N/A</v>
      </c>
      <c r="E397" t="e">
        <f>IF(ISNUMBER(K397),IF('Lab test'!P388&gt;0,'Lab test'!P388,NA()),NA())</f>
        <v>#N/A</v>
      </c>
      <c r="F397" t="e">
        <f>IF(ISNUMBER(K397),IF('Lab test'!AJ388&gt;0,'Lab test'!AJ388,NA()),NA())</f>
        <v>#N/A</v>
      </c>
      <c r="G397">
        <f>IF('Lab test'!V388&gt;0,'Lab test'!V388,NA())</f>
        <v>212500</v>
      </c>
      <c r="H397">
        <f>IF(MAX('Lab test'!W388,'Lab test'!X388)&gt;0,MAX('Lab test'!W388,'Lab test'!X388),NA())</f>
        <v>308</v>
      </c>
      <c r="I397">
        <f>IF('Lab test'!AU388&gt;0,'Lab test'!AU388,NA())</f>
        <v>0.94442882800646388</v>
      </c>
      <c r="J397">
        <f>IF('Lab test'!AT388&gt;0,'Lab test'!AT388,NA())</f>
        <v>7.9160838382771284E-2</v>
      </c>
      <c r="K397" t="e">
        <f t="shared" si="173"/>
        <v>#N/A</v>
      </c>
      <c r="L397" t="str">
        <f>'Lab test'!AC388</f>
        <v>CLTW</v>
      </c>
      <c r="X397" t="e">
        <v>#N/A</v>
      </c>
      <c r="Z397" t="e">
        <f t="shared" ref="Z397:Z460" si="176">IF(X397=X398,NA(),Y397)</f>
        <v>#N/A</v>
      </c>
      <c r="AB397" t="e">
        <f t="shared" si="175"/>
        <v>#N/A</v>
      </c>
      <c r="AC397" t="e">
        <f t="shared" ref="AC397:AC460" si="177">X397</f>
        <v>#N/A</v>
      </c>
      <c r="AE397" t="e">
        <v>#N/A</v>
      </c>
      <c r="AF397" t="e">
        <v>#N/A</v>
      </c>
      <c r="AP397" t="e">
        <v>#N/A</v>
      </c>
      <c r="AR397" t="e">
        <f t="shared" ref="AR397:AR460" si="178">IF(AP397=AP398,NA(),AQ397)</f>
        <v>#N/A</v>
      </c>
      <c r="AT397" t="e">
        <f t="shared" ref="AT397:AT460" si="179">AR397</f>
        <v>#N/A</v>
      </c>
      <c r="AU397" t="e">
        <f t="shared" ref="AU397:AU460" si="180">AP397</f>
        <v>#N/A</v>
      </c>
      <c r="AW397" t="e">
        <v>#N/A</v>
      </c>
      <c r="AX397" t="e">
        <v>#N/A</v>
      </c>
      <c r="BG397" t="e">
        <v>#N/A</v>
      </c>
      <c r="BI397" t="e">
        <f t="shared" ref="BI397:BI460" si="181">IF(BG397=BG398,NA(),BH397)</f>
        <v>#N/A</v>
      </c>
      <c r="BK397" t="e">
        <f t="shared" ref="BK397:BK460" si="182">BI397</f>
        <v>#N/A</v>
      </c>
      <c r="BL397" t="e">
        <f t="shared" ref="BL397:BL460" si="183">BG397</f>
        <v>#N/A</v>
      </c>
      <c r="BN397" t="e">
        <v>#N/A</v>
      </c>
      <c r="BO397" t="e">
        <v>#N/A</v>
      </c>
      <c r="BX397" t="e">
        <v>#N/A</v>
      </c>
      <c r="BZ397" t="e">
        <f t="shared" ref="BZ397:BZ460" si="184">IF(BX397=BX398,NA(),BY397)</f>
        <v>#N/A</v>
      </c>
      <c r="CB397" t="e">
        <f t="shared" si="174"/>
        <v>#N/A</v>
      </c>
      <c r="CC397" t="e">
        <f t="shared" ref="CC397:CC460" si="185">BX397</f>
        <v>#N/A</v>
      </c>
      <c r="CE397" t="e">
        <v>#N/A</v>
      </c>
      <c r="CF397" t="e">
        <v>#N/A</v>
      </c>
    </row>
    <row r="398" spans="2:84">
      <c r="B398">
        <v>386</v>
      </c>
      <c r="C398" t="e">
        <f>IF(ISNUMBER(K398),IF('Lab test'!N389&gt;0,'Lab test'!N389,NA()),NA())</f>
        <v>#N/A</v>
      </c>
      <c r="D398" t="e">
        <f>IF(ISNUMBER(K398),IF('Lab test'!Q389&gt;0,'Lab test'!Q389,NA()),NA())</f>
        <v>#N/A</v>
      </c>
      <c r="E398" t="e">
        <f>IF(ISNUMBER(K398),IF('Lab test'!P389&gt;0,'Lab test'!P389,NA()),NA())</f>
        <v>#N/A</v>
      </c>
      <c r="F398" t="e">
        <f>IF(ISNUMBER(K398),IF('Lab test'!AJ389&gt;0,'Lab test'!AJ389,NA()),NA())</f>
        <v>#N/A</v>
      </c>
      <c r="G398">
        <f>IF('Lab test'!V389&gt;0,'Lab test'!V389,NA())</f>
        <v>197190.1</v>
      </c>
      <c r="H398">
        <f>IF(MAX('Lab test'!W389,'Lab test'!X389)&gt;0,MAX('Lab test'!W389,'Lab test'!X389),NA())</f>
        <v>197.87950000000001</v>
      </c>
      <c r="I398">
        <f>IF('Lab test'!AU389&gt;0,'Lab test'!AU389,NA())</f>
        <v>0.47700358046184671</v>
      </c>
      <c r="J398">
        <f>IF('Lab test'!AT389&gt;0,'Lab test'!AT389,NA())</f>
        <v>0.39584279216259538</v>
      </c>
      <c r="K398" t="e">
        <f t="shared" ref="K398:K461" si="186">IF(AND(OR(ISNUMBER(I398),ISNUMBER(J398)),ISNUMBER(G398),ISNUMBER(H398),L398="LTWb"),1,NA())</f>
        <v>#N/A</v>
      </c>
      <c r="L398" t="str">
        <f>'Lab test'!AC389</f>
        <v>LTWa</v>
      </c>
      <c r="X398" t="e">
        <v>#N/A</v>
      </c>
      <c r="Z398" t="e">
        <f t="shared" si="176"/>
        <v>#N/A</v>
      </c>
      <c r="AB398" t="e">
        <f t="shared" si="175"/>
        <v>#N/A</v>
      </c>
      <c r="AC398" t="e">
        <f t="shared" si="177"/>
        <v>#N/A</v>
      </c>
      <c r="AE398" t="e">
        <v>#N/A</v>
      </c>
      <c r="AF398" t="e">
        <v>#N/A</v>
      </c>
      <c r="AP398" t="e">
        <v>#N/A</v>
      </c>
      <c r="AR398" t="e">
        <f t="shared" si="178"/>
        <v>#N/A</v>
      </c>
      <c r="AT398" t="e">
        <f t="shared" si="179"/>
        <v>#N/A</v>
      </c>
      <c r="AU398" t="e">
        <f t="shared" si="180"/>
        <v>#N/A</v>
      </c>
      <c r="AW398" t="e">
        <v>#N/A</v>
      </c>
      <c r="AX398" t="e">
        <v>#N/A</v>
      </c>
      <c r="BG398" t="e">
        <v>#N/A</v>
      </c>
      <c r="BI398" t="e">
        <f t="shared" si="181"/>
        <v>#N/A</v>
      </c>
      <c r="BK398" t="e">
        <f t="shared" si="182"/>
        <v>#N/A</v>
      </c>
      <c r="BL398" t="e">
        <f t="shared" si="183"/>
        <v>#N/A</v>
      </c>
      <c r="BN398" t="e">
        <v>#N/A</v>
      </c>
      <c r="BO398" t="e">
        <v>#N/A</v>
      </c>
      <c r="BX398" t="e">
        <v>#N/A</v>
      </c>
      <c r="BZ398" t="e">
        <f t="shared" si="184"/>
        <v>#N/A</v>
      </c>
      <c r="CB398" t="e">
        <f t="shared" si="174"/>
        <v>#N/A</v>
      </c>
      <c r="CC398" t="e">
        <f t="shared" si="185"/>
        <v>#N/A</v>
      </c>
      <c r="CE398" t="e">
        <v>#N/A</v>
      </c>
      <c r="CF398" t="e">
        <v>#N/A</v>
      </c>
    </row>
    <row r="399" spans="2:84">
      <c r="B399">
        <v>387</v>
      </c>
      <c r="C399" t="e">
        <f>IF(ISNUMBER(K399),IF('Lab test'!N390&gt;0,'Lab test'!N390,NA()),NA())</f>
        <v>#N/A</v>
      </c>
      <c r="D399" t="e">
        <f>IF(ISNUMBER(K399),IF('Lab test'!Q390&gt;0,'Lab test'!Q390,NA()),NA())</f>
        <v>#N/A</v>
      </c>
      <c r="E399" t="e">
        <f>IF(ISNUMBER(K399),IF('Lab test'!P390&gt;0,'Lab test'!P390,NA()),NA())</f>
        <v>#N/A</v>
      </c>
      <c r="F399" t="e">
        <f>IF(ISNUMBER(K399),IF('Lab test'!AJ390&gt;0,'Lab test'!AJ390,NA()),NA())</f>
        <v>#N/A</v>
      </c>
      <c r="G399">
        <f>IF('Lab test'!V390&gt;0,'Lab test'!V390,NA())</f>
        <v>197190.1</v>
      </c>
      <c r="H399">
        <f>IF(MAX('Lab test'!W390,'Lab test'!X390)&gt;0,MAX('Lab test'!W390,'Lab test'!X390),NA())</f>
        <v>197.87950000000001</v>
      </c>
      <c r="I399">
        <f>IF('Lab test'!AU390&gt;0,'Lab test'!AU390,NA())</f>
        <v>0.41707321880235193</v>
      </c>
      <c r="J399">
        <f>IF('Lab test'!AT390&gt;0,'Lab test'!AT390,NA())</f>
        <v>0.34610940929859391</v>
      </c>
      <c r="K399" t="e">
        <f t="shared" si="186"/>
        <v>#N/A</v>
      </c>
      <c r="L399" t="str">
        <f>'Lab test'!AC390</f>
        <v>LTWa</v>
      </c>
      <c r="X399" t="e">
        <v>#N/A</v>
      </c>
      <c r="Z399" t="e">
        <f t="shared" si="176"/>
        <v>#N/A</v>
      </c>
      <c r="AB399" t="e">
        <f t="shared" si="175"/>
        <v>#N/A</v>
      </c>
      <c r="AC399" t="e">
        <f t="shared" si="177"/>
        <v>#N/A</v>
      </c>
      <c r="AE399" t="e">
        <v>#N/A</v>
      </c>
      <c r="AF399" t="e">
        <v>#N/A</v>
      </c>
      <c r="AP399" t="e">
        <v>#N/A</v>
      </c>
      <c r="AR399" t="e">
        <f t="shared" si="178"/>
        <v>#N/A</v>
      </c>
      <c r="AT399" t="e">
        <f t="shared" si="179"/>
        <v>#N/A</v>
      </c>
      <c r="AU399" t="e">
        <f t="shared" si="180"/>
        <v>#N/A</v>
      </c>
      <c r="AW399" t="e">
        <v>#N/A</v>
      </c>
      <c r="AX399" t="e">
        <v>#N/A</v>
      </c>
      <c r="BG399" t="e">
        <v>#N/A</v>
      </c>
      <c r="BI399" t="e">
        <f t="shared" si="181"/>
        <v>#N/A</v>
      </c>
      <c r="BK399" t="e">
        <f t="shared" si="182"/>
        <v>#N/A</v>
      </c>
      <c r="BL399" t="e">
        <f t="shared" si="183"/>
        <v>#N/A</v>
      </c>
      <c r="BN399" t="e">
        <v>#N/A</v>
      </c>
      <c r="BO399" t="e">
        <v>#N/A</v>
      </c>
      <c r="BX399" t="e">
        <v>#N/A</v>
      </c>
      <c r="BZ399" t="e">
        <f t="shared" si="184"/>
        <v>#N/A</v>
      </c>
      <c r="CB399" t="e">
        <f t="shared" si="174"/>
        <v>#N/A</v>
      </c>
      <c r="CC399" t="e">
        <f t="shared" si="185"/>
        <v>#N/A</v>
      </c>
      <c r="CE399" t="e">
        <v>#N/A</v>
      </c>
      <c r="CF399" t="e">
        <v>#N/A</v>
      </c>
    </row>
    <row r="400" spans="2:84">
      <c r="B400">
        <v>388</v>
      </c>
      <c r="C400" t="e">
        <f>IF(ISNUMBER(K400),IF('Lab test'!N391&gt;0,'Lab test'!N391,NA()),NA())</f>
        <v>#N/A</v>
      </c>
      <c r="D400" t="e">
        <f>IF(ISNUMBER(K400),IF('Lab test'!Q391&gt;0,'Lab test'!Q391,NA()),NA())</f>
        <v>#N/A</v>
      </c>
      <c r="E400" t="e">
        <f>IF(ISNUMBER(K400),IF('Lab test'!P391&gt;0,'Lab test'!P391,NA()),NA())</f>
        <v>#N/A</v>
      </c>
      <c r="F400" t="e">
        <f>IF(ISNUMBER(K400),IF('Lab test'!AJ391&gt;0,'Lab test'!AJ391,NA()),NA())</f>
        <v>#N/A</v>
      </c>
      <c r="G400">
        <f>IF('Lab test'!V391&gt;0,'Lab test'!V391,NA())</f>
        <v>206842.7</v>
      </c>
      <c r="H400">
        <f>IF(MAX('Lab test'!W391,'Lab test'!X391)&gt;0,MAX('Lab test'!W391,'Lab test'!X391),NA())</f>
        <v>242.006</v>
      </c>
      <c r="I400">
        <f>IF('Lab test'!AU391&gt;0,'Lab test'!AU391,NA())</f>
        <v>0.50370362718279715</v>
      </c>
      <c r="J400">
        <f>IF('Lab test'!AT391&gt;0,'Lab test'!AT391,NA())</f>
        <v>0.48094983898594235</v>
      </c>
      <c r="K400" t="e">
        <f t="shared" si="186"/>
        <v>#N/A</v>
      </c>
      <c r="L400" t="str">
        <f>'Lab test'!AC391</f>
        <v>LTWa</v>
      </c>
      <c r="X400" t="e">
        <v>#N/A</v>
      </c>
      <c r="Z400" t="e">
        <f t="shared" si="176"/>
        <v>#N/A</v>
      </c>
      <c r="AB400" t="e">
        <f t="shared" si="175"/>
        <v>#N/A</v>
      </c>
      <c r="AC400" t="e">
        <f t="shared" si="177"/>
        <v>#N/A</v>
      </c>
      <c r="AE400" t="e">
        <v>#N/A</v>
      </c>
      <c r="AF400" t="e">
        <v>#N/A</v>
      </c>
      <c r="AP400" t="e">
        <v>#N/A</v>
      </c>
      <c r="AR400" t="e">
        <f t="shared" si="178"/>
        <v>#N/A</v>
      </c>
      <c r="AT400" t="e">
        <f t="shared" si="179"/>
        <v>#N/A</v>
      </c>
      <c r="AU400" t="e">
        <f t="shared" si="180"/>
        <v>#N/A</v>
      </c>
      <c r="AW400" t="e">
        <v>#N/A</v>
      </c>
      <c r="AX400" t="e">
        <v>#N/A</v>
      </c>
      <c r="BG400" t="e">
        <v>#N/A</v>
      </c>
      <c r="BI400" t="e">
        <f t="shared" si="181"/>
        <v>#N/A</v>
      </c>
      <c r="BK400" t="e">
        <f t="shared" si="182"/>
        <v>#N/A</v>
      </c>
      <c r="BL400" t="e">
        <f t="shared" si="183"/>
        <v>#N/A</v>
      </c>
      <c r="BN400" t="e">
        <v>#N/A</v>
      </c>
      <c r="BO400" t="e">
        <v>#N/A</v>
      </c>
      <c r="BX400" t="e">
        <v>#N/A</v>
      </c>
      <c r="BZ400" t="e">
        <f t="shared" si="184"/>
        <v>#N/A</v>
      </c>
      <c r="CB400" t="e">
        <f t="shared" si="174"/>
        <v>#N/A</v>
      </c>
      <c r="CC400" t="e">
        <f t="shared" si="185"/>
        <v>#N/A</v>
      </c>
      <c r="CE400" t="e">
        <v>#N/A</v>
      </c>
      <c r="CF400" t="e">
        <v>#N/A</v>
      </c>
    </row>
    <row r="401" spans="2:84">
      <c r="B401">
        <v>389</v>
      </c>
      <c r="C401" t="e">
        <f>IF(ISNUMBER(K401),IF('Lab test'!N392&gt;0,'Lab test'!N392,NA()),NA())</f>
        <v>#N/A</v>
      </c>
      <c r="D401" t="e">
        <f>IF(ISNUMBER(K401),IF('Lab test'!Q392&gt;0,'Lab test'!Q392,NA()),NA())</f>
        <v>#N/A</v>
      </c>
      <c r="E401" t="e">
        <f>IF(ISNUMBER(K401),IF('Lab test'!P392&gt;0,'Lab test'!P392,NA()),NA())</f>
        <v>#N/A</v>
      </c>
      <c r="F401" t="e">
        <f>IF(ISNUMBER(K401),IF('Lab test'!AJ392&gt;0,'Lab test'!AJ392,NA()),NA())</f>
        <v>#N/A</v>
      </c>
      <c r="G401">
        <f>IF('Lab test'!V392&gt;0,'Lab test'!V392,NA())</f>
        <v>204084.8</v>
      </c>
      <c r="H401">
        <f>IF(MAX('Lab test'!W392,'Lab test'!X392)&gt;0,MAX('Lab test'!W392,'Lab test'!X392),NA())</f>
        <v>244.76390000000001</v>
      </c>
      <c r="I401">
        <f>IF('Lab test'!AU392&gt;0,'Lab test'!AU392,NA())</f>
        <v>0.66901409889285135</v>
      </c>
      <c r="J401">
        <f>IF('Lab test'!AT392&gt;0,'Lab test'!AT392,NA())</f>
        <v>0.34117423294590943</v>
      </c>
      <c r="K401" t="e">
        <f t="shared" si="186"/>
        <v>#N/A</v>
      </c>
      <c r="L401" t="str">
        <f>'Lab test'!AC392</f>
        <v>LTWa</v>
      </c>
      <c r="X401" t="e">
        <v>#N/A</v>
      </c>
      <c r="Z401" t="e">
        <f t="shared" si="176"/>
        <v>#N/A</v>
      </c>
      <c r="AB401" t="e">
        <f t="shared" si="175"/>
        <v>#N/A</v>
      </c>
      <c r="AC401" t="e">
        <f t="shared" si="177"/>
        <v>#N/A</v>
      </c>
      <c r="AE401" t="e">
        <v>#N/A</v>
      </c>
      <c r="AF401" t="e">
        <v>#N/A</v>
      </c>
      <c r="AP401" t="e">
        <v>#N/A</v>
      </c>
      <c r="AR401" t="e">
        <f t="shared" si="178"/>
        <v>#N/A</v>
      </c>
      <c r="AT401" t="e">
        <f t="shared" si="179"/>
        <v>#N/A</v>
      </c>
      <c r="AU401" t="e">
        <f t="shared" si="180"/>
        <v>#N/A</v>
      </c>
      <c r="AW401" t="e">
        <v>#N/A</v>
      </c>
      <c r="AX401" t="e">
        <v>#N/A</v>
      </c>
      <c r="BG401" t="e">
        <v>#N/A</v>
      </c>
      <c r="BI401" t="e">
        <f t="shared" si="181"/>
        <v>#N/A</v>
      </c>
      <c r="BK401" t="e">
        <f t="shared" si="182"/>
        <v>#N/A</v>
      </c>
      <c r="BL401" t="e">
        <f t="shared" si="183"/>
        <v>#N/A</v>
      </c>
      <c r="BN401" t="e">
        <v>#N/A</v>
      </c>
      <c r="BO401" t="e">
        <v>#N/A</v>
      </c>
      <c r="BX401" t="e">
        <v>#N/A</v>
      </c>
      <c r="BZ401" t="e">
        <f t="shared" si="184"/>
        <v>#N/A</v>
      </c>
      <c r="CB401" t="e">
        <f t="shared" si="174"/>
        <v>#N/A</v>
      </c>
      <c r="CC401" t="e">
        <f t="shared" si="185"/>
        <v>#N/A</v>
      </c>
      <c r="CE401" t="e">
        <v>#N/A</v>
      </c>
      <c r="CF401" t="e">
        <v>#N/A</v>
      </c>
    </row>
    <row r="402" spans="2:84">
      <c r="B402">
        <v>390</v>
      </c>
      <c r="C402" t="e">
        <f>IF(ISNUMBER(K402),IF('Lab test'!N393&gt;0,'Lab test'!N393,NA()),NA())</f>
        <v>#N/A</v>
      </c>
      <c r="D402" t="e">
        <f>IF(ISNUMBER(K402),IF('Lab test'!Q393&gt;0,'Lab test'!Q393,NA()),NA())</f>
        <v>#N/A</v>
      </c>
      <c r="E402" t="e">
        <f>IF(ISNUMBER(K402),IF('Lab test'!P393&gt;0,'Lab test'!P393,NA()),NA())</f>
        <v>#N/A</v>
      </c>
      <c r="F402" t="e">
        <f>IF(ISNUMBER(K402),IF('Lab test'!AJ393&gt;0,'Lab test'!AJ393,NA()),NA())</f>
        <v>#N/A</v>
      </c>
      <c r="G402">
        <f>IF('Lab test'!V393&gt;0,'Lab test'!V393,NA())</f>
        <v>204084.8</v>
      </c>
      <c r="H402">
        <f>IF(MAX('Lab test'!W393,'Lab test'!X393)&gt;0,MAX('Lab test'!W393,'Lab test'!X393),NA())</f>
        <v>285.44299999999998</v>
      </c>
      <c r="I402">
        <f>IF('Lab test'!AU393&gt;0,'Lab test'!AU393,NA())</f>
        <v>0.66352651842924859</v>
      </c>
      <c r="J402">
        <f>IF('Lab test'!AT393&gt;0,'Lab test'!AT393,NA())</f>
        <v>0.3932687698735079</v>
      </c>
      <c r="K402" t="e">
        <f t="shared" si="186"/>
        <v>#N/A</v>
      </c>
      <c r="L402" t="str">
        <f>'Lab test'!AC393</f>
        <v>LTWa</v>
      </c>
      <c r="X402" t="e">
        <v>#N/A</v>
      </c>
      <c r="Z402" t="e">
        <f t="shared" si="176"/>
        <v>#N/A</v>
      </c>
      <c r="AB402" t="e">
        <f t="shared" si="175"/>
        <v>#N/A</v>
      </c>
      <c r="AC402" t="e">
        <f t="shared" si="177"/>
        <v>#N/A</v>
      </c>
      <c r="AE402" t="e">
        <v>#N/A</v>
      </c>
      <c r="AF402" t="e">
        <v>#N/A</v>
      </c>
      <c r="AP402" t="e">
        <v>#N/A</v>
      </c>
      <c r="AR402" t="e">
        <f t="shared" si="178"/>
        <v>#N/A</v>
      </c>
      <c r="AT402" t="e">
        <f t="shared" si="179"/>
        <v>#N/A</v>
      </c>
      <c r="AU402" t="e">
        <f t="shared" si="180"/>
        <v>#N/A</v>
      </c>
      <c r="AW402" t="e">
        <v>#N/A</v>
      </c>
      <c r="AX402" t="e">
        <v>#N/A</v>
      </c>
      <c r="BG402" t="e">
        <v>#N/A</v>
      </c>
      <c r="BI402" t="e">
        <f t="shared" si="181"/>
        <v>#N/A</v>
      </c>
      <c r="BK402" t="e">
        <f t="shared" si="182"/>
        <v>#N/A</v>
      </c>
      <c r="BL402" t="e">
        <f t="shared" si="183"/>
        <v>#N/A</v>
      </c>
      <c r="BN402" t="e">
        <v>#N/A</v>
      </c>
      <c r="BO402" t="e">
        <v>#N/A</v>
      </c>
      <c r="BX402" t="e">
        <v>#N/A</v>
      </c>
      <c r="BZ402" t="e">
        <f t="shared" si="184"/>
        <v>#N/A</v>
      </c>
      <c r="CB402" t="e">
        <f t="shared" si="174"/>
        <v>#N/A</v>
      </c>
      <c r="CC402" t="e">
        <f t="shared" si="185"/>
        <v>#N/A</v>
      </c>
      <c r="CE402" t="e">
        <v>#N/A</v>
      </c>
      <c r="CF402" t="e">
        <v>#N/A</v>
      </c>
    </row>
    <row r="403" spans="2:84">
      <c r="B403">
        <v>391</v>
      </c>
      <c r="C403" t="e">
        <f>IF(ISNUMBER(K403),IF('Lab test'!N394&gt;0,'Lab test'!N394,NA()),NA())</f>
        <v>#N/A</v>
      </c>
      <c r="D403" t="e">
        <f>IF(ISNUMBER(K403),IF('Lab test'!Q394&gt;0,'Lab test'!Q394,NA()),NA())</f>
        <v>#N/A</v>
      </c>
      <c r="E403" t="e">
        <f>IF(ISNUMBER(K403),IF('Lab test'!P394&gt;0,'Lab test'!P394,NA()),NA())</f>
        <v>#N/A</v>
      </c>
      <c r="F403" t="e">
        <f>IF(ISNUMBER(K403),IF('Lab test'!AJ394&gt;0,'Lab test'!AJ394,NA()),NA())</f>
        <v>#N/A</v>
      </c>
      <c r="G403">
        <f>IF('Lab test'!V394&gt;0,'Lab test'!V394,NA())</f>
        <v>204084.8</v>
      </c>
      <c r="H403">
        <f>IF(MAX('Lab test'!W394,'Lab test'!X394)&gt;0,MAX('Lab test'!W394,'Lab test'!X394),NA())</f>
        <v>544.68579999999997</v>
      </c>
      <c r="I403">
        <f>IF('Lab test'!AU394&gt;0,'Lab test'!AU394,NA())</f>
        <v>0.57594947399032614</v>
      </c>
      <c r="J403">
        <f>IF('Lab test'!AT394&gt;0,'Lab test'!AT394,NA())</f>
        <v>0.61573988743240926</v>
      </c>
      <c r="K403" t="e">
        <f t="shared" si="186"/>
        <v>#N/A</v>
      </c>
      <c r="L403" t="str">
        <f>'Lab test'!AC394</f>
        <v>LTWa</v>
      </c>
      <c r="X403" t="e">
        <v>#N/A</v>
      </c>
      <c r="Z403" t="e">
        <f t="shared" si="176"/>
        <v>#N/A</v>
      </c>
      <c r="AB403" t="e">
        <f t="shared" si="175"/>
        <v>#N/A</v>
      </c>
      <c r="AC403" t="e">
        <f t="shared" si="177"/>
        <v>#N/A</v>
      </c>
      <c r="AE403" t="e">
        <v>#N/A</v>
      </c>
      <c r="AF403" t="e">
        <v>#N/A</v>
      </c>
      <c r="AP403" t="e">
        <v>#N/A</v>
      </c>
      <c r="AR403" t="e">
        <f t="shared" si="178"/>
        <v>#N/A</v>
      </c>
      <c r="AT403" t="e">
        <f t="shared" si="179"/>
        <v>#N/A</v>
      </c>
      <c r="AU403" t="e">
        <f t="shared" si="180"/>
        <v>#N/A</v>
      </c>
      <c r="AW403" t="e">
        <v>#N/A</v>
      </c>
      <c r="AX403" t="e">
        <v>#N/A</v>
      </c>
      <c r="BG403" t="e">
        <v>#N/A</v>
      </c>
      <c r="BI403" t="e">
        <f t="shared" si="181"/>
        <v>#N/A</v>
      </c>
      <c r="BK403" t="e">
        <f t="shared" si="182"/>
        <v>#N/A</v>
      </c>
      <c r="BL403" t="e">
        <f t="shared" si="183"/>
        <v>#N/A</v>
      </c>
      <c r="BN403" t="e">
        <v>#N/A</v>
      </c>
      <c r="BO403" t="e">
        <v>#N/A</v>
      </c>
      <c r="BX403" t="e">
        <v>#N/A</v>
      </c>
      <c r="BZ403" t="e">
        <f t="shared" si="184"/>
        <v>#N/A</v>
      </c>
      <c r="CB403" t="e">
        <f t="shared" si="174"/>
        <v>#N/A</v>
      </c>
      <c r="CC403" t="e">
        <f t="shared" si="185"/>
        <v>#N/A</v>
      </c>
      <c r="CE403" t="e">
        <v>#N/A</v>
      </c>
      <c r="CF403" t="e">
        <v>#N/A</v>
      </c>
    </row>
    <row r="404" spans="2:84">
      <c r="B404">
        <v>392</v>
      </c>
      <c r="C404" t="e">
        <f>IF(ISNUMBER(K404),IF('Lab test'!N395&gt;0,'Lab test'!N395,NA()),NA())</f>
        <v>#N/A</v>
      </c>
      <c r="D404" t="e">
        <f>IF(ISNUMBER(K404),IF('Lab test'!Q395&gt;0,'Lab test'!Q395,NA()),NA())</f>
        <v>#N/A</v>
      </c>
      <c r="E404" t="e">
        <f>IF(ISNUMBER(K404),IF('Lab test'!P395&gt;0,'Lab test'!P395,NA()),NA())</f>
        <v>#N/A</v>
      </c>
      <c r="F404" t="e">
        <f>IF(ISNUMBER(K404),IF('Lab test'!AJ395&gt;0,'Lab test'!AJ395,NA()),NA())</f>
        <v>#N/A</v>
      </c>
      <c r="G404">
        <f>IF('Lab test'!V395&gt;0,'Lab test'!V395,NA())</f>
        <v>201326.9</v>
      </c>
      <c r="H404">
        <f>IF(MAX('Lab test'!W395,'Lab test'!X395)&gt;0,MAX('Lab test'!W395,'Lab test'!X395),NA())</f>
        <v>455.74349999999998</v>
      </c>
      <c r="I404">
        <f>IF('Lab test'!AU395&gt;0,'Lab test'!AU395,NA())</f>
        <v>0.29304071259381648</v>
      </c>
      <c r="J404">
        <f>IF('Lab test'!AT395&gt;0,'Lab test'!AT395,NA())</f>
        <v>0.4074949410901077</v>
      </c>
      <c r="K404" t="e">
        <f t="shared" si="186"/>
        <v>#N/A</v>
      </c>
      <c r="L404" t="str">
        <f>'Lab test'!AC395</f>
        <v>LTWa</v>
      </c>
      <c r="X404" t="e">
        <v>#N/A</v>
      </c>
      <c r="Z404" t="e">
        <f t="shared" si="176"/>
        <v>#N/A</v>
      </c>
      <c r="AB404" t="e">
        <f t="shared" si="175"/>
        <v>#N/A</v>
      </c>
      <c r="AC404" t="e">
        <f t="shared" si="177"/>
        <v>#N/A</v>
      </c>
      <c r="AE404" t="e">
        <v>#N/A</v>
      </c>
      <c r="AF404" t="e">
        <v>#N/A</v>
      </c>
      <c r="AP404" t="e">
        <v>#N/A</v>
      </c>
      <c r="AR404" t="e">
        <f t="shared" si="178"/>
        <v>#N/A</v>
      </c>
      <c r="AT404" t="e">
        <f t="shared" si="179"/>
        <v>#N/A</v>
      </c>
      <c r="AU404" t="e">
        <f t="shared" si="180"/>
        <v>#N/A</v>
      </c>
      <c r="AW404" t="e">
        <v>#N/A</v>
      </c>
      <c r="AX404" t="e">
        <v>#N/A</v>
      </c>
      <c r="BG404" t="e">
        <v>#N/A</v>
      </c>
      <c r="BI404" t="e">
        <f t="shared" si="181"/>
        <v>#N/A</v>
      </c>
      <c r="BK404" t="e">
        <f t="shared" si="182"/>
        <v>#N/A</v>
      </c>
      <c r="BL404" t="e">
        <f t="shared" si="183"/>
        <v>#N/A</v>
      </c>
      <c r="BN404" t="e">
        <v>#N/A</v>
      </c>
      <c r="BO404" t="e">
        <v>#N/A</v>
      </c>
      <c r="BX404" t="e">
        <v>#N/A</v>
      </c>
      <c r="BZ404" t="e">
        <f t="shared" si="184"/>
        <v>#N/A</v>
      </c>
      <c r="CB404" t="e">
        <f t="shared" ref="CB404:CB467" si="187">BZ404</f>
        <v>#N/A</v>
      </c>
      <c r="CC404" t="e">
        <f t="shared" si="185"/>
        <v>#N/A</v>
      </c>
      <c r="CE404" t="e">
        <v>#N/A</v>
      </c>
      <c r="CF404" t="e">
        <v>#N/A</v>
      </c>
    </row>
    <row r="405" spans="2:84">
      <c r="B405">
        <v>393</v>
      </c>
      <c r="C405" t="e">
        <f>IF(ISNUMBER(K405),IF('Lab test'!N396&gt;0,'Lab test'!N396,NA()),NA())</f>
        <v>#N/A</v>
      </c>
      <c r="D405" t="e">
        <f>IF(ISNUMBER(K405),IF('Lab test'!Q396&gt;0,'Lab test'!Q396,NA()),NA())</f>
        <v>#N/A</v>
      </c>
      <c r="E405" t="e">
        <f>IF(ISNUMBER(K405),IF('Lab test'!P396&gt;0,'Lab test'!P396,NA()),NA())</f>
        <v>#N/A</v>
      </c>
      <c r="F405" t="e">
        <f>IF(ISNUMBER(K405),IF('Lab test'!AJ396&gt;0,'Lab test'!AJ396,NA()),NA())</f>
        <v>#N/A</v>
      </c>
      <c r="G405">
        <f>IF('Lab test'!V396&gt;0,'Lab test'!V396,NA())</f>
        <v>201326.9</v>
      </c>
      <c r="H405">
        <f>IF(MAX('Lab test'!W396,'Lab test'!X396)&gt;0,MAX('Lab test'!W396,'Lab test'!X396),NA())</f>
        <v>455.74349999999998</v>
      </c>
      <c r="I405">
        <f>IF('Lab test'!AU396&gt;0,'Lab test'!AU396,NA())</f>
        <v>0.42813907384307182</v>
      </c>
      <c r="J405">
        <f>IF('Lab test'!AT396&gt;0,'Lab test'!AT396,NA())</f>
        <v>0.59535927663362243</v>
      </c>
      <c r="K405" t="e">
        <f t="shared" si="186"/>
        <v>#N/A</v>
      </c>
      <c r="L405" t="str">
        <f>'Lab test'!AC396</f>
        <v>LTWa</v>
      </c>
      <c r="X405" t="e">
        <v>#N/A</v>
      </c>
      <c r="Z405" t="e">
        <f t="shared" si="176"/>
        <v>#N/A</v>
      </c>
      <c r="AB405" t="e">
        <f t="shared" si="175"/>
        <v>#N/A</v>
      </c>
      <c r="AC405" t="e">
        <f t="shared" si="177"/>
        <v>#N/A</v>
      </c>
      <c r="AE405" t="e">
        <v>#N/A</v>
      </c>
      <c r="AF405" t="e">
        <v>#N/A</v>
      </c>
      <c r="AP405" t="e">
        <v>#N/A</v>
      </c>
      <c r="AR405" t="e">
        <f t="shared" si="178"/>
        <v>#N/A</v>
      </c>
      <c r="AT405" t="e">
        <f t="shared" si="179"/>
        <v>#N/A</v>
      </c>
      <c r="AU405" t="e">
        <f t="shared" si="180"/>
        <v>#N/A</v>
      </c>
      <c r="AW405" t="e">
        <v>#N/A</v>
      </c>
      <c r="AX405" t="e">
        <v>#N/A</v>
      </c>
      <c r="BG405" t="e">
        <v>#N/A</v>
      </c>
      <c r="BI405" t="e">
        <f t="shared" si="181"/>
        <v>#N/A</v>
      </c>
      <c r="BK405" t="e">
        <f t="shared" si="182"/>
        <v>#N/A</v>
      </c>
      <c r="BL405" t="e">
        <f t="shared" si="183"/>
        <v>#N/A</v>
      </c>
      <c r="BN405" t="e">
        <v>#N/A</v>
      </c>
      <c r="BO405" t="e">
        <v>#N/A</v>
      </c>
      <c r="BX405" t="e">
        <v>#N/A</v>
      </c>
      <c r="BZ405" t="e">
        <f t="shared" si="184"/>
        <v>#N/A</v>
      </c>
      <c r="CB405" t="e">
        <f t="shared" si="187"/>
        <v>#N/A</v>
      </c>
      <c r="CC405" t="e">
        <f t="shared" si="185"/>
        <v>#N/A</v>
      </c>
      <c r="CE405" t="e">
        <v>#N/A</v>
      </c>
      <c r="CF405" t="e">
        <v>#N/A</v>
      </c>
    </row>
    <row r="406" spans="2:84">
      <c r="B406">
        <v>394</v>
      </c>
      <c r="C406" t="e">
        <f>IF(ISNUMBER(K406),IF('Lab test'!N397&gt;0,'Lab test'!N397,NA()),NA())</f>
        <v>#N/A</v>
      </c>
      <c r="D406" t="e">
        <f>IF(ISNUMBER(K406),IF('Lab test'!Q397&gt;0,'Lab test'!Q397,NA()),NA())</f>
        <v>#N/A</v>
      </c>
      <c r="E406" t="e">
        <f>IF(ISNUMBER(K406),IF('Lab test'!P397&gt;0,'Lab test'!P397,NA()),NA())</f>
        <v>#N/A</v>
      </c>
      <c r="F406" t="e">
        <f>IF(ISNUMBER(K406),IF('Lab test'!AJ397&gt;0,'Lab test'!AJ397,NA()),NA())</f>
        <v>#N/A</v>
      </c>
      <c r="G406">
        <f>IF('Lab test'!V397&gt;0,'Lab test'!V397,NA())</f>
        <v>203400</v>
      </c>
      <c r="H406">
        <f>IF(MAX('Lab test'!W397,'Lab test'!X397)&gt;0,MAX('Lab test'!W397,'Lab test'!X397),NA())</f>
        <v>239</v>
      </c>
      <c r="I406">
        <f>IF('Lab test'!AU397&gt;0,'Lab test'!AU397,NA())</f>
        <v>1.056</v>
      </c>
      <c r="J406">
        <f>IF('Lab test'!AT397&gt;0,'Lab test'!AT397,NA())</f>
        <v>7.9408417129236825E-2</v>
      </c>
      <c r="K406" t="e">
        <f t="shared" si="186"/>
        <v>#N/A</v>
      </c>
      <c r="L406" t="str">
        <f>'Lab test'!AC397</f>
        <v>LTWa</v>
      </c>
      <c r="X406" t="e">
        <v>#N/A</v>
      </c>
      <c r="Z406" t="e">
        <f t="shared" si="176"/>
        <v>#N/A</v>
      </c>
      <c r="AB406" t="e">
        <f t="shared" si="175"/>
        <v>#N/A</v>
      </c>
      <c r="AC406" t="e">
        <f t="shared" si="177"/>
        <v>#N/A</v>
      </c>
      <c r="AE406" t="e">
        <v>#N/A</v>
      </c>
      <c r="AF406" t="e">
        <v>#N/A</v>
      </c>
      <c r="AP406" t="e">
        <v>#N/A</v>
      </c>
      <c r="AR406" t="e">
        <f t="shared" si="178"/>
        <v>#N/A</v>
      </c>
      <c r="AT406" t="e">
        <f t="shared" si="179"/>
        <v>#N/A</v>
      </c>
      <c r="AU406" t="e">
        <f t="shared" si="180"/>
        <v>#N/A</v>
      </c>
      <c r="AW406" t="e">
        <v>#N/A</v>
      </c>
      <c r="AX406" t="e">
        <v>#N/A</v>
      </c>
      <c r="BG406" t="e">
        <v>#N/A</v>
      </c>
      <c r="BI406" t="e">
        <f t="shared" si="181"/>
        <v>#N/A</v>
      </c>
      <c r="BK406" t="e">
        <f t="shared" si="182"/>
        <v>#N/A</v>
      </c>
      <c r="BL406" t="e">
        <f t="shared" si="183"/>
        <v>#N/A</v>
      </c>
      <c r="BN406" t="e">
        <v>#N/A</v>
      </c>
      <c r="BO406" t="e">
        <v>#N/A</v>
      </c>
      <c r="BX406" t="e">
        <v>#N/A</v>
      </c>
      <c r="BZ406" t="e">
        <f t="shared" si="184"/>
        <v>#N/A</v>
      </c>
      <c r="CB406" t="e">
        <f t="shared" si="187"/>
        <v>#N/A</v>
      </c>
      <c r="CC406" t="e">
        <f t="shared" si="185"/>
        <v>#N/A</v>
      </c>
      <c r="CE406" t="e">
        <v>#N/A</v>
      </c>
      <c r="CF406" t="e">
        <v>#N/A</v>
      </c>
    </row>
    <row r="407" spans="2:84">
      <c r="B407">
        <v>395</v>
      </c>
      <c r="C407" t="e">
        <f>IF(ISNUMBER(K407),IF('Lab test'!N398&gt;0,'Lab test'!N398,NA()),NA())</f>
        <v>#N/A</v>
      </c>
      <c r="D407" t="e">
        <f>IF(ISNUMBER(K407),IF('Lab test'!Q398&gt;0,'Lab test'!Q398,NA()),NA())</f>
        <v>#N/A</v>
      </c>
      <c r="E407" t="e">
        <f>IF(ISNUMBER(K407),IF('Lab test'!P398&gt;0,'Lab test'!P398,NA()),NA())</f>
        <v>#N/A</v>
      </c>
      <c r="F407" t="e">
        <f>IF(ISNUMBER(K407),IF('Lab test'!AJ398&gt;0,'Lab test'!AJ398,NA()),NA())</f>
        <v>#N/A</v>
      </c>
      <c r="G407">
        <f>IF('Lab test'!V398&gt;0,'Lab test'!V398,NA())</f>
        <v>203400</v>
      </c>
      <c r="H407">
        <f>IF(MAX('Lab test'!W398,'Lab test'!X398)&gt;0,MAX('Lab test'!W398,'Lab test'!X398),NA())</f>
        <v>203.8</v>
      </c>
      <c r="I407">
        <f>IF('Lab test'!AU398&gt;0,'Lab test'!AU398,NA())</f>
        <v>1.004</v>
      </c>
      <c r="J407">
        <f>IF('Lab test'!AT398&gt;0,'Lab test'!AT398,NA())</f>
        <v>9.6320296372152933E-2</v>
      </c>
      <c r="K407" t="e">
        <f t="shared" si="186"/>
        <v>#N/A</v>
      </c>
      <c r="L407" t="str">
        <f>'Lab test'!AC398</f>
        <v>LTWa</v>
      </c>
      <c r="X407" t="e">
        <v>#N/A</v>
      </c>
      <c r="Z407" t="e">
        <f t="shared" si="176"/>
        <v>#N/A</v>
      </c>
      <c r="AB407" t="e">
        <f t="shared" si="175"/>
        <v>#N/A</v>
      </c>
      <c r="AC407" t="e">
        <f t="shared" si="177"/>
        <v>#N/A</v>
      </c>
      <c r="AE407" t="e">
        <v>#N/A</v>
      </c>
      <c r="AF407" t="e">
        <v>#N/A</v>
      </c>
      <c r="AP407" t="e">
        <v>#N/A</v>
      </c>
      <c r="AR407" t="e">
        <f t="shared" si="178"/>
        <v>#N/A</v>
      </c>
      <c r="AT407" t="e">
        <f t="shared" si="179"/>
        <v>#N/A</v>
      </c>
      <c r="AU407" t="e">
        <f t="shared" si="180"/>
        <v>#N/A</v>
      </c>
      <c r="AW407" t="e">
        <v>#N/A</v>
      </c>
      <c r="AX407" t="e">
        <v>#N/A</v>
      </c>
      <c r="BG407" t="e">
        <v>#N/A</v>
      </c>
      <c r="BI407" t="e">
        <f t="shared" si="181"/>
        <v>#N/A</v>
      </c>
      <c r="BK407" t="e">
        <f t="shared" si="182"/>
        <v>#N/A</v>
      </c>
      <c r="BL407" t="e">
        <f t="shared" si="183"/>
        <v>#N/A</v>
      </c>
      <c r="BN407" t="e">
        <v>#N/A</v>
      </c>
      <c r="BO407" t="e">
        <v>#N/A</v>
      </c>
      <c r="BX407" t="e">
        <v>#N/A</v>
      </c>
      <c r="BZ407" t="e">
        <f t="shared" si="184"/>
        <v>#N/A</v>
      </c>
      <c r="CB407" t="e">
        <f t="shared" si="187"/>
        <v>#N/A</v>
      </c>
      <c r="CC407" t="e">
        <f t="shared" si="185"/>
        <v>#N/A</v>
      </c>
      <c r="CE407" t="e">
        <v>#N/A</v>
      </c>
      <c r="CF407" t="e">
        <v>#N/A</v>
      </c>
    </row>
    <row r="408" spans="2:84">
      <c r="B408">
        <v>396</v>
      </c>
      <c r="C408" t="e">
        <f>IF(ISNUMBER(K408),IF('Lab test'!N399&gt;0,'Lab test'!N399,NA()),NA())</f>
        <v>#N/A</v>
      </c>
      <c r="D408" t="e">
        <f>IF(ISNUMBER(K408),IF('Lab test'!Q399&gt;0,'Lab test'!Q399,NA()),NA())</f>
        <v>#N/A</v>
      </c>
      <c r="E408" t="e">
        <f>IF(ISNUMBER(K408),IF('Lab test'!P399&gt;0,'Lab test'!P399,NA()),NA())</f>
        <v>#N/A</v>
      </c>
      <c r="F408" t="e">
        <f>IF(ISNUMBER(K408),IF('Lab test'!AJ399&gt;0,'Lab test'!AJ399,NA()),NA())</f>
        <v>#N/A</v>
      </c>
      <c r="G408">
        <f>IF('Lab test'!V399&gt;0,'Lab test'!V399,NA())</f>
        <v>203400</v>
      </c>
      <c r="H408">
        <f>IF(MAX('Lab test'!W399,'Lab test'!X399)&gt;0,MAX('Lab test'!W399,'Lab test'!X399),NA())</f>
        <v>203.8</v>
      </c>
      <c r="I408">
        <f>IF('Lab test'!AU399&gt;0,'Lab test'!AU399,NA())</f>
        <v>0.999</v>
      </c>
      <c r="J408">
        <f>IF('Lab test'!AT399&gt;0,'Lab test'!AT399,NA())</f>
        <v>0.12533003319707886</v>
      </c>
      <c r="K408" t="e">
        <f t="shared" si="186"/>
        <v>#N/A</v>
      </c>
      <c r="L408" t="str">
        <f>'Lab test'!AC399</f>
        <v>LTWa</v>
      </c>
      <c r="X408" t="e">
        <v>#N/A</v>
      </c>
      <c r="Z408" t="e">
        <f t="shared" si="176"/>
        <v>#N/A</v>
      </c>
      <c r="AB408" t="e">
        <f t="shared" si="175"/>
        <v>#N/A</v>
      </c>
      <c r="AC408" t="e">
        <f t="shared" si="177"/>
        <v>#N/A</v>
      </c>
      <c r="AE408" t="e">
        <v>#N/A</v>
      </c>
      <c r="AF408" t="e">
        <v>#N/A</v>
      </c>
      <c r="AP408" t="e">
        <v>#N/A</v>
      </c>
      <c r="AR408" t="e">
        <f t="shared" si="178"/>
        <v>#N/A</v>
      </c>
      <c r="AT408" t="e">
        <f t="shared" si="179"/>
        <v>#N/A</v>
      </c>
      <c r="AU408" t="e">
        <f t="shared" si="180"/>
        <v>#N/A</v>
      </c>
      <c r="AW408" t="e">
        <v>#N/A</v>
      </c>
      <c r="AX408" t="e">
        <v>#N/A</v>
      </c>
      <c r="BG408" t="e">
        <v>#N/A</v>
      </c>
      <c r="BI408" t="e">
        <f t="shared" si="181"/>
        <v>#N/A</v>
      </c>
      <c r="BK408" t="e">
        <f t="shared" si="182"/>
        <v>#N/A</v>
      </c>
      <c r="BL408" t="e">
        <f t="shared" si="183"/>
        <v>#N/A</v>
      </c>
      <c r="BN408" t="e">
        <v>#N/A</v>
      </c>
      <c r="BO408" t="e">
        <v>#N/A</v>
      </c>
      <c r="BX408" t="e">
        <v>#N/A</v>
      </c>
      <c r="BZ408" t="e">
        <f t="shared" si="184"/>
        <v>#N/A</v>
      </c>
      <c r="CB408" t="e">
        <f t="shared" si="187"/>
        <v>#N/A</v>
      </c>
      <c r="CC408" t="e">
        <f t="shared" si="185"/>
        <v>#N/A</v>
      </c>
      <c r="CE408" t="e">
        <v>#N/A</v>
      </c>
      <c r="CF408" t="e">
        <v>#N/A</v>
      </c>
    </row>
    <row r="409" spans="2:84">
      <c r="B409">
        <v>397</v>
      </c>
      <c r="C409" t="e">
        <f>IF(ISNUMBER(K409),IF('Lab test'!N400&gt;0,'Lab test'!N400,NA()),NA())</f>
        <v>#N/A</v>
      </c>
      <c r="D409" t="e">
        <f>IF(ISNUMBER(K409),IF('Lab test'!Q400&gt;0,'Lab test'!Q400,NA()),NA())</f>
        <v>#N/A</v>
      </c>
      <c r="E409" t="e">
        <f>IF(ISNUMBER(K409),IF('Lab test'!P400&gt;0,'Lab test'!P400,NA()),NA())</f>
        <v>#N/A</v>
      </c>
      <c r="F409" t="e">
        <f>IF(ISNUMBER(K409),IF('Lab test'!AJ400&gt;0,'Lab test'!AJ400,NA()),NA())</f>
        <v>#N/A</v>
      </c>
      <c r="G409">
        <f>IF('Lab test'!V400&gt;0,'Lab test'!V400,NA())</f>
        <v>203400</v>
      </c>
      <c r="H409">
        <f>IF(MAX('Lab test'!W400,'Lab test'!X400)&gt;0,MAX('Lab test'!W400,'Lab test'!X400),NA())</f>
        <v>203.8</v>
      </c>
      <c r="I409">
        <f>IF('Lab test'!AU400&gt;0,'Lab test'!AU400,NA())</f>
        <v>0.88000000000000012</v>
      </c>
      <c r="J409">
        <f>IF('Lab test'!AT400&gt;0,'Lab test'!AT400,NA())</f>
        <v>0.16560124506520929</v>
      </c>
      <c r="K409" t="e">
        <f t="shared" si="186"/>
        <v>#N/A</v>
      </c>
      <c r="L409" t="str">
        <f>'Lab test'!AC400</f>
        <v>LTWa</v>
      </c>
      <c r="X409" t="e">
        <v>#N/A</v>
      </c>
      <c r="Z409" t="e">
        <f t="shared" si="176"/>
        <v>#N/A</v>
      </c>
      <c r="AB409" t="e">
        <f t="shared" si="175"/>
        <v>#N/A</v>
      </c>
      <c r="AC409" t="e">
        <f t="shared" si="177"/>
        <v>#N/A</v>
      </c>
      <c r="AE409" t="e">
        <v>#N/A</v>
      </c>
      <c r="AF409" t="e">
        <v>#N/A</v>
      </c>
      <c r="AP409" t="e">
        <v>#N/A</v>
      </c>
      <c r="AR409" t="e">
        <f t="shared" si="178"/>
        <v>#N/A</v>
      </c>
      <c r="AT409" t="e">
        <f t="shared" si="179"/>
        <v>#N/A</v>
      </c>
      <c r="AU409" t="e">
        <f t="shared" si="180"/>
        <v>#N/A</v>
      </c>
      <c r="AW409" t="e">
        <v>#N/A</v>
      </c>
      <c r="AX409" t="e">
        <v>#N/A</v>
      </c>
      <c r="BG409" t="e">
        <v>#N/A</v>
      </c>
      <c r="BI409" t="e">
        <f t="shared" si="181"/>
        <v>#N/A</v>
      </c>
      <c r="BK409" t="e">
        <f t="shared" si="182"/>
        <v>#N/A</v>
      </c>
      <c r="BL409" t="e">
        <f t="shared" si="183"/>
        <v>#N/A</v>
      </c>
      <c r="BN409" t="e">
        <v>#N/A</v>
      </c>
      <c r="BO409" t="e">
        <v>#N/A</v>
      </c>
      <c r="BX409" t="e">
        <v>#N/A</v>
      </c>
      <c r="BZ409" t="e">
        <f t="shared" si="184"/>
        <v>#N/A</v>
      </c>
      <c r="CB409" t="e">
        <f t="shared" si="187"/>
        <v>#N/A</v>
      </c>
      <c r="CC409" t="e">
        <f t="shared" si="185"/>
        <v>#N/A</v>
      </c>
      <c r="CE409" t="e">
        <v>#N/A</v>
      </c>
      <c r="CF409" t="e">
        <v>#N/A</v>
      </c>
    </row>
    <row r="410" spans="2:84">
      <c r="B410">
        <v>398</v>
      </c>
      <c r="C410" t="e">
        <f>IF(ISNUMBER(K410),IF('Lab test'!N401&gt;0,'Lab test'!N401,NA()),NA())</f>
        <v>#N/A</v>
      </c>
      <c r="D410" t="e">
        <f>IF(ISNUMBER(K410),IF('Lab test'!Q401&gt;0,'Lab test'!Q401,NA()),NA())</f>
        <v>#N/A</v>
      </c>
      <c r="E410" t="e">
        <f>IF(ISNUMBER(K410),IF('Lab test'!P401&gt;0,'Lab test'!P401,NA()),NA())</f>
        <v>#N/A</v>
      </c>
      <c r="F410" t="e">
        <f>IF(ISNUMBER(K410),IF('Lab test'!AJ401&gt;0,'Lab test'!AJ401,NA()),NA())</f>
        <v>#N/A</v>
      </c>
      <c r="G410">
        <f>IF('Lab test'!V401&gt;0,'Lab test'!V401,NA())</f>
        <v>203400</v>
      </c>
      <c r="H410">
        <f>IF(MAX('Lab test'!W401,'Lab test'!X401)&gt;0,MAX('Lab test'!W401,'Lab test'!X401),NA())</f>
        <v>335.6</v>
      </c>
      <c r="I410">
        <f>IF('Lab test'!AU401&gt;0,'Lab test'!AU401,NA())</f>
        <v>1.0089999999999999</v>
      </c>
      <c r="J410">
        <f>IF('Lab test'!AT401&gt;0,'Lab test'!AT401,NA())</f>
        <v>8.1983914528185653E-2</v>
      </c>
      <c r="K410" t="e">
        <f t="shared" si="186"/>
        <v>#N/A</v>
      </c>
      <c r="L410" t="str">
        <f>'Lab test'!AC401</f>
        <v>LTWa</v>
      </c>
      <c r="X410" t="e">
        <v>#N/A</v>
      </c>
      <c r="Z410" t="e">
        <f t="shared" si="176"/>
        <v>#N/A</v>
      </c>
      <c r="AB410" t="e">
        <f t="shared" si="175"/>
        <v>#N/A</v>
      </c>
      <c r="AC410" t="e">
        <f t="shared" si="177"/>
        <v>#N/A</v>
      </c>
      <c r="AE410" t="e">
        <v>#N/A</v>
      </c>
      <c r="AF410" t="e">
        <v>#N/A</v>
      </c>
      <c r="AP410" t="e">
        <v>#N/A</v>
      </c>
      <c r="AR410" t="e">
        <f t="shared" si="178"/>
        <v>#N/A</v>
      </c>
      <c r="AT410" t="e">
        <f t="shared" si="179"/>
        <v>#N/A</v>
      </c>
      <c r="AU410" t="e">
        <f t="shared" si="180"/>
        <v>#N/A</v>
      </c>
      <c r="AW410" t="e">
        <v>#N/A</v>
      </c>
      <c r="AX410" t="e">
        <v>#N/A</v>
      </c>
      <c r="BG410" t="e">
        <v>#N/A</v>
      </c>
      <c r="BI410" t="e">
        <f t="shared" si="181"/>
        <v>#N/A</v>
      </c>
      <c r="BK410" t="e">
        <f t="shared" si="182"/>
        <v>#N/A</v>
      </c>
      <c r="BL410" t="e">
        <f t="shared" si="183"/>
        <v>#N/A</v>
      </c>
      <c r="BN410" t="e">
        <v>#N/A</v>
      </c>
      <c r="BO410" t="e">
        <v>#N/A</v>
      </c>
      <c r="BX410" t="e">
        <v>#N/A</v>
      </c>
      <c r="BZ410" t="e">
        <f t="shared" si="184"/>
        <v>#N/A</v>
      </c>
      <c r="CB410" t="e">
        <f t="shared" si="187"/>
        <v>#N/A</v>
      </c>
      <c r="CC410" t="e">
        <f t="shared" si="185"/>
        <v>#N/A</v>
      </c>
      <c r="CE410" t="e">
        <v>#N/A</v>
      </c>
      <c r="CF410" t="e">
        <v>#N/A</v>
      </c>
    </row>
    <row r="411" spans="2:84">
      <c r="B411">
        <v>399</v>
      </c>
      <c r="C411" t="e">
        <f>IF(ISNUMBER(K411),IF('Lab test'!N402&gt;0,'Lab test'!N402,NA()),NA())</f>
        <v>#N/A</v>
      </c>
      <c r="D411" t="e">
        <f>IF(ISNUMBER(K411),IF('Lab test'!Q402&gt;0,'Lab test'!Q402,NA()),NA())</f>
        <v>#N/A</v>
      </c>
      <c r="E411" t="e">
        <f>IF(ISNUMBER(K411),IF('Lab test'!P402&gt;0,'Lab test'!P402,NA()),NA())</f>
        <v>#N/A</v>
      </c>
      <c r="F411" t="e">
        <f>IF(ISNUMBER(K411),IF('Lab test'!AJ402&gt;0,'Lab test'!AJ402,NA()),NA())</f>
        <v>#N/A</v>
      </c>
      <c r="G411">
        <f>IF('Lab test'!V402&gt;0,'Lab test'!V402,NA())</f>
        <v>203400</v>
      </c>
      <c r="H411">
        <f>IF(MAX('Lab test'!W402,'Lab test'!X402)&gt;0,MAX('Lab test'!W402,'Lab test'!X402),NA())</f>
        <v>622.79999999999995</v>
      </c>
      <c r="I411">
        <f>IF('Lab test'!AU402&gt;0,'Lab test'!AU402,NA())</f>
        <v>0.82899999999999985</v>
      </c>
      <c r="J411">
        <f>IF('Lab test'!AT402&gt;0,'Lab test'!AT402,NA())</f>
        <v>0.48983932113447265</v>
      </c>
      <c r="K411" t="e">
        <f t="shared" si="186"/>
        <v>#N/A</v>
      </c>
      <c r="L411" t="str">
        <f>'Lab test'!AC402</f>
        <v>LTWa</v>
      </c>
      <c r="X411" t="e">
        <v>#N/A</v>
      </c>
      <c r="Z411" t="e">
        <f t="shared" si="176"/>
        <v>#N/A</v>
      </c>
      <c r="AB411" t="e">
        <f t="shared" si="175"/>
        <v>#N/A</v>
      </c>
      <c r="AC411" t="e">
        <f t="shared" si="177"/>
        <v>#N/A</v>
      </c>
      <c r="AE411" t="e">
        <v>#N/A</v>
      </c>
      <c r="AF411" t="e">
        <v>#N/A</v>
      </c>
      <c r="AP411" t="e">
        <v>#N/A</v>
      </c>
      <c r="AR411" t="e">
        <f t="shared" si="178"/>
        <v>#N/A</v>
      </c>
      <c r="AT411" t="e">
        <f t="shared" si="179"/>
        <v>#N/A</v>
      </c>
      <c r="AU411" t="e">
        <f t="shared" si="180"/>
        <v>#N/A</v>
      </c>
      <c r="AW411" t="e">
        <v>#N/A</v>
      </c>
      <c r="AX411" t="e">
        <v>#N/A</v>
      </c>
      <c r="BG411" t="e">
        <v>#N/A</v>
      </c>
      <c r="BI411" t="e">
        <f t="shared" si="181"/>
        <v>#N/A</v>
      </c>
      <c r="BK411" t="e">
        <f t="shared" si="182"/>
        <v>#N/A</v>
      </c>
      <c r="BL411" t="e">
        <f t="shared" si="183"/>
        <v>#N/A</v>
      </c>
      <c r="BN411" t="e">
        <v>#N/A</v>
      </c>
      <c r="BO411" t="e">
        <v>#N/A</v>
      </c>
      <c r="BX411" t="e">
        <v>#N/A</v>
      </c>
      <c r="BZ411" t="e">
        <f t="shared" si="184"/>
        <v>#N/A</v>
      </c>
      <c r="CB411" t="e">
        <f t="shared" si="187"/>
        <v>#N/A</v>
      </c>
      <c r="CC411" t="e">
        <f t="shared" si="185"/>
        <v>#N/A</v>
      </c>
      <c r="CE411" t="e">
        <v>#N/A</v>
      </c>
      <c r="CF411" t="e">
        <v>#N/A</v>
      </c>
    </row>
    <row r="412" spans="2:84">
      <c r="B412">
        <v>400</v>
      </c>
      <c r="C412" t="e">
        <f>IF(ISNUMBER(K412),IF('Lab test'!N403&gt;0,'Lab test'!N403,NA()),NA())</f>
        <v>#N/A</v>
      </c>
      <c r="D412" t="e">
        <f>IF(ISNUMBER(K412),IF('Lab test'!Q403&gt;0,'Lab test'!Q403,NA()),NA())</f>
        <v>#N/A</v>
      </c>
      <c r="E412" t="e">
        <f>IF(ISNUMBER(K412),IF('Lab test'!P403&gt;0,'Lab test'!P403,NA()),NA())</f>
        <v>#N/A</v>
      </c>
      <c r="F412" t="e">
        <f>IF(ISNUMBER(K412),IF('Lab test'!AJ403&gt;0,'Lab test'!AJ403,NA()),NA())</f>
        <v>#N/A</v>
      </c>
      <c r="G412">
        <f>IF('Lab test'!V403&gt;0,'Lab test'!V403,NA())</f>
        <v>203403</v>
      </c>
      <c r="H412">
        <f>IF(MAX('Lab test'!W403,'Lab test'!X403)&gt;0,MAX('Lab test'!W403,'Lab test'!X403),NA())</f>
        <v>377.14322393630943</v>
      </c>
      <c r="I412">
        <f>IF('Lab test'!AU403&gt;0,'Lab test'!AU403,NA())</f>
        <v>0.81399999999999995</v>
      </c>
      <c r="J412">
        <f>IF('Lab test'!AT403&gt;0,'Lab test'!AT403,NA())</f>
        <v>0.31094652201830331</v>
      </c>
      <c r="K412" t="e">
        <f t="shared" si="186"/>
        <v>#N/A</v>
      </c>
      <c r="L412" t="str">
        <f>'Lab test'!AC403</f>
        <v>LTWa</v>
      </c>
      <c r="X412" t="e">
        <v>#N/A</v>
      </c>
      <c r="Z412" t="e">
        <f t="shared" si="176"/>
        <v>#N/A</v>
      </c>
      <c r="AB412" t="e">
        <f t="shared" si="175"/>
        <v>#N/A</v>
      </c>
      <c r="AC412" t="e">
        <f t="shared" si="177"/>
        <v>#N/A</v>
      </c>
      <c r="AE412" t="e">
        <v>#N/A</v>
      </c>
      <c r="AF412" t="e">
        <v>#N/A</v>
      </c>
      <c r="AP412" t="e">
        <v>#N/A</v>
      </c>
      <c r="AR412" t="e">
        <f t="shared" si="178"/>
        <v>#N/A</v>
      </c>
      <c r="AT412" t="e">
        <f t="shared" si="179"/>
        <v>#N/A</v>
      </c>
      <c r="AU412" t="e">
        <f t="shared" si="180"/>
        <v>#N/A</v>
      </c>
      <c r="AW412" t="e">
        <v>#N/A</v>
      </c>
      <c r="AX412" t="e">
        <v>#N/A</v>
      </c>
      <c r="BG412" t="e">
        <v>#N/A</v>
      </c>
      <c r="BI412" t="e">
        <f t="shared" si="181"/>
        <v>#N/A</v>
      </c>
      <c r="BK412" t="e">
        <f t="shared" si="182"/>
        <v>#N/A</v>
      </c>
      <c r="BL412" t="e">
        <f t="shared" si="183"/>
        <v>#N/A</v>
      </c>
      <c r="BN412" t="e">
        <v>#N/A</v>
      </c>
      <c r="BO412" t="e">
        <v>#N/A</v>
      </c>
      <c r="BX412" t="e">
        <v>#N/A</v>
      </c>
      <c r="BZ412" t="e">
        <f t="shared" si="184"/>
        <v>#N/A</v>
      </c>
      <c r="CB412" t="e">
        <f t="shared" si="187"/>
        <v>#N/A</v>
      </c>
      <c r="CC412" t="e">
        <f t="shared" si="185"/>
        <v>#N/A</v>
      </c>
      <c r="CE412" t="e">
        <v>#N/A</v>
      </c>
      <c r="CF412" t="e">
        <v>#N/A</v>
      </c>
    </row>
    <row r="413" spans="2:84">
      <c r="B413">
        <v>401</v>
      </c>
      <c r="C413" t="e">
        <f>IF(ISNUMBER(K413),IF('Lab test'!N404&gt;0,'Lab test'!N404,NA()),NA())</f>
        <v>#N/A</v>
      </c>
      <c r="D413" t="e">
        <f>IF(ISNUMBER(K413),IF('Lab test'!Q404&gt;0,'Lab test'!Q404,NA()),NA())</f>
        <v>#N/A</v>
      </c>
      <c r="E413" t="e">
        <f>IF(ISNUMBER(K413),IF('Lab test'!P404&gt;0,'Lab test'!P404,NA()),NA())</f>
        <v>#N/A</v>
      </c>
      <c r="F413" t="e">
        <f>IF(ISNUMBER(K413),IF('Lab test'!AJ404&gt;0,'Lab test'!AJ404,NA()),NA())</f>
        <v>#N/A</v>
      </c>
      <c r="G413">
        <f>IF('Lab test'!V404&gt;0,'Lab test'!V404,NA())</f>
        <v>203403</v>
      </c>
      <c r="H413">
        <f>IF(MAX('Lab test'!W404,'Lab test'!X404)&gt;0,MAX('Lab test'!W404,'Lab test'!X404),NA())</f>
        <v>372.04110353936483</v>
      </c>
      <c r="I413">
        <f>IF('Lab test'!AU404&gt;0,'Lab test'!AU404,NA())</f>
        <v>0.88900000000000001</v>
      </c>
      <c r="J413">
        <f>IF('Lab test'!AT404&gt;0,'Lab test'!AT404,NA())</f>
        <v>0.28351615416934006</v>
      </c>
      <c r="K413" t="e">
        <f t="shared" si="186"/>
        <v>#N/A</v>
      </c>
      <c r="L413" t="str">
        <f>'Lab test'!AC404</f>
        <v>LTWa</v>
      </c>
      <c r="X413" t="e">
        <v>#N/A</v>
      </c>
      <c r="Z413" t="e">
        <f t="shared" si="176"/>
        <v>#N/A</v>
      </c>
      <c r="AB413" t="e">
        <f t="shared" si="175"/>
        <v>#N/A</v>
      </c>
      <c r="AC413" t="e">
        <f t="shared" si="177"/>
        <v>#N/A</v>
      </c>
      <c r="AE413" t="e">
        <v>#N/A</v>
      </c>
      <c r="AF413" t="e">
        <v>#N/A</v>
      </c>
      <c r="AP413" t="e">
        <v>#N/A</v>
      </c>
      <c r="AR413" t="e">
        <f t="shared" si="178"/>
        <v>#N/A</v>
      </c>
      <c r="AT413" t="e">
        <f t="shared" si="179"/>
        <v>#N/A</v>
      </c>
      <c r="AU413" t="e">
        <f t="shared" si="180"/>
        <v>#N/A</v>
      </c>
      <c r="AW413" t="e">
        <v>#N/A</v>
      </c>
      <c r="AX413" t="e">
        <v>#N/A</v>
      </c>
      <c r="BG413" t="e">
        <v>#N/A</v>
      </c>
      <c r="BI413" t="e">
        <f t="shared" si="181"/>
        <v>#N/A</v>
      </c>
      <c r="BK413" t="e">
        <f t="shared" si="182"/>
        <v>#N/A</v>
      </c>
      <c r="BL413" t="e">
        <f t="shared" si="183"/>
        <v>#N/A</v>
      </c>
      <c r="BN413" t="e">
        <v>#N/A</v>
      </c>
      <c r="BO413" t="e">
        <v>#N/A</v>
      </c>
      <c r="BX413" t="e">
        <v>#N/A</v>
      </c>
      <c r="BZ413" t="e">
        <f t="shared" si="184"/>
        <v>#N/A</v>
      </c>
      <c r="CB413" t="e">
        <f t="shared" si="187"/>
        <v>#N/A</v>
      </c>
      <c r="CC413" t="e">
        <f t="shared" si="185"/>
        <v>#N/A</v>
      </c>
      <c r="CE413" t="e">
        <v>#N/A</v>
      </c>
      <c r="CF413" t="e">
        <v>#N/A</v>
      </c>
    </row>
    <row r="414" spans="2:84">
      <c r="B414">
        <v>402</v>
      </c>
      <c r="C414" t="e">
        <f>IF(ISNUMBER(K414),IF('Lab test'!N405&gt;0,'Lab test'!N405,NA()),NA())</f>
        <v>#N/A</v>
      </c>
      <c r="D414" t="e">
        <f>IF(ISNUMBER(K414),IF('Lab test'!Q405&gt;0,'Lab test'!Q405,NA()),NA())</f>
        <v>#N/A</v>
      </c>
      <c r="E414" t="e">
        <f>IF(ISNUMBER(K414),IF('Lab test'!P405&gt;0,'Lab test'!P405,NA()),NA())</f>
        <v>#N/A</v>
      </c>
      <c r="F414" t="e">
        <f>IF(ISNUMBER(K414),IF('Lab test'!AJ405&gt;0,'Lab test'!AJ405,NA()),NA())</f>
        <v>#N/A</v>
      </c>
      <c r="G414">
        <f>IF('Lab test'!V405&gt;0,'Lab test'!V405,NA())</f>
        <v>203403</v>
      </c>
      <c r="H414">
        <f>IF(MAX('Lab test'!W405,'Lab test'!X405)&gt;0,MAX('Lab test'!W405,'Lab test'!X405),NA())</f>
        <v>372.04110353936483</v>
      </c>
      <c r="I414">
        <f>IF('Lab test'!AU405&gt;0,'Lab test'!AU405,NA())</f>
        <v>0.94099999999999995</v>
      </c>
      <c r="J414">
        <f>IF('Lab test'!AT405&gt;0,'Lab test'!AT405,NA())</f>
        <v>0.23549427253480876</v>
      </c>
      <c r="K414" t="e">
        <f t="shared" si="186"/>
        <v>#N/A</v>
      </c>
      <c r="L414" t="str">
        <f>'Lab test'!AC405</f>
        <v>LTWa</v>
      </c>
      <c r="X414" t="e">
        <v>#N/A</v>
      </c>
      <c r="Z414" t="e">
        <f t="shared" si="176"/>
        <v>#N/A</v>
      </c>
      <c r="AB414" t="e">
        <f t="shared" si="175"/>
        <v>#N/A</v>
      </c>
      <c r="AC414" t="e">
        <f t="shared" si="177"/>
        <v>#N/A</v>
      </c>
      <c r="AE414" t="e">
        <v>#N/A</v>
      </c>
      <c r="AF414" t="e">
        <v>#N/A</v>
      </c>
      <c r="AP414" t="e">
        <v>#N/A</v>
      </c>
      <c r="AR414" t="e">
        <f t="shared" si="178"/>
        <v>#N/A</v>
      </c>
      <c r="AT414" t="e">
        <f t="shared" si="179"/>
        <v>#N/A</v>
      </c>
      <c r="AU414" t="e">
        <f t="shared" si="180"/>
        <v>#N/A</v>
      </c>
      <c r="AW414" t="e">
        <v>#N/A</v>
      </c>
      <c r="AX414" t="e">
        <v>#N/A</v>
      </c>
      <c r="BG414" t="e">
        <v>#N/A</v>
      </c>
      <c r="BI414" t="e">
        <f t="shared" si="181"/>
        <v>#N/A</v>
      </c>
      <c r="BK414" t="e">
        <f t="shared" si="182"/>
        <v>#N/A</v>
      </c>
      <c r="BL414" t="e">
        <f t="shared" si="183"/>
        <v>#N/A</v>
      </c>
      <c r="BN414" t="e">
        <v>#N/A</v>
      </c>
      <c r="BO414" t="e">
        <v>#N/A</v>
      </c>
      <c r="BX414" t="e">
        <v>#N/A</v>
      </c>
      <c r="BZ414" t="e">
        <f t="shared" si="184"/>
        <v>#N/A</v>
      </c>
      <c r="CB414" t="e">
        <f t="shared" si="187"/>
        <v>#N/A</v>
      </c>
      <c r="CC414" t="e">
        <f t="shared" si="185"/>
        <v>#N/A</v>
      </c>
      <c r="CE414" t="e">
        <v>#N/A</v>
      </c>
      <c r="CF414" t="e">
        <v>#N/A</v>
      </c>
    </row>
    <row r="415" spans="2:84">
      <c r="B415">
        <v>403</v>
      </c>
      <c r="C415" t="e">
        <f>IF(ISNUMBER(K415),IF('Lab test'!N406&gt;0,'Lab test'!N406,NA()),NA())</f>
        <v>#N/A</v>
      </c>
      <c r="D415" t="e">
        <f>IF(ISNUMBER(K415),IF('Lab test'!Q406&gt;0,'Lab test'!Q406,NA()),NA())</f>
        <v>#N/A</v>
      </c>
      <c r="E415" t="e">
        <f>IF(ISNUMBER(K415),IF('Lab test'!P406&gt;0,'Lab test'!P406,NA()),NA())</f>
        <v>#N/A</v>
      </c>
      <c r="F415" t="e">
        <f>IF(ISNUMBER(K415),IF('Lab test'!AJ406&gt;0,'Lab test'!AJ406,NA()),NA())</f>
        <v>#N/A</v>
      </c>
      <c r="G415">
        <f>IF('Lab test'!V406&gt;0,'Lab test'!V406,NA())</f>
        <v>203400</v>
      </c>
      <c r="H415">
        <f>IF(MAX('Lab test'!W406,'Lab test'!X406)&gt;0,MAX('Lab test'!W406,'Lab test'!X406),NA())</f>
        <v>319.17</v>
      </c>
      <c r="I415">
        <f>IF('Lab test'!AU406&gt;0,'Lab test'!AU406,NA())</f>
        <v>0.94099999999999995</v>
      </c>
      <c r="J415">
        <f>IF('Lab test'!AT406&gt;0,'Lab test'!AT406,NA())</f>
        <v>0.1047603066300252</v>
      </c>
      <c r="K415" t="e">
        <f t="shared" si="186"/>
        <v>#N/A</v>
      </c>
      <c r="L415" t="str">
        <f>'Lab test'!AC406</f>
        <v>LTWa</v>
      </c>
      <c r="X415" t="e">
        <v>#N/A</v>
      </c>
      <c r="Z415" t="e">
        <f t="shared" si="176"/>
        <v>#N/A</v>
      </c>
      <c r="AB415" t="e">
        <f t="shared" si="175"/>
        <v>#N/A</v>
      </c>
      <c r="AC415" t="e">
        <f t="shared" si="177"/>
        <v>#N/A</v>
      </c>
      <c r="AE415" t="e">
        <v>#N/A</v>
      </c>
      <c r="AF415" t="e">
        <v>#N/A</v>
      </c>
      <c r="AP415" t="e">
        <v>#N/A</v>
      </c>
      <c r="AR415" t="e">
        <f t="shared" si="178"/>
        <v>#N/A</v>
      </c>
      <c r="AT415" t="e">
        <f t="shared" si="179"/>
        <v>#N/A</v>
      </c>
      <c r="AU415" t="e">
        <f t="shared" si="180"/>
        <v>#N/A</v>
      </c>
      <c r="AW415" t="e">
        <v>#N/A</v>
      </c>
      <c r="AX415" t="e">
        <v>#N/A</v>
      </c>
      <c r="BG415" t="e">
        <v>#N/A</v>
      </c>
      <c r="BI415" t="e">
        <f t="shared" si="181"/>
        <v>#N/A</v>
      </c>
      <c r="BK415" t="e">
        <f t="shared" si="182"/>
        <v>#N/A</v>
      </c>
      <c r="BL415" t="e">
        <f t="shared" si="183"/>
        <v>#N/A</v>
      </c>
      <c r="BN415" t="e">
        <v>#N/A</v>
      </c>
      <c r="BO415" t="e">
        <v>#N/A</v>
      </c>
      <c r="BX415" t="e">
        <v>#N/A</v>
      </c>
      <c r="BZ415" t="e">
        <f t="shared" si="184"/>
        <v>#N/A</v>
      </c>
      <c r="CB415" t="e">
        <f t="shared" si="187"/>
        <v>#N/A</v>
      </c>
      <c r="CC415" t="e">
        <f t="shared" si="185"/>
        <v>#N/A</v>
      </c>
      <c r="CE415" t="e">
        <v>#N/A</v>
      </c>
      <c r="CF415" t="e">
        <v>#N/A</v>
      </c>
    </row>
    <row r="416" spans="2:84">
      <c r="B416">
        <v>404</v>
      </c>
      <c r="C416" t="e">
        <f>IF(ISNUMBER(K416),IF('Lab test'!N407&gt;0,'Lab test'!N407,NA()),NA())</f>
        <v>#N/A</v>
      </c>
      <c r="D416" t="e">
        <f>IF(ISNUMBER(K416),IF('Lab test'!Q407&gt;0,'Lab test'!Q407,NA()),NA())</f>
        <v>#N/A</v>
      </c>
      <c r="E416" t="e">
        <f>IF(ISNUMBER(K416),IF('Lab test'!P407&gt;0,'Lab test'!P407,NA()),NA())</f>
        <v>#N/A</v>
      </c>
      <c r="F416" t="e">
        <f>IF(ISNUMBER(K416),IF('Lab test'!AJ407&gt;0,'Lab test'!AJ407,NA()),NA())</f>
        <v>#N/A</v>
      </c>
      <c r="G416">
        <f>IF('Lab test'!V407&gt;0,'Lab test'!V407,NA())</f>
        <v>203400</v>
      </c>
      <c r="H416">
        <f>IF(MAX('Lab test'!W407,'Lab test'!X407)&gt;0,MAX('Lab test'!W407,'Lab test'!X407),NA())</f>
        <v>346.68</v>
      </c>
      <c r="I416">
        <f>IF('Lab test'!AU407&gt;0,'Lab test'!AU407,NA())</f>
        <v>1.008</v>
      </c>
      <c r="J416">
        <f>IF('Lab test'!AT407&gt;0,'Lab test'!AT407,NA())</f>
        <v>0.13086211614936263</v>
      </c>
      <c r="K416" t="e">
        <f t="shared" si="186"/>
        <v>#N/A</v>
      </c>
      <c r="L416" t="str">
        <f>'Lab test'!AC407</f>
        <v>LTWa</v>
      </c>
      <c r="X416" t="e">
        <v>#N/A</v>
      </c>
      <c r="Z416" t="e">
        <f t="shared" si="176"/>
        <v>#N/A</v>
      </c>
      <c r="AB416" t="e">
        <f t="shared" si="175"/>
        <v>#N/A</v>
      </c>
      <c r="AC416" t="e">
        <f t="shared" si="177"/>
        <v>#N/A</v>
      </c>
      <c r="AE416" t="e">
        <v>#N/A</v>
      </c>
      <c r="AF416" t="e">
        <v>#N/A</v>
      </c>
      <c r="AP416" t="e">
        <v>#N/A</v>
      </c>
      <c r="AR416" t="e">
        <f t="shared" si="178"/>
        <v>#N/A</v>
      </c>
      <c r="AT416" t="e">
        <f t="shared" si="179"/>
        <v>#N/A</v>
      </c>
      <c r="AU416" t="e">
        <f t="shared" si="180"/>
        <v>#N/A</v>
      </c>
      <c r="AW416" t="e">
        <v>#N/A</v>
      </c>
      <c r="AX416" t="e">
        <v>#N/A</v>
      </c>
      <c r="BG416" t="e">
        <v>#N/A</v>
      </c>
      <c r="BI416" t="e">
        <f t="shared" si="181"/>
        <v>#N/A</v>
      </c>
      <c r="BK416" t="e">
        <f t="shared" si="182"/>
        <v>#N/A</v>
      </c>
      <c r="BL416" t="e">
        <f t="shared" si="183"/>
        <v>#N/A</v>
      </c>
      <c r="BN416" t="e">
        <v>#N/A</v>
      </c>
      <c r="BO416" t="e">
        <v>#N/A</v>
      </c>
      <c r="BX416" t="e">
        <v>#N/A</v>
      </c>
      <c r="BZ416" t="e">
        <f t="shared" si="184"/>
        <v>#N/A</v>
      </c>
      <c r="CB416" t="e">
        <f t="shared" si="187"/>
        <v>#N/A</v>
      </c>
      <c r="CC416" t="e">
        <f t="shared" si="185"/>
        <v>#N/A</v>
      </c>
      <c r="CE416" t="e">
        <v>#N/A</v>
      </c>
      <c r="CF416" t="e">
        <v>#N/A</v>
      </c>
    </row>
    <row r="417" spans="2:84">
      <c r="B417">
        <v>405</v>
      </c>
      <c r="C417" t="e">
        <f>IF(ISNUMBER(K417),IF('Lab test'!N408&gt;0,'Lab test'!N408,NA()),NA())</f>
        <v>#N/A</v>
      </c>
      <c r="D417" t="e">
        <f>IF(ISNUMBER(K417),IF('Lab test'!Q408&gt;0,'Lab test'!Q408,NA()),NA())</f>
        <v>#N/A</v>
      </c>
      <c r="E417" t="e">
        <f>IF(ISNUMBER(K417),IF('Lab test'!P408&gt;0,'Lab test'!P408,NA()),NA())</f>
        <v>#N/A</v>
      </c>
      <c r="F417" t="e">
        <f>IF(ISNUMBER(K417),IF('Lab test'!AJ408&gt;0,'Lab test'!AJ408,NA()),NA())</f>
        <v>#N/A</v>
      </c>
      <c r="G417">
        <f>IF('Lab test'!V408&gt;0,'Lab test'!V408,NA())</f>
        <v>203400</v>
      </c>
      <c r="H417">
        <f>IF(MAX('Lab test'!W408,'Lab test'!X408)&gt;0,MAX('Lab test'!W408,'Lab test'!X408),NA())</f>
        <v>319.17</v>
      </c>
      <c r="I417">
        <f>IF('Lab test'!AU408&gt;0,'Lab test'!AU408,NA())</f>
        <v>0.98899999999999999</v>
      </c>
      <c r="J417">
        <f>IF('Lab test'!AT408&gt;0,'Lab test'!AT408,NA())</f>
        <v>0.18273899613595873</v>
      </c>
      <c r="K417" t="e">
        <f t="shared" si="186"/>
        <v>#N/A</v>
      </c>
      <c r="L417" t="str">
        <f>'Lab test'!AC408</f>
        <v>LTWa</v>
      </c>
      <c r="X417" t="e">
        <v>#N/A</v>
      </c>
      <c r="Z417" t="e">
        <f t="shared" si="176"/>
        <v>#N/A</v>
      </c>
      <c r="AB417" t="e">
        <f t="shared" si="175"/>
        <v>#N/A</v>
      </c>
      <c r="AC417" t="e">
        <f t="shared" si="177"/>
        <v>#N/A</v>
      </c>
      <c r="AE417" t="e">
        <v>#N/A</v>
      </c>
      <c r="AF417" t="e">
        <v>#N/A</v>
      </c>
      <c r="AP417" t="e">
        <v>#N/A</v>
      </c>
      <c r="AR417" t="e">
        <f t="shared" si="178"/>
        <v>#N/A</v>
      </c>
      <c r="AT417" t="e">
        <f t="shared" si="179"/>
        <v>#N/A</v>
      </c>
      <c r="AU417" t="e">
        <f t="shared" si="180"/>
        <v>#N/A</v>
      </c>
      <c r="AW417" t="e">
        <v>#N/A</v>
      </c>
      <c r="AX417" t="e">
        <v>#N/A</v>
      </c>
      <c r="BG417" t="e">
        <v>#N/A</v>
      </c>
      <c r="BI417" t="e">
        <f t="shared" si="181"/>
        <v>#N/A</v>
      </c>
      <c r="BK417" t="e">
        <f t="shared" si="182"/>
        <v>#N/A</v>
      </c>
      <c r="BL417" t="e">
        <f t="shared" si="183"/>
        <v>#N/A</v>
      </c>
      <c r="BN417" t="e">
        <v>#N/A</v>
      </c>
      <c r="BO417" t="e">
        <v>#N/A</v>
      </c>
      <c r="BX417" t="e">
        <v>#N/A</v>
      </c>
      <c r="BZ417" t="e">
        <f t="shared" si="184"/>
        <v>#N/A</v>
      </c>
      <c r="CB417" t="e">
        <f t="shared" si="187"/>
        <v>#N/A</v>
      </c>
      <c r="CC417" t="e">
        <f t="shared" si="185"/>
        <v>#N/A</v>
      </c>
      <c r="CE417" t="e">
        <v>#N/A</v>
      </c>
      <c r="CF417" t="e">
        <v>#N/A</v>
      </c>
    </row>
    <row r="418" spans="2:84">
      <c r="B418">
        <v>406</v>
      </c>
      <c r="C418" t="e">
        <f>IF(ISNUMBER(K418),IF('Lab test'!N409&gt;0,'Lab test'!N409,NA()),NA())</f>
        <v>#N/A</v>
      </c>
      <c r="D418" t="e">
        <f>IF(ISNUMBER(K418),IF('Lab test'!Q409&gt;0,'Lab test'!Q409,NA()),NA())</f>
        <v>#N/A</v>
      </c>
      <c r="E418" t="e">
        <f>IF(ISNUMBER(K418),IF('Lab test'!P409&gt;0,'Lab test'!P409,NA()),NA())</f>
        <v>#N/A</v>
      </c>
      <c r="F418" t="e">
        <f>IF(ISNUMBER(K418),IF('Lab test'!AJ409&gt;0,'Lab test'!AJ409,NA()),NA())</f>
        <v>#N/A</v>
      </c>
      <c r="G418">
        <f>IF('Lab test'!V409&gt;0,'Lab test'!V409,NA())</f>
        <v>203400</v>
      </c>
      <c r="H418">
        <f>IF(MAX('Lab test'!W409,'Lab test'!X409)&gt;0,MAX('Lab test'!W409,'Lab test'!X409),NA())</f>
        <v>319.17</v>
      </c>
      <c r="I418">
        <f>IF('Lab test'!AU409&gt;0,'Lab test'!AU409,NA())</f>
        <v>1.0089999999999999</v>
      </c>
      <c r="J418">
        <f>IF('Lab test'!AT409&gt;0,'Lab test'!AT409,NA())</f>
        <v>0.18643442578481531</v>
      </c>
      <c r="K418" t="e">
        <f t="shared" si="186"/>
        <v>#N/A</v>
      </c>
      <c r="L418" t="str">
        <f>'Lab test'!AC409</f>
        <v>LTWa</v>
      </c>
      <c r="X418" t="e">
        <v>#N/A</v>
      </c>
      <c r="Z418" t="e">
        <f t="shared" si="176"/>
        <v>#N/A</v>
      </c>
      <c r="AB418" t="e">
        <f t="shared" si="175"/>
        <v>#N/A</v>
      </c>
      <c r="AC418" t="e">
        <f t="shared" si="177"/>
        <v>#N/A</v>
      </c>
      <c r="AE418" t="e">
        <v>#N/A</v>
      </c>
      <c r="AF418" t="e">
        <v>#N/A</v>
      </c>
      <c r="AP418" t="e">
        <v>#N/A</v>
      </c>
      <c r="AR418" t="e">
        <f t="shared" si="178"/>
        <v>#N/A</v>
      </c>
      <c r="AT418" t="e">
        <f t="shared" si="179"/>
        <v>#N/A</v>
      </c>
      <c r="AU418" t="e">
        <f t="shared" si="180"/>
        <v>#N/A</v>
      </c>
      <c r="AW418" t="e">
        <v>#N/A</v>
      </c>
      <c r="AX418" t="e">
        <v>#N/A</v>
      </c>
      <c r="BG418" t="e">
        <v>#N/A</v>
      </c>
      <c r="BI418" t="e">
        <f t="shared" si="181"/>
        <v>#N/A</v>
      </c>
      <c r="BK418" t="e">
        <f t="shared" si="182"/>
        <v>#N/A</v>
      </c>
      <c r="BL418" t="e">
        <f t="shared" si="183"/>
        <v>#N/A</v>
      </c>
      <c r="BN418" t="e">
        <v>#N/A</v>
      </c>
      <c r="BO418" t="e">
        <v>#N/A</v>
      </c>
      <c r="BX418" t="e">
        <v>#N/A</v>
      </c>
      <c r="BZ418" t="e">
        <f t="shared" si="184"/>
        <v>#N/A</v>
      </c>
      <c r="CB418" t="e">
        <f t="shared" si="187"/>
        <v>#N/A</v>
      </c>
      <c r="CC418" t="e">
        <f t="shared" si="185"/>
        <v>#N/A</v>
      </c>
      <c r="CE418" t="e">
        <v>#N/A</v>
      </c>
      <c r="CF418" t="e">
        <v>#N/A</v>
      </c>
    </row>
    <row r="419" spans="2:84">
      <c r="B419">
        <v>407</v>
      </c>
      <c r="C419" t="e">
        <f>IF(ISNUMBER(K419),IF('Lab test'!N410&gt;0,'Lab test'!N410,NA()),NA())</f>
        <v>#N/A</v>
      </c>
      <c r="D419" t="e">
        <f>IF(ISNUMBER(K419),IF('Lab test'!Q410&gt;0,'Lab test'!Q410,NA()),NA())</f>
        <v>#N/A</v>
      </c>
      <c r="E419" t="e">
        <f>IF(ISNUMBER(K419),IF('Lab test'!P410&gt;0,'Lab test'!P410,NA()),NA())</f>
        <v>#N/A</v>
      </c>
      <c r="F419" t="e">
        <f>IF(ISNUMBER(K419),IF('Lab test'!AJ410&gt;0,'Lab test'!AJ410,NA()),NA())</f>
        <v>#N/A</v>
      </c>
      <c r="G419">
        <f>IF('Lab test'!V410&gt;0,'Lab test'!V410,NA())</f>
        <v>203400</v>
      </c>
      <c r="H419">
        <f>IF(MAX('Lab test'!W410,'Lab test'!X410)&gt;0,MAX('Lab test'!W410,'Lab test'!X410),NA())</f>
        <v>346.68</v>
      </c>
      <c r="I419">
        <f>IF('Lab test'!AU410&gt;0,'Lab test'!AU410,NA())</f>
        <v>0.95099999999999996</v>
      </c>
      <c r="J419">
        <f>IF('Lab test'!AT410&gt;0,'Lab test'!AT410,NA())</f>
        <v>0.20277121058715084</v>
      </c>
      <c r="K419" t="e">
        <f t="shared" si="186"/>
        <v>#N/A</v>
      </c>
      <c r="L419" t="str">
        <f>'Lab test'!AC410</f>
        <v>LTWa</v>
      </c>
      <c r="X419" t="e">
        <v>#N/A</v>
      </c>
      <c r="Z419" t="e">
        <f t="shared" si="176"/>
        <v>#N/A</v>
      </c>
      <c r="AB419" t="e">
        <f t="shared" si="175"/>
        <v>#N/A</v>
      </c>
      <c r="AC419" t="e">
        <f t="shared" si="177"/>
        <v>#N/A</v>
      </c>
      <c r="AE419" t="e">
        <v>#N/A</v>
      </c>
      <c r="AF419" t="e">
        <v>#N/A</v>
      </c>
      <c r="AP419" t="e">
        <v>#N/A</v>
      </c>
      <c r="AR419" t="e">
        <f t="shared" si="178"/>
        <v>#N/A</v>
      </c>
      <c r="AT419" t="e">
        <f t="shared" si="179"/>
        <v>#N/A</v>
      </c>
      <c r="AU419" t="e">
        <f t="shared" si="180"/>
        <v>#N/A</v>
      </c>
      <c r="AW419" t="e">
        <v>#N/A</v>
      </c>
      <c r="AX419" t="e">
        <v>#N/A</v>
      </c>
      <c r="BG419" t="e">
        <v>#N/A</v>
      </c>
      <c r="BI419" t="e">
        <f t="shared" si="181"/>
        <v>#N/A</v>
      </c>
      <c r="BK419" t="e">
        <f t="shared" si="182"/>
        <v>#N/A</v>
      </c>
      <c r="BL419" t="e">
        <f t="shared" si="183"/>
        <v>#N/A</v>
      </c>
      <c r="BN419" t="e">
        <v>#N/A</v>
      </c>
      <c r="BO419" t="e">
        <v>#N/A</v>
      </c>
      <c r="BX419" t="e">
        <v>#N/A</v>
      </c>
      <c r="BZ419" t="e">
        <f t="shared" si="184"/>
        <v>#N/A</v>
      </c>
      <c r="CB419" t="e">
        <f t="shared" si="187"/>
        <v>#N/A</v>
      </c>
      <c r="CC419" t="e">
        <f t="shared" si="185"/>
        <v>#N/A</v>
      </c>
      <c r="CE419" t="e">
        <v>#N/A</v>
      </c>
      <c r="CF419" t="e">
        <v>#N/A</v>
      </c>
    </row>
    <row r="420" spans="2:84">
      <c r="B420">
        <v>408</v>
      </c>
      <c r="C420" t="e">
        <f>IF(ISNUMBER(K420),IF('Lab test'!N411&gt;0,'Lab test'!N411,NA()),NA())</f>
        <v>#N/A</v>
      </c>
      <c r="D420" t="e">
        <f>IF(ISNUMBER(K420),IF('Lab test'!Q411&gt;0,'Lab test'!Q411,NA()),NA())</f>
        <v>#N/A</v>
      </c>
      <c r="E420" t="e">
        <f>IF(ISNUMBER(K420),IF('Lab test'!P411&gt;0,'Lab test'!P411,NA()),NA())</f>
        <v>#N/A</v>
      </c>
      <c r="F420" t="e">
        <f>IF(ISNUMBER(K420),IF('Lab test'!AJ411&gt;0,'Lab test'!AJ411,NA()),NA())</f>
        <v>#N/A</v>
      </c>
      <c r="G420">
        <f>IF('Lab test'!V411&gt;0,'Lab test'!V411,NA())</f>
        <v>203400</v>
      </c>
      <c r="H420">
        <f>IF(MAX('Lab test'!W411,'Lab test'!X411)&gt;0,MAX('Lab test'!W411,'Lab test'!X411),NA())</f>
        <v>372.05</v>
      </c>
      <c r="I420">
        <f>IF('Lab test'!AU411&gt;0,'Lab test'!AU411,NA())</f>
        <v>0.872</v>
      </c>
      <c r="J420">
        <f>IF('Lab test'!AT411&gt;0,'Lab test'!AT411,NA())</f>
        <v>0.27816602428044396</v>
      </c>
      <c r="K420" t="e">
        <f t="shared" si="186"/>
        <v>#N/A</v>
      </c>
      <c r="L420" t="str">
        <f>'Lab test'!AC411</f>
        <v>LTWa</v>
      </c>
      <c r="X420" t="e">
        <v>#N/A</v>
      </c>
      <c r="Z420" t="e">
        <f t="shared" si="176"/>
        <v>#N/A</v>
      </c>
      <c r="AB420" t="e">
        <f t="shared" si="175"/>
        <v>#N/A</v>
      </c>
      <c r="AC420" t="e">
        <f t="shared" si="177"/>
        <v>#N/A</v>
      </c>
      <c r="AE420" t="e">
        <v>#N/A</v>
      </c>
      <c r="AF420" t="e">
        <v>#N/A</v>
      </c>
      <c r="AP420" t="e">
        <v>#N/A</v>
      </c>
      <c r="AR420" t="e">
        <f t="shared" si="178"/>
        <v>#N/A</v>
      </c>
      <c r="AT420" t="e">
        <f t="shared" si="179"/>
        <v>#N/A</v>
      </c>
      <c r="AU420" t="e">
        <f t="shared" si="180"/>
        <v>#N/A</v>
      </c>
      <c r="AW420" t="e">
        <v>#N/A</v>
      </c>
      <c r="AX420" t="e">
        <v>#N/A</v>
      </c>
      <c r="BG420" t="e">
        <v>#N/A</v>
      </c>
      <c r="BI420" t="e">
        <f t="shared" si="181"/>
        <v>#N/A</v>
      </c>
      <c r="BK420" t="e">
        <f t="shared" si="182"/>
        <v>#N/A</v>
      </c>
      <c r="BL420" t="e">
        <f t="shared" si="183"/>
        <v>#N/A</v>
      </c>
      <c r="BN420" t="e">
        <v>#N/A</v>
      </c>
      <c r="BO420" t="e">
        <v>#N/A</v>
      </c>
      <c r="BX420" t="e">
        <v>#N/A</v>
      </c>
      <c r="BZ420" t="e">
        <f t="shared" si="184"/>
        <v>#N/A</v>
      </c>
      <c r="CB420" t="e">
        <f t="shared" si="187"/>
        <v>#N/A</v>
      </c>
      <c r="CC420" t="e">
        <f t="shared" si="185"/>
        <v>#N/A</v>
      </c>
      <c r="CE420" t="e">
        <v>#N/A</v>
      </c>
      <c r="CF420" t="e">
        <v>#N/A</v>
      </c>
    </row>
    <row r="421" spans="2:84">
      <c r="B421">
        <v>409</v>
      </c>
      <c r="C421" t="e">
        <f>IF(ISNUMBER(K421),IF('Lab test'!N412&gt;0,'Lab test'!N412,NA()),NA())</f>
        <v>#N/A</v>
      </c>
      <c r="D421" t="e">
        <f>IF(ISNUMBER(K421),IF('Lab test'!Q412&gt;0,'Lab test'!Q412,NA()),NA())</f>
        <v>#N/A</v>
      </c>
      <c r="E421" t="e">
        <f>IF(ISNUMBER(K421),IF('Lab test'!P412&gt;0,'Lab test'!P412,NA()),NA())</f>
        <v>#N/A</v>
      </c>
      <c r="F421" t="e">
        <f>IF(ISNUMBER(K421),IF('Lab test'!AJ412&gt;0,'Lab test'!AJ412,NA()),NA())</f>
        <v>#N/A</v>
      </c>
      <c r="G421">
        <f>IF('Lab test'!V412&gt;0,'Lab test'!V412,NA())</f>
        <v>203400</v>
      </c>
      <c r="H421">
        <f>IF(MAX('Lab test'!W412,'Lab test'!X412)&gt;0,MAX('Lab test'!W412,'Lab test'!X412),NA())</f>
        <v>622.76</v>
      </c>
      <c r="I421">
        <f>IF('Lab test'!AU412&gt;0,'Lab test'!AU412,NA())</f>
        <v>0.91200000000000003</v>
      </c>
      <c r="J421">
        <f>IF('Lab test'!AT412&gt;0,'Lab test'!AT412,NA())</f>
        <v>0.53930509707657448</v>
      </c>
      <c r="K421" t="e">
        <f t="shared" si="186"/>
        <v>#N/A</v>
      </c>
      <c r="L421" t="str">
        <f>'Lab test'!AC412</f>
        <v>LTWa</v>
      </c>
      <c r="X421" t="e">
        <v>#N/A</v>
      </c>
      <c r="Z421" t="e">
        <f t="shared" si="176"/>
        <v>#N/A</v>
      </c>
      <c r="AB421" t="e">
        <f t="shared" si="175"/>
        <v>#N/A</v>
      </c>
      <c r="AC421" t="e">
        <f t="shared" si="177"/>
        <v>#N/A</v>
      </c>
      <c r="AE421" t="e">
        <v>#N/A</v>
      </c>
      <c r="AF421" t="e">
        <v>#N/A</v>
      </c>
      <c r="AP421" t="e">
        <v>#N/A</v>
      </c>
      <c r="AR421" t="e">
        <f t="shared" si="178"/>
        <v>#N/A</v>
      </c>
      <c r="AT421" t="e">
        <f t="shared" si="179"/>
        <v>#N/A</v>
      </c>
      <c r="AU421" t="e">
        <f t="shared" si="180"/>
        <v>#N/A</v>
      </c>
      <c r="AW421" t="e">
        <v>#N/A</v>
      </c>
      <c r="AX421" t="e">
        <v>#N/A</v>
      </c>
      <c r="BG421" t="e">
        <v>#N/A</v>
      </c>
      <c r="BI421" t="e">
        <f t="shared" si="181"/>
        <v>#N/A</v>
      </c>
      <c r="BK421" t="e">
        <f t="shared" si="182"/>
        <v>#N/A</v>
      </c>
      <c r="BL421" t="e">
        <f t="shared" si="183"/>
        <v>#N/A</v>
      </c>
      <c r="BN421" t="e">
        <v>#N/A</v>
      </c>
      <c r="BO421" t="e">
        <v>#N/A</v>
      </c>
      <c r="BX421" t="e">
        <v>#N/A</v>
      </c>
      <c r="BZ421" t="e">
        <f t="shared" si="184"/>
        <v>#N/A</v>
      </c>
      <c r="CB421" t="e">
        <f t="shared" si="187"/>
        <v>#N/A</v>
      </c>
      <c r="CC421" t="e">
        <f t="shared" si="185"/>
        <v>#N/A</v>
      </c>
      <c r="CE421" t="e">
        <v>#N/A</v>
      </c>
      <c r="CF421" t="e">
        <v>#N/A</v>
      </c>
    </row>
    <row r="422" spans="2:84">
      <c r="B422">
        <v>410</v>
      </c>
      <c r="C422" t="e">
        <f>IF(ISNUMBER(K422),IF('Lab test'!N413&gt;0,'Lab test'!N413,NA()),NA())</f>
        <v>#N/A</v>
      </c>
      <c r="D422" t="e">
        <f>IF(ISNUMBER(K422),IF('Lab test'!Q413&gt;0,'Lab test'!Q413,NA()),NA())</f>
        <v>#N/A</v>
      </c>
      <c r="E422" t="e">
        <f>IF(ISNUMBER(K422),IF('Lab test'!P413&gt;0,'Lab test'!P413,NA()),NA())</f>
        <v>#N/A</v>
      </c>
      <c r="F422" t="e">
        <f>IF(ISNUMBER(K422),IF('Lab test'!AJ413&gt;0,'Lab test'!AJ413,NA()),NA())</f>
        <v>#N/A</v>
      </c>
      <c r="G422">
        <f>IF('Lab test'!V413&gt;0,'Lab test'!V413,NA())</f>
        <v>92182.51</v>
      </c>
      <c r="H422" t="e">
        <f>IF(MAX('Lab test'!W413,'Lab test'!X413)&gt;0,MAX('Lab test'!W413,'Lab test'!X413),NA())</f>
        <v>#N/A</v>
      </c>
      <c r="I422" t="e">
        <f>IF('Lab test'!AU413&gt;0,'Lab test'!AU413,NA())</f>
        <v>#N/A</v>
      </c>
      <c r="J422">
        <f>IF('Lab test'!AT413&gt;0,'Lab test'!AT413,NA())</f>
        <v>0.39676768308876392</v>
      </c>
      <c r="K422" t="e">
        <f t="shared" si="186"/>
        <v>#N/A</v>
      </c>
      <c r="L422" t="str">
        <f>'Lab test'!AC413</f>
        <v>LTWa</v>
      </c>
      <c r="X422" t="e">
        <v>#N/A</v>
      </c>
      <c r="Z422" t="e">
        <f t="shared" si="176"/>
        <v>#N/A</v>
      </c>
      <c r="AB422" t="e">
        <f t="shared" si="175"/>
        <v>#N/A</v>
      </c>
      <c r="AC422" t="e">
        <f t="shared" si="177"/>
        <v>#N/A</v>
      </c>
      <c r="AE422" t="e">
        <v>#N/A</v>
      </c>
      <c r="AF422" t="e">
        <v>#N/A</v>
      </c>
      <c r="AP422" t="e">
        <v>#N/A</v>
      </c>
      <c r="AR422" t="e">
        <f t="shared" si="178"/>
        <v>#N/A</v>
      </c>
      <c r="AT422" t="e">
        <f t="shared" si="179"/>
        <v>#N/A</v>
      </c>
      <c r="AU422" t="e">
        <f t="shared" si="180"/>
        <v>#N/A</v>
      </c>
      <c r="AW422" t="e">
        <v>#N/A</v>
      </c>
      <c r="AX422" t="e">
        <v>#N/A</v>
      </c>
      <c r="BG422" t="e">
        <v>#N/A</v>
      </c>
      <c r="BI422" t="e">
        <f t="shared" si="181"/>
        <v>#N/A</v>
      </c>
      <c r="BK422" t="e">
        <f t="shared" si="182"/>
        <v>#N/A</v>
      </c>
      <c r="BL422" t="e">
        <f t="shared" si="183"/>
        <v>#N/A</v>
      </c>
      <c r="BN422" t="e">
        <v>#N/A</v>
      </c>
      <c r="BO422" t="e">
        <v>#N/A</v>
      </c>
      <c r="BX422" t="e">
        <v>#N/A</v>
      </c>
      <c r="BZ422" t="e">
        <f t="shared" si="184"/>
        <v>#N/A</v>
      </c>
      <c r="CB422" t="e">
        <f t="shared" si="187"/>
        <v>#N/A</v>
      </c>
      <c r="CC422" t="e">
        <f t="shared" si="185"/>
        <v>#N/A</v>
      </c>
      <c r="CE422" t="e">
        <v>#N/A</v>
      </c>
      <c r="CF422" t="e">
        <v>#N/A</v>
      </c>
    </row>
    <row r="423" spans="2:84">
      <c r="B423">
        <v>411</v>
      </c>
      <c r="C423" t="e">
        <f>IF(ISNUMBER(K423),IF('Lab test'!N414&gt;0,'Lab test'!N414,NA()),NA())</f>
        <v>#N/A</v>
      </c>
      <c r="D423" t="e">
        <f>IF(ISNUMBER(K423),IF('Lab test'!Q414&gt;0,'Lab test'!Q414,NA()),NA())</f>
        <v>#N/A</v>
      </c>
      <c r="E423" t="e">
        <f>IF(ISNUMBER(K423),IF('Lab test'!P414&gt;0,'Lab test'!P414,NA()),NA())</f>
        <v>#N/A</v>
      </c>
      <c r="F423" t="e">
        <f>IF(ISNUMBER(K423),IF('Lab test'!AJ414&gt;0,'Lab test'!AJ414,NA()),NA())</f>
        <v>#N/A</v>
      </c>
      <c r="G423">
        <f>IF('Lab test'!V414&gt;0,'Lab test'!V414,NA())</f>
        <v>92182.51</v>
      </c>
      <c r="H423" t="e">
        <f>IF(MAX('Lab test'!W414,'Lab test'!X414)&gt;0,MAX('Lab test'!W414,'Lab test'!X414),NA())</f>
        <v>#N/A</v>
      </c>
      <c r="I423" t="e">
        <f>IF('Lab test'!AU414&gt;0,'Lab test'!AU414,NA())</f>
        <v>#N/A</v>
      </c>
      <c r="J423">
        <f>IF('Lab test'!AT414&gt;0,'Lab test'!AT414,NA())</f>
        <v>0.37033167311551884</v>
      </c>
      <c r="K423" t="e">
        <f t="shared" si="186"/>
        <v>#N/A</v>
      </c>
      <c r="L423" t="str">
        <f>'Lab test'!AC414</f>
        <v>LTWa</v>
      </c>
      <c r="X423" t="e">
        <v>#N/A</v>
      </c>
      <c r="Z423" t="e">
        <f t="shared" si="176"/>
        <v>#N/A</v>
      </c>
      <c r="AB423" t="e">
        <f t="shared" si="175"/>
        <v>#N/A</v>
      </c>
      <c r="AC423" t="e">
        <f t="shared" si="177"/>
        <v>#N/A</v>
      </c>
      <c r="AE423" t="e">
        <v>#N/A</v>
      </c>
      <c r="AF423" t="e">
        <v>#N/A</v>
      </c>
      <c r="AP423" t="e">
        <v>#N/A</v>
      </c>
      <c r="AR423" t="e">
        <f t="shared" si="178"/>
        <v>#N/A</v>
      </c>
      <c r="AT423" t="e">
        <f t="shared" si="179"/>
        <v>#N/A</v>
      </c>
      <c r="AU423" t="e">
        <f t="shared" si="180"/>
        <v>#N/A</v>
      </c>
      <c r="AW423" t="e">
        <v>#N/A</v>
      </c>
      <c r="AX423" t="e">
        <v>#N/A</v>
      </c>
      <c r="BG423" t="e">
        <v>#N/A</v>
      </c>
      <c r="BI423" t="e">
        <f t="shared" si="181"/>
        <v>#N/A</v>
      </c>
      <c r="BK423" t="e">
        <f t="shared" si="182"/>
        <v>#N/A</v>
      </c>
      <c r="BL423" t="e">
        <f t="shared" si="183"/>
        <v>#N/A</v>
      </c>
      <c r="BN423" t="e">
        <v>#N/A</v>
      </c>
      <c r="BO423" t="e">
        <v>#N/A</v>
      </c>
      <c r="BX423" t="e">
        <v>#N/A</v>
      </c>
      <c r="BZ423" t="e">
        <f t="shared" si="184"/>
        <v>#N/A</v>
      </c>
      <c r="CB423" t="e">
        <f t="shared" si="187"/>
        <v>#N/A</v>
      </c>
      <c r="CC423" t="e">
        <f t="shared" si="185"/>
        <v>#N/A</v>
      </c>
      <c r="CE423" t="e">
        <v>#N/A</v>
      </c>
      <c r="CF423" t="e">
        <v>#N/A</v>
      </c>
    </row>
    <row r="424" spans="2:84">
      <c r="B424">
        <v>412</v>
      </c>
      <c r="C424" t="e">
        <f>IF(ISNUMBER(K424),IF('Lab test'!N415&gt;0,'Lab test'!N415,NA()),NA())</f>
        <v>#N/A</v>
      </c>
      <c r="D424" t="e">
        <f>IF(ISNUMBER(K424),IF('Lab test'!Q415&gt;0,'Lab test'!Q415,NA()),NA())</f>
        <v>#N/A</v>
      </c>
      <c r="E424" t="e">
        <f>IF(ISNUMBER(K424),IF('Lab test'!P415&gt;0,'Lab test'!P415,NA()),NA())</f>
        <v>#N/A</v>
      </c>
      <c r="F424" t="e">
        <f>IF(ISNUMBER(K424),IF('Lab test'!AJ415&gt;0,'Lab test'!AJ415,NA()),NA())</f>
        <v>#N/A</v>
      </c>
      <c r="G424">
        <f>IF('Lab test'!V415&gt;0,'Lab test'!V415,NA())</f>
        <v>92182.51</v>
      </c>
      <c r="H424" t="e">
        <f>IF(MAX('Lab test'!W415,'Lab test'!X415)&gt;0,MAX('Lab test'!W415,'Lab test'!X415),NA())</f>
        <v>#N/A</v>
      </c>
      <c r="I424" t="e">
        <f>IF('Lab test'!AU415&gt;0,'Lab test'!AU415,NA())</f>
        <v>#N/A</v>
      </c>
      <c r="J424">
        <f>IF('Lab test'!AT415&gt;0,'Lab test'!AT415,NA())</f>
        <v>0.55795464324285493</v>
      </c>
      <c r="K424" t="e">
        <f t="shared" si="186"/>
        <v>#N/A</v>
      </c>
      <c r="L424" t="str">
        <f>'Lab test'!AC415</f>
        <v>LTWa</v>
      </c>
      <c r="X424" t="e">
        <v>#N/A</v>
      </c>
      <c r="Z424" t="e">
        <f t="shared" si="176"/>
        <v>#N/A</v>
      </c>
      <c r="AB424" t="e">
        <f t="shared" si="175"/>
        <v>#N/A</v>
      </c>
      <c r="AC424" t="e">
        <f t="shared" si="177"/>
        <v>#N/A</v>
      </c>
      <c r="AE424" t="e">
        <v>#N/A</v>
      </c>
      <c r="AF424" t="e">
        <v>#N/A</v>
      </c>
      <c r="AP424" t="e">
        <v>#N/A</v>
      </c>
      <c r="AR424" t="e">
        <f t="shared" si="178"/>
        <v>#N/A</v>
      </c>
      <c r="AT424" t="e">
        <f t="shared" si="179"/>
        <v>#N/A</v>
      </c>
      <c r="AU424" t="e">
        <f t="shared" si="180"/>
        <v>#N/A</v>
      </c>
      <c r="AW424" t="e">
        <v>#N/A</v>
      </c>
      <c r="AX424" t="e">
        <v>#N/A</v>
      </c>
      <c r="BG424" t="e">
        <v>#N/A</v>
      </c>
      <c r="BI424" t="e">
        <f t="shared" si="181"/>
        <v>#N/A</v>
      </c>
      <c r="BK424" t="e">
        <f t="shared" si="182"/>
        <v>#N/A</v>
      </c>
      <c r="BL424" t="e">
        <f t="shared" si="183"/>
        <v>#N/A</v>
      </c>
      <c r="BN424" t="e">
        <v>#N/A</v>
      </c>
      <c r="BO424" t="e">
        <v>#N/A</v>
      </c>
      <c r="BX424" t="e">
        <v>#N/A</v>
      </c>
      <c r="BZ424" t="e">
        <f t="shared" si="184"/>
        <v>#N/A</v>
      </c>
      <c r="CB424" t="e">
        <f t="shared" si="187"/>
        <v>#N/A</v>
      </c>
      <c r="CC424" t="e">
        <f t="shared" si="185"/>
        <v>#N/A</v>
      </c>
      <c r="CE424" t="e">
        <v>#N/A</v>
      </c>
      <c r="CF424" t="e">
        <v>#N/A</v>
      </c>
    </row>
    <row r="425" spans="2:84">
      <c r="B425">
        <v>413</v>
      </c>
      <c r="C425" t="e">
        <f>IF(ISNUMBER(K425),IF('Lab test'!N416&gt;0,'Lab test'!N416,NA()),NA())</f>
        <v>#N/A</v>
      </c>
      <c r="D425" t="e">
        <f>IF(ISNUMBER(K425),IF('Lab test'!Q416&gt;0,'Lab test'!Q416,NA()),NA())</f>
        <v>#N/A</v>
      </c>
      <c r="E425" t="e">
        <f>IF(ISNUMBER(K425),IF('Lab test'!P416&gt;0,'Lab test'!P416,NA()),NA())</f>
        <v>#N/A</v>
      </c>
      <c r="F425" t="e">
        <f>IF(ISNUMBER(K425),IF('Lab test'!AJ416&gt;0,'Lab test'!AJ416,NA()),NA())</f>
        <v>#N/A</v>
      </c>
      <c r="G425">
        <f>IF('Lab test'!V416&gt;0,'Lab test'!V416,NA())</f>
        <v>92182.51</v>
      </c>
      <c r="H425" t="e">
        <f>IF(MAX('Lab test'!W416,'Lab test'!X416)&gt;0,MAX('Lab test'!W416,'Lab test'!X416),NA())</f>
        <v>#N/A</v>
      </c>
      <c r="I425" t="e">
        <f>IF('Lab test'!AU416&gt;0,'Lab test'!AU416,NA())</f>
        <v>#N/A</v>
      </c>
      <c r="J425">
        <f>IF('Lab test'!AT416&gt;0,'Lab test'!AT416,NA())</f>
        <v>0.47116176195567699</v>
      </c>
      <c r="K425" t="e">
        <f t="shared" si="186"/>
        <v>#N/A</v>
      </c>
      <c r="L425" t="str">
        <f>'Lab test'!AC416</f>
        <v>LTWa</v>
      </c>
      <c r="X425" t="e">
        <v>#N/A</v>
      </c>
      <c r="Z425" t="e">
        <f t="shared" si="176"/>
        <v>#N/A</v>
      </c>
      <c r="AB425" t="e">
        <f t="shared" si="175"/>
        <v>#N/A</v>
      </c>
      <c r="AC425" t="e">
        <f t="shared" si="177"/>
        <v>#N/A</v>
      </c>
      <c r="AE425" t="e">
        <v>#N/A</v>
      </c>
      <c r="AF425" t="e">
        <v>#N/A</v>
      </c>
      <c r="AP425" t="e">
        <v>#N/A</v>
      </c>
      <c r="AR425" t="e">
        <f t="shared" si="178"/>
        <v>#N/A</v>
      </c>
      <c r="AT425" t="e">
        <f t="shared" si="179"/>
        <v>#N/A</v>
      </c>
      <c r="AU425" t="e">
        <f t="shared" si="180"/>
        <v>#N/A</v>
      </c>
      <c r="AW425" t="e">
        <v>#N/A</v>
      </c>
      <c r="AX425" t="e">
        <v>#N/A</v>
      </c>
      <c r="BG425" t="e">
        <v>#N/A</v>
      </c>
      <c r="BI425" t="e">
        <f t="shared" si="181"/>
        <v>#N/A</v>
      </c>
      <c r="BK425" t="e">
        <f t="shared" si="182"/>
        <v>#N/A</v>
      </c>
      <c r="BL425" t="e">
        <f t="shared" si="183"/>
        <v>#N/A</v>
      </c>
      <c r="BN425" t="e">
        <v>#N/A</v>
      </c>
      <c r="BO425" t="e">
        <v>#N/A</v>
      </c>
      <c r="BX425" t="e">
        <v>#N/A</v>
      </c>
      <c r="BZ425" t="e">
        <f t="shared" si="184"/>
        <v>#N/A</v>
      </c>
      <c r="CB425" t="e">
        <f t="shared" si="187"/>
        <v>#N/A</v>
      </c>
      <c r="CC425" t="e">
        <f t="shared" si="185"/>
        <v>#N/A</v>
      </c>
      <c r="CE425" t="e">
        <v>#N/A</v>
      </c>
      <c r="CF425" t="e">
        <v>#N/A</v>
      </c>
    </row>
    <row r="426" spans="2:84">
      <c r="B426">
        <v>414</v>
      </c>
      <c r="C426" t="e">
        <f>IF(ISNUMBER(K426),IF('Lab test'!N417&gt;0,'Lab test'!N417,NA()),NA())</f>
        <v>#N/A</v>
      </c>
      <c r="D426" t="e">
        <f>IF(ISNUMBER(K426),IF('Lab test'!Q417&gt;0,'Lab test'!Q417,NA()),NA())</f>
        <v>#N/A</v>
      </c>
      <c r="E426" t="e">
        <f>IF(ISNUMBER(K426),IF('Lab test'!P417&gt;0,'Lab test'!P417,NA()),NA())</f>
        <v>#N/A</v>
      </c>
      <c r="F426" t="e">
        <f>IF(ISNUMBER(K426),IF('Lab test'!AJ417&gt;0,'Lab test'!AJ417,NA()),NA())</f>
        <v>#N/A</v>
      </c>
      <c r="G426">
        <f>IF('Lab test'!V417&gt;0,'Lab test'!V417,NA())</f>
        <v>92182.51</v>
      </c>
      <c r="H426" t="e">
        <f>IF(MAX('Lab test'!W417,'Lab test'!X417)&gt;0,MAX('Lab test'!W417,'Lab test'!X417),NA())</f>
        <v>#N/A</v>
      </c>
      <c r="I426" t="e">
        <f>IF('Lab test'!AU417&gt;0,'Lab test'!AU417,NA())</f>
        <v>#N/A</v>
      </c>
      <c r="J426">
        <f>IF('Lab test'!AT417&gt;0,'Lab test'!AT417,NA())</f>
        <v>0.83900341109296039</v>
      </c>
      <c r="K426" t="e">
        <f t="shared" si="186"/>
        <v>#N/A</v>
      </c>
      <c r="L426" t="str">
        <f>'Lab test'!AC417</f>
        <v>LTWa</v>
      </c>
      <c r="X426" t="e">
        <v>#N/A</v>
      </c>
      <c r="Z426" t="e">
        <f t="shared" si="176"/>
        <v>#N/A</v>
      </c>
      <c r="AB426" t="e">
        <f t="shared" si="175"/>
        <v>#N/A</v>
      </c>
      <c r="AC426" t="e">
        <f t="shared" si="177"/>
        <v>#N/A</v>
      </c>
      <c r="AE426" t="e">
        <v>#N/A</v>
      </c>
      <c r="AF426" t="e">
        <v>#N/A</v>
      </c>
      <c r="AP426" t="e">
        <v>#N/A</v>
      </c>
      <c r="AR426" t="e">
        <f t="shared" si="178"/>
        <v>#N/A</v>
      </c>
      <c r="AT426" t="e">
        <f t="shared" si="179"/>
        <v>#N/A</v>
      </c>
      <c r="AU426" t="e">
        <f t="shared" si="180"/>
        <v>#N/A</v>
      </c>
      <c r="AW426" t="e">
        <v>#N/A</v>
      </c>
      <c r="AX426" t="e">
        <v>#N/A</v>
      </c>
      <c r="BG426" t="e">
        <v>#N/A</v>
      </c>
      <c r="BI426" t="e">
        <f t="shared" si="181"/>
        <v>#N/A</v>
      </c>
      <c r="BK426" t="e">
        <f t="shared" si="182"/>
        <v>#N/A</v>
      </c>
      <c r="BL426" t="e">
        <f t="shared" si="183"/>
        <v>#N/A</v>
      </c>
      <c r="BN426" t="e">
        <v>#N/A</v>
      </c>
      <c r="BO426" t="e">
        <v>#N/A</v>
      </c>
      <c r="BX426" t="e">
        <v>#N/A</v>
      </c>
      <c r="BZ426" t="e">
        <f t="shared" si="184"/>
        <v>#N/A</v>
      </c>
      <c r="CB426" t="e">
        <f t="shared" si="187"/>
        <v>#N/A</v>
      </c>
      <c r="CC426" t="e">
        <f t="shared" si="185"/>
        <v>#N/A</v>
      </c>
      <c r="CE426" t="e">
        <v>#N/A</v>
      </c>
      <c r="CF426" t="e">
        <v>#N/A</v>
      </c>
    </row>
    <row r="427" spans="2:84">
      <c r="B427">
        <v>415</v>
      </c>
      <c r="C427" t="e">
        <f>IF(ISNUMBER(K427),IF('Lab test'!N418&gt;0,'Lab test'!N418,NA()),NA())</f>
        <v>#N/A</v>
      </c>
      <c r="D427" t="e">
        <f>IF(ISNUMBER(K427),IF('Lab test'!Q418&gt;0,'Lab test'!Q418,NA()),NA())</f>
        <v>#N/A</v>
      </c>
      <c r="E427" t="e">
        <f>IF(ISNUMBER(K427),IF('Lab test'!P418&gt;0,'Lab test'!P418,NA()),NA())</f>
        <v>#N/A</v>
      </c>
      <c r="F427" t="e">
        <f>IF(ISNUMBER(K427),IF('Lab test'!AJ418&gt;0,'Lab test'!AJ418,NA()),NA())</f>
        <v>#N/A</v>
      </c>
      <c r="G427">
        <f>IF('Lab test'!V418&gt;0,'Lab test'!V418,NA())</f>
        <v>92182.51</v>
      </c>
      <c r="H427" t="e">
        <f>IF(MAX('Lab test'!W418,'Lab test'!X418)&gt;0,MAX('Lab test'!W418,'Lab test'!X418),NA())</f>
        <v>#N/A</v>
      </c>
      <c r="I427" t="e">
        <f>IF('Lab test'!AU418&gt;0,'Lab test'!AU418,NA())</f>
        <v>#N/A</v>
      </c>
      <c r="J427">
        <f>IF('Lab test'!AT418&gt;0,'Lab test'!AT418,NA())</f>
        <v>0.80734306339192341</v>
      </c>
      <c r="K427" t="e">
        <f t="shared" si="186"/>
        <v>#N/A</v>
      </c>
      <c r="L427" t="str">
        <f>'Lab test'!AC418</f>
        <v>LTWa</v>
      </c>
      <c r="X427" t="e">
        <v>#N/A</v>
      </c>
      <c r="Z427" t="e">
        <f t="shared" si="176"/>
        <v>#N/A</v>
      </c>
      <c r="AB427" t="e">
        <f t="shared" si="175"/>
        <v>#N/A</v>
      </c>
      <c r="AC427" t="e">
        <f t="shared" si="177"/>
        <v>#N/A</v>
      </c>
      <c r="AE427" t="e">
        <v>#N/A</v>
      </c>
      <c r="AF427" t="e">
        <v>#N/A</v>
      </c>
      <c r="AP427" t="e">
        <v>#N/A</v>
      </c>
      <c r="AR427" t="e">
        <f t="shared" si="178"/>
        <v>#N/A</v>
      </c>
      <c r="AT427" t="e">
        <f t="shared" si="179"/>
        <v>#N/A</v>
      </c>
      <c r="AU427" t="e">
        <f t="shared" si="180"/>
        <v>#N/A</v>
      </c>
      <c r="AW427" t="e">
        <v>#N/A</v>
      </c>
      <c r="AX427" t="e">
        <v>#N/A</v>
      </c>
      <c r="BG427" t="e">
        <v>#N/A</v>
      </c>
      <c r="BI427" t="e">
        <f t="shared" si="181"/>
        <v>#N/A</v>
      </c>
      <c r="BK427" t="e">
        <f t="shared" si="182"/>
        <v>#N/A</v>
      </c>
      <c r="BL427" t="e">
        <f t="shared" si="183"/>
        <v>#N/A</v>
      </c>
      <c r="BN427" t="e">
        <v>#N/A</v>
      </c>
      <c r="BO427" t="e">
        <v>#N/A</v>
      </c>
      <c r="BX427" t="e">
        <v>#N/A</v>
      </c>
      <c r="BZ427" t="e">
        <f t="shared" si="184"/>
        <v>#N/A</v>
      </c>
      <c r="CB427" t="e">
        <f t="shared" si="187"/>
        <v>#N/A</v>
      </c>
      <c r="CC427" t="e">
        <f t="shared" si="185"/>
        <v>#N/A</v>
      </c>
      <c r="CE427" t="e">
        <v>#N/A</v>
      </c>
      <c r="CF427" t="e">
        <v>#N/A</v>
      </c>
    </row>
    <row r="428" spans="2:84">
      <c r="B428">
        <v>416</v>
      </c>
      <c r="C428" t="e">
        <f>IF(ISNUMBER(K428),IF('Lab test'!N419&gt;0,'Lab test'!N419,NA()),NA())</f>
        <v>#N/A</v>
      </c>
      <c r="D428" t="e">
        <f>IF(ISNUMBER(K428),IF('Lab test'!Q419&gt;0,'Lab test'!Q419,NA()),NA())</f>
        <v>#N/A</v>
      </c>
      <c r="E428" t="e">
        <f>IF(ISNUMBER(K428),IF('Lab test'!P419&gt;0,'Lab test'!P419,NA()),NA())</f>
        <v>#N/A</v>
      </c>
      <c r="F428" t="e">
        <f>IF(ISNUMBER(K428),IF('Lab test'!AJ419&gt;0,'Lab test'!AJ419,NA()),NA())</f>
        <v>#N/A</v>
      </c>
      <c r="G428">
        <f>IF('Lab test'!V419&gt;0,'Lab test'!V419,NA())</f>
        <v>205939.65</v>
      </c>
      <c r="H428">
        <f>IF(MAX('Lab test'!W419,'Lab test'!X419)&gt;0,MAX('Lab test'!W419,'Lab test'!X419),NA())</f>
        <v>353.0394</v>
      </c>
      <c r="I428">
        <f>IF('Lab test'!AU419&gt;0,'Lab test'!AU419,NA())</f>
        <v>0.93832837067054176</v>
      </c>
      <c r="J428">
        <f>IF('Lab test'!AT419&gt;0,'Lab test'!AT419,NA())</f>
        <v>6.5115662194649218E-2</v>
      </c>
      <c r="K428" t="e">
        <f t="shared" si="186"/>
        <v>#N/A</v>
      </c>
      <c r="L428" t="str">
        <f>'Lab test'!AC419</f>
        <v>LTWa</v>
      </c>
      <c r="X428" t="e">
        <v>#N/A</v>
      </c>
      <c r="Z428" t="e">
        <f t="shared" si="176"/>
        <v>#N/A</v>
      </c>
      <c r="AB428" t="e">
        <f t="shared" si="175"/>
        <v>#N/A</v>
      </c>
      <c r="AC428" t="e">
        <f t="shared" si="177"/>
        <v>#N/A</v>
      </c>
      <c r="AE428" t="e">
        <v>#N/A</v>
      </c>
      <c r="AF428" t="e">
        <v>#N/A</v>
      </c>
      <c r="AP428" t="e">
        <v>#N/A</v>
      </c>
      <c r="AR428" t="e">
        <f t="shared" si="178"/>
        <v>#N/A</v>
      </c>
      <c r="AT428" t="e">
        <f t="shared" si="179"/>
        <v>#N/A</v>
      </c>
      <c r="AU428" t="e">
        <f t="shared" si="180"/>
        <v>#N/A</v>
      </c>
      <c r="AW428" t="e">
        <v>#N/A</v>
      </c>
      <c r="AX428" t="e">
        <v>#N/A</v>
      </c>
      <c r="BG428" t="e">
        <v>#N/A</v>
      </c>
      <c r="BI428" t="e">
        <f t="shared" si="181"/>
        <v>#N/A</v>
      </c>
      <c r="BK428" t="e">
        <f t="shared" si="182"/>
        <v>#N/A</v>
      </c>
      <c r="BL428" t="e">
        <f t="shared" si="183"/>
        <v>#N/A</v>
      </c>
      <c r="BN428" t="e">
        <v>#N/A</v>
      </c>
      <c r="BO428" t="e">
        <v>#N/A</v>
      </c>
      <c r="BX428" t="e">
        <v>#N/A</v>
      </c>
      <c r="BZ428" t="e">
        <f t="shared" si="184"/>
        <v>#N/A</v>
      </c>
      <c r="CB428" t="e">
        <f t="shared" si="187"/>
        <v>#N/A</v>
      </c>
      <c r="CC428" t="e">
        <f t="shared" si="185"/>
        <v>#N/A</v>
      </c>
      <c r="CE428" t="e">
        <v>#N/A</v>
      </c>
      <c r="CF428" t="e">
        <v>#N/A</v>
      </c>
    </row>
    <row r="429" spans="2:84">
      <c r="B429">
        <v>417</v>
      </c>
      <c r="C429" t="e">
        <f>IF(ISNUMBER(K429),IF('Lab test'!N420&gt;0,'Lab test'!N420,NA()),NA())</f>
        <v>#N/A</v>
      </c>
      <c r="D429" t="e">
        <f>IF(ISNUMBER(K429),IF('Lab test'!Q420&gt;0,'Lab test'!Q420,NA()),NA())</f>
        <v>#N/A</v>
      </c>
      <c r="E429" t="e">
        <f>IF(ISNUMBER(K429),IF('Lab test'!P420&gt;0,'Lab test'!P420,NA()),NA())</f>
        <v>#N/A</v>
      </c>
      <c r="F429" t="e">
        <f>IF(ISNUMBER(K429),IF('Lab test'!AJ420&gt;0,'Lab test'!AJ420,NA()),NA())</f>
        <v>#N/A</v>
      </c>
      <c r="G429">
        <f>IF('Lab test'!V420&gt;0,'Lab test'!V420,NA())</f>
        <v>205939.65</v>
      </c>
      <c r="H429">
        <f>IF(MAX('Lab test'!W420,'Lab test'!X420)&gt;0,MAX('Lab test'!W420,'Lab test'!X420),NA())</f>
        <v>353.0394</v>
      </c>
      <c r="I429">
        <f>IF('Lab test'!AU420&gt;0,'Lab test'!AU420,NA())</f>
        <v>0.78687246647398568</v>
      </c>
      <c r="J429">
        <f>IF('Lab test'!AT420&gt;0,'Lab test'!AT420,NA())</f>
        <v>9.5159583048022869E-2</v>
      </c>
      <c r="K429" t="e">
        <f t="shared" si="186"/>
        <v>#N/A</v>
      </c>
      <c r="L429" t="str">
        <f>'Lab test'!AC420</f>
        <v>LTWa</v>
      </c>
      <c r="X429" t="e">
        <v>#N/A</v>
      </c>
      <c r="Z429" t="e">
        <f t="shared" si="176"/>
        <v>#N/A</v>
      </c>
      <c r="AB429" t="e">
        <f t="shared" si="175"/>
        <v>#N/A</v>
      </c>
      <c r="AC429" t="e">
        <f t="shared" si="177"/>
        <v>#N/A</v>
      </c>
      <c r="AE429" t="e">
        <v>#N/A</v>
      </c>
      <c r="AF429" t="e">
        <v>#N/A</v>
      </c>
      <c r="AP429" t="e">
        <v>#N/A</v>
      </c>
      <c r="AR429" t="e">
        <f t="shared" si="178"/>
        <v>#N/A</v>
      </c>
      <c r="AT429" t="e">
        <f t="shared" si="179"/>
        <v>#N/A</v>
      </c>
      <c r="AU429" t="e">
        <f t="shared" si="180"/>
        <v>#N/A</v>
      </c>
      <c r="AW429" t="e">
        <v>#N/A</v>
      </c>
      <c r="AX429" t="e">
        <v>#N/A</v>
      </c>
      <c r="BG429" t="e">
        <v>#N/A</v>
      </c>
      <c r="BI429" t="e">
        <f t="shared" si="181"/>
        <v>#N/A</v>
      </c>
      <c r="BK429" t="e">
        <f t="shared" si="182"/>
        <v>#N/A</v>
      </c>
      <c r="BL429" t="e">
        <f t="shared" si="183"/>
        <v>#N/A</v>
      </c>
      <c r="BN429" t="e">
        <v>#N/A</v>
      </c>
      <c r="BO429" t="e">
        <v>#N/A</v>
      </c>
      <c r="BX429" t="e">
        <v>#N/A</v>
      </c>
      <c r="BZ429" t="e">
        <f t="shared" si="184"/>
        <v>#N/A</v>
      </c>
      <c r="CB429" t="e">
        <f t="shared" si="187"/>
        <v>#N/A</v>
      </c>
      <c r="CC429" t="e">
        <f t="shared" si="185"/>
        <v>#N/A</v>
      </c>
      <c r="CE429" t="e">
        <v>#N/A</v>
      </c>
      <c r="CF429" t="e">
        <v>#N/A</v>
      </c>
    </row>
    <row r="430" spans="2:84">
      <c r="B430">
        <v>418</v>
      </c>
      <c r="C430" t="e">
        <f>IF(ISNUMBER(K430),IF('Lab test'!N421&gt;0,'Lab test'!N421,NA()),NA())</f>
        <v>#N/A</v>
      </c>
      <c r="D430" t="e">
        <f>IF(ISNUMBER(K430),IF('Lab test'!Q421&gt;0,'Lab test'!Q421,NA()),NA())</f>
        <v>#N/A</v>
      </c>
      <c r="E430" t="e">
        <f>IF(ISNUMBER(K430),IF('Lab test'!P421&gt;0,'Lab test'!P421,NA()),NA())</f>
        <v>#N/A</v>
      </c>
      <c r="F430" t="e">
        <f>IF(ISNUMBER(K430),IF('Lab test'!AJ421&gt;0,'Lab test'!AJ421,NA()),NA())</f>
        <v>#N/A</v>
      </c>
      <c r="G430">
        <f>IF('Lab test'!V421&gt;0,'Lab test'!V421,NA())</f>
        <v>205939.65</v>
      </c>
      <c r="H430">
        <f>IF(MAX('Lab test'!W421,'Lab test'!X421)&gt;0,MAX('Lab test'!W421,'Lab test'!X421),NA())</f>
        <v>353.0394</v>
      </c>
      <c r="I430">
        <f>IF('Lab test'!AU421&gt;0,'Lab test'!AU421,NA())</f>
        <v>0.6899256031818416</v>
      </c>
      <c r="J430">
        <f>IF('Lab test'!AT421&gt;0,'Lab test'!AT421,NA())</f>
        <v>0.1903381081546337</v>
      </c>
      <c r="K430" t="e">
        <f t="shared" si="186"/>
        <v>#N/A</v>
      </c>
      <c r="L430" t="str">
        <f>'Lab test'!AC421</f>
        <v>LTWa</v>
      </c>
      <c r="X430" t="e">
        <v>#N/A</v>
      </c>
      <c r="Z430" t="e">
        <f t="shared" si="176"/>
        <v>#N/A</v>
      </c>
      <c r="AB430" t="e">
        <f t="shared" si="175"/>
        <v>#N/A</v>
      </c>
      <c r="AC430" t="e">
        <f t="shared" si="177"/>
        <v>#N/A</v>
      </c>
      <c r="AE430" t="e">
        <v>#N/A</v>
      </c>
      <c r="AF430" t="e">
        <v>#N/A</v>
      </c>
      <c r="AP430" t="e">
        <v>#N/A</v>
      </c>
      <c r="AR430" t="e">
        <f t="shared" si="178"/>
        <v>#N/A</v>
      </c>
      <c r="AT430" t="e">
        <f t="shared" si="179"/>
        <v>#N/A</v>
      </c>
      <c r="AU430" t="e">
        <f t="shared" si="180"/>
        <v>#N/A</v>
      </c>
      <c r="AW430" t="e">
        <v>#N/A</v>
      </c>
      <c r="AX430" t="e">
        <v>#N/A</v>
      </c>
      <c r="BG430" t="e">
        <v>#N/A</v>
      </c>
      <c r="BI430" t="e">
        <f t="shared" si="181"/>
        <v>#N/A</v>
      </c>
      <c r="BK430" t="e">
        <f t="shared" si="182"/>
        <v>#N/A</v>
      </c>
      <c r="BL430" t="e">
        <f t="shared" si="183"/>
        <v>#N/A</v>
      </c>
      <c r="BN430" t="e">
        <v>#N/A</v>
      </c>
      <c r="BO430" t="e">
        <v>#N/A</v>
      </c>
      <c r="BX430" t="e">
        <v>#N/A</v>
      </c>
      <c r="BZ430" t="e">
        <f t="shared" si="184"/>
        <v>#N/A</v>
      </c>
      <c r="CB430" t="e">
        <f t="shared" si="187"/>
        <v>#N/A</v>
      </c>
      <c r="CC430" t="e">
        <f t="shared" si="185"/>
        <v>#N/A</v>
      </c>
      <c r="CE430" t="e">
        <v>#N/A</v>
      </c>
      <c r="CF430" t="e">
        <v>#N/A</v>
      </c>
    </row>
    <row r="431" spans="2:84">
      <c r="B431">
        <v>419</v>
      </c>
      <c r="C431" t="e">
        <f>IF(ISNUMBER(K431),IF('Lab test'!N422&gt;0,'Lab test'!N422,NA()),NA())</f>
        <v>#N/A</v>
      </c>
      <c r="D431" t="e">
        <f>IF(ISNUMBER(K431),IF('Lab test'!Q422&gt;0,'Lab test'!Q422,NA()),NA())</f>
        <v>#N/A</v>
      </c>
      <c r="E431" t="e">
        <f>IF(ISNUMBER(K431),IF('Lab test'!P422&gt;0,'Lab test'!P422,NA()),NA())</f>
        <v>#N/A</v>
      </c>
      <c r="F431" t="e">
        <f>IF(ISNUMBER(K431),IF('Lab test'!AJ422&gt;0,'Lab test'!AJ422,NA()),NA())</f>
        <v>#N/A</v>
      </c>
      <c r="G431">
        <f>IF('Lab test'!V422&gt;0,'Lab test'!V422,NA())</f>
        <v>205939.65</v>
      </c>
      <c r="H431">
        <f>IF(MAX('Lab test'!W422,'Lab test'!X422)&gt;0,MAX('Lab test'!W422,'Lab test'!X422),NA())</f>
        <v>353.0394</v>
      </c>
      <c r="I431">
        <f>IF('Lab test'!AU422&gt;0,'Lab test'!AU422,NA())</f>
        <v>1.0233330653028985</v>
      </c>
      <c r="J431">
        <f>IF('Lab test'!AT422&gt;0,'Lab test'!AT422,NA())</f>
        <v>0.26524512189269084</v>
      </c>
      <c r="K431" t="e">
        <f t="shared" si="186"/>
        <v>#N/A</v>
      </c>
      <c r="L431" t="str">
        <f>'Lab test'!AC422</f>
        <v>LTWa</v>
      </c>
      <c r="X431" t="e">
        <v>#N/A</v>
      </c>
      <c r="Z431" t="e">
        <f t="shared" si="176"/>
        <v>#N/A</v>
      </c>
      <c r="AB431" t="e">
        <f t="shared" si="175"/>
        <v>#N/A</v>
      </c>
      <c r="AC431" t="e">
        <f t="shared" si="177"/>
        <v>#N/A</v>
      </c>
      <c r="AE431" t="e">
        <v>#N/A</v>
      </c>
      <c r="AF431" t="e">
        <v>#N/A</v>
      </c>
      <c r="AP431" t="e">
        <v>#N/A</v>
      </c>
      <c r="AR431" t="e">
        <f t="shared" si="178"/>
        <v>#N/A</v>
      </c>
      <c r="AT431" t="e">
        <f t="shared" si="179"/>
        <v>#N/A</v>
      </c>
      <c r="AU431" t="e">
        <f t="shared" si="180"/>
        <v>#N/A</v>
      </c>
      <c r="AW431" t="e">
        <v>#N/A</v>
      </c>
      <c r="AX431" t="e">
        <v>#N/A</v>
      </c>
      <c r="BG431" t="e">
        <v>#N/A</v>
      </c>
      <c r="BI431" t="e">
        <f t="shared" si="181"/>
        <v>#N/A</v>
      </c>
      <c r="BK431" t="e">
        <f t="shared" si="182"/>
        <v>#N/A</v>
      </c>
      <c r="BL431" t="e">
        <f t="shared" si="183"/>
        <v>#N/A</v>
      </c>
      <c r="BN431" t="e">
        <v>#N/A</v>
      </c>
      <c r="BO431" t="e">
        <v>#N/A</v>
      </c>
      <c r="BX431" t="e">
        <v>#N/A</v>
      </c>
      <c r="BZ431" t="e">
        <f t="shared" si="184"/>
        <v>#N/A</v>
      </c>
      <c r="CB431" t="e">
        <f t="shared" si="187"/>
        <v>#N/A</v>
      </c>
      <c r="CC431" t="e">
        <f t="shared" si="185"/>
        <v>#N/A</v>
      </c>
      <c r="CE431" t="e">
        <v>#N/A</v>
      </c>
      <c r="CF431" t="e">
        <v>#N/A</v>
      </c>
    </row>
    <row r="432" spans="2:84">
      <c r="B432">
        <v>420</v>
      </c>
      <c r="C432" t="e">
        <f>IF(ISNUMBER(K432),IF('Lab test'!N423&gt;0,'Lab test'!N423,NA()),NA())</f>
        <v>#N/A</v>
      </c>
      <c r="D432" t="e">
        <f>IF(ISNUMBER(K432),IF('Lab test'!Q423&gt;0,'Lab test'!Q423,NA()),NA())</f>
        <v>#N/A</v>
      </c>
      <c r="E432" t="e">
        <f>IF(ISNUMBER(K432),IF('Lab test'!P423&gt;0,'Lab test'!P423,NA()),NA())</f>
        <v>#N/A</v>
      </c>
      <c r="F432" t="e">
        <f>IF(ISNUMBER(K432),IF('Lab test'!AJ423&gt;0,'Lab test'!AJ423,NA()),NA())</f>
        <v>#N/A</v>
      </c>
      <c r="G432">
        <f>IF('Lab test'!V423&gt;0,'Lab test'!V423,NA())</f>
        <v>205939.65</v>
      </c>
      <c r="H432">
        <f>IF(MAX('Lab test'!W423,'Lab test'!X423)&gt;0,MAX('Lab test'!W423,'Lab test'!X423),NA())</f>
        <v>353.0394</v>
      </c>
      <c r="I432">
        <f>IF('Lab test'!AU423&gt;0,'Lab test'!AU423,NA())</f>
        <v>0.85223530437427208</v>
      </c>
      <c r="J432">
        <f>IF('Lab test'!AT423&gt;0,'Lab test'!AT423,NA())</f>
        <v>0.24042708398480042</v>
      </c>
      <c r="K432" t="e">
        <f t="shared" si="186"/>
        <v>#N/A</v>
      </c>
      <c r="L432" t="str">
        <f>'Lab test'!AC423</f>
        <v>LTWa</v>
      </c>
      <c r="X432" t="e">
        <v>#N/A</v>
      </c>
      <c r="Z432" t="e">
        <f t="shared" si="176"/>
        <v>#N/A</v>
      </c>
      <c r="AB432" t="e">
        <f t="shared" ref="AB432:AB495" si="188">Z432</f>
        <v>#N/A</v>
      </c>
      <c r="AC432" t="e">
        <f t="shared" si="177"/>
        <v>#N/A</v>
      </c>
      <c r="AE432" t="e">
        <v>#N/A</v>
      </c>
      <c r="AF432" t="e">
        <v>#N/A</v>
      </c>
      <c r="AP432" t="e">
        <v>#N/A</v>
      </c>
      <c r="AR432" t="e">
        <f t="shared" si="178"/>
        <v>#N/A</v>
      </c>
      <c r="AT432" t="e">
        <f t="shared" si="179"/>
        <v>#N/A</v>
      </c>
      <c r="AU432" t="e">
        <f t="shared" si="180"/>
        <v>#N/A</v>
      </c>
      <c r="AW432" t="e">
        <v>#N/A</v>
      </c>
      <c r="AX432" t="e">
        <v>#N/A</v>
      </c>
      <c r="BG432" t="e">
        <v>#N/A</v>
      </c>
      <c r="BI432" t="e">
        <f t="shared" si="181"/>
        <v>#N/A</v>
      </c>
      <c r="BK432" t="e">
        <f t="shared" si="182"/>
        <v>#N/A</v>
      </c>
      <c r="BL432" t="e">
        <f t="shared" si="183"/>
        <v>#N/A</v>
      </c>
      <c r="BN432" t="e">
        <v>#N/A</v>
      </c>
      <c r="BO432" t="e">
        <v>#N/A</v>
      </c>
      <c r="BX432" t="e">
        <v>#N/A</v>
      </c>
      <c r="BZ432" t="e">
        <f t="shared" si="184"/>
        <v>#N/A</v>
      </c>
      <c r="CB432" t="e">
        <f t="shared" si="187"/>
        <v>#N/A</v>
      </c>
      <c r="CC432" t="e">
        <f t="shared" si="185"/>
        <v>#N/A</v>
      </c>
      <c r="CE432" t="e">
        <v>#N/A</v>
      </c>
      <c r="CF432" t="e">
        <v>#N/A</v>
      </c>
    </row>
    <row r="433" spans="2:84">
      <c r="B433">
        <v>421</v>
      </c>
      <c r="C433" t="e">
        <f>IF(ISNUMBER(K433),IF('Lab test'!N424&gt;0,'Lab test'!N424,NA()),NA())</f>
        <v>#N/A</v>
      </c>
      <c r="D433" t="e">
        <f>IF(ISNUMBER(K433),IF('Lab test'!Q424&gt;0,'Lab test'!Q424,NA()),NA())</f>
        <v>#N/A</v>
      </c>
      <c r="E433" t="e">
        <f>IF(ISNUMBER(K433),IF('Lab test'!P424&gt;0,'Lab test'!P424,NA()),NA())</f>
        <v>#N/A</v>
      </c>
      <c r="F433" t="e">
        <f>IF(ISNUMBER(K433),IF('Lab test'!AJ424&gt;0,'Lab test'!AJ424,NA()),NA())</f>
        <v>#N/A</v>
      </c>
      <c r="G433">
        <f>IF('Lab test'!V424&gt;0,'Lab test'!V424,NA())</f>
        <v>205939.65</v>
      </c>
      <c r="H433">
        <f>IF(MAX('Lab test'!W424,'Lab test'!X424)&gt;0,MAX('Lab test'!W424,'Lab test'!X424),NA())</f>
        <v>353.0394</v>
      </c>
      <c r="I433">
        <f>IF('Lab test'!AU424&gt;0,'Lab test'!AU424,NA())</f>
        <v>0.79607846928771109</v>
      </c>
      <c r="J433">
        <f>IF('Lab test'!AT424&gt;0,'Lab test'!AT424,NA())</f>
        <v>0.36453639264465204</v>
      </c>
      <c r="K433" t="e">
        <f t="shared" si="186"/>
        <v>#N/A</v>
      </c>
      <c r="L433" t="str">
        <f>'Lab test'!AC424</f>
        <v>LTWa</v>
      </c>
      <c r="X433" t="e">
        <v>#N/A</v>
      </c>
      <c r="Z433" t="e">
        <f t="shared" si="176"/>
        <v>#N/A</v>
      </c>
      <c r="AB433" t="e">
        <f t="shared" si="188"/>
        <v>#N/A</v>
      </c>
      <c r="AC433" t="e">
        <f t="shared" si="177"/>
        <v>#N/A</v>
      </c>
      <c r="AE433" t="e">
        <v>#N/A</v>
      </c>
      <c r="AF433" t="e">
        <v>#N/A</v>
      </c>
      <c r="AP433" t="e">
        <v>#N/A</v>
      </c>
      <c r="AR433" t="e">
        <f t="shared" si="178"/>
        <v>#N/A</v>
      </c>
      <c r="AT433" t="e">
        <f t="shared" si="179"/>
        <v>#N/A</v>
      </c>
      <c r="AU433" t="e">
        <f t="shared" si="180"/>
        <v>#N/A</v>
      </c>
      <c r="AW433" t="e">
        <v>#N/A</v>
      </c>
      <c r="AX433" t="e">
        <v>#N/A</v>
      </c>
      <c r="BG433" t="e">
        <v>#N/A</v>
      </c>
      <c r="BI433" t="e">
        <f t="shared" si="181"/>
        <v>#N/A</v>
      </c>
      <c r="BK433" t="e">
        <f t="shared" si="182"/>
        <v>#N/A</v>
      </c>
      <c r="BL433" t="e">
        <f t="shared" si="183"/>
        <v>#N/A</v>
      </c>
      <c r="BN433" t="e">
        <v>#N/A</v>
      </c>
      <c r="BO433" t="e">
        <v>#N/A</v>
      </c>
      <c r="BX433" t="e">
        <v>#N/A</v>
      </c>
      <c r="BZ433" t="e">
        <f t="shared" si="184"/>
        <v>#N/A</v>
      </c>
      <c r="CB433" t="e">
        <f t="shared" si="187"/>
        <v>#N/A</v>
      </c>
      <c r="CC433" t="e">
        <f t="shared" si="185"/>
        <v>#N/A</v>
      </c>
      <c r="CE433" t="e">
        <v>#N/A</v>
      </c>
      <c r="CF433" t="e">
        <v>#N/A</v>
      </c>
    </row>
    <row r="434" spans="2:84">
      <c r="B434">
        <v>422</v>
      </c>
      <c r="C434" t="e">
        <f>IF(ISNUMBER(K434),IF('Lab test'!N425&gt;0,'Lab test'!N425,NA()),NA())</f>
        <v>#N/A</v>
      </c>
      <c r="D434" t="e">
        <f>IF(ISNUMBER(K434),IF('Lab test'!Q425&gt;0,'Lab test'!Q425,NA()),NA())</f>
        <v>#N/A</v>
      </c>
      <c r="E434" t="e">
        <f>IF(ISNUMBER(K434),IF('Lab test'!P425&gt;0,'Lab test'!P425,NA()),NA())</f>
        <v>#N/A</v>
      </c>
      <c r="F434" t="e">
        <f>IF(ISNUMBER(K434),IF('Lab test'!AJ425&gt;0,'Lab test'!AJ425,NA()),NA())</f>
        <v>#N/A</v>
      </c>
      <c r="G434">
        <f>IF('Lab test'!V425&gt;0,'Lab test'!V425,NA())</f>
        <v>205939.65</v>
      </c>
      <c r="H434">
        <f>IF(MAX('Lab test'!W425,'Lab test'!X425)&gt;0,MAX('Lab test'!W425,'Lab test'!X425),NA())</f>
        <v>235.3596</v>
      </c>
      <c r="I434">
        <f>IF('Lab test'!AU425&gt;0,'Lab test'!AU425,NA())</f>
        <v>1.1494521735689953</v>
      </c>
      <c r="J434">
        <f>IF('Lab test'!AT425&gt;0,'Lab test'!AT425,NA())</f>
        <v>0.25322755746650366</v>
      </c>
      <c r="K434" t="e">
        <f t="shared" si="186"/>
        <v>#N/A</v>
      </c>
      <c r="L434" t="str">
        <f>'Lab test'!AC425</f>
        <v>LTWa</v>
      </c>
      <c r="X434" t="e">
        <v>#N/A</v>
      </c>
      <c r="Z434" t="e">
        <f t="shared" si="176"/>
        <v>#N/A</v>
      </c>
      <c r="AB434" t="e">
        <f t="shared" si="188"/>
        <v>#N/A</v>
      </c>
      <c r="AC434" t="e">
        <f t="shared" si="177"/>
        <v>#N/A</v>
      </c>
      <c r="AE434" t="e">
        <v>#N/A</v>
      </c>
      <c r="AF434" t="e">
        <v>#N/A</v>
      </c>
      <c r="AP434" t="e">
        <v>#N/A</v>
      </c>
      <c r="AR434" t="e">
        <f t="shared" si="178"/>
        <v>#N/A</v>
      </c>
      <c r="AT434" t="e">
        <f t="shared" si="179"/>
        <v>#N/A</v>
      </c>
      <c r="AU434" t="e">
        <f t="shared" si="180"/>
        <v>#N/A</v>
      </c>
      <c r="AW434" t="e">
        <v>#N/A</v>
      </c>
      <c r="AX434" t="e">
        <v>#N/A</v>
      </c>
      <c r="BG434" t="e">
        <v>#N/A</v>
      </c>
      <c r="BI434" t="e">
        <f t="shared" si="181"/>
        <v>#N/A</v>
      </c>
      <c r="BK434" t="e">
        <f t="shared" si="182"/>
        <v>#N/A</v>
      </c>
      <c r="BL434" t="e">
        <f t="shared" si="183"/>
        <v>#N/A</v>
      </c>
      <c r="BN434" t="e">
        <v>#N/A</v>
      </c>
      <c r="BO434" t="e">
        <v>#N/A</v>
      </c>
      <c r="BX434" t="e">
        <v>#N/A</v>
      </c>
      <c r="BZ434" t="e">
        <f t="shared" si="184"/>
        <v>#N/A</v>
      </c>
      <c r="CB434" t="e">
        <f t="shared" si="187"/>
        <v>#N/A</v>
      </c>
      <c r="CC434" t="e">
        <f t="shared" si="185"/>
        <v>#N/A</v>
      </c>
      <c r="CE434" t="e">
        <v>#N/A</v>
      </c>
      <c r="CF434" t="e">
        <v>#N/A</v>
      </c>
    </row>
    <row r="435" spans="2:84">
      <c r="B435">
        <v>423</v>
      </c>
      <c r="C435" t="e">
        <f>IF(ISNUMBER(K435),IF('Lab test'!N426&gt;0,'Lab test'!N426,NA()),NA())</f>
        <v>#N/A</v>
      </c>
      <c r="D435" t="e">
        <f>IF(ISNUMBER(K435),IF('Lab test'!Q426&gt;0,'Lab test'!Q426,NA()),NA())</f>
        <v>#N/A</v>
      </c>
      <c r="E435" t="e">
        <f>IF(ISNUMBER(K435),IF('Lab test'!P426&gt;0,'Lab test'!P426,NA()),NA())</f>
        <v>#N/A</v>
      </c>
      <c r="F435" t="e">
        <f>IF(ISNUMBER(K435),IF('Lab test'!AJ426&gt;0,'Lab test'!AJ426,NA()),NA())</f>
        <v>#N/A</v>
      </c>
      <c r="G435">
        <f>IF('Lab test'!V426&gt;0,'Lab test'!V426,NA())</f>
        <v>205939.65</v>
      </c>
      <c r="H435">
        <f>IF(MAX('Lab test'!W426,'Lab test'!X426)&gt;0,MAX('Lab test'!W426,'Lab test'!X426),NA())</f>
        <v>235.3596</v>
      </c>
      <c r="I435">
        <f>IF('Lab test'!AU426&gt;0,'Lab test'!AU426,NA())</f>
        <v>0.84503697907040565</v>
      </c>
      <c r="J435">
        <f>IF('Lab test'!AT426&gt;0,'Lab test'!AT426,NA())</f>
        <v>0.27924604663774732</v>
      </c>
      <c r="K435" t="e">
        <f t="shared" si="186"/>
        <v>#N/A</v>
      </c>
      <c r="L435" t="str">
        <f>'Lab test'!AC426</f>
        <v>LTWa</v>
      </c>
      <c r="X435" t="e">
        <v>#N/A</v>
      </c>
      <c r="Z435" t="e">
        <f t="shared" si="176"/>
        <v>#N/A</v>
      </c>
      <c r="AB435" t="e">
        <f t="shared" si="188"/>
        <v>#N/A</v>
      </c>
      <c r="AC435" t="e">
        <f t="shared" si="177"/>
        <v>#N/A</v>
      </c>
      <c r="AE435" t="e">
        <v>#N/A</v>
      </c>
      <c r="AF435" t="e">
        <v>#N/A</v>
      </c>
      <c r="AP435" t="e">
        <v>#N/A</v>
      </c>
      <c r="AR435" t="e">
        <f t="shared" si="178"/>
        <v>#N/A</v>
      </c>
      <c r="AT435" t="e">
        <f t="shared" si="179"/>
        <v>#N/A</v>
      </c>
      <c r="AU435" t="e">
        <f t="shared" si="180"/>
        <v>#N/A</v>
      </c>
      <c r="AW435" t="e">
        <v>#N/A</v>
      </c>
      <c r="AX435" t="e">
        <v>#N/A</v>
      </c>
      <c r="BG435" t="e">
        <v>#N/A</v>
      </c>
      <c r="BI435" t="e">
        <f t="shared" si="181"/>
        <v>#N/A</v>
      </c>
      <c r="BK435" t="e">
        <f t="shared" si="182"/>
        <v>#N/A</v>
      </c>
      <c r="BL435" t="e">
        <f t="shared" si="183"/>
        <v>#N/A</v>
      </c>
      <c r="BN435" t="e">
        <v>#N/A</v>
      </c>
      <c r="BO435" t="e">
        <v>#N/A</v>
      </c>
      <c r="BX435" t="e">
        <v>#N/A</v>
      </c>
      <c r="BZ435" t="e">
        <f t="shared" si="184"/>
        <v>#N/A</v>
      </c>
      <c r="CB435" t="e">
        <f t="shared" si="187"/>
        <v>#N/A</v>
      </c>
      <c r="CC435" t="e">
        <f t="shared" si="185"/>
        <v>#N/A</v>
      </c>
      <c r="CE435" t="e">
        <v>#N/A</v>
      </c>
      <c r="CF435" t="e">
        <v>#N/A</v>
      </c>
    </row>
    <row r="436" spans="2:84">
      <c r="B436">
        <v>424</v>
      </c>
      <c r="C436" t="e">
        <f>IF(ISNUMBER(K436),IF('Lab test'!N427&gt;0,'Lab test'!N427,NA()),NA())</f>
        <v>#N/A</v>
      </c>
      <c r="D436" t="e">
        <f>IF(ISNUMBER(K436),IF('Lab test'!Q427&gt;0,'Lab test'!Q427,NA()),NA())</f>
        <v>#N/A</v>
      </c>
      <c r="E436" t="e">
        <f>IF(ISNUMBER(K436),IF('Lab test'!P427&gt;0,'Lab test'!P427,NA()),NA())</f>
        <v>#N/A</v>
      </c>
      <c r="F436" t="e">
        <f>IF(ISNUMBER(K436),IF('Lab test'!AJ427&gt;0,'Lab test'!AJ427,NA()),NA())</f>
        <v>#N/A</v>
      </c>
      <c r="G436">
        <f>IF('Lab test'!V427&gt;0,'Lab test'!V427,NA())</f>
        <v>205939.65</v>
      </c>
      <c r="H436">
        <f>IF(MAX('Lab test'!W427,'Lab test'!X427)&gt;0,MAX('Lab test'!W427,'Lab test'!X427),NA())</f>
        <v>235.3596</v>
      </c>
      <c r="I436">
        <f>IF('Lab test'!AU427&gt;0,'Lab test'!AU427,NA())</f>
        <v>0.87989942086025497</v>
      </c>
      <c r="J436">
        <f>IF('Lab test'!AT427&gt;0,'Lab test'!AT427,NA())</f>
        <v>0.23261319047539386</v>
      </c>
      <c r="K436" t="e">
        <f t="shared" si="186"/>
        <v>#N/A</v>
      </c>
      <c r="L436" t="str">
        <f>'Lab test'!AC427</f>
        <v>LTWa</v>
      </c>
      <c r="X436" t="e">
        <v>#N/A</v>
      </c>
      <c r="Z436" t="e">
        <f t="shared" si="176"/>
        <v>#N/A</v>
      </c>
      <c r="AB436" t="e">
        <f t="shared" si="188"/>
        <v>#N/A</v>
      </c>
      <c r="AC436" t="e">
        <f t="shared" si="177"/>
        <v>#N/A</v>
      </c>
      <c r="AE436" t="e">
        <v>#N/A</v>
      </c>
      <c r="AF436" t="e">
        <v>#N/A</v>
      </c>
      <c r="AP436" t="e">
        <v>#N/A</v>
      </c>
      <c r="AR436" t="e">
        <f t="shared" si="178"/>
        <v>#N/A</v>
      </c>
      <c r="AT436" t="e">
        <f t="shared" si="179"/>
        <v>#N/A</v>
      </c>
      <c r="AU436" t="e">
        <f t="shared" si="180"/>
        <v>#N/A</v>
      </c>
      <c r="AW436" t="e">
        <v>#N/A</v>
      </c>
      <c r="AX436" t="e">
        <v>#N/A</v>
      </c>
      <c r="BG436" t="e">
        <v>#N/A</v>
      </c>
      <c r="BI436" t="e">
        <f t="shared" si="181"/>
        <v>#N/A</v>
      </c>
      <c r="BK436" t="e">
        <f t="shared" si="182"/>
        <v>#N/A</v>
      </c>
      <c r="BL436" t="e">
        <f t="shared" si="183"/>
        <v>#N/A</v>
      </c>
      <c r="BN436" t="e">
        <v>#N/A</v>
      </c>
      <c r="BO436" t="e">
        <v>#N/A</v>
      </c>
      <c r="BX436" t="e">
        <v>#N/A</v>
      </c>
      <c r="BZ436" t="e">
        <f t="shared" si="184"/>
        <v>#N/A</v>
      </c>
      <c r="CB436" t="e">
        <f t="shared" si="187"/>
        <v>#N/A</v>
      </c>
      <c r="CC436" t="e">
        <f t="shared" si="185"/>
        <v>#N/A</v>
      </c>
      <c r="CE436" t="e">
        <v>#N/A</v>
      </c>
      <c r="CF436" t="e">
        <v>#N/A</v>
      </c>
    </row>
    <row r="437" spans="2:84">
      <c r="B437">
        <v>425</v>
      </c>
      <c r="C437">
        <f>IF(ISNUMBER(K437),IF('Lab test'!N428&gt;0,'Lab test'!N428,NA()),NA())</f>
        <v>23.876000000000001</v>
      </c>
      <c r="D437">
        <f>IF(ISNUMBER(K437),IF('Lab test'!Q428&gt;0,'Lab test'!Q428,NA()),NA())</f>
        <v>460.78431372549016</v>
      </c>
      <c r="E437">
        <f>IF(ISNUMBER(K437),IF('Lab test'!P428&gt;0,'Lab test'!P428,NA()),NA())</f>
        <v>0.26340655122956258</v>
      </c>
      <c r="F437">
        <f>IF(ISNUMBER(K437),IF('Lab test'!AJ428&gt;0,'Lab test'!AJ428,NA()),NA())</f>
        <v>6.6489361702127658E-2</v>
      </c>
      <c r="G437">
        <f>IF('Lab test'!V428&gt;0,'Lab test'!V428,NA())</f>
        <v>216495.37900548655</v>
      </c>
      <c r="H437">
        <f>IF(MAX('Lab test'!W428,'Lab test'!X428)&gt;0,MAX('Lab test'!W428,'Lab test'!X428),NA())</f>
        <v>397.82749581581447</v>
      </c>
      <c r="I437">
        <f>IF('Lab test'!AU428&gt;0,'Lab test'!AU428,NA())</f>
        <v>0.27627135514766743</v>
      </c>
      <c r="J437">
        <f>IF('Lab test'!AT428&gt;0,'Lab test'!AT428,NA())</f>
        <v>0.3865102652449865</v>
      </c>
      <c r="K437">
        <f t="shared" si="186"/>
        <v>1</v>
      </c>
      <c r="L437" t="str">
        <f>'Lab test'!AC428</f>
        <v>LTWb</v>
      </c>
      <c r="X437" t="e">
        <v>#N/A</v>
      </c>
      <c r="Z437" t="e">
        <f t="shared" si="176"/>
        <v>#N/A</v>
      </c>
      <c r="AB437" t="e">
        <f t="shared" si="188"/>
        <v>#N/A</v>
      </c>
      <c r="AC437" t="e">
        <f t="shared" si="177"/>
        <v>#N/A</v>
      </c>
      <c r="AE437" t="e">
        <v>#N/A</v>
      </c>
      <c r="AF437" t="e">
        <v>#N/A</v>
      </c>
      <c r="AP437" t="e">
        <v>#N/A</v>
      </c>
      <c r="AR437" t="e">
        <f t="shared" si="178"/>
        <v>#N/A</v>
      </c>
      <c r="AT437" t="e">
        <f t="shared" si="179"/>
        <v>#N/A</v>
      </c>
      <c r="AU437" t="e">
        <f t="shared" si="180"/>
        <v>#N/A</v>
      </c>
      <c r="AW437" t="e">
        <v>#N/A</v>
      </c>
      <c r="AX437" t="e">
        <v>#N/A</v>
      </c>
      <c r="BG437" t="e">
        <v>#N/A</v>
      </c>
      <c r="BI437" t="e">
        <f t="shared" si="181"/>
        <v>#N/A</v>
      </c>
      <c r="BK437" t="e">
        <f t="shared" si="182"/>
        <v>#N/A</v>
      </c>
      <c r="BL437" t="e">
        <f t="shared" si="183"/>
        <v>#N/A</v>
      </c>
      <c r="BN437" t="e">
        <v>#N/A</v>
      </c>
      <c r="BO437" t="e">
        <v>#N/A</v>
      </c>
      <c r="BX437" t="e">
        <v>#N/A</v>
      </c>
      <c r="BZ437" t="e">
        <f t="shared" si="184"/>
        <v>#N/A</v>
      </c>
      <c r="CB437" t="e">
        <f t="shared" si="187"/>
        <v>#N/A</v>
      </c>
      <c r="CC437" t="e">
        <f t="shared" si="185"/>
        <v>#N/A</v>
      </c>
      <c r="CE437" t="e">
        <v>#N/A</v>
      </c>
      <c r="CF437" t="e">
        <v>#N/A</v>
      </c>
    </row>
    <row r="438" spans="2:84">
      <c r="B438">
        <v>426</v>
      </c>
      <c r="C438">
        <f>IF(ISNUMBER(K438),IF('Lab test'!N429&gt;0,'Lab test'!N429,NA()),NA())</f>
        <v>23.876000000000001</v>
      </c>
      <c r="D438">
        <f>IF(ISNUMBER(K438),IF('Lab test'!Q429&gt;0,'Lab test'!Q429,NA()),NA())</f>
        <v>460.78431372549016</v>
      </c>
      <c r="E438">
        <f>IF(ISNUMBER(K438),IF('Lab test'!P429&gt;0,'Lab test'!P429,NA()),NA())</f>
        <v>0.26340655122956258</v>
      </c>
      <c r="F438">
        <f>IF(ISNUMBER(K438),IF('Lab test'!AJ429&gt;0,'Lab test'!AJ429,NA()),NA())</f>
        <v>6.6489361702127658E-2</v>
      </c>
      <c r="G438">
        <f>IF('Lab test'!V429&gt;0,'Lab test'!V429,NA())</f>
        <v>216495.37900548655</v>
      </c>
      <c r="H438">
        <f>IF(MAX('Lab test'!W429,'Lab test'!X429)&gt;0,MAX('Lab test'!W429,'Lab test'!X429),NA())</f>
        <v>397.82749581581447</v>
      </c>
      <c r="I438">
        <f>IF('Lab test'!AU429&gt;0,'Lab test'!AU429,NA())</f>
        <v>0.3136831011572474</v>
      </c>
      <c r="J438">
        <f>IF('Lab test'!AT429&gt;0,'Lab test'!AT429,NA())</f>
        <v>0.43885019699691169</v>
      </c>
      <c r="K438">
        <f t="shared" si="186"/>
        <v>1</v>
      </c>
      <c r="L438" t="str">
        <f>'Lab test'!AC429</f>
        <v>LTWb</v>
      </c>
      <c r="X438" t="e">
        <v>#N/A</v>
      </c>
      <c r="Z438" t="e">
        <f t="shared" si="176"/>
        <v>#N/A</v>
      </c>
      <c r="AB438" t="e">
        <f t="shared" si="188"/>
        <v>#N/A</v>
      </c>
      <c r="AC438" t="e">
        <f t="shared" si="177"/>
        <v>#N/A</v>
      </c>
      <c r="AE438" t="e">
        <v>#N/A</v>
      </c>
      <c r="AF438" t="e">
        <v>#N/A</v>
      </c>
      <c r="AP438" t="e">
        <v>#N/A</v>
      </c>
      <c r="AR438" t="e">
        <f t="shared" si="178"/>
        <v>#N/A</v>
      </c>
      <c r="AT438" t="e">
        <f t="shared" si="179"/>
        <v>#N/A</v>
      </c>
      <c r="AU438" t="e">
        <f t="shared" si="180"/>
        <v>#N/A</v>
      </c>
      <c r="AW438" t="e">
        <v>#N/A</v>
      </c>
      <c r="AX438" t="e">
        <v>#N/A</v>
      </c>
      <c r="BG438" t="e">
        <v>#N/A</v>
      </c>
      <c r="BI438" t="e">
        <f t="shared" si="181"/>
        <v>#N/A</v>
      </c>
      <c r="BK438" t="e">
        <f t="shared" si="182"/>
        <v>#N/A</v>
      </c>
      <c r="BL438" t="e">
        <f t="shared" si="183"/>
        <v>#N/A</v>
      </c>
      <c r="BN438" t="e">
        <v>#N/A</v>
      </c>
      <c r="BO438" t="e">
        <v>#N/A</v>
      </c>
      <c r="BX438" t="e">
        <v>#N/A</v>
      </c>
      <c r="BZ438" t="e">
        <f t="shared" si="184"/>
        <v>#N/A</v>
      </c>
      <c r="CB438" t="e">
        <f t="shared" si="187"/>
        <v>#N/A</v>
      </c>
      <c r="CC438" t="e">
        <f t="shared" si="185"/>
        <v>#N/A</v>
      </c>
      <c r="CE438" t="e">
        <v>#N/A</v>
      </c>
      <c r="CF438" t="e">
        <v>#N/A</v>
      </c>
    </row>
    <row r="439" spans="2:84">
      <c r="B439">
        <v>427</v>
      </c>
      <c r="C439">
        <f>IF(ISNUMBER(K439),IF('Lab test'!N430&gt;0,'Lab test'!N430,NA()),NA())</f>
        <v>23.876000000000001</v>
      </c>
      <c r="D439">
        <f>IF(ISNUMBER(K439),IF('Lab test'!Q430&gt;0,'Lab test'!Q430,NA()),NA())</f>
        <v>460.78431372549016</v>
      </c>
      <c r="E439">
        <f>IF(ISNUMBER(K439),IF('Lab test'!P430&gt;0,'Lab test'!P430,NA()),NA())</f>
        <v>0.26340655122956258</v>
      </c>
      <c r="F439">
        <f>IF(ISNUMBER(K439),IF('Lab test'!AJ430&gt;0,'Lab test'!AJ430,NA()),NA())</f>
        <v>6.6489361702127658E-2</v>
      </c>
      <c r="G439">
        <f>IF('Lab test'!V430&gt;0,'Lab test'!V430,NA())</f>
        <v>216495.37900548655</v>
      </c>
      <c r="H439">
        <f>IF(MAX('Lab test'!W430,'Lab test'!X430)&gt;0,MAX('Lab test'!W430,'Lab test'!X430),NA())</f>
        <v>397.82749581581447</v>
      </c>
      <c r="I439">
        <f>IF('Lab test'!AU430&gt;0,'Lab test'!AU430,NA())</f>
        <v>0.33238897416203733</v>
      </c>
      <c r="J439">
        <f>IF('Lab test'!AT430&gt;0,'Lab test'!AT430,NA())</f>
        <v>0.46502016287287429</v>
      </c>
      <c r="K439">
        <f t="shared" si="186"/>
        <v>1</v>
      </c>
      <c r="L439" t="str">
        <f>'Lab test'!AC430</f>
        <v>LTWb</v>
      </c>
      <c r="X439" t="e">
        <v>#N/A</v>
      </c>
      <c r="Z439" t="e">
        <f t="shared" si="176"/>
        <v>#N/A</v>
      </c>
      <c r="AB439" t="e">
        <f t="shared" si="188"/>
        <v>#N/A</v>
      </c>
      <c r="AC439" t="e">
        <f t="shared" si="177"/>
        <v>#N/A</v>
      </c>
      <c r="AE439" t="e">
        <v>#N/A</v>
      </c>
      <c r="AF439" t="e">
        <v>#N/A</v>
      </c>
      <c r="AP439" t="e">
        <v>#N/A</v>
      </c>
      <c r="AR439" t="e">
        <f t="shared" si="178"/>
        <v>#N/A</v>
      </c>
      <c r="AT439" t="e">
        <f t="shared" si="179"/>
        <v>#N/A</v>
      </c>
      <c r="AU439" t="e">
        <f t="shared" si="180"/>
        <v>#N/A</v>
      </c>
      <c r="AW439" t="e">
        <v>#N/A</v>
      </c>
      <c r="AX439" t="e">
        <v>#N/A</v>
      </c>
      <c r="BG439" t="e">
        <v>#N/A</v>
      </c>
      <c r="BI439" t="e">
        <f t="shared" si="181"/>
        <v>#N/A</v>
      </c>
      <c r="BK439" t="e">
        <f t="shared" si="182"/>
        <v>#N/A</v>
      </c>
      <c r="BL439" t="e">
        <f t="shared" si="183"/>
        <v>#N/A</v>
      </c>
      <c r="BN439" t="e">
        <v>#N/A</v>
      </c>
      <c r="BO439" t="e">
        <v>#N/A</v>
      </c>
      <c r="BX439" t="e">
        <v>#N/A</v>
      </c>
      <c r="BZ439" t="e">
        <f t="shared" si="184"/>
        <v>#N/A</v>
      </c>
      <c r="CB439" t="e">
        <f t="shared" si="187"/>
        <v>#N/A</v>
      </c>
      <c r="CC439" t="e">
        <f t="shared" si="185"/>
        <v>#N/A</v>
      </c>
      <c r="CE439" t="e">
        <v>#N/A</v>
      </c>
      <c r="CF439" t="e">
        <v>#N/A</v>
      </c>
    </row>
    <row r="440" spans="2:84">
      <c r="B440">
        <v>428</v>
      </c>
      <c r="C440">
        <f>IF(ISNUMBER(K440),IF('Lab test'!N431&gt;0,'Lab test'!N431,NA()),NA())</f>
        <v>23.876000000000001</v>
      </c>
      <c r="D440">
        <f>IF(ISNUMBER(K440),IF('Lab test'!Q431&gt;0,'Lab test'!Q431,NA()),NA())</f>
        <v>293.75000000000006</v>
      </c>
      <c r="E440">
        <f>IF(ISNUMBER(K440),IF('Lab test'!P431&gt;0,'Lab test'!P431,NA()),NA())</f>
        <v>0.32990316162183381</v>
      </c>
      <c r="F440">
        <f>IF(ISNUMBER(K440),IF('Lab test'!AJ431&gt;0,'Lab test'!AJ431,NA()),NA())</f>
        <v>6.6489361702127658E-2</v>
      </c>
      <c r="G440">
        <f>IF('Lab test'!V431&gt;0,'Lab test'!V431,NA())</f>
        <v>113763.49533727797</v>
      </c>
      <c r="H440">
        <f>IF(MAX('Lab test'!W431,'Lab test'!X431)&gt;0,MAX('Lab test'!W431,'Lab test'!X431),NA())</f>
        <v>186.15844691554577</v>
      </c>
      <c r="I440">
        <f>IF('Lab test'!AU431&gt;0,'Lab test'!AU431,NA())</f>
        <v>0.49007988329055813</v>
      </c>
      <c r="J440">
        <f>IF('Lab test'!AT431&gt;0,'Lab test'!AT431,NA())</f>
        <v>0.38922963123581278</v>
      </c>
      <c r="K440">
        <f t="shared" si="186"/>
        <v>1</v>
      </c>
      <c r="L440" t="str">
        <f>'Lab test'!AC431</f>
        <v>LTWb</v>
      </c>
      <c r="X440" t="e">
        <v>#N/A</v>
      </c>
      <c r="Z440" t="e">
        <f t="shared" si="176"/>
        <v>#N/A</v>
      </c>
      <c r="AB440" t="e">
        <f t="shared" si="188"/>
        <v>#N/A</v>
      </c>
      <c r="AC440" t="e">
        <f t="shared" si="177"/>
        <v>#N/A</v>
      </c>
      <c r="AE440" t="e">
        <v>#N/A</v>
      </c>
      <c r="AF440" t="e">
        <v>#N/A</v>
      </c>
      <c r="AP440" t="e">
        <v>#N/A</v>
      </c>
      <c r="AR440" t="e">
        <f t="shared" si="178"/>
        <v>#N/A</v>
      </c>
      <c r="AT440" t="e">
        <f t="shared" si="179"/>
        <v>#N/A</v>
      </c>
      <c r="AU440" t="e">
        <f t="shared" si="180"/>
        <v>#N/A</v>
      </c>
      <c r="AW440" t="e">
        <v>#N/A</v>
      </c>
      <c r="AX440" t="e">
        <v>#N/A</v>
      </c>
      <c r="BG440" t="e">
        <v>#N/A</v>
      </c>
      <c r="BI440" t="e">
        <f t="shared" si="181"/>
        <v>#N/A</v>
      </c>
      <c r="BK440" t="e">
        <f t="shared" si="182"/>
        <v>#N/A</v>
      </c>
      <c r="BL440" t="e">
        <f t="shared" si="183"/>
        <v>#N/A</v>
      </c>
      <c r="BN440" t="e">
        <v>#N/A</v>
      </c>
      <c r="BO440" t="e">
        <v>#N/A</v>
      </c>
      <c r="BX440" t="e">
        <v>#N/A</v>
      </c>
      <c r="BZ440" t="e">
        <f t="shared" si="184"/>
        <v>#N/A</v>
      </c>
      <c r="CB440" t="e">
        <f t="shared" si="187"/>
        <v>#N/A</v>
      </c>
      <c r="CC440" t="e">
        <f t="shared" si="185"/>
        <v>#N/A</v>
      </c>
      <c r="CE440" t="e">
        <v>#N/A</v>
      </c>
      <c r="CF440" t="e">
        <v>#N/A</v>
      </c>
    </row>
    <row r="441" spans="2:84">
      <c r="B441">
        <v>429</v>
      </c>
      <c r="C441">
        <f>IF(ISNUMBER(K441),IF('Lab test'!N432&gt;0,'Lab test'!N432,NA()),NA())</f>
        <v>47.625</v>
      </c>
      <c r="D441">
        <f>IF(ISNUMBER(K441),IF('Lab test'!Q432&gt;0,'Lab test'!Q432,NA()),NA())</f>
        <v>635.59322033898309</v>
      </c>
      <c r="E441">
        <f>IF(ISNUMBER(K441),IF('Lab test'!P432&gt;0,'Lab test'!P432,NA()),NA())</f>
        <v>0.11243780758630441</v>
      </c>
      <c r="F441">
        <f>IF(ISNUMBER(K441),IF('Lab test'!AJ432&gt;0,'Lab test'!AJ432,NA()),NA())</f>
        <v>3.3333333333333333E-2</v>
      </c>
      <c r="G441">
        <f>IF('Lab test'!V432&gt;0,'Lab test'!V432,NA())</f>
        <v>210979.57317095189</v>
      </c>
      <c r="H441">
        <f>IF(MAX('Lab test'!W432,'Lab test'!X432)&gt;0,MAX('Lab test'!W432,'Lab test'!X432),NA())</f>
        <v>335.08520444798239</v>
      </c>
      <c r="I441">
        <f>IF('Lab test'!AU432&gt;0,'Lab test'!AU432,NA())</f>
        <v>0.16997725164603367</v>
      </c>
      <c r="J441">
        <f>IF('Lab test'!AT432&gt;0,'Lab test'!AT432,NA())</f>
        <v>0.2835085920793407</v>
      </c>
      <c r="K441">
        <f t="shared" si="186"/>
        <v>1</v>
      </c>
      <c r="L441" t="str">
        <f>'Lab test'!AC432</f>
        <v>LTWb</v>
      </c>
      <c r="X441" t="e">
        <v>#N/A</v>
      </c>
      <c r="Z441" t="e">
        <f t="shared" si="176"/>
        <v>#N/A</v>
      </c>
      <c r="AB441" t="e">
        <f t="shared" si="188"/>
        <v>#N/A</v>
      </c>
      <c r="AC441" t="e">
        <f t="shared" si="177"/>
        <v>#N/A</v>
      </c>
      <c r="AE441" t="e">
        <v>#N/A</v>
      </c>
      <c r="AF441" t="e">
        <v>#N/A</v>
      </c>
      <c r="AP441" t="e">
        <v>#N/A</v>
      </c>
      <c r="AR441" t="e">
        <f t="shared" si="178"/>
        <v>#N/A</v>
      </c>
      <c r="AT441" t="e">
        <f t="shared" si="179"/>
        <v>#N/A</v>
      </c>
      <c r="AU441" t="e">
        <f t="shared" si="180"/>
        <v>#N/A</v>
      </c>
      <c r="AW441" t="e">
        <v>#N/A</v>
      </c>
      <c r="AX441" t="e">
        <v>#N/A</v>
      </c>
      <c r="BG441" t="e">
        <v>#N/A</v>
      </c>
      <c r="BI441" t="e">
        <f t="shared" si="181"/>
        <v>#N/A</v>
      </c>
      <c r="BK441" t="e">
        <f t="shared" si="182"/>
        <v>#N/A</v>
      </c>
      <c r="BL441" t="e">
        <f t="shared" si="183"/>
        <v>#N/A</v>
      </c>
      <c r="BN441" t="e">
        <v>#N/A</v>
      </c>
      <c r="BO441" t="e">
        <v>#N/A</v>
      </c>
      <c r="BX441" t="e">
        <v>#N/A</v>
      </c>
      <c r="BZ441" t="e">
        <f t="shared" si="184"/>
        <v>#N/A</v>
      </c>
      <c r="CB441" t="e">
        <f t="shared" si="187"/>
        <v>#N/A</v>
      </c>
      <c r="CC441" t="e">
        <f t="shared" si="185"/>
        <v>#N/A</v>
      </c>
      <c r="CE441" t="e">
        <v>#N/A</v>
      </c>
      <c r="CF441" t="e">
        <v>#N/A</v>
      </c>
    </row>
    <row r="442" spans="2:84">
      <c r="B442">
        <v>430</v>
      </c>
      <c r="C442">
        <f>IF(ISNUMBER(K442),IF('Lab test'!N433&gt;0,'Lab test'!N433,NA()),NA())</f>
        <v>47.625</v>
      </c>
      <c r="D442">
        <f>IF(ISNUMBER(K442),IF('Lab test'!Q433&gt;0,'Lab test'!Q433,NA()),NA())</f>
        <v>635.59322033898309</v>
      </c>
      <c r="E442">
        <f>IF(ISNUMBER(K442),IF('Lab test'!P433&gt;0,'Lab test'!P433,NA()),NA())</f>
        <v>0.11243780758630441</v>
      </c>
      <c r="F442">
        <f>IF(ISNUMBER(K442),IF('Lab test'!AJ433&gt;0,'Lab test'!AJ433,NA()),NA())</f>
        <v>3.3333333333333333E-2</v>
      </c>
      <c r="G442">
        <f>IF('Lab test'!V433&gt;0,'Lab test'!V433,NA())</f>
        <v>210979.57317095189</v>
      </c>
      <c r="H442">
        <f>IF(MAX('Lab test'!W433,'Lab test'!X433)&gt;0,MAX('Lab test'!W433,'Lab test'!X433),NA())</f>
        <v>335.08520444798239</v>
      </c>
      <c r="I442">
        <f>IF('Lab test'!AU433&gt;0,'Lab test'!AU433,NA())</f>
        <v>0.16997725164603367</v>
      </c>
      <c r="J442">
        <f>IF('Lab test'!AT433&gt;0,'Lab test'!AT433,NA())</f>
        <v>0.2835085920793407</v>
      </c>
      <c r="K442">
        <f t="shared" si="186"/>
        <v>1</v>
      </c>
      <c r="L442" t="str">
        <f>'Lab test'!AC433</f>
        <v>LTWb</v>
      </c>
      <c r="X442" t="e">
        <v>#N/A</v>
      </c>
      <c r="Z442" t="e">
        <f t="shared" si="176"/>
        <v>#N/A</v>
      </c>
      <c r="AB442" t="e">
        <f t="shared" si="188"/>
        <v>#N/A</v>
      </c>
      <c r="AC442" t="e">
        <f t="shared" si="177"/>
        <v>#N/A</v>
      </c>
      <c r="AE442" t="e">
        <v>#N/A</v>
      </c>
      <c r="AF442" t="e">
        <v>#N/A</v>
      </c>
      <c r="AP442" t="e">
        <v>#N/A</v>
      </c>
      <c r="AR442" t="e">
        <f t="shared" si="178"/>
        <v>#N/A</v>
      </c>
      <c r="AT442" t="e">
        <f t="shared" si="179"/>
        <v>#N/A</v>
      </c>
      <c r="AU442" t="e">
        <f t="shared" si="180"/>
        <v>#N/A</v>
      </c>
      <c r="AW442" t="e">
        <v>#N/A</v>
      </c>
      <c r="AX442" t="e">
        <v>#N/A</v>
      </c>
      <c r="BG442" t="e">
        <v>#N/A</v>
      </c>
      <c r="BI442" t="e">
        <f t="shared" si="181"/>
        <v>#N/A</v>
      </c>
      <c r="BK442" t="e">
        <f t="shared" si="182"/>
        <v>#N/A</v>
      </c>
      <c r="BL442" t="e">
        <f t="shared" si="183"/>
        <v>#N/A</v>
      </c>
      <c r="BN442" t="e">
        <v>#N/A</v>
      </c>
      <c r="BO442" t="e">
        <v>#N/A</v>
      </c>
      <c r="BX442" t="e">
        <v>#N/A</v>
      </c>
      <c r="BZ442" t="e">
        <f t="shared" si="184"/>
        <v>#N/A</v>
      </c>
      <c r="CB442" t="e">
        <f t="shared" si="187"/>
        <v>#N/A</v>
      </c>
      <c r="CC442" t="e">
        <f t="shared" si="185"/>
        <v>#N/A</v>
      </c>
      <c r="CE442" t="e">
        <v>#N/A</v>
      </c>
      <c r="CF442" t="e">
        <v>#N/A</v>
      </c>
    </row>
    <row r="443" spans="2:84">
      <c r="B443">
        <v>431</v>
      </c>
      <c r="C443">
        <f>IF(ISNUMBER(K443),IF('Lab test'!N434&gt;0,'Lab test'!N434,NA()),NA())</f>
        <v>23.876000000000001</v>
      </c>
      <c r="D443">
        <f>IF(ISNUMBER(K443),IF('Lab test'!Q434&gt;0,'Lab test'!Q434,NA()),NA())</f>
        <v>460.78431372549016</v>
      </c>
      <c r="E443">
        <f>IF(ISNUMBER(K443),IF('Lab test'!P434&gt;0,'Lab test'!P434,NA()),NA())</f>
        <v>0.56076107754703686</v>
      </c>
      <c r="F443">
        <f>IF(ISNUMBER(K443),IF('Lab test'!AJ434&gt;0,'Lab test'!AJ434,NA()),NA())</f>
        <v>6.6489361702127658E-2</v>
      </c>
      <c r="G443">
        <f>IF('Lab test'!V434&gt;0,'Lab test'!V434,NA())</f>
        <v>186572.13235313585</v>
      </c>
      <c r="H443">
        <f>IF(MAX('Lab test'!W434,'Lab test'!X434)&gt;0,MAX('Lab test'!W434,'Lab test'!X434),NA())</f>
        <v>367.49056372587364</v>
      </c>
      <c r="I443">
        <f>IF('Lab test'!AU434&gt;0,'Lab test'!AU434,NA())</f>
        <v>0.19471223704293225</v>
      </c>
      <c r="J443">
        <f>IF('Lab test'!AT434&gt;0,'Lab test'!AT434,NA())</f>
        <v>0.29199248411835044</v>
      </c>
      <c r="K443">
        <f t="shared" si="186"/>
        <v>1</v>
      </c>
      <c r="L443" t="str">
        <f>'Lab test'!AC434</f>
        <v>LTWb</v>
      </c>
      <c r="X443" t="e">
        <v>#N/A</v>
      </c>
      <c r="Z443" t="e">
        <f t="shared" si="176"/>
        <v>#N/A</v>
      </c>
      <c r="AB443" t="e">
        <f t="shared" si="188"/>
        <v>#N/A</v>
      </c>
      <c r="AC443" t="e">
        <f t="shared" si="177"/>
        <v>#N/A</v>
      </c>
      <c r="AE443" t="e">
        <v>#N/A</v>
      </c>
      <c r="AF443" t="e">
        <v>#N/A</v>
      </c>
      <c r="AP443" t="e">
        <v>#N/A</v>
      </c>
      <c r="AR443" t="e">
        <f t="shared" si="178"/>
        <v>#N/A</v>
      </c>
      <c r="AT443" t="e">
        <f t="shared" si="179"/>
        <v>#N/A</v>
      </c>
      <c r="AU443" t="e">
        <f t="shared" si="180"/>
        <v>#N/A</v>
      </c>
      <c r="AW443" t="e">
        <v>#N/A</v>
      </c>
      <c r="AX443" t="e">
        <v>#N/A</v>
      </c>
      <c r="BG443" t="e">
        <v>#N/A</v>
      </c>
      <c r="BI443" t="e">
        <f t="shared" si="181"/>
        <v>#N/A</v>
      </c>
      <c r="BK443" t="e">
        <f t="shared" si="182"/>
        <v>#N/A</v>
      </c>
      <c r="BL443" t="e">
        <f t="shared" si="183"/>
        <v>#N/A</v>
      </c>
      <c r="BN443" t="e">
        <v>#N/A</v>
      </c>
      <c r="BO443" t="e">
        <v>#N/A</v>
      </c>
      <c r="BX443" t="e">
        <v>#N/A</v>
      </c>
      <c r="BZ443" t="e">
        <f t="shared" si="184"/>
        <v>#N/A</v>
      </c>
      <c r="CB443" t="e">
        <f t="shared" si="187"/>
        <v>#N/A</v>
      </c>
      <c r="CC443" t="e">
        <f t="shared" si="185"/>
        <v>#N/A</v>
      </c>
      <c r="CE443" t="e">
        <v>#N/A</v>
      </c>
      <c r="CF443" t="e">
        <v>#N/A</v>
      </c>
    </row>
    <row r="444" spans="2:84">
      <c r="B444">
        <v>432</v>
      </c>
      <c r="C444">
        <f>IF(ISNUMBER(K444),IF('Lab test'!N435&gt;0,'Lab test'!N435,NA()),NA())</f>
        <v>23.876000000000001</v>
      </c>
      <c r="D444">
        <f>IF(ISNUMBER(K444),IF('Lab test'!Q435&gt;0,'Lab test'!Q435,NA()),NA())</f>
        <v>460.78431372549016</v>
      </c>
      <c r="E444">
        <f>IF(ISNUMBER(K444),IF('Lab test'!P435&gt;0,'Lab test'!P435,NA()),NA())</f>
        <v>0.56076107754703686</v>
      </c>
      <c r="F444">
        <f>IF(ISNUMBER(K444),IF('Lab test'!AJ435&gt;0,'Lab test'!AJ435,NA()),NA())</f>
        <v>6.6489361702127658E-2</v>
      </c>
      <c r="G444">
        <f>IF('Lab test'!V435&gt;0,'Lab test'!V435,NA())</f>
        <v>186572.13235313585</v>
      </c>
      <c r="H444">
        <f>IF(MAX('Lab test'!W435,'Lab test'!X435)&gt;0,MAX('Lab test'!W435,'Lab test'!X435),NA())</f>
        <v>367.49056372587364</v>
      </c>
      <c r="I444">
        <f>IF('Lab test'!AU435&gt;0,'Lab test'!AU435,NA())</f>
        <v>0.20250072652464954</v>
      </c>
      <c r="J444">
        <f>IF('Lab test'!AT435&gt;0,'Lab test'!AT435,NA())</f>
        <v>0.30367218348308445</v>
      </c>
      <c r="K444">
        <f t="shared" si="186"/>
        <v>1</v>
      </c>
      <c r="L444" t="str">
        <f>'Lab test'!AC435</f>
        <v>LTWb</v>
      </c>
      <c r="X444" t="e">
        <v>#N/A</v>
      </c>
      <c r="Z444" t="e">
        <f t="shared" si="176"/>
        <v>#N/A</v>
      </c>
      <c r="AB444" t="e">
        <f t="shared" si="188"/>
        <v>#N/A</v>
      </c>
      <c r="AC444" t="e">
        <f t="shared" si="177"/>
        <v>#N/A</v>
      </c>
      <c r="AE444" t="e">
        <v>#N/A</v>
      </c>
      <c r="AF444" t="e">
        <v>#N/A</v>
      </c>
      <c r="AP444" t="e">
        <v>#N/A</v>
      </c>
      <c r="AR444" t="e">
        <f t="shared" si="178"/>
        <v>#N/A</v>
      </c>
      <c r="AT444" t="e">
        <f t="shared" si="179"/>
        <v>#N/A</v>
      </c>
      <c r="AU444" t="e">
        <f t="shared" si="180"/>
        <v>#N/A</v>
      </c>
      <c r="AW444" t="e">
        <v>#N/A</v>
      </c>
      <c r="AX444" t="e">
        <v>#N/A</v>
      </c>
      <c r="BG444" t="e">
        <v>#N/A</v>
      </c>
      <c r="BI444" t="e">
        <f t="shared" si="181"/>
        <v>#N/A</v>
      </c>
      <c r="BK444" t="e">
        <f t="shared" si="182"/>
        <v>#N/A</v>
      </c>
      <c r="BL444" t="e">
        <f t="shared" si="183"/>
        <v>#N/A</v>
      </c>
      <c r="BN444" t="e">
        <v>#N/A</v>
      </c>
      <c r="BO444" t="e">
        <v>#N/A</v>
      </c>
      <c r="BX444" t="e">
        <v>#N/A</v>
      </c>
      <c r="BZ444" t="e">
        <f t="shared" si="184"/>
        <v>#N/A</v>
      </c>
      <c r="CB444" t="e">
        <f t="shared" si="187"/>
        <v>#N/A</v>
      </c>
      <c r="CC444" t="e">
        <f t="shared" si="185"/>
        <v>#N/A</v>
      </c>
      <c r="CE444" t="e">
        <v>#N/A</v>
      </c>
      <c r="CF444" t="e">
        <v>#N/A</v>
      </c>
    </row>
    <row r="445" spans="2:84">
      <c r="B445">
        <v>433</v>
      </c>
      <c r="C445">
        <f>IF(ISNUMBER(K445),IF('Lab test'!N436&gt;0,'Lab test'!N436,NA()),NA())</f>
        <v>23.876000000000001</v>
      </c>
      <c r="D445">
        <f>IF(ISNUMBER(K445),IF('Lab test'!Q436&gt;0,'Lab test'!Q436,NA()),NA())</f>
        <v>460.78431372549016</v>
      </c>
      <c r="E445">
        <f>IF(ISNUMBER(K445),IF('Lab test'!P436&gt;0,'Lab test'!P436,NA()),NA())</f>
        <v>0.56076107754703686</v>
      </c>
      <c r="F445">
        <f>IF(ISNUMBER(K445),IF('Lab test'!AJ436&gt;0,'Lab test'!AJ436,NA()),NA())</f>
        <v>6.6489361702127658E-2</v>
      </c>
      <c r="G445">
        <f>IF('Lab test'!V436&gt;0,'Lab test'!V436,NA())</f>
        <v>186572.13235313585</v>
      </c>
      <c r="H445">
        <f>IF(MAX('Lab test'!W436,'Lab test'!X436)&gt;0,MAX('Lab test'!W436,'Lab test'!X436),NA())</f>
        <v>367.49056372587364</v>
      </c>
      <c r="I445">
        <f>IF('Lab test'!AU436&gt;0,'Lab test'!AU436,NA())</f>
        <v>0.21807770548808414</v>
      </c>
      <c r="J445">
        <f>IF('Lab test'!AT436&gt;0,'Lab test'!AT436,NA())</f>
        <v>0.32703158221255252</v>
      </c>
      <c r="K445">
        <f t="shared" si="186"/>
        <v>1</v>
      </c>
      <c r="L445" t="str">
        <f>'Lab test'!AC436</f>
        <v>LTWb</v>
      </c>
      <c r="X445" t="e">
        <v>#N/A</v>
      </c>
      <c r="Z445" t="e">
        <f t="shared" si="176"/>
        <v>#N/A</v>
      </c>
      <c r="AB445" t="e">
        <f t="shared" si="188"/>
        <v>#N/A</v>
      </c>
      <c r="AC445" t="e">
        <f t="shared" si="177"/>
        <v>#N/A</v>
      </c>
      <c r="AE445" t="e">
        <v>#N/A</v>
      </c>
      <c r="AF445" t="e">
        <v>#N/A</v>
      </c>
      <c r="AP445" t="e">
        <v>#N/A</v>
      </c>
      <c r="AR445" t="e">
        <f t="shared" si="178"/>
        <v>#N/A</v>
      </c>
      <c r="AT445" t="e">
        <f t="shared" si="179"/>
        <v>#N/A</v>
      </c>
      <c r="AU445" t="e">
        <f t="shared" si="180"/>
        <v>#N/A</v>
      </c>
      <c r="AW445" t="e">
        <v>#N/A</v>
      </c>
      <c r="AX445" t="e">
        <v>#N/A</v>
      </c>
      <c r="BG445" t="e">
        <v>#N/A</v>
      </c>
      <c r="BI445" t="e">
        <f t="shared" si="181"/>
        <v>#N/A</v>
      </c>
      <c r="BK445" t="e">
        <f t="shared" si="182"/>
        <v>#N/A</v>
      </c>
      <c r="BL445" t="e">
        <f t="shared" si="183"/>
        <v>#N/A</v>
      </c>
      <c r="BN445" t="e">
        <v>#N/A</v>
      </c>
      <c r="BO445" t="e">
        <v>#N/A</v>
      </c>
      <c r="BX445" t="e">
        <v>#N/A</v>
      </c>
      <c r="BZ445" t="e">
        <f t="shared" si="184"/>
        <v>#N/A</v>
      </c>
      <c r="CB445" t="e">
        <f t="shared" si="187"/>
        <v>#N/A</v>
      </c>
      <c r="CC445" t="e">
        <f t="shared" si="185"/>
        <v>#N/A</v>
      </c>
      <c r="CE445" t="e">
        <v>#N/A</v>
      </c>
      <c r="CF445" t="e">
        <v>#N/A</v>
      </c>
    </row>
    <row r="446" spans="2:84">
      <c r="B446">
        <v>434</v>
      </c>
      <c r="C446">
        <f>IF(ISNUMBER(K446),IF('Lab test'!N437&gt;0,'Lab test'!N437,NA()),NA())</f>
        <v>23.876000000000001</v>
      </c>
      <c r="D446">
        <f>IF(ISNUMBER(K446),IF('Lab test'!Q437&gt;0,'Lab test'!Q437,NA()),NA())</f>
        <v>318.64406779661022</v>
      </c>
      <c r="E446">
        <f>IF(ISNUMBER(K446),IF('Lab test'!P437&gt;0,'Lab test'!P437,NA()),NA())</f>
        <v>0.31675428338749489</v>
      </c>
      <c r="F446">
        <f>IF(ISNUMBER(K446),IF('Lab test'!AJ437&gt;0,'Lab test'!AJ437,NA()),NA())</f>
        <v>6.6489361702127658E-2</v>
      </c>
      <c r="G446">
        <f>IF('Lab test'!V437&gt;0,'Lab test'!V437,NA())</f>
        <v>210979.57317095189</v>
      </c>
      <c r="H446">
        <f>IF(MAX('Lab test'!W437,'Lab test'!X437)&gt;0,MAX('Lab test'!W437,'Lab test'!X437),NA())</f>
        <v>335.08520444798239</v>
      </c>
      <c r="I446">
        <f>IF('Lab test'!AU437&gt;0,'Lab test'!AU437,NA())</f>
        <v>0.57886648361551429</v>
      </c>
      <c r="J446">
        <f>IF('Lab test'!AT437&gt;0,'Lab test'!AT437,NA())</f>
        <v>0.48403905964765487</v>
      </c>
      <c r="K446">
        <f t="shared" si="186"/>
        <v>1</v>
      </c>
      <c r="L446" t="str">
        <f>'Lab test'!AC437</f>
        <v>LTWb</v>
      </c>
      <c r="X446" t="e">
        <v>#N/A</v>
      </c>
      <c r="Z446" t="e">
        <f t="shared" si="176"/>
        <v>#N/A</v>
      </c>
      <c r="AB446" t="e">
        <f t="shared" si="188"/>
        <v>#N/A</v>
      </c>
      <c r="AC446" t="e">
        <f t="shared" si="177"/>
        <v>#N/A</v>
      </c>
      <c r="AE446" t="e">
        <v>#N/A</v>
      </c>
      <c r="AF446" t="e">
        <v>#N/A</v>
      </c>
      <c r="AP446" t="e">
        <v>#N/A</v>
      </c>
      <c r="AR446" t="e">
        <f t="shared" si="178"/>
        <v>#N/A</v>
      </c>
      <c r="AT446" t="e">
        <f t="shared" si="179"/>
        <v>#N/A</v>
      </c>
      <c r="AU446" t="e">
        <f t="shared" si="180"/>
        <v>#N/A</v>
      </c>
      <c r="AW446" t="e">
        <v>#N/A</v>
      </c>
      <c r="AX446" t="e">
        <v>#N/A</v>
      </c>
      <c r="BG446" t="e">
        <v>#N/A</v>
      </c>
      <c r="BI446" t="e">
        <f t="shared" si="181"/>
        <v>#N/A</v>
      </c>
      <c r="BK446" t="e">
        <f t="shared" si="182"/>
        <v>#N/A</v>
      </c>
      <c r="BL446" t="e">
        <f t="shared" si="183"/>
        <v>#N/A</v>
      </c>
      <c r="BN446" t="e">
        <v>#N/A</v>
      </c>
      <c r="BO446" t="e">
        <v>#N/A</v>
      </c>
      <c r="BX446" t="e">
        <v>#N/A</v>
      </c>
      <c r="BZ446" t="e">
        <f t="shared" si="184"/>
        <v>#N/A</v>
      </c>
      <c r="CB446" t="e">
        <f t="shared" si="187"/>
        <v>#N/A</v>
      </c>
      <c r="CC446" t="e">
        <f t="shared" si="185"/>
        <v>#N/A</v>
      </c>
      <c r="CE446" t="e">
        <v>#N/A</v>
      </c>
      <c r="CF446" t="e">
        <v>#N/A</v>
      </c>
    </row>
    <row r="447" spans="2:84">
      <c r="B447">
        <v>435</v>
      </c>
      <c r="C447">
        <f>IF(ISNUMBER(K447),IF('Lab test'!N438&gt;0,'Lab test'!N438,NA()),NA())</f>
        <v>23.876000000000001</v>
      </c>
      <c r="D447">
        <f>IF(ISNUMBER(K447),IF('Lab test'!Q438&gt;0,'Lab test'!Q438,NA()),NA())</f>
        <v>318.64406779661022</v>
      </c>
      <c r="E447">
        <f>IF(ISNUMBER(K447),IF('Lab test'!P438&gt;0,'Lab test'!P438,NA()),NA())</f>
        <v>0.31675428338749489</v>
      </c>
      <c r="F447">
        <f>IF(ISNUMBER(K447),IF('Lab test'!AJ438&gt;0,'Lab test'!AJ438,NA()),NA())</f>
        <v>6.6489361702127658E-2</v>
      </c>
      <c r="G447">
        <f>IF('Lab test'!V438&gt;0,'Lab test'!V438,NA())</f>
        <v>210979.57317095189</v>
      </c>
      <c r="H447">
        <f>IF(MAX('Lab test'!W438,'Lab test'!X438)&gt;0,MAX('Lab test'!W438,'Lab test'!X438),NA())</f>
        <v>335.08520444798239</v>
      </c>
      <c r="I447">
        <f>IF('Lab test'!AU438&gt;0,'Lab test'!AU438,NA())</f>
        <v>0.61430728873483142</v>
      </c>
      <c r="J447">
        <f>IF('Lab test'!AT438&gt;0,'Lab test'!AT438,NA())</f>
        <v>0.51367410411587855</v>
      </c>
      <c r="K447">
        <f t="shared" si="186"/>
        <v>1</v>
      </c>
      <c r="L447" t="str">
        <f>'Lab test'!AC438</f>
        <v>LTWb</v>
      </c>
      <c r="X447" t="e">
        <v>#N/A</v>
      </c>
      <c r="Z447" t="e">
        <f t="shared" si="176"/>
        <v>#N/A</v>
      </c>
      <c r="AB447" t="e">
        <f t="shared" si="188"/>
        <v>#N/A</v>
      </c>
      <c r="AC447" t="e">
        <f t="shared" si="177"/>
        <v>#N/A</v>
      </c>
      <c r="AE447" t="e">
        <v>#N/A</v>
      </c>
      <c r="AF447" t="e">
        <v>#N/A</v>
      </c>
      <c r="AP447" t="e">
        <v>#N/A</v>
      </c>
      <c r="AR447" t="e">
        <f t="shared" si="178"/>
        <v>#N/A</v>
      </c>
      <c r="AT447" t="e">
        <f t="shared" si="179"/>
        <v>#N/A</v>
      </c>
      <c r="AU447" t="e">
        <f t="shared" si="180"/>
        <v>#N/A</v>
      </c>
      <c r="AW447" t="e">
        <v>#N/A</v>
      </c>
      <c r="AX447" t="e">
        <v>#N/A</v>
      </c>
      <c r="BG447" t="e">
        <v>#N/A</v>
      </c>
      <c r="BI447" t="e">
        <f t="shared" si="181"/>
        <v>#N/A</v>
      </c>
      <c r="BK447" t="e">
        <f t="shared" si="182"/>
        <v>#N/A</v>
      </c>
      <c r="BL447" t="e">
        <f t="shared" si="183"/>
        <v>#N/A</v>
      </c>
      <c r="BN447" t="e">
        <v>#N/A</v>
      </c>
      <c r="BO447" t="e">
        <v>#N/A</v>
      </c>
      <c r="BX447" t="e">
        <v>#N/A</v>
      </c>
      <c r="BZ447" t="e">
        <f t="shared" si="184"/>
        <v>#N/A</v>
      </c>
      <c r="CB447" t="e">
        <f t="shared" si="187"/>
        <v>#N/A</v>
      </c>
      <c r="CC447" t="e">
        <f t="shared" si="185"/>
        <v>#N/A</v>
      </c>
      <c r="CE447" t="e">
        <v>#N/A</v>
      </c>
      <c r="CF447" t="e">
        <v>#N/A</v>
      </c>
    </row>
    <row r="448" spans="2:84">
      <c r="B448">
        <v>436</v>
      </c>
      <c r="C448">
        <f>IF(ISNUMBER(K448),IF('Lab test'!N439&gt;0,'Lab test'!N439,NA()),NA())</f>
        <v>47.625</v>
      </c>
      <c r="D448">
        <f>IF(ISNUMBER(K448),IF('Lab test'!Q439&gt;0,'Lab test'!Q439,NA()),NA())</f>
        <v>919.11764705882342</v>
      </c>
      <c r="E448">
        <f>IF(ISNUMBER(K448),IF('Lab test'!P439&gt;0,'Lab test'!P439,NA()),NA())</f>
        <v>2.3221330883478671E-2</v>
      </c>
      <c r="F448">
        <f>IF(ISNUMBER(K448),IF('Lab test'!AJ439&gt;0,'Lab test'!AJ439,NA()),NA())</f>
        <v>3.3333333333333333E-2</v>
      </c>
      <c r="G448">
        <f>IF('Lab test'!V439&gt;0,'Lab test'!V439,NA())</f>
        <v>216495.37900548655</v>
      </c>
      <c r="H448">
        <f>IF(MAX('Lab test'!W439,'Lab test'!X439)&gt;0,MAX('Lab test'!W439,'Lab test'!X439),NA())</f>
        <v>397.82749581581447</v>
      </c>
      <c r="I448">
        <f>IF('Lab test'!AU439&gt;0,'Lab test'!AU439,NA())</f>
        <v>9.5221527074229373E-2</v>
      </c>
      <c r="J448">
        <f>IF('Lab test'!AT439&gt;0,'Lab test'!AT439,NA())</f>
        <v>0.26572580735592816</v>
      </c>
      <c r="K448">
        <f t="shared" si="186"/>
        <v>1</v>
      </c>
      <c r="L448" t="str">
        <f>'Lab test'!AC439</f>
        <v>LTWb</v>
      </c>
      <c r="X448" t="e">
        <v>#N/A</v>
      </c>
      <c r="Z448" t="e">
        <f t="shared" si="176"/>
        <v>#N/A</v>
      </c>
      <c r="AB448" t="e">
        <f t="shared" si="188"/>
        <v>#N/A</v>
      </c>
      <c r="AC448" t="e">
        <f t="shared" si="177"/>
        <v>#N/A</v>
      </c>
      <c r="AE448" t="e">
        <v>#N/A</v>
      </c>
      <c r="AF448" t="e">
        <v>#N/A</v>
      </c>
      <c r="AP448" t="e">
        <v>#N/A</v>
      </c>
      <c r="AR448" t="e">
        <f t="shared" si="178"/>
        <v>#N/A</v>
      </c>
      <c r="AT448" t="e">
        <f t="shared" si="179"/>
        <v>#N/A</v>
      </c>
      <c r="AU448" t="e">
        <f t="shared" si="180"/>
        <v>#N/A</v>
      </c>
      <c r="AW448" t="e">
        <v>#N/A</v>
      </c>
      <c r="AX448" t="e">
        <v>#N/A</v>
      </c>
      <c r="BG448" t="e">
        <v>#N/A</v>
      </c>
      <c r="BI448" t="e">
        <f t="shared" si="181"/>
        <v>#N/A</v>
      </c>
      <c r="BK448" t="e">
        <f t="shared" si="182"/>
        <v>#N/A</v>
      </c>
      <c r="BL448" t="e">
        <f t="shared" si="183"/>
        <v>#N/A</v>
      </c>
      <c r="BN448" t="e">
        <v>#N/A</v>
      </c>
      <c r="BO448" t="e">
        <v>#N/A</v>
      </c>
      <c r="BX448" t="e">
        <v>#N/A</v>
      </c>
      <c r="BZ448" t="e">
        <f t="shared" si="184"/>
        <v>#N/A</v>
      </c>
      <c r="CB448" t="e">
        <f t="shared" si="187"/>
        <v>#N/A</v>
      </c>
      <c r="CC448" t="e">
        <f t="shared" si="185"/>
        <v>#N/A</v>
      </c>
      <c r="CE448" t="e">
        <v>#N/A</v>
      </c>
      <c r="CF448" t="e">
        <v>#N/A</v>
      </c>
    </row>
    <row r="449" spans="2:84">
      <c r="B449">
        <v>437</v>
      </c>
      <c r="C449">
        <f>IF(ISNUMBER(K449),IF('Lab test'!N440&gt;0,'Lab test'!N440,NA()),NA())</f>
        <v>23.876000000000001</v>
      </c>
      <c r="D449">
        <f>IF(ISNUMBER(K449),IF('Lab test'!Q440&gt;0,'Lab test'!Q440,NA()),NA())</f>
        <v>237.97468354430376</v>
      </c>
      <c r="E449">
        <f>IF(ISNUMBER(K449),IF('Lab test'!P440&gt;0,'Lab test'!P440,NA()),NA())</f>
        <v>0.36653042992274332</v>
      </c>
      <c r="F449">
        <f>IF(ISNUMBER(K449),IF('Lab test'!AJ440&gt;0,'Lab test'!AJ440,NA()),NA())</f>
        <v>6.6489361702127658E-2</v>
      </c>
      <c r="G449">
        <f>IF('Lab test'!V440&gt;0,'Lab test'!V440,NA())</f>
        <v>204084.81587778352</v>
      </c>
      <c r="H449">
        <f>IF(MAX('Lab test'!W440,'Lab test'!X440)&gt;0,MAX('Lab test'!W440,'Lab test'!X440),NA())</f>
        <v>248.21126255406102</v>
      </c>
      <c r="I449">
        <f>IF('Lab test'!AU440&gt;0,'Lab test'!AU440,NA())</f>
        <v>0.59554011134042495</v>
      </c>
      <c r="J449">
        <f>IF('Lab test'!AT440&gt;0,'Lab test'!AT440,NA())</f>
        <v>0.28479600243205516</v>
      </c>
      <c r="K449">
        <f t="shared" si="186"/>
        <v>1</v>
      </c>
      <c r="L449" t="str">
        <f>'Lab test'!AC440</f>
        <v>LTWb</v>
      </c>
      <c r="X449" t="e">
        <v>#N/A</v>
      </c>
      <c r="Z449" t="e">
        <f t="shared" si="176"/>
        <v>#N/A</v>
      </c>
      <c r="AB449" t="e">
        <f t="shared" si="188"/>
        <v>#N/A</v>
      </c>
      <c r="AC449" t="e">
        <f t="shared" si="177"/>
        <v>#N/A</v>
      </c>
      <c r="AE449" t="e">
        <v>#N/A</v>
      </c>
      <c r="AF449" t="e">
        <v>#N/A</v>
      </c>
      <c r="AP449" t="e">
        <v>#N/A</v>
      </c>
      <c r="AR449" t="e">
        <f t="shared" si="178"/>
        <v>#N/A</v>
      </c>
      <c r="AT449" t="e">
        <f t="shared" si="179"/>
        <v>#N/A</v>
      </c>
      <c r="AU449" t="e">
        <f t="shared" si="180"/>
        <v>#N/A</v>
      </c>
      <c r="AW449" t="e">
        <v>#N/A</v>
      </c>
      <c r="AX449" t="e">
        <v>#N/A</v>
      </c>
      <c r="BG449" t="e">
        <v>#N/A</v>
      </c>
      <c r="BI449" t="e">
        <f t="shared" si="181"/>
        <v>#N/A</v>
      </c>
      <c r="BK449" t="e">
        <f t="shared" si="182"/>
        <v>#N/A</v>
      </c>
      <c r="BL449" t="e">
        <f t="shared" si="183"/>
        <v>#N/A</v>
      </c>
      <c r="BN449" t="e">
        <v>#N/A</v>
      </c>
      <c r="BO449" t="e">
        <v>#N/A</v>
      </c>
      <c r="BX449" t="e">
        <v>#N/A</v>
      </c>
      <c r="BZ449" t="e">
        <f t="shared" si="184"/>
        <v>#N/A</v>
      </c>
      <c r="CB449" t="e">
        <f t="shared" si="187"/>
        <v>#N/A</v>
      </c>
      <c r="CC449" t="e">
        <f t="shared" si="185"/>
        <v>#N/A</v>
      </c>
      <c r="CE449" t="e">
        <v>#N/A</v>
      </c>
      <c r="CF449" t="e">
        <v>#N/A</v>
      </c>
    </row>
    <row r="450" spans="2:84">
      <c r="B450">
        <v>438</v>
      </c>
      <c r="C450">
        <f>IF(ISNUMBER(K450),IF('Lab test'!N441&gt;0,'Lab test'!N441,NA()),NA())</f>
        <v>23.876000000000001</v>
      </c>
      <c r="D450">
        <f>IF(ISNUMBER(K450),IF('Lab test'!Q441&gt;0,'Lab test'!Q441,NA()),NA())</f>
        <v>237.97468354430376</v>
      </c>
      <c r="E450">
        <f>IF(ISNUMBER(K450),IF('Lab test'!P441&gt;0,'Lab test'!P441,NA()),NA())</f>
        <v>0.36653042992274332</v>
      </c>
      <c r="F450">
        <f>IF(ISNUMBER(K450),IF('Lab test'!AJ441&gt;0,'Lab test'!AJ441,NA()),NA())</f>
        <v>6.6489361702127658E-2</v>
      </c>
      <c r="G450">
        <f>IF('Lab test'!V441&gt;0,'Lab test'!V441,NA())</f>
        <v>204084.81587778352</v>
      </c>
      <c r="H450">
        <f>IF(MAX('Lab test'!W441,'Lab test'!X441)&gt;0,MAX('Lab test'!W441,'Lab test'!X441),NA())</f>
        <v>248.21126255406102</v>
      </c>
      <c r="I450">
        <f>IF('Lab test'!AU441&gt;0,'Lab test'!AU441,NA())</f>
        <v>0.73013217650336104</v>
      </c>
      <c r="J450">
        <f>IF('Lab test'!AT441&gt;0,'Lab test'!AT441,NA())</f>
        <v>0.34915989898169963</v>
      </c>
      <c r="K450">
        <f t="shared" si="186"/>
        <v>1</v>
      </c>
      <c r="L450" t="str">
        <f>'Lab test'!AC441</f>
        <v>LTWb</v>
      </c>
      <c r="X450" t="e">
        <v>#N/A</v>
      </c>
      <c r="Z450" t="e">
        <f t="shared" si="176"/>
        <v>#N/A</v>
      </c>
      <c r="AB450" t="e">
        <f t="shared" si="188"/>
        <v>#N/A</v>
      </c>
      <c r="AC450" t="e">
        <f t="shared" si="177"/>
        <v>#N/A</v>
      </c>
      <c r="AE450" t="e">
        <v>#N/A</v>
      </c>
      <c r="AF450" t="e">
        <v>#N/A</v>
      </c>
      <c r="AP450" t="e">
        <v>#N/A</v>
      </c>
      <c r="AR450" t="e">
        <f t="shared" si="178"/>
        <v>#N/A</v>
      </c>
      <c r="AT450" t="e">
        <f t="shared" si="179"/>
        <v>#N/A</v>
      </c>
      <c r="AU450" t="e">
        <f t="shared" si="180"/>
        <v>#N/A</v>
      </c>
      <c r="AW450" t="e">
        <v>#N/A</v>
      </c>
      <c r="AX450" t="e">
        <v>#N/A</v>
      </c>
      <c r="BG450" t="e">
        <v>#N/A</v>
      </c>
      <c r="BI450" t="e">
        <f t="shared" si="181"/>
        <v>#N/A</v>
      </c>
      <c r="BK450" t="e">
        <f t="shared" si="182"/>
        <v>#N/A</v>
      </c>
      <c r="BL450" t="e">
        <f t="shared" si="183"/>
        <v>#N/A</v>
      </c>
      <c r="BN450" t="e">
        <v>#N/A</v>
      </c>
      <c r="BO450" t="e">
        <v>#N/A</v>
      </c>
      <c r="BX450" t="e">
        <v>#N/A</v>
      </c>
      <c r="BZ450" t="e">
        <f t="shared" si="184"/>
        <v>#N/A</v>
      </c>
      <c r="CB450" t="e">
        <f t="shared" si="187"/>
        <v>#N/A</v>
      </c>
      <c r="CC450" t="e">
        <f t="shared" si="185"/>
        <v>#N/A</v>
      </c>
      <c r="CE450" t="e">
        <v>#N/A</v>
      </c>
      <c r="CF450" t="e">
        <v>#N/A</v>
      </c>
    </row>
    <row r="451" spans="2:84">
      <c r="B451">
        <v>439</v>
      </c>
      <c r="C451">
        <f>IF(ISNUMBER(K451),IF('Lab test'!N442&gt;0,'Lab test'!N442,NA()),NA())</f>
        <v>23.876000000000001</v>
      </c>
      <c r="D451">
        <f>IF(ISNUMBER(K451),IF('Lab test'!Q442&gt;0,'Lab test'!Q442,NA()),NA())</f>
        <v>237.97468354430376</v>
      </c>
      <c r="E451">
        <f>IF(ISNUMBER(K451),IF('Lab test'!P442&gt;0,'Lab test'!P442,NA()),NA())</f>
        <v>0.36653042992274332</v>
      </c>
      <c r="F451">
        <f>IF(ISNUMBER(K451),IF('Lab test'!AJ442&gt;0,'Lab test'!AJ442,NA()),NA())</f>
        <v>6.6489361702127658E-2</v>
      </c>
      <c r="G451">
        <f>IF('Lab test'!V442&gt;0,'Lab test'!V442,NA())</f>
        <v>204084.81587778352</v>
      </c>
      <c r="H451">
        <f>IF(MAX('Lab test'!W442,'Lab test'!X442)&gt;0,MAX('Lab test'!W442,'Lab test'!X442),NA())</f>
        <v>248.21126255406102</v>
      </c>
      <c r="I451">
        <f>IF('Lab test'!AU442&gt;0,'Lab test'!AU442,NA())</f>
        <v>0.72655893583531839</v>
      </c>
      <c r="J451">
        <f>IF('Lab test'!AT442&gt;0,'Lab test'!AT442,NA())</f>
        <v>0.34745112296710728</v>
      </c>
      <c r="K451">
        <f t="shared" si="186"/>
        <v>1</v>
      </c>
      <c r="L451" t="str">
        <f>'Lab test'!AC442</f>
        <v>LTWb</v>
      </c>
      <c r="X451" t="e">
        <v>#N/A</v>
      </c>
      <c r="Z451" t="e">
        <f t="shared" si="176"/>
        <v>#N/A</v>
      </c>
      <c r="AB451" t="e">
        <f t="shared" si="188"/>
        <v>#N/A</v>
      </c>
      <c r="AC451" t="e">
        <f t="shared" si="177"/>
        <v>#N/A</v>
      </c>
      <c r="AE451" t="e">
        <v>#N/A</v>
      </c>
      <c r="AF451" t="e">
        <v>#N/A</v>
      </c>
      <c r="AP451" t="e">
        <v>#N/A</v>
      </c>
      <c r="AR451" t="e">
        <f t="shared" si="178"/>
        <v>#N/A</v>
      </c>
      <c r="AT451" t="e">
        <f t="shared" si="179"/>
        <v>#N/A</v>
      </c>
      <c r="AU451" t="e">
        <f t="shared" si="180"/>
        <v>#N/A</v>
      </c>
      <c r="AW451" t="e">
        <v>#N/A</v>
      </c>
      <c r="AX451" t="e">
        <v>#N/A</v>
      </c>
      <c r="BG451" t="e">
        <v>#N/A</v>
      </c>
      <c r="BI451" t="e">
        <f t="shared" si="181"/>
        <v>#N/A</v>
      </c>
      <c r="BK451" t="e">
        <f t="shared" si="182"/>
        <v>#N/A</v>
      </c>
      <c r="BL451" t="e">
        <f t="shared" si="183"/>
        <v>#N/A</v>
      </c>
      <c r="BN451" t="e">
        <v>#N/A</v>
      </c>
      <c r="BO451" t="e">
        <v>#N/A</v>
      </c>
      <c r="BX451" t="e">
        <v>#N/A</v>
      </c>
      <c r="BZ451" t="e">
        <f t="shared" si="184"/>
        <v>#N/A</v>
      </c>
      <c r="CB451" t="e">
        <f t="shared" si="187"/>
        <v>#N/A</v>
      </c>
      <c r="CC451" t="e">
        <f t="shared" si="185"/>
        <v>#N/A</v>
      </c>
      <c r="CE451" t="e">
        <v>#N/A</v>
      </c>
      <c r="CF451" t="e">
        <v>#N/A</v>
      </c>
    </row>
    <row r="452" spans="2:84">
      <c r="B452">
        <v>440</v>
      </c>
      <c r="C452">
        <f>IF(ISNUMBER(K452),IF('Lab test'!N443&gt;0,'Lab test'!N443,NA()),NA())</f>
        <v>23.876000000000001</v>
      </c>
      <c r="D452">
        <f>IF(ISNUMBER(K452),IF('Lab test'!Q443&gt;0,'Lab test'!Q443,NA()),NA())</f>
        <v>237.97468354430376</v>
      </c>
      <c r="E452">
        <f>IF(ISNUMBER(K452),IF('Lab test'!P443&gt;0,'Lab test'!P443,NA()),NA())</f>
        <v>0.36653042992274332</v>
      </c>
      <c r="F452">
        <f>IF(ISNUMBER(K452),IF('Lab test'!AJ443&gt;0,'Lab test'!AJ443,NA()),NA())</f>
        <v>6.6489361702127658E-2</v>
      </c>
      <c r="G452">
        <f>IF('Lab test'!V443&gt;0,'Lab test'!V443,NA())</f>
        <v>204084.81587778352</v>
      </c>
      <c r="H452">
        <f>IF(MAX('Lab test'!W443,'Lab test'!X443)&gt;0,MAX('Lab test'!W443,'Lab test'!X443),NA())</f>
        <v>248.21126255406102</v>
      </c>
      <c r="I452">
        <f>IF('Lab test'!AU443&gt;0,'Lab test'!AU443,NA())</f>
        <v>0.78611294696936096</v>
      </c>
      <c r="J452">
        <f>IF('Lab test'!AT443&gt;0,'Lab test'!AT443,NA())</f>
        <v>0.37593072321031284</v>
      </c>
      <c r="K452">
        <f t="shared" si="186"/>
        <v>1</v>
      </c>
      <c r="L452" t="str">
        <f>'Lab test'!AC443</f>
        <v>LTWb</v>
      </c>
      <c r="X452" t="e">
        <v>#N/A</v>
      </c>
      <c r="Z452" t="e">
        <f t="shared" si="176"/>
        <v>#N/A</v>
      </c>
      <c r="AB452" t="e">
        <f t="shared" si="188"/>
        <v>#N/A</v>
      </c>
      <c r="AC452" t="e">
        <f t="shared" si="177"/>
        <v>#N/A</v>
      </c>
      <c r="AE452" t="e">
        <v>#N/A</v>
      </c>
      <c r="AF452" t="e">
        <v>#N/A</v>
      </c>
      <c r="AP452" t="e">
        <v>#N/A</v>
      </c>
      <c r="AR452" t="e">
        <f t="shared" si="178"/>
        <v>#N/A</v>
      </c>
      <c r="AT452" t="e">
        <f t="shared" si="179"/>
        <v>#N/A</v>
      </c>
      <c r="AU452" t="e">
        <f t="shared" si="180"/>
        <v>#N/A</v>
      </c>
      <c r="AW452" t="e">
        <v>#N/A</v>
      </c>
      <c r="AX452" t="e">
        <v>#N/A</v>
      </c>
      <c r="BG452" t="e">
        <v>#N/A</v>
      </c>
      <c r="BI452" t="e">
        <f t="shared" si="181"/>
        <v>#N/A</v>
      </c>
      <c r="BK452" t="e">
        <f t="shared" si="182"/>
        <v>#N/A</v>
      </c>
      <c r="BL452" t="e">
        <f t="shared" si="183"/>
        <v>#N/A</v>
      </c>
      <c r="BN452" t="e">
        <v>#N/A</v>
      </c>
      <c r="BO452" t="e">
        <v>#N/A</v>
      </c>
      <c r="BX452" t="e">
        <v>#N/A</v>
      </c>
      <c r="BZ452" t="e">
        <f t="shared" si="184"/>
        <v>#N/A</v>
      </c>
      <c r="CB452" t="e">
        <f t="shared" si="187"/>
        <v>#N/A</v>
      </c>
      <c r="CC452" t="e">
        <f t="shared" si="185"/>
        <v>#N/A</v>
      </c>
      <c r="CE452" t="e">
        <v>#N/A</v>
      </c>
      <c r="CF452" t="e">
        <v>#N/A</v>
      </c>
    </row>
    <row r="453" spans="2:84">
      <c r="B453">
        <v>441</v>
      </c>
      <c r="C453">
        <f>IF(ISNUMBER(K453),IF('Lab test'!N444&gt;0,'Lab test'!N444,NA()),NA())</f>
        <v>60.325000000000003</v>
      </c>
      <c r="D453">
        <f>IF(ISNUMBER(K453),IF('Lab test'!Q444&gt;0,'Lab test'!Q444,NA()),NA())</f>
        <v>119</v>
      </c>
      <c r="E453">
        <f>IF(ISNUMBER(K453),IF('Lab test'!P444&gt;0,'Lab test'!P444,NA()),NA())</f>
        <v>0.42115898933711549</v>
      </c>
      <c r="F453">
        <f>IF(ISNUMBER(K453),IF('Lab test'!AJ444&gt;0,'Lab test'!AJ444,NA()),NA())</f>
        <v>7.8947368421052627E-2</v>
      </c>
      <c r="G453">
        <f>IF('Lab test'!V444&gt;0,'Lab test'!V444,NA())</f>
        <v>105489.8</v>
      </c>
      <c r="H453">
        <f>IF(MAX('Lab test'!W444,'Lab test'!X444)&gt;0,MAX('Lab test'!W444,'Lab test'!X444),NA())</f>
        <v>410.23809999999997</v>
      </c>
      <c r="I453">
        <f>IF('Lab test'!AU444&gt;0,'Lab test'!AU444,NA())</f>
        <v>0.42442100934506605</v>
      </c>
      <c r="J453">
        <f>IF('Lab test'!AT444&gt;0,'Lab test'!AT444,NA())</f>
        <v>0.32384510638040481</v>
      </c>
      <c r="K453">
        <f t="shared" si="186"/>
        <v>1</v>
      </c>
      <c r="L453" t="str">
        <f>'Lab test'!AC444</f>
        <v>LTWb</v>
      </c>
      <c r="X453" t="e">
        <v>#N/A</v>
      </c>
      <c r="Z453" t="e">
        <f t="shared" si="176"/>
        <v>#N/A</v>
      </c>
      <c r="AB453" t="e">
        <f t="shared" si="188"/>
        <v>#N/A</v>
      </c>
      <c r="AC453" t="e">
        <f t="shared" si="177"/>
        <v>#N/A</v>
      </c>
      <c r="AE453" t="e">
        <v>#N/A</v>
      </c>
      <c r="AF453" t="e">
        <v>#N/A</v>
      </c>
      <c r="AP453" t="e">
        <v>#N/A</v>
      </c>
      <c r="AR453" t="e">
        <f t="shared" si="178"/>
        <v>#N/A</v>
      </c>
      <c r="AT453" t="e">
        <f t="shared" si="179"/>
        <v>#N/A</v>
      </c>
      <c r="AU453" t="e">
        <f t="shared" si="180"/>
        <v>#N/A</v>
      </c>
      <c r="AW453" t="e">
        <v>#N/A</v>
      </c>
      <c r="AX453" t="e">
        <v>#N/A</v>
      </c>
      <c r="BG453" t="e">
        <v>#N/A</v>
      </c>
      <c r="BI453" t="e">
        <f t="shared" si="181"/>
        <v>#N/A</v>
      </c>
      <c r="BK453" t="e">
        <f t="shared" si="182"/>
        <v>#N/A</v>
      </c>
      <c r="BL453" t="e">
        <f t="shared" si="183"/>
        <v>#N/A</v>
      </c>
      <c r="BN453" t="e">
        <v>#N/A</v>
      </c>
      <c r="BO453" t="e">
        <v>#N/A</v>
      </c>
      <c r="BX453" t="e">
        <v>#N/A</v>
      </c>
      <c r="BZ453" t="e">
        <f t="shared" si="184"/>
        <v>#N/A</v>
      </c>
      <c r="CB453" t="e">
        <f t="shared" si="187"/>
        <v>#N/A</v>
      </c>
      <c r="CC453" t="e">
        <f t="shared" si="185"/>
        <v>#N/A</v>
      </c>
      <c r="CE453" t="e">
        <v>#N/A</v>
      </c>
      <c r="CF453" t="e">
        <v>#N/A</v>
      </c>
    </row>
    <row r="454" spans="2:84">
      <c r="B454">
        <v>442</v>
      </c>
      <c r="C454">
        <f>IF(ISNUMBER(K454),IF('Lab test'!N445&gt;0,'Lab test'!N445,NA()),NA())</f>
        <v>60.325000000000003</v>
      </c>
      <c r="D454">
        <f>IF(ISNUMBER(K454),IF('Lab test'!Q445&gt;0,'Lab test'!Q445,NA()),NA())</f>
        <v>119</v>
      </c>
      <c r="E454">
        <f>IF(ISNUMBER(K454),IF('Lab test'!P445&gt;0,'Lab test'!P445,NA()),NA())</f>
        <v>0.42115898933711549</v>
      </c>
      <c r="F454">
        <f>IF(ISNUMBER(K454),IF('Lab test'!AJ445&gt;0,'Lab test'!AJ445,NA()),NA())</f>
        <v>7.8947368421052627E-2</v>
      </c>
      <c r="G454">
        <f>IF('Lab test'!V445&gt;0,'Lab test'!V445,NA())</f>
        <v>105489.8</v>
      </c>
      <c r="H454">
        <f>IF(MAX('Lab test'!W445,'Lab test'!X445)&gt;0,MAX('Lab test'!W445,'Lab test'!X445),NA())</f>
        <v>410.23809999999997</v>
      </c>
      <c r="I454">
        <f>IF('Lab test'!AU445&gt;0,'Lab test'!AU445,NA())</f>
        <v>0.48721799542163191</v>
      </c>
      <c r="J454">
        <f>IF('Lab test'!AT445&gt;0,'Lab test'!AT445,NA())</f>
        <v>0.37176096395709735</v>
      </c>
      <c r="K454">
        <f t="shared" si="186"/>
        <v>1</v>
      </c>
      <c r="L454" t="str">
        <f>'Lab test'!AC445</f>
        <v>LTWb</v>
      </c>
      <c r="X454" t="e">
        <v>#N/A</v>
      </c>
      <c r="Z454" t="e">
        <f t="shared" si="176"/>
        <v>#N/A</v>
      </c>
      <c r="AB454" t="e">
        <f t="shared" si="188"/>
        <v>#N/A</v>
      </c>
      <c r="AC454" t="e">
        <f t="shared" si="177"/>
        <v>#N/A</v>
      </c>
      <c r="AE454" t="e">
        <v>#N/A</v>
      </c>
      <c r="AF454" t="e">
        <v>#N/A</v>
      </c>
      <c r="AP454" t="e">
        <v>#N/A</v>
      </c>
      <c r="AR454" t="e">
        <f t="shared" si="178"/>
        <v>#N/A</v>
      </c>
      <c r="AT454" t="e">
        <f t="shared" si="179"/>
        <v>#N/A</v>
      </c>
      <c r="AU454" t="e">
        <f t="shared" si="180"/>
        <v>#N/A</v>
      </c>
      <c r="AW454" t="e">
        <v>#N/A</v>
      </c>
      <c r="AX454" t="e">
        <v>#N/A</v>
      </c>
      <c r="BG454" t="e">
        <v>#N/A</v>
      </c>
      <c r="BI454" t="e">
        <f t="shared" si="181"/>
        <v>#N/A</v>
      </c>
      <c r="BK454" t="e">
        <f t="shared" si="182"/>
        <v>#N/A</v>
      </c>
      <c r="BL454" t="e">
        <f t="shared" si="183"/>
        <v>#N/A</v>
      </c>
      <c r="BN454" t="e">
        <v>#N/A</v>
      </c>
      <c r="BO454" t="e">
        <v>#N/A</v>
      </c>
      <c r="BX454" t="e">
        <v>#N/A</v>
      </c>
      <c r="BZ454" t="e">
        <f t="shared" si="184"/>
        <v>#N/A</v>
      </c>
      <c r="CB454" t="e">
        <f t="shared" si="187"/>
        <v>#N/A</v>
      </c>
      <c r="CC454" t="e">
        <f t="shared" si="185"/>
        <v>#N/A</v>
      </c>
      <c r="CE454" t="e">
        <v>#N/A</v>
      </c>
      <c r="CF454" t="e">
        <v>#N/A</v>
      </c>
    </row>
    <row r="455" spans="2:84">
      <c r="B455">
        <v>443</v>
      </c>
      <c r="C455">
        <f>IF(ISNUMBER(K455),IF('Lab test'!N446&gt;0,'Lab test'!N446,NA()),NA())</f>
        <v>60.325000000000003</v>
      </c>
      <c r="D455">
        <f>IF(ISNUMBER(K455),IF('Lab test'!Q446&gt;0,'Lab test'!Q446,NA()),NA())</f>
        <v>263</v>
      </c>
      <c r="E455">
        <f>IF(ISNUMBER(K455),IF('Lab test'!P446&gt;0,'Lab test'!P446,NA()),NA())</f>
        <v>0.28252203884786981</v>
      </c>
      <c r="F455">
        <f>IF(ISNUMBER(K455),IF('Lab test'!AJ446&gt;0,'Lab test'!AJ446,NA()),NA())</f>
        <v>7.8947368421052627E-2</v>
      </c>
      <c r="G455">
        <f>IF('Lab test'!V446&gt;0,'Lab test'!V446,NA())</f>
        <v>105489.8</v>
      </c>
      <c r="H455">
        <f>IF(MAX('Lab test'!W446,'Lab test'!X446)&gt;0,MAX('Lab test'!W446,'Lab test'!X446),NA())</f>
        <v>410.23809999999997</v>
      </c>
      <c r="I455">
        <f>IF('Lab test'!AU446&gt;0,'Lab test'!AU446,NA())</f>
        <v>0.33130823688670968</v>
      </c>
      <c r="J455">
        <f>IF('Lab test'!AT446&gt;0,'Lab test'!AT446,NA())</f>
        <v>0.56177212331294712</v>
      </c>
      <c r="K455">
        <f t="shared" si="186"/>
        <v>1</v>
      </c>
      <c r="L455" t="str">
        <f>'Lab test'!AC446</f>
        <v>LTWb</v>
      </c>
      <c r="X455" t="e">
        <v>#N/A</v>
      </c>
      <c r="Z455" t="e">
        <f t="shared" si="176"/>
        <v>#N/A</v>
      </c>
      <c r="AB455" t="e">
        <f t="shared" si="188"/>
        <v>#N/A</v>
      </c>
      <c r="AC455" t="e">
        <f t="shared" si="177"/>
        <v>#N/A</v>
      </c>
      <c r="AE455" t="e">
        <v>#N/A</v>
      </c>
      <c r="AF455" t="e">
        <v>#N/A</v>
      </c>
      <c r="AP455" t="e">
        <v>#N/A</v>
      </c>
      <c r="AR455" t="e">
        <f t="shared" si="178"/>
        <v>#N/A</v>
      </c>
      <c r="AT455" t="e">
        <f t="shared" si="179"/>
        <v>#N/A</v>
      </c>
      <c r="AU455" t="e">
        <f t="shared" si="180"/>
        <v>#N/A</v>
      </c>
      <c r="AW455" t="e">
        <v>#N/A</v>
      </c>
      <c r="AX455" t="e">
        <v>#N/A</v>
      </c>
      <c r="BG455" t="e">
        <v>#N/A</v>
      </c>
      <c r="BI455" t="e">
        <f t="shared" si="181"/>
        <v>#N/A</v>
      </c>
      <c r="BK455" t="e">
        <f t="shared" si="182"/>
        <v>#N/A</v>
      </c>
      <c r="BL455" t="e">
        <f t="shared" si="183"/>
        <v>#N/A</v>
      </c>
      <c r="BN455" t="e">
        <v>#N/A</v>
      </c>
      <c r="BO455" t="e">
        <v>#N/A</v>
      </c>
      <c r="BX455" t="e">
        <v>#N/A</v>
      </c>
      <c r="BZ455" t="e">
        <f t="shared" si="184"/>
        <v>#N/A</v>
      </c>
      <c r="CB455" t="e">
        <f t="shared" si="187"/>
        <v>#N/A</v>
      </c>
      <c r="CC455" t="e">
        <f t="shared" si="185"/>
        <v>#N/A</v>
      </c>
      <c r="CE455" t="e">
        <v>#N/A</v>
      </c>
      <c r="CF455" t="e">
        <v>#N/A</v>
      </c>
    </row>
    <row r="456" spans="2:84">
      <c r="B456">
        <v>444</v>
      </c>
      <c r="C456">
        <f>IF(ISNUMBER(K456),IF('Lab test'!N447&gt;0,'Lab test'!N447,NA()),NA())</f>
        <v>60.325000000000003</v>
      </c>
      <c r="D456">
        <f>IF(ISNUMBER(K456),IF('Lab test'!Q447&gt;0,'Lab test'!Q447,NA()),NA())</f>
        <v>263</v>
      </c>
      <c r="E456">
        <f>IF(ISNUMBER(K456),IF('Lab test'!P447&gt;0,'Lab test'!P447,NA()),NA())</f>
        <v>0.28252203884786981</v>
      </c>
      <c r="F456">
        <f>IF(ISNUMBER(K456),IF('Lab test'!AJ447&gt;0,'Lab test'!AJ447,NA()),NA())</f>
        <v>7.8947368421052627E-2</v>
      </c>
      <c r="G456">
        <f>IF('Lab test'!V447&gt;0,'Lab test'!V447,NA())</f>
        <v>105489.8</v>
      </c>
      <c r="H456">
        <f>IF(MAX('Lab test'!W447,'Lab test'!X447)&gt;0,MAX('Lab test'!W447,'Lab test'!X447),NA())</f>
        <v>410.23809999999997</v>
      </c>
      <c r="I456">
        <f>IF('Lab test'!AU447&gt;0,'Lab test'!AU447,NA())</f>
        <v>0.24848117766503225</v>
      </c>
      <c r="J456">
        <f>IF('Lab test'!AT447&gt;0,'Lab test'!AT447,NA())</f>
        <v>0.42132909248471029</v>
      </c>
      <c r="K456">
        <f t="shared" si="186"/>
        <v>1</v>
      </c>
      <c r="L456" t="str">
        <f>'Lab test'!AC447</f>
        <v>LTWb</v>
      </c>
      <c r="X456" t="e">
        <v>#N/A</v>
      </c>
      <c r="Z456" t="e">
        <f t="shared" si="176"/>
        <v>#N/A</v>
      </c>
      <c r="AB456" t="e">
        <f t="shared" si="188"/>
        <v>#N/A</v>
      </c>
      <c r="AC456" t="e">
        <f t="shared" si="177"/>
        <v>#N/A</v>
      </c>
      <c r="AE456" t="e">
        <v>#N/A</v>
      </c>
      <c r="AF456" t="e">
        <v>#N/A</v>
      </c>
      <c r="AP456" t="e">
        <v>#N/A</v>
      </c>
      <c r="AR456" t="e">
        <f t="shared" si="178"/>
        <v>#N/A</v>
      </c>
      <c r="AT456" t="e">
        <f t="shared" si="179"/>
        <v>#N/A</v>
      </c>
      <c r="AU456" t="e">
        <f t="shared" si="180"/>
        <v>#N/A</v>
      </c>
      <c r="AW456" t="e">
        <v>#N/A</v>
      </c>
      <c r="AX456" t="e">
        <v>#N/A</v>
      </c>
      <c r="BG456" t="e">
        <v>#N/A</v>
      </c>
      <c r="BI456" t="e">
        <f t="shared" si="181"/>
        <v>#N/A</v>
      </c>
      <c r="BK456" t="e">
        <f t="shared" si="182"/>
        <v>#N/A</v>
      </c>
      <c r="BL456" t="e">
        <f t="shared" si="183"/>
        <v>#N/A</v>
      </c>
      <c r="BN456" t="e">
        <v>#N/A</v>
      </c>
      <c r="BO456" t="e">
        <v>#N/A</v>
      </c>
      <c r="BX456" t="e">
        <v>#N/A</v>
      </c>
      <c r="BZ456" t="e">
        <f t="shared" si="184"/>
        <v>#N/A</v>
      </c>
      <c r="CB456" t="e">
        <f t="shared" si="187"/>
        <v>#N/A</v>
      </c>
      <c r="CC456" t="e">
        <f t="shared" si="185"/>
        <v>#N/A</v>
      </c>
      <c r="CE456" t="e">
        <v>#N/A</v>
      </c>
      <c r="CF456" t="e">
        <v>#N/A</v>
      </c>
    </row>
    <row r="457" spans="2:84">
      <c r="B457">
        <v>445</v>
      </c>
      <c r="C457">
        <f>IF(ISNUMBER(K457),IF('Lab test'!N448&gt;0,'Lab test'!N448,NA()),NA())</f>
        <v>60.325000000000003</v>
      </c>
      <c r="D457">
        <f>IF(ISNUMBER(K457),IF('Lab test'!Q448&gt;0,'Lab test'!Q448,NA()),NA())</f>
        <v>475</v>
      </c>
      <c r="E457">
        <f>IF(ISNUMBER(K457),IF('Lab test'!P448&gt;0,'Lab test'!P448,NA()),NA())</f>
        <v>0.21057949466855774</v>
      </c>
      <c r="F457">
        <f>IF(ISNUMBER(K457),IF('Lab test'!AJ448&gt;0,'Lab test'!AJ448,NA()),NA())</f>
        <v>7.8947368421052627E-2</v>
      </c>
      <c r="G457">
        <f>IF('Lab test'!V448&gt;0,'Lab test'!V448,NA())</f>
        <v>105489.8</v>
      </c>
      <c r="H457">
        <f>IF(MAX('Lab test'!W448,'Lab test'!X448)&gt;0,MAX('Lab test'!W448,'Lab test'!X448),NA())</f>
        <v>410.23809999999997</v>
      </c>
      <c r="I457">
        <f>IF('Lab test'!AU448&gt;0,'Lab test'!AU448,NA())</f>
        <v>0.10285713236678898</v>
      </c>
      <c r="J457">
        <f>IF('Lab test'!AT448&gt;0,'Lab test'!AT448,NA())</f>
        <v>0.31393148067488225</v>
      </c>
      <c r="K457">
        <f t="shared" si="186"/>
        <v>1</v>
      </c>
      <c r="L457" t="str">
        <f>'Lab test'!AC448</f>
        <v>LTWb</v>
      </c>
      <c r="X457" t="e">
        <v>#N/A</v>
      </c>
      <c r="Z457" t="e">
        <f t="shared" si="176"/>
        <v>#N/A</v>
      </c>
      <c r="AB457" t="e">
        <f t="shared" si="188"/>
        <v>#N/A</v>
      </c>
      <c r="AC457" t="e">
        <f t="shared" si="177"/>
        <v>#N/A</v>
      </c>
      <c r="AE457" t="e">
        <v>#N/A</v>
      </c>
      <c r="AF457" t="e">
        <v>#N/A</v>
      </c>
      <c r="AP457" t="e">
        <v>#N/A</v>
      </c>
      <c r="AR457" t="e">
        <f t="shared" si="178"/>
        <v>#N/A</v>
      </c>
      <c r="AT457" t="e">
        <f t="shared" si="179"/>
        <v>#N/A</v>
      </c>
      <c r="AU457" t="e">
        <f t="shared" si="180"/>
        <v>#N/A</v>
      </c>
      <c r="AW457" t="e">
        <v>#N/A</v>
      </c>
      <c r="AX457" t="e">
        <v>#N/A</v>
      </c>
      <c r="BG457" t="e">
        <v>#N/A</v>
      </c>
      <c r="BI457" t="e">
        <f t="shared" si="181"/>
        <v>#N/A</v>
      </c>
      <c r="BK457" t="e">
        <f t="shared" si="182"/>
        <v>#N/A</v>
      </c>
      <c r="BL457" t="e">
        <f t="shared" si="183"/>
        <v>#N/A</v>
      </c>
      <c r="BN457" t="e">
        <v>#N/A</v>
      </c>
      <c r="BO457" t="e">
        <v>#N/A</v>
      </c>
      <c r="BX457" t="e">
        <v>#N/A</v>
      </c>
      <c r="BZ457" t="e">
        <f t="shared" si="184"/>
        <v>#N/A</v>
      </c>
      <c r="CB457" t="e">
        <f t="shared" si="187"/>
        <v>#N/A</v>
      </c>
      <c r="CC457" t="e">
        <f t="shared" si="185"/>
        <v>#N/A</v>
      </c>
      <c r="CE457" t="e">
        <v>#N/A</v>
      </c>
      <c r="CF457" t="e">
        <v>#N/A</v>
      </c>
    </row>
    <row r="458" spans="2:84">
      <c r="B458">
        <v>446</v>
      </c>
      <c r="C458">
        <f>IF(ISNUMBER(K458),IF('Lab test'!N449&gt;0,'Lab test'!N449,NA()),NA())</f>
        <v>60.325000000000003</v>
      </c>
      <c r="D458">
        <f>IF(ISNUMBER(K458),IF('Lab test'!Q449&gt;0,'Lab test'!Q449,NA()),NA())</f>
        <v>475</v>
      </c>
      <c r="E458">
        <f>IF(ISNUMBER(K458),IF('Lab test'!P449&gt;0,'Lab test'!P449,NA()),NA())</f>
        <v>0.21057949466855774</v>
      </c>
      <c r="F458">
        <f>IF(ISNUMBER(K458),IF('Lab test'!AJ449&gt;0,'Lab test'!AJ449,NA()),NA())</f>
        <v>7.8947368421052627E-2</v>
      </c>
      <c r="G458">
        <f>IF('Lab test'!V449&gt;0,'Lab test'!V449,NA())</f>
        <v>105489.8</v>
      </c>
      <c r="H458">
        <f>IF(MAX('Lab test'!W449,'Lab test'!X449)&gt;0,MAX('Lab test'!W449,'Lab test'!X449),NA())</f>
        <v>410.23809999999997</v>
      </c>
      <c r="I458">
        <f>IF('Lab test'!AU449&gt;0,'Lab test'!AU449,NA())</f>
        <v>0.18947366488619016</v>
      </c>
      <c r="J458">
        <f>IF('Lab test'!AT449&gt;0,'Lab test'!AT449,NA())</f>
        <v>0.57829483282215133</v>
      </c>
      <c r="K458">
        <f t="shared" si="186"/>
        <v>1</v>
      </c>
      <c r="L458" t="str">
        <f>'Lab test'!AC449</f>
        <v>LTWb</v>
      </c>
      <c r="X458" t="e">
        <v>#N/A</v>
      </c>
      <c r="Z458" t="e">
        <f t="shared" si="176"/>
        <v>#N/A</v>
      </c>
      <c r="AB458" t="e">
        <f t="shared" si="188"/>
        <v>#N/A</v>
      </c>
      <c r="AC458" t="e">
        <f t="shared" si="177"/>
        <v>#N/A</v>
      </c>
      <c r="AE458" t="e">
        <v>#N/A</v>
      </c>
      <c r="AF458" t="e">
        <v>#N/A</v>
      </c>
      <c r="AP458" t="e">
        <v>#N/A</v>
      </c>
      <c r="AR458" t="e">
        <f t="shared" si="178"/>
        <v>#N/A</v>
      </c>
      <c r="AT458" t="e">
        <f t="shared" si="179"/>
        <v>#N/A</v>
      </c>
      <c r="AU458" t="e">
        <f t="shared" si="180"/>
        <v>#N/A</v>
      </c>
      <c r="AW458" t="e">
        <v>#N/A</v>
      </c>
      <c r="AX458" t="e">
        <v>#N/A</v>
      </c>
      <c r="BG458" t="e">
        <v>#N/A</v>
      </c>
      <c r="BI458" t="e">
        <f t="shared" si="181"/>
        <v>#N/A</v>
      </c>
      <c r="BK458" t="e">
        <f t="shared" si="182"/>
        <v>#N/A</v>
      </c>
      <c r="BL458" t="e">
        <f t="shared" si="183"/>
        <v>#N/A</v>
      </c>
      <c r="BN458" t="e">
        <v>#N/A</v>
      </c>
      <c r="BO458" t="e">
        <v>#N/A</v>
      </c>
      <c r="BX458" t="e">
        <v>#N/A</v>
      </c>
      <c r="BZ458" t="e">
        <f t="shared" si="184"/>
        <v>#N/A</v>
      </c>
      <c r="CB458" t="e">
        <f t="shared" si="187"/>
        <v>#N/A</v>
      </c>
      <c r="CC458" t="e">
        <f t="shared" si="185"/>
        <v>#N/A</v>
      </c>
      <c r="CE458" t="e">
        <v>#N/A</v>
      </c>
      <c r="CF458" t="e">
        <v>#N/A</v>
      </c>
    </row>
    <row r="459" spans="2:84">
      <c r="B459">
        <v>447</v>
      </c>
      <c r="C459">
        <f>IF(ISNUMBER(K459),IF('Lab test'!N450&gt;0,'Lab test'!N450,NA()),NA())</f>
        <v>60.325000000000003</v>
      </c>
      <c r="D459">
        <f>IF(ISNUMBER(K459),IF('Lab test'!Q450&gt;0,'Lab test'!Q450,NA()),NA())</f>
        <v>594</v>
      </c>
      <c r="E459">
        <f>IF(ISNUMBER(K459),IF('Lab test'!P450&gt;0,'Lab test'!P450,NA()),NA())</f>
        <v>0.18834802589857985</v>
      </c>
      <c r="F459">
        <f>IF(ISNUMBER(K459),IF('Lab test'!AJ450&gt;0,'Lab test'!AJ450,NA()),NA())</f>
        <v>7.8947368421052627E-2</v>
      </c>
      <c r="G459">
        <f>IF('Lab test'!V450&gt;0,'Lab test'!V450,NA())</f>
        <v>105489.8</v>
      </c>
      <c r="H459">
        <f>IF(MAX('Lab test'!W450,'Lab test'!X450)&gt;0,MAX('Lab test'!W450,'Lab test'!X450),NA())</f>
        <v>410.23809999999997</v>
      </c>
      <c r="I459">
        <f>IF('Lab test'!AU450&gt;0,'Lab test'!AU450,NA())</f>
        <v>7.7088713942267087E-2</v>
      </c>
      <c r="J459">
        <f>IF('Lab test'!AT450&gt;0,'Lab test'!AT450,NA())</f>
        <v>0.29410422926383706</v>
      </c>
      <c r="K459">
        <f t="shared" si="186"/>
        <v>1</v>
      </c>
      <c r="L459" t="str">
        <f>'Lab test'!AC450</f>
        <v>LTWb</v>
      </c>
      <c r="X459" t="e">
        <v>#N/A</v>
      </c>
      <c r="Z459" t="e">
        <f t="shared" si="176"/>
        <v>#N/A</v>
      </c>
      <c r="AB459" t="e">
        <f t="shared" si="188"/>
        <v>#N/A</v>
      </c>
      <c r="AC459" t="e">
        <f t="shared" si="177"/>
        <v>#N/A</v>
      </c>
      <c r="AE459" t="e">
        <v>#N/A</v>
      </c>
      <c r="AF459" t="e">
        <v>#N/A</v>
      </c>
      <c r="AP459" t="e">
        <v>#N/A</v>
      </c>
      <c r="AR459" t="e">
        <f t="shared" si="178"/>
        <v>#N/A</v>
      </c>
      <c r="AT459" t="e">
        <f t="shared" si="179"/>
        <v>#N/A</v>
      </c>
      <c r="AU459" t="e">
        <f t="shared" si="180"/>
        <v>#N/A</v>
      </c>
      <c r="AW459" t="e">
        <v>#N/A</v>
      </c>
      <c r="AX459" t="e">
        <v>#N/A</v>
      </c>
      <c r="BG459" t="e">
        <v>#N/A</v>
      </c>
      <c r="BI459" t="e">
        <f t="shared" si="181"/>
        <v>#N/A</v>
      </c>
      <c r="BK459" t="e">
        <f t="shared" si="182"/>
        <v>#N/A</v>
      </c>
      <c r="BL459" t="e">
        <f t="shared" si="183"/>
        <v>#N/A</v>
      </c>
      <c r="BN459" t="e">
        <v>#N/A</v>
      </c>
      <c r="BO459" t="e">
        <v>#N/A</v>
      </c>
      <c r="BX459" t="e">
        <v>#N/A</v>
      </c>
      <c r="BZ459" t="e">
        <f t="shared" si="184"/>
        <v>#N/A</v>
      </c>
      <c r="CB459" t="e">
        <f t="shared" si="187"/>
        <v>#N/A</v>
      </c>
      <c r="CC459" t="e">
        <f t="shared" si="185"/>
        <v>#N/A</v>
      </c>
      <c r="CE459" t="e">
        <v>#N/A</v>
      </c>
      <c r="CF459" t="e">
        <v>#N/A</v>
      </c>
    </row>
    <row r="460" spans="2:84">
      <c r="B460">
        <v>448</v>
      </c>
      <c r="C460">
        <f>IF(ISNUMBER(K460),IF('Lab test'!N451&gt;0,'Lab test'!N451,NA()),NA())</f>
        <v>60.325000000000003</v>
      </c>
      <c r="D460">
        <f>IF(ISNUMBER(K460),IF('Lab test'!Q451&gt;0,'Lab test'!Q451,NA()),NA())</f>
        <v>594</v>
      </c>
      <c r="E460">
        <f>IF(ISNUMBER(K460),IF('Lab test'!P451&gt;0,'Lab test'!P451,NA()),NA())</f>
        <v>0.18834802589857985</v>
      </c>
      <c r="F460">
        <f>IF(ISNUMBER(K460),IF('Lab test'!AJ451&gt;0,'Lab test'!AJ451,NA()),NA())</f>
        <v>7.8947368421052627E-2</v>
      </c>
      <c r="G460">
        <f>IF('Lab test'!V451&gt;0,'Lab test'!V451,NA())</f>
        <v>105489.8</v>
      </c>
      <c r="H460">
        <f>IF(MAX('Lab test'!W451,'Lab test'!X451)&gt;0,MAX('Lab test'!W451,'Lab test'!X451),NA())</f>
        <v>410.23809999999997</v>
      </c>
      <c r="I460">
        <f>IF('Lab test'!AU451&gt;0,'Lab test'!AU451,NA())</f>
        <v>0.12342855884014675</v>
      </c>
      <c r="J460">
        <f>IF('Lab test'!AT451&gt;0,'Lab test'!AT451,NA())</f>
        <v>0.4708972210123234</v>
      </c>
      <c r="K460">
        <f t="shared" si="186"/>
        <v>1</v>
      </c>
      <c r="L460" t="str">
        <f>'Lab test'!AC451</f>
        <v>LTWb</v>
      </c>
      <c r="X460" t="e">
        <v>#N/A</v>
      </c>
      <c r="Z460" t="e">
        <f t="shared" si="176"/>
        <v>#N/A</v>
      </c>
      <c r="AB460" t="e">
        <f t="shared" si="188"/>
        <v>#N/A</v>
      </c>
      <c r="AC460" t="e">
        <f t="shared" si="177"/>
        <v>#N/A</v>
      </c>
      <c r="AE460" t="e">
        <v>#N/A</v>
      </c>
      <c r="AF460" t="e">
        <v>#N/A</v>
      </c>
      <c r="AP460" t="e">
        <v>#N/A</v>
      </c>
      <c r="AR460" t="e">
        <f t="shared" si="178"/>
        <v>#N/A</v>
      </c>
      <c r="AT460" t="e">
        <f t="shared" si="179"/>
        <v>#N/A</v>
      </c>
      <c r="AU460" t="e">
        <f t="shared" si="180"/>
        <v>#N/A</v>
      </c>
      <c r="AW460" t="e">
        <v>#N/A</v>
      </c>
      <c r="AX460" t="e">
        <v>#N/A</v>
      </c>
      <c r="BG460" t="e">
        <v>#N/A</v>
      </c>
      <c r="BI460" t="e">
        <f t="shared" si="181"/>
        <v>#N/A</v>
      </c>
      <c r="BK460" t="e">
        <f t="shared" si="182"/>
        <v>#N/A</v>
      </c>
      <c r="BL460" t="e">
        <f t="shared" si="183"/>
        <v>#N/A</v>
      </c>
      <c r="BN460" t="e">
        <v>#N/A</v>
      </c>
      <c r="BO460" t="e">
        <v>#N/A</v>
      </c>
      <c r="BX460" t="e">
        <v>#N/A</v>
      </c>
      <c r="BZ460" t="e">
        <f t="shared" si="184"/>
        <v>#N/A</v>
      </c>
      <c r="CB460" t="e">
        <f t="shared" si="187"/>
        <v>#N/A</v>
      </c>
      <c r="CC460" t="e">
        <f t="shared" si="185"/>
        <v>#N/A</v>
      </c>
      <c r="CE460" t="e">
        <v>#N/A</v>
      </c>
      <c r="CF460" t="e">
        <v>#N/A</v>
      </c>
    </row>
    <row r="461" spans="2:84">
      <c r="B461">
        <v>449</v>
      </c>
      <c r="C461">
        <f>IF(ISNUMBER(K461),IF('Lab test'!N452&gt;0,'Lab test'!N452,NA()),NA())</f>
        <v>137.16</v>
      </c>
      <c r="D461">
        <f>IF(ISNUMBER(K461),IF('Lab test'!Q452&gt;0,'Lab test'!Q452,NA()),NA())</f>
        <v>135</v>
      </c>
      <c r="E461">
        <f>IF(ISNUMBER(K461),IF('Lab test'!P452&gt;0,'Lab test'!P452,NA()),NA())</f>
        <v>0.38251687369949799</v>
      </c>
      <c r="F461">
        <f>IF(ISNUMBER(K461),IF('Lab test'!AJ452&gt;0,'Lab test'!AJ452,NA()),NA())</f>
        <v>4.6296296296296294E-2</v>
      </c>
      <c r="G461">
        <f>IF('Lab test'!V452&gt;0,'Lab test'!V452,NA())</f>
        <v>70326.52</v>
      </c>
      <c r="H461">
        <f>IF(MAX('Lab test'!W452,'Lab test'!X452)&gt;0,MAX('Lab test'!W452,'Lab test'!X452),NA())</f>
        <v>140.65299999999999</v>
      </c>
      <c r="I461">
        <f>IF('Lab test'!AU452&gt;0,'Lab test'!AU452,NA())</f>
        <v>0.88888919547159806</v>
      </c>
      <c r="J461">
        <f>IF('Lab test'!AT452&gt;0,'Lab test'!AT452,NA())</f>
        <v>0.3965451034025998</v>
      </c>
      <c r="K461">
        <f t="shared" si="186"/>
        <v>1</v>
      </c>
      <c r="L461" t="str">
        <f>'Lab test'!AC452</f>
        <v>LTWb</v>
      </c>
      <c r="X461" t="e">
        <v>#N/A</v>
      </c>
      <c r="Z461" t="e">
        <f t="shared" ref="Z461:Z524" si="189">IF(X461=X462,NA(),Y461)</f>
        <v>#N/A</v>
      </c>
      <c r="AB461" t="e">
        <f t="shared" si="188"/>
        <v>#N/A</v>
      </c>
      <c r="AC461" t="e">
        <f t="shared" ref="AC461:AC524" si="190">X461</f>
        <v>#N/A</v>
      </c>
      <c r="AE461" t="e">
        <v>#N/A</v>
      </c>
      <c r="AF461" t="e">
        <v>#N/A</v>
      </c>
      <c r="AP461" t="e">
        <v>#N/A</v>
      </c>
      <c r="AR461" t="e">
        <f t="shared" ref="AR461:AR524" si="191">IF(AP461=AP462,NA(),AQ461)</f>
        <v>#N/A</v>
      </c>
      <c r="AT461" t="e">
        <f t="shared" ref="AT461:AT524" si="192">AR461</f>
        <v>#N/A</v>
      </c>
      <c r="AU461" t="e">
        <f t="shared" ref="AU461:AU524" si="193">AP461</f>
        <v>#N/A</v>
      </c>
      <c r="AW461" t="e">
        <v>#N/A</v>
      </c>
      <c r="AX461" t="e">
        <v>#N/A</v>
      </c>
      <c r="BG461" t="e">
        <v>#N/A</v>
      </c>
      <c r="BI461" t="e">
        <f t="shared" ref="BI461:BI524" si="194">IF(BG461=BG462,NA(),BH461)</f>
        <v>#N/A</v>
      </c>
      <c r="BK461" t="e">
        <f t="shared" ref="BK461:BK524" si="195">BI461</f>
        <v>#N/A</v>
      </c>
      <c r="BL461" t="e">
        <f t="shared" ref="BL461:BL524" si="196">BG461</f>
        <v>#N/A</v>
      </c>
      <c r="BN461" t="e">
        <v>#N/A</v>
      </c>
      <c r="BO461" t="e">
        <v>#N/A</v>
      </c>
      <c r="BX461" t="e">
        <v>#N/A</v>
      </c>
      <c r="BZ461" t="e">
        <f t="shared" ref="BZ461:BZ524" si="197">IF(BX461=BX462,NA(),BY461)</f>
        <v>#N/A</v>
      </c>
      <c r="CB461" t="e">
        <f t="shared" si="187"/>
        <v>#N/A</v>
      </c>
      <c r="CC461" t="e">
        <f t="shared" ref="CC461:CC524" si="198">BX461</f>
        <v>#N/A</v>
      </c>
      <c r="CE461" t="e">
        <v>#N/A</v>
      </c>
      <c r="CF461" t="e">
        <v>#N/A</v>
      </c>
    </row>
    <row r="462" spans="2:84">
      <c r="B462">
        <v>450</v>
      </c>
      <c r="C462">
        <f>IF(ISNUMBER(K462),IF('Lab test'!N453&gt;0,'Lab test'!N453,NA()),NA())</f>
        <v>137.16</v>
      </c>
      <c r="D462">
        <f>IF(ISNUMBER(K462),IF('Lab test'!Q453&gt;0,'Lab test'!Q453,NA()),NA())</f>
        <v>135</v>
      </c>
      <c r="E462">
        <f>IF(ISNUMBER(K462),IF('Lab test'!P453&gt;0,'Lab test'!P453,NA()),NA())</f>
        <v>0.38251687369949799</v>
      </c>
      <c r="F462">
        <f>IF(ISNUMBER(K462),IF('Lab test'!AJ453&gt;0,'Lab test'!AJ453,NA()),NA())</f>
        <v>4.6296296296296294E-2</v>
      </c>
      <c r="G462">
        <f>IF('Lab test'!V453&gt;0,'Lab test'!V453,NA())</f>
        <v>70671.259999999995</v>
      </c>
      <c r="H462">
        <f>IF(MAX('Lab test'!W453,'Lab test'!X453)&gt;0,MAX('Lab test'!W453,'Lab test'!X453),NA())</f>
        <v>306.81670000000003</v>
      </c>
      <c r="I462">
        <f>IF('Lab test'!AU453&gt;0,'Lab test'!AU453,NA())</f>
        <v>0.40948813843719867</v>
      </c>
      <c r="J462">
        <f>IF('Lab test'!AT453&gt;0,'Lab test'!AT453,NA())</f>
        <v>0.39654509130017851</v>
      </c>
      <c r="K462">
        <f t="shared" ref="K462:K525" si="199">IF(AND(OR(ISNUMBER(I462),ISNUMBER(J462)),ISNUMBER(G462),ISNUMBER(H462),L462="LTWb"),1,NA())</f>
        <v>1</v>
      </c>
      <c r="L462" t="str">
        <f>'Lab test'!AC453</f>
        <v>LTWb</v>
      </c>
      <c r="X462" t="e">
        <v>#N/A</v>
      </c>
      <c r="Z462" t="e">
        <f t="shared" si="189"/>
        <v>#N/A</v>
      </c>
      <c r="AB462" t="e">
        <f t="shared" si="188"/>
        <v>#N/A</v>
      </c>
      <c r="AC462" t="e">
        <f t="shared" si="190"/>
        <v>#N/A</v>
      </c>
      <c r="AE462" t="e">
        <v>#N/A</v>
      </c>
      <c r="AF462" t="e">
        <v>#N/A</v>
      </c>
      <c r="AP462" t="e">
        <v>#N/A</v>
      </c>
      <c r="AR462" t="e">
        <f t="shared" si="191"/>
        <v>#N/A</v>
      </c>
      <c r="AT462" t="e">
        <f t="shared" si="192"/>
        <v>#N/A</v>
      </c>
      <c r="AU462" t="e">
        <f t="shared" si="193"/>
        <v>#N/A</v>
      </c>
      <c r="AW462" t="e">
        <v>#N/A</v>
      </c>
      <c r="AX462" t="e">
        <v>#N/A</v>
      </c>
      <c r="BG462" t="e">
        <v>#N/A</v>
      </c>
      <c r="BI462" t="e">
        <f t="shared" si="194"/>
        <v>#N/A</v>
      </c>
      <c r="BK462" t="e">
        <f t="shared" si="195"/>
        <v>#N/A</v>
      </c>
      <c r="BL462" t="e">
        <f t="shared" si="196"/>
        <v>#N/A</v>
      </c>
      <c r="BN462" t="e">
        <v>#N/A</v>
      </c>
      <c r="BO462" t="e">
        <v>#N/A</v>
      </c>
      <c r="BX462" t="e">
        <v>#N/A</v>
      </c>
      <c r="BZ462" t="e">
        <f t="shared" si="197"/>
        <v>#N/A</v>
      </c>
      <c r="CB462" t="e">
        <f t="shared" si="187"/>
        <v>#N/A</v>
      </c>
      <c r="CC462" t="e">
        <f t="shared" si="198"/>
        <v>#N/A</v>
      </c>
      <c r="CE462" t="e">
        <v>#N/A</v>
      </c>
      <c r="CF462" t="e">
        <v>#N/A</v>
      </c>
    </row>
    <row r="463" spans="2:84">
      <c r="B463">
        <v>451</v>
      </c>
      <c r="C463">
        <f>IF(ISNUMBER(K463),IF('Lab test'!N454&gt;0,'Lab test'!N454,NA()),NA())</f>
        <v>137.16</v>
      </c>
      <c r="D463">
        <f>IF(ISNUMBER(K463),IF('Lab test'!Q454&gt;0,'Lab test'!Q454,NA()),NA())</f>
        <v>169</v>
      </c>
      <c r="E463">
        <f>IF(ISNUMBER(K463),IF('Lab test'!P454&gt;0,'Lab test'!P454,NA()),NA())</f>
        <v>0.34213349285311156</v>
      </c>
      <c r="F463">
        <f>IF(ISNUMBER(K463),IF('Lab test'!AJ454&gt;0,'Lab test'!AJ454,NA()),NA())</f>
        <v>4.6296296296296294E-2</v>
      </c>
      <c r="G463">
        <f>IF('Lab test'!V454&gt;0,'Lab test'!V454,NA())</f>
        <v>70326.52</v>
      </c>
      <c r="H463">
        <f>IF(MAX('Lab test'!W454,'Lab test'!X454)&gt;0,MAX('Lab test'!W454,'Lab test'!X454),NA())</f>
        <v>140.65299999999999</v>
      </c>
      <c r="I463">
        <f>IF('Lab test'!AU454&gt;0,'Lab test'!AU454,NA())</f>
        <v>0.6962965364527518</v>
      </c>
      <c r="J463">
        <f>IF('Lab test'!AT454&gt;0,'Lab test'!AT454,NA())</f>
        <v>0.38828374708171226</v>
      </c>
      <c r="K463">
        <f t="shared" si="199"/>
        <v>1</v>
      </c>
      <c r="L463" t="str">
        <f>'Lab test'!AC454</f>
        <v>LTWb</v>
      </c>
      <c r="X463" t="e">
        <v>#N/A</v>
      </c>
      <c r="Z463" t="e">
        <f t="shared" si="189"/>
        <v>#N/A</v>
      </c>
      <c r="AB463" t="e">
        <f t="shared" si="188"/>
        <v>#N/A</v>
      </c>
      <c r="AC463" t="e">
        <f t="shared" si="190"/>
        <v>#N/A</v>
      </c>
      <c r="AE463" t="e">
        <v>#N/A</v>
      </c>
      <c r="AF463" t="e">
        <v>#N/A</v>
      </c>
      <c r="AP463" t="e">
        <v>#N/A</v>
      </c>
      <c r="AR463" t="e">
        <f t="shared" si="191"/>
        <v>#N/A</v>
      </c>
      <c r="AT463" t="e">
        <f t="shared" si="192"/>
        <v>#N/A</v>
      </c>
      <c r="AU463" t="e">
        <f t="shared" si="193"/>
        <v>#N/A</v>
      </c>
      <c r="AW463" t="e">
        <v>#N/A</v>
      </c>
      <c r="AX463" t="e">
        <v>#N/A</v>
      </c>
      <c r="BG463" t="e">
        <v>#N/A</v>
      </c>
      <c r="BI463" t="e">
        <f t="shared" si="194"/>
        <v>#N/A</v>
      </c>
      <c r="BK463" t="e">
        <f t="shared" si="195"/>
        <v>#N/A</v>
      </c>
      <c r="BL463" t="e">
        <f t="shared" si="196"/>
        <v>#N/A</v>
      </c>
      <c r="BN463" t="e">
        <v>#N/A</v>
      </c>
      <c r="BO463" t="e">
        <v>#N/A</v>
      </c>
      <c r="BX463" t="e">
        <v>#N/A</v>
      </c>
      <c r="BZ463" t="e">
        <f t="shared" si="197"/>
        <v>#N/A</v>
      </c>
      <c r="CB463" t="e">
        <f t="shared" si="187"/>
        <v>#N/A</v>
      </c>
      <c r="CC463" t="e">
        <f t="shared" si="198"/>
        <v>#N/A</v>
      </c>
      <c r="CE463" t="e">
        <v>#N/A</v>
      </c>
      <c r="CF463" t="e">
        <v>#N/A</v>
      </c>
    </row>
    <row r="464" spans="2:84">
      <c r="B464">
        <v>452</v>
      </c>
      <c r="C464">
        <f>IF(ISNUMBER(K464),IF('Lab test'!N455&gt;0,'Lab test'!N455,NA()),NA())</f>
        <v>137.16</v>
      </c>
      <c r="D464">
        <f>IF(ISNUMBER(K464),IF('Lab test'!Q455&gt;0,'Lab test'!Q455,NA()),NA())</f>
        <v>169</v>
      </c>
      <c r="E464">
        <f>IF(ISNUMBER(K464),IF('Lab test'!P455&gt;0,'Lab test'!P455,NA()),NA())</f>
        <v>0.34213349285311156</v>
      </c>
      <c r="F464">
        <f>IF(ISNUMBER(K464),IF('Lab test'!AJ455&gt;0,'Lab test'!AJ455,NA()),NA())</f>
        <v>4.6296296296296294E-2</v>
      </c>
      <c r="G464">
        <f>IF('Lab test'!V455&gt;0,'Lab test'!V455,NA())</f>
        <v>70671.259999999995</v>
      </c>
      <c r="H464">
        <f>IF(MAX('Lab test'!W455,'Lab test'!X455)&gt;0,MAX('Lab test'!W455,'Lab test'!X455),NA())</f>
        <v>306.81670000000003</v>
      </c>
      <c r="I464">
        <f>IF('Lab test'!AU455&gt;0,'Lab test'!AU455,NA())</f>
        <v>0.49138576612463836</v>
      </c>
      <c r="J464">
        <f>IF('Lab test'!AT455&gt;0,'Lab test'!AT455,NA())</f>
        <v>0.59481763695026779</v>
      </c>
      <c r="K464">
        <f t="shared" si="199"/>
        <v>1</v>
      </c>
      <c r="L464" t="str">
        <f>'Lab test'!AC455</f>
        <v>LTWb</v>
      </c>
      <c r="X464" t="e">
        <v>#N/A</v>
      </c>
      <c r="Z464" t="e">
        <f t="shared" si="189"/>
        <v>#N/A</v>
      </c>
      <c r="AB464" t="e">
        <f t="shared" si="188"/>
        <v>#N/A</v>
      </c>
      <c r="AC464" t="e">
        <f t="shared" si="190"/>
        <v>#N/A</v>
      </c>
      <c r="AE464" t="e">
        <v>#N/A</v>
      </c>
      <c r="AF464" t="e">
        <v>#N/A</v>
      </c>
      <c r="AP464" t="e">
        <v>#N/A</v>
      </c>
      <c r="AR464" t="e">
        <f t="shared" si="191"/>
        <v>#N/A</v>
      </c>
      <c r="AT464" t="e">
        <f t="shared" si="192"/>
        <v>#N/A</v>
      </c>
      <c r="AU464" t="e">
        <f t="shared" si="193"/>
        <v>#N/A</v>
      </c>
      <c r="AW464" t="e">
        <v>#N/A</v>
      </c>
      <c r="AX464" t="e">
        <v>#N/A</v>
      </c>
      <c r="BG464" t="e">
        <v>#N/A</v>
      </c>
      <c r="BI464" t="e">
        <f t="shared" si="194"/>
        <v>#N/A</v>
      </c>
      <c r="BK464" t="e">
        <f t="shared" si="195"/>
        <v>#N/A</v>
      </c>
      <c r="BL464" t="e">
        <f t="shared" si="196"/>
        <v>#N/A</v>
      </c>
      <c r="BN464" t="e">
        <v>#N/A</v>
      </c>
      <c r="BO464" t="e">
        <v>#N/A</v>
      </c>
      <c r="BX464" t="e">
        <v>#N/A</v>
      </c>
      <c r="BZ464" t="e">
        <f t="shared" si="197"/>
        <v>#N/A</v>
      </c>
      <c r="CB464" t="e">
        <f t="shared" si="187"/>
        <v>#N/A</v>
      </c>
      <c r="CC464" t="e">
        <f t="shared" si="198"/>
        <v>#N/A</v>
      </c>
      <c r="CE464" t="e">
        <v>#N/A</v>
      </c>
      <c r="CF464" t="e">
        <v>#N/A</v>
      </c>
    </row>
    <row r="465" spans="2:84">
      <c r="B465">
        <v>453</v>
      </c>
      <c r="C465">
        <f>IF(ISNUMBER(K465),IF('Lab test'!N456&gt;0,'Lab test'!N456,NA()),NA())</f>
        <v>137.16</v>
      </c>
      <c r="D465">
        <f>IF(ISNUMBER(K465),IF('Lab test'!Q456&gt;0,'Lab test'!Q456,NA()),NA())</f>
        <v>270</v>
      </c>
      <c r="E465">
        <f>IF(ISNUMBER(K465),IF('Lab test'!P456&gt;0,'Lab test'!P456,NA()),NA())</f>
        <v>0.27048027531119317</v>
      </c>
      <c r="F465">
        <f>IF(ISNUMBER(K465),IF('Lab test'!AJ456&gt;0,'Lab test'!AJ456,NA()),NA())</f>
        <v>3.4722222222222224E-2</v>
      </c>
      <c r="G465">
        <f>IF('Lab test'!V456&gt;0,'Lab test'!V456,NA())</f>
        <v>70671.259999999995</v>
      </c>
      <c r="H465">
        <f>IF(MAX('Lab test'!W456,'Lab test'!X456)&gt;0,MAX('Lab test'!W456,'Lab test'!X456),NA())</f>
        <v>306.81670000000003</v>
      </c>
      <c r="I465">
        <f>IF('Lab test'!AU456&gt;0,'Lab test'!AU456,NA())</f>
        <v>0.25593008652324917</v>
      </c>
      <c r="J465">
        <f>IF('Lab test'!AT456&gt;0,'Lab test'!AT456,NA())</f>
        <v>0.49568136412522307</v>
      </c>
      <c r="K465">
        <f t="shared" si="199"/>
        <v>1</v>
      </c>
      <c r="L465" t="str">
        <f>'Lab test'!AC456</f>
        <v>LTWb</v>
      </c>
      <c r="X465" t="e">
        <v>#N/A</v>
      </c>
      <c r="Z465" t="e">
        <f t="shared" si="189"/>
        <v>#N/A</v>
      </c>
      <c r="AB465" t="e">
        <f t="shared" si="188"/>
        <v>#N/A</v>
      </c>
      <c r="AC465" t="e">
        <f t="shared" si="190"/>
        <v>#N/A</v>
      </c>
      <c r="AE465" t="e">
        <v>#N/A</v>
      </c>
      <c r="AF465" t="e">
        <v>#N/A</v>
      </c>
      <c r="AP465" t="e">
        <v>#N/A</v>
      </c>
      <c r="AR465" t="e">
        <f t="shared" si="191"/>
        <v>#N/A</v>
      </c>
      <c r="AT465" t="e">
        <f t="shared" si="192"/>
        <v>#N/A</v>
      </c>
      <c r="AU465" t="e">
        <f t="shared" si="193"/>
        <v>#N/A</v>
      </c>
      <c r="AW465" t="e">
        <v>#N/A</v>
      </c>
      <c r="AX465" t="e">
        <v>#N/A</v>
      </c>
      <c r="BG465" t="e">
        <v>#N/A</v>
      </c>
      <c r="BI465" t="e">
        <f t="shared" si="194"/>
        <v>#N/A</v>
      </c>
      <c r="BK465" t="e">
        <f t="shared" si="195"/>
        <v>#N/A</v>
      </c>
      <c r="BL465" t="e">
        <f t="shared" si="196"/>
        <v>#N/A</v>
      </c>
      <c r="BN465" t="e">
        <v>#N/A</v>
      </c>
      <c r="BO465" t="e">
        <v>#N/A</v>
      </c>
      <c r="BX465" t="e">
        <v>#N/A</v>
      </c>
      <c r="BZ465" t="e">
        <f t="shared" si="197"/>
        <v>#N/A</v>
      </c>
      <c r="CB465" t="e">
        <f t="shared" si="187"/>
        <v>#N/A</v>
      </c>
      <c r="CC465" t="e">
        <f t="shared" si="198"/>
        <v>#N/A</v>
      </c>
      <c r="CE465" t="e">
        <v>#N/A</v>
      </c>
      <c r="CF465" t="e">
        <v>#N/A</v>
      </c>
    </row>
    <row r="466" spans="2:84">
      <c r="B466">
        <v>454</v>
      </c>
      <c r="C466">
        <f>IF(ISNUMBER(K466),IF('Lab test'!N457&gt;0,'Lab test'!N457,NA()),NA())</f>
        <v>137.16</v>
      </c>
      <c r="D466">
        <f>IF(ISNUMBER(K466),IF('Lab test'!Q457&gt;0,'Lab test'!Q457,NA()),NA())</f>
        <v>270</v>
      </c>
      <c r="E466">
        <f>IF(ISNUMBER(K466),IF('Lab test'!P457&gt;0,'Lab test'!P457,NA()),NA())</f>
        <v>0.27048027531119317</v>
      </c>
      <c r="F466">
        <f>IF(ISNUMBER(K466),IF('Lab test'!AJ457&gt;0,'Lab test'!AJ457,NA()),NA())</f>
        <v>3.4722222222222224E-2</v>
      </c>
      <c r="G466">
        <f>IF('Lab test'!V457&gt;0,'Lab test'!V457,NA())</f>
        <v>70671.259999999995</v>
      </c>
      <c r="H466">
        <f>IF(MAX('Lab test'!W457,'Lab test'!X457)&gt;0,MAX('Lab test'!W457,'Lab test'!X457),NA())</f>
        <v>306.81670000000003</v>
      </c>
      <c r="I466">
        <f>IF('Lab test'!AU457&gt;0,'Lab test'!AU457,NA())</f>
        <v>0.37536412690076543</v>
      </c>
      <c r="J466">
        <f>IF('Lab test'!AT457&gt;0,'Lab test'!AT457,NA())</f>
        <v>0.72699933405032724</v>
      </c>
      <c r="K466">
        <f t="shared" si="199"/>
        <v>1</v>
      </c>
      <c r="L466" t="str">
        <f>'Lab test'!AC457</f>
        <v>LTWb</v>
      </c>
      <c r="X466" t="e">
        <v>#N/A</v>
      </c>
      <c r="Z466" t="e">
        <f t="shared" si="189"/>
        <v>#N/A</v>
      </c>
      <c r="AB466" t="e">
        <f t="shared" si="188"/>
        <v>#N/A</v>
      </c>
      <c r="AC466" t="e">
        <f t="shared" si="190"/>
        <v>#N/A</v>
      </c>
      <c r="AE466" t="e">
        <v>#N/A</v>
      </c>
      <c r="AF466" t="e">
        <v>#N/A</v>
      </c>
      <c r="AP466" t="e">
        <v>#N/A</v>
      </c>
      <c r="AR466" t="e">
        <f t="shared" si="191"/>
        <v>#N/A</v>
      </c>
      <c r="AT466" t="e">
        <f t="shared" si="192"/>
        <v>#N/A</v>
      </c>
      <c r="AU466" t="e">
        <f t="shared" si="193"/>
        <v>#N/A</v>
      </c>
      <c r="AW466" t="e">
        <v>#N/A</v>
      </c>
      <c r="AX466" t="e">
        <v>#N/A</v>
      </c>
      <c r="BG466" t="e">
        <v>#N/A</v>
      </c>
      <c r="BI466" t="e">
        <f t="shared" si="194"/>
        <v>#N/A</v>
      </c>
      <c r="BK466" t="e">
        <f t="shared" si="195"/>
        <v>#N/A</v>
      </c>
      <c r="BL466" t="e">
        <f t="shared" si="196"/>
        <v>#N/A</v>
      </c>
      <c r="BN466" t="e">
        <v>#N/A</v>
      </c>
      <c r="BO466" t="e">
        <v>#N/A</v>
      </c>
      <c r="BX466" t="e">
        <v>#N/A</v>
      </c>
      <c r="BZ466" t="e">
        <f t="shared" si="197"/>
        <v>#N/A</v>
      </c>
      <c r="CB466" t="e">
        <f t="shared" si="187"/>
        <v>#N/A</v>
      </c>
      <c r="CC466" t="e">
        <f t="shared" si="198"/>
        <v>#N/A</v>
      </c>
      <c r="CE466" t="e">
        <v>#N/A</v>
      </c>
      <c r="CF466" t="e">
        <v>#N/A</v>
      </c>
    </row>
    <row r="467" spans="2:84">
      <c r="B467">
        <v>455</v>
      </c>
      <c r="C467">
        <f>IF(ISNUMBER(K467),IF('Lab test'!N458&gt;0,'Lab test'!N458,NA()),NA())</f>
        <v>60.325000000000003</v>
      </c>
      <c r="D467">
        <f>IF(ISNUMBER(K467),IF('Lab test'!Q458&gt;0,'Lab test'!Q458,NA()),NA())</f>
        <v>1185</v>
      </c>
      <c r="E467">
        <f>IF(ISNUMBER(K467),IF('Lab test'!P458&gt;0,'Lab test'!P458,NA()),NA())</f>
        <v>0.11607620001760187</v>
      </c>
      <c r="F467">
        <f>IF(ISNUMBER(K467),IF('Lab test'!AJ458&gt;0,'Lab test'!AJ458,NA()),NA())</f>
        <v>7.8947368421052627E-2</v>
      </c>
      <c r="G467">
        <f>IF('Lab test'!V458&gt;0,'Lab test'!V458,NA())</f>
        <v>68947.570000000007</v>
      </c>
      <c r="H467">
        <f>IF(MAX('Lab test'!W458,'Lab test'!X458)&gt;0,MAX('Lab test'!W458,'Lab test'!X458),NA())</f>
        <v>275.7903</v>
      </c>
      <c r="I467">
        <f>IF('Lab test'!AU458&gt;0,'Lab test'!AU458,NA())</f>
        <v>3.6842104087588902E-2</v>
      </c>
      <c r="J467">
        <f>IF('Lab test'!AT458&gt;0,'Lab test'!AT458,NA())</f>
        <v>0.28914746547496278</v>
      </c>
      <c r="K467">
        <f t="shared" si="199"/>
        <v>1</v>
      </c>
      <c r="L467" t="str">
        <f>'Lab test'!AC458</f>
        <v>LTWb</v>
      </c>
      <c r="X467" t="e">
        <v>#N/A</v>
      </c>
      <c r="Z467" t="e">
        <f t="shared" si="189"/>
        <v>#N/A</v>
      </c>
      <c r="AB467" t="e">
        <f t="shared" si="188"/>
        <v>#N/A</v>
      </c>
      <c r="AC467" t="e">
        <f t="shared" si="190"/>
        <v>#N/A</v>
      </c>
      <c r="AE467" t="e">
        <v>#N/A</v>
      </c>
      <c r="AF467" t="e">
        <v>#N/A</v>
      </c>
      <c r="AP467" t="e">
        <v>#N/A</v>
      </c>
      <c r="AR467" t="e">
        <f t="shared" si="191"/>
        <v>#N/A</v>
      </c>
      <c r="AT467" t="e">
        <f t="shared" si="192"/>
        <v>#N/A</v>
      </c>
      <c r="AU467" t="e">
        <f t="shared" si="193"/>
        <v>#N/A</v>
      </c>
      <c r="AW467" t="e">
        <v>#N/A</v>
      </c>
      <c r="AX467" t="e">
        <v>#N/A</v>
      </c>
      <c r="BG467" t="e">
        <v>#N/A</v>
      </c>
      <c r="BI467" t="e">
        <f t="shared" si="194"/>
        <v>#N/A</v>
      </c>
      <c r="BK467" t="e">
        <f t="shared" si="195"/>
        <v>#N/A</v>
      </c>
      <c r="BL467" t="e">
        <f t="shared" si="196"/>
        <v>#N/A</v>
      </c>
      <c r="BN467" t="e">
        <v>#N/A</v>
      </c>
      <c r="BO467" t="e">
        <v>#N/A</v>
      </c>
      <c r="BX467" t="e">
        <v>#N/A</v>
      </c>
      <c r="BZ467" t="e">
        <f t="shared" si="197"/>
        <v>#N/A</v>
      </c>
      <c r="CB467" t="e">
        <f t="shared" si="187"/>
        <v>#N/A</v>
      </c>
      <c r="CC467" t="e">
        <f t="shared" si="198"/>
        <v>#N/A</v>
      </c>
      <c r="CE467" t="e">
        <v>#N/A</v>
      </c>
      <c r="CF467" t="e">
        <v>#N/A</v>
      </c>
    </row>
    <row r="468" spans="2:84">
      <c r="B468">
        <v>456</v>
      </c>
      <c r="C468">
        <f>IF(ISNUMBER(K468),IF('Lab test'!N459&gt;0,'Lab test'!N459,NA()),NA())</f>
        <v>60.325000000000003</v>
      </c>
      <c r="D468">
        <f>IF(ISNUMBER(K468),IF('Lab test'!Q459&gt;0,'Lab test'!Q459,NA()),NA())</f>
        <v>1185</v>
      </c>
      <c r="E468">
        <f>IF(ISNUMBER(K468),IF('Lab test'!P459&gt;0,'Lab test'!P459,NA()),NA())</f>
        <v>0.11607620001760187</v>
      </c>
      <c r="F468">
        <f>IF(ISNUMBER(K468),IF('Lab test'!AJ459&gt;0,'Lab test'!AJ459,NA()),NA())</f>
        <v>7.8947368421052627E-2</v>
      </c>
      <c r="G468">
        <f>IF('Lab test'!V459&gt;0,'Lab test'!V459,NA())</f>
        <v>68947.570000000007</v>
      </c>
      <c r="H468">
        <f>IF(MAX('Lab test'!W459,'Lab test'!X459)&gt;0,MAX('Lab test'!W459,'Lab test'!X459),NA())</f>
        <v>275.7903</v>
      </c>
      <c r="I468">
        <f>IF('Lab test'!AU459&gt;0,'Lab test'!AU459,NA())</f>
        <v>5.7894734994782565E-2</v>
      </c>
      <c r="J468">
        <f>IF('Lab test'!AT459&gt;0,'Lab test'!AT459,NA())</f>
        <v>0.45437458860351299</v>
      </c>
      <c r="K468">
        <f t="shared" si="199"/>
        <v>1</v>
      </c>
      <c r="L468" t="str">
        <f>'Lab test'!AC459</f>
        <v>LTWb</v>
      </c>
      <c r="X468" t="e">
        <v>#N/A</v>
      </c>
      <c r="Z468" t="e">
        <f t="shared" si="189"/>
        <v>#N/A</v>
      </c>
      <c r="AB468" t="e">
        <f t="shared" si="188"/>
        <v>#N/A</v>
      </c>
      <c r="AC468" t="e">
        <f t="shared" si="190"/>
        <v>#N/A</v>
      </c>
      <c r="AE468" t="e">
        <v>#N/A</v>
      </c>
      <c r="AF468" t="e">
        <v>#N/A</v>
      </c>
      <c r="AP468" t="e">
        <v>#N/A</v>
      </c>
      <c r="AR468" t="e">
        <f t="shared" si="191"/>
        <v>#N/A</v>
      </c>
      <c r="AT468" t="e">
        <f t="shared" si="192"/>
        <v>#N/A</v>
      </c>
      <c r="AU468" t="e">
        <f t="shared" si="193"/>
        <v>#N/A</v>
      </c>
      <c r="AW468" t="e">
        <v>#N/A</v>
      </c>
      <c r="AX468" t="e">
        <v>#N/A</v>
      </c>
      <c r="BG468" t="e">
        <v>#N/A</v>
      </c>
      <c r="BI468" t="e">
        <f t="shared" si="194"/>
        <v>#N/A</v>
      </c>
      <c r="BK468" t="e">
        <f t="shared" si="195"/>
        <v>#N/A</v>
      </c>
      <c r="BL468" t="e">
        <f t="shared" si="196"/>
        <v>#N/A</v>
      </c>
      <c r="BN468" t="e">
        <v>#N/A</v>
      </c>
      <c r="BO468" t="e">
        <v>#N/A</v>
      </c>
      <c r="BX468" t="e">
        <v>#N/A</v>
      </c>
      <c r="BZ468" t="e">
        <f t="shared" si="197"/>
        <v>#N/A</v>
      </c>
      <c r="CB468" t="e">
        <f t="shared" ref="CB468:CB531" si="200">BZ468</f>
        <v>#N/A</v>
      </c>
      <c r="CC468" t="e">
        <f t="shared" si="198"/>
        <v>#N/A</v>
      </c>
      <c r="CE468" t="e">
        <v>#N/A</v>
      </c>
      <c r="CF468" t="e">
        <v>#N/A</v>
      </c>
    </row>
    <row r="469" spans="2:84">
      <c r="B469">
        <v>457</v>
      </c>
      <c r="C469">
        <f>IF(ISNUMBER(K469),IF('Lab test'!N460&gt;0,'Lab test'!N460,NA()),NA())</f>
        <v>137.16</v>
      </c>
      <c r="D469">
        <f>IF(ISNUMBER(K469),IF('Lab test'!Q460&gt;0,'Lab test'!Q460,NA()),NA())</f>
        <v>135</v>
      </c>
      <c r="E469">
        <f>IF(ISNUMBER(K469),IF('Lab test'!P460&gt;0,'Lab test'!P460,NA()),NA())</f>
        <v>0.38251687369949799</v>
      </c>
      <c r="F469">
        <f>IF(ISNUMBER(K469),IF('Lab test'!AJ460&gt;0,'Lab test'!AJ460,NA()),NA())</f>
        <v>4.6296296296296294E-2</v>
      </c>
      <c r="G469">
        <f>IF('Lab test'!V460&gt;0,'Lab test'!V460,NA())</f>
        <v>70671.259999999995</v>
      </c>
      <c r="H469">
        <f>IF(MAX('Lab test'!W460,'Lab test'!X460)&gt;0,MAX('Lab test'!W460,'Lab test'!X460),NA())</f>
        <v>306.81670000000003</v>
      </c>
      <c r="I469">
        <f>IF('Lab test'!AU460&gt;0,'Lab test'!AU460,NA())</f>
        <v>0.5971702018875813</v>
      </c>
      <c r="J469">
        <f>IF('Lab test'!AT460&gt;0,'Lab test'!AT460,NA())</f>
        <v>0.57829492481276024</v>
      </c>
      <c r="K469">
        <f t="shared" si="199"/>
        <v>1</v>
      </c>
      <c r="L469" t="str">
        <f>'Lab test'!AC460</f>
        <v>LTWb</v>
      </c>
      <c r="X469" t="e">
        <v>#N/A</v>
      </c>
      <c r="Z469" t="e">
        <f t="shared" si="189"/>
        <v>#N/A</v>
      </c>
      <c r="AB469" t="e">
        <f t="shared" si="188"/>
        <v>#N/A</v>
      </c>
      <c r="AC469" t="e">
        <f t="shared" si="190"/>
        <v>#N/A</v>
      </c>
      <c r="AE469" t="e">
        <v>#N/A</v>
      </c>
      <c r="AF469" t="e">
        <v>#N/A</v>
      </c>
      <c r="AP469" t="e">
        <v>#N/A</v>
      </c>
      <c r="AR469" t="e">
        <f t="shared" si="191"/>
        <v>#N/A</v>
      </c>
      <c r="AT469" t="e">
        <f t="shared" si="192"/>
        <v>#N/A</v>
      </c>
      <c r="AU469" t="e">
        <f t="shared" si="193"/>
        <v>#N/A</v>
      </c>
      <c r="AW469" t="e">
        <v>#N/A</v>
      </c>
      <c r="AX469" t="e">
        <v>#N/A</v>
      </c>
      <c r="BG469" t="e">
        <v>#N/A</v>
      </c>
      <c r="BI469" t="e">
        <f t="shared" si="194"/>
        <v>#N/A</v>
      </c>
      <c r="BK469" t="e">
        <f t="shared" si="195"/>
        <v>#N/A</v>
      </c>
      <c r="BL469" t="e">
        <f t="shared" si="196"/>
        <v>#N/A</v>
      </c>
      <c r="BN469" t="e">
        <v>#N/A</v>
      </c>
      <c r="BO469" t="e">
        <v>#N/A</v>
      </c>
      <c r="BX469" t="e">
        <v>#N/A</v>
      </c>
      <c r="BZ469" t="e">
        <f t="shared" si="197"/>
        <v>#N/A</v>
      </c>
      <c r="CB469" t="e">
        <f t="shared" si="200"/>
        <v>#N/A</v>
      </c>
      <c r="CC469" t="e">
        <f t="shared" si="198"/>
        <v>#N/A</v>
      </c>
      <c r="CE469" t="e">
        <v>#N/A</v>
      </c>
      <c r="CF469" t="e">
        <v>#N/A</v>
      </c>
    </row>
    <row r="470" spans="2:84">
      <c r="B470">
        <v>458</v>
      </c>
      <c r="C470">
        <f>IF(ISNUMBER(K470),IF('Lab test'!N461&gt;0,'Lab test'!N461,NA()),NA())</f>
        <v>137.16</v>
      </c>
      <c r="D470">
        <f>IF(ISNUMBER(K470),IF('Lab test'!Q461&gt;0,'Lab test'!Q461,NA()),NA())</f>
        <v>270</v>
      </c>
      <c r="E470">
        <f>IF(ISNUMBER(K470),IF('Lab test'!P461&gt;0,'Lab test'!P461,NA()),NA())</f>
        <v>0.27048027531119317</v>
      </c>
      <c r="F470">
        <f>IF(ISNUMBER(K470),IF('Lab test'!AJ461&gt;0,'Lab test'!AJ461,NA()),NA())</f>
        <v>3.4722222222222224E-2</v>
      </c>
      <c r="G470">
        <f>IF('Lab test'!V461&gt;0,'Lab test'!V461,NA())</f>
        <v>70326.52</v>
      </c>
      <c r="H470">
        <f>IF(MAX('Lab test'!W461,'Lab test'!X461)&gt;0,MAX('Lab test'!W461,'Lab test'!X461),NA())</f>
        <v>140.65299999999999</v>
      </c>
      <c r="I470">
        <f>IF('Lab test'!AU461&gt;0,'Lab test'!AU461,NA())</f>
        <v>0.42592607283014072</v>
      </c>
      <c r="J470">
        <f>IF('Lab test'!AT461&gt;0,'Lab test'!AT461,NA())</f>
        <v>0.38002239076082484</v>
      </c>
      <c r="K470">
        <f t="shared" si="199"/>
        <v>1</v>
      </c>
      <c r="L470" t="str">
        <f>'Lab test'!AC461</f>
        <v>LTWb</v>
      </c>
      <c r="X470" t="e">
        <v>#N/A</v>
      </c>
      <c r="Z470" t="e">
        <f t="shared" si="189"/>
        <v>#N/A</v>
      </c>
      <c r="AB470" t="e">
        <f t="shared" si="188"/>
        <v>#N/A</v>
      </c>
      <c r="AC470" t="e">
        <f t="shared" si="190"/>
        <v>#N/A</v>
      </c>
      <c r="AE470" t="e">
        <v>#N/A</v>
      </c>
      <c r="AF470" t="e">
        <v>#N/A</v>
      </c>
      <c r="AP470" t="e">
        <v>#N/A</v>
      </c>
      <c r="AR470" t="e">
        <f t="shared" si="191"/>
        <v>#N/A</v>
      </c>
      <c r="AT470" t="e">
        <f t="shared" si="192"/>
        <v>#N/A</v>
      </c>
      <c r="AU470" t="e">
        <f t="shared" si="193"/>
        <v>#N/A</v>
      </c>
      <c r="AW470" t="e">
        <v>#N/A</v>
      </c>
      <c r="AX470" t="e">
        <v>#N/A</v>
      </c>
      <c r="BG470" t="e">
        <v>#N/A</v>
      </c>
      <c r="BI470" t="e">
        <f t="shared" si="194"/>
        <v>#N/A</v>
      </c>
      <c r="BK470" t="e">
        <f t="shared" si="195"/>
        <v>#N/A</v>
      </c>
      <c r="BL470" t="e">
        <f t="shared" si="196"/>
        <v>#N/A</v>
      </c>
      <c r="BN470" t="e">
        <v>#N/A</v>
      </c>
      <c r="BO470" t="e">
        <v>#N/A</v>
      </c>
      <c r="BX470" t="e">
        <v>#N/A</v>
      </c>
      <c r="BZ470" t="e">
        <f t="shared" si="197"/>
        <v>#N/A</v>
      </c>
      <c r="CB470" t="e">
        <f t="shared" si="200"/>
        <v>#N/A</v>
      </c>
      <c r="CC470" t="e">
        <f t="shared" si="198"/>
        <v>#N/A</v>
      </c>
      <c r="CE470" t="e">
        <v>#N/A</v>
      </c>
      <c r="CF470" t="e">
        <v>#N/A</v>
      </c>
    </row>
    <row r="471" spans="2:84">
      <c r="B471">
        <v>459</v>
      </c>
      <c r="C471" t="e">
        <f>IF(ISNUMBER(K471),IF('Lab test'!N462&gt;0,'Lab test'!N462,NA()),NA())</f>
        <v>#N/A</v>
      </c>
      <c r="D471" t="e">
        <f>IF(ISNUMBER(K471),IF('Lab test'!Q462&gt;0,'Lab test'!Q462,NA()),NA())</f>
        <v>#N/A</v>
      </c>
      <c r="E471" t="e">
        <f>IF(ISNUMBER(K471),IF('Lab test'!P462&gt;0,'Lab test'!P462,NA()),NA())</f>
        <v>#N/A</v>
      </c>
      <c r="F471" t="e">
        <f>IF(ISNUMBER(K471),IF('Lab test'!AJ462&gt;0,'Lab test'!AJ462,NA()),NA())</f>
        <v>#N/A</v>
      </c>
      <c r="G471">
        <f>IF('Lab test'!V462&gt;0,'Lab test'!V462,NA())</f>
        <v>68947.570000000007</v>
      </c>
      <c r="H471">
        <f>IF(MAX('Lab test'!W462,'Lab test'!X462)&gt;0,MAX('Lab test'!W462,'Lab test'!X462),NA())</f>
        <v>262.00080000000003</v>
      </c>
      <c r="I471">
        <f>IF('Lab test'!AU462&gt;0,'Lab test'!AU462,NA())</f>
        <v>0.34894733730889366</v>
      </c>
      <c r="J471">
        <f>IF('Lab test'!AT462&gt;0,'Lab test'!AT462,NA())</f>
        <v>0.42132916397780285</v>
      </c>
      <c r="K471" t="e">
        <f t="shared" si="199"/>
        <v>#N/A</v>
      </c>
      <c r="L471" t="str">
        <f>'Lab test'!AC462</f>
        <v>Miscellaneous</v>
      </c>
      <c r="X471" t="e">
        <v>#N/A</v>
      </c>
      <c r="Z471" t="e">
        <f t="shared" si="189"/>
        <v>#N/A</v>
      </c>
      <c r="AB471" t="e">
        <f t="shared" si="188"/>
        <v>#N/A</v>
      </c>
      <c r="AC471" t="e">
        <f t="shared" si="190"/>
        <v>#N/A</v>
      </c>
      <c r="AE471" t="e">
        <v>#N/A</v>
      </c>
      <c r="AF471" t="e">
        <v>#N/A</v>
      </c>
      <c r="AP471" t="e">
        <v>#N/A</v>
      </c>
      <c r="AR471" t="e">
        <f t="shared" si="191"/>
        <v>#N/A</v>
      </c>
      <c r="AT471" t="e">
        <f t="shared" si="192"/>
        <v>#N/A</v>
      </c>
      <c r="AU471" t="e">
        <f t="shared" si="193"/>
        <v>#N/A</v>
      </c>
      <c r="AW471" t="e">
        <v>#N/A</v>
      </c>
      <c r="AX471" t="e">
        <v>#N/A</v>
      </c>
      <c r="BG471" t="e">
        <v>#N/A</v>
      </c>
      <c r="BI471" t="e">
        <f t="shared" si="194"/>
        <v>#N/A</v>
      </c>
      <c r="BK471" t="e">
        <f t="shared" si="195"/>
        <v>#N/A</v>
      </c>
      <c r="BL471" t="e">
        <f t="shared" si="196"/>
        <v>#N/A</v>
      </c>
      <c r="BN471" t="e">
        <v>#N/A</v>
      </c>
      <c r="BO471" t="e">
        <v>#N/A</v>
      </c>
      <c r="BX471" t="e">
        <v>#N/A</v>
      </c>
      <c r="BZ471" t="e">
        <f t="shared" si="197"/>
        <v>#N/A</v>
      </c>
      <c r="CB471" t="e">
        <f t="shared" si="200"/>
        <v>#N/A</v>
      </c>
      <c r="CC471" t="e">
        <f t="shared" si="198"/>
        <v>#N/A</v>
      </c>
      <c r="CE471" t="e">
        <v>#N/A</v>
      </c>
      <c r="CF471" t="e">
        <v>#N/A</v>
      </c>
    </row>
    <row r="472" spans="2:84">
      <c r="B472">
        <v>460</v>
      </c>
      <c r="C472" t="e">
        <f>IF(ISNUMBER(K472),IF('Lab test'!N463&gt;0,'Lab test'!N463,NA()),NA())</f>
        <v>#N/A</v>
      </c>
      <c r="D472" t="e">
        <f>IF(ISNUMBER(K472),IF('Lab test'!Q463&gt;0,'Lab test'!Q463,NA()),NA())</f>
        <v>#N/A</v>
      </c>
      <c r="E472" t="e">
        <f>IF(ISNUMBER(K472),IF('Lab test'!P463&gt;0,'Lab test'!P463,NA()),NA())</f>
        <v>#N/A</v>
      </c>
      <c r="F472" t="e">
        <f>IF(ISNUMBER(K472),IF('Lab test'!AJ463&gt;0,'Lab test'!AJ463,NA()),NA())</f>
        <v>#N/A</v>
      </c>
      <c r="G472">
        <f>IF('Lab test'!V463&gt;0,'Lab test'!V463,NA())</f>
        <v>68947.570000000007</v>
      </c>
      <c r="H472">
        <f>IF(MAX('Lab test'!W463,'Lab test'!X463)&gt;0,MAX('Lab test'!W463,'Lab test'!X463),NA())</f>
        <v>262.00080000000003</v>
      </c>
      <c r="I472">
        <f>IF('Lab test'!AU463&gt;0,'Lab test'!AU463,NA())</f>
        <v>0.49947363967743619</v>
      </c>
      <c r="J472">
        <f>IF('Lab test'!AT463&gt;0,'Lab test'!AT463,NA())</f>
        <v>0.60307899941920817</v>
      </c>
      <c r="K472" t="e">
        <f t="shared" si="199"/>
        <v>#N/A</v>
      </c>
      <c r="L472" t="str">
        <f>'Lab test'!AC463</f>
        <v>Miscellaneous</v>
      </c>
      <c r="X472" t="e">
        <v>#N/A</v>
      </c>
      <c r="Z472" t="e">
        <f t="shared" si="189"/>
        <v>#N/A</v>
      </c>
      <c r="AB472" t="e">
        <f t="shared" si="188"/>
        <v>#N/A</v>
      </c>
      <c r="AC472" t="e">
        <f t="shared" si="190"/>
        <v>#N/A</v>
      </c>
      <c r="AE472" t="e">
        <v>#N/A</v>
      </c>
      <c r="AF472" t="e">
        <v>#N/A</v>
      </c>
      <c r="AP472" t="e">
        <v>#N/A</v>
      </c>
      <c r="AR472" t="e">
        <f t="shared" si="191"/>
        <v>#N/A</v>
      </c>
      <c r="AT472" t="e">
        <f t="shared" si="192"/>
        <v>#N/A</v>
      </c>
      <c r="AU472" t="e">
        <f t="shared" si="193"/>
        <v>#N/A</v>
      </c>
      <c r="AW472" t="e">
        <v>#N/A</v>
      </c>
      <c r="AX472" t="e">
        <v>#N/A</v>
      </c>
      <c r="BG472" t="e">
        <v>#N/A</v>
      </c>
      <c r="BI472" t="e">
        <f t="shared" si="194"/>
        <v>#N/A</v>
      </c>
      <c r="BK472" t="e">
        <f t="shared" si="195"/>
        <v>#N/A</v>
      </c>
      <c r="BL472" t="e">
        <f t="shared" si="196"/>
        <v>#N/A</v>
      </c>
      <c r="BN472" t="e">
        <v>#N/A</v>
      </c>
      <c r="BO472" t="e">
        <v>#N/A</v>
      </c>
      <c r="BX472" t="e">
        <v>#N/A</v>
      </c>
      <c r="BZ472" t="e">
        <f t="shared" si="197"/>
        <v>#N/A</v>
      </c>
      <c r="CB472" t="e">
        <f t="shared" si="200"/>
        <v>#N/A</v>
      </c>
      <c r="CC472" t="e">
        <f t="shared" si="198"/>
        <v>#N/A</v>
      </c>
      <c r="CE472" t="e">
        <v>#N/A</v>
      </c>
      <c r="CF472" t="e">
        <v>#N/A</v>
      </c>
    </row>
    <row r="473" spans="2:84">
      <c r="B473">
        <v>461</v>
      </c>
      <c r="C473" t="e">
        <f>IF(ISNUMBER(K473),IF('Lab test'!N464&gt;0,'Lab test'!N464,NA()),NA())</f>
        <v>#N/A</v>
      </c>
      <c r="D473" t="e">
        <f>IF(ISNUMBER(K473),IF('Lab test'!Q464&gt;0,'Lab test'!Q464,NA()),NA())</f>
        <v>#N/A</v>
      </c>
      <c r="E473" t="e">
        <f>IF(ISNUMBER(K473),IF('Lab test'!P464&gt;0,'Lab test'!P464,NA()),NA())</f>
        <v>#N/A</v>
      </c>
      <c r="F473" t="e">
        <f>IF(ISNUMBER(K473),IF('Lab test'!AJ464&gt;0,'Lab test'!AJ464,NA()),NA())</f>
        <v>#N/A</v>
      </c>
      <c r="G473">
        <f>IF('Lab test'!V464&gt;0,'Lab test'!V464,NA())</f>
        <v>68947.570000000007</v>
      </c>
      <c r="H473">
        <f>IF(MAX('Lab test'!W464,'Lab test'!X464)&gt;0,MAX('Lab test'!W464,'Lab test'!X464),NA())</f>
        <v>262.00080000000003</v>
      </c>
      <c r="I473">
        <f>IF('Lab test'!AU464&gt;0,'Lab test'!AU464,NA())</f>
        <v>0.58947363165303313</v>
      </c>
      <c r="J473">
        <f>IF('Lab test'!AT464&gt;0,'Lab test'!AT464,NA())</f>
        <v>0.66090849251420047</v>
      </c>
      <c r="K473" t="e">
        <f t="shared" si="199"/>
        <v>#N/A</v>
      </c>
      <c r="L473" t="str">
        <f>'Lab test'!AC464</f>
        <v>Miscellaneous</v>
      </c>
      <c r="X473" t="e">
        <v>#N/A</v>
      </c>
      <c r="Z473" t="e">
        <f t="shared" si="189"/>
        <v>#N/A</v>
      </c>
      <c r="AB473" t="e">
        <f t="shared" si="188"/>
        <v>#N/A</v>
      </c>
      <c r="AC473" t="e">
        <f t="shared" si="190"/>
        <v>#N/A</v>
      </c>
      <c r="AE473" t="e">
        <v>#N/A</v>
      </c>
      <c r="AF473" t="e">
        <v>#N/A</v>
      </c>
      <c r="AP473" t="e">
        <v>#N/A</v>
      </c>
      <c r="AR473" t="e">
        <f t="shared" si="191"/>
        <v>#N/A</v>
      </c>
      <c r="AT473" t="e">
        <f t="shared" si="192"/>
        <v>#N/A</v>
      </c>
      <c r="AU473" t="e">
        <f t="shared" si="193"/>
        <v>#N/A</v>
      </c>
      <c r="AW473" t="e">
        <v>#N/A</v>
      </c>
      <c r="AX473" t="e">
        <v>#N/A</v>
      </c>
      <c r="BG473" t="e">
        <v>#N/A</v>
      </c>
      <c r="BI473" t="e">
        <f t="shared" si="194"/>
        <v>#N/A</v>
      </c>
      <c r="BK473" t="e">
        <f t="shared" si="195"/>
        <v>#N/A</v>
      </c>
      <c r="BL473" t="e">
        <f t="shared" si="196"/>
        <v>#N/A</v>
      </c>
      <c r="BN473" t="e">
        <v>#N/A</v>
      </c>
      <c r="BO473" t="e">
        <v>#N/A</v>
      </c>
      <c r="BX473" t="e">
        <v>#N/A</v>
      </c>
      <c r="BZ473" t="e">
        <f t="shared" si="197"/>
        <v>#N/A</v>
      </c>
      <c r="CB473" t="e">
        <f t="shared" si="200"/>
        <v>#N/A</v>
      </c>
      <c r="CC473" t="e">
        <f t="shared" si="198"/>
        <v>#N/A</v>
      </c>
      <c r="CE473" t="e">
        <v>#N/A</v>
      </c>
      <c r="CF473" t="e">
        <v>#N/A</v>
      </c>
    </row>
    <row r="474" spans="2:84">
      <c r="B474">
        <v>462</v>
      </c>
      <c r="C474" t="e">
        <f>IF(ISNUMBER(K474),IF('Lab test'!N465&gt;0,'Lab test'!N465,NA()),NA())</f>
        <v>#N/A</v>
      </c>
      <c r="D474" t="e">
        <f>IF(ISNUMBER(K474),IF('Lab test'!Q465&gt;0,'Lab test'!Q465,NA()),NA())</f>
        <v>#N/A</v>
      </c>
      <c r="E474" t="e">
        <f>IF(ISNUMBER(K474),IF('Lab test'!P465&gt;0,'Lab test'!P465,NA()),NA())</f>
        <v>#N/A</v>
      </c>
      <c r="F474" t="e">
        <f>IF(ISNUMBER(K474),IF('Lab test'!AJ465&gt;0,'Lab test'!AJ465,NA()),NA())</f>
        <v>#N/A</v>
      </c>
      <c r="G474">
        <f>IF('Lab test'!V465&gt;0,'Lab test'!V465,NA())</f>
        <v>68947.570000000007</v>
      </c>
      <c r="H474">
        <f>IF(MAX('Lab test'!W465,'Lab test'!X465)&gt;0,MAX('Lab test'!W465,'Lab test'!X465),NA())</f>
        <v>262.00080000000003</v>
      </c>
      <c r="I474">
        <f>IF('Lab test'!AU465&gt;0,'Lab test'!AU465,NA())</f>
        <v>0.24768418844278331</v>
      </c>
      <c r="J474">
        <f>IF('Lab test'!AT465&gt;0,'Lab test'!AT465,NA())</f>
        <v>0.29906109286267568</v>
      </c>
      <c r="K474" t="e">
        <f t="shared" si="199"/>
        <v>#N/A</v>
      </c>
      <c r="L474" t="str">
        <f>'Lab test'!AC465</f>
        <v>Miscellaneous</v>
      </c>
      <c r="X474" t="e">
        <v>#N/A</v>
      </c>
      <c r="Z474" t="e">
        <f t="shared" si="189"/>
        <v>#N/A</v>
      </c>
      <c r="AB474" t="e">
        <f t="shared" si="188"/>
        <v>#N/A</v>
      </c>
      <c r="AC474" t="e">
        <f t="shared" si="190"/>
        <v>#N/A</v>
      </c>
      <c r="AE474" t="e">
        <v>#N/A</v>
      </c>
      <c r="AF474" t="e">
        <v>#N/A</v>
      </c>
      <c r="AP474" t="e">
        <v>#N/A</v>
      </c>
      <c r="AR474" t="e">
        <f t="shared" si="191"/>
        <v>#N/A</v>
      </c>
      <c r="AT474" t="e">
        <f t="shared" si="192"/>
        <v>#N/A</v>
      </c>
      <c r="AU474" t="e">
        <f t="shared" si="193"/>
        <v>#N/A</v>
      </c>
      <c r="AW474" t="e">
        <v>#N/A</v>
      </c>
      <c r="AX474" t="e">
        <v>#N/A</v>
      </c>
      <c r="BG474" t="e">
        <v>#N/A</v>
      </c>
      <c r="BI474" t="e">
        <f t="shared" si="194"/>
        <v>#N/A</v>
      </c>
      <c r="BK474" t="e">
        <f t="shared" si="195"/>
        <v>#N/A</v>
      </c>
      <c r="BL474" t="e">
        <f t="shared" si="196"/>
        <v>#N/A</v>
      </c>
      <c r="BN474" t="e">
        <v>#N/A</v>
      </c>
      <c r="BO474" t="e">
        <v>#N/A</v>
      </c>
      <c r="BX474" t="e">
        <v>#N/A</v>
      </c>
      <c r="BZ474" t="e">
        <f t="shared" si="197"/>
        <v>#N/A</v>
      </c>
      <c r="CB474" t="e">
        <f t="shared" si="200"/>
        <v>#N/A</v>
      </c>
      <c r="CC474" t="e">
        <f t="shared" si="198"/>
        <v>#N/A</v>
      </c>
      <c r="CE474" t="e">
        <v>#N/A</v>
      </c>
      <c r="CF474" t="e">
        <v>#N/A</v>
      </c>
    </row>
    <row r="475" spans="2:84">
      <c r="B475">
        <v>463</v>
      </c>
      <c r="C475" t="e">
        <f>IF(ISNUMBER(K475),IF('Lab test'!N466&gt;0,'Lab test'!N466,NA()),NA())</f>
        <v>#N/A</v>
      </c>
      <c r="D475" t="e">
        <f>IF(ISNUMBER(K475),IF('Lab test'!Q466&gt;0,'Lab test'!Q466,NA()),NA())</f>
        <v>#N/A</v>
      </c>
      <c r="E475" t="e">
        <f>IF(ISNUMBER(K475),IF('Lab test'!P466&gt;0,'Lab test'!P466,NA()),NA())</f>
        <v>#N/A</v>
      </c>
      <c r="F475" t="e">
        <f>IF(ISNUMBER(K475),IF('Lab test'!AJ466&gt;0,'Lab test'!AJ466,NA()),NA())</f>
        <v>#N/A</v>
      </c>
      <c r="G475">
        <f>IF('Lab test'!V466&gt;0,'Lab test'!V466,NA())</f>
        <v>68947.570000000007</v>
      </c>
      <c r="H475">
        <f>IF(MAX('Lab test'!W466,'Lab test'!X466)&gt;0,MAX('Lab test'!W466,'Lab test'!X466),NA())</f>
        <v>262.00080000000003</v>
      </c>
      <c r="I475">
        <f>IF('Lab test'!AU466&gt;0,'Lab test'!AU466,NA())</f>
        <v>0.53052626848772988</v>
      </c>
      <c r="J475">
        <f>IF('Lab test'!AT466&gt;0,'Lab test'!AT466,NA())</f>
        <v>0.69395391713991061</v>
      </c>
      <c r="K475" t="e">
        <f t="shared" si="199"/>
        <v>#N/A</v>
      </c>
      <c r="L475" t="str">
        <f>'Lab test'!AC466</f>
        <v>Miscellaneous</v>
      </c>
      <c r="X475" t="e">
        <v>#N/A</v>
      </c>
      <c r="Z475" t="e">
        <f t="shared" si="189"/>
        <v>#N/A</v>
      </c>
      <c r="AB475" t="e">
        <f t="shared" si="188"/>
        <v>#N/A</v>
      </c>
      <c r="AC475" t="e">
        <f t="shared" si="190"/>
        <v>#N/A</v>
      </c>
      <c r="AE475" t="e">
        <v>#N/A</v>
      </c>
      <c r="AF475" t="e">
        <v>#N/A</v>
      </c>
      <c r="AP475" t="e">
        <v>#N/A</v>
      </c>
      <c r="AR475" t="e">
        <f t="shared" si="191"/>
        <v>#N/A</v>
      </c>
      <c r="AT475" t="e">
        <f t="shared" si="192"/>
        <v>#N/A</v>
      </c>
      <c r="AU475" t="e">
        <f t="shared" si="193"/>
        <v>#N/A</v>
      </c>
      <c r="AW475" t="e">
        <v>#N/A</v>
      </c>
      <c r="AX475" t="e">
        <v>#N/A</v>
      </c>
      <c r="BG475" t="e">
        <v>#N/A</v>
      </c>
      <c r="BI475" t="e">
        <f t="shared" si="194"/>
        <v>#N/A</v>
      </c>
      <c r="BK475" t="e">
        <f t="shared" si="195"/>
        <v>#N/A</v>
      </c>
      <c r="BL475" t="e">
        <f t="shared" si="196"/>
        <v>#N/A</v>
      </c>
      <c r="BN475" t="e">
        <v>#N/A</v>
      </c>
      <c r="BO475" t="e">
        <v>#N/A</v>
      </c>
      <c r="BX475" t="e">
        <v>#N/A</v>
      </c>
      <c r="BZ475" t="e">
        <f t="shared" si="197"/>
        <v>#N/A</v>
      </c>
      <c r="CB475" t="e">
        <f t="shared" si="200"/>
        <v>#N/A</v>
      </c>
      <c r="CC475" t="e">
        <f t="shared" si="198"/>
        <v>#N/A</v>
      </c>
      <c r="CE475" t="e">
        <v>#N/A</v>
      </c>
      <c r="CF475" t="e">
        <v>#N/A</v>
      </c>
    </row>
    <row r="476" spans="2:84">
      <c r="B476">
        <v>464</v>
      </c>
      <c r="C476" t="e">
        <f>IF(ISNUMBER(K476),IF('Lab test'!N467&gt;0,'Lab test'!N467,NA()),NA())</f>
        <v>#N/A</v>
      </c>
      <c r="D476" t="e">
        <f>IF(ISNUMBER(K476),IF('Lab test'!Q467&gt;0,'Lab test'!Q467,NA()),NA())</f>
        <v>#N/A</v>
      </c>
      <c r="E476" t="e">
        <f>IF(ISNUMBER(K476),IF('Lab test'!P467&gt;0,'Lab test'!P467,NA()),NA())</f>
        <v>#N/A</v>
      </c>
      <c r="F476" t="e">
        <f>IF(ISNUMBER(K476),IF('Lab test'!AJ467&gt;0,'Lab test'!AJ467,NA()),NA())</f>
        <v>#N/A</v>
      </c>
      <c r="G476">
        <f>IF('Lab test'!V467&gt;0,'Lab test'!V467,NA())</f>
        <v>180642.640736</v>
      </c>
      <c r="H476">
        <f>IF(MAX('Lab test'!W467,'Lab test'!X467)&gt;0,MAX('Lab test'!W467,'Lab test'!X467),NA())</f>
        <v>999.73980560000007</v>
      </c>
      <c r="I476">
        <f>IF('Lab test'!AU467&gt;0,'Lab test'!AU467,NA())</f>
        <v>5.8846795262787806E-2</v>
      </c>
      <c r="J476">
        <f>IF('Lab test'!AT467&gt;0,'Lab test'!AT467,NA())</f>
        <v>0.44468790808964898</v>
      </c>
      <c r="K476" t="e">
        <f t="shared" si="199"/>
        <v>#N/A</v>
      </c>
      <c r="L476" t="str">
        <f>'Lab test'!AC467</f>
        <v>Electroforming</v>
      </c>
      <c r="X476" t="e">
        <v>#N/A</v>
      </c>
      <c r="Z476" t="e">
        <f t="shared" si="189"/>
        <v>#N/A</v>
      </c>
      <c r="AB476" t="e">
        <f t="shared" si="188"/>
        <v>#N/A</v>
      </c>
      <c r="AC476" t="e">
        <f t="shared" si="190"/>
        <v>#N/A</v>
      </c>
      <c r="AE476" t="e">
        <v>#N/A</v>
      </c>
      <c r="AF476" t="e">
        <v>#N/A</v>
      </c>
      <c r="AP476" t="e">
        <v>#N/A</v>
      </c>
      <c r="AR476" t="e">
        <f t="shared" si="191"/>
        <v>#N/A</v>
      </c>
      <c r="AT476" t="e">
        <f t="shared" si="192"/>
        <v>#N/A</v>
      </c>
      <c r="AU476" t="e">
        <f t="shared" si="193"/>
        <v>#N/A</v>
      </c>
      <c r="AW476" t="e">
        <v>#N/A</v>
      </c>
      <c r="AX476" t="e">
        <v>#N/A</v>
      </c>
      <c r="BG476" t="e">
        <v>#N/A</v>
      </c>
      <c r="BI476" t="e">
        <f t="shared" si="194"/>
        <v>#N/A</v>
      </c>
      <c r="BK476" t="e">
        <f t="shared" si="195"/>
        <v>#N/A</v>
      </c>
      <c r="BL476" t="e">
        <f t="shared" si="196"/>
        <v>#N/A</v>
      </c>
      <c r="BN476" t="e">
        <v>#N/A</v>
      </c>
      <c r="BO476" t="e">
        <v>#N/A</v>
      </c>
      <c r="BX476" t="e">
        <v>#N/A</v>
      </c>
      <c r="BZ476" t="e">
        <f t="shared" si="197"/>
        <v>#N/A</v>
      </c>
      <c r="CB476" t="e">
        <f t="shared" si="200"/>
        <v>#N/A</v>
      </c>
      <c r="CC476" t="e">
        <f t="shared" si="198"/>
        <v>#N/A</v>
      </c>
      <c r="CE476" t="e">
        <v>#N/A</v>
      </c>
      <c r="CF476" t="e">
        <v>#N/A</v>
      </c>
    </row>
    <row r="477" spans="2:84">
      <c r="B477">
        <v>465</v>
      </c>
      <c r="C477" t="e">
        <f>IF(ISNUMBER(K477),IF('Lab test'!N468&gt;0,'Lab test'!N468,NA()),NA())</f>
        <v>#N/A</v>
      </c>
      <c r="D477" t="e">
        <f>IF(ISNUMBER(K477),IF('Lab test'!Q468&gt;0,'Lab test'!Q468,NA()),NA())</f>
        <v>#N/A</v>
      </c>
      <c r="E477" t="e">
        <f>IF(ISNUMBER(K477),IF('Lab test'!P468&gt;0,'Lab test'!P468,NA()),NA())</f>
        <v>#N/A</v>
      </c>
      <c r="F477" t="e">
        <f>IF(ISNUMBER(K477),IF('Lab test'!AJ468&gt;0,'Lab test'!AJ468,NA()),NA())</f>
        <v>#N/A</v>
      </c>
      <c r="G477">
        <f>IF('Lab test'!V468&gt;0,'Lab test'!V468,NA())</f>
        <v>179263.68927999999</v>
      </c>
      <c r="H477">
        <f>IF(MAX('Lab test'!W468,'Lab test'!X468)&gt;0,MAX('Lab test'!W468,'Lab test'!X468),NA())</f>
        <v>999.73980560000007</v>
      </c>
      <c r="I477">
        <f>IF('Lab test'!AU468&gt;0,'Lab test'!AU468,NA())</f>
        <v>0.10403896169729526</v>
      </c>
      <c r="J477">
        <f>IF('Lab test'!AT468&gt;0,'Lab test'!AT468,NA())</f>
        <v>0.77082755851496021</v>
      </c>
      <c r="K477" t="e">
        <f t="shared" si="199"/>
        <v>#N/A</v>
      </c>
      <c r="L477" t="str">
        <f>'Lab test'!AC468</f>
        <v>Electroforming</v>
      </c>
      <c r="X477" t="e">
        <v>#N/A</v>
      </c>
      <c r="Z477" t="e">
        <f t="shared" si="189"/>
        <v>#N/A</v>
      </c>
      <c r="AB477" t="e">
        <f t="shared" si="188"/>
        <v>#N/A</v>
      </c>
      <c r="AC477" t="e">
        <f t="shared" si="190"/>
        <v>#N/A</v>
      </c>
      <c r="AE477" t="e">
        <v>#N/A</v>
      </c>
      <c r="AF477" t="e">
        <v>#N/A</v>
      </c>
      <c r="AP477" t="e">
        <v>#N/A</v>
      </c>
      <c r="AR477" t="e">
        <f t="shared" si="191"/>
        <v>#N/A</v>
      </c>
      <c r="AT477" t="e">
        <f t="shared" si="192"/>
        <v>#N/A</v>
      </c>
      <c r="AU477" t="e">
        <f t="shared" si="193"/>
        <v>#N/A</v>
      </c>
      <c r="AW477" t="e">
        <v>#N/A</v>
      </c>
      <c r="AX477" t="e">
        <v>#N/A</v>
      </c>
      <c r="BG477" t="e">
        <v>#N/A</v>
      </c>
      <c r="BI477" t="e">
        <f t="shared" si="194"/>
        <v>#N/A</v>
      </c>
      <c r="BK477" t="e">
        <f t="shared" si="195"/>
        <v>#N/A</v>
      </c>
      <c r="BL477" t="e">
        <f t="shared" si="196"/>
        <v>#N/A</v>
      </c>
      <c r="BN477" t="e">
        <v>#N/A</v>
      </c>
      <c r="BO477" t="e">
        <v>#N/A</v>
      </c>
      <c r="BX477" t="e">
        <v>#N/A</v>
      </c>
      <c r="BZ477" t="e">
        <f t="shared" si="197"/>
        <v>#N/A</v>
      </c>
      <c r="CB477" t="e">
        <f t="shared" si="200"/>
        <v>#N/A</v>
      </c>
      <c r="CC477" t="e">
        <f t="shared" si="198"/>
        <v>#N/A</v>
      </c>
      <c r="CE477" t="e">
        <v>#N/A</v>
      </c>
      <c r="CF477" t="e">
        <v>#N/A</v>
      </c>
    </row>
    <row r="478" spans="2:84">
      <c r="B478">
        <v>466</v>
      </c>
      <c r="C478" t="e">
        <f>IF(ISNUMBER(K478),IF('Lab test'!N469&gt;0,'Lab test'!N469,NA()),NA())</f>
        <v>#N/A</v>
      </c>
      <c r="D478" t="e">
        <f>IF(ISNUMBER(K478),IF('Lab test'!Q469&gt;0,'Lab test'!Q469,NA()),NA())</f>
        <v>#N/A</v>
      </c>
      <c r="E478" t="e">
        <f>IF(ISNUMBER(K478),IF('Lab test'!P469&gt;0,'Lab test'!P469,NA()),NA())</f>
        <v>#N/A</v>
      </c>
      <c r="F478" t="e">
        <f>IF(ISNUMBER(K478),IF('Lab test'!AJ469&gt;0,'Lab test'!AJ469,NA()),NA())</f>
        <v>#N/A</v>
      </c>
      <c r="G478">
        <f>IF('Lab test'!V469&gt;0,'Lab test'!V469,NA())</f>
        <v>193742.67956800002</v>
      </c>
      <c r="H478">
        <f>IF(MAX('Lab test'!W469,'Lab test'!X469)&gt;0,MAX('Lab test'!W469,'Lab test'!X469),NA())</f>
        <v>999.73980560000007</v>
      </c>
      <c r="I478">
        <f>IF('Lab test'!AU469&gt;0,'Lab test'!AU469,NA())</f>
        <v>5.7982056717038606E-2</v>
      </c>
      <c r="J478">
        <f>IF('Lab test'!AT469&gt;0,'Lab test'!AT469,NA())</f>
        <v>0.42628936420237257</v>
      </c>
      <c r="K478" t="e">
        <f t="shared" si="199"/>
        <v>#N/A</v>
      </c>
      <c r="L478" t="str">
        <f>'Lab test'!AC469</f>
        <v>Electroforming</v>
      </c>
      <c r="X478" t="e">
        <v>#N/A</v>
      </c>
      <c r="Z478" t="e">
        <f t="shared" si="189"/>
        <v>#N/A</v>
      </c>
      <c r="AB478" t="e">
        <f t="shared" si="188"/>
        <v>#N/A</v>
      </c>
      <c r="AC478" t="e">
        <f t="shared" si="190"/>
        <v>#N/A</v>
      </c>
      <c r="AE478" t="e">
        <v>#N/A</v>
      </c>
      <c r="AF478" t="e">
        <v>#N/A</v>
      </c>
      <c r="AP478" t="e">
        <v>#N/A</v>
      </c>
      <c r="AR478" t="e">
        <f t="shared" si="191"/>
        <v>#N/A</v>
      </c>
      <c r="AT478" t="e">
        <f t="shared" si="192"/>
        <v>#N/A</v>
      </c>
      <c r="AU478" t="e">
        <f t="shared" si="193"/>
        <v>#N/A</v>
      </c>
      <c r="AW478" t="e">
        <v>#N/A</v>
      </c>
      <c r="AX478" t="e">
        <v>#N/A</v>
      </c>
      <c r="BG478" t="e">
        <v>#N/A</v>
      </c>
      <c r="BI478" t="e">
        <f t="shared" si="194"/>
        <v>#N/A</v>
      </c>
      <c r="BK478" t="e">
        <f t="shared" si="195"/>
        <v>#N/A</v>
      </c>
      <c r="BL478" t="e">
        <f t="shared" si="196"/>
        <v>#N/A</v>
      </c>
      <c r="BN478" t="e">
        <v>#N/A</v>
      </c>
      <c r="BO478" t="e">
        <v>#N/A</v>
      </c>
      <c r="BX478" t="e">
        <v>#N/A</v>
      </c>
      <c r="BZ478" t="e">
        <f t="shared" si="197"/>
        <v>#N/A</v>
      </c>
      <c r="CB478" t="e">
        <f t="shared" si="200"/>
        <v>#N/A</v>
      </c>
      <c r="CC478" t="e">
        <f t="shared" si="198"/>
        <v>#N/A</v>
      </c>
      <c r="CE478" t="e">
        <v>#N/A</v>
      </c>
      <c r="CF478" t="e">
        <v>#N/A</v>
      </c>
    </row>
    <row r="479" spans="2:84">
      <c r="B479">
        <v>467</v>
      </c>
      <c r="C479" t="e">
        <f>IF(ISNUMBER(K479),IF('Lab test'!N470&gt;0,'Lab test'!N470,NA()),NA())</f>
        <v>#N/A</v>
      </c>
      <c r="D479" t="e">
        <f>IF(ISNUMBER(K479),IF('Lab test'!Q470&gt;0,'Lab test'!Q470,NA()),NA())</f>
        <v>#N/A</v>
      </c>
      <c r="E479" t="e">
        <f>IF(ISNUMBER(K479),IF('Lab test'!P470&gt;0,'Lab test'!P470,NA()),NA())</f>
        <v>#N/A</v>
      </c>
      <c r="F479" t="e">
        <f>IF(ISNUMBER(K479),IF('Lab test'!AJ470&gt;0,'Lab test'!AJ470,NA()),NA())</f>
        <v>#N/A</v>
      </c>
      <c r="G479">
        <f>IF('Lab test'!V470&gt;0,'Lab test'!V470,NA())</f>
        <v>184779.49510400003</v>
      </c>
      <c r="H479">
        <f>IF(MAX('Lab test'!W470,'Lab test'!X470)&gt;0,MAX('Lab test'!W470,'Lab test'!X470),NA())</f>
        <v>999.73980560000007</v>
      </c>
      <c r="I479">
        <f>IF('Lab test'!AU470&gt;0,'Lab test'!AU470,NA())</f>
        <v>5.7364641036656873E-2</v>
      </c>
      <c r="J479">
        <f>IF('Lab test'!AT470&gt;0,'Lab test'!AT470,NA())</f>
        <v>0.4358908350631388</v>
      </c>
      <c r="K479" t="e">
        <f t="shared" si="199"/>
        <v>#N/A</v>
      </c>
      <c r="L479" t="str">
        <f>'Lab test'!AC470</f>
        <v>Electroforming</v>
      </c>
      <c r="X479" t="e">
        <v>#N/A</v>
      </c>
      <c r="Z479" t="e">
        <f t="shared" si="189"/>
        <v>#N/A</v>
      </c>
      <c r="AB479" t="e">
        <f t="shared" si="188"/>
        <v>#N/A</v>
      </c>
      <c r="AC479" t="e">
        <f t="shared" si="190"/>
        <v>#N/A</v>
      </c>
      <c r="AE479" t="e">
        <v>#N/A</v>
      </c>
      <c r="AF479" t="e">
        <v>#N/A</v>
      </c>
      <c r="AP479" t="e">
        <v>#N/A</v>
      </c>
      <c r="AR479" t="e">
        <f t="shared" si="191"/>
        <v>#N/A</v>
      </c>
      <c r="AT479" t="e">
        <f t="shared" si="192"/>
        <v>#N/A</v>
      </c>
      <c r="AU479" t="e">
        <f t="shared" si="193"/>
        <v>#N/A</v>
      </c>
      <c r="AW479" t="e">
        <v>#N/A</v>
      </c>
      <c r="AX479" t="e">
        <v>#N/A</v>
      </c>
      <c r="BG479" t="e">
        <v>#N/A</v>
      </c>
      <c r="BI479" t="e">
        <f t="shared" si="194"/>
        <v>#N/A</v>
      </c>
      <c r="BK479" t="e">
        <f t="shared" si="195"/>
        <v>#N/A</v>
      </c>
      <c r="BL479" t="e">
        <f t="shared" si="196"/>
        <v>#N/A</v>
      </c>
      <c r="BN479" t="e">
        <v>#N/A</v>
      </c>
      <c r="BO479" t="e">
        <v>#N/A</v>
      </c>
      <c r="BX479" t="e">
        <v>#N/A</v>
      </c>
      <c r="BZ479" t="e">
        <f t="shared" si="197"/>
        <v>#N/A</v>
      </c>
      <c r="CB479" t="e">
        <f t="shared" si="200"/>
        <v>#N/A</v>
      </c>
      <c r="CC479" t="e">
        <f t="shared" si="198"/>
        <v>#N/A</v>
      </c>
      <c r="CE479" t="e">
        <v>#N/A</v>
      </c>
      <c r="CF479" t="e">
        <v>#N/A</v>
      </c>
    </row>
    <row r="480" spans="2:84">
      <c r="B480">
        <v>468</v>
      </c>
      <c r="C480" t="e">
        <f>IF(ISNUMBER(K480),IF('Lab test'!N471&gt;0,'Lab test'!N471,NA()),NA())</f>
        <v>#N/A</v>
      </c>
      <c r="D480" t="e">
        <f>IF(ISNUMBER(K480),IF('Lab test'!Q471&gt;0,'Lab test'!Q471,NA()),NA())</f>
        <v>#N/A</v>
      </c>
      <c r="E480" t="e">
        <f>IF(ISNUMBER(K480),IF('Lab test'!P471&gt;0,'Lab test'!P471,NA()),NA())</f>
        <v>#N/A</v>
      </c>
      <c r="F480" t="e">
        <f>IF(ISNUMBER(K480),IF('Lab test'!AJ471&gt;0,'Lab test'!AJ471,NA()),NA())</f>
        <v>#N/A</v>
      </c>
      <c r="G480">
        <f>IF('Lab test'!V471&gt;0,'Lab test'!V471,NA())</f>
        <v>176505.78636800003</v>
      </c>
      <c r="H480">
        <f>IF(MAX('Lab test'!W471,'Lab test'!X471)&gt;0,MAX('Lab test'!W471,'Lab test'!X471),NA())</f>
        <v>999.73980560000007</v>
      </c>
      <c r="I480">
        <f>IF('Lab test'!AU471&gt;0,'Lab test'!AU471,NA())</f>
        <v>7.9947101535250295E-2</v>
      </c>
      <c r="J480">
        <f>IF('Lab test'!AT471&gt;0,'Lab test'!AT471,NA())</f>
        <v>0.68488190596219656</v>
      </c>
      <c r="K480" t="e">
        <f t="shared" si="199"/>
        <v>#N/A</v>
      </c>
      <c r="L480" t="str">
        <f>'Lab test'!AC471</f>
        <v>Electroforming</v>
      </c>
      <c r="X480" t="e">
        <v>#N/A</v>
      </c>
      <c r="Z480" t="e">
        <f t="shared" si="189"/>
        <v>#N/A</v>
      </c>
      <c r="AB480" t="e">
        <f t="shared" si="188"/>
        <v>#N/A</v>
      </c>
      <c r="AC480" t="e">
        <f t="shared" si="190"/>
        <v>#N/A</v>
      </c>
      <c r="AE480" t="e">
        <v>#N/A</v>
      </c>
      <c r="AF480" t="e">
        <v>#N/A</v>
      </c>
      <c r="AP480" t="e">
        <v>#N/A</v>
      </c>
      <c r="AR480" t="e">
        <f t="shared" si="191"/>
        <v>#N/A</v>
      </c>
      <c r="AT480" t="e">
        <f t="shared" si="192"/>
        <v>#N/A</v>
      </c>
      <c r="AU480" t="e">
        <f t="shared" si="193"/>
        <v>#N/A</v>
      </c>
      <c r="AW480" t="e">
        <v>#N/A</v>
      </c>
      <c r="AX480" t="e">
        <v>#N/A</v>
      </c>
      <c r="BG480" t="e">
        <v>#N/A</v>
      </c>
      <c r="BI480" t="e">
        <f t="shared" si="194"/>
        <v>#N/A</v>
      </c>
      <c r="BK480" t="e">
        <f t="shared" si="195"/>
        <v>#N/A</v>
      </c>
      <c r="BL480" t="e">
        <f t="shared" si="196"/>
        <v>#N/A</v>
      </c>
      <c r="BN480" t="e">
        <v>#N/A</v>
      </c>
      <c r="BO480" t="e">
        <v>#N/A</v>
      </c>
      <c r="BX480" t="e">
        <v>#N/A</v>
      </c>
      <c r="BZ480" t="e">
        <f t="shared" si="197"/>
        <v>#N/A</v>
      </c>
      <c r="CB480" t="e">
        <f t="shared" si="200"/>
        <v>#N/A</v>
      </c>
      <c r="CC480" t="e">
        <f t="shared" si="198"/>
        <v>#N/A</v>
      </c>
      <c r="CE480" t="e">
        <v>#N/A</v>
      </c>
      <c r="CF480" t="e">
        <v>#N/A</v>
      </c>
    </row>
    <row r="481" spans="2:84">
      <c r="B481">
        <v>469</v>
      </c>
      <c r="C481" t="e">
        <f>IF(ISNUMBER(K481),IF('Lab test'!N472&gt;0,'Lab test'!N472,NA()),NA())</f>
        <v>#N/A</v>
      </c>
      <c r="D481" t="e">
        <f>IF(ISNUMBER(K481),IF('Lab test'!Q472&gt;0,'Lab test'!Q472,NA()),NA())</f>
        <v>#N/A</v>
      </c>
      <c r="E481" t="e">
        <f>IF(ISNUMBER(K481),IF('Lab test'!P472&gt;0,'Lab test'!P472,NA()),NA())</f>
        <v>#N/A</v>
      </c>
      <c r="F481" t="e">
        <f>IF(ISNUMBER(K481),IF('Lab test'!AJ472&gt;0,'Lab test'!AJ472,NA()),NA())</f>
        <v>#N/A</v>
      </c>
      <c r="G481">
        <f>IF('Lab test'!V472&gt;0,'Lab test'!V472,NA())</f>
        <v>189605.82519999999</v>
      </c>
      <c r="H481">
        <f>IF(MAX('Lab test'!W472,'Lab test'!X472)&gt;0,MAX('Lab test'!W472,'Lab test'!X472),NA())</f>
        <v>999.73980560000007</v>
      </c>
      <c r="I481">
        <f>IF('Lab test'!AU472&gt;0,'Lab test'!AU472,NA())</f>
        <v>8.6441010463035081E-2</v>
      </c>
      <c r="J481">
        <f>IF('Lab test'!AT472&gt;0,'Lab test'!AT472,NA())</f>
        <v>0.58957605981876582</v>
      </c>
      <c r="K481" t="e">
        <f t="shared" si="199"/>
        <v>#N/A</v>
      </c>
      <c r="L481" t="str">
        <f>'Lab test'!AC472</f>
        <v>Electroforming</v>
      </c>
      <c r="X481" t="e">
        <v>#N/A</v>
      </c>
      <c r="Z481" t="e">
        <f t="shared" si="189"/>
        <v>#N/A</v>
      </c>
      <c r="AB481" t="e">
        <f t="shared" si="188"/>
        <v>#N/A</v>
      </c>
      <c r="AC481" t="e">
        <f t="shared" si="190"/>
        <v>#N/A</v>
      </c>
      <c r="AE481" t="e">
        <v>#N/A</v>
      </c>
      <c r="AF481" t="e">
        <v>#N/A</v>
      </c>
      <c r="AP481" t="e">
        <v>#N/A</v>
      </c>
      <c r="AR481" t="e">
        <f t="shared" si="191"/>
        <v>#N/A</v>
      </c>
      <c r="AT481" t="e">
        <f t="shared" si="192"/>
        <v>#N/A</v>
      </c>
      <c r="AU481" t="e">
        <f t="shared" si="193"/>
        <v>#N/A</v>
      </c>
      <c r="AW481" t="e">
        <v>#N/A</v>
      </c>
      <c r="AX481" t="e">
        <v>#N/A</v>
      </c>
      <c r="BG481" t="e">
        <v>#N/A</v>
      </c>
      <c r="BI481" t="e">
        <f t="shared" si="194"/>
        <v>#N/A</v>
      </c>
      <c r="BK481" t="e">
        <f t="shared" si="195"/>
        <v>#N/A</v>
      </c>
      <c r="BL481" t="e">
        <f t="shared" si="196"/>
        <v>#N/A</v>
      </c>
      <c r="BN481" t="e">
        <v>#N/A</v>
      </c>
      <c r="BO481" t="e">
        <v>#N/A</v>
      </c>
      <c r="BX481" t="e">
        <v>#N/A</v>
      </c>
      <c r="BZ481" t="e">
        <f t="shared" si="197"/>
        <v>#N/A</v>
      </c>
      <c r="CB481" t="e">
        <f t="shared" si="200"/>
        <v>#N/A</v>
      </c>
      <c r="CC481" t="e">
        <f t="shared" si="198"/>
        <v>#N/A</v>
      </c>
      <c r="CE481" t="e">
        <v>#N/A</v>
      </c>
      <c r="CF481" t="e">
        <v>#N/A</v>
      </c>
    </row>
    <row r="482" spans="2:84">
      <c r="B482">
        <v>470</v>
      </c>
      <c r="C482" t="e">
        <f>IF(ISNUMBER(K482),IF('Lab test'!N473&gt;0,'Lab test'!N473,NA()),NA())</f>
        <v>#N/A</v>
      </c>
      <c r="D482" t="e">
        <f>IF(ISNUMBER(K482),IF('Lab test'!Q473&gt;0,'Lab test'!Q473,NA()),NA())</f>
        <v>#N/A</v>
      </c>
      <c r="E482" t="e">
        <f>IF(ISNUMBER(K482),IF('Lab test'!P473&gt;0,'Lab test'!P473,NA()),NA())</f>
        <v>#N/A</v>
      </c>
      <c r="F482" t="e">
        <f>IF(ISNUMBER(K482),IF('Lab test'!AJ473&gt;0,'Lab test'!AJ473,NA()),NA())</f>
        <v>#N/A</v>
      </c>
      <c r="G482">
        <f>IF('Lab test'!V473&gt;0,'Lab test'!V473,NA())</f>
        <v>174437.35918400003</v>
      </c>
      <c r="H482">
        <f>IF(MAX('Lab test'!W473,'Lab test'!X473)&gt;0,MAX('Lab test'!W473,'Lab test'!X473),NA())</f>
        <v>999.73980560000007</v>
      </c>
      <c r="I482">
        <f>IF('Lab test'!AU473&gt;0,'Lab test'!AU473,NA())</f>
        <v>7.8223179068827683E-2</v>
      </c>
      <c r="J482">
        <f>IF('Lab test'!AT473&gt;0,'Lab test'!AT473,NA())</f>
        <v>0.6121371483285547</v>
      </c>
      <c r="K482" t="e">
        <f t="shared" si="199"/>
        <v>#N/A</v>
      </c>
      <c r="L482" t="str">
        <f>'Lab test'!AC473</f>
        <v>Electroforming</v>
      </c>
      <c r="X482" t="e">
        <v>#N/A</v>
      </c>
      <c r="Z482" t="e">
        <f t="shared" si="189"/>
        <v>#N/A</v>
      </c>
      <c r="AB482" t="e">
        <f t="shared" si="188"/>
        <v>#N/A</v>
      </c>
      <c r="AC482" t="e">
        <f t="shared" si="190"/>
        <v>#N/A</v>
      </c>
      <c r="AE482" t="e">
        <v>#N/A</v>
      </c>
      <c r="AF482" t="e">
        <v>#N/A</v>
      </c>
      <c r="AP482" t="e">
        <v>#N/A</v>
      </c>
      <c r="AR482" t="e">
        <f t="shared" si="191"/>
        <v>#N/A</v>
      </c>
      <c r="AT482" t="e">
        <f t="shared" si="192"/>
        <v>#N/A</v>
      </c>
      <c r="AU482" t="e">
        <f t="shared" si="193"/>
        <v>#N/A</v>
      </c>
      <c r="AW482" t="e">
        <v>#N/A</v>
      </c>
      <c r="AX482" t="e">
        <v>#N/A</v>
      </c>
      <c r="BG482" t="e">
        <v>#N/A</v>
      </c>
      <c r="BI482" t="e">
        <f t="shared" si="194"/>
        <v>#N/A</v>
      </c>
      <c r="BK482" t="e">
        <f t="shared" si="195"/>
        <v>#N/A</v>
      </c>
      <c r="BL482" t="e">
        <f t="shared" si="196"/>
        <v>#N/A</v>
      </c>
      <c r="BN482" t="e">
        <v>#N/A</v>
      </c>
      <c r="BO482" t="e">
        <v>#N/A</v>
      </c>
      <c r="BX482" t="e">
        <v>#N/A</v>
      </c>
      <c r="BZ482" t="e">
        <f t="shared" si="197"/>
        <v>#N/A</v>
      </c>
      <c r="CB482" t="e">
        <f t="shared" si="200"/>
        <v>#N/A</v>
      </c>
      <c r="CC482" t="e">
        <f t="shared" si="198"/>
        <v>#N/A</v>
      </c>
      <c r="CE482" t="e">
        <v>#N/A</v>
      </c>
      <c r="CF482" t="e">
        <v>#N/A</v>
      </c>
    </row>
    <row r="483" spans="2:84">
      <c r="B483">
        <v>471</v>
      </c>
      <c r="C483" t="e">
        <f>IF(ISNUMBER(K483),IF('Lab test'!N474&gt;0,'Lab test'!N474,NA()),NA())</f>
        <v>#N/A</v>
      </c>
      <c r="D483" t="e">
        <f>IF(ISNUMBER(K483),IF('Lab test'!Q474&gt;0,'Lab test'!Q474,NA()),NA())</f>
        <v>#N/A</v>
      </c>
      <c r="E483" t="e">
        <f>IF(ISNUMBER(K483),IF('Lab test'!P474&gt;0,'Lab test'!P474,NA()),NA())</f>
        <v>#N/A</v>
      </c>
      <c r="F483" t="e">
        <f>IF(ISNUMBER(K483),IF('Lab test'!AJ474&gt;0,'Lab test'!AJ474,NA()),NA())</f>
        <v>#N/A</v>
      </c>
      <c r="G483">
        <f>IF('Lab test'!V474&gt;0,'Lab test'!V474,NA())</f>
        <v>173747.88345600001</v>
      </c>
      <c r="H483">
        <f>IF(MAX('Lab test'!W474,'Lab test'!X474)&gt;0,MAX('Lab test'!W474,'Lab test'!X474),NA())</f>
        <v>999.73980560000007</v>
      </c>
      <c r="I483">
        <f>IF('Lab test'!AU474&gt;0,'Lab test'!AU474,NA())</f>
        <v>7.5610290476078437E-2</v>
      </c>
      <c r="J483">
        <f>IF('Lab test'!AT474&gt;0,'Lab test'!AT474,NA())</f>
        <v>0.57798283048033117</v>
      </c>
      <c r="K483" t="e">
        <f t="shared" si="199"/>
        <v>#N/A</v>
      </c>
      <c r="L483" t="str">
        <f>'Lab test'!AC474</f>
        <v>Electroforming</v>
      </c>
      <c r="X483" t="e">
        <v>#N/A</v>
      </c>
      <c r="Z483" t="e">
        <f t="shared" si="189"/>
        <v>#N/A</v>
      </c>
      <c r="AB483" t="e">
        <f t="shared" si="188"/>
        <v>#N/A</v>
      </c>
      <c r="AC483" t="e">
        <f t="shared" si="190"/>
        <v>#N/A</v>
      </c>
      <c r="AE483" t="e">
        <v>#N/A</v>
      </c>
      <c r="AF483" t="e">
        <v>#N/A</v>
      </c>
      <c r="AP483" t="e">
        <v>#N/A</v>
      </c>
      <c r="AR483" t="e">
        <f t="shared" si="191"/>
        <v>#N/A</v>
      </c>
      <c r="AT483" t="e">
        <f t="shared" si="192"/>
        <v>#N/A</v>
      </c>
      <c r="AU483" t="e">
        <f t="shared" si="193"/>
        <v>#N/A</v>
      </c>
      <c r="AW483" t="e">
        <v>#N/A</v>
      </c>
      <c r="AX483" t="e">
        <v>#N/A</v>
      </c>
      <c r="BG483" t="e">
        <v>#N/A</v>
      </c>
      <c r="BI483" t="e">
        <f t="shared" si="194"/>
        <v>#N/A</v>
      </c>
      <c r="BK483" t="e">
        <f t="shared" si="195"/>
        <v>#N/A</v>
      </c>
      <c r="BL483" t="e">
        <f t="shared" si="196"/>
        <v>#N/A</v>
      </c>
      <c r="BN483" t="e">
        <v>#N/A</v>
      </c>
      <c r="BO483" t="e">
        <v>#N/A</v>
      </c>
      <c r="BX483" t="e">
        <v>#N/A</v>
      </c>
      <c r="BZ483" t="e">
        <f t="shared" si="197"/>
        <v>#N/A</v>
      </c>
      <c r="CB483" t="e">
        <f t="shared" si="200"/>
        <v>#N/A</v>
      </c>
      <c r="CC483" t="e">
        <f t="shared" si="198"/>
        <v>#N/A</v>
      </c>
      <c r="CE483" t="e">
        <v>#N/A</v>
      </c>
      <c r="CF483" t="e">
        <v>#N/A</v>
      </c>
    </row>
    <row r="484" spans="2:84">
      <c r="B484">
        <v>472</v>
      </c>
      <c r="C484" t="e">
        <f>IF(ISNUMBER(K484),IF('Lab test'!N475&gt;0,'Lab test'!N475,NA()),NA())</f>
        <v>#N/A</v>
      </c>
      <c r="D484" t="e">
        <f>IF(ISNUMBER(K484),IF('Lab test'!Q475&gt;0,'Lab test'!Q475,NA()),NA())</f>
        <v>#N/A</v>
      </c>
      <c r="E484" t="e">
        <f>IF(ISNUMBER(K484),IF('Lab test'!P475&gt;0,'Lab test'!P475,NA()),NA())</f>
        <v>#N/A</v>
      </c>
      <c r="F484" t="e">
        <f>IF(ISNUMBER(K484),IF('Lab test'!AJ475&gt;0,'Lab test'!AJ475,NA()),NA())</f>
        <v>#N/A</v>
      </c>
      <c r="G484">
        <f>IF('Lab test'!V475&gt;0,'Lab test'!V475,NA())</f>
        <v>194432.15529600001</v>
      </c>
      <c r="H484">
        <f>IF(MAX('Lab test'!W475,'Lab test'!X475)&gt;0,MAX('Lab test'!W475,'Lab test'!X475),NA())</f>
        <v>999.73980560000007</v>
      </c>
      <c r="I484">
        <f>IF('Lab test'!AU475&gt;0,'Lab test'!AU475,NA())</f>
        <v>7.8925050521305329E-2</v>
      </c>
      <c r="J484">
        <f>IF('Lab test'!AT475&gt;0,'Lab test'!AT475,NA())</f>
        <v>0.6137884263619946</v>
      </c>
      <c r="K484" t="e">
        <f t="shared" si="199"/>
        <v>#N/A</v>
      </c>
      <c r="L484" t="str">
        <f>'Lab test'!AC475</f>
        <v>Electroforming</v>
      </c>
      <c r="X484" t="e">
        <v>#N/A</v>
      </c>
      <c r="Z484" t="e">
        <f t="shared" si="189"/>
        <v>#N/A</v>
      </c>
      <c r="AB484" t="e">
        <f t="shared" si="188"/>
        <v>#N/A</v>
      </c>
      <c r="AC484" t="e">
        <f t="shared" si="190"/>
        <v>#N/A</v>
      </c>
      <c r="AE484" t="e">
        <v>#N/A</v>
      </c>
      <c r="AF484" t="e">
        <v>#N/A</v>
      </c>
      <c r="AP484" t="e">
        <v>#N/A</v>
      </c>
      <c r="AR484" t="e">
        <f t="shared" si="191"/>
        <v>#N/A</v>
      </c>
      <c r="AT484" t="e">
        <f t="shared" si="192"/>
        <v>#N/A</v>
      </c>
      <c r="AU484" t="e">
        <f t="shared" si="193"/>
        <v>#N/A</v>
      </c>
      <c r="AW484" t="e">
        <v>#N/A</v>
      </c>
      <c r="AX484" t="e">
        <v>#N/A</v>
      </c>
      <c r="BG484" t="e">
        <v>#N/A</v>
      </c>
      <c r="BI484" t="e">
        <f t="shared" si="194"/>
        <v>#N/A</v>
      </c>
      <c r="BK484" t="e">
        <f t="shared" si="195"/>
        <v>#N/A</v>
      </c>
      <c r="BL484" t="e">
        <f t="shared" si="196"/>
        <v>#N/A</v>
      </c>
      <c r="BN484" t="e">
        <v>#N/A</v>
      </c>
      <c r="BO484" t="e">
        <v>#N/A</v>
      </c>
      <c r="BX484" t="e">
        <v>#N/A</v>
      </c>
      <c r="BZ484" t="e">
        <f t="shared" si="197"/>
        <v>#N/A</v>
      </c>
      <c r="CB484" t="e">
        <f t="shared" si="200"/>
        <v>#N/A</v>
      </c>
      <c r="CC484" t="e">
        <f t="shared" si="198"/>
        <v>#N/A</v>
      </c>
      <c r="CE484" t="e">
        <v>#N/A</v>
      </c>
      <c r="CF484" t="e">
        <v>#N/A</v>
      </c>
    </row>
    <row r="485" spans="2:84">
      <c r="B485">
        <v>473</v>
      </c>
      <c r="C485" t="e">
        <f>IF(ISNUMBER(K485),IF('Lab test'!N476&gt;0,'Lab test'!N476,NA()),NA())</f>
        <v>#N/A</v>
      </c>
      <c r="D485" t="e">
        <f>IF(ISNUMBER(K485),IF('Lab test'!Q476&gt;0,'Lab test'!Q476,NA()),NA())</f>
        <v>#N/A</v>
      </c>
      <c r="E485" t="e">
        <f>IF(ISNUMBER(K485),IF('Lab test'!P476&gt;0,'Lab test'!P476,NA()),NA())</f>
        <v>#N/A</v>
      </c>
      <c r="F485" t="e">
        <f>IF(ISNUMBER(K485),IF('Lab test'!AJ476&gt;0,'Lab test'!AJ476,NA()),NA())</f>
        <v>#N/A</v>
      </c>
      <c r="G485">
        <f>IF('Lab test'!V476&gt;0,'Lab test'!V476,NA())</f>
        <v>104110.834928</v>
      </c>
      <c r="H485" t="e">
        <f>IF(MAX('Lab test'!W476,'Lab test'!X476)&gt;0,MAX('Lab test'!W476,'Lab test'!X476),NA())</f>
        <v>#N/A</v>
      </c>
      <c r="I485" t="e">
        <f>IF('Lab test'!AU476&gt;0,'Lab test'!AU476,NA())</f>
        <v>#N/A</v>
      </c>
      <c r="J485">
        <f>IF('Lab test'!AT476&gt;0,'Lab test'!AT476,NA())</f>
        <v>0.57499999999999996</v>
      </c>
      <c r="K485" t="e">
        <f t="shared" si="199"/>
        <v>#N/A</v>
      </c>
      <c r="L485" t="str">
        <f>'Lab test'!AC476</f>
        <v>Electroforming</v>
      </c>
      <c r="X485" t="e">
        <v>#N/A</v>
      </c>
      <c r="Z485" t="e">
        <f t="shared" si="189"/>
        <v>#N/A</v>
      </c>
      <c r="AB485" t="e">
        <f t="shared" si="188"/>
        <v>#N/A</v>
      </c>
      <c r="AC485" t="e">
        <f t="shared" si="190"/>
        <v>#N/A</v>
      </c>
      <c r="AE485" t="e">
        <v>#N/A</v>
      </c>
      <c r="AF485" t="e">
        <v>#N/A</v>
      </c>
      <c r="AP485" t="e">
        <v>#N/A</v>
      </c>
      <c r="AR485" t="e">
        <f t="shared" si="191"/>
        <v>#N/A</v>
      </c>
      <c r="AT485" t="e">
        <f t="shared" si="192"/>
        <v>#N/A</v>
      </c>
      <c r="AU485" t="e">
        <f t="shared" si="193"/>
        <v>#N/A</v>
      </c>
      <c r="AW485" t="e">
        <v>#N/A</v>
      </c>
      <c r="AX485" t="e">
        <v>#N/A</v>
      </c>
      <c r="BG485" t="e">
        <v>#N/A</v>
      </c>
      <c r="BI485" t="e">
        <f t="shared" si="194"/>
        <v>#N/A</v>
      </c>
      <c r="BK485" t="e">
        <f t="shared" si="195"/>
        <v>#N/A</v>
      </c>
      <c r="BL485" t="e">
        <f t="shared" si="196"/>
        <v>#N/A</v>
      </c>
      <c r="BN485" t="e">
        <v>#N/A</v>
      </c>
      <c r="BO485" t="e">
        <v>#N/A</v>
      </c>
      <c r="BX485" t="e">
        <v>#N/A</v>
      </c>
      <c r="BZ485" t="e">
        <f t="shared" si="197"/>
        <v>#N/A</v>
      </c>
      <c r="CB485" t="e">
        <f t="shared" si="200"/>
        <v>#N/A</v>
      </c>
      <c r="CC485" t="e">
        <f t="shared" si="198"/>
        <v>#N/A</v>
      </c>
      <c r="CE485" t="e">
        <v>#N/A</v>
      </c>
      <c r="CF485" t="e">
        <v>#N/A</v>
      </c>
    </row>
    <row r="486" spans="2:84">
      <c r="B486">
        <v>474</v>
      </c>
      <c r="C486" t="e">
        <f>IF(ISNUMBER(K486),IF('Lab test'!N477&gt;0,'Lab test'!N477,NA()),NA())</f>
        <v>#N/A</v>
      </c>
      <c r="D486" t="e">
        <f>IF(ISNUMBER(K486),IF('Lab test'!Q477&gt;0,'Lab test'!Q477,NA()),NA())</f>
        <v>#N/A</v>
      </c>
      <c r="E486" t="e">
        <f>IF(ISNUMBER(K486),IF('Lab test'!P477&gt;0,'Lab test'!P477,NA()),NA())</f>
        <v>#N/A</v>
      </c>
      <c r="F486" t="e">
        <f>IF(ISNUMBER(K486),IF('Lab test'!AJ477&gt;0,'Lab test'!AJ477,NA()),NA())</f>
        <v>#N/A</v>
      </c>
      <c r="G486">
        <f>IF('Lab test'!V477&gt;0,'Lab test'!V477,NA())</f>
        <v>104800.310656</v>
      </c>
      <c r="H486" t="e">
        <f>IF(MAX('Lab test'!W477,'Lab test'!X477)&gt;0,MAX('Lab test'!W477,'Lab test'!X477),NA())</f>
        <v>#N/A</v>
      </c>
      <c r="I486" t="e">
        <f>IF('Lab test'!AU477&gt;0,'Lab test'!AU477,NA())</f>
        <v>#N/A</v>
      </c>
      <c r="J486">
        <f>IF('Lab test'!AT477&gt;0,'Lab test'!AT477,NA())</f>
        <v>0.65800000000000003</v>
      </c>
      <c r="K486" t="e">
        <f t="shared" si="199"/>
        <v>#N/A</v>
      </c>
      <c r="L486" t="str">
        <f>'Lab test'!AC477</f>
        <v>Electroforming</v>
      </c>
      <c r="X486" t="e">
        <v>#N/A</v>
      </c>
      <c r="Z486" t="e">
        <f t="shared" si="189"/>
        <v>#N/A</v>
      </c>
      <c r="AB486" t="e">
        <f t="shared" si="188"/>
        <v>#N/A</v>
      </c>
      <c r="AC486" t="e">
        <f t="shared" si="190"/>
        <v>#N/A</v>
      </c>
      <c r="AE486" t="e">
        <v>#N/A</v>
      </c>
      <c r="AF486" t="e">
        <v>#N/A</v>
      </c>
      <c r="AP486" t="e">
        <v>#N/A</v>
      </c>
      <c r="AR486" t="e">
        <f t="shared" si="191"/>
        <v>#N/A</v>
      </c>
      <c r="AT486" t="e">
        <f t="shared" si="192"/>
        <v>#N/A</v>
      </c>
      <c r="AU486" t="e">
        <f t="shared" si="193"/>
        <v>#N/A</v>
      </c>
      <c r="AW486" t="e">
        <v>#N/A</v>
      </c>
      <c r="AX486" t="e">
        <v>#N/A</v>
      </c>
      <c r="BG486" t="e">
        <v>#N/A</v>
      </c>
      <c r="BI486" t="e">
        <f t="shared" si="194"/>
        <v>#N/A</v>
      </c>
      <c r="BK486" t="e">
        <f t="shared" si="195"/>
        <v>#N/A</v>
      </c>
      <c r="BL486" t="e">
        <f t="shared" si="196"/>
        <v>#N/A</v>
      </c>
      <c r="BN486" t="e">
        <v>#N/A</v>
      </c>
      <c r="BO486" t="e">
        <v>#N/A</v>
      </c>
      <c r="BX486" t="e">
        <v>#N/A</v>
      </c>
      <c r="BZ486" t="e">
        <f t="shared" si="197"/>
        <v>#N/A</v>
      </c>
      <c r="CB486" t="e">
        <f t="shared" si="200"/>
        <v>#N/A</v>
      </c>
      <c r="CC486" t="e">
        <f t="shared" si="198"/>
        <v>#N/A</v>
      </c>
      <c r="CE486" t="e">
        <v>#N/A</v>
      </c>
      <c r="CF486" t="e">
        <v>#N/A</v>
      </c>
    </row>
    <row r="487" spans="2:84">
      <c r="B487">
        <v>475</v>
      </c>
      <c r="C487" t="e">
        <f>IF(ISNUMBER(K487),IF('Lab test'!N478&gt;0,'Lab test'!N478,NA()),NA())</f>
        <v>#N/A</v>
      </c>
      <c r="D487" t="e">
        <f>IF(ISNUMBER(K487),IF('Lab test'!Q478&gt;0,'Lab test'!Q478,NA()),NA())</f>
        <v>#N/A</v>
      </c>
      <c r="E487" t="e">
        <f>IF(ISNUMBER(K487),IF('Lab test'!P478&gt;0,'Lab test'!P478,NA()),NA())</f>
        <v>#N/A</v>
      </c>
      <c r="F487" t="e">
        <f>IF(ISNUMBER(K487),IF('Lab test'!AJ478&gt;0,'Lab test'!AJ478,NA()),NA())</f>
        <v>#N/A</v>
      </c>
      <c r="G487">
        <f>IF('Lab test'!V478&gt;0,'Lab test'!V478,NA())</f>
        <v>101352.93201600001</v>
      </c>
      <c r="H487" t="e">
        <f>IF(MAX('Lab test'!W478,'Lab test'!X478)&gt;0,MAX('Lab test'!W478,'Lab test'!X478),NA())</f>
        <v>#N/A</v>
      </c>
      <c r="I487" t="e">
        <f>IF('Lab test'!AU478&gt;0,'Lab test'!AU478,NA())</f>
        <v>#N/A</v>
      </c>
      <c r="J487">
        <f>IF('Lab test'!AT478&gt;0,'Lab test'!AT478,NA())</f>
        <v>0.73599999999999999</v>
      </c>
      <c r="K487" t="e">
        <f t="shared" si="199"/>
        <v>#N/A</v>
      </c>
      <c r="L487" t="str">
        <f>'Lab test'!AC478</f>
        <v>Electroforming</v>
      </c>
      <c r="X487" t="e">
        <v>#N/A</v>
      </c>
      <c r="Z487" t="e">
        <f t="shared" si="189"/>
        <v>#N/A</v>
      </c>
      <c r="AB487" t="e">
        <f t="shared" si="188"/>
        <v>#N/A</v>
      </c>
      <c r="AC487" t="e">
        <f t="shared" si="190"/>
        <v>#N/A</v>
      </c>
      <c r="AE487" t="e">
        <v>#N/A</v>
      </c>
      <c r="AF487" t="e">
        <v>#N/A</v>
      </c>
      <c r="AP487" t="e">
        <v>#N/A</v>
      </c>
      <c r="AR487" t="e">
        <f t="shared" si="191"/>
        <v>#N/A</v>
      </c>
      <c r="AT487" t="e">
        <f t="shared" si="192"/>
        <v>#N/A</v>
      </c>
      <c r="AU487" t="e">
        <f t="shared" si="193"/>
        <v>#N/A</v>
      </c>
      <c r="AW487" t="e">
        <v>#N/A</v>
      </c>
      <c r="AX487" t="e">
        <v>#N/A</v>
      </c>
      <c r="BG487" t="e">
        <v>#N/A</v>
      </c>
      <c r="BI487" t="e">
        <f t="shared" si="194"/>
        <v>#N/A</v>
      </c>
      <c r="BK487" t="e">
        <f t="shared" si="195"/>
        <v>#N/A</v>
      </c>
      <c r="BL487" t="e">
        <f t="shared" si="196"/>
        <v>#N/A</v>
      </c>
      <c r="BN487" t="e">
        <v>#N/A</v>
      </c>
      <c r="BO487" t="e">
        <v>#N/A</v>
      </c>
      <c r="BX487" t="e">
        <v>#N/A</v>
      </c>
      <c r="BZ487" t="e">
        <f t="shared" si="197"/>
        <v>#N/A</v>
      </c>
      <c r="CB487" t="e">
        <f t="shared" si="200"/>
        <v>#N/A</v>
      </c>
      <c r="CC487" t="e">
        <f t="shared" si="198"/>
        <v>#N/A</v>
      </c>
      <c r="CE487" t="e">
        <v>#N/A</v>
      </c>
      <c r="CF487" t="e">
        <v>#N/A</v>
      </c>
    </row>
    <row r="488" spans="2:84">
      <c r="B488">
        <v>476</v>
      </c>
      <c r="C488" t="e">
        <f>IF(ISNUMBER(K488),IF('Lab test'!N479&gt;0,'Lab test'!N479,NA()),NA())</f>
        <v>#N/A</v>
      </c>
      <c r="D488" t="e">
        <f>IF(ISNUMBER(K488),IF('Lab test'!Q479&gt;0,'Lab test'!Q479,NA()),NA())</f>
        <v>#N/A</v>
      </c>
      <c r="E488" t="e">
        <f>IF(ISNUMBER(K488),IF('Lab test'!P479&gt;0,'Lab test'!P479,NA()),NA())</f>
        <v>#N/A</v>
      </c>
      <c r="F488" t="e">
        <f>IF(ISNUMBER(K488),IF('Lab test'!AJ479&gt;0,'Lab test'!AJ479,NA()),NA())</f>
        <v>#N/A</v>
      </c>
      <c r="G488">
        <f>IF('Lab test'!V479&gt;0,'Lab test'!V479,NA())</f>
        <v>102731.883472</v>
      </c>
      <c r="H488" t="e">
        <f>IF(MAX('Lab test'!W479,'Lab test'!X479)&gt;0,MAX('Lab test'!W479,'Lab test'!X479),NA())</f>
        <v>#N/A</v>
      </c>
      <c r="I488" t="e">
        <f>IF('Lab test'!AU479&gt;0,'Lab test'!AU479,NA())</f>
        <v>#N/A</v>
      </c>
      <c r="J488">
        <f>IF('Lab test'!AT479&gt;0,'Lab test'!AT479,NA())</f>
        <v>0.56100000000000005</v>
      </c>
      <c r="K488" t="e">
        <f t="shared" si="199"/>
        <v>#N/A</v>
      </c>
      <c r="L488" t="str">
        <f>'Lab test'!AC479</f>
        <v>Electroforming</v>
      </c>
      <c r="X488" t="e">
        <v>#N/A</v>
      </c>
      <c r="Z488" t="e">
        <f t="shared" si="189"/>
        <v>#N/A</v>
      </c>
      <c r="AB488" t="e">
        <f t="shared" si="188"/>
        <v>#N/A</v>
      </c>
      <c r="AC488" t="e">
        <f t="shared" si="190"/>
        <v>#N/A</v>
      </c>
      <c r="AE488" t="e">
        <v>#N/A</v>
      </c>
      <c r="AF488" t="e">
        <v>#N/A</v>
      </c>
      <c r="AP488" t="e">
        <v>#N/A</v>
      </c>
      <c r="AR488" t="e">
        <f t="shared" si="191"/>
        <v>#N/A</v>
      </c>
      <c r="AT488" t="e">
        <f t="shared" si="192"/>
        <v>#N/A</v>
      </c>
      <c r="AU488" t="e">
        <f t="shared" si="193"/>
        <v>#N/A</v>
      </c>
      <c r="AW488" t="e">
        <v>#N/A</v>
      </c>
      <c r="AX488" t="e">
        <v>#N/A</v>
      </c>
      <c r="BG488" t="e">
        <v>#N/A</v>
      </c>
      <c r="BI488" t="e">
        <f t="shared" si="194"/>
        <v>#N/A</v>
      </c>
      <c r="BK488" t="e">
        <f t="shared" si="195"/>
        <v>#N/A</v>
      </c>
      <c r="BL488" t="e">
        <f t="shared" si="196"/>
        <v>#N/A</v>
      </c>
      <c r="BN488" t="e">
        <v>#N/A</v>
      </c>
      <c r="BO488" t="e">
        <v>#N/A</v>
      </c>
      <c r="BX488" t="e">
        <v>#N/A</v>
      </c>
      <c r="BZ488" t="e">
        <f t="shared" si="197"/>
        <v>#N/A</v>
      </c>
      <c r="CB488" t="e">
        <f t="shared" si="200"/>
        <v>#N/A</v>
      </c>
      <c r="CC488" t="e">
        <f t="shared" si="198"/>
        <v>#N/A</v>
      </c>
      <c r="CE488" t="e">
        <v>#N/A</v>
      </c>
      <c r="CF488" t="e">
        <v>#N/A</v>
      </c>
    </row>
    <row r="489" spans="2:84">
      <c r="B489">
        <v>477</v>
      </c>
      <c r="C489" t="e">
        <f>IF(ISNUMBER(K489),IF('Lab test'!N480&gt;0,'Lab test'!N480,NA()),NA())</f>
        <v>#N/A</v>
      </c>
      <c r="D489" t="e">
        <f>IF(ISNUMBER(K489),IF('Lab test'!Q480&gt;0,'Lab test'!Q480,NA()),NA())</f>
        <v>#N/A</v>
      </c>
      <c r="E489" t="e">
        <f>IF(ISNUMBER(K489),IF('Lab test'!P480&gt;0,'Lab test'!P480,NA()),NA())</f>
        <v>#N/A</v>
      </c>
      <c r="F489" t="e">
        <f>IF(ISNUMBER(K489),IF('Lab test'!AJ480&gt;0,'Lab test'!AJ480,NA()),NA())</f>
        <v>#N/A</v>
      </c>
      <c r="G489">
        <f>IF('Lab test'!V480&gt;0,'Lab test'!V480,NA())</f>
        <v>104800.310656</v>
      </c>
      <c r="H489" t="e">
        <f>IF(MAX('Lab test'!W480,'Lab test'!X480)&gt;0,MAX('Lab test'!W480,'Lab test'!X480),NA())</f>
        <v>#N/A</v>
      </c>
      <c r="I489" t="e">
        <f>IF('Lab test'!AU480&gt;0,'Lab test'!AU480,NA())</f>
        <v>#N/A</v>
      </c>
      <c r="J489">
        <f>IF('Lab test'!AT480&gt;0,'Lab test'!AT480,NA())</f>
        <v>0.67300000000000004</v>
      </c>
      <c r="K489" t="e">
        <f t="shared" si="199"/>
        <v>#N/A</v>
      </c>
      <c r="L489" t="str">
        <f>'Lab test'!AC480</f>
        <v>Electroforming</v>
      </c>
      <c r="X489" t="e">
        <v>#N/A</v>
      </c>
      <c r="Z489" t="e">
        <f t="shared" si="189"/>
        <v>#N/A</v>
      </c>
      <c r="AB489" t="e">
        <f t="shared" si="188"/>
        <v>#N/A</v>
      </c>
      <c r="AC489" t="e">
        <f t="shared" si="190"/>
        <v>#N/A</v>
      </c>
      <c r="AE489" t="e">
        <v>#N/A</v>
      </c>
      <c r="AF489" t="e">
        <v>#N/A</v>
      </c>
      <c r="AP489" t="e">
        <v>#N/A</v>
      </c>
      <c r="AR489" t="e">
        <f t="shared" si="191"/>
        <v>#N/A</v>
      </c>
      <c r="AT489" t="e">
        <f t="shared" si="192"/>
        <v>#N/A</v>
      </c>
      <c r="AU489" t="e">
        <f t="shared" si="193"/>
        <v>#N/A</v>
      </c>
      <c r="AW489" t="e">
        <v>#N/A</v>
      </c>
      <c r="AX489" t="e">
        <v>#N/A</v>
      </c>
      <c r="BG489" t="e">
        <v>#N/A</v>
      </c>
      <c r="BI489" t="e">
        <f t="shared" si="194"/>
        <v>#N/A</v>
      </c>
      <c r="BK489" t="e">
        <f t="shared" si="195"/>
        <v>#N/A</v>
      </c>
      <c r="BL489" t="e">
        <f t="shared" si="196"/>
        <v>#N/A</v>
      </c>
      <c r="BN489" t="e">
        <v>#N/A</v>
      </c>
      <c r="BO489" t="e">
        <v>#N/A</v>
      </c>
      <c r="BX489" t="e">
        <v>#N/A</v>
      </c>
      <c r="BZ489" t="e">
        <f t="shared" si="197"/>
        <v>#N/A</v>
      </c>
      <c r="CB489" t="e">
        <f t="shared" si="200"/>
        <v>#N/A</v>
      </c>
      <c r="CC489" t="e">
        <f t="shared" si="198"/>
        <v>#N/A</v>
      </c>
      <c r="CE489" t="e">
        <v>#N/A</v>
      </c>
      <c r="CF489" t="e">
        <v>#N/A</v>
      </c>
    </row>
    <row r="490" spans="2:84">
      <c r="B490">
        <v>478</v>
      </c>
      <c r="C490" t="e">
        <f>IF(ISNUMBER(K490),IF('Lab test'!N481&gt;0,'Lab test'!N481,NA()),NA())</f>
        <v>#N/A</v>
      </c>
      <c r="D490" t="e">
        <f>IF(ISNUMBER(K490),IF('Lab test'!Q481&gt;0,'Lab test'!Q481,NA()),NA())</f>
        <v>#N/A</v>
      </c>
      <c r="E490" t="e">
        <f>IF(ISNUMBER(K490),IF('Lab test'!P481&gt;0,'Lab test'!P481,NA()),NA())</f>
        <v>#N/A</v>
      </c>
      <c r="F490" t="e">
        <f>IF(ISNUMBER(K490),IF('Lab test'!AJ481&gt;0,'Lab test'!AJ481,NA()),NA())</f>
        <v>#N/A</v>
      </c>
      <c r="G490">
        <f>IF('Lab test'!V481&gt;0,'Lab test'!V481,NA())</f>
        <v>168921.55335999999</v>
      </c>
      <c r="H490" t="e">
        <f>IF(MAX('Lab test'!W481,'Lab test'!X481)&gt;0,MAX('Lab test'!W481,'Lab test'!X481),NA())</f>
        <v>#N/A</v>
      </c>
      <c r="I490" t="e">
        <f>IF('Lab test'!AU481&gt;0,'Lab test'!AU481,NA())</f>
        <v>#N/A</v>
      </c>
      <c r="J490">
        <f>IF('Lab test'!AT481&gt;0,'Lab test'!AT481,NA())</f>
        <v>0.91</v>
      </c>
      <c r="K490" t="e">
        <f t="shared" si="199"/>
        <v>#N/A</v>
      </c>
      <c r="L490" t="str">
        <f>'Lab test'!AC481</f>
        <v>Electroforming</v>
      </c>
      <c r="X490" t="e">
        <v>#N/A</v>
      </c>
      <c r="Z490" t="e">
        <f t="shared" si="189"/>
        <v>#N/A</v>
      </c>
      <c r="AB490" t="e">
        <f t="shared" si="188"/>
        <v>#N/A</v>
      </c>
      <c r="AC490" t="e">
        <f t="shared" si="190"/>
        <v>#N/A</v>
      </c>
      <c r="AE490" t="e">
        <v>#N/A</v>
      </c>
      <c r="AF490" t="e">
        <v>#N/A</v>
      </c>
      <c r="AP490" t="e">
        <v>#N/A</v>
      </c>
      <c r="AR490" t="e">
        <f t="shared" si="191"/>
        <v>#N/A</v>
      </c>
      <c r="AT490" t="e">
        <f t="shared" si="192"/>
        <v>#N/A</v>
      </c>
      <c r="AU490" t="e">
        <f t="shared" si="193"/>
        <v>#N/A</v>
      </c>
      <c r="AW490" t="e">
        <v>#N/A</v>
      </c>
      <c r="AX490" t="e">
        <v>#N/A</v>
      </c>
      <c r="BG490" t="e">
        <v>#N/A</v>
      </c>
      <c r="BI490" t="e">
        <f t="shared" si="194"/>
        <v>#N/A</v>
      </c>
      <c r="BK490" t="e">
        <f t="shared" si="195"/>
        <v>#N/A</v>
      </c>
      <c r="BL490" t="e">
        <f t="shared" si="196"/>
        <v>#N/A</v>
      </c>
      <c r="BN490" t="e">
        <v>#N/A</v>
      </c>
      <c r="BO490" t="e">
        <v>#N/A</v>
      </c>
      <c r="BX490" t="e">
        <v>#N/A</v>
      </c>
      <c r="BZ490" t="e">
        <f t="shared" si="197"/>
        <v>#N/A</v>
      </c>
      <c r="CB490" t="e">
        <f t="shared" si="200"/>
        <v>#N/A</v>
      </c>
      <c r="CC490" t="e">
        <f t="shared" si="198"/>
        <v>#N/A</v>
      </c>
      <c r="CE490" t="e">
        <v>#N/A</v>
      </c>
      <c r="CF490" t="e">
        <v>#N/A</v>
      </c>
    </row>
    <row r="491" spans="2:84">
      <c r="B491">
        <v>479</v>
      </c>
      <c r="C491" t="e">
        <f>IF(ISNUMBER(K491),IF('Lab test'!N482&gt;0,'Lab test'!N482,NA()),NA())</f>
        <v>#N/A</v>
      </c>
      <c r="D491" t="e">
        <f>IF(ISNUMBER(K491),IF('Lab test'!Q482&gt;0,'Lab test'!Q482,NA()),NA())</f>
        <v>#N/A</v>
      </c>
      <c r="E491" t="e">
        <f>IF(ISNUMBER(K491),IF('Lab test'!P482&gt;0,'Lab test'!P482,NA()),NA())</f>
        <v>#N/A</v>
      </c>
      <c r="F491" t="e">
        <f>IF(ISNUMBER(K491),IF('Lab test'!AJ482&gt;0,'Lab test'!AJ482,NA()),NA())</f>
        <v>#N/A</v>
      </c>
      <c r="G491">
        <f>IF('Lab test'!V482&gt;0,'Lab test'!V482,NA())</f>
        <v>168921.55335999999</v>
      </c>
      <c r="H491" t="e">
        <f>IF(MAX('Lab test'!W482,'Lab test'!X482)&gt;0,MAX('Lab test'!W482,'Lab test'!X482),NA())</f>
        <v>#N/A</v>
      </c>
      <c r="I491" t="e">
        <f>IF('Lab test'!AU482&gt;0,'Lab test'!AU482,NA())</f>
        <v>#N/A</v>
      </c>
      <c r="J491">
        <f>IF('Lab test'!AT482&gt;0,'Lab test'!AT482,NA())</f>
        <v>0.96</v>
      </c>
      <c r="K491" t="e">
        <f t="shared" si="199"/>
        <v>#N/A</v>
      </c>
      <c r="L491" t="str">
        <f>'Lab test'!AC482</f>
        <v>Electroforming</v>
      </c>
      <c r="X491" t="e">
        <v>#N/A</v>
      </c>
      <c r="Z491" t="e">
        <f t="shared" si="189"/>
        <v>#N/A</v>
      </c>
      <c r="AB491" t="e">
        <f t="shared" si="188"/>
        <v>#N/A</v>
      </c>
      <c r="AC491" t="e">
        <f t="shared" si="190"/>
        <v>#N/A</v>
      </c>
      <c r="AE491" t="e">
        <v>#N/A</v>
      </c>
      <c r="AF491" t="e">
        <v>#N/A</v>
      </c>
      <c r="AP491" t="e">
        <v>#N/A</v>
      </c>
      <c r="AR491" t="e">
        <f t="shared" si="191"/>
        <v>#N/A</v>
      </c>
      <c r="AT491" t="e">
        <f t="shared" si="192"/>
        <v>#N/A</v>
      </c>
      <c r="AU491" t="e">
        <f t="shared" si="193"/>
        <v>#N/A</v>
      </c>
      <c r="AW491" t="e">
        <v>#N/A</v>
      </c>
      <c r="AX491" t="e">
        <v>#N/A</v>
      </c>
      <c r="BG491" t="e">
        <v>#N/A</v>
      </c>
      <c r="BI491" t="e">
        <f t="shared" si="194"/>
        <v>#N/A</v>
      </c>
      <c r="BK491" t="e">
        <f t="shared" si="195"/>
        <v>#N/A</v>
      </c>
      <c r="BL491" t="e">
        <f t="shared" si="196"/>
        <v>#N/A</v>
      </c>
      <c r="BN491" t="e">
        <v>#N/A</v>
      </c>
      <c r="BO491" t="e">
        <v>#N/A</v>
      </c>
      <c r="BX491" t="e">
        <v>#N/A</v>
      </c>
      <c r="BZ491" t="e">
        <f t="shared" si="197"/>
        <v>#N/A</v>
      </c>
      <c r="CB491" t="e">
        <f t="shared" si="200"/>
        <v>#N/A</v>
      </c>
      <c r="CC491" t="e">
        <f t="shared" si="198"/>
        <v>#N/A</v>
      </c>
      <c r="CE491" t="e">
        <v>#N/A</v>
      </c>
      <c r="CF491" t="e">
        <v>#N/A</v>
      </c>
    </row>
    <row r="492" spans="2:84">
      <c r="B492">
        <v>480</v>
      </c>
      <c r="C492" t="e">
        <f>IF(ISNUMBER(K492),IF('Lab test'!N483&gt;0,'Lab test'!N483,NA()),NA())</f>
        <v>#N/A</v>
      </c>
      <c r="D492" t="e">
        <f>IF(ISNUMBER(K492),IF('Lab test'!Q483&gt;0,'Lab test'!Q483,NA()),NA())</f>
        <v>#N/A</v>
      </c>
      <c r="E492" t="e">
        <f>IF(ISNUMBER(K492),IF('Lab test'!P483&gt;0,'Lab test'!P483,NA()),NA())</f>
        <v>#N/A</v>
      </c>
      <c r="F492" t="e">
        <f>IF(ISNUMBER(K492),IF('Lab test'!AJ483&gt;0,'Lab test'!AJ483,NA()),NA())</f>
        <v>#N/A</v>
      </c>
      <c r="G492">
        <f>IF('Lab test'!V483&gt;0,'Lab test'!V483,NA())</f>
        <v>168921.55335999999</v>
      </c>
      <c r="H492" t="e">
        <f>IF(MAX('Lab test'!W483,'Lab test'!X483)&gt;0,MAX('Lab test'!W483,'Lab test'!X483),NA())</f>
        <v>#N/A</v>
      </c>
      <c r="I492" t="e">
        <f>IF('Lab test'!AU483&gt;0,'Lab test'!AU483,NA())</f>
        <v>#N/A</v>
      </c>
      <c r="J492">
        <f>IF('Lab test'!AT483&gt;0,'Lab test'!AT483,NA())</f>
        <v>0.83</v>
      </c>
      <c r="K492" t="e">
        <f t="shared" si="199"/>
        <v>#N/A</v>
      </c>
      <c r="L492" t="str">
        <f>'Lab test'!AC483</f>
        <v>Electroforming</v>
      </c>
      <c r="X492" t="e">
        <v>#N/A</v>
      </c>
      <c r="Z492" t="e">
        <f t="shared" si="189"/>
        <v>#N/A</v>
      </c>
      <c r="AB492" t="e">
        <f t="shared" si="188"/>
        <v>#N/A</v>
      </c>
      <c r="AC492" t="e">
        <f t="shared" si="190"/>
        <v>#N/A</v>
      </c>
      <c r="AE492" t="e">
        <v>#N/A</v>
      </c>
      <c r="AF492" t="e">
        <v>#N/A</v>
      </c>
      <c r="AP492" t="e">
        <v>#N/A</v>
      </c>
      <c r="AR492" t="e">
        <f t="shared" si="191"/>
        <v>#N/A</v>
      </c>
      <c r="AT492" t="e">
        <f t="shared" si="192"/>
        <v>#N/A</v>
      </c>
      <c r="AU492" t="e">
        <f t="shared" si="193"/>
        <v>#N/A</v>
      </c>
      <c r="AW492" t="e">
        <v>#N/A</v>
      </c>
      <c r="AX492" t="e">
        <v>#N/A</v>
      </c>
      <c r="BG492" t="e">
        <v>#N/A</v>
      </c>
      <c r="BI492" t="e">
        <f t="shared" si="194"/>
        <v>#N/A</v>
      </c>
      <c r="BK492" t="e">
        <f t="shared" si="195"/>
        <v>#N/A</v>
      </c>
      <c r="BL492" t="e">
        <f t="shared" si="196"/>
        <v>#N/A</v>
      </c>
      <c r="BN492" t="e">
        <v>#N/A</v>
      </c>
      <c r="BO492" t="e">
        <v>#N/A</v>
      </c>
      <c r="BX492" t="e">
        <v>#N/A</v>
      </c>
      <c r="BZ492" t="e">
        <f t="shared" si="197"/>
        <v>#N/A</v>
      </c>
      <c r="CB492" t="e">
        <f t="shared" si="200"/>
        <v>#N/A</v>
      </c>
      <c r="CC492" t="e">
        <f t="shared" si="198"/>
        <v>#N/A</v>
      </c>
      <c r="CE492" t="e">
        <v>#N/A</v>
      </c>
      <c r="CF492" t="e">
        <v>#N/A</v>
      </c>
    </row>
    <row r="493" spans="2:84">
      <c r="B493">
        <v>481</v>
      </c>
      <c r="C493" t="e">
        <f>IF(ISNUMBER(K493),IF('Lab test'!N484&gt;0,'Lab test'!N484,NA()),NA())</f>
        <v>#N/A</v>
      </c>
      <c r="D493" t="e">
        <f>IF(ISNUMBER(K493),IF('Lab test'!Q484&gt;0,'Lab test'!Q484,NA()),NA())</f>
        <v>#N/A</v>
      </c>
      <c r="E493" t="e">
        <f>IF(ISNUMBER(K493),IF('Lab test'!P484&gt;0,'Lab test'!P484,NA()),NA())</f>
        <v>#N/A</v>
      </c>
      <c r="F493" t="e">
        <f>IF(ISNUMBER(K493),IF('Lab test'!AJ484&gt;0,'Lab test'!AJ484,NA()),NA())</f>
        <v>#N/A</v>
      </c>
      <c r="G493">
        <f>IF('Lab test'!V484&gt;0,'Lab test'!V484,NA())</f>
        <v>168921.55335999999</v>
      </c>
      <c r="H493" t="e">
        <f>IF(MAX('Lab test'!W484,'Lab test'!X484)&gt;0,MAX('Lab test'!W484,'Lab test'!X484),NA())</f>
        <v>#N/A</v>
      </c>
      <c r="I493" t="e">
        <f>IF('Lab test'!AU484&gt;0,'Lab test'!AU484,NA())</f>
        <v>#N/A</v>
      </c>
      <c r="J493">
        <f>IF('Lab test'!AT484&gt;0,'Lab test'!AT484,NA())</f>
        <v>0.85</v>
      </c>
      <c r="K493" t="e">
        <f t="shared" si="199"/>
        <v>#N/A</v>
      </c>
      <c r="L493" t="str">
        <f>'Lab test'!AC484</f>
        <v>Electroforming</v>
      </c>
      <c r="X493" t="e">
        <v>#N/A</v>
      </c>
      <c r="Z493" t="e">
        <f t="shared" si="189"/>
        <v>#N/A</v>
      </c>
      <c r="AB493" t="e">
        <f t="shared" si="188"/>
        <v>#N/A</v>
      </c>
      <c r="AC493" t="e">
        <f t="shared" si="190"/>
        <v>#N/A</v>
      </c>
      <c r="AE493" t="e">
        <v>#N/A</v>
      </c>
      <c r="AF493" t="e">
        <v>#N/A</v>
      </c>
      <c r="AP493" t="e">
        <v>#N/A</v>
      </c>
      <c r="AR493" t="e">
        <f t="shared" si="191"/>
        <v>#N/A</v>
      </c>
      <c r="AT493" t="e">
        <f t="shared" si="192"/>
        <v>#N/A</v>
      </c>
      <c r="AU493" t="e">
        <f t="shared" si="193"/>
        <v>#N/A</v>
      </c>
      <c r="AW493" t="e">
        <v>#N/A</v>
      </c>
      <c r="AX493" t="e">
        <v>#N/A</v>
      </c>
      <c r="BG493" t="e">
        <v>#N/A</v>
      </c>
      <c r="BI493" t="e">
        <f t="shared" si="194"/>
        <v>#N/A</v>
      </c>
      <c r="BK493" t="e">
        <f t="shared" si="195"/>
        <v>#N/A</v>
      </c>
      <c r="BL493" t="e">
        <f t="shared" si="196"/>
        <v>#N/A</v>
      </c>
      <c r="BN493" t="e">
        <v>#N/A</v>
      </c>
      <c r="BO493" t="e">
        <v>#N/A</v>
      </c>
      <c r="BX493" t="e">
        <v>#N/A</v>
      </c>
      <c r="BZ493" t="e">
        <f t="shared" si="197"/>
        <v>#N/A</v>
      </c>
      <c r="CB493" t="e">
        <f t="shared" si="200"/>
        <v>#N/A</v>
      </c>
      <c r="CC493" t="e">
        <f t="shared" si="198"/>
        <v>#N/A</v>
      </c>
      <c r="CE493" t="e">
        <v>#N/A</v>
      </c>
      <c r="CF493" t="e">
        <v>#N/A</v>
      </c>
    </row>
    <row r="494" spans="2:84">
      <c r="B494">
        <v>482</v>
      </c>
      <c r="C494" t="e">
        <f>IF(ISNUMBER(K494),IF('Lab test'!N485&gt;0,'Lab test'!N485,NA()),NA())</f>
        <v>#N/A</v>
      </c>
      <c r="D494" t="e">
        <f>IF(ISNUMBER(K494),IF('Lab test'!Q485&gt;0,'Lab test'!Q485,NA()),NA())</f>
        <v>#N/A</v>
      </c>
      <c r="E494" t="e">
        <f>IF(ISNUMBER(K494),IF('Lab test'!P485&gt;0,'Lab test'!P485,NA()),NA())</f>
        <v>#N/A</v>
      </c>
      <c r="F494" t="e">
        <f>IF(ISNUMBER(K494),IF('Lab test'!AJ485&gt;0,'Lab test'!AJ485,NA()),NA())</f>
        <v>#N/A</v>
      </c>
      <c r="G494">
        <f>IF('Lab test'!V485&gt;0,'Lab test'!V485,NA())</f>
        <v>168921.55335999999</v>
      </c>
      <c r="H494" t="e">
        <f>IF(MAX('Lab test'!W485,'Lab test'!X485)&gt;0,MAX('Lab test'!W485,'Lab test'!X485),NA())</f>
        <v>#N/A</v>
      </c>
      <c r="I494" t="e">
        <f>IF('Lab test'!AU485&gt;0,'Lab test'!AU485,NA())</f>
        <v>#N/A</v>
      </c>
      <c r="J494">
        <f>IF('Lab test'!AT485&gt;0,'Lab test'!AT485,NA())</f>
        <v>0.81</v>
      </c>
      <c r="K494" t="e">
        <f t="shared" si="199"/>
        <v>#N/A</v>
      </c>
      <c r="L494" t="str">
        <f>'Lab test'!AC485</f>
        <v>Electroforming</v>
      </c>
      <c r="X494" t="e">
        <v>#N/A</v>
      </c>
      <c r="Z494" t="e">
        <f t="shared" si="189"/>
        <v>#N/A</v>
      </c>
      <c r="AB494" t="e">
        <f t="shared" si="188"/>
        <v>#N/A</v>
      </c>
      <c r="AC494" t="e">
        <f t="shared" si="190"/>
        <v>#N/A</v>
      </c>
      <c r="AE494" t="e">
        <v>#N/A</v>
      </c>
      <c r="AF494" t="e">
        <v>#N/A</v>
      </c>
      <c r="AP494" t="e">
        <v>#N/A</v>
      </c>
      <c r="AR494" t="e">
        <f t="shared" si="191"/>
        <v>#N/A</v>
      </c>
      <c r="AT494" t="e">
        <f t="shared" si="192"/>
        <v>#N/A</v>
      </c>
      <c r="AU494" t="e">
        <f t="shared" si="193"/>
        <v>#N/A</v>
      </c>
      <c r="AW494" t="e">
        <v>#N/A</v>
      </c>
      <c r="AX494" t="e">
        <v>#N/A</v>
      </c>
      <c r="BG494" t="e">
        <v>#N/A</v>
      </c>
      <c r="BI494" t="e">
        <f t="shared" si="194"/>
        <v>#N/A</v>
      </c>
      <c r="BK494" t="e">
        <f t="shared" si="195"/>
        <v>#N/A</v>
      </c>
      <c r="BL494" t="e">
        <f t="shared" si="196"/>
        <v>#N/A</v>
      </c>
      <c r="BN494" t="e">
        <v>#N/A</v>
      </c>
      <c r="BO494" t="e">
        <v>#N/A</v>
      </c>
      <c r="BX494" t="e">
        <v>#N/A</v>
      </c>
      <c r="BZ494" t="e">
        <f t="shared" si="197"/>
        <v>#N/A</v>
      </c>
      <c r="CB494" t="e">
        <f t="shared" si="200"/>
        <v>#N/A</v>
      </c>
      <c r="CC494" t="e">
        <f t="shared" si="198"/>
        <v>#N/A</v>
      </c>
      <c r="CE494" t="e">
        <v>#N/A</v>
      </c>
      <c r="CF494" t="e">
        <v>#N/A</v>
      </c>
    </row>
    <row r="495" spans="2:84">
      <c r="B495">
        <v>483</v>
      </c>
      <c r="C495" t="e">
        <f>IF(ISNUMBER(K495),IF('Lab test'!N486&gt;0,'Lab test'!N486,NA()),NA())</f>
        <v>#N/A</v>
      </c>
      <c r="D495" t="e">
        <f>IF(ISNUMBER(K495),IF('Lab test'!Q486&gt;0,'Lab test'!Q486,NA()),NA())</f>
        <v>#N/A</v>
      </c>
      <c r="E495" t="e">
        <f>IF(ISNUMBER(K495),IF('Lab test'!P486&gt;0,'Lab test'!P486,NA()),NA())</f>
        <v>#N/A</v>
      </c>
      <c r="F495" t="e">
        <f>IF(ISNUMBER(K495),IF('Lab test'!AJ486&gt;0,'Lab test'!AJ486,NA()),NA())</f>
        <v>#N/A</v>
      </c>
      <c r="G495">
        <f>IF('Lab test'!V486&gt;0,'Lab test'!V486,NA())</f>
        <v>168921.55335999999</v>
      </c>
      <c r="H495" t="e">
        <f>IF(MAX('Lab test'!W486,'Lab test'!X486)&gt;0,MAX('Lab test'!W486,'Lab test'!X486),NA())</f>
        <v>#N/A</v>
      </c>
      <c r="I495" t="e">
        <f>IF('Lab test'!AU486&gt;0,'Lab test'!AU486,NA())</f>
        <v>#N/A</v>
      </c>
      <c r="J495">
        <f>IF('Lab test'!AT486&gt;0,'Lab test'!AT486,NA())</f>
        <v>0.8</v>
      </c>
      <c r="K495" t="e">
        <f t="shared" si="199"/>
        <v>#N/A</v>
      </c>
      <c r="L495" t="str">
        <f>'Lab test'!AC486</f>
        <v>Electroforming</v>
      </c>
      <c r="X495" t="e">
        <v>#N/A</v>
      </c>
      <c r="Z495" t="e">
        <f t="shared" si="189"/>
        <v>#N/A</v>
      </c>
      <c r="AB495" t="e">
        <f t="shared" si="188"/>
        <v>#N/A</v>
      </c>
      <c r="AC495" t="e">
        <f t="shared" si="190"/>
        <v>#N/A</v>
      </c>
      <c r="AE495" t="e">
        <v>#N/A</v>
      </c>
      <c r="AF495" t="e">
        <v>#N/A</v>
      </c>
      <c r="AP495" t="e">
        <v>#N/A</v>
      </c>
      <c r="AR495" t="e">
        <f t="shared" si="191"/>
        <v>#N/A</v>
      </c>
      <c r="AT495" t="e">
        <f t="shared" si="192"/>
        <v>#N/A</v>
      </c>
      <c r="AU495" t="e">
        <f t="shared" si="193"/>
        <v>#N/A</v>
      </c>
      <c r="AW495" t="e">
        <v>#N/A</v>
      </c>
      <c r="AX495" t="e">
        <v>#N/A</v>
      </c>
      <c r="BG495" t="e">
        <v>#N/A</v>
      </c>
      <c r="BI495" t="e">
        <f t="shared" si="194"/>
        <v>#N/A</v>
      </c>
      <c r="BK495" t="e">
        <f t="shared" si="195"/>
        <v>#N/A</v>
      </c>
      <c r="BL495" t="e">
        <f t="shared" si="196"/>
        <v>#N/A</v>
      </c>
      <c r="BN495" t="e">
        <v>#N/A</v>
      </c>
      <c r="BO495" t="e">
        <v>#N/A</v>
      </c>
      <c r="BX495" t="e">
        <v>#N/A</v>
      </c>
      <c r="BZ495" t="e">
        <f t="shared" si="197"/>
        <v>#N/A</v>
      </c>
      <c r="CB495" t="e">
        <f t="shared" si="200"/>
        <v>#N/A</v>
      </c>
      <c r="CC495" t="e">
        <f t="shared" si="198"/>
        <v>#N/A</v>
      </c>
      <c r="CE495" t="e">
        <v>#N/A</v>
      </c>
      <c r="CF495" t="e">
        <v>#N/A</v>
      </c>
    </row>
    <row r="496" spans="2:84">
      <c r="B496">
        <v>484</v>
      </c>
      <c r="C496" t="e">
        <f>IF(ISNUMBER(K496),IF('Lab test'!N487&gt;0,'Lab test'!N487,NA()),NA())</f>
        <v>#N/A</v>
      </c>
      <c r="D496" t="e">
        <f>IF(ISNUMBER(K496),IF('Lab test'!Q487&gt;0,'Lab test'!Q487,NA()),NA())</f>
        <v>#N/A</v>
      </c>
      <c r="E496" t="e">
        <f>IF(ISNUMBER(K496),IF('Lab test'!P487&gt;0,'Lab test'!P487,NA()),NA())</f>
        <v>#N/A</v>
      </c>
      <c r="F496" t="e">
        <f>IF(ISNUMBER(K496),IF('Lab test'!AJ487&gt;0,'Lab test'!AJ487,NA()),NA())</f>
        <v>#N/A</v>
      </c>
      <c r="G496">
        <f>IF('Lab test'!V487&gt;0,'Lab test'!V487,NA())</f>
        <v>168921.55335999999</v>
      </c>
      <c r="H496" t="e">
        <f>IF(MAX('Lab test'!W487,'Lab test'!X487)&gt;0,MAX('Lab test'!W487,'Lab test'!X487),NA())</f>
        <v>#N/A</v>
      </c>
      <c r="I496" t="e">
        <f>IF('Lab test'!AU487&gt;0,'Lab test'!AU487,NA())</f>
        <v>#N/A</v>
      </c>
      <c r="J496">
        <f>IF('Lab test'!AT487&gt;0,'Lab test'!AT487,NA())</f>
        <v>0.86</v>
      </c>
      <c r="K496" t="e">
        <f t="shared" si="199"/>
        <v>#N/A</v>
      </c>
      <c r="L496" t="str">
        <f>'Lab test'!AC487</f>
        <v>Electroforming</v>
      </c>
      <c r="X496" t="e">
        <v>#N/A</v>
      </c>
      <c r="Z496" t="e">
        <f t="shared" si="189"/>
        <v>#N/A</v>
      </c>
      <c r="AB496" t="e">
        <f t="shared" ref="AB496:AB559" si="201">Z496</f>
        <v>#N/A</v>
      </c>
      <c r="AC496" t="e">
        <f t="shared" si="190"/>
        <v>#N/A</v>
      </c>
      <c r="AE496" t="e">
        <v>#N/A</v>
      </c>
      <c r="AF496" t="e">
        <v>#N/A</v>
      </c>
      <c r="AP496" t="e">
        <v>#N/A</v>
      </c>
      <c r="AR496" t="e">
        <f t="shared" si="191"/>
        <v>#N/A</v>
      </c>
      <c r="AT496" t="e">
        <f t="shared" si="192"/>
        <v>#N/A</v>
      </c>
      <c r="AU496" t="e">
        <f t="shared" si="193"/>
        <v>#N/A</v>
      </c>
      <c r="AW496" t="e">
        <v>#N/A</v>
      </c>
      <c r="AX496" t="e">
        <v>#N/A</v>
      </c>
      <c r="BG496" t="e">
        <v>#N/A</v>
      </c>
      <c r="BI496" t="e">
        <f t="shared" si="194"/>
        <v>#N/A</v>
      </c>
      <c r="BK496" t="e">
        <f t="shared" si="195"/>
        <v>#N/A</v>
      </c>
      <c r="BL496" t="e">
        <f t="shared" si="196"/>
        <v>#N/A</v>
      </c>
      <c r="BN496" t="e">
        <v>#N/A</v>
      </c>
      <c r="BO496" t="e">
        <v>#N/A</v>
      </c>
      <c r="BX496" t="e">
        <v>#N/A</v>
      </c>
      <c r="BZ496" t="e">
        <f t="shared" si="197"/>
        <v>#N/A</v>
      </c>
      <c r="CB496" t="e">
        <f t="shared" si="200"/>
        <v>#N/A</v>
      </c>
      <c r="CC496" t="e">
        <f t="shared" si="198"/>
        <v>#N/A</v>
      </c>
      <c r="CE496" t="e">
        <v>#N/A</v>
      </c>
      <c r="CF496" t="e">
        <v>#N/A</v>
      </c>
    </row>
    <row r="497" spans="2:84">
      <c r="B497">
        <v>485</v>
      </c>
      <c r="C497" t="e">
        <f>IF(ISNUMBER(K497),IF('Lab test'!N488&gt;0,'Lab test'!N488,NA()),NA())</f>
        <v>#N/A</v>
      </c>
      <c r="D497" t="e">
        <f>IF(ISNUMBER(K497),IF('Lab test'!Q488&gt;0,'Lab test'!Q488,NA()),NA())</f>
        <v>#N/A</v>
      </c>
      <c r="E497" t="e">
        <f>IF(ISNUMBER(K497),IF('Lab test'!P488&gt;0,'Lab test'!P488,NA()),NA())</f>
        <v>#N/A</v>
      </c>
      <c r="F497" t="e">
        <f>IF(ISNUMBER(K497),IF('Lab test'!AJ488&gt;0,'Lab test'!AJ488,NA()),NA())</f>
        <v>#N/A</v>
      </c>
      <c r="G497">
        <f>IF('Lab test'!V488&gt;0,'Lab test'!V488,NA())</f>
        <v>168921.55335999999</v>
      </c>
      <c r="H497" t="e">
        <f>IF(MAX('Lab test'!W488,'Lab test'!X488)&gt;0,MAX('Lab test'!W488,'Lab test'!X488),NA())</f>
        <v>#N/A</v>
      </c>
      <c r="I497" t="e">
        <f>IF('Lab test'!AU488&gt;0,'Lab test'!AU488,NA())</f>
        <v>#N/A</v>
      </c>
      <c r="J497">
        <f>IF('Lab test'!AT488&gt;0,'Lab test'!AT488,NA())</f>
        <v>0.84</v>
      </c>
      <c r="K497" t="e">
        <f t="shared" si="199"/>
        <v>#N/A</v>
      </c>
      <c r="L497" t="str">
        <f>'Lab test'!AC488</f>
        <v>Electroforming</v>
      </c>
      <c r="X497" t="e">
        <v>#N/A</v>
      </c>
      <c r="Z497" t="e">
        <f t="shared" si="189"/>
        <v>#N/A</v>
      </c>
      <c r="AB497" t="e">
        <f t="shared" si="201"/>
        <v>#N/A</v>
      </c>
      <c r="AC497" t="e">
        <f t="shared" si="190"/>
        <v>#N/A</v>
      </c>
      <c r="AE497" t="e">
        <v>#N/A</v>
      </c>
      <c r="AF497" t="e">
        <v>#N/A</v>
      </c>
      <c r="AP497" t="e">
        <v>#N/A</v>
      </c>
      <c r="AR497" t="e">
        <f t="shared" si="191"/>
        <v>#N/A</v>
      </c>
      <c r="AT497" t="e">
        <f t="shared" si="192"/>
        <v>#N/A</v>
      </c>
      <c r="AU497" t="e">
        <f t="shared" si="193"/>
        <v>#N/A</v>
      </c>
      <c r="AW497" t="e">
        <v>#N/A</v>
      </c>
      <c r="AX497" t="e">
        <v>#N/A</v>
      </c>
      <c r="BG497" t="e">
        <v>#N/A</v>
      </c>
      <c r="BI497" t="e">
        <f t="shared" si="194"/>
        <v>#N/A</v>
      </c>
      <c r="BK497" t="e">
        <f t="shared" si="195"/>
        <v>#N/A</v>
      </c>
      <c r="BL497" t="e">
        <f t="shared" si="196"/>
        <v>#N/A</v>
      </c>
      <c r="BN497" t="e">
        <v>#N/A</v>
      </c>
      <c r="BO497" t="e">
        <v>#N/A</v>
      </c>
      <c r="BX497" t="e">
        <v>#N/A</v>
      </c>
      <c r="BZ497" t="e">
        <f t="shared" si="197"/>
        <v>#N/A</v>
      </c>
      <c r="CB497" t="e">
        <f t="shared" si="200"/>
        <v>#N/A</v>
      </c>
      <c r="CC497" t="e">
        <f t="shared" si="198"/>
        <v>#N/A</v>
      </c>
      <c r="CE497" t="e">
        <v>#N/A</v>
      </c>
      <c r="CF497" t="e">
        <v>#N/A</v>
      </c>
    </row>
    <row r="498" spans="2:84">
      <c r="B498">
        <v>486</v>
      </c>
      <c r="C498" t="e">
        <f>IF(ISNUMBER(K498),IF('Lab test'!N489&gt;0,'Lab test'!N489,NA()),NA())</f>
        <v>#N/A</v>
      </c>
      <c r="D498" t="e">
        <f>IF(ISNUMBER(K498),IF('Lab test'!Q489&gt;0,'Lab test'!Q489,NA()),NA())</f>
        <v>#N/A</v>
      </c>
      <c r="E498" t="e">
        <f>IF(ISNUMBER(K498),IF('Lab test'!P489&gt;0,'Lab test'!P489,NA()),NA())</f>
        <v>#N/A</v>
      </c>
      <c r="F498" t="e">
        <f>IF(ISNUMBER(K498),IF('Lab test'!AJ489&gt;0,'Lab test'!AJ489,NA()),NA())</f>
        <v>#N/A</v>
      </c>
      <c r="G498">
        <f>IF('Lab test'!V489&gt;0,'Lab test'!V489,NA())</f>
        <v>168921.55335999999</v>
      </c>
      <c r="H498" t="e">
        <f>IF(MAX('Lab test'!W489,'Lab test'!X489)&gt;0,MAX('Lab test'!W489,'Lab test'!X489),NA())</f>
        <v>#N/A</v>
      </c>
      <c r="I498" t="e">
        <f>IF('Lab test'!AU489&gt;0,'Lab test'!AU489,NA())</f>
        <v>#N/A</v>
      </c>
      <c r="J498">
        <f>IF('Lab test'!AT489&gt;0,'Lab test'!AT489,NA())</f>
        <v>0.84</v>
      </c>
      <c r="K498" t="e">
        <f t="shared" si="199"/>
        <v>#N/A</v>
      </c>
      <c r="L498" t="str">
        <f>'Lab test'!AC489</f>
        <v>Electroforming</v>
      </c>
      <c r="X498" t="e">
        <v>#N/A</v>
      </c>
      <c r="Z498" t="e">
        <f t="shared" si="189"/>
        <v>#N/A</v>
      </c>
      <c r="AB498" t="e">
        <f t="shared" si="201"/>
        <v>#N/A</v>
      </c>
      <c r="AC498" t="e">
        <f t="shared" si="190"/>
        <v>#N/A</v>
      </c>
      <c r="AE498" t="e">
        <v>#N/A</v>
      </c>
      <c r="AF498" t="e">
        <v>#N/A</v>
      </c>
      <c r="AP498" t="e">
        <v>#N/A</v>
      </c>
      <c r="AR498" t="e">
        <f t="shared" si="191"/>
        <v>#N/A</v>
      </c>
      <c r="AT498" t="e">
        <f t="shared" si="192"/>
        <v>#N/A</v>
      </c>
      <c r="AU498" t="e">
        <f t="shared" si="193"/>
        <v>#N/A</v>
      </c>
      <c r="AW498" t="e">
        <v>#N/A</v>
      </c>
      <c r="AX498" t="e">
        <v>#N/A</v>
      </c>
      <c r="BG498" t="e">
        <v>#N/A</v>
      </c>
      <c r="BI498" t="e">
        <f t="shared" si="194"/>
        <v>#N/A</v>
      </c>
      <c r="BK498" t="e">
        <f t="shared" si="195"/>
        <v>#N/A</v>
      </c>
      <c r="BL498" t="e">
        <f t="shared" si="196"/>
        <v>#N/A</v>
      </c>
      <c r="BN498" t="e">
        <v>#N/A</v>
      </c>
      <c r="BO498" t="e">
        <v>#N/A</v>
      </c>
      <c r="BX498" t="e">
        <v>#N/A</v>
      </c>
      <c r="BZ498" t="e">
        <f t="shared" si="197"/>
        <v>#N/A</v>
      </c>
      <c r="CB498" t="e">
        <f t="shared" si="200"/>
        <v>#N/A</v>
      </c>
      <c r="CC498" t="e">
        <f t="shared" si="198"/>
        <v>#N/A</v>
      </c>
      <c r="CE498" t="e">
        <v>#N/A</v>
      </c>
      <c r="CF498" t="e">
        <v>#N/A</v>
      </c>
    </row>
    <row r="499" spans="2:84">
      <c r="B499">
        <v>487</v>
      </c>
      <c r="C499" t="e">
        <f>IF(ISNUMBER(K499),IF('Lab test'!N490&gt;0,'Lab test'!N490,NA()),NA())</f>
        <v>#N/A</v>
      </c>
      <c r="D499" t="e">
        <f>IF(ISNUMBER(K499),IF('Lab test'!Q490&gt;0,'Lab test'!Q490,NA()),NA())</f>
        <v>#N/A</v>
      </c>
      <c r="E499" t="e">
        <f>IF(ISNUMBER(K499),IF('Lab test'!P490&gt;0,'Lab test'!P490,NA()),NA())</f>
        <v>#N/A</v>
      </c>
      <c r="F499" t="e">
        <f>IF(ISNUMBER(K499),IF('Lab test'!AJ490&gt;0,'Lab test'!AJ490,NA()),NA())</f>
        <v>#N/A</v>
      </c>
      <c r="G499">
        <f>IF('Lab test'!V490&gt;0,'Lab test'!V490,NA())</f>
        <v>168921.55335999999</v>
      </c>
      <c r="H499" t="e">
        <f>IF(MAX('Lab test'!W490,'Lab test'!X490)&gt;0,MAX('Lab test'!W490,'Lab test'!X490),NA())</f>
        <v>#N/A</v>
      </c>
      <c r="I499" t="e">
        <f>IF('Lab test'!AU490&gt;0,'Lab test'!AU490,NA())</f>
        <v>#N/A</v>
      </c>
      <c r="J499">
        <f>IF('Lab test'!AT490&gt;0,'Lab test'!AT490,NA())</f>
        <v>0.91</v>
      </c>
      <c r="K499" t="e">
        <f t="shared" si="199"/>
        <v>#N/A</v>
      </c>
      <c r="L499" t="str">
        <f>'Lab test'!AC490</f>
        <v>Electroforming</v>
      </c>
      <c r="X499" t="e">
        <v>#N/A</v>
      </c>
      <c r="Z499" t="e">
        <f t="shared" si="189"/>
        <v>#N/A</v>
      </c>
      <c r="AB499" t="e">
        <f t="shared" si="201"/>
        <v>#N/A</v>
      </c>
      <c r="AC499" t="e">
        <f t="shared" si="190"/>
        <v>#N/A</v>
      </c>
      <c r="AE499" t="e">
        <v>#N/A</v>
      </c>
      <c r="AF499" t="e">
        <v>#N/A</v>
      </c>
      <c r="AP499" t="e">
        <v>#N/A</v>
      </c>
      <c r="AR499" t="e">
        <f t="shared" si="191"/>
        <v>#N/A</v>
      </c>
      <c r="AT499" t="e">
        <f t="shared" si="192"/>
        <v>#N/A</v>
      </c>
      <c r="AU499" t="e">
        <f t="shared" si="193"/>
        <v>#N/A</v>
      </c>
      <c r="AW499" t="e">
        <v>#N/A</v>
      </c>
      <c r="AX499" t="e">
        <v>#N/A</v>
      </c>
      <c r="BG499" t="e">
        <v>#N/A</v>
      </c>
      <c r="BI499" t="e">
        <f t="shared" si="194"/>
        <v>#N/A</v>
      </c>
      <c r="BK499" t="e">
        <f t="shared" si="195"/>
        <v>#N/A</v>
      </c>
      <c r="BL499" t="e">
        <f t="shared" si="196"/>
        <v>#N/A</v>
      </c>
      <c r="BN499" t="e">
        <v>#N/A</v>
      </c>
      <c r="BO499" t="e">
        <v>#N/A</v>
      </c>
      <c r="BX499" t="e">
        <v>#N/A</v>
      </c>
      <c r="BZ499" t="e">
        <f t="shared" si="197"/>
        <v>#N/A</v>
      </c>
      <c r="CB499" t="e">
        <f t="shared" si="200"/>
        <v>#N/A</v>
      </c>
      <c r="CC499" t="e">
        <f t="shared" si="198"/>
        <v>#N/A</v>
      </c>
      <c r="CE499" t="e">
        <v>#N/A</v>
      </c>
      <c r="CF499" t="e">
        <v>#N/A</v>
      </c>
    </row>
    <row r="500" spans="2:84">
      <c r="B500">
        <v>488</v>
      </c>
      <c r="C500" t="e">
        <f>IF(ISNUMBER(K500),IF('Lab test'!N491&gt;0,'Lab test'!N491,NA()),NA())</f>
        <v>#N/A</v>
      </c>
      <c r="D500" t="e">
        <f>IF(ISNUMBER(K500),IF('Lab test'!Q491&gt;0,'Lab test'!Q491,NA()),NA())</f>
        <v>#N/A</v>
      </c>
      <c r="E500" t="e">
        <f>IF(ISNUMBER(K500),IF('Lab test'!P491&gt;0,'Lab test'!P491,NA()),NA())</f>
        <v>#N/A</v>
      </c>
      <c r="F500" t="e">
        <f>IF(ISNUMBER(K500),IF('Lab test'!AJ491&gt;0,'Lab test'!AJ491,NA()),NA())</f>
        <v>#N/A</v>
      </c>
      <c r="G500">
        <f>IF('Lab test'!V491&gt;0,'Lab test'!V491,NA())</f>
        <v>168921.55335999999</v>
      </c>
      <c r="H500" t="e">
        <f>IF(MAX('Lab test'!W491,'Lab test'!X491)&gt;0,MAX('Lab test'!W491,'Lab test'!X491),NA())</f>
        <v>#N/A</v>
      </c>
      <c r="I500" t="e">
        <f>IF('Lab test'!AU491&gt;0,'Lab test'!AU491,NA())</f>
        <v>#N/A</v>
      </c>
      <c r="J500">
        <f>IF('Lab test'!AT491&gt;0,'Lab test'!AT491,NA())</f>
        <v>0.86</v>
      </c>
      <c r="K500" t="e">
        <f t="shared" si="199"/>
        <v>#N/A</v>
      </c>
      <c r="L500" t="str">
        <f>'Lab test'!AC491</f>
        <v>Electroforming</v>
      </c>
      <c r="X500" t="e">
        <v>#N/A</v>
      </c>
      <c r="Z500" t="e">
        <f t="shared" si="189"/>
        <v>#N/A</v>
      </c>
      <c r="AB500" t="e">
        <f t="shared" si="201"/>
        <v>#N/A</v>
      </c>
      <c r="AC500" t="e">
        <f t="shared" si="190"/>
        <v>#N/A</v>
      </c>
      <c r="AE500" t="e">
        <v>#N/A</v>
      </c>
      <c r="AF500" t="e">
        <v>#N/A</v>
      </c>
      <c r="AP500" t="e">
        <v>#N/A</v>
      </c>
      <c r="AR500" t="e">
        <f t="shared" si="191"/>
        <v>#N/A</v>
      </c>
      <c r="AT500" t="e">
        <f t="shared" si="192"/>
        <v>#N/A</v>
      </c>
      <c r="AU500" t="e">
        <f t="shared" si="193"/>
        <v>#N/A</v>
      </c>
      <c r="AW500" t="e">
        <v>#N/A</v>
      </c>
      <c r="AX500" t="e">
        <v>#N/A</v>
      </c>
      <c r="BG500" t="e">
        <v>#N/A</v>
      </c>
      <c r="BI500" t="e">
        <f t="shared" si="194"/>
        <v>#N/A</v>
      </c>
      <c r="BK500" t="e">
        <f t="shared" si="195"/>
        <v>#N/A</v>
      </c>
      <c r="BL500" t="e">
        <f t="shared" si="196"/>
        <v>#N/A</v>
      </c>
      <c r="BN500" t="e">
        <v>#N/A</v>
      </c>
      <c r="BO500" t="e">
        <v>#N/A</v>
      </c>
      <c r="BX500" t="e">
        <v>#N/A</v>
      </c>
      <c r="BZ500" t="e">
        <f t="shared" si="197"/>
        <v>#N/A</v>
      </c>
      <c r="CB500" t="e">
        <f t="shared" si="200"/>
        <v>#N/A</v>
      </c>
      <c r="CC500" t="e">
        <f t="shared" si="198"/>
        <v>#N/A</v>
      </c>
      <c r="CE500" t="e">
        <v>#N/A</v>
      </c>
      <c r="CF500" t="e">
        <v>#N/A</v>
      </c>
    </row>
    <row r="501" spans="2:84">
      <c r="B501">
        <v>489</v>
      </c>
      <c r="C501" t="e">
        <f>IF(ISNUMBER(K501),IF('Lab test'!N492&gt;0,'Lab test'!N492,NA()),NA())</f>
        <v>#N/A</v>
      </c>
      <c r="D501" t="e">
        <f>IF(ISNUMBER(K501),IF('Lab test'!Q492&gt;0,'Lab test'!Q492,NA()),NA())</f>
        <v>#N/A</v>
      </c>
      <c r="E501" t="e">
        <f>IF(ISNUMBER(K501),IF('Lab test'!P492&gt;0,'Lab test'!P492,NA()),NA())</f>
        <v>#N/A</v>
      </c>
      <c r="F501" t="e">
        <f>IF(ISNUMBER(K501),IF('Lab test'!AJ492&gt;0,'Lab test'!AJ492,NA()),NA())</f>
        <v>#N/A</v>
      </c>
      <c r="G501">
        <f>IF('Lab test'!V492&gt;0,'Lab test'!V492,NA())</f>
        <v>168921.55335999999</v>
      </c>
      <c r="H501" t="e">
        <f>IF(MAX('Lab test'!W492,'Lab test'!X492)&gt;0,MAX('Lab test'!W492,'Lab test'!X492),NA())</f>
        <v>#N/A</v>
      </c>
      <c r="I501" t="e">
        <f>IF('Lab test'!AU492&gt;0,'Lab test'!AU492,NA())</f>
        <v>#N/A</v>
      </c>
      <c r="J501">
        <f>IF('Lab test'!AT492&gt;0,'Lab test'!AT492,NA())</f>
        <v>0.8</v>
      </c>
      <c r="K501" t="e">
        <f t="shared" si="199"/>
        <v>#N/A</v>
      </c>
      <c r="L501" t="str">
        <f>'Lab test'!AC492</f>
        <v>Electroforming</v>
      </c>
      <c r="X501" t="e">
        <v>#N/A</v>
      </c>
      <c r="Z501" t="e">
        <f t="shared" si="189"/>
        <v>#N/A</v>
      </c>
      <c r="AB501" t="e">
        <f t="shared" si="201"/>
        <v>#N/A</v>
      </c>
      <c r="AC501" t="e">
        <f t="shared" si="190"/>
        <v>#N/A</v>
      </c>
      <c r="AE501" t="e">
        <v>#N/A</v>
      </c>
      <c r="AF501" t="e">
        <v>#N/A</v>
      </c>
      <c r="AP501" t="e">
        <v>#N/A</v>
      </c>
      <c r="AR501" t="e">
        <f t="shared" si="191"/>
        <v>#N/A</v>
      </c>
      <c r="AT501" t="e">
        <f t="shared" si="192"/>
        <v>#N/A</v>
      </c>
      <c r="AU501" t="e">
        <f t="shared" si="193"/>
        <v>#N/A</v>
      </c>
      <c r="AW501" t="e">
        <v>#N/A</v>
      </c>
      <c r="AX501" t="e">
        <v>#N/A</v>
      </c>
      <c r="BG501" t="e">
        <v>#N/A</v>
      </c>
      <c r="BI501" t="e">
        <f t="shared" si="194"/>
        <v>#N/A</v>
      </c>
      <c r="BK501" t="e">
        <f t="shared" si="195"/>
        <v>#N/A</v>
      </c>
      <c r="BL501" t="e">
        <f t="shared" si="196"/>
        <v>#N/A</v>
      </c>
      <c r="BN501" t="e">
        <v>#N/A</v>
      </c>
      <c r="BO501" t="e">
        <v>#N/A</v>
      </c>
      <c r="BX501" t="e">
        <v>#N/A</v>
      </c>
      <c r="BZ501" t="e">
        <f t="shared" si="197"/>
        <v>#N/A</v>
      </c>
      <c r="CB501" t="e">
        <f t="shared" si="200"/>
        <v>#N/A</v>
      </c>
      <c r="CC501" t="e">
        <f t="shared" si="198"/>
        <v>#N/A</v>
      </c>
      <c r="CE501" t="e">
        <v>#N/A</v>
      </c>
      <c r="CF501" t="e">
        <v>#N/A</v>
      </c>
    </row>
    <row r="502" spans="2:84">
      <c r="B502">
        <v>490</v>
      </c>
      <c r="C502" t="e">
        <f>IF(ISNUMBER(K502),IF('Lab test'!N493&gt;0,'Lab test'!N493,NA()),NA())</f>
        <v>#N/A</v>
      </c>
      <c r="D502" t="e">
        <f>IF(ISNUMBER(K502),IF('Lab test'!Q493&gt;0,'Lab test'!Q493,NA()),NA())</f>
        <v>#N/A</v>
      </c>
      <c r="E502" t="e">
        <f>IF(ISNUMBER(K502),IF('Lab test'!P493&gt;0,'Lab test'!P493,NA()),NA())</f>
        <v>#N/A</v>
      </c>
      <c r="F502" t="e">
        <f>IF(ISNUMBER(K502),IF('Lab test'!AJ493&gt;0,'Lab test'!AJ493,NA()),NA())</f>
        <v>#N/A</v>
      </c>
      <c r="G502">
        <f>IF('Lab test'!V493&gt;0,'Lab test'!V493,NA())</f>
        <v>168921.55335999999</v>
      </c>
      <c r="H502" t="e">
        <f>IF(MAX('Lab test'!W493,'Lab test'!X493)&gt;0,MAX('Lab test'!W493,'Lab test'!X493),NA())</f>
        <v>#N/A</v>
      </c>
      <c r="I502" t="e">
        <f>IF('Lab test'!AU493&gt;0,'Lab test'!AU493,NA())</f>
        <v>#N/A</v>
      </c>
      <c r="J502">
        <f>IF('Lab test'!AT493&gt;0,'Lab test'!AT493,NA())</f>
        <v>0.9</v>
      </c>
      <c r="K502" t="e">
        <f t="shared" si="199"/>
        <v>#N/A</v>
      </c>
      <c r="L502" t="str">
        <f>'Lab test'!AC493</f>
        <v>Electroforming</v>
      </c>
      <c r="X502" t="e">
        <v>#N/A</v>
      </c>
      <c r="Z502" t="e">
        <f t="shared" si="189"/>
        <v>#N/A</v>
      </c>
      <c r="AB502" t="e">
        <f t="shared" si="201"/>
        <v>#N/A</v>
      </c>
      <c r="AC502" t="e">
        <f t="shared" si="190"/>
        <v>#N/A</v>
      </c>
      <c r="AE502" t="e">
        <v>#N/A</v>
      </c>
      <c r="AF502" t="e">
        <v>#N/A</v>
      </c>
      <c r="AP502" t="e">
        <v>#N/A</v>
      </c>
      <c r="AR502" t="e">
        <f t="shared" si="191"/>
        <v>#N/A</v>
      </c>
      <c r="AT502" t="e">
        <f t="shared" si="192"/>
        <v>#N/A</v>
      </c>
      <c r="AU502" t="e">
        <f t="shared" si="193"/>
        <v>#N/A</v>
      </c>
      <c r="AW502" t="e">
        <v>#N/A</v>
      </c>
      <c r="AX502" t="e">
        <v>#N/A</v>
      </c>
      <c r="BG502" t="e">
        <v>#N/A</v>
      </c>
      <c r="BI502" t="e">
        <f t="shared" si="194"/>
        <v>#N/A</v>
      </c>
      <c r="BK502" t="e">
        <f t="shared" si="195"/>
        <v>#N/A</v>
      </c>
      <c r="BL502" t="e">
        <f t="shared" si="196"/>
        <v>#N/A</v>
      </c>
      <c r="BN502" t="e">
        <v>#N/A</v>
      </c>
      <c r="BO502" t="e">
        <v>#N/A</v>
      </c>
      <c r="BX502" t="e">
        <v>#N/A</v>
      </c>
      <c r="BZ502" t="e">
        <f t="shared" si="197"/>
        <v>#N/A</v>
      </c>
      <c r="CB502" t="e">
        <f t="shared" si="200"/>
        <v>#N/A</v>
      </c>
      <c r="CC502" t="e">
        <f t="shared" si="198"/>
        <v>#N/A</v>
      </c>
      <c r="CE502" t="e">
        <v>#N/A</v>
      </c>
      <c r="CF502" t="e">
        <v>#N/A</v>
      </c>
    </row>
    <row r="503" spans="2:84">
      <c r="B503">
        <v>491</v>
      </c>
      <c r="C503" t="e">
        <f>IF(ISNUMBER(K503),IF('Lab test'!N494&gt;0,'Lab test'!N494,NA()),NA())</f>
        <v>#N/A</v>
      </c>
      <c r="D503" t="e">
        <f>IF(ISNUMBER(K503),IF('Lab test'!Q494&gt;0,'Lab test'!Q494,NA()),NA())</f>
        <v>#N/A</v>
      </c>
      <c r="E503" t="e">
        <f>IF(ISNUMBER(K503),IF('Lab test'!P494&gt;0,'Lab test'!P494,NA()),NA())</f>
        <v>#N/A</v>
      </c>
      <c r="F503" t="e">
        <f>IF(ISNUMBER(K503),IF('Lab test'!AJ494&gt;0,'Lab test'!AJ494,NA()),NA())</f>
        <v>#N/A</v>
      </c>
      <c r="G503">
        <f>IF('Lab test'!V494&gt;0,'Lab test'!V494,NA())</f>
        <v>168921.55335999999</v>
      </c>
      <c r="H503" t="e">
        <f>IF(MAX('Lab test'!W494,'Lab test'!X494)&gt;0,MAX('Lab test'!W494,'Lab test'!X494),NA())</f>
        <v>#N/A</v>
      </c>
      <c r="I503" t="e">
        <f>IF('Lab test'!AU494&gt;0,'Lab test'!AU494,NA())</f>
        <v>#N/A</v>
      </c>
      <c r="J503">
        <f>IF('Lab test'!AT494&gt;0,'Lab test'!AT494,NA())</f>
        <v>0.81</v>
      </c>
      <c r="K503" t="e">
        <f t="shared" si="199"/>
        <v>#N/A</v>
      </c>
      <c r="L503" t="str">
        <f>'Lab test'!AC494</f>
        <v>Electroforming</v>
      </c>
      <c r="X503" t="e">
        <v>#N/A</v>
      </c>
      <c r="Z503" t="e">
        <f t="shared" si="189"/>
        <v>#N/A</v>
      </c>
      <c r="AB503" t="e">
        <f t="shared" si="201"/>
        <v>#N/A</v>
      </c>
      <c r="AC503" t="e">
        <f t="shared" si="190"/>
        <v>#N/A</v>
      </c>
      <c r="AE503" t="e">
        <v>#N/A</v>
      </c>
      <c r="AF503" t="e">
        <v>#N/A</v>
      </c>
      <c r="AP503" t="e">
        <v>#N/A</v>
      </c>
      <c r="AR503" t="e">
        <f t="shared" si="191"/>
        <v>#N/A</v>
      </c>
      <c r="AT503" t="e">
        <f t="shared" si="192"/>
        <v>#N/A</v>
      </c>
      <c r="AU503" t="e">
        <f t="shared" si="193"/>
        <v>#N/A</v>
      </c>
      <c r="AW503" t="e">
        <v>#N/A</v>
      </c>
      <c r="AX503" t="e">
        <v>#N/A</v>
      </c>
      <c r="BG503" t="e">
        <v>#N/A</v>
      </c>
      <c r="BI503" t="e">
        <f t="shared" si="194"/>
        <v>#N/A</v>
      </c>
      <c r="BK503" t="e">
        <f t="shared" si="195"/>
        <v>#N/A</v>
      </c>
      <c r="BL503" t="e">
        <f t="shared" si="196"/>
        <v>#N/A</v>
      </c>
      <c r="BN503" t="e">
        <v>#N/A</v>
      </c>
      <c r="BO503" t="e">
        <v>#N/A</v>
      </c>
      <c r="BX503" t="e">
        <v>#N/A</v>
      </c>
      <c r="BZ503" t="e">
        <f t="shared" si="197"/>
        <v>#N/A</v>
      </c>
      <c r="CB503" t="e">
        <f t="shared" si="200"/>
        <v>#N/A</v>
      </c>
      <c r="CC503" t="e">
        <f t="shared" si="198"/>
        <v>#N/A</v>
      </c>
      <c r="CE503" t="e">
        <v>#N/A</v>
      </c>
      <c r="CF503" t="e">
        <v>#N/A</v>
      </c>
    </row>
    <row r="504" spans="2:84">
      <c r="B504">
        <v>492</v>
      </c>
      <c r="C504" t="e">
        <f>IF(ISNUMBER(K504),IF('Lab test'!N495&gt;0,'Lab test'!N495,NA()),NA())</f>
        <v>#N/A</v>
      </c>
      <c r="D504" t="e">
        <f>IF(ISNUMBER(K504),IF('Lab test'!Q495&gt;0,'Lab test'!Q495,NA()),NA())</f>
        <v>#N/A</v>
      </c>
      <c r="E504" t="e">
        <f>IF(ISNUMBER(K504),IF('Lab test'!P495&gt;0,'Lab test'!P495,NA()),NA())</f>
        <v>#N/A</v>
      </c>
      <c r="F504" t="e">
        <f>IF(ISNUMBER(K504),IF('Lab test'!AJ495&gt;0,'Lab test'!AJ495,NA()),NA())</f>
        <v>#N/A</v>
      </c>
      <c r="G504">
        <f>IF('Lab test'!V495&gt;0,'Lab test'!V495,NA())</f>
        <v>168921.55335999999</v>
      </c>
      <c r="H504" t="e">
        <f>IF(MAX('Lab test'!W495,'Lab test'!X495)&gt;0,MAX('Lab test'!W495,'Lab test'!X495),NA())</f>
        <v>#N/A</v>
      </c>
      <c r="I504" t="e">
        <f>IF('Lab test'!AU495&gt;0,'Lab test'!AU495,NA())</f>
        <v>#N/A</v>
      </c>
      <c r="J504">
        <f>IF('Lab test'!AT495&gt;0,'Lab test'!AT495,NA())</f>
        <v>0.85</v>
      </c>
      <c r="K504" t="e">
        <f t="shared" si="199"/>
        <v>#N/A</v>
      </c>
      <c r="L504" t="str">
        <f>'Lab test'!AC495</f>
        <v>Electroforming</v>
      </c>
      <c r="X504" t="e">
        <v>#N/A</v>
      </c>
      <c r="Z504" t="e">
        <f t="shared" si="189"/>
        <v>#N/A</v>
      </c>
      <c r="AB504" t="e">
        <f t="shared" si="201"/>
        <v>#N/A</v>
      </c>
      <c r="AC504" t="e">
        <f t="shared" si="190"/>
        <v>#N/A</v>
      </c>
      <c r="AE504" t="e">
        <v>#N/A</v>
      </c>
      <c r="AF504" t="e">
        <v>#N/A</v>
      </c>
      <c r="AP504" t="e">
        <v>#N/A</v>
      </c>
      <c r="AR504" t="e">
        <f t="shared" si="191"/>
        <v>#N/A</v>
      </c>
      <c r="AT504" t="e">
        <f t="shared" si="192"/>
        <v>#N/A</v>
      </c>
      <c r="AU504" t="e">
        <f t="shared" si="193"/>
        <v>#N/A</v>
      </c>
      <c r="AW504" t="e">
        <v>#N/A</v>
      </c>
      <c r="AX504" t="e">
        <v>#N/A</v>
      </c>
      <c r="BG504" t="e">
        <v>#N/A</v>
      </c>
      <c r="BI504" t="e">
        <f t="shared" si="194"/>
        <v>#N/A</v>
      </c>
      <c r="BK504" t="e">
        <f t="shared" si="195"/>
        <v>#N/A</v>
      </c>
      <c r="BL504" t="e">
        <f t="shared" si="196"/>
        <v>#N/A</v>
      </c>
      <c r="BN504" t="e">
        <v>#N/A</v>
      </c>
      <c r="BO504" t="e">
        <v>#N/A</v>
      </c>
      <c r="BX504" t="e">
        <v>#N/A</v>
      </c>
      <c r="BZ504" t="e">
        <f t="shared" si="197"/>
        <v>#N/A</v>
      </c>
      <c r="CB504" t="e">
        <f t="shared" si="200"/>
        <v>#N/A</v>
      </c>
      <c r="CC504" t="e">
        <f t="shared" si="198"/>
        <v>#N/A</v>
      </c>
      <c r="CE504" t="e">
        <v>#N/A</v>
      </c>
      <c r="CF504" t="e">
        <v>#N/A</v>
      </c>
    </row>
    <row r="505" spans="2:84">
      <c r="B505">
        <v>493</v>
      </c>
      <c r="C505" t="e">
        <f>IF(ISNUMBER(K505),IF('Lab test'!N496&gt;0,'Lab test'!N496,NA()),NA())</f>
        <v>#N/A</v>
      </c>
      <c r="D505" t="e">
        <f>IF(ISNUMBER(K505),IF('Lab test'!Q496&gt;0,'Lab test'!Q496,NA()),NA())</f>
        <v>#N/A</v>
      </c>
      <c r="E505" t="e">
        <f>IF(ISNUMBER(K505),IF('Lab test'!P496&gt;0,'Lab test'!P496,NA()),NA())</f>
        <v>#N/A</v>
      </c>
      <c r="F505" t="e">
        <f>IF(ISNUMBER(K505),IF('Lab test'!AJ496&gt;0,'Lab test'!AJ496,NA()),NA())</f>
        <v>#N/A</v>
      </c>
      <c r="G505">
        <f>IF('Lab test'!V496&gt;0,'Lab test'!V496,NA())</f>
        <v>207000</v>
      </c>
      <c r="H505">
        <f>IF(MAX('Lab test'!W496,'Lab test'!X496)&gt;0,MAX('Lab test'!W496,'Lab test'!X496),NA())</f>
        <v>270</v>
      </c>
      <c r="I505">
        <f>IF('Lab test'!AU496&gt;0,'Lab test'!AU496,NA())</f>
        <v>0.82962962962962961</v>
      </c>
      <c r="J505">
        <f>IF('Lab test'!AT496&gt;0,'Lab test'!AT496,NA())</f>
        <v>0.17879649312928794</v>
      </c>
      <c r="K505" t="e">
        <f t="shared" si="199"/>
        <v>#N/A</v>
      </c>
      <c r="L505" t="str">
        <f>'Lab test'!AC496</f>
        <v>LTWa</v>
      </c>
      <c r="X505" t="e">
        <v>#N/A</v>
      </c>
      <c r="Z505" t="e">
        <f t="shared" si="189"/>
        <v>#N/A</v>
      </c>
      <c r="AB505" t="e">
        <f t="shared" si="201"/>
        <v>#N/A</v>
      </c>
      <c r="AC505" t="e">
        <f t="shared" si="190"/>
        <v>#N/A</v>
      </c>
      <c r="AE505" t="e">
        <v>#N/A</v>
      </c>
      <c r="AF505" t="e">
        <v>#N/A</v>
      </c>
      <c r="AP505" t="e">
        <v>#N/A</v>
      </c>
      <c r="AR505" t="e">
        <f t="shared" si="191"/>
        <v>#N/A</v>
      </c>
      <c r="AT505" t="e">
        <f t="shared" si="192"/>
        <v>#N/A</v>
      </c>
      <c r="AU505" t="e">
        <f t="shared" si="193"/>
        <v>#N/A</v>
      </c>
      <c r="AW505" t="e">
        <v>#N/A</v>
      </c>
      <c r="AX505" t="e">
        <v>#N/A</v>
      </c>
      <c r="BG505" t="e">
        <v>#N/A</v>
      </c>
      <c r="BI505" t="e">
        <f t="shared" si="194"/>
        <v>#N/A</v>
      </c>
      <c r="BK505" t="e">
        <f t="shared" si="195"/>
        <v>#N/A</v>
      </c>
      <c r="BL505" t="e">
        <f t="shared" si="196"/>
        <v>#N/A</v>
      </c>
      <c r="BN505" t="e">
        <v>#N/A</v>
      </c>
      <c r="BO505" t="e">
        <v>#N/A</v>
      </c>
      <c r="BX505" t="e">
        <v>#N/A</v>
      </c>
      <c r="BZ505" t="e">
        <f t="shared" si="197"/>
        <v>#N/A</v>
      </c>
      <c r="CB505" t="e">
        <f t="shared" si="200"/>
        <v>#N/A</v>
      </c>
      <c r="CC505" t="e">
        <f t="shared" si="198"/>
        <v>#N/A</v>
      </c>
      <c r="CE505" t="e">
        <v>#N/A</v>
      </c>
      <c r="CF505" t="e">
        <v>#N/A</v>
      </c>
    </row>
    <row r="506" spans="2:84">
      <c r="B506">
        <v>494</v>
      </c>
      <c r="C506" t="e">
        <f>IF(ISNUMBER(K506),IF('Lab test'!N497&gt;0,'Lab test'!N497,NA()),NA())</f>
        <v>#N/A</v>
      </c>
      <c r="D506" t="e">
        <f>IF(ISNUMBER(K506),IF('Lab test'!Q497&gt;0,'Lab test'!Q497,NA()),NA())</f>
        <v>#N/A</v>
      </c>
      <c r="E506" t="e">
        <f>IF(ISNUMBER(K506),IF('Lab test'!P497&gt;0,'Lab test'!P497,NA()),NA())</f>
        <v>#N/A</v>
      </c>
      <c r="F506" t="e">
        <f>IF(ISNUMBER(K506),IF('Lab test'!AJ497&gt;0,'Lab test'!AJ497,NA()),NA())</f>
        <v>#N/A</v>
      </c>
      <c r="G506">
        <f>IF('Lab test'!V497&gt;0,'Lab test'!V497,NA())</f>
        <v>207000</v>
      </c>
      <c r="H506">
        <f>IF(MAX('Lab test'!W497,'Lab test'!X497)&gt;0,MAX('Lab test'!W497,'Lab test'!X497),NA())</f>
        <v>400</v>
      </c>
      <c r="I506">
        <f>IF('Lab test'!AU497&gt;0,'Lab test'!AU497,NA())</f>
        <v>0.9</v>
      </c>
      <c r="J506">
        <f>IF('Lab test'!AT497&gt;0,'Lab test'!AT497,NA())</f>
        <v>0.27298393147418071</v>
      </c>
      <c r="K506" t="e">
        <f t="shared" si="199"/>
        <v>#N/A</v>
      </c>
      <c r="L506" t="str">
        <f>'Lab test'!AC497</f>
        <v>LTWa</v>
      </c>
      <c r="X506" t="e">
        <v>#N/A</v>
      </c>
      <c r="Z506" t="e">
        <f t="shared" si="189"/>
        <v>#N/A</v>
      </c>
      <c r="AB506" t="e">
        <f t="shared" si="201"/>
        <v>#N/A</v>
      </c>
      <c r="AC506" t="e">
        <f t="shared" si="190"/>
        <v>#N/A</v>
      </c>
      <c r="AE506" t="e">
        <v>#N/A</v>
      </c>
      <c r="AF506" t="e">
        <v>#N/A</v>
      </c>
      <c r="AP506" t="e">
        <v>#N/A</v>
      </c>
      <c r="AR506" t="e">
        <f t="shared" si="191"/>
        <v>#N/A</v>
      </c>
      <c r="AT506" t="e">
        <f t="shared" si="192"/>
        <v>#N/A</v>
      </c>
      <c r="AU506" t="e">
        <f t="shared" si="193"/>
        <v>#N/A</v>
      </c>
      <c r="AW506" t="e">
        <v>#N/A</v>
      </c>
      <c r="AX506" t="e">
        <v>#N/A</v>
      </c>
      <c r="BG506" t="e">
        <v>#N/A</v>
      </c>
      <c r="BI506" t="e">
        <f t="shared" si="194"/>
        <v>#N/A</v>
      </c>
      <c r="BK506" t="e">
        <f t="shared" si="195"/>
        <v>#N/A</v>
      </c>
      <c r="BL506" t="e">
        <f t="shared" si="196"/>
        <v>#N/A</v>
      </c>
      <c r="BN506" t="e">
        <v>#N/A</v>
      </c>
      <c r="BO506" t="e">
        <v>#N/A</v>
      </c>
      <c r="BX506" t="e">
        <v>#N/A</v>
      </c>
      <c r="BZ506" t="e">
        <f t="shared" si="197"/>
        <v>#N/A</v>
      </c>
      <c r="CB506" t="e">
        <f t="shared" si="200"/>
        <v>#N/A</v>
      </c>
      <c r="CC506" t="e">
        <f t="shared" si="198"/>
        <v>#N/A</v>
      </c>
      <c r="CE506" t="e">
        <v>#N/A</v>
      </c>
      <c r="CF506" t="e">
        <v>#N/A</v>
      </c>
    </row>
    <row r="507" spans="2:84">
      <c r="B507">
        <v>495</v>
      </c>
      <c r="C507" t="e">
        <f>IF(ISNUMBER(K507),IF('Lab test'!N498&gt;0,'Lab test'!N498,NA()),NA())</f>
        <v>#N/A</v>
      </c>
      <c r="D507" t="e">
        <f>IF(ISNUMBER(K507),IF('Lab test'!Q498&gt;0,'Lab test'!Q498,NA()),NA())</f>
        <v>#N/A</v>
      </c>
      <c r="E507" t="e">
        <f>IF(ISNUMBER(K507),IF('Lab test'!P498&gt;0,'Lab test'!P498,NA()),NA())</f>
        <v>#N/A</v>
      </c>
      <c r="F507" t="e">
        <f>IF(ISNUMBER(K507),IF('Lab test'!AJ498&gt;0,'Lab test'!AJ498,NA()),NA())</f>
        <v>#N/A</v>
      </c>
      <c r="G507">
        <f>IF('Lab test'!V498&gt;0,'Lab test'!V498,NA())</f>
        <v>207000</v>
      </c>
      <c r="H507">
        <f>IF(MAX('Lab test'!W498,'Lab test'!X498)&gt;0,MAX('Lab test'!W498,'Lab test'!X498),NA())</f>
        <v>270</v>
      </c>
      <c r="I507">
        <f>IF('Lab test'!AU498&gt;0,'Lab test'!AU498,NA())</f>
        <v>0.81481481481481477</v>
      </c>
      <c r="J507">
        <f>IF('Lab test'!AT498&gt;0,'Lab test'!AT498,NA())</f>
        <v>0.17560369860912209</v>
      </c>
      <c r="K507" t="e">
        <f t="shared" si="199"/>
        <v>#N/A</v>
      </c>
      <c r="L507" t="str">
        <f>'Lab test'!AC498</f>
        <v>LTWa</v>
      </c>
      <c r="X507" t="e">
        <v>#N/A</v>
      </c>
      <c r="Z507" t="e">
        <f t="shared" si="189"/>
        <v>#N/A</v>
      </c>
      <c r="AB507" t="e">
        <f t="shared" si="201"/>
        <v>#N/A</v>
      </c>
      <c r="AC507" t="e">
        <f t="shared" si="190"/>
        <v>#N/A</v>
      </c>
      <c r="AE507" t="e">
        <v>#N/A</v>
      </c>
      <c r="AF507" t="e">
        <v>#N/A</v>
      </c>
      <c r="AP507" t="e">
        <v>#N/A</v>
      </c>
      <c r="AR507" t="e">
        <f t="shared" si="191"/>
        <v>#N/A</v>
      </c>
      <c r="AT507" t="e">
        <f t="shared" si="192"/>
        <v>#N/A</v>
      </c>
      <c r="AU507" t="e">
        <f t="shared" si="193"/>
        <v>#N/A</v>
      </c>
      <c r="AW507" t="e">
        <v>#N/A</v>
      </c>
      <c r="AX507" t="e">
        <v>#N/A</v>
      </c>
      <c r="BG507" t="e">
        <v>#N/A</v>
      </c>
      <c r="BI507" t="e">
        <f t="shared" si="194"/>
        <v>#N/A</v>
      </c>
      <c r="BK507" t="e">
        <f t="shared" si="195"/>
        <v>#N/A</v>
      </c>
      <c r="BL507" t="e">
        <f t="shared" si="196"/>
        <v>#N/A</v>
      </c>
      <c r="BN507" t="e">
        <v>#N/A</v>
      </c>
      <c r="BO507" t="e">
        <v>#N/A</v>
      </c>
      <c r="BX507" t="e">
        <v>#N/A</v>
      </c>
      <c r="BZ507" t="e">
        <f t="shared" si="197"/>
        <v>#N/A</v>
      </c>
      <c r="CB507" t="e">
        <f t="shared" si="200"/>
        <v>#N/A</v>
      </c>
      <c r="CC507" t="e">
        <f t="shared" si="198"/>
        <v>#N/A</v>
      </c>
      <c r="CE507" t="e">
        <v>#N/A</v>
      </c>
      <c r="CF507" t="e">
        <v>#N/A</v>
      </c>
    </row>
    <row r="508" spans="2:84">
      <c r="B508">
        <v>496</v>
      </c>
      <c r="C508" t="e">
        <f>IF(ISNUMBER(K508),IF('Lab test'!N499&gt;0,'Lab test'!N499,NA()),NA())</f>
        <v>#N/A</v>
      </c>
      <c r="D508" t="e">
        <f>IF(ISNUMBER(K508),IF('Lab test'!Q499&gt;0,'Lab test'!Q499,NA()),NA())</f>
        <v>#N/A</v>
      </c>
      <c r="E508" t="e">
        <f>IF(ISNUMBER(K508),IF('Lab test'!P499&gt;0,'Lab test'!P499,NA()),NA())</f>
        <v>#N/A</v>
      </c>
      <c r="F508" t="e">
        <f>IF(ISNUMBER(K508),IF('Lab test'!AJ499&gt;0,'Lab test'!AJ499,NA()),NA())</f>
        <v>#N/A</v>
      </c>
      <c r="G508">
        <f>IF('Lab test'!V499&gt;0,'Lab test'!V499,NA())</f>
        <v>207000</v>
      </c>
      <c r="H508">
        <f>IF(MAX('Lab test'!W499,'Lab test'!X499)&gt;0,MAX('Lab test'!W499,'Lab test'!X499),NA())</f>
        <v>400</v>
      </c>
      <c r="I508">
        <f>IF('Lab test'!AU499&gt;0,'Lab test'!AU499,NA())</f>
        <v>0.88500000000000001</v>
      </c>
      <c r="J508">
        <f>IF('Lab test'!AT499&gt;0,'Lab test'!AT499,NA())</f>
        <v>0.26843419928294437</v>
      </c>
      <c r="K508" t="e">
        <f t="shared" si="199"/>
        <v>#N/A</v>
      </c>
      <c r="L508" t="str">
        <f>'Lab test'!AC499</f>
        <v>LTWa</v>
      </c>
      <c r="X508" t="e">
        <v>#N/A</v>
      </c>
      <c r="Z508" t="e">
        <f t="shared" si="189"/>
        <v>#N/A</v>
      </c>
      <c r="AB508" t="e">
        <f t="shared" si="201"/>
        <v>#N/A</v>
      </c>
      <c r="AC508" t="e">
        <f t="shared" si="190"/>
        <v>#N/A</v>
      </c>
      <c r="AE508" t="e">
        <v>#N/A</v>
      </c>
      <c r="AF508" t="e">
        <v>#N/A</v>
      </c>
      <c r="AP508" t="e">
        <v>#N/A</v>
      </c>
      <c r="AR508" t="e">
        <f t="shared" si="191"/>
        <v>#N/A</v>
      </c>
      <c r="AT508" t="e">
        <f t="shared" si="192"/>
        <v>#N/A</v>
      </c>
      <c r="AU508" t="e">
        <f t="shared" si="193"/>
        <v>#N/A</v>
      </c>
      <c r="AW508" t="e">
        <v>#N/A</v>
      </c>
      <c r="AX508" t="e">
        <v>#N/A</v>
      </c>
      <c r="BG508" t="e">
        <v>#N/A</v>
      </c>
      <c r="BI508" t="e">
        <f t="shared" si="194"/>
        <v>#N/A</v>
      </c>
      <c r="BK508" t="e">
        <f t="shared" si="195"/>
        <v>#N/A</v>
      </c>
      <c r="BL508" t="e">
        <f t="shared" si="196"/>
        <v>#N/A</v>
      </c>
      <c r="BN508" t="e">
        <v>#N/A</v>
      </c>
      <c r="BO508" t="e">
        <v>#N/A</v>
      </c>
      <c r="BX508" t="e">
        <v>#N/A</v>
      </c>
      <c r="BZ508" t="e">
        <f t="shared" si="197"/>
        <v>#N/A</v>
      </c>
      <c r="CB508" t="e">
        <f t="shared" si="200"/>
        <v>#N/A</v>
      </c>
      <c r="CC508" t="e">
        <f t="shared" si="198"/>
        <v>#N/A</v>
      </c>
      <c r="CE508" t="e">
        <v>#N/A</v>
      </c>
      <c r="CF508" t="e">
        <v>#N/A</v>
      </c>
    </row>
    <row r="509" spans="2:84">
      <c r="B509">
        <v>497</v>
      </c>
      <c r="C509" t="e">
        <f>IF(ISNUMBER(K509),IF('Lab test'!N500&gt;0,'Lab test'!N500,NA()),NA())</f>
        <v>#N/A</v>
      </c>
      <c r="D509" t="e">
        <f>IF(ISNUMBER(K509),IF('Lab test'!Q500&gt;0,'Lab test'!Q500,NA()),NA())</f>
        <v>#N/A</v>
      </c>
      <c r="E509" t="e">
        <f>IF(ISNUMBER(K509),IF('Lab test'!P500&gt;0,'Lab test'!P500,NA()),NA())</f>
        <v>#N/A</v>
      </c>
      <c r="F509" t="e">
        <f>IF(ISNUMBER(K509),IF('Lab test'!AJ500&gt;0,'Lab test'!AJ500,NA()),NA())</f>
        <v>#N/A</v>
      </c>
      <c r="G509">
        <f>IF('Lab test'!V500&gt;0,'Lab test'!V500,NA())</f>
        <v>207000</v>
      </c>
      <c r="H509">
        <f>IF(MAX('Lab test'!W500,'Lab test'!X500)&gt;0,MAX('Lab test'!W500,'Lab test'!X500),NA())</f>
        <v>225</v>
      </c>
      <c r="I509">
        <f>IF('Lab test'!AU500&gt;0,'Lab test'!AU500,NA())</f>
        <v>0.80888888888888888</v>
      </c>
      <c r="J509">
        <f>IF('Lab test'!AT500&gt;0,'Lab test'!AT500,NA())</f>
        <v>0.14527215066754645</v>
      </c>
      <c r="K509" t="e">
        <f t="shared" si="199"/>
        <v>#N/A</v>
      </c>
      <c r="L509" t="str">
        <f>'Lab test'!AC500</f>
        <v>LTWa</v>
      </c>
      <c r="X509" t="e">
        <v>#N/A</v>
      </c>
      <c r="Z509" t="e">
        <f t="shared" si="189"/>
        <v>#N/A</v>
      </c>
      <c r="AB509" t="e">
        <f t="shared" si="201"/>
        <v>#N/A</v>
      </c>
      <c r="AC509" t="e">
        <f t="shared" si="190"/>
        <v>#N/A</v>
      </c>
      <c r="AE509" t="e">
        <v>#N/A</v>
      </c>
      <c r="AF509" t="e">
        <v>#N/A</v>
      </c>
      <c r="AP509" t="e">
        <v>#N/A</v>
      </c>
      <c r="AR509" t="e">
        <f t="shared" si="191"/>
        <v>#N/A</v>
      </c>
      <c r="AT509" t="e">
        <f t="shared" si="192"/>
        <v>#N/A</v>
      </c>
      <c r="AU509" t="e">
        <f t="shared" si="193"/>
        <v>#N/A</v>
      </c>
      <c r="AW509" t="e">
        <v>#N/A</v>
      </c>
      <c r="AX509" t="e">
        <v>#N/A</v>
      </c>
      <c r="BG509" t="e">
        <v>#N/A</v>
      </c>
      <c r="BI509" t="e">
        <f t="shared" si="194"/>
        <v>#N/A</v>
      </c>
      <c r="BK509" t="e">
        <f t="shared" si="195"/>
        <v>#N/A</v>
      </c>
      <c r="BL509" t="e">
        <f t="shared" si="196"/>
        <v>#N/A</v>
      </c>
      <c r="BN509" t="e">
        <v>#N/A</v>
      </c>
      <c r="BO509" t="e">
        <v>#N/A</v>
      </c>
      <c r="BX509" t="e">
        <v>#N/A</v>
      </c>
      <c r="BZ509" t="e">
        <f t="shared" si="197"/>
        <v>#N/A</v>
      </c>
      <c r="CB509" t="e">
        <f t="shared" si="200"/>
        <v>#N/A</v>
      </c>
      <c r="CC509" t="e">
        <f t="shared" si="198"/>
        <v>#N/A</v>
      </c>
      <c r="CE509" t="e">
        <v>#N/A</v>
      </c>
      <c r="CF509" t="e">
        <v>#N/A</v>
      </c>
    </row>
    <row r="510" spans="2:84">
      <c r="B510">
        <v>498</v>
      </c>
      <c r="C510" t="e">
        <f>IF(ISNUMBER(K510),IF('Lab test'!N501&gt;0,'Lab test'!N501,NA()),NA())</f>
        <v>#N/A</v>
      </c>
      <c r="D510" t="e">
        <f>IF(ISNUMBER(K510),IF('Lab test'!Q501&gt;0,'Lab test'!Q501,NA()),NA())</f>
        <v>#N/A</v>
      </c>
      <c r="E510" t="e">
        <f>IF(ISNUMBER(K510),IF('Lab test'!P501&gt;0,'Lab test'!P501,NA()),NA())</f>
        <v>#N/A</v>
      </c>
      <c r="F510" t="e">
        <f>IF(ISNUMBER(K510),IF('Lab test'!AJ501&gt;0,'Lab test'!AJ501,NA()),NA())</f>
        <v>#N/A</v>
      </c>
      <c r="G510">
        <f>IF('Lab test'!V501&gt;0,'Lab test'!V501,NA())</f>
        <v>207000</v>
      </c>
      <c r="H510">
        <f>IF(MAX('Lab test'!W501,'Lab test'!X501)&gt;0,MAX('Lab test'!W501,'Lab test'!X501),NA())</f>
        <v>400</v>
      </c>
      <c r="I510">
        <f>IF('Lab test'!AU501&gt;0,'Lab test'!AU501,NA())</f>
        <v>0.91249999999999998</v>
      </c>
      <c r="J510">
        <f>IF('Lab test'!AT501&gt;0,'Lab test'!AT501,NA())</f>
        <v>0.27386194996722629</v>
      </c>
      <c r="K510" t="e">
        <f t="shared" si="199"/>
        <v>#N/A</v>
      </c>
      <c r="L510" t="str">
        <f>'Lab test'!AC501</f>
        <v>LTWa</v>
      </c>
      <c r="X510" t="e">
        <v>#N/A</v>
      </c>
      <c r="Z510" t="e">
        <f t="shared" si="189"/>
        <v>#N/A</v>
      </c>
      <c r="AB510" t="e">
        <f t="shared" si="201"/>
        <v>#N/A</v>
      </c>
      <c r="AC510" t="e">
        <f t="shared" si="190"/>
        <v>#N/A</v>
      </c>
      <c r="AE510" t="e">
        <v>#N/A</v>
      </c>
      <c r="AF510" t="e">
        <v>#N/A</v>
      </c>
      <c r="AP510" t="e">
        <v>#N/A</v>
      </c>
      <c r="AR510" t="e">
        <f t="shared" si="191"/>
        <v>#N/A</v>
      </c>
      <c r="AT510" t="e">
        <f t="shared" si="192"/>
        <v>#N/A</v>
      </c>
      <c r="AU510" t="e">
        <f t="shared" si="193"/>
        <v>#N/A</v>
      </c>
      <c r="AW510" t="e">
        <v>#N/A</v>
      </c>
      <c r="AX510" t="e">
        <v>#N/A</v>
      </c>
      <c r="BG510" t="e">
        <v>#N/A</v>
      </c>
      <c r="BI510" t="e">
        <f t="shared" si="194"/>
        <v>#N/A</v>
      </c>
      <c r="BK510" t="e">
        <f t="shared" si="195"/>
        <v>#N/A</v>
      </c>
      <c r="BL510" t="e">
        <f t="shared" si="196"/>
        <v>#N/A</v>
      </c>
      <c r="BN510" t="e">
        <v>#N/A</v>
      </c>
      <c r="BO510" t="e">
        <v>#N/A</v>
      </c>
      <c r="BX510" t="e">
        <v>#N/A</v>
      </c>
      <c r="BZ510" t="e">
        <f t="shared" si="197"/>
        <v>#N/A</v>
      </c>
      <c r="CB510" t="e">
        <f t="shared" si="200"/>
        <v>#N/A</v>
      </c>
      <c r="CC510" t="e">
        <f t="shared" si="198"/>
        <v>#N/A</v>
      </c>
      <c r="CE510" t="e">
        <v>#N/A</v>
      </c>
      <c r="CF510" t="e">
        <v>#N/A</v>
      </c>
    </row>
    <row r="511" spans="2:84">
      <c r="B511">
        <v>499</v>
      </c>
      <c r="C511" t="e">
        <f>IF(ISNUMBER(K511),IF('Lab test'!N502&gt;0,'Lab test'!N502,NA()),NA())</f>
        <v>#N/A</v>
      </c>
      <c r="D511" t="e">
        <f>IF(ISNUMBER(K511),IF('Lab test'!Q502&gt;0,'Lab test'!Q502,NA()),NA())</f>
        <v>#N/A</v>
      </c>
      <c r="E511" t="e">
        <f>IF(ISNUMBER(K511),IF('Lab test'!P502&gt;0,'Lab test'!P502,NA()),NA())</f>
        <v>#N/A</v>
      </c>
      <c r="F511" t="e">
        <f>IF(ISNUMBER(K511),IF('Lab test'!AJ502&gt;0,'Lab test'!AJ502,NA()),NA())</f>
        <v>#N/A</v>
      </c>
      <c r="G511">
        <f>IF('Lab test'!V502&gt;0,'Lab test'!V502,NA())</f>
        <v>207000</v>
      </c>
      <c r="H511">
        <f>IF(MAX('Lab test'!W502,'Lab test'!X502)&gt;0,MAX('Lab test'!W502,'Lab test'!X502),NA())</f>
        <v>425</v>
      </c>
      <c r="I511">
        <f>IF('Lab test'!AU502&gt;0,'Lab test'!AU502,NA())</f>
        <v>0.87058823529411766</v>
      </c>
      <c r="J511">
        <f>IF('Lab test'!AT502&gt;0,'Lab test'!AT502,NA())</f>
        <v>0.29533349311534168</v>
      </c>
      <c r="K511" t="e">
        <f t="shared" si="199"/>
        <v>#N/A</v>
      </c>
      <c r="L511" t="str">
        <f>'Lab test'!AC502</f>
        <v>Machined</v>
      </c>
      <c r="X511" t="e">
        <v>#N/A</v>
      </c>
      <c r="Z511" t="e">
        <f t="shared" si="189"/>
        <v>#N/A</v>
      </c>
      <c r="AB511" t="e">
        <f t="shared" si="201"/>
        <v>#N/A</v>
      </c>
      <c r="AC511" t="e">
        <f t="shared" si="190"/>
        <v>#N/A</v>
      </c>
      <c r="AE511" t="e">
        <v>#N/A</v>
      </c>
      <c r="AF511" t="e">
        <v>#N/A</v>
      </c>
      <c r="AP511" t="e">
        <v>#N/A</v>
      </c>
      <c r="AR511" t="e">
        <f t="shared" si="191"/>
        <v>#N/A</v>
      </c>
      <c r="AT511" t="e">
        <f t="shared" si="192"/>
        <v>#N/A</v>
      </c>
      <c r="AU511" t="e">
        <f t="shared" si="193"/>
        <v>#N/A</v>
      </c>
      <c r="AW511" t="e">
        <v>#N/A</v>
      </c>
      <c r="AX511" t="e">
        <v>#N/A</v>
      </c>
      <c r="BG511" t="e">
        <v>#N/A</v>
      </c>
      <c r="BI511" t="e">
        <f t="shared" si="194"/>
        <v>#N/A</v>
      </c>
      <c r="BK511" t="e">
        <f t="shared" si="195"/>
        <v>#N/A</v>
      </c>
      <c r="BL511" t="e">
        <f t="shared" si="196"/>
        <v>#N/A</v>
      </c>
      <c r="BN511" t="e">
        <v>#N/A</v>
      </c>
      <c r="BO511" t="e">
        <v>#N/A</v>
      </c>
      <c r="BX511" t="e">
        <v>#N/A</v>
      </c>
      <c r="BZ511" t="e">
        <f t="shared" si="197"/>
        <v>#N/A</v>
      </c>
      <c r="CB511" t="e">
        <f t="shared" si="200"/>
        <v>#N/A</v>
      </c>
      <c r="CC511" t="e">
        <f t="shared" si="198"/>
        <v>#N/A</v>
      </c>
      <c r="CE511" t="e">
        <v>#N/A</v>
      </c>
      <c r="CF511" t="e">
        <v>#N/A</v>
      </c>
    </row>
    <row r="512" spans="2:84">
      <c r="B512">
        <v>500</v>
      </c>
      <c r="C512" t="e">
        <f>IF(ISNUMBER(K512),IF('Lab test'!N503&gt;0,'Lab test'!N503,NA()),NA())</f>
        <v>#N/A</v>
      </c>
      <c r="D512" t="e">
        <f>IF(ISNUMBER(K512),IF('Lab test'!Q503&gt;0,'Lab test'!Q503,NA()),NA())</f>
        <v>#N/A</v>
      </c>
      <c r="E512" t="e">
        <f>IF(ISNUMBER(K512),IF('Lab test'!P503&gt;0,'Lab test'!P503,NA()),NA())</f>
        <v>#N/A</v>
      </c>
      <c r="F512" t="e">
        <f>IF(ISNUMBER(K512),IF('Lab test'!AJ503&gt;0,'Lab test'!AJ503,NA()),NA())</f>
        <v>#N/A</v>
      </c>
      <c r="G512">
        <f>IF('Lab test'!V503&gt;0,'Lab test'!V503,NA())</f>
        <v>207000</v>
      </c>
      <c r="H512">
        <f>IF(MAX('Lab test'!W503,'Lab test'!X503)&gt;0,MAX('Lab test'!W503,'Lab test'!X503),NA())</f>
        <v>340</v>
      </c>
      <c r="I512">
        <f>IF('Lab test'!AU503&gt;0,'Lab test'!AU503,NA())</f>
        <v>0.91176470588235292</v>
      </c>
      <c r="J512">
        <f>IF('Lab test'!AT503&gt;0,'Lab test'!AT503,NA())</f>
        <v>0.29198105886916753</v>
      </c>
      <c r="K512" t="e">
        <f t="shared" si="199"/>
        <v>#N/A</v>
      </c>
      <c r="L512" t="str">
        <f>'Lab test'!AC503</f>
        <v>Machined</v>
      </c>
      <c r="X512" t="e">
        <v>#N/A</v>
      </c>
      <c r="Z512" t="e">
        <f t="shared" si="189"/>
        <v>#N/A</v>
      </c>
      <c r="AB512" t="e">
        <f t="shared" si="201"/>
        <v>#N/A</v>
      </c>
      <c r="AC512" t="e">
        <f t="shared" si="190"/>
        <v>#N/A</v>
      </c>
      <c r="AE512" t="e">
        <v>#N/A</v>
      </c>
      <c r="AF512" t="e">
        <v>#N/A</v>
      </c>
      <c r="AP512" t="e">
        <v>#N/A</v>
      </c>
      <c r="AR512" t="e">
        <f t="shared" si="191"/>
        <v>#N/A</v>
      </c>
      <c r="AT512" t="e">
        <f t="shared" si="192"/>
        <v>#N/A</v>
      </c>
      <c r="AU512" t="e">
        <f t="shared" si="193"/>
        <v>#N/A</v>
      </c>
      <c r="AW512" t="e">
        <v>#N/A</v>
      </c>
      <c r="AX512" t="e">
        <v>#N/A</v>
      </c>
      <c r="BG512" t="e">
        <v>#N/A</v>
      </c>
      <c r="BI512" t="e">
        <f t="shared" si="194"/>
        <v>#N/A</v>
      </c>
      <c r="BK512" t="e">
        <f t="shared" si="195"/>
        <v>#N/A</v>
      </c>
      <c r="BL512" t="e">
        <f t="shared" si="196"/>
        <v>#N/A</v>
      </c>
      <c r="BN512" t="e">
        <v>#N/A</v>
      </c>
      <c r="BO512" t="e">
        <v>#N/A</v>
      </c>
      <c r="BX512" t="e">
        <v>#N/A</v>
      </c>
      <c r="BZ512" t="e">
        <f t="shared" si="197"/>
        <v>#N/A</v>
      </c>
      <c r="CB512" t="e">
        <f t="shared" si="200"/>
        <v>#N/A</v>
      </c>
      <c r="CC512" t="e">
        <f t="shared" si="198"/>
        <v>#N/A</v>
      </c>
      <c r="CE512" t="e">
        <v>#N/A</v>
      </c>
      <c r="CF512" t="e">
        <v>#N/A</v>
      </c>
    </row>
    <row r="513" spans="2:84">
      <c r="B513">
        <v>501</v>
      </c>
      <c r="C513" t="e">
        <f>IF(ISNUMBER(K513),IF('Lab test'!N504&gt;0,'Lab test'!N504,NA()),NA())</f>
        <v>#N/A</v>
      </c>
      <c r="D513" t="e">
        <f>IF(ISNUMBER(K513),IF('Lab test'!Q504&gt;0,'Lab test'!Q504,NA()),NA())</f>
        <v>#N/A</v>
      </c>
      <c r="E513" t="e">
        <f>IF(ISNUMBER(K513),IF('Lab test'!P504&gt;0,'Lab test'!P504,NA()),NA())</f>
        <v>#N/A</v>
      </c>
      <c r="F513" t="e">
        <f>IF(ISNUMBER(K513),IF('Lab test'!AJ504&gt;0,'Lab test'!AJ504,NA()),NA())</f>
        <v>#N/A</v>
      </c>
      <c r="G513">
        <f>IF('Lab test'!V504&gt;0,'Lab test'!V504,NA())</f>
        <v>207000</v>
      </c>
      <c r="H513">
        <f>IF(MAX('Lab test'!W504,'Lab test'!X504)&gt;0,MAX('Lab test'!W504,'Lab test'!X504),NA())</f>
        <v>425</v>
      </c>
      <c r="I513">
        <f>IF('Lab test'!AU504&gt;0,'Lab test'!AU504,NA())</f>
        <v>0.90352941176470591</v>
      </c>
      <c r="J513">
        <f>IF('Lab test'!AT504&gt;0,'Lab test'!AT504,NA())</f>
        <v>0.30650827393592217</v>
      </c>
      <c r="K513" t="e">
        <f t="shared" si="199"/>
        <v>#N/A</v>
      </c>
      <c r="L513" t="str">
        <f>'Lab test'!AC504</f>
        <v>Machined</v>
      </c>
      <c r="X513" t="e">
        <v>#N/A</v>
      </c>
      <c r="Z513" t="e">
        <f t="shared" si="189"/>
        <v>#N/A</v>
      </c>
      <c r="AB513" t="e">
        <f t="shared" si="201"/>
        <v>#N/A</v>
      </c>
      <c r="AC513" t="e">
        <f t="shared" si="190"/>
        <v>#N/A</v>
      </c>
      <c r="AE513" t="e">
        <v>#N/A</v>
      </c>
      <c r="AF513" t="e">
        <v>#N/A</v>
      </c>
      <c r="AP513" t="e">
        <v>#N/A</v>
      </c>
      <c r="AR513" t="e">
        <f t="shared" si="191"/>
        <v>#N/A</v>
      </c>
      <c r="AT513" t="e">
        <f t="shared" si="192"/>
        <v>#N/A</v>
      </c>
      <c r="AU513" t="e">
        <f t="shared" si="193"/>
        <v>#N/A</v>
      </c>
      <c r="AW513" t="e">
        <v>#N/A</v>
      </c>
      <c r="AX513" t="e">
        <v>#N/A</v>
      </c>
      <c r="BG513" t="e">
        <v>#N/A</v>
      </c>
      <c r="BI513" t="e">
        <f t="shared" si="194"/>
        <v>#N/A</v>
      </c>
      <c r="BK513" t="e">
        <f t="shared" si="195"/>
        <v>#N/A</v>
      </c>
      <c r="BL513" t="e">
        <f t="shared" si="196"/>
        <v>#N/A</v>
      </c>
      <c r="BN513" t="e">
        <v>#N/A</v>
      </c>
      <c r="BO513" t="e">
        <v>#N/A</v>
      </c>
      <c r="BX513" t="e">
        <v>#N/A</v>
      </c>
      <c r="BZ513" t="e">
        <f t="shared" si="197"/>
        <v>#N/A</v>
      </c>
      <c r="CB513" t="e">
        <f t="shared" si="200"/>
        <v>#N/A</v>
      </c>
      <c r="CC513" t="e">
        <f t="shared" si="198"/>
        <v>#N/A</v>
      </c>
      <c r="CE513" t="e">
        <v>#N/A</v>
      </c>
      <c r="CF513" t="e">
        <v>#N/A</v>
      </c>
    </row>
    <row r="514" spans="2:84">
      <c r="B514">
        <v>502</v>
      </c>
      <c r="C514" t="e">
        <f>IF(ISNUMBER(K514),IF('Lab test'!N505&gt;0,'Lab test'!N505,NA()),NA())</f>
        <v>#N/A</v>
      </c>
      <c r="D514" t="e">
        <f>IF(ISNUMBER(K514),IF('Lab test'!Q505&gt;0,'Lab test'!Q505,NA()),NA())</f>
        <v>#N/A</v>
      </c>
      <c r="E514" t="e">
        <f>IF(ISNUMBER(K514),IF('Lab test'!P505&gt;0,'Lab test'!P505,NA()),NA())</f>
        <v>#N/A</v>
      </c>
      <c r="F514" t="e">
        <f>IF(ISNUMBER(K514),IF('Lab test'!AJ505&gt;0,'Lab test'!AJ505,NA()),NA())</f>
        <v>#N/A</v>
      </c>
      <c r="G514">
        <f>IF('Lab test'!V505&gt;0,'Lab test'!V505,NA())</f>
        <v>207000</v>
      </c>
      <c r="H514">
        <f>IF(MAX('Lab test'!W505,'Lab test'!X505)&gt;0,MAX('Lab test'!W505,'Lab test'!X505),NA())</f>
        <v>340</v>
      </c>
      <c r="I514">
        <f>IF('Lab test'!AU505&gt;0,'Lab test'!AU505,NA())</f>
        <v>0.88823529411764701</v>
      </c>
      <c r="J514">
        <f>IF('Lab test'!AT505&gt;0,'Lab test'!AT505,NA())</f>
        <v>0.22900318695889604</v>
      </c>
      <c r="K514" t="e">
        <f t="shared" si="199"/>
        <v>#N/A</v>
      </c>
      <c r="L514" t="str">
        <f>'Lab test'!AC505</f>
        <v>Machined</v>
      </c>
      <c r="X514" t="e">
        <v>#N/A</v>
      </c>
      <c r="Z514" t="e">
        <f t="shared" si="189"/>
        <v>#N/A</v>
      </c>
      <c r="AB514" t="e">
        <f t="shared" si="201"/>
        <v>#N/A</v>
      </c>
      <c r="AC514" t="e">
        <f t="shared" si="190"/>
        <v>#N/A</v>
      </c>
      <c r="AE514" t="e">
        <v>#N/A</v>
      </c>
      <c r="AF514" t="e">
        <v>#N/A</v>
      </c>
      <c r="AP514" t="e">
        <v>#N/A</v>
      </c>
      <c r="AR514" t="e">
        <f t="shared" si="191"/>
        <v>#N/A</v>
      </c>
      <c r="AT514" t="e">
        <f t="shared" si="192"/>
        <v>#N/A</v>
      </c>
      <c r="AU514" t="e">
        <f t="shared" si="193"/>
        <v>#N/A</v>
      </c>
      <c r="AW514" t="e">
        <v>#N/A</v>
      </c>
      <c r="AX514" t="e">
        <v>#N/A</v>
      </c>
      <c r="BG514" t="e">
        <v>#N/A</v>
      </c>
      <c r="BI514" t="e">
        <f t="shared" si="194"/>
        <v>#N/A</v>
      </c>
      <c r="BK514" t="e">
        <f t="shared" si="195"/>
        <v>#N/A</v>
      </c>
      <c r="BL514" t="e">
        <f t="shared" si="196"/>
        <v>#N/A</v>
      </c>
      <c r="BN514" t="e">
        <v>#N/A</v>
      </c>
      <c r="BO514" t="e">
        <v>#N/A</v>
      </c>
      <c r="BX514" t="e">
        <v>#N/A</v>
      </c>
      <c r="BZ514" t="e">
        <f t="shared" si="197"/>
        <v>#N/A</v>
      </c>
      <c r="CB514" t="e">
        <f t="shared" si="200"/>
        <v>#N/A</v>
      </c>
      <c r="CC514" t="e">
        <f t="shared" si="198"/>
        <v>#N/A</v>
      </c>
      <c r="CE514" t="e">
        <v>#N/A</v>
      </c>
      <c r="CF514" t="e">
        <v>#N/A</v>
      </c>
    </row>
    <row r="515" spans="2:84">
      <c r="B515">
        <v>503</v>
      </c>
      <c r="C515" t="e">
        <f>IF(ISNUMBER(K515),IF('Lab test'!N506&gt;0,'Lab test'!N506,NA()),NA())</f>
        <v>#N/A</v>
      </c>
      <c r="D515" t="e">
        <f>IF(ISNUMBER(K515),IF('Lab test'!Q506&gt;0,'Lab test'!Q506,NA()),NA())</f>
        <v>#N/A</v>
      </c>
      <c r="E515" t="e">
        <f>IF(ISNUMBER(K515),IF('Lab test'!P506&gt;0,'Lab test'!P506,NA()),NA())</f>
        <v>#N/A</v>
      </c>
      <c r="F515" t="e">
        <f>IF(ISNUMBER(K515),IF('Lab test'!AJ506&gt;0,'Lab test'!AJ506,NA()),NA())</f>
        <v>#N/A</v>
      </c>
      <c r="G515">
        <f>IF('Lab test'!V506&gt;0,'Lab test'!V506,NA())</f>
        <v>207000</v>
      </c>
      <c r="H515">
        <f>IF(MAX('Lab test'!W506,'Lab test'!X506)&gt;0,MAX('Lab test'!W506,'Lab test'!X506),NA())</f>
        <v>340</v>
      </c>
      <c r="I515">
        <f>IF('Lab test'!AU506&gt;0,'Lab test'!AU506,NA())</f>
        <v>0.8529411764705882</v>
      </c>
      <c r="J515">
        <f>IF('Lab test'!AT506&gt;0,'Lab test'!AT506,NA())</f>
        <v>0.23147760271202458</v>
      </c>
      <c r="K515" t="e">
        <f t="shared" si="199"/>
        <v>#N/A</v>
      </c>
      <c r="L515" t="str">
        <f>'Lab test'!AC506</f>
        <v>Machined</v>
      </c>
      <c r="X515" t="e">
        <v>#N/A</v>
      </c>
      <c r="Z515" t="e">
        <f t="shared" si="189"/>
        <v>#N/A</v>
      </c>
      <c r="AB515" t="e">
        <f t="shared" si="201"/>
        <v>#N/A</v>
      </c>
      <c r="AC515" t="e">
        <f t="shared" si="190"/>
        <v>#N/A</v>
      </c>
      <c r="AE515" t="e">
        <v>#N/A</v>
      </c>
      <c r="AF515" t="e">
        <v>#N/A</v>
      </c>
      <c r="AP515" t="e">
        <v>#N/A</v>
      </c>
      <c r="AR515" t="e">
        <f t="shared" si="191"/>
        <v>#N/A</v>
      </c>
      <c r="AT515" t="e">
        <f t="shared" si="192"/>
        <v>#N/A</v>
      </c>
      <c r="AU515" t="e">
        <f t="shared" si="193"/>
        <v>#N/A</v>
      </c>
      <c r="AW515" t="e">
        <v>#N/A</v>
      </c>
      <c r="AX515" t="e">
        <v>#N/A</v>
      </c>
      <c r="BG515" t="e">
        <v>#N/A</v>
      </c>
      <c r="BI515" t="e">
        <f t="shared" si="194"/>
        <v>#N/A</v>
      </c>
      <c r="BK515" t="e">
        <f t="shared" si="195"/>
        <v>#N/A</v>
      </c>
      <c r="BL515" t="e">
        <f t="shared" si="196"/>
        <v>#N/A</v>
      </c>
      <c r="BN515" t="e">
        <v>#N/A</v>
      </c>
      <c r="BO515" t="e">
        <v>#N/A</v>
      </c>
      <c r="BX515" t="e">
        <v>#N/A</v>
      </c>
      <c r="BZ515" t="e">
        <f t="shared" si="197"/>
        <v>#N/A</v>
      </c>
      <c r="CB515" t="e">
        <f t="shared" si="200"/>
        <v>#N/A</v>
      </c>
      <c r="CC515" t="e">
        <f t="shared" si="198"/>
        <v>#N/A</v>
      </c>
      <c r="CE515" t="e">
        <v>#N/A</v>
      </c>
      <c r="CF515" t="e">
        <v>#N/A</v>
      </c>
    </row>
    <row r="516" spans="2:84">
      <c r="B516">
        <v>504</v>
      </c>
      <c r="C516" t="e">
        <f>IF(ISNUMBER(K516),IF('Lab test'!N507&gt;0,'Lab test'!N507,NA()),NA())</f>
        <v>#N/A</v>
      </c>
      <c r="D516" t="e">
        <f>IF(ISNUMBER(K516),IF('Lab test'!Q507&gt;0,'Lab test'!Q507,NA()),NA())</f>
        <v>#N/A</v>
      </c>
      <c r="E516" t="e">
        <f>IF(ISNUMBER(K516),IF('Lab test'!P507&gt;0,'Lab test'!P507,NA()),NA())</f>
        <v>#N/A</v>
      </c>
      <c r="F516" t="e">
        <f>IF(ISNUMBER(K516),IF('Lab test'!AJ507&gt;0,'Lab test'!AJ507,NA()),NA())</f>
        <v>#N/A</v>
      </c>
      <c r="G516">
        <f>IF('Lab test'!V507&gt;0,'Lab test'!V507,NA())</f>
        <v>201326.91296051617</v>
      </c>
      <c r="H516">
        <f>IF(MAX('Lab test'!W507,'Lab test'!X507)&gt;0,MAX('Lab test'!W507,'Lab test'!X507),NA())</f>
        <v>189.19214012453986</v>
      </c>
      <c r="I516">
        <f>IF('Lab test'!AU507&gt;0,'Lab test'!AU507,NA())</f>
        <v>1.3702623906705538</v>
      </c>
      <c r="J516">
        <f>IF('Lab test'!AT507&gt;0,'Lab test'!AT507,NA())</f>
        <v>7.9784326763767843E-2</v>
      </c>
      <c r="K516" t="e">
        <f t="shared" si="199"/>
        <v>#N/A</v>
      </c>
      <c r="L516" t="str">
        <f>'Lab test'!AC507</f>
        <v>Tubes</v>
      </c>
      <c r="X516" t="e">
        <v>#N/A</v>
      </c>
      <c r="Z516" t="e">
        <f t="shared" si="189"/>
        <v>#N/A</v>
      </c>
      <c r="AB516" t="e">
        <f t="shared" si="201"/>
        <v>#N/A</v>
      </c>
      <c r="AC516" t="e">
        <f t="shared" si="190"/>
        <v>#N/A</v>
      </c>
      <c r="AE516" t="e">
        <v>#N/A</v>
      </c>
      <c r="AF516" t="e">
        <v>#N/A</v>
      </c>
      <c r="AP516" t="e">
        <v>#N/A</v>
      </c>
      <c r="AR516" t="e">
        <f t="shared" si="191"/>
        <v>#N/A</v>
      </c>
      <c r="AT516" t="e">
        <f t="shared" si="192"/>
        <v>#N/A</v>
      </c>
      <c r="AU516" t="e">
        <f t="shared" si="193"/>
        <v>#N/A</v>
      </c>
      <c r="AW516" t="e">
        <v>#N/A</v>
      </c>
      <c r="AX516" t="e">
        <v>#N/A</v>
      </c>
      <c r="BG516" t="e">
        <v>#N/A</v>
      </c>
      <c r="BI516" t="e">
        <f t="shared" si="194"/>
        <v>#N/A</v>
      </c>
      <c r="BK516" t="e">
        <f t="shared" si="195"/>
        <v>#N/A</v>
      </c>
      <c r="BL516" t="e">
        <f t="shared" si="196"/>
        <v>#N/A</v>
      </c>
      <c r="BN516" t="e">
        <v>#N/A</v>
      </c>
      <c r="BO516" t="e">
        <v>#N/A</v>
      </c>
      <c r="BX516" t="e">
        <v>#N/A</v>
      </c>
      <c r="BZ516" t="e">
        <f t="shared" si="197"/>
        <v>#N/A</v>
      </c>
      <c r="CB516" t="e">
        <f t="shared" si="200"/>
        <v>#N/A</v>
      </c>
      <c r="CC516" t="e">
        <f t="shared" si="198"/>
        <v>#N/A</v>
      </c>
      <c r="CE516" t="e">
        <v>#N/A</v>
      </c>
      <c r="CF516" t="e">
        <v>#N/A</v>
      </c>
    </row>
    <row r="517" spans="2:84">
      <c r="B517">
        <v>505</v>
      </c>
      <c r="C517" t="e">
        <f>IF(ISNUMBER(K517),IF('Lab test'!N508&gt;0,'Lab test'!N508,NA()),NA())</f>
        <v>#N/A</v>
      </c>
      <c r="D517" t="e">
        <f>IF(ISNUMBER(K517),IF('Lab test'!Q508&gt;0,'Lab test'!Q508,NA()),NA())</f>
        <v>#N/A</v>
      </c>
      <c r="E517" t="e">
        <f>IF(ISNUMBER(K517),IF('Lab test'!P508&gt;0,'Lab test'!P508,NA()),NA())</f>
        <v>#N/A</v>
      </c>
      <c r="F517" t="e">
        <f>IF(ISNUMBER(K517),IF('Lab test'!AJ508&gt;0,'Lab test'!AJ508,NA()),NA())</f>
        <v>#N/A</v>
      </c>
      <c r="G517">
        <f>IF('Lab test'!V508&gt;0,'Lab test'!V508,NA())</f>
        <v>201326.91296051617</v>
      </c>
      <c r="H517">
        <f>IF(MAX('Lab test'!W508,'Lab test'!X508)&gt;0,MAX('Lab test'!W508,'Lab test'!X508),NA())</f>
        <v>213.73747608821924</v>
      </c>
      <c r="I517">
        <f>IF('Lab test'!AU508&gt;0,'Lab test'!AU508,NA())</f>
        <v>1.296774193548387</v>
      </c>
      <c r="J517">
        <f>IF('Lab test'!AT508&gt;0,'Lab test'!AT508,NA())</f>
        <v>8.5301328082539027E-2</v>
      </c>
      <c r="K517" t="e">
        <f t="shared" si="199"/>
        <v>#N/A</v>
      </c>
      <c r="L517" t="str">
        <f>'Lab test'!AC508</f>
        <v>Tubes</v>
      </c>
      <c r="X517" t="e">
        <v>#N/A</v>
      </c>
      <c r="Z517" t="e">
        <f t="shared" si="189"/>
        <v>#N/A</v>
      </c>
      <c r="AB517" t="e">
        <f t="shared" si="201"/>
        <v>#N/A</v>
      </c>
      <c r="AC517" t="e">
        <f t="shared" si="190"/>
        <v>#N/A</v>
      </c>
      <c r="AE517" t="e">
        <v>#N/A</v>
      </c>
      <c r="AF517" t="e">
        <v>#N/A</v>
      </c>
      <c r="AP517" t="e">
        <v>#N/A</v>
      </c>
      <c r="AR517" t="e">
        <f t="shared" si="191"/>
        <v>#N/A</v>
      </c>
      <c r="AT517" t="e">
        <f t="shared" si="192"/>
        <v>#N/A</v>
      </c>
      <c r="AU517" t="e">
        <f t="shared" si="193"/>
        <v>#N/A</v>
      </c>
      <c r="AW517" t="e">
        <v>#N/A</v>
      </c>
      <c r="AX517" t="e">
        <v>#N/A</v>
      </c>
      <c r="BG517" t="e">
        <v>#N/A</v>
      </c>
      <c r="BI517" t="e">
        <f t="shared" si="194"/>
        <v>#N/A</v>
      </c>
      <c r="BK517" t="e">
        <f t="shared" si="195"/>
        <v>#N/A</v>
      </c>
      <c r="BL517" t="e">
        <f t="shared" si="196"/>
        <v>#N/A</v>
      </c>
      <c r="BN517" t="e">
        <v>#N/A</v>
      </c>
      <c r="BO517" t="e">
        <v>#N/A</v>
      </c>
      <c r="BX517" t="e">
        <v>#N/A</v>
      </c>
      <c r="BZ517" t="e">
        <f t="shared" si="197"/>
        <v>#N/A</v>
      </c>
      <c r="CB517" t="e">
        <f t="shared" si="200"/>
        <v>#N/A</v>
      </c>
      <c r="CC517" t="e">
        <f t="shared" si="198"/>
        <v>#N/A</v>
      </c>
      <c r="CE517" t="e">
        <v>#N/A</v>
      </c>
      <c r="CF517" t="e">
        <v>#N/A</v>
      </c>
    </row>
    <row r="518" spans="2:84">
      <c r="B518">
        <v>506</v>
      </c>
      <c r="C518" t="e">
        <f>IF(ISNUMBER(K518),IF('Lab test'!N509&gt;0,'Lab test'!N509,NA()),NA())</f>
        <v>#N/A</v>
      </c>
      <c r="D518" t="e">
        <f>IF(ISNUMBER(K518),IF('Lab test'!Q509&gt;0,'Lab test'!Q509,NA()),NA())</f>
        <v>#N/A</v>
      </c>
      <c r="E518" t="e">
        <f>IF(ISNUMBER(K518),IF('Lab test'!P509&gt;0,'Lab test'!P509,NA()),NA())</f>
        <v>#N/A</v>
      </c>
      <c r="F518" t="e">
        <f>IF(ISNUMBER(K518),IF('Lab test'!AJ509&gt;0,'Lab test'!AJ509,NA()),NA())</f>
        <v>#N/A</v>
      </c>
      <c r="G518">
        <f>IF('Lab test'!V509&gt;0,'Lab test'!V509,NA())</f>
        <v>201326.91296051617</v>
      </c>
      <c r="H518">
        <f>IF(MAX('Lab test'!W509,'Lab test'!X509)&gt;0,MAX('Lab test'!W509,'Lab test'!X509),NA())</f>
        <v>225.45856348660547</v>
      </c>
      <c r="I518">
        <f>IF('Lab test'!AU509&gt;0,'Lab test'!AU509,NA())</f>
        <v>1.1559633027522933</v>
      </c>
      <c r="J518">
        <f>IF('Lab test'!AT509&gt;0,'Lab test'!AT509,NA())</f>
        <v>8.0208711480596384E-2</v>
      </c>
      <c r="K518" t="e">
        <f t="shared" si="199"/>
        <v>#N/A</v>
      </c>
      <c r="L518" t="str">
        <f>'Lab test'!AC509</f>
        <v>Tubes</v>
      </c>
      <c r="X518" t="e">
        <v>#N/A</v>
      </c>
      <c r="Z518" t="e">
        <f t="shared" si="189"/>
        <v>#N/A</v>
      </c>
      <c r="AB518" t="e">
        <f t="shared" si="201"/>
        <v>#N/A</v>
      </c>
      <c r="AC518" t="e">
        <f t="shared" si="190"/>
        <v>#N/A</v>
      </c>
      <c r="AE518" t="e">
        <v>#N/A</v>
      </c>
      <c r="AF518" t="e">
        <v>#N/A</v>
      </c>
      <c r="AP518" t="e">
        <v>#N/A</v>
      </c>
      <c r="AR518" t="e">
        <f t="shared" si="191"/>
        <v>#N/A</v>
      </c>
      <c r="AT518" t="e">
        <f t="shared" si="192"/>
        <v>#N/A</v>
      </c>
      <c r="AU518" t="e">
        <f t="shared" si="193"/>
        <v>#N/A</v>
      </c>
      <c r="AW518" t="e">
        <v>#N/A</v>
      </c>
      <c r="AX518" t="e">
        <v>#N/A</v>
      </c>
      <c r="BG518" t="e">
        <v>#N/A</v>
      </c>
      <c r="BI518" t="e">
        <f t="shared" si="194"/>
        <v>#N/A</v>
      </c>
      <c r="BK518" t="e">
        <f t="shared" si="195"/>
        <v>#N/A</v>
      </c>
      <c r="BL518" t="e">
        <f t="shared" si="196"/>
        <v>#N/A</v>
      </c>
      <c r="BN518" t="e">
        <v>#N/A</v>
      </c>
      <c r="BO518" t="e">
        <v>#N/A</v>
      </c>
      <c r="BX518" t="e">
        <v>#N/A</v>
      </c>
      <c r="BZ518" t="e">
        <f t="shared" si="197"/>
        <v>#N/A</v>
      </c>
      <c r="CB518" t="e">
        <f t="shared" si="200"/>
        <v>#N/A</v>
      </c>
      <c r="CC518" t="e">
        <f t="shared" si="198"/>
        <v>#N/A</v>
      </c>
      <c r="CE518" t="e">
        <v>#N/A</v>
      </c>
      <c r="CF518" t="e">
        <v>#N/A</v>
      </c>
    </row>
    <row r="519" spans="2:84">
      <c r="B519">
        <v>507</v>
      </c>
      <c r="C519" t="e">
        <f>IF(ISNUMBER(K519),IF('Lab test'!N510&gt;0,'Lab test'!N510,NA()),NA())</f>
        <v>#N/A</v>
      </c>
      <c r="D519" t="e">
        <f>IF(ISNUMBER(K519),IF('Lab test'!Q510&gt;0,'Lab test'!Q510,NA()),NA())</f>
        <v>#N/A</v>
      </c>
      <c r="E519" t="e">
        <f>IF(ISNUMBER(K519),IF('Lab test'!P510&gt;0,'Lab test'!P510,NA()),NA())</f>
        <v>#N/A</v>
      </c>
      <c r="F519" t="e">
        <f>IF(ISNUMBER(K519),IF('Lab test'!AJ510&gt;0,'Lab test'!AJ510,NA()),NA())</f>
        <v>#N/A</v>
      </c>
      <c r="G519">
        <f>IF('Lab test'!V510&gt;0,'Lab test'!V510,NA())</f>
        <v>201326.91296051617</v>
      </c>
      <c r="H519">
        <f>IF(MAX('Lab test'!W510,'Lab test'!X510)&gt;0,MAX('Lab test'!W510,'Lab test'!X510),NA())</f>
        <v>168.92155368262485</v>
      </c>
      <c r="I519">
        <f>IF('Lab test'!AU510&gt;0,'Lab test'!AU510,NA())</f>
        <v>1.546938775510204</v>
      </c>
      <c r="J519">
        <f>IF('Lab test'!AT510&gt;0,'Lab test'!AT510,NA())</f>
        <v>8.0420903839010655E-2</v>
      </c>
      <c r="K519" t="e">
        <f t="shared" si="199"/>
        <v>#N/A</v>
      </c>
      <c r="L519" t="str">
        <f>'Lab test'!AC510</f>
        <v>Tubes</v>
      </c>
      <c r="X519" t="e">
        <v>#N/A</v>
      </c>
      <c r="Z519" t="e">
        <f t="shared" si="189"/>
        <v>#N/A</v>
      </c>
      <c r="AB519" t="e">
        <f t="shared" si="201"/>
        <v>#N/A</v>
      </c>
      <c r="AC519" t="e">
        <f t="shared" si="190"/>
        <v>#N/A</v>
      </c>
      <c r="AE519" t="e">
        <v>#N/A</v>
      </c>
      <c r="AF519" t="e">
        <v>#N/A</v>
      </c>
      <c r="AP519" t="e">
        <v>#N/A</v>
      </c>
      <c r="AR519" t="e">
        <f t="shared" si="191"/>
        <v>#N/A</v>
      </c>
      <c r="AT519" t="e">
        <f t="shared" si="192"/>
        <v>#N/A</v>
      </c>
      <c r="AU519" t="e">
        <f t="shared" si="193"/>
        <v>#N/A</v>
      </c>
      <c r="AW519" t="e">
        <v>#N/A</v>
      </c>
      <c r="AX519" t="e">
        <v>#N/A</v>
      </c>
      <c r="BG519" t="e">
        <v>#N/A</v>
      </c>
      <c r="BI519" t="e">
        <f t="shared" si="194"/>
        <v>#N/A</v>
      </c>
      <c r="BK519" t="e">
        <f t="shared" si="195"/>
        <v>#N/A</v>
      </c>
      <c r="BL519" t="e">
        <f t="shared" si="196"/>
        <v>#N/A</v>
      </c>
      <c r="BN519" t="e">
        <v>#N/A</v>
      </c>
      <c r="BO519" t="e">
        <v>#N/A</v>
      </c>
      <c r="BX519" t="e">
        <v>#N/A</v>
      </c>
      <c r="BZ519" t="e">
        <f t="shared" si="197"/>
        <v>#N/A</v>
      </c>
      <c r="CB519" t="e">
        <f t="shared" si="200"/>
        <v>#N/A</v>
      </c>
      <c r="CC519" t="e">
        <f t="shared" si="198"/>
        <v>#N/A</v>
      </c>
      <c r="CE519" t="e">
        <v>#N/A</v>
      </c>
      <c r="CF519" t="e">
        <v>#N/A</v>
      </c>
    </row>
    <row r="520" spans="2:84">
      <c r="B520">
        <v>508</v>
      </c>
      <c r="C520" t="e">
        <f>IF(ISNUMBER(K520),IF('Lab test'!N511&gt;0,'Lab test'!N511,NA()),NA())</f>
        <v>#N/A</v>
      </c>
      <c r="D520" t="e">
        <f>IF(ISNUMBER(K520),IF('Lab test'!Q511&gt;0,'Lab test'!Q511,NA()),NA())</f>
        <v>#N/A</v>
      </c>
      <c r="E520" t="e">
        <f>IF(ISNUMBER(K520),IF('Lab test'!P511&gt;0,'Lab test'!P511,NA()),NA())</f>
        <v>#N/A</v>
      </c>
      <c r="F520" t="e">
        <f>IF(ISNUMBER(K520),IF('Lab test'!AJ511&gt;0,'Lab test'!AJ511,NA()),NA())</f>
        <v>#N/A</v>
      </c>
      <c r="G520">
        <f>IF('Lab test'!V511&gt;0,'Lab test'!V511,NA())</f>
        <v>201326.91296051617</v>
      </c>
      <c r="H520">
        <f>IF(MAX('Lab test'!W511,'Lab test'!X511)&gt;0,MAX('Lab test'!W511,'Lab test'!X511),NA())</f>
        <v>217.87433046412025</v>
      </c>
      <c r="I520">
        <f>IF('Lab test'!AU511&gt;0,'Lab test'!AU511,NA())</f>
        <v>1.221518987341772</v>
      </c>
      <c r="J520">
        <f>IF('Lab test'!AT511&gt;0,'Lab test'!AT511,NA())</f>
        <v>8.1906250347910603E-2</v>
      </c>
      <c r="K520" t="e">
        <f t="shared" si="199"/>
        <v>#N/A</v>
      </c>
      <c r="L520" t="str">
        <f>'Lab test'!AC511</f>
        <v>Tubes</v>
      </c>
      <c r="X520" t="e">
        <v>#N/A</v>
      </c>
      <c r="Z520" t="e">
        <f t="shared" si="189"/>
        <v>#N/A</v>
      </c>
      <c r="AB520" t="e">
        <f t="shared" si="201"/>
        <v>#N/A</v>
      </c>
      <c r="AC520" t="e">
        <f t="shared" si="190"/>
        <v>#N/A</v>
      </c>
      <c r="AE520" t="e">
        <v>#N/A</v>
      </c>
      <c r="AF520" t="e">
        <v>#N/A</v>
      </c>
      <c r="AP520" t="e">
        <v>#N/A</v>
      </c>
      <c r="AR520" t="e">
        <f t="shared" si="191"/>
        <v>#N/A</v>
      </c>
      <c r="AT520" t="e">
        <f t="shared" si="192"/>
        <v>#N/A</v>
      </c>
      <c r="AU520" t="e">
        <f t="shared" si="193"/>
        <v>#N/A</v>
      </c>
      <c r="AW520" t="e">
        <v>#N/A</v>
      </c>
      <c r="AX520" t="e">
        <v>#N/A</v>
      </c>
      <c r="BG520" t="e">
        <v>#N/A</v>
      </c>
      <c r="BI520" t="e">
        <f t="shared" si="194"/>
        <v>#N/A</v>
      </c>
      <c r="BK520" t="e">
        <f t="shared" si="195"/>
        <v>#N/A</v>
      </c>
      <c r="BL520" t="e">
        <f t="shared" si="196"/>
        <v>#N/A</v>
      </c>
      <c r="BN520" t="e">
        <v>#N/A</v>
      </c>
      <c r="BO520" t="e">
        <v>#N/A</v>
      </c>
      <c r="BX520" t="e">
        <v>#N/A</v>
      </c>
      <c r="BZ520" t="e">
        <f t="shared" si="197"/>
        <v>#N/A</v>
      </c>
      <c r="CB520" t="e">
        <f t="shared" si="200"/>
        <v>#N/A</v>
      </c>
      <c r="CC520" t="e">
        <f t="shared" si="198"/>
        <v>#N/A</v>
      </c>
      <c r="CE520" t="e">
        <v>#N/A</v>
      </c>
      <c r="CF520" t="e">
        <v>#N/A</v>
      </c>
    </row>
    <row r="521" spans="2:84">
      <c r="B521">
        <v>509</v>
      </c>
      <c r="C521" t="e">
        <f>IF(ISNUMBER(K521),IF('Lab test'!N512&gt;0,'Lab test'!N512,NA()),NA())</f>
        <v>#N/A</v>
      </c>
      <c r="D521" t="e">
        <f>IF(ISNUMBER(K521),IF('Lab test'!Q512&gt;0,'Lab test'!Q512,NA()),NA())</f>
        <v>#N/A</v>
      </c>
      <c r="E521" t="e">
        <f>IF(ISNUMBER(K521),IF('Lab test'!P512&gt;0,'Lab test'!P512,NA()),NA())</f>
        <v>#N/A</v>
      </c>
      <c r="F521" t="e">
        <f>IF(ISNUMBER(K521),IF('Lab test'!AJ512&gt;0,'Lab test'!AJ512,NA()),NA())</f>
        <v>#N/A</v>
      </c>
      <c r="G521">
        <f>IF('Lab test'!V512&gt;0,'Lab test'!V512,NA())</f>
        <v>201326.91296051617</v>
      </c>
      <c r="H521">
        <f>IF(MAX('Lab test'!W512,'Lab test'!X512)&gt;0,MAX('Lab test'!W512,'Lab test'!X512),NA())</f>
        <v>152.09834588729404</v>
      </c>
      <c r="I521">
        <f>IF('Lab test'!AU512&gt;0,'Lab test'!AU512,NA())</f>
        <v>1.4732547597461469</v>
      </c>
      <c r="J521">
        <f>IF('Lab test'!AT512&gt;0,'Lab test'!AT512,NA())</f>
        <v>6.8962516484639746E-2</v>
      </c>
      <c r="K521" t="e">
        <f t="shared" si="199"/>
        <v>#N/A</v>
      </c>
      <c r="L521" t="str">
        <f>'Lab test'!AC512</f>
        <v>Tubes</v>
      </c>
      <c r="X521" t="e">
        <v>#N/A</v>
      </c>
      <c r="Z521" t="e">
        <f t="shared" si="189"/>
        <v>#N/A</v>
      </c>
      <c r="AB521" t="e">
        <f t="shared" si="201"/>
        <v>#N/A</v>
      </c>
      <c r="AC521" t="e">
        <f t="shared" si="190"/>
        <v>#N/A</v>
      </c>
      <c r="AE521" t="e">
        <v>#N/A</v>
      </c>
      <c r="AF521" t="e">
        <v>#N/A</v>
      </c>
      <c r="AP521" t="e">
        <v>#N/A</v>
      </c>
      <c r="AR521" t="e">
        <f t="shared" si="191"/>
        <v>#N/A</v>
      </c>
      <c r="AT521" t="e">
        <f t="shared" si="192"/>
        <v>#N/A</v>
      </c>
      <c r="AU521" t="e">
        <f t="shared" si="193"/>
        <v>#N/A</v>
      </c>
      <c r="AW521" t="e">
        <v>#N/A</v>
      </c>
      <c r="AX521" t="e">
        <v>#N/A</v>
      </c>
      <c r="BG521" t="e">
        <v>#N/A</v>
      </c>
      <c r="BI521" t="e">
        <f t="shared" si="194"/>
        <v>#N/A</v>
      </c>
      <c r="BK521" t="e">
        <f t="shared" si="195"/>
        <v>#N/A</v>
      </c>
      <c r="BL521" t="e">
        <f t="shared" si="196"/>
        <v>#N/A</v>
      </c>
      <c r="BN521" t="e">
        <v>#N/A</v>
      </c>
      <c r="BO521" t="e">
        <v>#N/A</v>
      </c>
      <c r="BX521" t="e">
        <v>#N/A</v>
      </c>
      <c r="BZ521" t="e">
        <f t="shared" si="197"/>
        <v>#N/A</v>
      </c>
      <c r="CB521" t="e">
        <f t="shared" si="200"/>
        <v>#N/A</v>
      </c>
      <c r="CC521" t="e">
        <f t="shared" si="198"/>
        <v>#N/A</v>
      </c>
      <c r="CE521" t="e">
        <v>#N/A</v>
      </c>
      <c r="CF521" t="e">
        <v>#N/A</v>
      </c>
    </row>
    <row r="522" spans="2:84">
      <c r="B522">
        <v>510</v>
      </c>
      <c r="C522" t="e">
        <f>IF(ISNUMBER(K522),IF('Lab test'!N513&gt;0,'Lab test'!N513,NA()),NA())</f>
        <v>#N/A</v>
      </c>
      <c r="D522" t="e">
        <f>IF(ISNUMBER(K522),IF('Lab test'!Q513&gt;0,'Lab test'!Q513,NA()),NA())</f>
        <v>#N/A</v>
      </c>
      <c r="E522" t="e">
        <f>IF(ISNUMBER(K522),IF('Lab test'!P513&gt;0,'Lab test'!P513,NA()),NA())</f>
        <v>#N/A</v>
      </c>
      <c r="F522" t="e">
        <f>IF(ISNUMBER(K522),IF('Lab test'!AJ513&gt;0,'Lab test'!AJ513,NA()),NA())</f>
        <v>#N/A</v>
      </c>
      <c r="G522">
        <f>IF('Lab test'!V513&gt;0,'Lab test'!V513,NA())</f>
        <v>201326.91296051617</v>
      </c>
      <c r="H522">
        <f>IF(MAX('Lab test'!W513,'Lab test'!X513)&gt;0,MAX('Lab test'!W513,'Lab test'!X513),NA())</f>
        <v>152.37413617902078</v>
      </c>
      <c r="I522">
        <f>IF('Lab test'!AU513&gt;0,'Lab test'!AU513,NA())</f>
        <v>1.5882352941176472</v>
      </c>
      <c r="J522">
        <f>IF('Lab test'!AT513&gt;0,'Lab test'!AT513,NA())</f>
        <v>7.447951780341093E-2</v>
      </c>
      <c r="K522" t="e">
        <f t="shared" si="199"/>
        <v>#N/A</v>
      </c>
      <c r="L522" t="str">
        <f>'Lab test'!AC513</f>
        <v>Tubes</v>
      </c>
      <c r="X522" t="e">
        <v>#N/A</v>
      </c>
      <c r="Z522" t="e">
        <f t="shared" si="189"/>
        <v>#N/A</v>
      </c>
      <c r="AB522" t="e">
        <f t="shared" si="201"/>
        <v>#N/A</v>
      </c>
      <c r="AC522" t="e">
        <f t="shared" si="190"/>
        <v>#N/A</v>
      </c>
      <c r="AE522" t="e">
        <v>#N/A</v>
      </c>
      <c r="AF522" t="e">
        <v>#N/A</v>
      </c>
      <c r="AP522" t="e">
        <v>#N/A</v>
      </c>
      <c r="AR522" t="e">
        <f t="shared" si="191"/>
        <v>#N/A</v>
      </c>
      <c r="AT522" t="e">
        <f t="shared" si="192"/>
        <v>#N/A</v>
      </c>
      <c r="AU522" t="e">
        <f t="shared" si="193"/>
        <v>#N/A</v>
      </c>
      <c r="AW522" t="e">
        <v>#N/A</v>
      </c>
      <c r="AX522" t="e">
        <v>#N/A</v>
      </c>
      <c r="BG522" t="e">
        <v>#N/A</v>
      </c>
      <c r="BI522" t="e">
        <f t="shared" si="194"/>
        <v>#N/A</v>
      </c>
      <c r="BK522" t="e">
        <f t="shared" si="195"/>
        <v>#N/A</v>
      </c>
      <c r="BL522" t="e">
        <f t="shared" si="196"/>
        <v>#N/A</v>
      </c>
      <c r="BN522" t="e">
        <v>#N/A</v>
      </c>
      <c r="BO522" t="e">
        <v>#N/A</v>
      </c>
      <c r="BX522" t="e">
        <v>#N/A</v>
      </c>
      <c r="BZ522" t="e">
        <f t="shared" si="197"/>
        <v>#N/A</v>
      </c>
      <c r="CB522" t="e">
        <f t="shared" si="200"/>
        <v>#N/A</v>
      </c>
      <c r="CC522" t="e">
        <f t="shared" si="198"/>
        <v>#N/A</v>
      </c>
      <c r="CE522" t="e">
        <v>#N/A</v>
      </c>
      <c r="CF522" t="e">
        <v>#N/A</v>
      </c>
    </row>
    <row r="523" spans="2:84">
      <c r="B523">
        <v>511</v>
      </c>
      <c r="C523" t="e">
        <f>IF(ISNUMBER(K523),IF('Lab test'!N514&gt;0,'Lab test'!N514,NA()),NA())</f>
        <v>#N/A</v>
      </c>
      <c r="D523" t="e">
        <f>IF(ISNUMBER(K523),IF('Lab test'!Q514&gt;0,'Lab test'!Q514,NA()),NA())</f>
        <v>#N/A</v>
      </c>
      <c r="E523" t="e">
        <f>IF(ISNUMBER(K523),IF('Lab test'!P514&gt;0,'Lab test'!P514,NA()),NA())</f>
        <v>#N/A</v>
      </c>
      <c r="F523" t="e">
        <f>IF(ISNUMBER(K523),IF('Lab test'!AJ514&gt;0,'Lab test'!AJ514,NA()),NA())</f>
        <v>#N/A</v>
      </c>
      <c r="G523">
        <f>IF('Lab test'!V514&gt;0,'Lab test'!V514,NA())</f>
        <v>201326.91296051617</v>
      </c>
      <c r="H523">
        <f>IF(MAX('Lab test'!W514,'Lab test'!X514)&gt;0,MAX('Lab test'!W514,'Lab test'!X514),NA())</f>
        <v>224.76908775728862</v>
      </c>
      <c r="I523">
        <f>IF('Lab test'!AU514&gt;0,'Lab test'!AU514,NA())</f>
        <v>1.5214723926380367</v>
      </c>
      <c r="J523">
        <f>IF('Lab test'!AT514&gt;0,'Lab test'!AT514,NA())</f>
        <v>6.077278254636697E-2</v>
      </c>
      <c r="K523" t="e">
        <f t="shared" si="199"/>
        <v>#N/A</v>
      </c>
      <c r="L523" t="str">
        <f>'Lab test'!AC514</f>
        <v>Tubes</v>
      </c>
      <c r="X523" t="e">
        <v>#N/A</v>
      </c>
      <c r="Z523" t="e">
        <f t="shared" si="189"/>
        <v>#N/A</v>
      </c>
      <c r="AB523" t="e">
        <f t="shared" si="201"/>
        <v>#N/A</v>
      </c>
      <c r="AC523" t="e">
        <f t="shared" si="190"/>
        <v>#N/A</v>
      </c>
      <c r="AE523" t="e">
        <v>#N/A</v>
      </c>
      <c r="AF523" t="e">
        <v>#N/A</v>
      </c>
      <c r="AP523" t="e">
        <v>#N/A</v>
      </c>
      <c r="AR523" t="e">
        <f t="shared" si="191"/>
        <v>#N/A</v>
      </c>
      <c r="AT523" t="e">
        <f t="shared" si="192"/>
        <v>#N/A</v>
      </c>
      <c r="AU523" t="e">
        <f t="shared" si="193"/>
        <v>#N/A</v>
      </c>
      <c r="AW523" t="e">
        <v>#N/A</v>
      </c>
      <c r="AX523" t="e">
        <v>#N/A</v>
      </c>
      <c r="BG523" t="e">
        <v>#N/A</v>
      </c>
      <c r="BI523" t="e">
        <f t="shared" si="194"/>
        <v>#N/A</v>
      </c>
      <c r="BK523" t="e">
        <f t="shared" si="195"/>
        <v>#N/A</v>
      </c>
      <c r="BL523" t="e">
        <f t="shared" si="196"/>
        <v>#N/A</v>
      </c>
      <c r="BN523" t="e">
        <v>#N/A</v>
      </c>
      <c r="BO523" t="e">
        <v>#N/A</v>
      </c>
      <c r="BX523" t="e">
        <v>#N/A</v>
      </c>
      <c r="BZ523" t="e">
        <f t="shared" si="197"/>
        <v>#N/A</v>
      </c>
      <c r="CB523" t="e">
        <f t="shared" si="200"/>
        <v>#N/A</v>
      </c>
      <c r="CC523" t="e">
        <f t="shared" si="198"/>
        <v>#N/A</v>
      </c>
      <c r="CE523" t="e">
        <v>#N/A</v>
      </c>
      <c r="CF523" t="e">
        <v>#N/A</v>
      </c>
    </row>
    <row r="524" spans="2:84">
      <c r="B524">
        <v>512</v>
      </c>
      <c r="C524" t="e">
        <f>IF(ISNUMBER(K524),IF('Lab test'!N515&gt;0,'Lab test'!N515,NA()),NA())</f>
        <v>#N/A</v>
      </c>
      <c r="D524" t="e">
        <f>IF(ISNUMBER(K524),IF('Lab test'!Q515&gt;0,'Lab test'!Q515,NA()),NA())</f>
        <v>#N/A</v>
      </c>
      <c r="E524" t="e">
        <f>IF(ISNUMBER(K524),IF('Lab test'!P515&gt;0,'Lab test'!P515,NA()),NA())</f>
        <v>#N/A</v>
      </c>
      <c r="F524" t="e">
        <f>IF(ISNUMBER(K524),IF('Lab test'!AJ515&gt;0,'Lab test'!AJ515,NA()),NA())</f>
        <v>#N/A</v>
      </c>
      <c r="G524">
        <f>IF('Lab test'!V515&gt;0,'Lab test'!V515,NA())</f>
        <v>201326.91296051617</v>
      </c>
      <c r="H524">
        <f>IF(MAX('Lab test'!W515,'Lab test'!X515)&gt;0,MAX('Lab test'!W515,'Lab test'!X515),NA())</f>
        <v>263.37972859903141</v>
      </c>
      <c r="I524">
        <f>IF('Lab test'!AU515&gt;0,'Lab test'!AU515,NA())</f>
        <v>1.2041884816753927</v>
      </c>
      <c r="J524">
        <f>IF('Lab test'!AT515&gt;0,'Lab test'!AT515,NA())</f>
        <v>9.7608484870567044E-2</v>
      </c>
      <c r="K524" t="e">
        <f t="shared" si="199"/>
        <v>#N/A</v>
      </c>
      <c r="L524" t="str">
        <f>'Lab test'!AC515</f>
        <v>Tubes</v>
      </c>
      <c r="X524" t="e">
        <v>#N/A</v>
      </c>
      <c r="Z524" t="e">
        <f t="shared" si="189"/>
        <v>#N/A</v>
      </c>
      <c r="AB524" t="e">
        <f t="shared" si="201"/>
        <v>#N/A</v>
      </c>
      <c r="AC524" t="e">
        <f t="shared" si="190"/>
        <v>#N/A</v>
      </c>
      <c r="AE524" t="e">
        <v>#N/A</v>
      </c>
      <c r="AF524" t="e">
        <v>#N/A</v>
      </c>
      <c r="AP524" t="e">
        <v>#N/A</v>
      </c>
      <c r="AR524" t="e">
        <f t="shared" si="191"/>
        <v>#N/A</v>
      </c>
      <c r="AT524" t="e">
        <f t="shared" si="192"/>
        <v>#N/A</v>
      </c>
      <c r="AU524" t="e">
        <f t="shared" si="193"/>
        <v>#N/A</v>
      </c>
      <c r="AW524" t="e">
        <v>#N/A</v>
      </c>
      <c r="AX524" t="e">
        <v>#N/A</v>
      </c>
      <c r="BG524" t="e">
        <v>#N/A</v>
      </c>
      <c r="BI524" t="e">
        <f t="shared" si="194"/>
        <v>#N/A</v>
      </c>
      <c r="BK524" t="e">
        <f t="shared" si="195"/>
        <v>#N/A</v>
      </c>
      <c r="BL524" t="e">
        <f t="shared" si="196"/>
        <v>#N/A</v>
      </c>
      <c r="BN524" t="e">
        <v>#N/A</v>
      </c>
      <c r="BO524" t="e">
        <v>#N/A</v>
      </c>
      <c r="BX524" t="e">
        <v>#N/A</v>
      </c>
      <c r="BZ524" t="e">
        <f t="shared" si="197"/>
        <v>#N/A</v>
      </c>
      <c r="CB524" t="e">
        <f t="shared" si="200"/>
        <v>#N/A</v>
      </c>
      <c r="CC524" t="e">
        <f t="shared" si="198"/>
        <v>#N/A</v>
      </c>
      <c r="CE524" t="e">
        <v>#N/A</v>
      </c>
      <c r="CF524" t="e">
        <v>#N/A</v>
      </c>
    </row>
    <row r="525" spans="2:84">
      <c r="B525">
        <v>513</v>
      </c>
      <c r="C525" t="e">
        <f>IF(ISNUMBER(K525),IF('Lab test'!N516&gt;0,'Lab test'!N516,NA()),NA())</f>
        <v>#N/A</v>
      </c>
      <c r="D525" t="e">
        <f>IF(ISNUMBER(K525),IF('Lab test'!Q516&gt;0,'Lab test'!Q516,NA()),NA())</f>
        <v>#N/A</v>
      </c>
      <c r="E525" t="e">
        <f>IF(ISNUMBER(K525),IF('Lab test'!P516&gt;0,'Lab test'!P516,NA()),NA())</f>
        <v>#N/A</v>
      </c>
      <c r="F525" t="e">
        <f>IF(ISNUMBER(K525),IF('Lab test'!AJ516&gt;0,'Lab test'!AJ516,NA()),NA())</f>
        <v>#N/A</v>
      </c>
      <c r="G525">
        <f>IF('Lab test'!V516&gt;0,'Lab test'!V516,NA())</f>
        <v>201326.91296051617</v>
      </c>
      <c r="H525">
        <f>IF(MAX('Lab test'!W516,'Lab test'!X516)&gt;0,MAX('Lab test'!W516,'Lab test'!X516),NA())</f>
        <v>238.5586023436253</v>
      </c>
      <c r="I525">
        <f>IF('Lab test'!AU516&gt;0,'Lab test'!AU516,NA())</f>
        <v>1.3179190751445087</v>
      </c>
      <c r="J525">
        <f>IF('Lab test'!AT516&gt;0,'Lab test'!AT516,NA())</f>
        <v>9.6759715436909935E-2</v>
      </c>
      <c r="K525" t="e">
        <f t="shared" si="199"/>
        <v>#N/A</v>
      </c>
      <c r="L525" t="str">
        <f>'Lab test'!AC516</f>
        <v>Tubes</v>
      </c>
      <c r="X525" t="e">
        <v>#N/A</v>
      </c>
      <c r="Z525" t="e">
        <f t="shared" ref="Z525:Z588" si="202">IF(X525=X526,NA(),Y525)</f>
        <v>#N/A</v>
      </c>
      <c r="AB525" t="e">
        <f t="shared" si="201"/>
        <v>#N/A</v>
      </c>
      <c r="AC525" t="e">
        <f t="shared" ref="AC525:AC588" si="203">X525</f>
        <v>#N/A</v>
      </c>
      <c r="AE525" t="e">
        <v>#N/A</v>
      </c>
      <c r="AF525" t="e">
        <v>#N/A</v>
      </c>
      <c r="AP525" t="e">
        <v>#N/A</v>
      </c>
      <c r="AR525" t="e">
        <f t="shared" ref="AR525:AR588" si="204">IF(AP525=AP526,NA(),AQ525)</f>
        <v>#N/A</v>
      </c>
      <c r="AT525" t="e">
        <f t="shared" ref="AT525:AT588" si="205">AR525</f>
        <v>#N/A</v>
      </c>
      <c r="AU525" t="e">
        <f t="shared" ref="AU525:AU588" si="206">AP525</f>
        <v>#N/A</v>
      </c>
      <c r="AW525" t="e">
        <v>#N/A</v>
      </c>
      <c r="AX525" t="e">
        <v>#N/A</v>
      </c>
      <c r="BG525" t="e">
        <v>#N/A</v>
      </c>
      <c r="BI525" t="e">
        <f t="shared" ref="BI525:BI588" si="207">IF(BG525=BG526,NA(),BH525)</f>
        <v>#N/A</v>
      </c>
      <c r="BK525" t="e">
        <f t="shared" ref="BK525:BK588" si="208">BI525</f>
        <v>#N/A</v>
      </c>
      <c r="BL525" t="e">
        <f t="shared" ref="BL525:BL588" si="209">BG525</f>
        <v>#N/A</v>
      </c>
      <c r="BN525" t="e">
        <v>#N/A</v>
      </c>
      <c r="BO525" t="e">
        <v>#N/A</v>
      </c>
      <c r="BX525" t="e">
        <v>#N/A</v>
      </c>
      <c r="BZ525" t="e">
        <f t="shared" ref="BZ525:BZ588" si="210">IF(BX525=BX526,NA(),BY525)</f>
        <v>#N/A</v>
      </c>
      <c r="CB525" t="e">
        <f t="shared" si="200"/>
        <v>#N/A</v>
      </c>
      <c r="CC525" t="e">
        <f t="shared" ref="CC525:CC588" si="211">BX525</f>
        <v>#N/A</v>
      </c>
      <c r="CE525" t="e">
        <v>#N/A</v>
      </c>
      <c r="CF525" t="e">
        <v>#N/A</v>
      </c>
    </row>
    <row r="526" spans="2:84">
      <c r="B526">
        <v>514</v>
      </c>
      <c r="C526" t="e">
        <f>IF(ISNUMBER(K526),IF('Lab test'!N517&gt;0,'Lab test'!N517,NA()),NA())</f>
        <v>#N/A</v>
      </c>
      <c r="D526" t="e">
        <f>IF(ISNUMBER(K526),IF('Lab test'!Q517&gt;0,'Lab test'!Q517,NA()),NA())</f>
        <v>#N/A</v>
      </c>
      <c r="E526" t="e">
        <f>IF(ISNUMBER(K526),IF('Lab test'!P517&gt;0,'Lab test'!P517,NA()),NA())</f>
        <v>#N/A</v>
      </c>
      <c r="F526" t="e">
        <f>IF(ISNUMBER(K526),IF('Lab test'!AJ517&gt;0,'Lab test'!AJ517,NA()),NA())</f>
        <v>#N/A</v>
      </c>
      <c r="G526">
        <f>IF('Lab test'!V517&gt;0,'Lab test'!V517,NA())</f>
        <v>201326.91296051617</v>
      </c>
      <c r="H526">
        <f>IF(MAX('Lab test'!W517,'Lab test'!X517)&gt;0,MAX('Lab test'!W517,'Lab test'!X517),NA())</f>
        <v>230.9743693211401</v>
      </c>
      <c r="I526">
        <f>IF('Lab test'!AU517&gt;0,'Lab test'!AU517,NA())</f>
        <v>1.3134328358208955</v>
      </c>
      <c r="J526">
        <f>IF('Lab test'!AT517&gt;0,'Lab test'!AT517,NA())</f>
        <v>9.3364637702281511E-2</v>
      </c>
      <c r="K526" t="e">
        <f t="shared" ref="K526:K589" si="212">IF(AND(OR(ISNUMBER(I526),ISNUMBER(J526)),ISNUMBER(G526),ISNUMBER(H526),L526="LTWb"),1,NA())</f>
        <v>#N/A</v>
      </c>
      <c r="L526" t="str">
        <f>'Lab test'!AC517</f>
        <v>Tubes</v>
      </c>
      <c r="X526" t="e">
        <v>#N/A</v>
      </c>
      <c r="Z526" t="e">
        <f t="shared" si="202"/>
        <v>#N/A</v>
      </c>
      <c r="AB526" t="e">
        <f t="shared" si="201"/>
        <v>#N/A</v>
      </c>
      <c r="AC526" t="e">
        <f t="shared" si="203"/>
        <v>#N/A</v>
      </c>
      <c r="AE526" t="e">
        <v>#N/A</v>
      </c>
      <c r="AF526" t="e">
        <v>#N/A</v>
      </c>
      <c r="AP526" t="e">
        <v>#N/A</v>
      </c>
      <c r="AR526" t="e">
        <f t="shared" si="204"/>
        <v>#N/A</v>
      </c>
      <c r="AT526" t="e">
        <f t="shared" si="205"/>
        <v>#N/A</v>
      </c>
      <c r="AU526" t="e">
        <f t="shared" si="206"/>
        <v>#N/A</v>
      </c>
      <c r="AW526" t="e">
        <v>#N/A</v>
      </c>
      <c r="AX526" t="e">
        <v>#N/A</v>
      </c>
      <c r="BG526" t="e">
        <v>#N/A</v>
      </c>
      <c r="BI526" t="e">
        <f t="shared" si="207"/>
        <v>#N/A</v>
      </c>
      <c r="BK526" t="e">
        <f t="shared" si="208"/>
        <v>#N/A</v>
      </c>
      <c r="BL526" t="e">
        <f t="shared" si="209"/>
        <v>#N/A</v>
      </c>
      <c r="BN526" t="e">
        <v>#N/A</v>
      </c>
      <c r="BO526" t="e">
        <v>#N/A</v>
      </c>
      <c r="BX526" t="e">
        <v>#N/A</v>
      </c>
      <c r="BZ526" t="e">
        <f t="shared" si="210"/>
        <v>#N/A</v>
      </c>
      <c r="CB526" t="e">
        <f t="shared" si="200"/>
        <v>#N/A</v>
      </c>
      <c r="CC526" t="e">
        <f t="shared" si="211"/>
        <v>#N/A</v>
      </c>
      <c r="CE526" t="e">
        <v>#N/A</v>
      </c>
      <c r="CF526" t="e">
        <v>#N/A</v>
      </c>
    </row>
    <row r="527" spans="2:84">
      <c r="B527">
        <v>515</v>
      </c>
      <c r="C527" t="e">
        <f>IF(ISNUMBER(K527),IF('Lab test'!N518&gt;0,'Lab test'!N518,NA()),NA())</f>
        <v>#N/A</v>
      </c>
      <c r="D527" t="e">
        <f>IF(ISNUMBER(K527),IF('Lab test'!Q518&gt;0,'Lab test'!Q518,NA()),NA())</f>
        <v>#N/A</v>
      </c>
      <c r="E527" t="e">
        <f>IF(ISNUMBER(K527),IF('Lab test'!P518&gt;0,'Lab test'!P518,NA()),NA())</f>
        <v>#N/A</v>
      </c>
      <c r="F527" t="e">
        <f>IF(ISNUMBER(K527),IF('Lab test'!AJ518&gt;0,'Lab test'!AJ518,NA()),NA())</f>
        <v>#N/A</v>
      </c>
      <c r="G527">
        <f>IF('Lab test'!V518&gt;0,'Lab test'!V518,NA())</f>
        <v>201326.91296051617</v>
      </c>
      <c r="H527">
        <f>IF(MAX('Lab test'!W518,'Lab test'!X518)&gt;0,MAX('Lab test'!W518,'Lab test'!X518),NA())</f>
        <v>282.68504901990281</v>
      </c>
      <c r="I527">
        <f>IF('Lab test'!AU518&gt;0,'Lab test'!AU518,NA())</f>
        <v>1.0780487804878049</v>
      </c>
      <c r="J527">
        <f>IF('Lab test'!AT518&gt;0,'Lab test'!AT518,NA())</f>
        <v>9.3789022419110066E-2</v>
      </c>
      <c r="K527" t="e">
        <f t="shared" si="212"/>
        <v>#N/A</v>
      </c>
      <c r="L527" t="str">
        <f>'Lab test'!AC518</f>
        <v>Tubes</v>
      </c>
      <c r="X527" t="e">
        <v>#N/A</v>
      </c>
      <c r="Z527" t="e">
        <f t="shared" si="202"/>
        <v>#N/A</v>
      </c>
      <c r="AB527" t="e">
        <f t="shared" si="201"/>
        <v>#N/A</v>
      </c>
      <c r="AC527" t="e">
        <f t="shared" si="203"/>
        <v>#N/A</v>
      </c>
      <c r="AE527" t="e">
        <v>#N/A</v>
      </c>
      <c r="AF527" t="e">
        <v>#N/A</v>
      </c>
      <c r="AP527" t="e">
        <v>#N/A</v>
      </c>
      <c r="AR527" t="e">
        <f t="shared" si="204"/>
        <v>#N/A</v>
      </c>
      <c r="AT527" t="e">
        <f t="shared" si="205"/>
        <v>#N/A</v>
      </c>
      <c r="AU527" t="e">
        <f t="shared" si="206"/>
        <v>#N/A</v>
      </c>
      <c r="AW527" t="e">
        <v>#N/A</v>
      </c>
      <c r="AX527" t="e">
        <v>#N/A</v>
      </c>
      <c r="BG527" t="e">
        <v>#N/A</v>
      </c>
      <c r="BI527" t="e">
        <f t="shared" si="207"/>
        <v>#N/A</v>
      </c>
      <c r="BK527" t="e">
        <f t="shared" si="208"/>
        <v>#N/A</v>
      </c>
      <c r="BL527" t="e">
        <f t="shared" si="209"/>
        <v>#N/A</v>
      </c>
      <c r="BN527" t="e">
        <v>#N/A</v>
      </c>
      <c r="BO527" t="e">
        <v>#N/A</v>
      </c>
      <c r="BX527" t="e">
        <v>#N/A</v>
      </c>
      <c r="BZ527" t="e">
        <f t="shared" si="210"/>
        <v>#N/A</v>
      </c>
      <c r="CB527" t="e">
        <f t="shared" si="200"/>
        <v>#N/A</v>
      </c>
      <c r="CC527" t="e">
        <f t="shared" si="211"/>
        <v>#N/A</v>
      </c>
      <c r="CE527" t="e">
        <v>#N/A</v>
      </c>
      <c r="CF527" t="e">
        <v>#N/A</v>
      </c>
    </row>
    <row r="528" spans="2:84">
      <c r="B528">
        <v>516</v>
      </c>
      <c r="C528" t="e">
        <f>IF(ISNUMBER(K528),IF('Lab test'!N519&gt;0,'Lab test'!N519,NA()),NA())</f>
        <v>#N/A</v>
      </c>
      <c r="D528" t="e">
        <f>IF(ISNUMBER(K528),IF('Lab test'!Q519&gt;0,'Lab test'!Q519,NA()),NA())</f>
        <v>#N/A</v>
      </c>
      <c r="E528" t="e">
        <f>IF(ISNUMBER(K528),IF('Lab test'!P519&gt;0,'Lab test'!P519,NA()),NA())</f>
        <v>#N/A</v>
      </c>
      <c r="F528" t="e">
        <f>IF(ISNUMBER(K528),IF('Lab test'!AJ519&gt;0,'Lab test'!AJ519,NA()),NA())</f>
        <v>#N/A</v>
      </c>
      <c r="G528">
        <f>IF('Lab test'!V519&gt;0,'Lab test'!V519,NA())</f>
        <v>201326.91296051617</v>
      </c>
      <c r="H528">
        <f>IF(MAX('Lab test'!W519,'Lab test'!X519)&gt;0,MAX('Lab test'!W519,'Lab test'!X519),NA())</f>
        <v>282.68504901990281</v>
      </c>
      <c r="I528">
        <f>IF('Lab test'!AU519&gt;0,'Lab test'!AU519,NA())</f>
        <v>1.1219512195121952</v>
      </c>
      <c r="J528">
        <f>IF('Lab test'!AT519&gt;0,'Lab test'!AT519,NA())</f>
        <v>9.7608484870567044E-2</v>
      </c>
      <c r="K528" t="e">
        <f t="shared" si="212"/>
        <v>#N/A</v>
      </c>
      <c r="L528" t="str">
        <f>'Lab test'!AC519</f>
        <v>Tubes</v>
      </c>
      <c r="X528" t="e">
        <v>#N/A</v>
      </c>
      <c r="Z528" t="e">
        <f t="shared" si="202"/>
        <v>#N/A</v>
      </c>
      <c r="AB528" t="e">
        <f t="shared" si="201"/>
        <v>#N/A</v>
      </c>
      <c r="AC528" t="e">
        <f t="shared" si="203"/>
        <v>#N/A</v>
      </c>
      <c r="AE528" t="e">
        <v>#N/A</v>
      </c>
      <c r="AF528" t="e">
        <v>#N/A</v>
      </c>
      <c r="AP528" t="e">
        <v>#N/A</v>
      </c>
      <c r="AR528" t="e">
        <f t="shared" si="204"/>
        <v>#N/A</v>
      </c>
      <c r="AT528" t="e">
        <f t="shared" si="205"/>
        <v>#N/A</v>
      </c>
      <c r="AU528" t="e">
        <f t="shared" si="206"/>
        <v>#N/A</v>
      </c>
      <c r="AW528" t="e">
        <v>#N/A</v>
      </c>
      <c r="AX528" t="e">
        <v>#N/A</v>
      </c>
      <c r="BG528" t="e">
        <v>#N/A</v>
      </c>
      <c r="BI528" t="e">
        <f t="shared" si="207"/>
        <v>#N/A</v>
      </c>
      <c r="BK528" t="e">
        <f t="shared" si="208"/>
        <v>#N/A</v>
      </c>
      <c r="BL528" t="e">
        <f t="shared" si="209"/>
        <v>#N/A</v>
      </c>
      <c r="BN528" t="e">
        <v>#N/A</v>
      </c>
      <c r="BO528" t="e">
        <v>#N/A</v>
      </c>
      <c r="BX528" t="e">
        <v>#N/A</v>
      </c>
      <c r="BZ528" t="e">
        <f t="shared" si="210"/>
        <v>#N/A</v>
      </c>
      <c r="CB528" t="e">
        <f t="shared" si="200"/>
        <v>#N/A</v>
      </c>
      <c r="CC528" t="e">
        <f t="shared" si="211"/>
        <v>#N/A</v>
      </c>
      <c r="CE528" t="e">
        <v>#N/A</v>
      </c>
      <c r="CF528" t="e">
        <v>#N/A</v>
      </c>
    </row>
    <row r="529" spans="2:84">
      <c r="B529">
        <v>517</v>
      </c>
      <c r="C529" t="e">
        <f>IF(ISNUMBER(K529),IF('Lab test'!N520&gt;0,'Lab test'!N520,NA()),NA())</f>
        <v>#N/A</v>
      </c>
      <c r="D529" t="e">
        <f>IF(ISNUMBER(K529),IF('Lab test'!Q520&gt;0,'Lab test'!Q520,NA()),NA())</f>
        <v>#N/A</v>
      </c>
      <c r="E529" t="e">
        <f>IF(ISNUMBER(K529),IF('Lab test'!P520&gt;0,'Lab test'!P520,NA()),NA())</f>
        <v>#N/A</v>
      </c>
      <c r="F529" t="e">
        <f>IF(ISNUMBER(K529),IF('Lab test'!AJ520&gt;0,'Lab test'!AJ520,NA()),NA())</f>
        <v>#N/A</v>
      </c>
      <c r="G529">
        <f>IF('Lab test'!V520&gt;0,'Lab test'!V520,NA())</f>
        <v>201326.91296051617</v>
      </c>
      <c r="H529">
        <f>IF(MAX('Lab test'!W520,'Lab test'!X520)&gt;0,MAX('Lab test'!W520,'Lab test'!X520),NA())</f>
        <v>246.83231109542734</v>
      </c>
      <c r="I529">
        <f>IF('Lab test'!AU520&gt;0,'Lab test'!AU520,NA())</f>
        <v>1.240223463687151</v>
      </c>
      <c r="J529">
        <f>IF('Lab test'!AT520&gt;0,'Lab test'!AT520,NA())</f>
        <v>9.421340713593862E-2</v>
      </c>
      <c r="K529" t="e">
        <f t="shared" si="212"/>
        <v>#N/A</v>
      </c>
      <c r="L529" t="str">
        <f>'Lab test'!AC520</f>
        <v>Tubes</v>
      </c>
      <c r="X529" t="e">
        <v>#N/A</v>
      </c>
      <c r="Z529" t="e">
        <f t="shared" si="202"/>
        <v>#N/A</v>
      </c>
      <c r="AB529" t="e">
        <f t="shared" si="201"/>
        <v>#N/A</v>
      </c>
      <c r="AC529" t="e">
        <f t="shared" si="203"/>
        <v>#N/A</v>
      </c>
      <c r="AE529" t="e">
        <v>#N/A</v>
      </c>
      <c r="AF529" t="e">
        <v>#N/A</v>
      </c>
      <c r="AP529" t="e">
        <v>#N/A</v>
      </c>
      <c r="AR529" t="e">
        <f t="shared" si="204"/>
        <v>#N/A</v>
      </c>
      <c r="AT529" t="e">
        <f t="shared" si="205"/>
        <v>#N/A</v>
      </c>
      <c r="AU529" t="e">
        <f t="shared" si="206"/>
        <v>#N/A</v>
      </c>
      <c r="AW529" t="e">
        <v>#N/A</v>
      </c>
      <c r="AX529" t="e">
        <v>#N/A</v>
      </c>
      <c r="BG529" t="e">
        <v>#N/A</v>
      </c>
      <c r="BI529" t="e">
        <f t="shared" si="207"/>
        <v>#N/A</v>
      </c>
      <c r="BK529" t="e">
        <f t="shared" si="208"/>
        <v>#N/A</v>
      </c>
      <c r="BL529" t="e">
        <f t="shared" si="209"/>
        <v>#N/A</v>
      </c>
      <c r="BN529" t="e">
        <v>#N/A</v>
      </c>
      <c r="BO529" t="e">
        <v>#N/A</v>
      </c>
      <c r="BX529" t="e">
        <v>#N/A</v>
      </c>
      <c r="BZ529" t="e">
        <f t="shared" si="210"/>
        <v>#N/A</v>
      </c>
      <c r="CB529" t="e">
        <f t="shared" si="200"/>
        <v>#N/A</v>
      </c>
      <c r="CC529" t="e">
        <f t="shared" si="211"/>
        <v>#N/A</v>
      </c>
      <c r="CE529" t="e">
        <v>#N/A</v>
      </c>
      <c r="CF529" t="e">
        <v>#N/A</v>
      </c>
    </row>
    <row r="530" spans="2:84">
      <c r="B530">
        <v>518</v>
      </c>
      <c r="C530" t="e">
        <f>IF(ISNUMBER(K530),IF('Lab test'!N521&gt;0,'Lab test'!N521,NA()),NA())</f>
        <v>#N/A</v>
      </c>
      <c r="D530" t="e">
        <f>IF(ISNUMBER(K530),IF('Lab test'!Q521&gt;0,'Lab test'!Q521,NA()),NA())</f>
        <v>#N/A</v>
      </c>
      <c r="E530" t="e">
        <f>IF(ISNUMBER(K530),IF('Lab test'!P521&gt;0,'Lab test'!P521,NA()),NA())</f>
        <v>#N/A</v>
      </c>
      <c r="F530" t="e">
        <f>IF(ISNUMBER(K530),IF('Lab test'!AJ521&gt;0,'Lab test'!AJ521,NA()),NA())</f>
        <v>#N/A</v>
      </c>
      <c r="G530">
        <f>IF('Lab test'!V521&gt;0,'Lab test'!V521,NA())</f>
        <v>205463.766944</v>
      </c>
      <c r="H530">
        <f>IF(MAX('Lab test'!W521,'Lab test'!X521)&gt;0,MAX('Lab test'!W521,'Lab test'!X521),NA())</f>
        <v>619.04245331205118</v>
      </c>
      <c r="I530">
        <f>IF('Lab test'!AU521&gt;0,'Lab test'!AU521,NA())</f>
        <v>1.2529999999999999</v>
      </c>
      <c r="J530">
        <f>IF('Lab test'!AT521&gt;0,'Lab test'!AT521,NA())</f>
        <v>4.8341406754178563E-2</v>
      </c>
      <c r="K530" t="e">
        <f t="shared" si="212"/>
        <v>#N/A</v>
      </c>
      <c r="L530" t="str">
        <f>'Lab test'!AC521</f>
        <v>Tubes</v>
      </c>
      <c r="X530" t="e">
        <v>#N/A</v>
      </c>
      <c r="Z530" t="e">
        <f t="shared" si="202"/>
        <v>#N/A</v>
      </c>
      <c r="AB530" t="e">
        <f t="shared" si="201"/>
        <v>#N/A</v>
      </c>
      <c r="AC530" t="e">
        <f t="shared" si="203"/>
        <v>#N/A</v>
      </c>
      <c r="AE530" t="e">
        <v>#N/A</v>
      </c>
      <c r="AF530" t="e">
        <v>#N/A</v>
      </c>
      <c r="AP530" t="e">
        <v>#N/A</v>
      </c>
      <c r="AR530" t="e">
        <f t="shared" si="204"/>
        <v>#N/A</v>
      </c>
      <c r="AT530" t="e">
        <f t="shared" si="205"/>
        <v>#N/A</v>
      </c>
      <c r="AU530" t="e">
        <f t="shared" si="206"/>
        <v>#N/A</v>
      </c>
      <c r="AW530" t="e">
        <v>#N/A</v>
      </c>
      <c r="AX530" t="e">
        <v>#N/A</v>
      </c>
      <c r="BG530" t="e">
        <v>#N/A</v>
      </c>
      <c r="BI530" t="e">
        <f t="shared" si="207"/>
        <v>#N/A</v>
      </c>
      <c r="BK530" t="e">
        <f t="shared" si="208"/>
        <v>#N/A</v>
      </c>
      <c r="BL530" t="e">
        <f t="shared" si="209"/>
        <v>#N/A</v>
      </c>
      <c r="BN530" t="e">
        <v>#N/A</v>
      </c>
      <c r="BO530" t="e">
        <v>#N/A</v>
      </c>
      <c r="BX530" t="e">
        <v>#N/A</v>
      </c>
      <c r="BZ530" t="e">
        <f t="shared" si="210"/>
        <v>#N/A</v>
      </c>
      <c r="CB530" t="e">
        <f t="shared" si="200"/>
        <v>#N/A</v>
      </c>
      <c r="CC530" t="e">
        <f t="shared" si="211"/>
        <v>#N/A</v>
      </c>
      <c r="CE530" t="e">
        <v>#N/A</v>
      </c>
      <c r="CF530" t="e">
        <v>#N/A</v>
      </c>
    </row>
    <row r="531" spans="2:84">
      <c r="B531">
        <v>519</v>
      </c>
      <c r="C531" t="e">
        <f>IF(ISNUMBER(K531),IF('Lab test'!N522&gt;0,'Lab test'!N522,NA()),NA())</f>
        <v>#N/A</v>
      </c>
      <c r="D531" t="e">
        <f>IF(ISNUMBER(K531),IF('Lab test'!Q522&gt;0,'Lab test'!Q522,NA()),NA())</f>
        <v>#N/A</v>
      </c>
      <c r="E531" t="e">
        <f>IF(ISNUMBER(K531),IF('Lab test'!P522&gt;0,'Lab test'!P522,NA()),NA())</f>
        <v>#N/A</v>
      </c>
      <c r="F531" t="e">
        <f>IF(ISNUMBER(K531),IF('Lab test'!AJ522&gt;0,'Lab test'!AJ522,NA()),NA())</f>
        <v>#N/A</v>
      </c>
      <c r="G531">
        <f>IF('Lab test'!V522&gt;0,'Lab test'!V522,NA())</f>
        <v>205463.766944</v>
      </c>
      <c r="H531">
        <f>IF(MAX('Lab test'!W522,'Lab test'!X522)&gt;0,MAX('Lab test'!W522,'Lab test'!X522),NA())</f>
        <v>619.26658465552907</v>
      </c>
      <c r="I531">
        <f>IF('Lab test'!AU522&gt;0,'Lab test'!AU522,NA())</f>
        <v>1.2569999999999999</v>
      </c>
      <c r="J531">
        <f>IF('Lab test'!AT522&gt;0,'Lab test'!AT522,NA())</f>
        <v>4.8826276261923693E-2</v>
      </c>
      <c r="K531" t="e">
        <f t="shared" si="212"/>
        <v>#N/A</v>
      </c>
      <c r="L531" t="str">
        <f>'Lab test'!AC522</f>
        <v>Tubes</v>
      </c>
      <c r="X531" t="e">
        <v>#N/A</v>
      </c>
      <c r="Z531" t="e">
        <f t="shared" si="202"/>
        <v>#N/A</v>
      </c>
      <c r="AB531" t="e">
        <f t="shared" si="201"/>
        <v>#N/A</v>
      </c>
      <c r="AC531" t="e">
        <f t="shared" si="203"/>
        <v>#N/A</v>
      </c>
      <c r="AE531" t="e">
        <v>#N/A</v>
      </c>
      <c r="AF531" t="e">
        <v>#N/A</v>
      </c>
      <c r="AP531" t="e">
        <v>#N/A</v>
      </c>
      <c r="AR531" t="e">
        <f t="shared" si="204"/>
        <v>#N/A</v>
      </c>
      <c r="AT531" t="e">
        <f t="shared" si="205"/>
        <v>#N/A</v>
      </c>
      <c r="AU531" t="e">
        <f t="shared" si="206"/>
        <v>#N/A</v>
      </c>
      <c r="AW531" t="e">
        <v>#N/A</v>
      </c>
      <c r="AX531" t="e">
        <v>#N/A</v>
      </c>
      <c r="BG531" t="e">
        <v>#N/A</v>
      </c>
      <c r="BI531" t="e">
        <f t="shared" si="207"/>
        <v>#N/A</v>
      </c>
      <c r="BK531" t="e">
        <f t="shared" si="208"/>
        <v>#N/A</v>
      </c>
      <c r="BL531" t="e">
        <f t="shared" si="209"/>
        <v>#N/A</v>
      </c>
      <c r="BN531" t="e">
        <v>#N/A</v>
      </c>
      <c r="BO531" t="e">
        <v>#N/A</v>
      </c>
      <c r="BX531" t="e">
        <v>#N/A</v>
      </c>
      <c r="BZ531" t="e">
        <f t="shared" si="210"/>
        <v>#N/A</v>
      </c>
      <c r="CB531" t="e">
        <f t="shared" si="200"/>
        <v>#N/A</v>
      </c>
      <c r="CC531" t="e">
        <f t="shared" si="211"/>
        <v>#N/A</v>
      </c>
      <c r="CE531" t="e">
        <v>#N/A</v>
      </c>
      <c r="CF531" t="e">
        <v>#N/A</v>
      </c>
    </row>
    <row r="532" spans="2:84">
      <c r="B532">
        <v>520</v>
      </c>
      <c r="C532" t="e">
        <f>IF(ISNUMBER(K532),IF('Lab test'!N523&gt;0,'Lab test'!N523,NA()),NA())</f>
        <v>#N/A</v>
      </c>
      <c r="D532" t="e">
        <f>IF(ISNUMBER(K532),IF('Lab test'!Q523&gt;0,'Lab test'!Q523,NA()),NA())</f>
        <v>#N/A</v>
      </c>
      <c r="E532" t="e">
        <f>IF(ISNUMBER(K532),IF('Lab test'!P523&gt;0,'Lab test'!P523,NA()),NA())</f>
        <v>#N/A</v>
      </c>
      <c r="F532" t="e">
        <f>IF(ISNUMBER(K532),IF('Lab test'!AJ523&gt;0,'Lab test'!AJ523,NA()),NA())</f>
        <v>#N/A</v>
      </c>
      <c r="G532">
        <f>IF('Lab test'!V523&gt;0,'Lab test'!V523,NA())</f>
        <v>205463.766944</v>
      </c>
      <c r="H532">
        <f>IF(MAX('Lab test'!W523,'Lab test'!X523)&gt;0,MAX('Lab test'!W523,'Lab test'!X523),NA())</f>
        <v>665.78449153127758</v>
      </c>
      <c r="I532">
        <f>IF('Lab test'!AU523&gt;0,'Lab test'!AU523,NA())</f>
        <v>1.135</v>
      </c>
      <c r="J532">
        <f>IF('Lab test'!AT523&gt;0,'Lab test'!AT523,NA())</f>
        <v>7.2921712588496793E-2</v>
      </c>
      <c r="K532" t="e">
        <f t="shared" si="212"/>
        <v>#N/A</v>
      </c>
      <c r="L532" t="str">
        <f>'Lab test'!AC523</f>
        <v>Tubes</v>
      </c>
      <c r="X532" t="e">
        <v>#N/A</v>
      </c>
      <c r="Z532" t="e">
        <f t="shared" si="202"/>
        <v>#N/A</v>
      </c>
      <c r="AB532" t="e">
        <f t="shared" si="201"/>
        <v>#N/A</v>
      </c>
      <c r="AC532" t="e">
        <f t="shared" si="203"/>
        <v>#N/A</v>
      </c>
      <c r="AE532" t="e">
        <v>#N/A</v>
      </c>
      <c r="AF532" t="e">
        <v>#N/A</v>
      </c>
      <c r="AP532" t="e">
        <v>#N/A</v>
      </c>
      <c r="AR532" t="e">
        <f t="shared" si="204"/>
        <v>#N/A</v>
      </c>
      <c r="AT532" t="e">
        <f t="shared" si="205"/>
        <v>#N/A</v>
      </c>
      <c r="AU532" t="e">
        <f t="shared" si="206"/>
        <v>#N/A</v>
      </c>
      <c r="AW532" t="e">
        <v>#N/A</v>
      </c>
      <c r="AX532" t="e">
        <v>#N/A</v>
      </c>
      <c r="BG532" t="e">
        <v>#N/A</v>
      </c>
      <c r="BI532" t="e">
        <f t="shared" si="207"/>
        <v>#N/A</v>
      </c>
      <c r="BK532" t="e">
        <f t="shared" si="208"/>
        <v>#N/A</v>
      </c>
      <c r="BL532" t="e">
        <f t="shared" si="209"/>
        <v>#N/A</v>
      </c>
      <c r="BN532" t="e">
        <v>#N/A</v>
      </c>
      <c r="BO532" t="e">
        <v>#N/A</v>
      </c>
      <c r="BX532" t="e">
        <v>#N/A</v>
      </c>
      <c r="BZ532" t="e">
        <f t="shared" si="210"/>
        <v>#N/A</v>
      </c>
      <c r="CB532" t="e">
        <f t="shared" ref="CB532:CB595" si="213">BZ532</f>
        <v>#N/A</v>
      </c>
      <c r="CC532" t="e">
        <f t="shared" si="211"/>
        <v>#N/A</v>
      </c>
      <c r="CE532" t="e">
        <v>#N/A</v>
      </c>
      <c r="CF532" t="e">
        <v>#N/A</v>
      </c>
    </row>
    <row r="533" spans="2:84">
      <c r="B533">
        <v>521</v>
      </c>
      <c r="C533" t="e">
        <f>IF(ISNUMBER(K533),IF('Lab test'!N524&gt;0,'Lab test'!N524,NA()),NA())</f>
        <v>#N/A</v>
      </c>
      <c r="D533" t="e">
        <f>IF(ISNUMBER(K533),IF('Lab test'!Q524&gt;0,'Lab test'!Q524,NA()),NA())</f>
        <v>#N/A</v>
      </c>
      <c r="E533" t="e">
        <f>IF(ISNUMBER(K533),IF('Lab test'!P524&gt;0,'Lab test'!P524,NA()),NA())</f>
        <v>#N/A</v>
      </c>
      <c r="F533" t="e">
        <f>IF(ISNUMBER(K533),IF('Lab test'!AJ524&gt;0,'Lab test'!AJ524,NA()),NA())</f>
        <v>#N/A</v>
      </c>
      <c r="G533">
        <f>IF('Lab test'!V524&gt;0,'Lab test'!V524,NA())</f>
        <v>205463.766944</v>
      </c>
      <c r="H533">
        <f>IF(MAX('Lab test'!W524,'Lab test'!X524)&gt;0,MAX('Lab test'!W524,'Lab test'!X524),NA())</f>
        <v>666.2280991943212</v>
      </c>
      <c r="I533">
        <f>IF('Lab test'!AU524&gt;0,'Lab test'!AU524,NA())</f>
        <v>1.127</v>
      </c>
      <c r="J533">
        <f>IF('Lab test'!AT524&gt;0,'Lab test'!AT524,NA())</f>
        <v>7.2455971723424287E-2</v>
      </c>
      <c r="K533" t="e">
        <f t="shared" si="212"/>
        <v>#N/A</v>
      </c>
      <c r="L533" t="str">
        <f>'Lab test'!AC524</f>
        <v>Tubes</v>
      </c>
      <c r="X533" t="e">
        <v>#N/A</v>
      </c>
      <c r="Z533" t="e">
        <f t="shared" si="202"/>
        <v>#N/A</v>
      </c>
      <c r="AB533" t="e">
        <f t="shared" si="201"/>
        <v>#N/A</v>
      </c>
      <c r="AC533" t="e">
        <f t="shared" si="203"/>
        <v>#N/A</v>
      </c>
      <c r="AE533" t="e">
        <v>#N/A</v>
      </c>
      <c r="AF533" t="e">
        <v>#N/A</v>
      </c>
      <c r="AP533" t="e">
        <v>#N/A</v>
      </c>
      <c r="AR533" t="e">
        <f t="shared" si="204"/>
        <v>#N/A</v>
      </c>
      <c r="AT533" t="e">
        <f t="shared" si="205"/>
        <v>#N/A</v>
      </c>
      <c r="AU533" t="e">
        <f t="shared" si="206"/>
        <v>#N/A</v>
      </c>
      <c r="AW533" t="e">
        <v>#N/A</v>
      </c>
      <c r="AX533" t="e">
        <v>#N/A</v>
      </c>
      <c r="BG533" t="e">
        <v>#N/A</v>
      </c>
      <c r="BI533" t="e">
        <f t="shared" si="207"/>
        <v>#N/A</v>
      </c>
      <c r="BK533" t="e">
        <f t="shared" si="208"/>
        <v>#N/A</v>
      </c>
      <c r="BL533" t="e">
        <f t="shared" si="209"/>
        <v>#N/A</v>
      </c>
      <c r="BN533" t="e">
        <v>#N/A</v>
      </c>
      <c r="BO533" t="e">
        <v>#N/A</v>
      </c>
      <c r="BX533" t="e">
        <v>#N/A</v>
      </c>
      <c r="BZ533" t="e">
        <f t="shared" si="210"/>
        <v>#N/A</v>
      </c>
      <c r="CB533" t="e">
        <f t="shared" si="213"/>
        <v>#N/A</v>
      </c>
      <c r="CC533" t="e">
        <f t="shared" si="211"/>
        <v>#N/A</v>
      </c>
      <c r="CE533" t="e">
        <v>#N/A</v>
      </c>
      <c r="CF533" t="e">
        <v>#N/A</v>
      </c>
    </row>
    <row r="534" spans="2:84">
      <c r="B534">
        <v>522</v>
      </c>
      <c r="C534" t="e">
        <f>IF(ISNUMBER(K534),IF('Lab test'!N525&gt;0,'Lab test'!N525,NA()),NA())</f>
        <v>#N/A</v>
      </c>
      <c r="D534" t="e">
        <f>IF(ISNUMBER(K534),IF('Lab test'!Q525&gt;0,'Lab test'!Q525,NA()),NA())</f>
        <v>#N/A</v>
      </c>
      <c r="E534" t="e">
        <f>IF(ISNUMBER(K534),IF('Lab test'!P525&gt;0,'Lab test'!P525,NA()),NA())</f>
        <v>#N/A</v>
      </c>
      <c r="F534" t="e">
        <f>IF(ISNUMBER(K534),IF('Lab test'!AJ525&gt;0,'Lab test'!AJ525,NA()),NA())</f>
        <v>#N/A</v>
      </c>
      <c r="G534">
        <f>IF('Lab test'!V525&gt;0,'Lab test'!V525,NA())</f>
        <v>205463.766944</v>
      </c>
      <c r="H534">
        <f>IF(MAX('Lab test'!W525,'Lab test'!X525)&gt;0,MAX('Lab test'!W525,'Lab test'!X525),NA())</f>
        <v>631.60457032490967</v>
      </c>
      <c r="I534">
        <f>IF('Lab test'!AU525&gt;0,'Lab test'!AU525,NA())</f>
        <v>1.1080000000000001</v>
      </c>
      <c r="J534">
        <f>IF('Lab test'!AT525&gt;0,'Lab test'!AT525,NA())</f>
        <v>6.9220736071402708E-2</v>
      </c>
      <c r="K534" t="e">
        <f t="shared" si="212"/>
        <v>#N/A</v>
      </c>
      <c r="L534" t="str">
        <f>'Lab test'!AC525</f>
        <v>Tubes</v>
      </c>
      <c r="X534" t="e">
        <v>#N/A</v>
      </c>
      <c r="Z534" t="e">
        <f t="shared" si="202"/>
        <v>#N/A</v>
      </c>
      <c r="AB534" t="e">
        <f t="shared" si="201"/>
        <v>#N/A</v>
      </c>
      <c r="AC534" t="e">
        <f t="shared" si="203"/>
        <v>#N/A</v>
      </c>
      <c r="AE534" t="e">
        <v>#N/A</v>
      </c>
      <c r="AF534" t="e">
        <v>#N/A</v>
      </c>
      <c r="AP534" t="e">
        <v>#N/A</v>
      </c>
      <c r="AR534" t="e">
        <f t="shared" si="204"/>
        <v>#N/A</v>
      </c>
      <c r="AT534" t="e">
        <f t="shared" si="205"/>
        <v>#N/A</v>
      </c>
      <c r="AU534" t="e">
        <f t="shared" si="206"/>
        <v>#N/A</v>
      </c>
      <c r="AW534" t="e">
        <v>#N/A</v>
      </c>
      <c r="AX534" t="e">
        <v>#N/A</v>
      </c>
      <c r="BG534" t="e">
        <v>#N/A</v>
      </c>
      <c r="BI534" t="e">
        <f t="shared" si="207"/>
        <v>#N/A</v>
      </c>
      <c r="BK534" t="e">
        <f t="shared" si="208"/>
        <v>#N/A</v>
      </c>
      <c r="BL534" t="e">
        <f t="shared" si="209"/>
        <v>#N/A</v>
      </c>
      <c r="BN534" t="e">
        <v>#N/A</v>
      </c>
      <c r="BO534" t="e">
        <v>#N/A</v>
      </c>
      <c r="BX534" t="e">
        <v>#N/A</v>
      </c>
      <c r="BZ534" t="e">
        <f t="shared" si="210"/>
        <v>#N/A</v>
      </c>
      <c r="CB534" t="e">
        <f t="shared" si="213"/>
        <v>#N/A</v>
      </c>
      <c r="CC534" t="e">
        <f t="shared" si="211"/>
        <v>#N/A</v>
      </c>
      <c r="CE534" t="e">
        <v>#N/A</v>
      </c>
      <c r="CF534" t="e">
        <v>#N/A</v>
      </c>
    </row>
    <row r="535" spans="2:84">
      <c r="B535">
        <v>523</v>
      </c>
      <c r="C535" t="e">
        <f>IF(ISNUMBER(K535),IF('Lab test'!N526&gt;0,'Lab test'!N526,NA()),NA())</f>
        <v>#N/A</v>
      </c>
      <c r="D535" t="e">
        <f>IF(ISNUMBER(K535),IF('Lab test'!Q526&gt;0,'Lab test'!Q526,NA()),NA())</f>
        <v>#N/A</v>
      </c>
      <c r="E535" t="e">
        <f>IF(ISNUMBER(K535),IF('Lab test'!P526&gt;0,'Lab test'!P526,NA()),NA())</f>
        <v>#N/A</v>
      </c>
      <c r="F535" t="e">
        <f>IF(ISNUMBER(K535),IF('Lab test'!AJ526&gt;0,'Lab test'!AJ526,NA()),NA())</f>
        <v>#N/A</v>
      </c>
      <c r="G535">
        <f>IF('Lab test'!V526&gt;0,'Lab test'!V526,NA())</f>
        <v>205463.766944</v>
      </c>
      <c r="H535">
        <f>IF(MAX('Lab test'!W526,'Lab test'!X526)&gt;0,MAX('Lab test'!W526,'Lab test'!X526),NA())</f>
        <v>651.13716733991032</v>
      </c>
      <c r="I535">
        <f>IF('Lab test'!AU526&gt;0,'Lab test'!AU526,NA())</f>
        <v>1.115</v>
      </c>
      <c r="J535">
        <f>IF('Lab test'!AT526&gt;0,'Lab test'!AT526,NA())</f>
        <v>9.9252705067417971E-2</v>
      </c>
      <c r="K535" t="e">
        <f t="shared" si="212"/>
        <v>#N/A</v>
      </c>
      <c r="L535" t="str">
        <f>'Lab test'!AC526</f>
        <v>Tubes</v>
      </c>
      <c r="X535" t="e">
        <v>#N/A</v>
      </c>
      <c r="Z535" t="e">
        <f t="shared" si="202"/>
        <v>#N/A</v>
      </c>
      <c r="AB535" t="e">
        <f t="shared" si="201"/>
        <v>#N/A</v>
      </c>
      <c r="AC535" t="e">
        <f t="shared" si="203"/>
        <v>#N/A</v>
      </c>
      <c r="AE535" t="e">
        <v>#N/A</v>
      </c>
      <c r="AF535" t="e">
        <v>#N/A</v>
      </c>
      <c r="AP535" t="e">
        <v>#N/A</v>
      </c>
      <c r="AR535" t="e">
        <f t="shared" si="204"/>
        <v>#N/A</v>
      </c>
      <c r="AT535" t="e">
        <f t="shared" si="205"/>
        <v>#N/A</v>
      </c>
      <c r="AU535" t="e">
        <f t="shared" si="206"/>
        <v>#N/A</v>
      </c>
      <c r="AW535" t="e">
        <v>#N/A</v>
      </c>
      <c r="AX535" t="e">
        <v>#N/A</v>
      </c>
      <c r="BG535" t="e">
        <v>#N/A</v>
      </c>
      <c r="BI535" t="e">
        <f t="shared" si="207"/>
        <v>#N/A</v>
      </c>
      <c r="BK535" t="e">
        <f t="shared" si="208"/>
        <v>#N/A</v>
      </c>
      <c r="BL535" t="e">
        <f t="shared" si="209"/>
        <v>#N/A</v>
      </c>
      <c r="BN535" t="e">
        <v>#N/A</v>
      </c>
      <c r="BO535" t="e">
        <v>#N/A</v>
      </c>
      <c r="BX535" t="e">
        <v>#N/A</v>
      </c>
      <c r="BZ535" t="e">
        <f t="shared" si="210"/>
        <v>#N/A</v>
      </c>
      <c r="CB535" t="e">
        <f t="shared" si="213"/>
        <v>#N/A</v>
      </c>
      <c r="CC535" t="e">
        <f t="shared" si="211"/>
        <v>#N/A</v>
      </c>
      <c r="CE535" t="e">
        <v>#N/A</v>
      </c>
      <c r="CF535" t="e">
        <v>#N/A</v>
      </c>
    </row>
    <row r="536" spans="2:84">
      <c r="B536">
        <v>524</v>
      </c>
      <c r="C536" t="e">
        <f>IF(ISNUMBER(K536),IF('Lab test'!N527&gt;0,'Lab test'!N527,NA()),NA())</f>
        <v>#N/A</v>
      </c>
      <c r="D536" t="e">
        <f>IF(ISNUMBER(K536),IF('Lab test'!Q527&gt;0,'Lab test'!Q527,NA()),NA())</f>
        <v>#N/A</v>
      </c>
      <c r="E536" t="e">
        <f>IF(ISNUMBER(K536),IF('Lab test'!P527&gt;0,'Lab test'!P527,NA()),NA())</f>
        <v>#N/A</v>
      </c>
      <c r="F536" t="e">
        <f>IF(ISNUMBER(K536),IF('Lab test'!AJ527&gt;0,'Lab test'!AJ527,NA()),NA())</f>
        <v>#N/A</v>
      </c>
      <c r="G536">
        <f>IF('Lab test'!V527&gt;0,'Lab test'!V527,NA())</f>
        <v>205463.766944</v>
      </c>
      <c r="H536">
        <f>IF(MAX('Lab test'!W527,'Lab test'!X527)&gt;0,MAX('Lab test'!W527,'Lab test'!X527),NA())</f>
        <v>650.96447112072065</v>
      </c>
      <c r="I536">
        <f>IF('Lab test'!AU527&gt;0,'Lab test'!AU527,NA())</f>
        <v>1.1100000000000001</v>
      </c>
      <c r="J536">
        <f>IF('Lab test'!AT527&gt;0,'Lab test'!AT527,NA())</f>
        <v>9.8781419668237447E-2</v>
      </c>
      <c r="K536" t="e">
        <f t="shared" si="212"/>
        <v>#N/A</v>
      </c>
      <c r="L536" t="str">
        <f>'Lab test'!AC527</f>
        <v>Tubes</v>
      </c>
      <c r="X536" t="e">
        <v>#N/A</v>
      </c>
      <c r="Z536" t="e">
        <f t="shared" si="202"/>
        <v>#N/A</v>
      </c>
      <c r="AB536" t="e">
        <f t="shared" si="201"/>
        <v>#N/A</v>
      </c>
      <c r="AC536" t="e">
        <f t="shared" si="203"/>
        <v>#N/A</v>
      </c>
      <c r="AE536" t="e">
        <v>#N/A</v>
      </c>
      <c r="AF536" t="e">
        <v>#N/A</v>
      </c>
      <c r="AP536" t="e">
        <v>#N/A</v>
      </c>
      <c r="AR536" t="e">
        <f t="shared" si="204"/>
        <v>#N/A</v>
      </c>
      <c r="AT536" t="e">
        <f t="shared" si="205"/>
        <v>#N/A</v>
      </c>
      <c r="AU536" t="e">
        <f t="shared" si="206"/>
        <v>#N/A</v>
      </c>
      <c r="AW536" t="e">
        <v>#N/A</v>
      </c>
      <c r="AX536" t="e">
        <v>#N/A</v>
      </c>
      <c r="BG536" t="e">
        <v>#N/A</v>
      </c>
      <c r="BI536" t="e">
        <f t="shared" si="207"/>
        <v>#N/A</v>
      </c>
      <c r="BK536" t="e">
        <f t="shared" si="208"/>
        <v>#N/A</v>
      </c>
      <c r="BL536" t="e">
        <f t="shared" si="209"/>
        <v>#N/A</v>
      </c>
      <c r="BN536" t="e">
        <v>#N/A</v>
      </c>
      <c r="BO536" t="e">
        <v>#N/A</v>
      </c>
      <c r="BX536" t="e">
        <v>#N/A</v>
      </c>
      <c r="BZ536" t="e">
        <f t="shared" si="210"/>
        <v>#N/A</v>
      </c>
      <c r="CB536" t="e">
        <f t="shared" si="213"/>
        <v>#N/A</v>
      </c>
      <c r="CC536" t="e">
        <f t="shared" si="211"/>
        <v>#N/A</v>
      </c>
      <c r="CE536" t="e">
        <v>#N/A</v>
      </c>
      <c r="CF536" t="e">
        <v>#N/A</v>
      </c>
    </row>
    <row r="537" spans="2:84">
      <c r="B537">
        <v>525</v>
      </c>
      <c r="C537" t="e">
        <f>IF(ISNUMBER(K537),IF('Lab test'!N528&gt;0,'Lab test'!N528,NA()),NA())</f>
        <v>#N/A</v>
      </c>
      <c r="D537" t="e">
        <f>IF(ISNUMBER(K537),IF('Lab test'!Q528&gt;0,'Lab test'!Q528,NA()),NA())</f>
        <v>#N/A</v>
      </c>
      <c r="E537" t="e">
        <f>IF(ISNUMBER(K537),IF('Lab test'!P528&gt;0,'Lab test'!P528,NA()),NA())</f>
        <v>#N/A</v>
      </c>
      <c r="F537" t="e">
        <f>IF(ISNUMBER(K537),IF('Lab test'!AJ528&gt;0,'Lab test'!AJ528,NA()),NA())</f>
        <v>#N/A</v>
      </c>
      <c r="G537">
        <f>IF('Lab test'!V528&gt;0,'Lab test'!V528,NA())</f>
        <v>205463.766944</v>
      </c>
      <c r="H537">
        <f>IF(MAX('Lab test'!W528,'Lab test'!X528)&gt;0,MAX('Lab test'!W528,'Lab test'!X528),NA())</f>
        <v>635.07792816730034</v>
      </c>
      <c r="I537">
        <f>IF('Lab test'!AU528&gt;0,'Lab test'!AU528,NA())</f>
        <v>1.052</v>
      </c>
      <c r="J537">
        <f>IF('Lab test'!AT528&gt;0,'Lab test'!AT528,NA())</f>
        <v>0.11470615330654728</v>
      </c>
      <c r="K537" t="e">
        <f t="shared" si="212"/>
        <v>#N/A</v>
      </c>
      <c r="L537" t="str">
        <f>'Lab test'!AC528</f>
        <v>Tubes</v>
      </c>
      <c r="X537" t="e">
        <v>#N/A</v>
      </c>
      <c r="Z537" t="e">
        <f t="shared" si="202"/>
        <v>#N/A</v>
      </c>
      <c r="AB537" t="e">
        <f t="shared" si="201"/>
        <v>#N/A</v>
      </c>
      <c r="AC537" t="e">
        <f t="shared" si="203"/>
        <v>#N/A</v>
      </c>
      <c r="AE537" t="e">
        <v>#N/A</v>
      </c>
      <c r="AF537" t="e">
        <v>#N/A</v>
      </c>
      <c r="AP537" t="e">
        <v>#N/A</v>
      </c>
      <c r="AR537" t="e">
        <f t="shared" si="204"/>
        <v>#N/A</v>
      </c>
      <c r="AT537" t="e">
        <f t="shared" si="205"/>
        <v>#N/A</v>
      </c>
      <c r="AU537" t="e">
        <f t="shared" si="206"/>
        <v>#N/A</v>
      </c>
      <c r="AW537" t="e">
        <v>#N/A</v>
      </c>
      <c r="AX537" t="e">
        <v>#N/A</v>
      </c>
      <c r="BG537" t="e">
        <v>#N/A</v>
      </c>
      <c r="BI537" t="e">
        <f t="shared" si="207"/>
        <v>#N/A</v>
      </c>
      <c r="BK537" t="e">
        <f t="shared" si="208"/>
        <v>#N/A</v>
      </c>
      <c r="BL537" t="e">
        <f t="shared" si="209"/>
        <v>#N/A</v>
      </c>
      <c r="BN537" t="e">
        <v>#N/A</v>
      </c>
      <c r="BO537" t="e">
        <v>#N/A</v>
      </c>
      <c r="BX537" t="e">
        <v>#N/A</v>
      </c>
      <c r="BZ537" t="e">
        <f t="shared" si="210"/>
        <v>#N/A</v>
      </c>
      <c r="CB537" t="e">
        <f t="shared" si="213"/>
        <v>#N/A</v>
      </c>
      <c r="CC537" t="e">
        <f t="shared" si="211"/>
        <v>#N/A</v>
      </c>
      <c r="CE537" t="e">
        <v>#N/A</v>
      </c>
      <c r="CF537" t="e">
        <v>#N/A</v>
      </c>
    </row>
    <row r="538" spans="2:84">
      <c r="B538">
        <v>526</v>
      </c>
      <c r="C538" t="e">
        <f>IF(ISNUMBER(K538),IF('Lab test'!N529&gt;0,'Lab test'!N529,NA()),NA())</f>
        <v>#N/A</v>
      </c>
      <c r="D538" t="e">
        <f>IF(ISNUMBER(K538),IF('Lab test'!Q529&gt;0,'Lab test'!Q529,NA()),NA())</f>
        <v>#N/A</v>
      </c>
      <c r="E538" t="e">
        <f>IF(ISNUMBER(K538),IF('Lab test'!P529&gt;0,'Lab test'!P529,NA()),NA())</f>
        <v>#N/A</v>
      </c>
      <c r="F538" t="e">
        <f>IF(ISNUMBER(K538),IF('Lab test'!AJ529&gt;0,'Lab test'!AJ529,NA()),NA())</f>
        <v>#N/A</v>
      </c>
      <c r="G538">
        <f>IF('Lab test'!V529&gt;0,'Lab test'!V529,NA())</f>
        <v>205463.766944</v>
      </c>
      <c r="H538">
        <f>IF(MAX('Lab test'!W529,'Lab test'!X529)&gt;0,MAX('Lab test'!W529,'Lab test'!X529),NA())</f>
        <v>646.54368917472118</v>
      </c>
      <c r="I538">
        <f>IF('Lab test'!AU529&gt;0,'Lab test'!AU529,NA())</f>
        <v>1.0760000000000001</v>
      </c>
      <c r="J538">
        <f>IF('Lab test'!AT529&gt;0,'Lab test'!AT529,NA())</f>
        <v>0.12643422907850727</v>
      </c>
      <c r="K538" t="e">
        <f t="shared" si="212"/>
        <v>#N/A</v>
      </c>
      <c r="L538" t="str">
        <f>'Lab test'!AC529</f>
        <v>Tubes</v>
      </c>
      <c r="X538" t="e">
        <v>#N/A</v>
      </c>
      <c r="Z538" t="e">
        <f t="shared" si="202"/>
        <v>#N/A</v>
      </c>
      <c r="AB538" t="e">
        <f t="shared" si="201"/>
        <v>#N/A</v>
      </c>
      <c r="AC538" t="e">
        <f t="shared" si="203"/>
        <v>#N/A</v>
      </c>
      <c r="AE538" t="e">
        <v>#N/A</v>
      </c>
      <c r="AF538" t="e">
        <v>#N/A</v>
      </c>
      <c r="AP538" t="e">
        <v>#N/A</v>
      </c>
      <c r="AR538" t="e">
        <f t="shared" si="204"/>
        <v>#N/A</v>
      </c>
      <c r="AT538" t="e">
        <f t="shared" si="205"/>
        <v>#N/A</v>
      </c>
      <c r="AU538" t="e">
        <f t="shared" si="206"/>
        <v>#N/A</v>
      </c>
      <c r="AW538" t="e">
        <v>#N/A</v>
      </c>
      <c r="AX538" t="e">
        <v>#N/A</v>
      </c>
      <c r="BG538" t="e">
        <v>#N/A</v>
      </c>
      <c r="BI538" t="e">
        <f t="shared" si="207"/>
        <v>#N/A</v>
      </c>
      <c r="BK538" t="e">
        <f t="shared" si="208"/>
        <v>#N/A</v>
      </c>
      <c r="BL538" t="e">
        <f t="shared" si="209"/>
        <v>#N/A</v>
      </c>
      <c r="BN538" t="e">
        <v>#N/A</v>
      </c>
      <c r="BO538" t="e">
        <v>#N/A</v>
      </c>
      <c r="BX538" t="e">
        <v>#N/A</v>
      </c>
      <c r="BZ538" t="e">
        <f t="shared" si="210"/>
        <v>#N/A</v>
      </c>
      <c r="CB538" t="e">
        <f t="shared" si="213"/>
        <v>#N/A</v>
      </c>
      <c r="CC538" t="e">
        <f t="shared" si="211"/>
        <v>#N/A</v>
      </c>
      <c r="CE538" t="e">
        <v>#N/A</v>
      </c>
      <c r="CF538" t="e">
        <v>#N/A</v>
      </c>
    </row>
    <row r="539" spans="2:84">
      <c r="B539">
        <v>527</v>
      </c>
      <c r="C539" t="e">
        <f>IF(ISNUMBER(K539),IF('Lab test'!N530&gt;0,'Lab test'!N530,NA()),NA())</f>
        <v>#N/A</v>
      </c>
      <c r="D539" t="e">
        <f>IF(ISNUMBER(K539),IF('Lab test'!Q530&gt;0,'Lab test'!Q530,NA()),NA())</f>
        <v>#N/A</v>
      </c>
      <c r="E539" t="e">
        <f>IF(ISNUMBER(K539),IF('Lab test'!P530&gt;0,'Lab test'!P530,NA()),NA())</f>
        <v>#N/A</v>
      </c>
      <c r="F539" t="e">
        <f>IF(ISNUMBER(K539),IF('Lab test'!AJ530&gt;0,'Lab test'!AJ530,NA()),NA())</f>
        <v>#N/A</v>
      </c>
      <c r="G539">
        <f>IF('Lab test'!V530&gt;0,'Lab test'!V530,NA())</f>
        <v>205463.766944</v>
      </c>
      <c r="H539">
        <f>IF(MAX('Lab test'!W530,'Lab test'!X530)&gt;0,MAX('Lab test'!W530,'Lab test'!X530),NA())</f>
        <v>646.90753525163711</v>
      </c>
      <c r="I539">
        <f>IF('Lab test'!AU530&gt;0,'Lab test'!AU530,NA())</f>
        <v>1.069</v>
      </c>
      <c r="J539">
        <f>IF('Lab test'!AT530&gt;0,'Lab test'!AT530,NA())</f>
        <v>0.12568239025346165</v>
      </c>
      <c r="K539" t="e">
        <f t="shared" si="212"/>
        <v>#N/A</v>
      </c>
      <c r="L539" t="str">
        <f>'Lab test'!AC530</f>
        <v>Tubes</v>
      </c>
      <c r="X539" t="e">
        <v>#N/A</v>
      </c>
      <c r="Z539" t="e">
        <f t="shared" si="202"/>
        <v>#N/A</v>
      </c>
      <c r="AB539" t="e">
        <f t="shared" si="201"/>
        <v>#N/A</v>
      </c>
      <c r="AC539" t="e">
        <f t="shared" si="203"/>
        <v>#N/A</v>
      </c>
      <c r="AE539" t="e">
        <v>#N/A</v>
      </c>
      <c r="AF539" t="e">
        <v>#N/A</v>
      </c>
      <c r="AP539" t="e">
        <v>#N/A</v>
      </c>
      <c r="AR539" t="e">
        <f t="shared" si="204"/>
        <v>#N/A</v>
      </c>
      <c r="AT539" t="e">
        <f t="shared" si="205"/>
        <v>#N/A</v>
      </c>
      <c r="AU539" t="e">
        <f t="shared" si="206"/>
        <v>#N/A</v>
      </c>
      <c r="AW539" t="e">
        <v>#N/A</v>
      </c>
      <c r="AX539" t="e">
        <v>#N/A</v>
      </c>
      <c r="BG539" t="e">
        <v>#N/A</v>
      </c>
      <c r="BI539" t="e">
        <f t="shared" si="207"/>
        <v>#N/A</v>
      </c>
      <c r="BK539" t="e">
        <f t="shared" si="208"/>
        <v>#N/A</v>
      </c>
      <c r="BL539" t="e">
        <f t="shared" si="209"/>
        <v>#N/A</v>
      </c>
      <c r="BN539" t="e">
        <v>#N/A</v>
      </c>
      <c r="BO539" t="e">
        <v>#N/A</v>
      </c>
      <c r="BX539" t="e">
        <v>#N/A</v>
      </c>
      <c r="BZ539" t="e">
        <f t="shared" si="210"/>
        <v>#N/A</v>
      </c>
      <c r="CB539" t="e">
        <f t="shared" si="213"/>
        <v>#N/A</v>
      </c>
      <c r="CC539" t="e">
        <f t="shared" si="211"/>
        <v>#N/A</v>
      </c>
      <c r="CE539" t="e">
        <v>#N/A</v>
      </c>
      <c r="CF539" t="e">
        <v>#N/A</v>
      </c>
    </row>
    <row r="540" spans="2:84">
      <c r="B540">
        <v>528</v>
      </c>
      <c r="C540" t="e">
        <f>IF(ISNUMBER(K540),IF('Lab test'!N531&gt;0,'Lab test'!N531,NA()),NA())</f>
        <v>#N/A</v>
      </c>
      <c r="D540" t="e">
        <f>IF(ISNUMBER(K540),IF('Lab test'!Q531&gt;0,'Lab test'!Q531,NA()),NA())</f>
        <v>#N/A</v>
      </c>
      <c r="E540" t="e">
        <f>IF(ISNUMBER(K540),IF('Lab test'!P531&gt;0,'Lab test'!P531,NA()),NA())</f>
        <v>#N/A</v>
      </c>
      <c r="F540" t="e">
        <f>IF(ISNUMBER(K540),IF('Lab test'!AJ531&gt;0,'Lab test'!AJ531,NA()),NA())</f>
        <v>#N/A</v>
      </c>
      <c r="G540">
        <f>IF('Lab test'!V531&gt;0,'Lab test'!V531,NA())</f>
        <v>205463.766944</v>
      </c>
      <c r="H540">
        <f>IF(MAX('Lab test'!W531,'Lab test'!X531)&gt;0,MAX('Lab test'!W531,'Lab test'!X531),NA())</f>
        <v>594.74893514425912</v>
      </c>
      <c r="I540">
        <f>IF('Lab test'!AU531&gt;0,'Lab test'!AU531,NA())</f>
        <v>1.0189999999999999</v>
      </c>
      <c r="J540">
        <f>IF('Lab test'!AT531&gt;0,'Lab test'!AT531,NA())</f>
        <v>0.1284205584227005</v>
      </c>
      <c r="K540" t="e">
        <f t="shared" si="212"/>
        <v>#N/A</v>
      </c>
      <c r="L540" t="str">
        <f>'Lab test'!AC531</f>
        <v>Tubes</v>
      </c>
      <c r="X540" t="e">
        <v>#N/A</v>
      </c>
      <c r="Z540" t="e">
        <f t="shared" si="202"/>
        <v>#N/A</v>
      </c>
      <c r="AB540" t="e">
        <f t="shared" si="201"/>
        <v>#N/A</v>
      </c>
      <c r="AC540" t="e">
        <f t="shared" si="203"/>
        <v>#N/A</v>
      </c>
      <c r="AE540" t="e">
        <v>#N/A</v>
      </c>
      <c r="AF540" t="e">
        <v>#N/A</v>
      </c>
      <c r="AP540" t="e">
        <v>#N/A</v>
      </c>
      <c r="AR540" t="e">
        <f t="shared" si="204"/>
        <v>#N/A</v>
      </c>
      <c r="AT540" t="e">
        <f t="shared" si="205"/>
        <v>#N/A</v>
      </c>
      <c r="AU540" t="e">
        <f t="shared" si="206"/>
        <v>#N/A</v>
      </c>
      <c r="AW540" t="e">
        <v>#N/A</v>
      </c>
      <c r="AX540" t="e">
        <v>#N/A</v>
      </c>
      <c r="BG540" t="e">
        <v>#N/A</v>
      </c>
      <c r="BI540" t="e">
        <f t="shared" si="207"/>
        <v>#N/A</v>
      </c>
      <c r="BK540" t="e">
        <f t="shared" si="208"/>
        <v>#N/A</v>
      </c>
      <c r="BL540" t="e">
        <f t="shared" si="209"/>
        <v>#N/A</v>
      </c>
      <c r="BN540" t="e">
        <v>#N/A</v>
      </c>
      <c r="BO540" t="e">
        <v>#N/A</v>
      </c>
      <c r="BX540" t="e">
        <v>#N/A</v>
      </c>
      <c r="BZ540" t="e">
        <f t="shared" si="210"/>
        <v>#N/A</v>
      </c>
      <c r="CB540" t="e">
        <f t="shared" si="213"/>
        <v>#N/A</v>
      </c>
      <c r="CC540" t="e">
        <f t="shared" si="211"/>
        <v>#N/A</v>
      </c>
      <c r="CE540" t="e">
        <v>#N/A</v>
      </c>
      <c r="CF540" t="e">
        <v>#N/A</v>
      </c>
    </row>
    <row r="541" spans="2:84">
      <c r="B541">
        <v>529</v>
      </c>
      <c r="C541" t="e">
        <f>IF(ISNUMBER(K541),IF('Lab test'!N532&gt;0,'Lab test'!N532,NA()),NA())</f>
        <v>#N/A</v>
      </c>
      <c r="D541" t="e">
        <f>IF(ISNUMBER(K541),IF('Lab test'!Q532&gt;0,'Lab test'!Q532,NA()),NA())</f>
        <v>#N/A</v>
      </c>
      <c r="E541" t="e">
        <f>IF(ISNUMBER(K541),IF('Lab test'!P532&gt;0,'Lab test'!P532,NA()),NA())</f>
        <v>#N/A</v>
      </c>
      <c r="F541" t="e">
        <f>IF(ISNUMBER(K541),IF('Lab test'!AJ532&gt;0,'Lab test'!AJ532,NA()),NA())</f>
        <v>#N/A</v>
      </c>
      <c r="G541">
        <f>IF('Lab test'!V532&gt;0,'Lab test'!V532,NA())</f>
        <v>205463.766944</v>
      </c>
      <c r="H541">
        <f>IF(MAX('Lab test'!W532,'Lab test'!X532)&gt;0,MAX('Lab test'!W532,'Lab test'!X532),NA())</f>
        <v>636.64752880157164</v>
      </c>
      <c r="I541">
        <f>IF('Lab test'!AU532&gt;0,'Lab test'!AU532,NA())</f>
        <v>1.018</v>
      </c>
      <c r="J541">
        <f>IF('Lab test'!AT532&gt;0,'Lab test'!AT532,NA())</f>
        <v>0.14098086876427218</v>
      </c>
      <c r="K541" t="e">
        <f t="shared" si="212"/>
        <v>#N/A</v>
      </c>
      <c r="L541" t="str">
        <f>'Lab test'!AC532</f>
        <v>Tubes</v>
      </c>
      <c r="X541" t="e">
        <v>#N/A</v>
      </c>
      <c r="Z541" t="e">
        <f t="shared" si="202"/>
        <v>#N/A</v>
      </c>
      <c r="AB541" t="e">
        <f t="shared" si="201"/>
        <v>#N/A</v>
      </c>
      <c r="AC541" t="e">
        <f t="shared" si="203"/>
        <v>#N/A</v>
      </c>
      <c r="AE541" t="e">
        <v>#N/A</v>
      </c>
      <c r="AF541" t="e">
        <v>#N/A</v>
      </c>
      <c r="AP541" t="e">
        <v>#N/A</v>
      </c>
      <c r="AR541" t="e">
        <f t="shared" si="204"/>
        <v>#N/A</v>
      </c>
      <c r="AT541" t="e">
        <f t="shared" si="205"/>
        <v>#N/A</v>
      </c>
      <c r="AU541" t="e">
        <f t="shared" si="206"/>
        <v>#N/A</v>
      </c>
      <c r="AW541" t="e">
        <v>#N/A</v>
      </c>
      <c r="AX541" t="e">
        <v>#N/A</v>
      </c>
      <c r="BG541" t="e">
        <v>#N/A</v>
      </c>
      <c r="BI541" t="e">
        <f t="shared" si="207"/>
        <v>#N/A</v>
      </c>
      <c r="BK541" t="e">
        <f t="shared" si="208"/>
        <v>#N/A</v>
      </c>
      <c r="BL541" t="e">
        <f t="shared" si="209"/>
        <v>#N/A</v>
      </c>
      <c r="BN541" t="e">
        <v>#N/A</v>
      </c>
      <c r="BO541" t="e">
        <v>#N/A</v>
      </c>
      <c r="BX541" t="e">
        <v>#N/A</v>
      </c>
      <c r="BZ541" t="e">
        <f t="shared" si="210"/>
        <v>#N/A</v>
      </c>
      <c r="CB541" t="e">
        <f t="shared" si="213"/>
        <v>#N/A</v>
      </c>
      <c r="CC541" t="e">
        <f t="shared" si="211"/>
        <v>#N/A</v>
      </c>
      <c r="CE541" t="e">
        <v>#N/A</v>
      </c>
      <c r="CF541" t="e">
        <v>#N/A</v>
      </c>
    </row>
    <row r="542" spans="2:84">
      <c r="B542">
        <v>530</v>
      </c>
      <c r="C542" t="e">
        <f>IF(ISNUMBER(K542),IF('Lab test'!N533&gt;0,'Lab test'!N533,NA()),NA())</f>
        <v>#N/A</v>
      </c>
      <c r="D542" t="e">
        <f>IF(ISNUMBER(K542),IF('Lab test'!Q533&gt;0,'Lab test'!Q533,NA()),NA())</f>
        <v>#N/A</v>
      </c>
      <c r="E542" t="e">
        <f>IF(ISNUMBER(K542),IF('Lab test'!P533&gt;0,'Lab test'!P533,NA()),NA())</f>
        <v>#N/A</v>
      </c>
      <c r="F542" t="e">
        <f>IF(ISNUMBER(K542),IF('Lab test'!AJ533&gt;0,'Lab test'!AJ533,NA()),NA())</f>
        <v>#N/A</v>
      </c>
      <c r="G542">
        <f>IF('Lab test'!V533&gt;0,'Lab test'!V533,NA())</f>
        <v>205463.766944</v>
      </c>
      <c r="H542">
        <f>IF(MAX('Lab test'!W533,'Lab test'!X533)&gt;0,MAX('Lab test'!W533,'Lab test'!X533),NA())</f>
        <v>643.51067946666672</v>
      </c>
      <c r="I542">
        <f>IF('Lab test'!AU533&gt;0,'Lab test'!AU533,NA())</f>
        <v>0.94499999999999995</v>
      </c>
      <c r="J542">
        <f>IF('Lab test'!AT533&gt;0,'Lab test'!AT533,NA())</f>
        <v>0.1386394120104612</v>
      </c>
      <c r="K542" t="e">
        <f t="shared" si="212"/>
        <v>#N/A</v>
      </c>
      <c r="L542" t="str">
        <f>'Lab test'!AC533</f>
        <v>Tubes</v>
      </c>
      <c r="X542" t="e">
        <v>#N/A</v>
      </c>
      <c r="Z542" t="e">
        <f t="shared" si="202"/>
        <v>#N/A</v>
      </c>
      <c r="AB542" t="e">
        <f t="shared" si="201"/>
        <v>#N/A</v>
      </c>
      <c r="AC542" t="e">
        <f t="shared" si="203"/>
        <v>#N/A</v>
      </c>
      <c r="AE542" t="e">
        <v>#N/A</v>
      </c>
      <c r="AF542" t="e">
        <v>#N/A</v>
      </c>
      <c r="AP542" t="e">
        <v>#N/A</v>
      </c>
      <c r="AR542" t="e">
        <f t="shared" si="204"/>
        <v>#N/A</v>
      </c>
      <c r="AT542" t="e">
        <f t="shared" si="205"/>
        <v>#N/A</v>
      </c>
      <c r="AU542" t="e">
        <f t="shared" si="206"/>
        <v>#N/A</v>
      </c>
      <c r="AW542" t="e">
        <v>#N/A</v>
      </c>
      <c r="AX542" t="e">
        <v>#N/A</v>
      </c>
      <c r="BG542" t="e">
        <v>#N/A</v>
      </c>
      <c r="BI542" t="e">
        <f t="shared" si="207"/>
        <v>#N/A</v>
      </c>
      <c r="BK542" t="e">
        <f t="shared" si="208"/>
        <v>#N/A</v>
      </c>
      <c r="BL542" t="e">
        <f t="shared" si="209"/>
        <v>#N/A</v>
      </c>
      <c r="BN542" t="e">
        <v>#N/A</v>
      </c>
      <c r="BO542" t="e">
        <v>#N/A</v>
      </c>
      <c r="BX542" t="e">
        <v>#N/A</v>
      </c>
      <c r="BZ542" t="e">
        <f t="shared" si="210"/>
        <v>#N/A</v>
      </c>
      <c r="CB542" t="e">
        <f t="shared" si="213"/>
        <v>#N/A</v>
      </c>
      <c r="CC542" t="e">
        <f t="shared" si="211"/>
        <v>#N/A</v>
      </c>
      <c r="CE542" t="e">
        <v>#N/A</v>
      </c>
      <c r="CF542" t="e">
        <v>#N/A</v>
      </c>
    </row>
    <row r="543" spans="2:84">
      <c r="B543">
        <v>531</v>
      </c>
      <c r="C543" t="e">
        <f>IF(ISNUMBER(K543),IF('Lab test'!N534&gt;0,'Lab test'!N534,NA()),NA())</f>
        <v>#N/A</v>
      </c>
      <c r="D543" t="e">
        <f>IF(ISNUMBER(K543),IF('Lab test'!Q534&gt;0,'Lab test'!Q534,NA()),NA())</f>
        <v>#N/A</v>
      </c>
      <c r="E543" t="e">
        <f>IF(ISNUMBER(K543),IF('Lab test'!P534&gt;0,'Lab test'!P534,NA()),NA())</f>
        <v>#N/A</v>
      </c>
      <c r="F543" t="e">
        <f>IF(ISNUMBER(K543),IF('Lab test'!AJ534&gt;0,'Lab test'!AJ534,NA()),NA())</f>
        <v>#N/A</v>
      </c>
      <c r="G543">
        <f>IF('Lab test'!V534&gt;0,'Lab test'!V534,NA())</f>
        <v>205463.766944</v>
      </c>
      <c r="H543">
        <f>IF(MAX('Lab test'!W534,'Lab test'!X534)&gt;0,MAX('Lab test'!W534,'Lab test'!X534),NA())</f>
        <v>643.46274928050059</v>
      </c>
      <c r="I543">
        <f>IF('Lab test'!AU534&gt;0,'Lab test'!AU534,NA())</f>
        <v>0.95899999999999996</v>
      </c>
      <c r="J543">
        <f>IF('Lab test'!AT534&gt;0,'Lab test'!AT534,NA())</f>
        <v>0.1411790858586334</v>
      </c>
      <c r="K543" t="e">
        <f t="shared" si="212"/>
        <v>#N/A</v>
      </c>
      <c r="L543" t="str">
        <f>'Lab test'!AC534</f>
        <v>Tubes</v>
      </c>
      <c r="X543" t="e">
        <v>#N/A</v>
      </c>
      <c r="Z543" t="e">
        <f t="shared" si="202"/>
        <v>#N/A</v>
      </c>
      <c r="AB543" t="e">
        <f t="shared" si="201"/>
        <v>#N/A</v>
      </c>
      <c r="AC543" t="e">
        <f t="shared" si="203"/>
        <v>#N/A</v>
      </c>
      <c r="AE543" t="e">
        <v>#N/A</v>
      </c>
      <c r="AF543" t="e">
        <v>#N/A</v>
      </c>
      <c r="AP543" t="e">
        <v>#N/A</v>
      </c>
      <c r="AR543" t="e">
        <f t="shared" si="204"/>
        <v>#N/A</v>
      </c>
      <c r="AT543" t="e">
        <f t="shared" si="205"/>
        <v>#N/A</v>
      </c>
      <c r="AU543" t="e">
        <f t="shared" si="206"/>
        <v>#N/A</v>
      </c>
      <c r="AW543" t="e">
        <v>#N/A</v>
      </c>
      <c r="AX543" t="e">
        <v>#N/A</v>
      </c>
      <c r="BG543" t="e">
        <v>#N/A</v>
      </c>
      <c r="BI543" t="e">
        <f t="shared" si="207"/>
        <v>#N/A</v>
      </c>
      <c r="BK543" t="e">
        <f t="shared" si="208"/>
        <v>#N/A</v>
      </c>
      <c r="BL543" t="e">
        <f t="shared" si="209"/>
        <v>#N/A</v>
      </c>
      <c r="BN543" t="e">
        <v>#N/A</v>
      </c>
      <c r="BO543" t="e">
        <v>#N/A</v>
      </c>
      <c r="BX543" t="e">
        <v>#N/A</v>
      </c>
      <c r="BZ543" t="e">
        <f t="shared" si="210"/>
        <v>#N/A</v>
      </c>
      <c r="CB543" t="e">
        <f t="shared" si="213"/>
        <v>#N/A</v>
      </c>
      <c r="CC543" t="e">
        <f t="shared" si="211"/>
        <v>#N/A</v>
      </c>
      <c r="CE543" t="e">
        <v>#N/A</v>
      </c>
      <c r="CF543" t="e">
        <v>#N/A</v>
      </c>
    </row>
    <row r="544" spans="2:84">
      <c r="B544">
        <v>532</v>
      </c>
      <c r="C544" t="e">
        <f>IF(ISNUMBER(K544),IF('Lab test'!N535&gt;0,'Lab test'!N535,NA()),NA())</f>
        <v>#N/A</v>
      </c>
      <c r="D544" t="e">
        <f>IF(ISNUMBER(K544),IF('Lab test'!Q535&gt;0,'Lab test'!Q535,NA()),NA())</f>
        <v>#N/A</v>
      </c>
      <c r="E544" t="e">
        <f>IF(ISNUMBER(K544),IF('Lab test'!P535&gt;0,'Lab test'!P535,NA()),NA())</f>
        <v>#N/A</v>
      </c>
      <c r="F544" t="e">
        <f>IF(ISNUMBER(K544),IF('Lab test'!AJ535&gt;0,'Lab test'!AJ535,NA()),NA())</f>
        <v>#N/A</v>
      </c>
      <c r="G544">
        <f>IF('Lab test'!V535&gt;0,'Lab test'!V535,NA())</f>
        <v>205463.766944</v>
      </c>
      <c r="H544">
        <f>IF(MAX('Lab test'!W535,'Lab test'!X535)&gt;0,MAX('Lab test'!W535,'Lab test'!X535),NA())</f>
        <v>666.88191450317129</v>
      </c>
      <c r="I544">
        <f>IF('Lab test'!AU535&gt;0,'Lab test'!AU535,NA())</f>
        <v>0.94599999999999995</v>
      </c>
      <c r="J544">
        <f>IF('Lab test'!AT535&gt;0,'Lab test'!AT535,NA())</f>
        <v>0.15676338510271168</v>
      </c>
      <c r="K544" t="e">
        <f t="shared" si="212"/>
        <v>#N/A</v>
      </c>
      <c r="L544" t="str">
        <f>'Lab test'!AC535</f>
        <v>Tubes</v>
      </c>
      <c r="X544" t="e">
        <v>#N/A</v>
      </c>
      <c r="Z544" t="e">
        <f t="shared" si="202"/>
        <v>#N/A</v>
      </c>
      <c r="AB544" t="e">
        <f t="shared" si="201"/>
        <v>#N/A</v>
      </c>
      <c r="AC544" t="e">
        <f t="shared" si="203"/>
        <v>#N/A</v>
      </c>
      <c r="AE544" t="e">
        <v>#N/A</v>
      </c>
      <c r="AF544" t="e">
        <v>#N/A</v>
      </c>
      <c r="AP544" t="e">
        <v>#N/A</v>
      </c>
      <c r="AR544" t="e">
        <f t="shared" si="204"/>
        <v>#N/A</v>
      </c>
      <c r="AT544" t="e">
        <f t="shared" si="205"/>
        <v>#N/A</v>
      </c>
      <c r="AU544" t="e">
        <f t="shared" si="206"/>
        <v>#N/A</v>
      </c>
      <c r="AW544" t="e">
        <v>#N/A</v>
      </c>
      <c r="AX544" t="e">
        <v>#N/A</v>
      </c>
      <c r="BG544" t="e">
        <v>#N/A</v>
      </c>
      <c r="BI544" t="e">
        <f t="shared" si="207"/>
        <v>#N/A</v>
      </c>
      <c r="BK544" t="e">
        <f t="shared" si="208"/>
        <v>#N/A</v>
      </c>
      <c r="BL544" t="e">
        <f t="shared" si="209"/>
        <v>#N/A</v>
      </c>
      <c r="BN544" t="e">
        <v>#N/A</v>
      </c>
      <c r="BO544" t="e">
        <v>#N/A</v>
      </c>
      <c r="BX544" t="e">
        <v>#N/A</v>
      </c>
      <c r="BZ544" t="e">
        <f t="shared" si="210"/>
        <v>#N/A</v>
      </c>
      <c r="CB544" t="e">
        <f t="shared" si="213"/>
        <v>#N/A</v>
      </c>
      <c r="CC544" t="e">
        <f t="shared" si="211"/>
        <v>#N/A</v>
      </c>
      <c r="CE544" t="e">
        <v>#N/A</v>
      </c>
      <c r="CF544" t="e">
        <v>#N/A</v>
      </c>
    </row>
    <row r="545" spans="2:84">
      <c r="B545">
        <v>533</v>
      </c>
      <c r="C545" t="e">
        <f>IF(ISNUMBER(K545),IF('Lab test'!N536&gt;0,'Lab test'!N536,NA()),NA())</f>
        <v>#N/A</v>
      </c>
      <c r="D545" t="e">
        <f>IF(ISNUMBER(K545),IF('Lab test'!Q536&gt;0,'Lab test'!Q536,NA()),NA())</f>
        <v>#N/A</v>
      </c>
      <c r="E545" t="e">
        <f>IF(ISNUMBER(K545),IF('Lab test'!P536&gt;0,'Lab test'!P536,NA()),NA())</f>
        <v>#N/A</v>
      </c>
      <c r="F545" t="e">
        <f>IF(ISNUMBER(K545),IF('Lab test'!AJ536&gt;0,'Lab test'!AJ536,NA()),NA())</f>
        <v>#N/A</v>
      </c>
      <c r="G545">
        <f>IF('Lab test'!V536&gt;0,'Lab test'!V536,NA())</f>
        <v>205463.766944</v>
      </c>
      <c r="H545">
        <f>IF(MAX('Lab test'!W536,'Lab test'!X536)&gt;0,MAX('Lab test'!W536,'Lab test'!X536),NA())</f>
        <v>655.64104123882225</v>
      </c>
      <c r="I545">
        <f>IF('Lab test'!AU536&gt;0,'Lab test'!AU536,NA())</f>
        <v>0.91700000000000004</v>
      </c>
      <c r="J545">
        <f>IF('Lab test'!AT536&gt;0,'Lab test'!AT536,NA())</f>
        <v>0.14939636263340392</v>
      </c>
      <c r="K545" t="e">
        <f t="shared" si="212"/>
        <v>#N/A</v>
      </c>
      <c r="L545" t="str">
        <f>'Lab test'!AC536</f>
        <v>Tubes</v>
      </c>
      <c r="X545" t="e">
        <v>#N/A</v>
      </c>
      <c r="Z545" t="e">
        <f t="shared" si="202"/>
        <v>#N/A</v>
      </c>
      <c r="AB545" t="e">
        <f t="shared" si="201"/>
        <v>#N/A</v>
      </c>
      <c r="AC545" t="e">
        <f t="shared" si="203"/>
        <v>#N/A</v>
      </c>
      <c r="AE545" t="e">
        <v>#N/A</v>
      </c>
      <c r="AF545" t="e">
        <v>#N/A</v>
      </c>
      <c r="AP545" t="e">
        <v>#N/A</v>
      </c>
      <c r="AR545" t="e">
        <f t="shared" si="204"/>
        <v>#N/A</v>
      </c>
      <c r="AT545" t="e">
        <f t="shared" si="205"/>
        <v>#N/A</v>
      </c>
      <c r="AU545" t="e">
        <f t="shared" si="206"/>
        <v>#N/A</v>
      </c>
      <c r="AW545" t="e">
        <v>#N/A</v>
      </c>
      <c r="AX545" t="e">
        <v>#N/A</v>
      </c>
      <c r="BG545" t="e">
        <v>#N/A</v>
      </c>
      <c r="BI545" t="e">
        <f t="shared" si="207"/>
        <v>#N/A</v>
      </c>
      <c r="BK545" t="e">
        <f t="shared" si="208"/>
        <v>#N/A</v>
      </c>
      <c r="BL545" t="e">
        <f t="shared" si="209"/>
        <v>#N/A</v>
      </c>
      <c r="BN545" t="e">
        <v>#N/A</v>
      </c>
      <c r="BO545" t="e">
        <v>#N/A</v>
      </c>
      <c r="BX545" t="e">
        <v>#N/A</v>
      </c>
      <c r="BZ545" t="e">
        <f t="shared" si="210"/>
        <v>#N/A</v>
      </c>
      <c r="CB545" t="e">
        <f t="shared" si="213"/>
        <v>#N/A</v>
      </c>
      <c r="CC545" t="e">
        <f t="shared" si="211"/>
        <v>#N/A</v>
      </c>
      <c r="CE545" t="e">
        <v>#N/A</v>
      </c>
      <c r="CF545" t="e">
        <v>#N/A</v>
      </c>
    </row>
    <row r="546" spans="2:84">
      <c r="B546">
        <v>534</v>
      </c>
      <c r="C546" t="e">
        <f>IF(ISNUMBER(K546),IF('Lab test'!N537&gt;0,'Lab test'!N537,NA()),NA())</f>
        <v>#N/A</v>
      </c>
      <c r="D546" t="e">
        <f>IF(ISNUMBER(K546),IF('Lab test'!Q537&gt;0,'Lab test'!Q537,NA()),NA())</f>
        <v>#N/A</v>
      </c>
      <c r="E546" t="e">
        <f>IF(ISNUMBER(K546),IF('Lab test'!P537&gt;0,'Lab test'!P537,NA()),NA())</f>
        <v>#N/A</v>
      </c>
      <c r="F546" t="e">
        <f>IF(ISNUMBER(K546),IF('Lab test'!AJ537&gt;0,'Lab test'!AJ537,NA()),NA())</f>
        <v>#N/A</v>
      </c>
      <c r="G546">
        <f>IF('Lab test'!V537&gt;0,'Lab test'!V537,NA())</f>
        <v>205463.766944</v>
      </c>
      <c r="H546">
        <f>IF(MAX('Lab test'!W537,'Lab test'!X537)&gt;0,MAX('Lab test'!W537,'Lab test'!X537),NA())</f>
        <v>461.31991808878126</v>
      </c>
      <c r="I546">
        <f>IF('Lab test'!AU537&gt;0,'Lab test'!AU537,NA())</f>
        <v>1.2390000000000001</v>
      </c>
      <c r="J546">
        <f>IF('Lab test'!AT537&gt;0,'Lab test'!AT537,NA())</f>
        <v>0.18017961600105406</v>
      </c>
      <c r="K546" t="e">
        <f t="shared" si="212"/>
        <v>#N/A</v>
      </c>
      <c r="L546" t="str">
        <f>'Lab test'!AC537</f>
        <v>Tubes</v>
      </c>
      <c r="X546" t="e">
        <v>#N/A</v>
      </c>
      <c r="Z546" t="e">
        <f t="shared" si="202"/>
        <v>#N/A</v>
      </c>
      <c r="AB546" t="e">
        <f t="shared" si="201"/>
        <v>#N/A</v>
      </c>
      <c r="AC546" t="e">
        <f t="shared" si="203"/>
        <v>#N/A</v>
      </c>
      <c r="AE546" t="e">
        <v>#N/A</v>
      </c>
      <c r="AF546" t="e">
        <v>#N/A</v>
      </c>
      <c r="AP546" t="e">
        <v>#N/A</v>
      </c>
      <c r="AR546" t="e">
        <f t="shared" si="204"/>
        <v>#N/A</v>
      </c>
      <c r="AT546" t="e">
        <f t="shared" si="205"/>
        <v>#N/A</v>
      </c>
      <c r="AU546" t="e">
        <f t="shared" si="206"/>
        <v>#N/A</v>
      </c>
      <c r="AW546" t="e">
        <v>#N/A</v>
      </c>
      <c r="AX546" t="e">
        <v>#N/A</v>
      </c>
      <c r="BG546" t="e">
        <v>#N/A</v>
      </c>
      <c r="BI546" t="e">
        <f t="shared" si="207"/>
        <v>#N/A</v>
      </c>
      <c r="BK546" t="e">
        <f t="shared" si="208"/>
        <v>#N/A</v>
      </c>
      <c r="BL546" t="e">
        <f t="shared" si="209"/>
        <v>#N/A</v>
      </c>
      <c r="BN546" t="e">
        <v>#N/A</v>
      </c>
      <c r="BO546" t="e">
        <v>#N/A</v>
      </c>
      <c r="BX546" t="e">
        <v>#N/A</v>
      </c>
      <c r="BZ546" t="e">
        <f t="shared" si="210"/>
        <v>#N/A</v>
      </c>
      <c r="CB546" t="e">
        <f t="shared" si="213"/>
        <v>#N/A</v>
      </c>
      <c r="CC546" t="e">
        <f t="shared" si="211"/>
        <v>#N/A</v>
      </c>
      <c r="CE546" t="e">
        <v>#N/A</v>
      </c>
      <c r="CF546" t="e">
        <v>#N/A</v>
      </c>
    </row>
    <row r="547" spans="2:84">
      <c r="B547">
        <v>535</v>
      </c>
      <c r="C547" t="e">
        <f>IF(ISNUMBER(K547),IF('Lab test'!N538&gt;0,'Lab test'!N538,NA()),NA())</f>
        <v>#N/A</v>
      </c>
      <c r="D547" t="e">
        <f>IF(ISNUMBER(K547),IF('Lab test'!Q538&gt;0,'Lab test'!Q538,NA()),NA())</f>
        <v>#N/A</v>
      </c>
      <c r="E547" t="e">
        <f>IF(ISNUMBER(K547),IF('Lab test'!P538&gt;0,'Lab test'!P538,NA()),NA())</f>
        <v>#N/A</v>
      </c>
      <c r="F547" t="e">
        <f>IF(ISNUMBER(K547),IF('Lab test'!AJ538&gt;0,'Lab test'!AJ538,NA()),NA())</f>
        <v>#N/A</v>
      </c>
      <c r="G547">
        <f>IF('Lab test'!V538&gt;0,'Lab test'!V538,NA())</f>
        <v>205463.766944</v>
      </c>
      <c r="H547">
        <f>IF(MAX('Lab test'!W538,'Lab test'!X538)&gt;0,MAX('Lab test'!W538,'Lab test'!X538),NA())</f>
        <v>461.5129265218801</v>
      </c>
      <c r="I547">
        <f>IF('Lab test'!AU538&gt;0,'Lab test'!AU538,NA())</f>
        <v>1.234</v>
      </c>
      <c r="J547">
        <f>IF('Lab test'!AT538&gt;0,'Lab test'!AT538,NA())</f>
        <v>0.18113050360057709</v>
      </c>
      <c r="K547" t="e">
        <f t="shared" si="212"/>
        <v>#N/A</v>
      </c>
      <c r="L547" t="str">
        <f>'Lab test'!AC538</f>
        <v>Tubes</v>
      </c>
      <c r="X547" t="e">
        <v>#N/A</v>
      </c>
      <c r="Z547" t="e">
        <f t="shared" si="202"/>
        <v>#N/A</v>
      </c>
      <c r="AB547" t="e">
        <f t="shared" si="201"/>
        <v>#N/A</v>
      </c>
      <c r="AC547" t="e">
        <f t="shared" si="203"/>
        <v>#N/A</v>
      </c>
      <c r="AE547" t="e">
        <v>#N/A</v>
      </c>
      <c r="AF547" t="e">
        <v>#N/A</v>
      </c>
      <c r="AP547" t="e">
        <v>#N/A</v>
      </c>
      <c r="AR547" t="e">
        <f t="shared" si="204"/>
        <v>#N/A</v>
      </c>
      <c r="AT547" t="e">
        <f t="shared" si="205"/>
        <v>#N/A</v>
      </c>
      <c r="AU547" t="e">
        <f t="shared" si="206"/>
        <v>#N/A</v>
      </c>
      <c r="AW547" t="e">
        <v>#N/A</v>
      </c>
      <c r="AX547" t="e">
        <v>#N/A</v>
      </c>
      <c r="BG547" t="e">
        <v>#N/A</v>
      </c>
      <c r="BI547" t="e">
        <f t="shared" si="207"/>
        <v>#N/A</v>
      </c>
      <c r="BK547" t="e">
        <f t="shared" si="208"/>
        <v>#N/A</v>
      </c>
      <c r="BL547" t="e">
        <f t="shared" si="209"/>
        <v>#N/A</v>
      </c>
      <c r="BN547" t="e">
        <v>#N/A</v>
      </c>
      <c r="BO547" t="e">
        <v>#N/A</v>
      </c>
      <c r="BX547" t="e">
        <v>#N/A</v>
      </c>
      <c r="BZ547" t="e">
        <f t="shared" si="210"/>
        <v>#N/A</v>
      </c>
      <c r="CB547" t="e">
        <f t="shared" si="213"/>
        <v>#N/A</v>
      </c>
      <c r="CC547" t="e">
        <f t="shared" si="211"/>
        <v>#N/A</v>
      </c>
      <c r="CE547" t="e">
        <v>#N/A</v>
      </c>
      <c r="CF547" t="e">
        <v>#N/A</v>
      </c>
    </row>
    <row r="548" spans="2:84">
      <c r="B548">
        <v>536</v>
      </c>
      <c r="C548" t="e">
        <f>IF(ISNUMBER(K548),IF('Lab test'!N539&gt;0,'Lab test'!N539,NA()),NA())</f>
        <v>#N/A</v>
      </c>
      <c r="D548" t="e">
        <f>IF(ISNUMBER(K548),IF('Lab test'!Q539&gt;0,'Lab test'!Q539,NA()),NA())</f>
        <v>#N/A</v>
      </c>
      <c r="E548" t="e">
        <f>IF(ISNUMBER(K548),IF('Lab test'!P539&gt;0,'Lab test'!P539,NA()),NA())</f>
        <v>#N/A</v>
      </c>
      <c r="F548" t="e">
        <f>IF(ISNUMBER(K548),IF('Lab test'!AJ539&gt;0,'Lab test'!AJ539,NA()),NA())</f>
        <v>#N/A</v>
      </c>
      <c r="G548">
        <f>IF('Lab test'!V539&gt;0,'Lab test'!V539,NA())</f>
        <v>205463.766944</v>
      </c>
      <c r="H548">
        <f>IF(MAX('Lab test'!W539,'Lab test'!X539)&gt;0,MAX('Lab test'!W539,'Lab test'!X539),NA())</f>
        <v>530.1650484242424</v>
      </c>
      <c r="I548">
        <f>IF('Lab test'!AU539&gt;0,'Lab test'!AU539,NA())</f>
        <v>1.056</v>
      </c>
      <c r="J548">
        <f>IF('Lab test'!AT539&gt;0,'Lab test'!AT539,NA())</f>
        <v>0.20214706013697437</v>
      </c>
      <c r="K548" t="e">
        <f t="shared" si="212"/>
        <v>#N/A</v>
      </c>
      <c r="L548" t="str">
        <f>'Lab test'!AC539</f>
        <v>Tubes</v>
      </c>
      <c r="X548" t="e">
        <v>#N/A</v>
      </c>
      <c r="Z548" t="e">
        <f t="shared" si="202"/>
        <v>#N/A</v>
      </c>
      <c r="AB548" t="e">
        <f t="shared" si="201"/>
        <v>#N/A</v>
      </c>
      <c r="AC548" t="e">
        <f t="shared" si="203"/>
        <v>#N/A</v>
      </c>
      <c r="AE548" t="e">
        <v>#N/A</v>
      </c>
      <c r="AF548" t="e">
        <v>#N/A</v>
      </c>
      <c r="AP548" t="e">
        <v>#N/A</v>
      </c>
      <c r="AR548" t="e">
        <f t="shared" si="204"/>
        <v>#N/A</v>
      </c>
      <c r="AT548" t="e">
        <f t="shared" si="205"/>
        <v>#N/A</v>
      </c>
      <c r="AU548" t="e">
        <f t="shared" si="206"/>
        <v>#N/A</v>
      </c>
      <c r="AW548" t="e">
        <v>#N/A</v>
      </c>
      <c r="AX548" t="e">
        <v>#N/A</v>
      </c>
      <c r="BG548" t="e">
        <v>#N/A</v>
      </c>
      <c r="BI548" t="e">
        <f t="shared" si="207"/>
        <v>#N/A</v>
      </c>
      <c r="BK548" t="e">
        <f t="shared" si="208"/>
        <v>#N/A</v>
      </c>
      <c r="BL548" t="e">
        <f t="shared" si="209"/>
        <v>#N/A</v>
      </c>
      <c r="BN548" t="e">
        <v>#N/A</v>
      </c>
      <c r="BO548" t="e">
        <v>#N/A</v>
      </c>
      <c r="BX548" t="e">
        <v>#N/A</v>
      </c>
      <c r="BZ548" t="e">
        <f t="shared" si="210"/>
        <v>#N/A</v>
      </c>
      <c r="CB548" t="e">
        <f t="shared" si="213"/>
        <v>#N/A</v>
      </c>
      <c r="CC548" t="e">
        <f t="shared" si="211"/>
        <v>#N/A</v>
      </c>
      <c r="CE548" t="e">
        <v>#N/A</v>
      </c>
      <c r="CF548" t="e">
        <v>#N/A</v>
      </c>
    </row>
    <row r="549" spans="2:84">
      <c r="B549">
        <v>537</v>
      </c>
      <c r="C549" t="e">
        <f>IF(ISNUMBER(K549),IF('Lab test'!N540&gt;0,'Lab test'!N540,NA()),NA())</f>
        <v>#N/A</v>
      </c>
      <c r="D549" t="e">
        <f>IF(ISNUMBER(K549),IF('Lab test'!Q540&gt;0,'Lab test'!Q540,NA()),NA())</f>
        <v>#N/A</v>
      </c>
      <c r="E549" t="e">
        <f>IF(ISNUMBER(K549),IF('Lab test'!P540&gt;0,'Lab test'!P540,NA()),NA())</f>
        <v>#N/A</v>
      </c>
      <c r="F549" t="e">
        <f>IF(ISNUMBER(K549),IF('Lab test'!AJ540&gt;0,'Lab test'!AJ540,NA()),NA())</f>
        <v>#N/A</v>
      </c>
      <c r="G549">
        <f>IF('Lab test'!V540&gt;0,'Lab test'!V540,NA())</f>
        <v>205463.766944</v>
      </c>
      <c r="H549">
        <f>IF(MAX('Lab test'!W540,'Lab test'!X540)&gt;0,MAX('Lab test'!W540,'Lab test'!X540),NA())</f>
        <v>530.51690266413664</v>
      </c>
      <c r="I549">
        <f>IF('Lab test'!AU540&gt;0,'Lab test'!AU540,NA())</f>
        <v>1.054</v>
      </c>
      <c r="J549">
        <f>IF('Lab test'!AT540&gt;0,'Lab test'!AT540,NA())</f>
        <v>0.20189811055552487</v>
      </c>
      <c r="K549" t="e">
        <f t="shared" si="212"/>
        <v>#N/A</v>
      </c>
      <c r="L549" t="str">
        <f>'Lab test'!AC540</f>
        <v>Tubes</v>
      </c>
      <c r="X549" t="e">
        <v>#N/A</v>
      </c>
      <c r="Z549" t="e">
        <f t="shared" si="202"/>
        <v>#N/A</v>
      </c>
      <c r="AB549" t="e">
        <f t="shared" si="201"/>
        <v>#N/A</v>
      </c>
      <c r="AC549" t="e">
        <f t="shared" si="203"/>
        <v>#N/A</v>
      </c>
      <c r="AE549" t="e">
        <v>#N/A</v>
      </c>
      <c r="AF549" t="e">
        <v>#N/A</v>
      </c>
      <c r="AP549" t="e">
        <v>#N/A</v>
      </c>
      <c r="AR549" t="e">
        <f t="shared" si="204"/>
        <v>#N/A</v>
      </c>
      <c r="AT549" t="e">
        <f t="shared" si="205"/>
        <v>#N/A</v>
      </c>
      <c r="AU549" t="e">
        <f t="shared" si="206"/>
        <v>#N/A</v>
      </c>
      <c r="AW549" t="e">
        <v>#N/A</v>
      </c>
      <c r="AX549" t="e">
        <v>#N/A</v>
      </c>
      <c r="BG549" t="e">
        <v>#N/A</v>
      </c>
      <c r="BI549" t="e">
        <f t="shared" si="207"/>
        <v>#N/A</v>
      </c>
      <c r="BK549" t="e">
        <f t="shared" si="208"/>
        <v>#N/A</v>
      </c>
      <c r="BL549" t="e">
        <f t="shared" si="209"/>
        <v>#N/A</v>
      </c>
      <c r="BN549" t="e">
        <v>#N/A</v>
      </c>
      <c r="BO549" t="e">
        <v>#N/A</v>
      </c>
      <c r="BX549" t="e">
        <v>#N/A</v>
      </c>
      <c r="BZ549" t="e">
        <f t="shared" si="210"/>
        <v>#N/A</v>
      </c>
      <c r="CB549" t="e">
        <f t="shared" si="213"/>
        <v>#N/A</v>
      </c>
      <c r="CC549" t="e">
        <f t="shared" si="211"/>
        <v>#N/A</v>
      </c>
      <c r="CE549" t="e">
        <v>#N/A</v>
      </c>
      <c r="CF549" t="e">
        <v>#N/A</v>
      </c>
    </row>
    <row r="550" spans="2:84">
      <c r="B550">
        <v>538</v>
      </c>
      <c r="C550" t="e">
        <f>IF(ISNUMBER(K550),IF('Lab test'!N541&gt;0,'Lab test'!N541,NA()),NA())</f>
        <v>#N/A</v>
      </c>
      <c r="D550" t="e">
        <f>IF(ISNUMBER(K550),IF('Lab test'!Q541&gt;0,'Lab test'!Q541,NA()),NA())</f>
        <v>#N/A</v>
      </c>
      <c r="E550" t="e">
        <f>IF(ISNUMBER(K550),IF('Lab test'!P541&gt;0,'Lab test'!P541,NA()),NA())</f>
        <v>#N/A</v>
      </c>
      <c r="F550" t="e">
        <f>IF(ISNUMBER(K550),IF('Lab test'!AJ541&gt;0,'Lab test'!AJ541,NA()),NA())</f>
        <v>#N/A</v>
      </c>
      <c r="G550">
        <f>IF('Lab test'!V541&gt;0,'Lab test'!V541,NA())</f>
        <v>205463.766944</v>
      </c>
      <c r="H550">
        <f>IF(MAX('Lab test'!W541,'Lab test'!X541)&gt;0,MAX('Lab test'!W541,'Lab test'!X541),NA())</f>
        <v>509.18878852296825</v>
      </c>
      <c r="I550">
        <f>IF('Lab test'!AU541&gt;0,'Lab test'!AU541,NA())</f>
        <v>1.1319999999999999</v>
      </c>
      <c r="J550">
        <f>IF('Lab test'!AT541&gt;0,'Lab test'!AT541,NA())</f>
        <v>0.23013919503465416</v>
      </c>
      <c r="K550" t="e">
        <f t="shared" si="212"/>
        <v>#N/A</v>
      </c>
      <c r="L550" t="str">
        <f>'Lab test'!AC541</f>
        <v>Tubes</v>
      </c>
      <c r="X550" t="e">
        <v>#N/A</v>
      </c>
      <c r="Z550" t="e">
        <f t="shared" si="202"/>
        <v>#N/A</v>
      </c>
      <c r="AB550" t="e">
        <f t="shared" si="201"/>
        <v>#N/A</v>
      </c>
      <c r="AC550" t="e">
        <f t="shared" si="203"/>
        <v>#N/A</v>
      </c>
      <c r="AE550" t="e">
        <v>#N/A</v>
      </c>
      <c r="AF550" t="e">
        <v>#N/A</v>
      </c>
      <c r="AP550" t="e">
        <v>#N/A</v>
      </c>
      <c r="AR550" t="e">
        <f t="shared" si="204"/>
        <v>#N/A</v>
      </c>
      <c r="AT550" t="e">
        <f t="shared" si="205"/>
        <v>#N/A</v>
      </c>
      <c r="AU550" t="e">
        <f t="shared" si="206"/>
        <v>#N/A</v>
      </c>
      <c r="AW550" t="e">
        <v>#N/A</v>
      </c>
      <c r="AX550" t="e">
        <v>#N/A</v>
      </c>
      <c r="BG550" t="e">
        <v>#N/A</v>
      </c>
      <c r="BI550" t="e">
        <f t="shared" si="207"/>
        <v>#N/A</v>
      </c>
      <c r="BK550" t="e">
        <f t="shared" si="208"/>
        <v>#N/A</v>
      </c>
      <c r="BL550" t="e">
        <f t="shared" si="209"/>
        <v>#N/A</v>
      </c>
      <c r="BN550" t="e">
        <v>#N/A</v>
      </c>
      <c r="BO550" t="e">
        <v>#N/A</v>
      </c>
      <c r="BX550" t="e">
        <v>#N/A</v>
      </c>
      <c r="BZ550" t="e">
        <f t="shared" si="210"/>
        <v>#N/A</v>
      </c>
      <c r="CB550" t="e">
        <f t="shared" si="213"/>
        <v>#N/A</v>
      </c>
      <c r="CC550" t="e">
        <f t="shared" si="211"/>
        <v>#N/A</v>
      </c>
      <c r="CE550" t="e">
        <v>#N/A</v>
      </c>
      <c r="CF550" t="e">
        <v>#N/A</v>
      </c>
    </row>
    <row r="551" spans="2:84">
      <c r="B551">
        <v>539</v>
      </c>
      <c r="C551" t="e">
        <f>IF(ISNUMBER(K551),IF('Lab test'!N542&gt;0,'Lab test'!N542,NA()),NA())</f>
        <v>#N/A</v>
      </c>
      <c r="D551" t="e">
        <f>IF(ISNUMBER(K551),IF('Lab test'!Q542&gt;0,'Lab test'!Q542,NA()),NA())</f>
        <v>#N/A</v>
      </c>
      <c r="E551" t="e">
        <f>IF(ISNUMBER(K551),IF('Lab test'!P542&gt;0,'Lab test'!P542,NA()),NA())</f>
        <v>#N/A</v>
      </c>
      <c r="F551" t="e">
        <f>IF(ISNUMBER(K551),IF('Lab test'!AJ542&gt;0,'Lab test'!AJ542,NA()),NA())</f>
        <v>#N/A</v>
      </c>
      <c r="G551">
        <f>IF('Lab test'!V542&gt;0,'Lab test'!V542,NA())</f>
        <v>205463.766944</v>
      </c>
      <c r="H551">
        <f>IF(MAX('Lab test'!W542,'Lab test'!X542)&gt;0,MAX('Lab test'!W542,'Lab test'!X542),NA())</f>
        <v>509.79786602120146</v>
      </c>
      <c r="I551">
        <f>IF('Lab test'!AU542&gt;0,'Lab test'!AU542,NA())</f>
        <v>1.1319999999999999</v>
      </c>
      <c r="J551">
        <f>IF('Lab test'!AT542&gt;0,'Lab test'!AT542,NA())</f>
        <v>0.23064651990553675</v>
      </c>
      <c r="K551" t="e">
        <f t="shared" si="212"/>
        <v>#N/A</v>
      </c>
      <c r="L551" t="str">
        <f>'Lab test'!AC542</f>
        <v>Tubes</v>
      </c>
      <c r="X551" t="e">
        <v>#N/A</v>
      </c>
      <c r="Z551" t="e">
        <f t="shared" si="202"/>
        <v>#N/A</v>
      </c>
      <c r="AB551" t="e">
        <f t="shared" si="201"/>
        <v>#N/A</v>
      </c>
      <c r="AC551" t="e">
        <f t="shared" si="203"/>
        <v>#N/A</v>
      </c>
      <c r="AE551" t="e">
        <v>#N/A</v>
      </c>
      <c r="AF551" t="e">
        <v>#N/A</v>
      </c>
      <c r="AP551" t="e">
        <v>#N/A</v>
      </c>
      <c r="AR551" t="e">
        <f t="shared" si="204"/>
        <v>#N/A</v>
      </c>
      <c r="AT551" t="e">
        <f t="shared" si="205"/>
        <v>#N/A</v>
      </c>
      <c r="AU551" t="e">
        <f t="shared" si="206"/>
        <v>#N/A</v>
      </c>
      <c r="AW551" t="e">
        <v>#N/A</v>
      </c>
      <c r="AX551" t="e">
        <v>#N/A</v>
      </c>
      <c r="BG551" t="e">
        <v>#N/A</v>
      </c>
      <c r="BI551" t="e">
        <f t="shared" si="207"/>
        <v>#N/A</v>
      </c>
      <c r="BK551" t="e">
        <f t="shared" si="208"/>
        <v>#N/A</v>
      </c>
      <c r="BL551" t="e">
        <f t="shared" si="209"/>
        <v>#N/A</v>
      </c>
      <c r="BN551" t="e">
        <v>#N/A</v>
      </c>
      <c r="BO551" t="e">
        <v>#N/A</v>
      </c>
      <c r="BX551" t="e">
        <v>#N/A</v>
      </c>
      <c r="BZ551" t="e">
        <f t="shared" si="210"/>
        <v>#N/A</v>
      </c>
      <c r="CB551" t="e">
        <f t="shared" si="213"/>
        <v>#N/A</v>
      </c>
      <c r="CC551" t="e">
        <f t="shared" si="211"/>
        <v>#N/A</v>
      </c>
      <c r="CE551" t="e">
        <v>#N/A</v>
      </c>
      <c r="CF551" t="e">
        <v>#N/A</v>
      </c>
    </row>
    <row r="552" spans="2:84">
      <c r="B552">
        <v>540</v>
      </c>
      <c r="C552" t="e">
        <f>IF(ISNUMBER(K552),IF('Lab test'!N543&gt;0,'Lab test'!N543,NA()),NA())</f>
        <v>#N/A</v>
      </c>
      <c r="D552" t="e">
        <f>IF(ISNUMBER(K552),IF('Lab test'!Q543&gt;0,'Lab test'!Q543,NA()),NA())</f>
        <v>#N/A</v>
      </c>
      <c r="E552" t="e">
        <f>IF(ISNUMBER(K552),IF('Lab test'!P543&gt;0,'Lab test'!P543,NA()),NA())</f>
        <v>#N/A</v>
      </c>
      <c r="F552" t="e">
        <f>IF(ISNUMBER(K552),IF('Lab test'!AJ543&gt;0,'Lab test'!AJ543,NA()),NA())</f>
        <v>#N/A</v>
      </c>
      <c r="G552">
        <f>IF('Lab test'!V543&gt;0,'Lab test'!V543,NA())</f>
        <v>73153.374740800005</v>
      </c>
      <c r="H552">
        <f>IF(MAX('Lab test'!W543,'Lab test'!X543)&gt;0,MAX('Lab test'!W543,'Lab test'!X543),NA())</f>
        <v>284.66395375854216</v>
      </c>
      <c r="I552">
        <f>IF('Lab test'!AU543&gt;0,'Lab test'!AU543,NA())</f>
        <v>1.756</v>
      </c>
      <c r="J552">
        <f>IF('Lab test'!AT543&gt;0,'Lab test'!AT543,NA())</f>
        <v>7.6209255511163129E-2</v>
      </c>
      <c r="K552" t="e">
        <f t="shared" si="212"/>
        <v>#N/A</v>
      </c>
      <c r="L552" t="str">
        <f>'Lab test'!AC543</f>
        <v>Tubes</v>
      </c>
      <c r="X552" t="e">
        <v>#N/A</v>
      </c>
      <c r="Z552" t="e">
        <f t="shared" si="202"/>
        <v>#N/A</v>
      </c>
      <c r="AB552" t="e">
        <f t="shared" si="201"/>
        <v>#N/A</v>
      </c>
      <c r="AC552" t="e">
        <f t="shared" si="203"/>
        <v>#N/A</v>
      </c>
      <c r="AE552" t="e">
        <v>#N/A</v>
      </c>
      <c r="AF552" t="e">
        <v>#N/A</v>
      </c>
      <c r="AP552" t="e">
        <v>#N/A</v>
      </c>
      <c r="AR552" t="e">
        <f t="shared" si="204"/>
        <v>#N/A</v>
      </c>
      <c r="AT552" t="e">
        <f t="shared" si="205"/>
        <v>#N/A</v>
      </c>
      <c r="AU552" t="e">
        <f t="shared" si="206"/>
        <v>#N/A</v>
      </c>
      <c r="AW552" t="e">
        <v>#N/A</v>
      </c>
      <c r="AX552" t="e">
        <v>#N/A</v>
      </c>
      <c r="BG552" t="e">
        <v>#N/A</v>
      </c>
      <c r="BI552" t="e">
        <f t="shared" si="207"/>
        <v>#N/A</v>
      </c>
      <c r="BK552" t="e">
        <f t="shared" si="208"/>
        <v>#N/A</v>
      </c>
      <c r="BL552" t="e">
        <f t="shared" si="209"/>
        <v>#N/A</v>
      </c>
      <c r="BN552" t="e">
        <v>#N/A</v>
      </c>
      <c r="BO552" t="e">
        <v>#N/A</v>
      </c>
      <c r="BX552" t="e">
        <v>#N/A</v>
      </c>
      <c r="BZ552" t="e">
        <f t="shared" si="210"/>
        <v>#N/A</v>
      </c>
      <c r="CB552" t="e">
        <f t="shared" si="213"/>
        <v>#N/A</v>
      </c>
      <c r="CC552" t="e">
        <f t="shared" si="211"/>
        <v>#N/A</v>
      </c>
      <c r="CE552" t="e">
        <v>#N/A</v>
      </c>
      <c r="CF552" t="e">
        <v>#N/A</v>
      </c>
    </row>
    <row r="553" spans="2:84">
      <c r="B553">
        <v>541</v>
      </c>
      <c r="C553" t="e">
        <f>IF(ISNUMBER(K553),IF('Lab test'!N544&gt;0,'Lab test'!N544,NA()),NA())</f>
        <v>#N/A</v>
      </c>
      <c r="D553" t="e">
        <f>IF(ISNUMBER(K553),IF('Lab test'!Q544&gt;0,'Lab test'!Q544,NA()),NA())</f>
        <v>#N/A</v>
      </c>
      <c r="E553" t="e">
        <f>IF(ISNUMBER(K553),IF('Lab test'!P544&gt;0,'Lab test'!P544,NA()),NA())</f>
        <v>#N/A</v>
      </c>
      <c r="F553" t="e">
        <f>IF(ISNUMBER(K553),IF('Lab test'!AJ544&gt;0,'Lab test'!AJ544,NA()),NA())</f>
        <v>#N/A</v>
      </c>
      <c r="G553">
        <f>IF('Lab test'!V544&gt;0,'Lab test'!V544,NA())</f>
        <v>73153.374740800005</v>
      </c>
      <c r="H553">
        <f>IF(MAX('Lab test'!W544,'Lab test'!X544)&gt;0,MAX('Lab test'!W544,'Lab test'!X544),NA())</f>
        <v>281.44374636720147</v>
      </c>
      <c r="I553">
        <f>IF('Lab test'!AU544&gt;0,'Lab test'!AU544,NA())</f>
        <v>1.6830000000000001</v>
      </c>
      <c r="J553">
        <f>IF('Lab test'!AT544&gt;0,'Lab test'!AT544,NA())</f>
        <v>7.2214839360233207E-2</v>
      </c>
      <c r="K553" t="e">
        <f t="shared" si="212"/>
        <v>#N/A</v>
      </c>
      <c r="L553" t="str">
        <f>'Lab test'!AC544</f>
        <v>Tubes</v>
      </c>
      <c r="X553" t="e">
        <v>#N/A</v>
      </c>
      <c r="Z553" t="e">
        <f t="shared" si="202"/>
        <v>#N/A</v>
      </c>
      <c r="AB553" t="e">
        <f t="shared" si="201"/>
        <v>#N/A</v>
      </c>
      <c r="AC553" t="e">
        <f t="shared" si="203"/>
        <v>#N/A</v>
      </c>
      <c r="AE553" t="e">
        <v>#N/A</v>
      </c>
      <c r="AF553" t="e">
        <v>#N/A</v>
      </c>
      <c r="AP553" t="e">
        <v>#N/A</v>
      </c>
      <c r="AR553" t="e">
        <f t="shared" si="204"/>
        <v>#N/A</v>
      </c>
      <c r="AT553" t="e">
        <f t="shared" si="205"/>
        <v>#N/A</v>
      </c>
      <c r="AU553" t="e">
        <f t="shared" si="206"/>
        <v>#N/A</v>
      </c>
      <c r="AW553" t="e">
        <v>#N/A</v>
      </c>
      <c r="AX553" t="e">
        <v>#N/A</v>
      </c>
      <c r="BG553" t="e">
        <v>#N/A</v>
      </c>
      <c r="BI553" t="e">
        <f t="shared" si="207"/>
        <v>#N/A</v>
      </c>
      <c r="BK553" t="e">
        <f t="shared" si="208"/>
        <v>#N/A</v>
      </c>
      <c r="BL553" t="e">
        <f t="shared" si="209"/>
        <v>#N/A</v>
      </c>
      <c r="BN553" t="e">
        <v>#N/A</v>
      </c>
      <c r="BO553" t="e">
        <v>#N/A</v>
      </c>
      <c r="BX553" t="e">
        <v>#N/A</v>
      </c>
      <c r="BZ553" t="e">
        <f t="shared" si="210"/>
        <v>#N/A</v>
      </c>
      <c r="CB553" t="e">
        <f t="shared" si="213"/>
        <v>#N/A</v>
      </c>
      <c r="CC553" t="e">
        <f t="shared" si="211"/>
        <v>#N/A</v>
      </c>
      <c r="CE553" t="e">
        <v>#N/A</v>
      </c>
      <c r="CF553" t="e">
        <v>#N/A</v>
      </c>
    </row>
    <row r="554" spans="2:84">
      <c r="B554">
        <v>542</v>
      </c>
      <c r="C554" t="e">
        <f>IF(ISNUMBER(K554),IF('Lab test'!N545&gt;0,'Lab test'!N545,NA()),NA())</f>
        <v>#N/A</v>
      </c>
      <c r="D554" t="e">
        <f>IF(ISNUMBER(K554),IF('Lab test'!Q545&gt;0,'Lab test'!Q545,NA()),NA())</f>
        <v>#N/A</v>
      </c>
      <c r="E554" t="e">
        <f>IF(ISNUMBER(K554),IF('Lab test'!P545&gt;0,'Lab test'!P545,NA()),NA())</f>
        <v>#N/A</v>
      </c>
      <c r="F554" t="e">
        <f>IF(ISNUMBER(K554),IF('Lab test'!AJ545&gt;0,'Lab test'!AJ545,NA()),NA())</f>
        <v>#N/A</v>
      </c>
      <c r="G554">
        <f>IF('Lab test'!V545&gt;0,'Lab test'!V545,NA())</f>
        <v>73153.374740800005</v>
      </c>
      <c r="H554">
        <f>IF(MAX('Lab test'!W545,'Lab test'!X545)&gt;0,MAX('Lab test'!W545,'Lab test'!X545),NA())</f>
        <v>301.8186921767068</v>
      </c>
      <c r="I554">
        <f>IF('Lab test'!AU545&gt;0,'Lab test'!AU545,NA())</f>
        <v>1.494</v>
      </c>
      <c r="J554">
        <f>IF('Lab test'!AT545&gt;0,'Lab test'!AT545,NA())</f>
        <v>7.9949056831419743E-2</v>
      </c>
      <c r="K554" t="e">
        <f t="shared" si="212"/>
        <v>#N/A</v>
      </c>
      <c r="L554" t="str">
        <f>'Lab test'!AC545</f>
        <v>Tubes</v>
      </c>
      <c r="X554" t="e">
        <v>#N/A</v>
      </c>
      <c r="Z554" t="e">
        <f t="shared" si="202"/>
        <v>#N/A</v>
      </c>
      <c r="AB554" t="e">
        <f t="shared" si="201"/>
        <v>#N/A</v>
      </c>
      <c r="AC554" t="e">
        <f t="shared" si="203"/>
        <v>#N/A</v>
      </c>
      <c r="AE554" t="e">
        <v>#N/A</v>
      </c>
      <c r="AF554" t="e">
        <v>#N/A</v>
      </c>
      <c r="AP554" t="e">
        <v>#N/A</v>
      </c>
      <c r="AR554" t="e">
        <f t="shared" si="204"/>
        <v>#N/A</v>
      </c>
      <c r="AT554" t="e">
        <f t="shared" si="205"/>
        <v>#N/A</v>
      </c>
      <c r="AU554" t="e">
        <f t="shared" si="206"/>
        <v>#N/A</v>
      </c>
      <c r="AW554" t="e">
        <v>#N/A</v>
      </c>
      <c r="AX554" t="e">
        <v>#N/A</v>
      </c>
      <c r="BG554" t="e">
        <v>#N/A</v>
      </c>
      <c r="BI554" t="e">
        <f t="shared" si="207"/>
        <v>#N/A</v>
      </c>
      <c r="BK554" t="e">
        <f t="shared" si="208"/>
        <v>#N/A</v>
      </c>
      <c r="BL554" t="e">
        <f t="shared" si="209"/>
        <v>#N/A</v>
      </c>
      <c r="BN554" t="e">
        <v>#N/A</v>
      </c>
      <c r="BO554" t="e">
        <v>#N/A</v>
      </c>
      <c r="BX554" t="e">
        <v>#N/A</v>
      </c>
      <c r="BZ554" t="e">
        <f t="shared" si="210"/>
        <v>#N/A</v>
      </c>
      <c r="CB554" t="e">
        <f t="shared" si="213"/>
        <v>#N/A</v>
      </c>
      <c r="CC554" t="e">
        <f t="shared" si="211"/>
        <v>#N/A</v>
      </c>
      <c r="CE554" t="e">
        <v>#N/A</v>
      </c>
      <c r="CF554" t="e">
        <v>#N/A</v>
      </c>
    </row>
    <row r="555" spans="2:84">
      <c r="B555">
        <v>543</v>
      </c>
      <c r="C555" t="e">
        <f>IF(ISNUMBER(K555),IF('Lab test'!N546&gt;0,'Lab test'!N546,NA()),NA())</f>
        <v>#N/A</v>
      </c>
      <c r="D555" t="e">
        <f>IF(ISNUMBER(K555),IF('Lab test'!Q546&gt;0,'Lab test'!Q546,NA()),NA())</f>
        <v>#N/A</v>
      </c>
      <c r="E555" t="e">
        <f>IF(ISNUMBER(K555),IF('Lab test'!P546&gt;0,'Lab test'!P546,NA()),NA())</f>
        <v>#N/A</v>
      </c>
      <c r="F555" t="e">
        <f>IF(ISNUMBER(K555),IF('Lab test'!AJ546&gt;0,'Lab test'!AJ546,NA()),NA())</f>
        <v>#N/A</v>
      </c>
      <c r="G555">
        <f>IF('Lab test'!V546&gt;0,'Lab test'!V546,NA())</f>
        <v>73153.374740800005</v>
      </c>
      <c r="H555">
        <f>IF(MAX('Lab test'!W546,'Lab test'!X546)&gt;0,MAX('Lab test'!W546,'Lab test'!X546),NA())</f>
        <v>297.01991107344634</v>
      </c>
      <c r="I555">
        <f>IF('Lab test'!AU546&gt;0,'Lab test'!AU546,NA())</f>
        <v>1.4159999999999999</v>
      </c>
      <c r="J555">
        <f>IF('Lab test'!AT546&gt;0,'Lab test'!AT546,NA())</f>
        <v>9.5468881923103058E-2</v>
      </c>
      <c r="K555" t="e">
        <f t="shared" si="212"/>
        <v>#N/A</v>
      </c>
      <c r="L555" t="str">
        <f>'Lab test'!AC546</f>
        <v>Tubes</v>
      </c>
      <c r="X555" t="e">
        <v>#N/A</v>
      </c>
      <c r="Z555" t="e">
        <f t="shared" si="202"/>
        <v>#N/A</v>
      </c>
      <c r="AB555" t="e">
        <f t="shared" si="201"/>
        <v>#N/A</v>
      </c>
      <c r="AC555" t="e">
        <f t="shared" si="203"/>
        <v>#N/A</v>
      </c>
      <c r="AE555" t="e">
        <v>#N/A</v>
      </c>
      <c r="AF555" t="e">
        <v>#N/A</v>
      </c>
      <c r="AP555" t="e">
        <v>#N/A</v>
      </c>
      <c r="AR555" t="e">
        <f t="shared" si="204"/>
        <v>#N/A</v>
      </c>
      <c r="AT555" t="e">
        <f t="shared" si="205"/>
        <v>#N/A</v>
      </c>
      <c r="AU555" t="e">
        <f t="shared" si="206"/>
        <v>#N/A</v>
      </c>
      <c r="AW555" t="e">
        <v>#N/A</v>
      </c>
      <c r="AX555" t="e">
        <v>#N/A</v>
      </c>
      <c r="BG555" t="e">
        <v>#N/A</v>
      </c>
      <c r="BI555" t="e">
        <f t="shared" si="207"/>
        <v>#N/A</v>
      </c>
      <c r="BK555" t="e">
        <f t="shared" si="208"/>
        <v>#N/A</v>
      </c>
      <c r="BL555" t="e">
        <f t="shared" si="209"/>
        <v>#N/A</v>
      </c>
      <c r="BN555" t="e">
        <v>#N/A</v>
      </c>
      <c r="BO555" t="e">
        <v>#N/A</v>
      </c>
      <c r="BX555" t="e">
        <v>#N/A</v>
      </c>
      <c r="BZ555" t="e">
        <f t="shared" si="210"/>
        <v>#N/A</v>
      </c>
      <c r="CB555" t="e">
        <f t="shared" si="213"/>
        <v>#N/A</v>
      </c>
      <c r="CC555" t="e">
        <f t="shared" si="211"/>
        <v>#N/A</v>
      </c>
      <c r="CE555" t="e">
        <v>#N/A</v>
      </c>
      <c r="CF555" t="e">
        <v>#N/A</v>
      </c>
    </row>
    <row r="556" spans="2:84">
      <c r="B556">
        <v>544</v>
      </c>
      <c r="C556" t="e">
        <f>IF(ISNUMBER(K556),IF('Lab test'!N547&gt;0,'Lab test'!N547,NA()),NA())</f>
        <v>#N/A</v>
      </c>
      <c r="D556" t="e">
        <f>IF(ISNUMBER(K556),IF('Lab test'!Q547&gt;0,'Lab test'!Q547,NA()),NA())</f>
        <v>#N/A</v>
      </c>
      <c r="E556" t="e">
        <f>IF(ISNUMBER(K556),IF('Lab test'!P547&gt;0,'Lab test'!P547,NA()),NA())</f>
        <v>#N/A</v>
      </c>
      <c r="F556" t="e">
        <f>IF(ISNUMBER(K556),IF('Lab test'!AJ547&gt;0,'Lab test'!AJ547,NA()),NA())</f>
        <v>#N/A</v>
      </c>
      <c r="G556">
        <f>IF('Lab test'!V547&gt;0,'Lab test'!V547,NA())</f>
        <v>73153.374740800005</v>
      </c>
      <c r="H556">
        <f>IF(MAX('Lab test'!W547,'Lab test'!X547)&gt;0,MAX('Lab test'!W547,'Lab test'!X547),NA())</f>
        <v>297.01238317919888</v>
      </c>
      <c r="I556">
        <f>IF('Lab test'!AU547&gt;0,'Lab test'!AU547,NA())</f>
        <v>1.423</v>
      </c>
      <c r="J556">
        <f>IF('Lab test'!AT547&gt;0,'Lab test'!AT547,NA())</f>
        <v>9.6415706492212386E-2</v>
      </c>
      <c r="K556" t="e">
        <f t="shared" si="212"/>
        <v>#N/A</v>
      </c>
      <c r="L556" t="str">
        <f>'Lab test'!AC547</f>
        <v>Tubes</v>
      </c>
      <c r="X556" t="e">
        <v>#N/A</v>
      </c>
      <c r="Z556" t="e">
        <f t="shared" si="202"/>
        <v>#N/A</v>
      </c>
      <c r="AB556" t="e">
        <f t="shared" si="201"/>
        <v>#N/A</v>
      </c>
      <c r="AC556" t="e">
        <f t="shared" si="203"/>
        <v>#N/A</v>
      </c>
      <c r="AE556" t="e">
        <v>#N/A</v>
      </c>
      <c r="AF556" t="e">
        <v>#N/A</v>
      </c>
      <c r="AP556" t="e">
        <v>#N/A</v>
      </c>
      <c r="AR556" t="e">
        <f t="shared" si="204"/>
        <v>#N/A</v>
      </c>
      <c r="AT556" t="e">
        <f t="shared" si="205"/>
        <v>#N/A</v>
      </c>
      <c r="AU556" t="e">
        <f t="shared" si="206"/>
        <v>#N/A</v>
      </c>
      <c r="AW556" t="e">
        <v>#N/A</v>
      </c>
      <c r="AX556" t="e">
        <v>#N/A</v>
      </c>
      <c r="BG556" t="e">
        <v>#N/A</v>
      </c>
      <c r="BI556" t="e">
        <f t="shared" si="207"/>
        <v>#N/A</v>
      </c>
      <c r="BK556" t="e">
        <f t="shared" si="208"/>
        <v>#N/A</v>
      </c>
      <c r="BL556" t="e">
        <f t="shared" si="209"/>
        <v>#N/A</v>
      </c>
      <c r="BN556" t="e">
        <v>#N/A</v>
      </c>
      <c r="BO556" t="e">
        <v>#N/A</v>
      </c>
      <c r="BX556" t="e">
        <v>#N/A</v>
      </c>
      <c r="BZ556" t="e">
        <f t="shared" si="210"/>
        <v>#N/A</v>
      </c>
      <c r="CB556" t="e">
        <f t="shared" si="213"/>
        <v>#N/A</v>
      </c>
      <c r="CC556" t="e">
        <f t="shared" si="211"/>
        <v>#N/A</v>
      </c>
      <c r="CE556" t="e">
        <v>#N/A</v>
      </c>
      <c r="CF556" t="e">
        <v>#N/A</v>
      </c>
    </row>
    <row r="557" spans="2:84">
      <c r="B557">
        <v>545</v>
      </c>
      <c r="C557" t="e">
        <f>IF(ISNUMBER(K557),IF('Lab test'!N548&gt;0,'Lab test'!N548,NA()),NA())</f>
        <v>#N/A</v>
      </c>
      <c r="D557" t="e">
        <f>IF(ISNUMBER(K557),IF('Lab test'!Q548&gt;0,'Lab test'!Q548,NA()),NA())</f>
        <v>#N/A</v>
      </c>
      <c r="E557" t="e">
        <f>IF(ISNUMBER(K557),IF('Lab test'!P548&gt;0,'Lab test'!P548,NA()),NA())</f>
        <v>#N/A</v>
      </c>
      <c r="F557" t="e">
        <f>IF(ISNUMBER(K557),IF('Lab test'!AJ548&gt;0,'Lab test'!AJ548,NA()),NA())</f>
        <v>#N/A</v>
      </c>
      <c r="G557">
        <f>IF('Lab test'!V548&gt;0,'Lab test'!V548,NA())</f>
        <v>73153.374740800005</v>
      </c>
      <c r="H557">
        <f>IF(MAX('Lab test'!W548,'Lab test'!X548)&gt;0,MAX('Lab test'!W548,'Lab test'!X548),NA())</f>
        <v>286.93438529305132</v>
      </c>
      <c r="I557">
        <f>IF('Lab test'!AU548&gt;0,'Lab test'!AU548,NA())</f>
        <v>1.3240000000000001</v>
      </c>
      <c r="J557">
        <f>IF('Lab test'!AT548&gt;0,'Lab test'!AT548,NA())</f>
        <v>0.10983165001668073</v>
      </c>
      <c r="K557" t="e">
        <f t="shared" si="212"/>
        <v>#N/A</v>
      </c>
      <c r="L557" t="str">
        <f>'Lab test'!AC548</f>
        <v>Tubes</v>
      </c>
      <c r="X557" t="e">
        <v>#N/A</v>
      </c>
      <c r="Z557" t="e">
        <f t="shared" si="202"/>
        <v>#N/A</v>
      </c>
      <c r="AB557" t="e">
        <f t="shared" si="201"/>
        <v>#N/A</v>
      </c>
      <c r="AC557" t="e">
        <f t="shared" si="203"/>
        <v>#N/A</v>
      </c>
      <c r="AE557" t="e">
        <v>#N/A</v>
      </c>
      <c r="AF557" t="e">
        <v>#N/A</v>
      </c>
      <c r="AP557" t="e">
        <v>#N/A</v>
      </c>
      <c r="AR557" t="e">
        <f t="shared" si="204"/>
        <v>#N/A</v>
      </c>
      <c r="AT557" t="e">
        <f t="shared" si="205"/>
        <v>#N/A</v>
      </c>
      <c r="AU557" t="e">
        <f t="shared" si="206"/>
        <v>#N/A</v>
      </c>
      <c r="AW557" t="e">
        <v>#N/A</v>
      </c>
      <c r="AX557" t="e">
        <v>#N/A</v>
      </c>
      <c r="BG557" t="e">
        <v>#N/A</v>
      </c>
      <c r="BI557" t="e">
        <f t="shared" si="207"/>
        <v>#N/A</v>
      </c>
      <c r="BK557" t="e">
        <f t="shared" si="208"/>
        <v>#N/A</v>
      </c>
      <c r="BL557" t="e">
        <f t="shared" si="209"/>
        <v>#N/A</v>
      </c>
      <c r="BN557" t="e">
        <v>#N/A</v>
      </c>
      <c r="BO557" t="e">
        <v>#N/A</v>
      </c>
      <c r="BX557" t="e">
        <v>#N/A</v>
      </c>
      <c r="BZ557" t="e">
        <f t="shared" si="210"/>
        <v>#N/A</v>
      </c>
      <c r="CB557" t="e">
        <f t="shared" si="213"/>
        <v>#N/A</v>
      </c>
      <c r="CC557" t="e">
        <f t="shared" si="211"/>
        <v>#N/A</v>
      </c>
      <c r="CE557" t="e">
        <v>#N/A</v>
      </c>
      <c r="CF557" t="e">
        <v>#N/A</v>
      </c>
    </row>
    <row r="558" spans="2:84">
      <c r="B558">
        <v>546</v>
      </c>
      <c r="C558" t="e">
        <f>IF(ISNUMBER(K558),IF('Lab test'!N549&gt;0,'Lab test'!N549,NA()),NA())</f>
        <v>#N/A</v>
      </c>
      <c r="D558" t="e">
        <f>IF(ISNUMBER(K558),IF('Lab test'!Q549&gt;0,'Lab test'!Q549,NA()),NA())</f>
        <v>#N/A</v>
      </c>
      <c r="E558" t="e">
        <f>IF(ISNUMBER(K558),IF('Lab test'!P549&gt;0,'Lab test'!P549,NA()),NA())</f>
        <v>#N/A</v>
      </c>
      <c r="F558" t="e">
        <f>IF(ISNUMBER(K558),IF('Lab test'!AJ549&gt;0,'Lab test'!AJ549,NA()),NA())</f>
        <v>#N/A</v>
      </c>
      <c r="G558">
        <f>IF('Lab test'!V549&gt;0,'Lab test'!V549,NA())</f>
        <v>73153.374740800005</v>
      </c>
      <c r="H558">
        <f>IF(MAX('Lab test'!W549,'Lab test'!X549)&gt;0,MAX('Lab test'!W549,'Lab test'!X549),NA())</f>
        <v>265.47947318518516</v>
      </c>
      <c r="I558">
        <f>IF('Lab test'!AU549&gt;0,'Lab test'!AU549,NA())</f>
        <v>1.431</v>
      </c>
      <c r="J558">
        <f>IF('Lab test'!AT549&gt;0,'Lab test'!AT549,NA())</f>
        <v>0.11068970978243604</v>
      </c>
      <c r="K558" t="e">
        <f t="shared" si="212"/>
        <v>#N/A</v>
      </c>
      <c r="L558" t="str">
        <f>'Lab test'!AC549</f>
        <v>Tubes</v>
      </c>
      <c r="X558" t="e">
        <v>#N/A</v>
      </c>
      <c r="Z558" t="e">
        <f t="shared" si="202"/>
        <v>#N/A</v>
      </c>
      <c r="AB558" t="e">
        <f t="shared" si="201"/>
        <v>#N/A</v>
      </c>
      <c r="AC558" t="e">
        <f t="shared" si="203"/>
        <v>#N/A</v>
      </c>
      <c r="AE558" t="e">
        <v>#N/A</v>
      </c>
      <c r="AF558" t="e">
        <v>#N/A</v>
      </c>
      <c r="AP558" t="e">
        <v>#N/A</v>
      </c>
      <c r="AR558" t="e">
        <f t="shared" si="204"/>
        <v>#N/A</v>
      </c>
      <c r="AT558" t="e">
        <f t="shared" si="205"/>
        <v>#N/A</v>
      </c>
      <c r="AU558" t="e">
        <f t="shared" si="206"/>
        <v>#N/A</v>
      </c>
      <c r="AW558" t="e">
        <v>#N/A</v>
      </c>
      <c r="AX558" t="e">
        <v>#N/A</v>
      </c>
      <c r="BG558" t="e">
        <v>#N/A</v>
      </c>
      <c r="BI558" t="e">
        <f t="shared" si="207"/>
        <v>#N/A</v>
      </c>
      <c r="BK558" t="e">
        <f t="shared" si="208"/>
        <v>#N/A</v>
      </c>
      <c r="BL558" t="e">
        <f t="shared" si="209"/>
        <v>#N/A</v>
      </c>
      <c r="BN558" t="e">
        <v>#N/A</v>
      </c>
      <c r="BO558" t="e">
        <v>#N/A</v>
      </c>
      <c r="BX558" t="e">
        <v>#N/A</v>
      </c>
      <c r="BZ558" t="e">
        <f t="shared" si="210"/>
        <v>#N/A</v>
      </c>
      <c r="CB558" t="e">
        <f t="shared" si="213"/>
        <v>#N/A</v>
      </c>
      <c r="CC558" t="e">
        <f t="shared" si="211"/>
        <v>#N/A</v>
      </c>
      <c r="CE558" t="e">
        <v>#N/A</v>
      </c>
      <c r="CF558" t="e">
        <v>#N/A</v>
      </c>
    </row>
    <row r="559" spans="2:84">
      <c r="B559">
        <v>547</v>
      </c>
      <c r="C559" t="e">
        <f>IF(ISNUMBER(K559),IF('Lab test'!N550&gt;0,'Lab test'!N550,NA()),NA())</f>
        <v>#N/A</v>
      </c>
      <c r="D559" t="e">
        <f>IF(ISNUMBER(K559),IF('Lab test'!Q550&gt;0,'Lab test'!Q550,NA()),NA())</f>
        <v>#N/A</v>
      </c>
      <c r="E559" t="e">
        <f>IF(ISNUMBER(K559),IF('Lab test'!P550&gt;0,'Lab test'!P550,NA()),NA())</f>
        <v>#N/A</v>
      </c>
      <c r="F559" t="e">
        <f>IF(ISNUMBER(K559),IF('Lab test'!AJ550&gt;0,'Lab test'!AJ550,NA()),NA())</f>
        <v>#N/A</v>
      </c>
      <c r="G559">
        <f>IF('Lab test'!V550&gt;0,'Lab test'!V550,NA())</f>
        <v>73153.374740800005</v>
      </c>
      <c r="H559">
        <f>IF(MAX('Lab test'!W550,'Lab test'!X550)&gt;0,MAX('Lab test'!W550,'Lab test'!X550),NA())</f>
        <v>286.51546919111109</v>
      </c>
      <c r="I559">
        <f>IF('Lab test'!AU550&gt;0,'Lab test'!AU550,NA())</f>
        <v>1.35</v>
      </c>
      <c r="J559">
        <f>IF('Lab test'!AT550&gt;0,'Lab test'!AT550,NA())</f>
        <v>0.11313541370642648</v>
      </c>
      <c r="K559" t="e">
        <f t="shared" si="212"/>
        <v>#N/A</v>
      </c>
      <c r="L559" t="str">
        <f>'Lab test'!AC550</f>
        <v>Tubes</v>
      </c>
      <c r="X559" t="e">
        <v>#N/A</v>
      </c>
      <c r="Z559" t="e">
        <f t="shared" si="202"/>
        <v>#N/A</v>
      </c>
      <c r="AB559" t="e">
        <f t="shared" si="201"/>
        <v>#N/A</v>
      </c>
      <c r="AC559" t="e">
        <f t="shared" si="203"/>
        <v>#N/A</v>
      </c>
      <c r="AE559" t="e">
        <v>#N/A</v>
      </c>
      <c r="AF559" t="e">
        <v>#N/A</v>
      </c>
      <c r="AP559" t="e">
        <v>#N/A</v>
      </c>
      <c r="AR559" t="e">
        <f t="shared" si="204"/>
        <v>#N/A</v>
      </c>
      <c r="AT559" t="e">
        <f t="shared" si="205"/>
        <v>#N/A</v>
      </c>
      <c r="AU559" t="e">
        <f t="shared" si="206"/>
        <v>#N/A</v>
      </c>
      <c r="AW559" t="e">
        <v>#N/A</v>
      </c>
      <c r="AX559" t="e">
        <v>#N/A</v>
      </c>
      <c r="BG559" t="e">
        <v>#N/A</v>
      </c>
      <c r="BI559" t="e">
        <f t="shared" si="207"/>
        <v>#N/A</v>
      </c>
      <c r="BK559" t="e">
        <f t="shared" si="208"/>
        <v>#N/A</v>
      </c>
      <c r="BL559" t="e">
        <f t="shared" si="209"/>
        <v>#N/A</v>
      </c>
      <c r="BN559" t="e">
        <v>#N/A</v>
      </c>
      <c r="BO559" t="e">
        <v>#N/A</v>
      </c>
      <c r="BX559" t="e">
        <v>#N/A</v>
      </c>
      <c r="BZ559" t="e">
        <f t="shared" si="210"/>
        <v>#N/A</v>
      </c>
      <c r="CB559" t="e">
        <f t="shared" si="213"/>
        <v>#N/A</v>
      </c>
      <c r="CC559" t="e">
        <f t="shared" si="211"/>
        <v>#N/A</v>
      </c>
      <c r="CE559" t="e">
        <v>#N/A</v>
      </c>
      <c r="CF559" t="e">
        <v>#N/A</v>
      </c>
    </row>
    <row r="560" spans="2:84">
      <c r="B560">
        <v>548</v>
      </c>
      <c r="C560" t="e">
        <f>IF(ISNUMBER(K560),IF('Lab test'!N551&gt;0,'Lab test'!N551,NA()),NA())</f>
        <v>#N/A</v>
      </c>
      <c r="D560" t="e">
        <f>IF(ISNUMBER(K560),IF('Lab test'!Q551&gt;0,'Lab test'!Q551,NA()),NA())</f>
        <v>#N/A</v>
      </c>
      <c r="E560" t="e">
        <f>IF(ISNUMBER(K560),IF('Lab test'!P551&gt;0,'Lab test'!P551,NA()),NA())</f>
        <v>#N/A</v>
      </c>
      <c r="F560" t="e">
        <f>IF(ISNUMBER(K560),IF('Lab test'!AJ551&gt;0,'Lab test'!AJ551,NA()),NA())</f>
        <v>#N/A</v>
      </c>
      <c r="G560">
        <f>IF('Lab test'!V551&gt;0,'Lab test'!V551,NA())</f>
        <v>73153.374740800005</v>
      </c>
      <c r="H560">
        <f>IF(MAX('Lab test'!W551,'Lab test'!X551)&gt;0,MAX('Lab test'!W551,'Lab test'!X551),NA())</f>
        <v>265.44571552158527</v>
      </c>
      <c r="I560">
        <f>IF('Lab test'!AU551&gt;0,'Lab test'!AU551,NA())</f>
        <v>1.413</v>
      </c>
      <c r="J560">
        <f>IF('Lab test'!AT551&gt;0,'Lab test'!AT551,NA())</f>
        <v>0.10970706783653476</v>
      </c>
      <c r="K560" t="e">
        <f t="shared" si="212"/>
        <v>#N/A</v>
      </c>
      <c r="L560" t="str">
        <f>'Lab test'!AC551</f>
        <v>Tubes</v>
      </c>
      <c r="X560" t="e">
        <v>#N/A</v>
      </c>
      <c r="Z560" t="e">
        <f t="shared" si="202"/>
        <v>#N/A</v>
      </c>
      <c r="AB560" t="e">
        <f t="shared" ref="AB560:AB623" si="214">Z560</f>
        <v>#N/A</v>
      </c>
      <c r="AC560" t="e">
        <f t="shared" si="203"/>
        <v>#N/A</v>
      </c>
      <c r="AE560" t="e">
        <v>#N/A</v>
      </c>
      <c r="AF560" t="e">
        <v>#N/A</v>
      </c>
      <c r="AP560" t="e">
        <v>#N/A</v>
      </c>
      <c r="AR560" t="e">
        <f t="shared" si="204"/>
        <v>#N/A</v>
      </c>
      <c r="AT560" t="e">
        <f t="shared" si="205"/>
        <v>#N/A</v>
      </c>
      <c r="AU560" t="e">
        <f t="shared" si="206"/>
        <v>#N/A</v>
      </c>
      <c r="AW560" t="e">
        <v>#N/A</v>
      </c>
      <c r="AX560" t="e">
        <v>#N/A</v>
      </c>
      <c r="BG560" t="e">
        <v>#N/A</v>
      </c>
      <c r="BI560" t="e">
        <f t="shared" si="207"/>
        <v>#N/A</v>
      </c>
      <c r="BK560" t="e">
        <f t="shared" si="208"/>
        <v>#N/A</v>
      </c>
      <c r="BL560" t="e">
        <f t="shared" si="209"/>
        <v>#N/A</v>
      </c>
      <c r="BN560" t="e">
        <v>#N/A</v>
      </c>
      <c r="BO560" t="e">
        <v>#N/A</v>
      </c>
      <c r="BX560" t="e">
        <v>#N/A</v>
      </c>
      <c r="BZ560" t="e">
        <f t="shared" si="210"/>
        <v>#N/A</v>
      </c>
      <c r="CB560" t="e">
        <f t="shared" si="213"/>
        <v>#N/A</v>
      </c>
      <c r="CC560" t="e">
        <f t="shared" si="211"/>
        <v>#N/A</v>
      </c>
      <c r="CE560" t="e">
        <v>#N/A</v>
      </c>
      <c r="CF560" t="e">
        <v>#N/A</v>
      </c>
    </row>
    <row r="561" spans="2:84">
      <c r="B561">
        <v>549</v>
      </c>
      <c r="C561" t="e">
        <f>IF(ISNUMBER(K561),IF('Lab test'!N552&gt;0,'Lab test'!N552,NA()),NA())</f>
        <v>#N/A</v>
      </c>
      <c r="D561" t="e">
        <f>IF(ISNUMBER(K561),IF('Lab test'!Q552&gt;0,'Lab test'!Q552,NA()),NA())</f>
        <v>#N/A</v>
      </c>
      <c r="E561" t="e">
        <f>IF(ISNUMBER(K561),IF('Lab test'!P552&gt;0,'Lab test'!P552,NA()),NA())</f>
        <v>#N/A</v>
      </c>
      <c r="F561" t="e">
        <f>IF(ISNUMBER(K561),IF('Lab test'!AJ552&gt;0,'Lab test'!AJ552,NA()),NA())</f>
        <v>#N/A</v>
      </c>
      <c r="G561">
        <f>IF('Lab test'!V552&gt;0,'Lab test'!V552,NA())</f>
        <v>73153.374740800005</v>
      </c>
      <c r="H561">
        <f>IF(MAX('Lab test'!W552,'Lab test'!X552)&gt;0,MAX('Lab test'!W552,'Lab test'!X552),NA())</f>
        <v>262.18768271084338</v>
      </c>
      <c r="I561">
        <f>IF('Lab test'!AU552&gt;0,'Lab test'!AU552,NA())</f>
        <v>1.3280000000000001</v>
      </c>
      <c r="J561">
        <f>IF('Lab test'!AT552&gt;0,'Lab test'!AT552,NA())</f>
        <v>0.13880401464825026</v>
      </c>
      <c r="K561" t="e">
        <f t="shared" si="212"/>
        <v>#N/A</v>
      </c>
      <c r="L561" t="str">
        <f>'Lab test'!AC552</f>
        <v>Tubes</v>
      </c>
      <c r="X561" t="e">
        <v>#N/A</v>
      </c>
      <c r="Z561" t="e">
        <f t="shared" si="202"/>
        <v>#N/A</v>
      </c>
      <c r="AB561" t="e">
        <f t="shared" si="214"/>
        <v>#N/A</v>
      </c>
      <c r="AC561" t="e">
        <f t="shared" si="203"/>
        <v>#N/A</v>
      </c>
      <c r="AE561" t="e">
        <v>#N/A</v>
      </c>
      <c r="AF561" t="e">
        <v>#N/A</v>
      </c>
      <c r="AP561" t="e">
        <v>#N/A</v>
      </c>
      <c r="AR561" t="e">
        <f t="shared" si="204"/>
        <v>#N/A</v>
      </c>
      <c r="AT561" t="e">
        <f t="shared" si="205"/>
        <v>#N/A</v>
      </c>
      <c r="AU561" t="e">
        <f t="shared" si="206"/>
        <v>#N/A</v>
      </c>
      <c r="AW561" t="e">
        <v>#N/A</v>
      </c>
      <c r="AX561" t="e">
        <v>#N/A</v>
      </c>
      <c r="BG561" t="e">
        <v>#N/A</v>
      </c>
      <c r="BI561" t="e">
        <f t="shared" si="207"/>
        <v>#N/A</v>
      </c>
      <c r="BK561" t="e">
        <f t="shared" si="208"/>
        <v>#N/A</v>
      </c>
      <c r="BL561" t="e">
        <f t="shared" si="209"/>
        <v>#N/A</v>
      </c>
      <c r="BN561" t="e">
        <v>#N/A</v>
      </c>
      <c r="BO561" t="e">
        <v>#N/A</v>
      </c>
      <c r="BX561" t="e">
        <v>#N/A</v>
      </c>
      <c r="BZ561" t="e">
        <f t="shared" si="210"/>
        <v>#N/A</v>
      </c>
      <c r="CB561" t="e">
        <f t="shared" si="213"/>
        <v>#N/A</v>
      </c>
      <c r="CC561" t="e">
        <f t="shared" si="211"/>
        <v>#N/A</v>
      </c>
      <c r="CE561" t="e">
        <v>#N/A</v>
      </c>
      <c r="CF561" t="e">
        <v>#N/A</v>
      </c>
    </row>
    <row r="562" spans="2:84">
      <c r="B562">
        <v>550</v>
      </c>
      <c r="C562" t="e">
        <f>IF(ISNUMBER(K562),IF('Lab test'!N553&gt;0,'Lab test'!N553,NA()),NA())</f>
        <v>#N/A</v>
      </c>
      <c r="D562" t="e">
        <f>IF(ISNUMBER(K562),IF('Lab test'!Q553&gt;0,'Lab test'!Q553,NA()),NA())</f>
        <v>#N/A</v>
      </c>
      <c r="E562" t="e">
        <f>IF(ISNUMBER(K562),IF('Lab test'!P553&gt;0,'Lab test'!P553,NA()),NA())</f>
        <v>#N/A</v>
      </c>
      <c r="F562" t="e">
        <f>IF(ISNUMBER(K562),IF('Lab test'!AJ553&gt;0,'Lab test'!AJ553,NA()),NA())</f>
        <v>#N/A</v>
      </c>
      <c r="G562">
        <f>IF('Lab test'!V553&gt;0,'Lab test'!V553,NA())</f>
        <v>73153.374740800005</v>
      </c>
      <c r="H562">
        <f>IF(MAX('Lab test'!W553,'Lab test'!X553)&gt;0,MAX('Lab test'!W553,'Lab test'!X553),NA())</f>
        <v>262.18768271084338</v>
      </c>
      <c r="I562">
        <f>IF('Lab test'!AU553&gt;0,'Lab test'!AU553,NA())</f>
        <v>1.3280000000000001</v>
      </c>
      <c r="J562">
        <f>IF('Lab test'!AT553&gt;0,'Lab test'!AT553,NA())</f>
        <v>0.13880401464825026</v>
      </c>
      <c r="K562" t="e">
        <f t="shared" si="212"/>
        <v>#N/A</v>
      </c>
      <c r="L562" t="str">
        <f>'Lab test'!AC553</f>
        <v>Tubes</v>
      </c>
      <c r="X562" t="e">
        <v>#N/A</v>
      </c>
      <c r="Z562" t="e">
        <f t="shared" si="202"/>
        <v>#N/A</v>
      </c>
      <c r="AB562" t="e">
        <f t="shared" si="214"/>
        <v>#N/A</v>
      </c>
      <c r="AC562" t="e">
        <f t="shared" si="203"/>
        <v>#N/A</v>
      </c>
      <c r="AE562" t="e">
        <v>#N/A</v>
      </c>
      <c r="AF562" t="e">
        <v>#N/A</v>
      </c>
      <c r="AP562" t="e">
        <v>#N/A</v>
      </c>
      <c r="AR562" t="e">
        <f t="shared" si="204"/>
        <v>#N/A</v>
      </c>
      <c r="AT562" t="e">
        <f t="shared" si="205"/>
        <v>#N/A</v>
      </c>
      <c r="AU562" t="e">
        <f t="shared" si="206"/>
        <v>#N/A</v>
      </c>
      <c r="AW562" t="e">
        <v>#N/A</v>
      </c>
      <c r="AX562" t="e">
        <v>#N/A</v>
      </c>
      <c r="BG562" t="e">
        <v>#N/A</v>
      </c>
      <c r="BI562" t="e">
        <f t="shared" si="207"/>
        <v>#N/A</v>
      </c>
      <c r="BK562" t="e">
        <f t="shared" si="208"/>
        <v>#N/A</v>
      </c>
      <c r="BL562" t="e">
        <f t="shared" si="209"/>
        <v>#N/A</v>
      </c>
      <c r="BN562" t="e">
        <v>#N/A</v>
      </c>
      <c r="BO562" t="e">
        <v>#N/A</v>
      </c>
      <c r="BX562" t="e">
        <v>#N/A</v>
      </c>
      <c r="BZ562" t="e">
        <f t="shared" si="210"/>
        <v>#N/A</v>
      </c>
      <c r="CB562" t="e">
        <f t="shared" si="213"/>
        <v>#N/A</v>
      </c>
      <c r="CC562" t="e">
        <f t="shared" si="211"/>
        <v>#N/A</v>
      </c>
      <c r="CE562" t="e">
        <v>#N/A</v>
      </c>
      <c r="CF562" t="e">
        <v>#N/A</v>
      </c>
    </row>
    <row r="563" spans="2:84">
      <c r="B563">
        <v>551</v>
      </c>
      <c r="C563" t="e">
        <f>IF(ISNUMBER(K563),IF('Lab test'!N554&gt;0,'Lab test'!N554,NA()),NA())</f>
        <v>#N/A</v>
      </c>
      <c r="D563" t="e">
        <f>IF(ISNUMBER(K563),IF('Lab test'!Q554&gt;0,'Lab test'!Q554,NA()),NA())</f>
        <v>#N/A</v>
      </c>
      <c r="E563" t="e">
        <f>IF(ISNUMBER(K563),IF('Lab test'!P554&gt;0,'Lab test'!P554,NA()),NA())</f>
        <v>#N/A</v>
      </c>
      <c r="F563" t="e">
        <f>IF(ISNUMBER(K563),IF('Lab test'!AJ554&gt;0,'Lab test'!AJ554,NA()),NA())</f>
        <v>#N/A</v>
      </c>
      <c r="G563">
        <f>IF('Lab test'!V554&gt;0,'Lab test'!V554,NA())</f>
        <v>73153.374740800005</v>
      </c>
      <c r="H563">
        <f>IF(MAX('Lab test'!W554,'Lab test'!X554)&gt;0,MAX('Lab test'!W554,'Lab test'!X554),NA())</f>
        <v>273.26111388835727</v>
      </c>
      <c r="I563">
        <f>IF('Lab test'!AU554&gt;0,'Lab test'!AU554,NA())</f>
        <v>1.254</v>
      </c>
      <c r="J563">
        <f>IF('Lab test'!AT554&gt;0,'Lab test'!AT554,NA())</f>
        <v>0.17762537925898408</v>
      </c>
      <c r="K563" t="e">
        <f t="shared" si="212"/>
        <v>#N/A</v>
      </c>
      <c r="L563" t="str">
        <f>'Lab test'!AC554</f>
        <v>Tubes</v>
      </c>
      <c r="X563" t="e">
        <v>#N/A</v>
      </c>
      <c r="Z563" t="e">
        <f t="shared" si="202"/>
        <v>#N/A</v>
      </c>
      <c r="AB563" t="e">
        <f t="shared" si="214"/>
        <v>#N/A</v>
      </c>
      <c r="AC563" t="e">
        <f t="shared" si="203"/>
        <v>#N/A</v>
      </c>
      <c r="AE563" t="e">
        <v>#N/A</v>
      </c>
      <c r="AF563" t="e">
        <v>#N/A</v>
      </c>
      <c r="AP563" t="e">
        <v>#N/A</v>
      </c>
      <c r="AR563" t="e">
        <f t="shared" si="204"/>
        <v>#N/A</v>
      </c>
      <c r="AT563" t="e">
        <f t="shared" si="205"/>
        <v>#N/A</v>
      </c>
      <c r="AU563" t="e">
        <f t="shared" si="206"/>
        <v>#N/A</v>
      </c>
      <c r="AW563" t="e">
        <v>#N/A</v>
      </c>
      <c r="AX563" t="e">
        <v>#N/A</v>
      </c>
      <c r="BG563" t="e">
        <v>#N/A</v>
      </c>
      <c r="BI563" t="e">
        <f t="shared" si="207"/>
        <v>#N/A</v>
      </c>
      <c r="BK563" t="e">
        <f t="shared" si="208"/>
        <v>#N/A</v>
      </c>
      <c r="BL563" t="e">
        <f t="shared" si="209"/>
        <v>#N/A</v>
      </c>
      <c r="BN563" t="e">
        <v>#N/A</v>
      </c>
      <c r="BO563" t="e">
        <v>#N/A</v>
      </c>
      <c r="BX563" t="e">
        <v>#N/A</v>
      </c>
      <c r="BZ563" t="e">
        <f t="shared" si="210"/>
        <v>#N/A</v>
      </c>
      <c r="CB563" t="e">
        <f t="shared" si="213"/>
        <v>#N/A</v>
      </c>
      <c r="CC563" t="e">
        <f t="shared" si="211"/>
        <v>#N/A</v>
      </c>
      <c r="CE563" t="e">
        <v>#N/A</v>
      </c>
      <c r="CF563" t="e">
        <v>#N/A</v>
      </c>
    </row>
    <row r="564" spans="2:84">
      <c r="B564">
        <v>552</v>
      </c>
      <c r="C564" t="e">
        <f>IF(ISNUMBER(K564),IF('Lab test'!N555&gt;0,'Lab test'!N555,NA()),NA())</f>
        <v>#N/A</v>
      </c>
      <c r="D564" t="e">
        <f>IF(ISNUMBER(K564),IF('Lab test'!Q555&gt;0,'Lab test'!Q555,NA()),NA())</f>
        <v>#N/A</v>
      </c>
      <c r="E564" t="e">
        <f>IF(ISNUMBER(K564),IF('Lab test'!P555&gt;0,'Lab test'!P555,NA()),NA())</f>
        <v>#N/A</v>
      </c>
      <c r="F564" t="e">
        <f>IF(ISNUMBER(K564),IF('Lab test'!AJ555&gt;0,'Lab test'!AJ555,NA()),NA())</f>
        <v>#N/A</v>
      </c>
      <c r="G564">
        <f>IF('Lab test'!V555&gt;0,'Lab test'!V555,NA())</f>
        <v>73153.374740800005</v>
      </c>
      <c r="H564">
        <f>IF(MAX('Lab test'!W555,'Lab test'!X555)&gt;0,MAX('Lab test'!W555,'Lab test'!X555),NA())</f>
        <v>277.35601061476075</v>
      </c>
      <c r="I564">
        <f>IF('Lab test'!AU555&gt;0,'Lab test'!AU555,NA())</f>
        <v>1.2330000000000001</v>
      </c>
      <c r="J564">
        <f>IF('Lab test'!AT555&gt;0,'Lab test'!AT555,NA())</f>
        <v>0.17726798412969036</v>
      </c>
      <c r="K564" t="e">
        <f t="shared" si="212"/>
        <v>#N/A</v>
      </c>
      <c r="L564" t="str">
        <f>'Lab test'!AC555</f>
        <v>Tubes</v>
      </c>
      <c r="X564" t="e">
        <v>#N/A</v>
      </c>
      <c r="Z564" t="e">
        <f t="shared" si="202"/>
        <v>#N/A</v>
      </c>
      <c r="AB564" t="e">
        <f t="shared" si="214"/>
        <v>#N/A</v>
      </c>
      <c r="AC564" t="e">
        <f t="shared" si="203"/>
        <v>#N/A</v>
      </c>
      <c r="AE564" t="e">
        <v>#N/A</v>
      </c>
      <c r="AF564" t="e">
        <v>#N/A</v>
      </c>
      <c r="AP564" t="e">
        <v>#N/A</v>
      </c>
      <c r="AR564" t="e">
        <f t="shared" si="204"/>
        <v>#N/A</v>
      </c>
      <c r="AT564" t="e">
        <f t="shared" si="205"/>
        <v>#N/A</v>
      </c>
      <c r="AU564" t="e">
        <f t="shared" si="206"/>
        <v>#N/A</v>
      </c>
      <c r="AW564" t="e">
        <v>#N/A</v>
      </c>
      <c r="AX564" t="e">
        <v>#N/A</v>
      </c>
      <c r="BG564" t="e">
        <v>#N/A</v>
      </c>
      <c r="BI564" t="e">
        <f t="shared" si="207"/>
        <v>#N/A</v>
      </c>
      <c r="BK564" t="e">
        <f t="shared" si="208"/>
        <v>#N/A</v>
      </c>
      <c r="BL564" t="e">
        <f t="shared" si="209"/>
        <v>#N/A</v>
      </c>
      <c r="BN564" t="e">
        <v>#N/A</v>
      </c>
      <c r="BO564" t="e">
        <v>#N/A</v>
      </c>
      <c r="BX564" t="e">
        <v>#N/A</v>
      </c>
      <c r="BZ564" t="e">
        <f t="shared" si="210"/>
        <v>#N/A</v>
      </c>
      <c r="CB564" t="e">
        <f t="shared" si="213"/>
        <v>#N/A</v>
      </c>
      <c r="CC564" t="e">
        <f t="shared" si="211"/>
        <v>#N/A</v>
      </c>
      <c r="CE564" t="e">
        <v>#N/A</v>
      </c>
      <c r="CF564" t="e">
        <v>#N/A</v>
      </c>
    </row>
    <row r="565" spans="2:84">
      <c r="B565">
        <v>553</v>
      </c>
      <c r="C565" t="e">
        <f>IF(ISNUMBER(K565),IF('Lab test'!N556&gt;0,'Lab test'!N556,NA()),NA())</f>
        <v>#N/A</v>
      </c>
      <c r="D565" t="e">
        <f>IF(ISNUMBER(K565),IF('Lab test'!Q556&gt;0,'Lab test'!Q556,NA()),NA())</f>
        <v>#N/A</v>
      </c>
      <c r="E565" t="e">
        <f>IF(ISNUMBER(K565),IF('Lab test'!P556&gt;0,'Lab test'!P556,NA()),NA())</f>
        <v>#N/A</v>
      </c>
      <c r="F565" t="e">
        <f>IF(ISNUMBER(K565),IF('Lab test'!AJ556&gt;0,'Lab test'!AJ556,NA()),NA())</f>
        <v>#N/A</v>
      </c>
      <c r="G565">
        <f>IF('Lab test'!V556&gt;0,'Lab test'!V556,NA())</f>
        <v>73153.374740800005</v>
      </c>
      <c r="H565">
        <f>IF(MAX('Lab test'!W556,'Lab test'!X556)&gt;0,MAX('Lab test'!W556,'Lab test'!X556),NA())</f>
        <v>286.03458832721208</v>
      </c>
      <c r="I565">
        <f>IF('Lab test'!AU556&gt;0,'Lab test'!AU556,NA())</f>
        <v>1.198</v>
      </c>
      <c r="J565">
        <f>IF('Lab test'!AT556&gt;0,'Lab test'!AT556,NA())</f>
        <v>0.18304314681808162</v>
      </c>
      <c r="K565" t="e">
        <f t="shared" si="212"/>
        <v>#N/A</v>
      </c>
      <c r="L565" t="str">
        <f>'Lab test'!AC556</f>
        <v>Tubes</v>
      </c>
      <c r="X565" t="e">
        <v>#N/A</v>
      </c>
      <c r="Z565" t="e">
        <f t="shared" si="202"/>
        <v>#N/A</v>
      </c>
      <c r="AB565" t="e">
        <f t="shared" si="214"/>
        <v>#N/A</v>
      </c>
      <c r="AC565" t="e">
        <f t="shared" si="203"/>
        <v>#N/A</v>
      </c>
      <c r="AE565" t="e">
        <v>#N/A</v>
      </c>
      <c r="AF565" t="e">
        <v>#N/A</v>
      </c>
      <c r="AP565" t="e">
        <v>#N/A</v>
      </c>
      <c r="AR565" t="e">
        <f t="shared" si="204"/>
        <v>#N/A</v>
      </c>
      <c r="AT565" t="e">
        <f t="shared" si="205"/>
        <v>#N/A</v>
      </c>
      <c r="AU565" t="e">
        <f t="shared" si="206"/>
        <v>#N/A</v>
      </c>
      <c r="AW565" t="e">
        <v>#N/A</v>
      </c>
      <c r="AX565" t="e">
        <v>#N/A</v>
      </c>
      <c r="BG565" t="e">
        <v>#N/A</v>
      </c>
      <c r="BI565" t="e">
        <f t="shared" si="207"/>
        <v>#N/A</v>
      </c>
      <c r="BK565" t="e">
        <f t="shared" si="208"/>
        <v>#N/A</v>
      </c>
      <c r="BL565" t="e">
        <f t="shared" si="209"/>
        <v>#N/A</v>
      </c>
      <c r="BN565" t="e">
        <v>#N/A</v>
      </c>
      <c r="BO565" t="e">
        <v>#N/A</v>
      </c>
      <c r="BX565" t="e">
        <v>#N/A</v>
      </c>
      <c r="BZ565" t="e">
        <f t="shared" si="210"/>
        <v>#N/A</v>
      </c>
      <c r="CB565" t="e">
        <f t="shared" si="213"/>
        <v>#N/A</v>
      </c>
      <c r="CC565" t="e">
        <f t="shared" si="211"/>
        <v>#N/A</v>
      </c>
      <c r="CE565" t="e">
        <v>#N/A</v>
      </c>
      <c r="CF565" t="e">
        <v>#N/A</v>
      </c>
    </row>
    <row r="566" spans="2:84">
      <c r="B566">
        <v>554</v>
      </c>
      <c r="C566" t="e">
        <f>IF(ISNUMBER(K566),IF('Lab test'!N557&gt;0,'Lab test'!N557,NA()),NA())</f>
        <v>#N/A</v>
      </c>
      <c r="D566" t="e">
        <f>IF(ISNUMBER(K566),IF('Lab test'!Q557&gt;0,'Lab test'!Q557,NA()),NA())</f>
        <v>#N/A</v>
      </c>
      <c r="E566" t="e">
        <f>IF(ISNUMBER(K566),IF('Lab test'!P557&gt;0,'Lab test'!P557,NA()),NA())</f>
        <v>#N/A</v>
      </c>
      <c r="F566" t="e">
        <f>IF(ISNUMBER(K566),IF('Lab test'!AJ557&gt;0,'Lab test'!AJ557,NA()),NA())</f>
        <v>#N/A</v>
      </c>
      <c r="G566">
        <f>IF('Lab test'!V557&gt;0,'Lab test'!V557,NA())</f>
        <v>73153.374740800005</v>
      </c>
      <c r="H566">
        <f>IF(MAX('Lab test'!W557,'Lab test'!X557)&gt;0,MAX('Lab test'!W557,'Lab test'!X557),NA())</f>
        <v>284.10271533608585</v>
      </c>
      <c r="I566">
        <f>IF('Lab test'!AU557&gt;0,'Lab test'!AU557,NA())</f>
        <v>1.2110000000000001</v>
      </c>
      <c r="J566">
        <f>IF('Lab test'!AT557&gt;0,'Lab test'!AT557,NA())</f>
        <v>0.18416827963252486</v>
      </c>
      <c r="K566" t="e">
        <f t="shared" si="212"/>
        <v>#N/A</v>
      </c>
      <c r="L566" t="str">
        <f>'Lab test'!AC557</f>
        <v>Tubes</v>
      </c>
      <c r="X566" t="e">
        <v>#N/A</v>
      </c>
      <c r="Z566" t="e">
        <f t="shared" si="202"/>
        <v>#N/A</v>
      </c>
      <c r="AB566" t="e">
        <f t="shared" si="214"/>
        <v>#N/A</v>
      </c>
      <c r="AC566" t="e">
        <f t="shared" si="203"/>
        <v>#N/A</v>
      </c>
      <c r="AE566" t="e">
        <v>#N/A</v>
      </c>
      <c r="AF566" t="e">
        <v>#N/A</v>
      </c>
      <c r="AP566" t="e">
        <v>#N/A</v>
      </c>
      <c r="AR566" t="e">
        <f t="shared" si="204"/>
        <v>#N/A</v>
      </c>
      <c r="AT566" t="e">
        <f t="shared" si="205"/>
        <v>#N/A</v>
      </c>
      <c r="AU566" t="e">
        <f t="shared" si="206"/>
        <v>#N/A</v>
      </c>
      <c r="AW566" t="e">
        <v>#N/A</v>
      </c>
      <c r="AX566" t="e">
        <v>#N/A</v>
      </c>
      <c r="BG566" t="e">
        <v>#N/A</v>
      </c>
      <c r="BI566" t="e">
        <f t="shared" si="207"/>
        <v>#N/A</v>
      </c>
      <c r="BK566" t="e">
        <f t="shared" si="208"/>
        <v>#N/A</v>
      </c>
      <c r="BL566" t="e">
        <f t="shared" si="209"/>
        <v>#N/A</v>
      </c>
      <c r="BN566" t="e">
        <v>#N/A</v>
      </c>
      <c r="BO566" t="e">
        <v>#N/A</v>
      </c>
      <c r="BX566" t="e">
        <v>#N/A</v>
      </c>
      <c r="BZ566" t="e">
        <f t="shared" si="210"/>
        <v>#N/A</v>
      </c>
      <c r="CB566" t="e">
        <f t="shared" si="213"/>
        <v>#N/A</v>
      </c>
      <c r="CC566" t="e">
        <f t="shared" si="211"/>
        <v>#N/A</v>
      </c>
      <c r="CE566" t="e">
        <v>#N/A</v>
      </c>
      <c r="CF566" t="e">
        <v>#N/A</v>
      </c>
    </row>
    <row r="567" spans="2:84">
      <c r="B567">
        <v>555</v>
      </c>
      <c r="C567" t="e">
        <f>IF(ISNUMBER(K567),IF('Lab test'!N558&gt;0,'Lab test'!N558,NA()),NA())</f>
        <v>#N/A</v>
      </c>
      <c r="D567" t="e">
        <f>IF(ISNUMBER(K567),IF('Lab test'!Q558&gt;0,'Lab test'!Q558,NA()),NA())</f>
        <v>#N/A</v>
      </c>
      <c r="E567" t="e">
        <f>IF(ISNUMBER(K567),IF('Lab test'!P558&gt;0,'Lab test'!P558,NA()),NA())</f>
        <v>#N/A</v>
      </c>
      <c r="F567" t="e">
        <f>IF(ISNUMBER(K567),IF('Lab test'!AJ558&gt;0,'Lab test'!AJ558,NA()),NA())</f>
        <v>#N/A</v>
      </c>
      <c r="G567">
        <f>IF('Lab test'!V558&gt;0,'Lab test'!V558,NA())</f>
        <v>73153.374740800005</v>
      </c>
      <c r="H567">
        <f>IF(MAX('Lab test'!W558,'Lab test'!X558)&gt;0,MAX('Lab test'!W558,'Lab test'!X558),NA())</f>
        <v>285.62322178607809</v>
      </c>
      <c r="I567">
        <f>IF('Lab test'!AU558&gt;0,'Lab test'!AU558,NA())</f>
        <v>1.1779999999999999</v>
      </c>
      <c r="J567">
        <f>IF('Lab test'!AT558&gt;0,'Lab test'!AT558,NA())</f>
        <v>0.21202641239041395</v>
      </c>
      <c r="K567" t="e">
        <f t="shared" si="212"/>
        <v>#N/A</v>
      </c>
      <c r="L567" t="str">
        <f>'Lab test'!AC558</f>
        <v>Tubes</v>
      </c>
      <c r="X567" t="e">
        <v>#N/A</v>
      </c>
      <c r="Z567" t="e">
        <f t="shared" si="202"/>
        <v>#N/A</v>
      </c>
      <c r="AB567" t="e">
        <f t="shared" si="214"/>
        <v>#N/A</v>
      </c>
      <c r="AC567" t="e">
        <f t="shared" si="203"/>
        <v>#N/A</v>
      </c>
      <c r="AE567" t="e">
        <v>#N/A</v>
      </c>
      <c r="AF567" t="e">
        <v>#N/A</v>
      </c>
      <c r="AP567" t="e">
        <v>#N/A</v>
      </c>
      <c r="AR567" t="e">
        <f t="shared" si="204"/>
        <v>#N/A</v>
      </c>
      <c r="AT567" t="e">
        <f t="shared" si="205"/>
        <v>#N/A</v>
      </c>
      <c r="AU567" t="e">
        <f t="shared" si="206"/>
        <v>#N/A</v>
      </c>
      <c r="AW567" t="e">
        <v>#N/A</v>
      </c>
      <c r="AX567" t="e">
        <v>#N/A</v>
      </c>
      <c r="BG567" t="e">
        <v>#N/A</v>
      </c>
      <c r="BI567" t="e">
        <f t="shared" si="207"/>
        <v>#N/A</v>
      </c>
      <c r="BK567" t="e">
        <f t="shared" si="208"/>
        <v>#N/A</v>
      </c>
      <c r="BL567" t="e">
        <f t="shared" si="209"/>
        <v>#N/A</v>
      </c>
      <c r="BN567" t="e">
        <v>#N/A</v>
      </c>
      <c r="BO567" t="e">
        <v>#N/A</v>
      </c>
      <c r="BX567" t="e">
        <v>#N/A</v>
      </c>
      <c r="BZ567" t="e">
        <f t="shared" si="210"/>
        <v>#N/A</v>
      </c>
      <c r="CB567" t="e">
        <f t="shared" si="213"/>
        <v>#N/A</v>
      </c>
      <c r="CC567" t="e">
        <f t="shared" si="211"/>
        <v>#N/A</v>
      </c>
      <c r="CE567" t="e">
        <v>#N/A</v>
      </c>
      <c r="CF567" t="e">
        <v>#N/A</v>
      </c>
    </row>
    <row r="568" spans="2:84">
      <c r="B568">
        <v>556</v>
      </c>
      <c r="C568" t="e">
        <f>IF(ISNUMBER(K568),IF('Lab test'!N559&gt;0,'Lab test'!N559,NA()),NA())</f>
        <v>#N/A</v>
      </c>
      <c r="D568" t="e">
        <f>IF(ISNUMBER(K568),IF('Lab test'!Q559&gt;0,'Lab test'!Q559,NA()),NA())</f>
        <v>#N/A</v>
      </c>
      <c r="E568" t="e">
        <f>IF(ISNUMBER(K568),IF('Lab test'!P559&gt;0,'Lab test'!P559,NA()),NA())</f>
        <v>#N/A</v>
      </c>
      <c r="F568" t="e">
        <f>IF(ISNUMBER(K568),IF('Lab test'!AJ559&gt;0,'Lab test'!AJ559,NA()),NA())</f>
        <v>#N/A</v>
      </c>
      <c r="G568">
        <f>IF('Lab test'!V559&gt;0,'Lab test'!V559,NA())</f>
        <v>73153.374740800005</v>
      </c>
      <c r="H568">
        <f>IF(MAX('Lab test'!W559,'Lab test'!X559)&gt;0,MAX('Lab test'!W559,'Lab test'!X559),NA())</f>
        <v>284.00532115063834</v>
      </c>
      <c r="I568">
        <f>IF('Lab test'!AU559&gt;0,'Lab test'!AU559,NA())</f>
        <v>1.175</v>
      </c>
      <c r="J568">
        <f>IF('Lab test'!AT559&gt;0,'Lab test'!AT559,NA())</f>
        <v>0.21066535207231932</v>
      </c>
      <c r="K568" t="e">
        <f t="shared" si="212"/>
        <v>#N/A</v>
      </c>
      <c r="L568" t="str">
        <f>'Lab test'!AC559</f>
        <v>Tubes</v>
      </c>
      <c r="X568" t="e">
        <v>#N/A</v>
      </c>
      <c r="Z568" t="e">
        <f t="shared" si="202"/>
        <v>#N/A</v>
      </c>
      <c r="AB568" t="e">
        <f t="shared" si="214"/>
        <v>#N/A</v>
      </c>
      <c r="AC568" t="e">
        <f t="shared" si="203"/>
        <v>#N/A</v>
      </c>
      <c r="AE568" t="e">
        <v>#N/A</v>
      </c>
      <c r="AF568" t="e">
        <v>#N/A</v>
      </c>
      <c r="AP568" t="e">
        <v>#N/A</v>
      </c>
      <c r="AR568" t="e">
        <f t="shared" si="204"/>
        <v>#N/A</v>
      </c>
      <c r="AT568" t="e">
        <f t="shared" si="205"/>
        <v>#N/A</v>
      </c>
      <c r="AU568" t="e">
        <f t="shared" si="206"/>
        <v>#N/A</v>
      </c>
      <c r="AW568" t="e">
        <v>#N/A</v>
      </c>
      <c r="AX568" t="e">
        <v>#N/A</v>
      </c>
      <c r="BG568" t="e">
        <v>#N/A</v>
      </c>
      <c r="BI568" t="e">
        <f t="shared" si="207"/>
        <v>#N/A</v>
      </c>
      <c r="BK568" t="e">
        <f t="shared" si="208"/>
        <v>#N/A</v>
      </c>
      <c r="BL568" t="e">
        <f t="shared" si="209"/>
        <v>#N/A</v>
      </c>
      <c r="BN568" t="e">
        <v>#N/A</v>
      </c>
      <c r="BO568" t="e">
        <v>#N/A</v>
      </c>
      <c r="BX568" t="e">
        <v>#N/A</v>
      </c>
      <c r="BZ568" t="e">
        <f t="shared" si="210"/>
        <v>#N/A</v>
      </c>
      <c r="CB568" t="e">
        <f t="shared" si="213"/>
        <v>#N/A</v>
      </c>
      <c r="CC568" t="e">
        <f t="shared" si="211"/>
        <v>#N/A</v>
      </c>
      <c r="CE568" t="e">
        <v>#N/A</v>
      </c>
      <c r="CF568" t="e">
        <v>#N/A</v>
      </c>
    </row>
    <row r="569" spans="2:84">
      <c r="B569">
        <v>557</v>
      </c>
      <c r="C569" t="e">
        <f>IF(ISNUMBER(K569),IF('Lab test'!N560&gt;0,'Lab test'!N560,NA()),NA())</f>
        <v>#N/A</v>
      </c>
      <c r="D569" t="e">
        <f>IF(ISNUMBER(K569),IF('Lab test'!Q560&gt;0,'Lab test'!Q560,NA()),NA())</f>
        <v>#N/A</v>
      </c>
      <c r="E569" t="e">
        <f>IF(ISNUMBER(K569),IF('Lab test'!P560&gt;0,'Lab test'!P560,NA()),NA())</f>
        <v>#N/A</v>
      </c>
      <c r="F569" t="e">
        <f>IF(ISNUMBER(K569),IF('Lab test'!AJ560&gt;0,'Lab test'!AJ560,NA()),NA())</f>
        <v>#N/A</v>
      </c>
      <c r="G569">
        <f>IF('Lab test'!V560&gt;0,'Lab test'!V560,NA())</f>
        <v>73153.374740800005</v>
      </c>
      <c r="H569">
        <f>IF(MAX('Lab test'!W560,'Lab test'!X560)&gt;0,MAX('Lab test'!W560,'Lab test'!X560),NA())</f>
        <v>267.6445863966245</v>
      </c>
      <c r="I569">
        <f>IF('Lab test'!AU560&gt;0,'Lab test'!AU560,NA())</f>
        <v>1.1850000000000001</v>
      </c>
      <c r="J569">
        <f>IF('Lab test'!AT560&gt;0,'Lab test'!AT560,NA())</f>
        <v>0.21991869350266069</v>
      </c>
      <c r="K569" t="e">
        <f t="shared" si="212"/>
        <v>#N/A</v>
      </c>
      <c r="L569" t="str">
        <f>'Lab test'!AC560</f>
        <v>Tubes</v>
      </c>
      <c r="X569" t="e">
        <v>#N/A</v>
      </c>
      <c r="Z569" t="e">
        <f t="shared" si="202"/>
        <v>#N/A</v>
      </c>
      <c r="AB569" t="e">
        <f t="shared" si="214"/>
        <v>#N/A</v>
      </c>
      <c r="AC569" t="e">
        <f t="shared" si="203"/>
        <v>#N/A</v>
      </c>
      <c r="AE569" t="e">
        <v>#N/A</v>
      </c>
      <c r="AF569" t="e">
        <v>#N/A</v>
      </c>
      <c r="AP569" t="e">
        <v>#N/A</v>
      </c>
      <c r="AR569" t="e">
        <f t="shared" si="204"/>
        <v>#N/A</v>
      </c>
      <c r="AT569" t="e">
        <f t="shared" si="205"/>
        <v>#N/A</v>
      </c>
      <c r="AU569" t="e">
        <f t="shared" si="206"/>
        <v>#N/A</v>
      </c>
      <c r="AW569" t="e">
        <v>#N/A</v>
      </c>
      <c r="AX569" t="e">
        <v>#N/A</v>
      </c>
      <c r="BG569" t="e">
        <v>#N/A</v>
      </c>
      <c r="BI569" t="e">
        <f t="shared" si="207"/>
        <v>#N/A</v>
      </c>
      <c r="BK569" t="e">
        <f t="shared" si="208"/>
        <v>#N/A</v>
      </c>
      <c r="BL569" t="e">
        <f t="shared" si="209"/>
        <v>#N/A</v>
      </c>
      <c r="BN569" t="e">
        <v>#N/A</v>
      </c>
      <c r="BO569" t="e">
        <v>#N/A</v>
      </c>
      <c r="BX569" t="e">
        <v>#N/A</v>
      </c>
      <c r="BZ569" t="e">
        <f t="shared" si="210"/>
        <v>#N/A</v>
      </c>
      <c r="CB569" t="e">
        <f t="shared" si="213"/>
        <v>#N/A</v>
      </c>
      <c r="CC569" t="e">
        <f t="shared" si="211"/>
        <v>#N/A</v>
      </c>
      <c r="CE569" t="e">
        <v>#N/A</v>
      </c>
      <c r="CF569" t="e">
        <v>#N/A</v>
      </c>
    </row>
    <row r="570" spans="2:84">
      <c r="B570">
        <v>558</v>
      </c>
      <c r="C570" t="e">
        <f>IF(ISNUMBER(K570),IF('Lab test'!N561&gt;0,'Lab test'!N561,NA()),NA())</f>
        <v>#N/A</v>
      </c>
      <c r="D570" t="e">
        <f>IF(ISNUMBER(K570),IF('Lab test'!Q561&gt;0,'Lab test'!Q561,NA()),NA())</f>
        <v>#N/A</v>
      </c>
      <c r="E570" t="e">
        <f>IF(ISNUMBER(K570),IF('Lab test'!P561&gt;0,'Lab test'!P561,NA()),NA())</f>
        <v>#N/A</v>
      </c>
      <c r="F570" t="e">
        <f>IF(ISNUMBER(K570),IF('Lab test'!AJ561&gt;0,'Lab test'!AJ561,NA()),NA())</f>
        <v>#N/A</v>
      </c>
      <c r="G570">
        <f>IF('Lab test'!V561&gt;0,'Lab test'!V561,NA())</f>
        <v>73153.374740800005</v>
      </c>
      <c r="H570">
        <f>IF(MAX('Lab test'!W561,'Lab test'!X561)&gt;0,MAX('Lab test'!W561,'Lab test'!X561),NA())</f>
        <v>266.55881701757323</v>
      </c>
      <c r="I570">
        <f>IF('Lab test'!AU561&gt;0,'Lab test'!AU561,NA())</f>
        <v>1.1950000000000001</v>
      </c>
      <c r="J570">
        <f>IF('Lab test'!AT561&gt;0,'Lab test'!AT561,NA())</f>
        <v>0.2212345927804524</v>
      </c>
      <c r="K570" t="e">
        <f t="shared" si="212"/>
        <v>#N/A</v>
      </c>
      <c r="L570" t="str">
        <f>'Lab test'!AC561</f>
        <v>Tubes</v>
      </c>
      <c r="X570" t="e">
        <v>#N/A</v>
      </c>
      <c r="Z570" t="e">
        <f t="shared" si="202"/>
        <v>#N/A</v>
      </c>
      <c r="AB570" t="e">
        <f t="shared" si="214"/>
        <v>#N/A</v>
      </c>
      <c r="AC570" t="e">
        <f t="shared" si="203"/>
        <v>#N/A</v>
      </c>
      <c r="AE570" t="e">
        <v>#N/A</v>
      </c>
      <c r="AF570" t="e">
        <v>#N/A</v>
      </c>
      <c r="AP570" t="e">
        <v>#N/A</v>
      </c>
      <c r="AR570" t="e">
        <f t="shared" si="204"/>
        <v>#N/A</v>
      </c>
      <c r="AT570" t="e">
        <f t="shared" si="205"/>
        <v>#N/A</v>
      </c>
      <c r="AU570" t="e">
        <f t="shared" si="206"/>
        <v>#N/A</v>
      </c>
      <c r="AW570" t="e">
        <v>#N/A</v>
      </c>
      <c r="AX570" t="e">
        <v>#N/A</v>
      </c>
      <c r="BG570" t="e">
        <v>#N/A</v>
      </c>
      <c r="BI570" t="e">
        <f t="shared" si="207"/>
        <v>#N/A</v>
      </c>
      <c r="BK570" t="e">
        <f t="shared" si="208"/>
        <v>#N/A</v>
      </c>
      <c r="BL570" t="e">
        <f t="shared" si="209"/>
        <v>#N/A</v>
      </c>
      <c r="BN570" t="e">
        <v>#N/A</v>
      </c>
      <c r="BO570" t="e">
        <v>#N/A</v>
      </c>
      <c r="BX570" t="e">
        <v>#N/A</v>
      </c>
      <c r="BZ570" t="e">
        <f t="shared" si="210"/>
        <v>#N/A</v>
      </c>
      <c r="CB570" t="e">
        <f t="shared" si="213"/>
        <v>#N/A</v>
      </c>
      <c r="CC570" t="e">
        <f t="shared" si="211"/>
        <v>#N/A</v>
      </c>
      <c r="CE570" t="e">
        <v>#N/A</v>
      </c>
      <c r="CF570" t="e">
        <v>#N/A</v>
      </c>
    </row>
    <row r="571" spans="2:84">
      <c r="B571">
        <v>559</v>
      </c>
      <c r="C571" t="e">
        <f>IF(ISNUMBER(K571),IF('Lab test'!N562&gt;0,'Lab test'!N562,NA()),NA())</f>
        <v>#N/A</v>
      </c>
      <c r="D571" t="e">
        <f>IF(ISNUMBER(K571),IF('Lab test'!Q562&gt;0,'Lab test'!Q562,NA()),NA())</f>
        <v>#N/A</v>
      </c>
      <c r="E571" t="e">
        <f>IF(ISNUMBER(K571),IF('Lab test'!P562&gt;0,'Lab test'!P562,NA()),NA())</f>
        <v>#N/A</v>
      </c>
      <c r="F571" t="e">
        <f>IF(ISNUMBER(K571),IF('Lab test'!AJ562&gt;0,'Lab test'!AJ562,NA()),NA())</f>
        <v>#N/A</v>
      </c>
      <c r="G571">
        <f>IF('Lab test'!V562&gt;0,'Lab test'!V562,NA())</f>
        <v>73153.374740800005</v>
      </c>
      <c r="H571">
        <f>IF(MAX('Lab test'!W562,'Lab test'!X562)&gt;0,MAX('Lab test'!W562,'Lab test'!X562),NA())</f>
        <v>267.6445863966245</v>
      </c>
      <c r="I571">
        <f>IF('Lab test'!AU562&gt;0,'Lab test'!AU562,NA())</f>
        <v>1.1850000000000001</v>
      </c>
      <c r="J571">
        <f>IF('Lab test'!AT562&gt;0,'Lab test'!AT562,NA())</f>
        <v>0.22027686727058032</v>
      </c>
      <c r="K571" t="e">
        <f t="shared" si="212"/>
        <v>#N/A</v>
      </c>
      <c r="L571" t="str">
        <f>'Lab test'!AC562</f>
        <v>Tubes</v>
      </c>
      <c r="X571" t="e">
        <v>#N/A</v>
      </c>
      <c r="Z571" t="e">
        <f t="shared" si="202"/>
        <v>#N/A</v>
      </c>
      <c r="AB571" t="e">
        <f t="shared" si="214"/>
        <v>#N/A</v>
      </c>
      <c r="AC571" t="e">
        <f t="shared" si="203"/>
        <v>#N/A</v>
      </c>
      <c r="AE571" t="e">
        <v>#N/A</v>
      </c>
      <c r="AF571" t="e">
        <v>#N/A</v>
      </c>
      <c r="AP571" t="e">
        <v>#N/A</v>
      </c>
      <c r="AR571" t="e">
        <f t="shared" si="204"/>
        <v>#N/A</v>
      </c>
      <c r="AT571" t="e">
        <f t="shared" si="205"/>
        <v>#N/A</v>
      </c>
      <c r="AU571" t="e">
        <f t="shared" si="206"/>
        <v>#N/A</v>
      </c>
      <c r="AW571" t="e">
        <v>#N/A</v>
      </c>
      <c r="AX571" t="e">
        <v>#N/A</v>
      </c>
      <c r="BG571" t="e">
        <v>#N/A</v>
      </c>
      <c r="BI571" t="e">
        <f t="shared" si="207"/>
        <v>#N/A</v>
      </c>
      <c r="BK571" t="e">
        <f t="shared" si="208"/>
        <v>#N/A</v>
      </c>
      <c r="BL571" t="e">
        <f t="shared" si="209"/>
        <v>#N/A</v>
      </c>
      <c r="BN571" t="e">
        <v>#N/A</v>
      </c>
      <c r="BO571" t="e">
        <v>#N/A</v>
      </c>
      <c r="BX571" t="e">
        <v>#N/A</v>
      </c>
      <c r="BZ571" t="e">
        <f t="shared" si="210"/>
        <v>#N/A</v>
      </c>
      <c r="CB571" t="e">
        <f t="shared" si="213"/>
        <v>#N/A</v>
      </c>
      <c r="CC571" t="e">
        <f t="shared" si="211"/>
        <v>#N/A</v>
      </c>
      <c r="CE571" t="e">
        <v>#N/A</v>
      </c>
      <c r="CF571" t="e">
        <v>#N/A</v>
      </c>
    </row>
    <row r="572" spans="2:84">
      <c r="B572">
        <v>560</v>
      </c>
      <c r="C572" t="e">
        <f>IF(ISNUMBER(K572),IF('Lab test'!N563&gt;0,'Lab test'!N563,NA()),NA())</f>
        <v>#N/A</v>
      </c>
      <c r="D572" t="e">
        <f>IF(ISNUMBER(K572),IF('Lab test'!Q563&gt;0,'Lab test'!Q563,NA()),NA())</f>
        <v>#N/A</v>
      </c>
      <c r="E572" t="e">
        <f>IF(ISNUMBER(K572),IF('Lab test'!P563&gt;0,'Lab test'!P563,NA()),NA())</f>
        <v>#N/A</v>
      </c>
      <c r="F572" t="e">
        <f>IF(ISNUMBER(K572),IF('Lab test'!AJ563&gt;0,'Lab test'!AJ563,NA()),NA())</f>
        <v>#N/A</v>
      </c>
      <c r="G572">
        <f>IF('Lab test'!V563&gt;0,'Lab test'!V563,NA())</f>
        <v>73153.374740800005</v>
      </c>
      <c r="H572">
        <f>IF(MAX('Lab test'!W563,'Lab test'!X563)&gt;0,MAX('Lab test'!W563,'Lab test'!X563),NA())</f>
        <v>272.37820995221847</v>
      </c>
      <c r="I572">
        <f>IF('Lab test'!AU563&gt;0,'Lab test'!AU563,NA())</f>
        <v>1.1719999999999999</v>
      </c>
      <c r="J572">
        <f>IF('Lab test'!AT563&gt;0,'Lab test'!AT563,NA())</f>
        <v>0.22423702332197012</v>
      </c>
      <c r="K572" t="e">
        <f t="shared" si="212"/>
        <v>#N/A</v>
      </c>
      <c r="L572" t="str">
        <f>'Lab test'!AC563</f>
        <v>Tubes</v>
      </c>
      <c r="X572" t="e">
        <v>#N/A</v>
      </c>
      <c r="Z572" t="e">
        <f t="shared" si="202"/>
        <v>#N/A</v>
      </c>
      <c r="AB572" t="e">
        <f t="shared" si="214"/>
        <v>#N/A</v>
      </c>
      <c r="AC572" t="e">
        <f t="shared" si="203"/>
        <v>#N/A</v>
      </c>
      <c r="AE572" t="e">
        <v>#N/A</v>
      </c>
      <c r="AF572" t="e">
        <v>#N/A</v>
      </c>
      <c r="AP572" t="e">
        <v>#N/A</v>
      </c>
      <c r="AR572" t="e">
        <f t="shared" si="204"/>
        <v>#N/A</v>
      </c>
      <c r="AT572" t="e">
        <f t="shared" si="205"/>
        <v>#N/A</v>
      </c>
      <c r="AU572" t="e">
        <f t="shared" si="206"/>
        <v>#N/A</v>
      </c>
      <c r="AW572" t="e">
        <v>#N/A</v>
      </c>
      <c r="AX572" t="e">
        <v>#N/A</v>
      </c>
      <c r="BG572" t="e">
        <v>#N/A</v>
      </c>
      <c r="BI572" t="e">
        <f t="shared" si="207"/>
        <v>#N/A</v>
      </c>
      <c r="BK572" t="e">
        <f t="shared" si="208"/>
        <v>#N/A</v>
      </c>
      <c r="BL572" t="e">
        <f t="shared" si="209"/>
        <v>#N/A</v>
      </c>
      <c r="BN572" t="e">
        <v>#N/A</v>
      </c>
      <c r="BO572" t="e">
        <v>#N/A</v>
      </c>
      <c r="BX572" t="e">
        <v>#N/A</v>
      </c>
      <c r="BZ572" t="e">
        <f t="shared" si="210"/>
        <v>#N/A</v>
      </c>
      <c r="CB572" t="e">
        <f t="shared" si="213"/>
        <v>#N/A</v>
      </c>
      <c r="CC572" t="e">
        <f t="shared" si="211"/>
        <v>#N/A</v>
      </c>
      <c r="CE572" t="e">
        <v>#N/A</v>
      </c>
      <c r="CF572" t="e">
        <v>#N/A</v>
      </c>
    </row>
    <row r="573" spans="2:84">
      <c r="B573">
        <v>561</v>
      </c>
      <c r="C573" t="e">
        <f>IF(ISNUMBER(K573),IF('Lab test'!N564&gt;0,'Lab test'!N564,NA()),NA())</f>
        <v>#N/A</v>
      </c>
      <c r="D573" t="e">
        <f>IF(ISNUMBER(K573),IF('Lab test'!Q564&gt;0,'Lab test'!Q564,NA()),NA())</f>
        <v>#N/A</v>
      </c>
      <c r="E573" t="e">
        <f>IF(ISNUMBER(K573),IF('Lab test'!P564&gt;0,'Lab test'!P564,NA()),NA())</f>
        <v>#N/A</v>
      </c>
      <c r="F573" t="e">
        <f>IF(ISNUMBER(K573),IF('Lab test'!AJ564&gt;0,'Lab test'!AJ564,NA()),NA())</f>
        <v>#N/A</v>
      </c>
      <c r="G573">
        <f>IF('Lab test'!V564&gt;0,'Lab test'!V564,NA())</f>
        <v>73153.374740800005</v>
      </c>
      <c r="H573">
        <f>IF(MAX('Lab test'!W564,'Lab test'!X564)&gt;0,MAX('Lab test'!W564,'Lab test'!X564),NA())</f>
        <v>285.42488652576418</v>
      </c>
      <c r="I573">
        <f>IF('Lab test'!AU564&gt;0,'Lab test'!AU564,NA())</f>
        <v>1.145</v>
      </c>
      <c r="J573">
        <f>IF('Lab test'!AT564&gt;0,'Lab test'!AT564,NA())</f>
        <v>0.23510058943069806</v>
      </c>
      <c r="K573" t="e">
        <f t="shared" si="212"/>
        <v>#N/A</v>
      </c>
      <c r="L573" t="str">
        <f>'Lab test'!AC564</f>
        <v>Tubes</v>
      </c>
      <c r="X573" t="e">
        <v>#N/A</v>
      </c>
      <c r="Z573" t="e">
        <f t="shared" si="202"/>
        <v>#N/A</v>
      </c>
      <c r="AB573" t="e">
        <f t="shared" si="214"/>
        <v>#N/A</v>
      </c>
      <c r="AC573" t="e">
        <f t="shared" si="203"/>
        <v>#N/A</v>
      </c>
      <c r="AE573" t="e">
        <v>#N/A</v>
      </c>
      <c r="AF573" t="e">
        <v>#N/A</v>
      </c>
      <c r="AP573" t="e">
        <v>#N/A</v>
      </c>
      <c r="AR573" t="e">
        <f t="shared" si="204"/>
        <v>#N/A</v>
      </c>
      <c r="AT573" t="e">
        <f t="shared" si="205"/>
        <v>#N/A</v>
      </c>
      <c r="AU573" t="e">
        <f t="shared" si="206"/>
        <v>#N/A</v>
      </c>
      <c r="AW573" t="e">
        <v>#N/A</v>
      </c>
      <c r="AX573" t="e">
        <v>#N/A</v>
      </c>
      <c r="BG573" t="e">
        <v>#N/A</v>
      </c>
      <c r="BI573" t="e">
        <f t="shared" si="207"/>
        <v>#N/A</v>
      </c>
      <c r="BK573" t="e">
        <f t="shared" si="208"/>
        <v>#N/A</v>
      </c>
      <c r="BL573" t="e">
        <f t="shared" si="209"/>
        <v>#N/A</v>
      </c>
      <c r="BN573" t="e">
        <v>#N/A</v>
      </c>
      <c r="BO573" t="e">
        <v>#N/A</v>
      </c>
      <c r="BX573" t="e">
        <v>#N/A</v>
      </c>
      <c r="BZ573" t="e">
        <f t="shared" si="210"/>
        <v>#N/A</v>
      </c>
      <c r="CB573" t="e">
        <f t="shared" si="213"/>
        <v>#N/A</v>
      </c>
      <c r="CC573" t="e">
        <f t="shared" si="211"/>
        <v>#N/A</v>
      </c>
      <c r="CE573" t="e">
        <v>#N/A</v>
      </c>
      <c r="CF573" t="e">
        <v>#N/A</v>
      </c>
    </row>
    <row r="574" spans="2:84">
      <c r="B574">
        <v>562</v>
      </c>
      <c r="C574" t="e">
        <f>IF(ISNUMBER(K574),IF('Lab test'!N565&gt;0,'Lab test'!N565,NA()),NA())</f>
        <v>#N/A</v>
      </c>
      <c r="D574" t="e">
        <f>IF(ISNUMBER(K574),IF('Lab test'!Q565&gt;0,'Lab test'!Q565,NA()),NA())</f>
        <v>#N/A</v>
      </c>
      <c r="E574" t="e">
        <f>IF(ISNUMBER(K574),IF('Lab test'!P565&gt;0,'Lab test'!P565,NA()),NA())</f>
        <v>#N/A</v>
      </c>
      <c r="F574" t="e">
        <f>IF(ISNUMBER(K574),IF('Lab test'!AJ565&gt;0,'Lab test'!AJ565,NA()),NA())</f>
        <v>#N/A</v>
      </c>
      <c r="G574">
        <f>IF('Lab test'!V565&gt;0,'Lab test'!V565,NA())</f>
        <v>73153.374740800005</v>
      </c>
      <c r="H574">
        <f>IF(MAX('Lab test'!W565,'Lab test'!X565)&gt;0,MAX('Lab test'!W565,'Lab test'!X565),NA())</f>
        <v>284.00840680105171</v>
      </c>
      <c r="I574">
        <f>IF('Lab test'!AU565&gt;0,'Lab test'!AU565,NA())</f>
        <v>1.141</v>
      </c>
      <c r="J574">
        <f>IF('Lab test'!AT565&gt;0,'Lab test'!AT565,NA())</f>
        <v>0.2331166182118736</v>
      </c>
      <c r="K574" t="e">
        <f t="shared" si="212"/>
        <v>#N/A</v>
      </c>
      <c r="L574" t="str">
        <f>'Lab test'!AC565</f>
        <v>Tubes</v>
      </c>
      <c r="X574" t="e">
        <v>#N/A</v>
      </c>
      <c r="Z574" t="e">
        <f t="shared" si="202"/>
        <v>#N/A</v>
      </c>
      <c r="AB574" t="e">
        <f t="shared" si="214"/>
        <v>#N/A</v>
      </c>
      <c r="AC574" t="e">
        <f t="shared" si="203"/>
        <v>#N/A</v>
      </c>
      <c r="AE574" t="e">
        <v>#N/A</v>
      </c>
      <c r="AF574" t="e">
        <v>#N/A</v>
      </c>
      <c r="AP574" t="e">
        <v>#N/A</v>
      </c>
      <c r="AR574" t="e">
        <f t="shared" si="204"/>
        <v>#N/A</v>
      </c>
      <c r="AT574" t="e">
        <f t="shared" si="205"/>
        <v>#N/A</v>
      </c>
      <c r="AU574" t="e">
        <f t="shared" si="206"/>
        <v>#N/A</v>
      </c>
      <c r="AW574" t="e">
        <v>#N/A</v>
      </c>
      <c r="AX574" t="e">
        <v>#N/A</v>
      </c>
      <c r="BG574" t="e">
        <v>#N/A</v>
      </c>
      <c r="BI574" t="e">
        <f t="shared" si="207"/>
        <v>#N/A</v>
      </c>
      <c r="BK574" t="e">
        <f t="shared" si="208"/>
        <v>#N/A</v>
      </c>
      <c r="BL574" t="e">
        <f t="shared" si="209"/>
        <v>#N/A</v>
      </c>
      <c r="BN574" t="e">
        <v>#N/A</v>
      </c>
      <c r="BO574" t="e">
        <v>#N/A</v>
      </c>
      <c r="BX574" t="e">
        <v>#N/A</v>
      </c>
      <c r="BZ574" t="e">
        <f t="shared" si="210"/>
        <v>#N/A</v>
      </c>
      <c r="CB574" t="e">
        <f t="shared" si="213"/>
        <v>#N/A</v>
      </c>
      <c r="CC574" t="e">
        <f t="shared" si="211"/>
        <v>#N/A</v>
      </c>
      <c r="CE574" t="e">
        <v>#N/A</v>
      </c>
      <c r="CF574" t="e">
        <v>#N/A</v>
      </c>
    </row>
    <row r="575" spans="2:84">
      <c r="B575">
        <v>563</v>
      </c>
      <c r="C575" t="e">
        <f>IF(ISNUMBER(K575),IF('Lab test'!N566&gt;0,'Lab test'!N566,NA()),NA())</f>
        <v>#N/A</v>
      </c>
      <c r="D575" t="e">
        <f>IF(ISNUMBER(K575),IF('Lab test'!Q566&gt;0,'Lab test'!Q566,NA()),NA())</f>
        <v>#N/A</v>
      </c>
      <c r="E575" t="e">
        <f>IF(ISNUMBER(K575),IF('Lab test'!P566&gt;0,'Lab test'!P566,NA()),NA())</f>
        <v>#N/A</v>
      </c>
      <c r="F575" t="e">
        <f>IF(ISNUMBER(K575),IF('Lab test'!AJ566&gt;0,'Lab test'!AJ566,NA()),NA())</f>
        <v>#N/A</v>
      </c>
      <c r="G575">
        <f>IF('Lab test'!V566&gt;0,'Lab test'!V566,NA())</f>
        <v>73153.374740800005</v>
      </c>
      <c r="H575">
        <f>IF(MAX('Lab test'!W566,'Lab test'!X566)&gt;0,MAX('Lab test'!W566,'Lab test'!X566),NA())</f>
        <v>289.60637515221583</v>
      </c>
      <c r="I575">
        <f>IF('Lab test'!AU566&gt;0,'Lab test'!AU566,NA())</f>
        <v>1.038</v>
      </c>
      <c r="J575">
        <f>IF('Lab test'!AT566&gt;0,'Lab test'!AT566,NA())</f>
        <v>0.26513891034114151</v>
      </c>
      <c r="K575" t="e">
        <f t="shared" si="212"/>
        <v>#N/A</v>
      </c>
      <c r="L575" t="str">
        <f>'Lab test'!AC566</f>
        <v>Tubes</v>
      </c>
      <c r="X575" t="e">
        <v>#N/A</v>
      </c>
      <c r="Z575" t="e">
        <f t="shared" si="202"/>
        <v>#N/A</v>
      </c>
      <c r="AB575" t="e">
        <f t="shared" si="214"/>
        <v>#N/A</v>
      </c>
      <c r="AC575" t="e">
        <f t="shared" si="203"/>
        <v>#N/A</v>
      </c>
      <c r="AE575" t="e">
        <v>#N/A</v>
      </c>
      <c r="AF575" t="e">
        <v>#N/A</v>
      </c>
      <c r="AP575" t="e">
        <v>#N/A</v>
      </c>
      <c r="AR575" t="e">
        <f t="shared" si="204"/>
        <v>#N/A</v>
      </c>
      <c r="AT575" t="e">
        <f t="shared" si="205"/>
        <v>#N/A</v>
      </c>
      <c r="AU575" t="e">
        <f t="shared" si="206"/>
        <v>#N/A</v>
      </c>
      <c r="AW575" t="e">
        <v>#N/A</v>
      </c>
      <c r="AX575" t="e">
        <v>#N/A</v>
      </c>
      <c r="BG575" t="e">
        <v>#N/A</v>
      </c>
      <c r="BI575" t="e">
        <f t="shared" si="207"/>
        <v>#N/A</v>
      </c>
      <c r="BK575" t="e">
        <f t="shared" si="208"/>
        <v>#N/A</v>
      </c>
      <c r="BL575" t="e">
        <f t="shared" si="209"/>
        <v>#N/A</v>
      </c>
      <c r="BN575" t="e">
        <v>#N/A</v>
      </c>
      <c r="BO575" t="e">
        <v>#N/A</v>
      </c>
      <c r="BX575" t="e">
        <v>#N/A</v>
      </c>
      <c r="BZ575" t="e">
        <f t="shared" si="210"/>
        <v>#N/A</v>
      </c>
      <c r="CB575" t="e">
        <f t="shared" si="213"/>
        <v>#N/A</v>
      </c>
      <c r="CC575" t="e">
        <f t="shared" si="211"/>
        <v>#N/A</v>
      </c>
      <c r="CE575" t="e">
        <v>#N/A</v>
      </c>
      <c r="CF575" t="e">
        <v>#N/A</v>
      </c>
    </row>
    <row r="576" spans="2:84">
      <c r="B576">
        <v>564</v>
      </c>
      <c r="C576" t="e">
        <f>IF(ISNUMBER(K576),IF('Lab test'!N567&gt;0,'Lab test'!N567,NA()),NA())</f>
        <v>#N/A</v>
      </c>
      <c r="D576" t="e">
        <f>IF(ISNUMBER(K576),IF('Lab test'!Q567&gt;0,'Lab test'!Q567,NA()),NA())</f>
        <v>#N/A</v>
      </c>
      <c r="E576" t="e">
        <f>IF(ISNUMBER(K576),IF('Lab test'!P567&gt;0,'Lab test'!P567,NA()),NA())</f>
        <v>#N/A</v>
      </c>
      <c r="F576" t="e">
        <f>IF(ISNUMBER(K576),IF('Lab test'!AJ567&gt;0,'Lab test'!AJ567,NA()),NA())</f>
        <v>#N/A</v>
      </c>
      <c r="G576">
        <f>IF('Lab test'!V567&gt;0,'Lab test'!V567,NA())</f>
        <v>73153.374740800005</v>
      </c>
      <c r="H576">
        <f>IF(MAX('Lab test'!W567,'Lab test'!X567)&gt;0,MAX('Lab test'!W567,'Lab test'!X567),NA())</f>
        <v>290.84267527104532</v>
      </c>
      <c r="I576">
        <f>IF('Lab test'!AU567&gt;0,'Lab test'!AU567,NA())</f>
        <v>1.081</v>
      </c>
      <c r="J576">
        <f>IF('Lab test'!AT567&gt;0,'Lab test'!AT567,NA())</f>
        <v>0.2783664233181391</v>
      </c>
      <c r="K576" t="e">
        <f t="shared" si="212"/>
        <v>#N/A</v>
      </c>
      <c r="L576" t="str">
        <f>'Lab test'!AC567</f>
        <v>Tubes</v>
      </c>
      <c r="X576" t="e">
        <v>#N/A</v>
      </c>
      <c r="Z576" t="e">
        <f t="shared" si="202"/>
        <v>#N/A</v>
      </c>
      <c r="AB576" t="e">
        <f t="shared" si="214"/>
        <v>#N/A</v>
      </c>
      <c r="AC576" t="e">
        <f t="shared" si="203"/>
        <v>#N/A</v>
      </c>
      <c r="AE576" t="e">
        <v>#N/A</v>
      </c>
      <c r="AF576" t="e">
        <v>#N/A</v>
      </c>
      <c r="AP576" t="e">
        <v>#N/A</v>
      </c>
      <c r="AR576" t="e">
        <f t="shared" si="204"/>
        <v>#N/A</v>
      </c>
      <c r="AT576" t="e">
        <f t="shared" si="205"/>
        <v>#N/A</v>
      </c>
      <c r="AU576" t="e">
        <f t="shared" si="206"/>
        <v>#N/A</v>
      </c>
      <c r="AW576" t="e">
        <v>#N/A</v>
      </c>
      <c r="AX576" t="e">
        <v>#N/A</v>
      </c>
      <c r="BG576" t="e">
        <v>#N/A</v>
      </c>
      <c r="BI576" t="e">
        <f t="shared" si="207"/>
        <v>#N/A</v>
      </c>
      <c r="BK576" t="e">
        <f t="shared" si="208"/>
        <v>#N/A</v>
      </c>
      <c r="BL576" t="e">
        <f t="shared" si="209"/>
        <v>#N/A</v>
      </c>
      <c r="BN576" t="e">
        <v>#N/A</v>
      </c>
      <c r="BO576" t="e">
        <v>#N/A</v>
      </c>
      <c r="BX576" t="e">
        <v>#N/A</v>
      </c>
      <c r="BZ576" t="e">
        <f t="shared" si="210"/>
        <v>#N/A</v>
      </c>
      <c r="CB576" t="e">
        <f t="shared" si="213"/>
        <v>#N/A</v>
      </c>
      <c r="CC576" t="e">
        <f t="shared" si="211"/>
        <v>#N/A</v>
      </c>
      <c r="CE576" t="e">
        <v>#N/A</v>
      </c>
      <c r="CF576" t="e">
        <v>#N/A</v>
      </c>
    </row>
    <row r="577" spans="2:84">
      <c r="B577">
        <v>565</v>
      </c>
      <c r="C577" t="e">
        <f>IF(ISNUMBER(K577),IF('Lab test'!N568&gt;0,'Lab test'!N568,NA()),NA())</f>
        <v>#N/A</v>
      </c>
      <c r="D577" t="e">
        <f>IF(ISNUMBER(K577),IF('Lab test'!Q568&gt;0,'Lab test'!Q568,NA()),NA())</f>
        <v>#N/A</v>
      </c>
      <c r="E577" t="e">
        <f>IF(ISNUMBER(K577),IF('Lab test'!P568&gt;0,'Lab test'!P568,NA()),NA())</f>
        <v>#N/A</v>
      </c>
      <c r="F577" t="e">
        <f>IF(ISNUMBER(K577),IF('Lab test'!AJ568&gt;0,'Lab test'!AJ568,NA()),NA())</f>
        <v>#N/A</v>
      </c>
      <c r="G577">
        <f>IF('Lab test'!V568&gt;0,'Lab test'!V568,NA())</f>
        <v>73153.374740800005</v>
      </c>
      <c r="H577">
        <f>IF(MAX('Lab test'!W568,'Lab test'!X568)&gt;0,MAX('Lab test'!W568,'Lab test'!X568),NA())</f>
        <v>281.01265018575293</v>
      </c>
      <c r="I577">
        <f>IF('Lab test'!AU568&gt;0,'Lab test'!AU568,NA())</f>
        <v>1.109</v>
      </c>
      <c r="J577">
        <f>IF('Lab test'!AT568&gt;0,'Lab test'!AT568,NA())</f>
        <v>0.27874016985857697</v>
      </c>
      <c r="K577" t="e">
        <f t="shared" si="212"/>
        <v>#N/A</v>
      </c>
      <c r="L577" t="str">
        <f>'Lab test'!AC568</f>
        <v>Tubes</v>
      </c>
      <c r="X577" t="e">
        <v>#N/A</v>
      </c>
      <c r="Z577" t="e">
        <f t="shared" si="202"/>
        <v>#N/A</v>
      </c>
      <c r="AB577" t="e">
        <f t="shared" si="214"/>
        <v>#N/A</v>
      </c>
      <c r="AC577" t="e">
        <f t="shared" si="203"/>
        <v>#N/A</v>
      </c>
      <c r="AE577" t="e">
        <v>#N/A</v>
      </c>
      <c r="AF577" t="e">
        <v>#N/A</v>
      </c>
      <c r="AP577" t="e">
        <v>#N/A</v>
      </c>
      <c r="AR577" t="e">
        <f t="shared" si="204"/>
        <v>#N/A</v>
      </c>
      <c r="AT577" t="e">
        <f t="shared" si="205"/>
        <v>#N/A</v>
      </c>
      <c r="AU577" t="e">
        <f t="shared" si="206"/>
        <v>#N/A</v>
      </c>
      <c r="AW577" t="e">
        <v>#N/A</v>
      </c>
      <c r="AX577" t="e">
        <v>#N/A</v>
      </c>
      <c r="BG577" t="e">
        <v>#N/A</v>
      </c>
      <c r="BI577" t="e">
        <f t="shared" si="207"/>
        <v>#N/A</v>
      </c>
      <c r="BK577" t="e">
        <f t="shared" si="208"/>
        <v>#N/A</v>
      </c>
      <c r="BL577" t="e">
        <f t="shared" si="209"/>
        <v>#N/A</v>
      </c>
      <c r="BN577" t="e">
        <v>#N/A</v>
      </c>
      <c r="BO577" t="e">
        <v>#N/A</v>
      </c>
      <c r="BX577" t="e">
        <v>#N/A</v>
      </c>
      <c r="BZ577" t="e">
        <f t="shared" si="210"/>
        <v>#N/A</v>
      </c>
      <c r="CB577" t="e">
        <f t="shared" si="213"/>
        <v>#N/A</v>
      </c>
      <c r="CC577" t="e">
        <f t="shared" si="211"/>
        <v>#N/A</v>
      </c>
      <c r="CE577" t="e">
        <v>#N/A</v>
      </c>
      <c r="CF577" t="e">
        <v>#N/A</v>
      </c>
    </row>
    <row r="578" spans="2:84">
      <c r="B578">
        <v>566</v>
      </c>
      <c r="C578" t="e">
        <f>IF(ISNUMBER(K578),IF('Lab test'!N569&gt;0,'Lab test'!N569,NA()),NA())</f>
        <v>#N/A</v>
      </c>
      <c r="D578" t="e">
        <f>IF(ISNUMBER(K578),IF('Lab test'!Q569&gt;0,'Lab test'!Q569,NA()),NA())</f>
        <v>#N/A</v>
      </c>
      <c r="E578" t="e">
        <f>IF(ISNUMBER(K578),IF('Lab test'!P569&gt;0,'Lab test'!P569,NA()),NA())</f>
        <v>#N/A</v>
      </c>
      <c r="F578" t="e">
        <f>IF(ISNUMBER(K578),IF('Lab test'!AJ569&gt;0,'Lab test'!AJ569,NA()),NA())</f>
        <v>#N/A</v>
      </c>
      <c r="G578">
        <f>IF('Lab test'!V569&gt;0,'Lab test'!V569,NA())</f>
        <v>73153.374740800005</v>
      </c>
      <c r="H578">
        <f>IF(MAX('Lab test'!W569,'Lab test'!X569)&gt;0,MAX('Lab test'!W569,'Lab test'!X569),NA())</f>
        <v>290.63413484104626</v>
      </c>
      <c r="I578">
        <f>IF('Lab test'!AU569&gt;0,'Lab test'!AU569,NA())</f>
        <v>0.99399999999999999</v>
      </c>
      <c r="J578">
        <f>IF('Lab test'!AT569&gt;0,'Lab test'!AT569,NA())</f>
        <v>0.31939834298783781</v>
      </c>
      <c r="K578" t="e">
        <f t="shared" si="212"/>
        <v>#N/A</v>
      </c>
      <c r="L578" t="str">
        <f>'Lab test'!AC569</f>
        <v>Tubes</v>
      </c>
      <c r="X578" t="e">
        <v>#N/A</v>
      </c>
      <c r="Z578" t="e">
        <f t="shared" si="202"/>
        <v>#N/A</v>
      </c>
      <c r="AB578" t="e">
        <f t="shared" si="214"/>
        <v>#N/A</v>
      </c>
      <c r="AC578" t="e">
        <f t="shared" si="203"/>
        <v>#N/A</v>
      </c>
      <c r="AE578" t="e">
        <v>#N/A</v>
      </c>
      <c r="AF578" t="e">
        <v>#N/A</v>
      </c>
      <c r="AP578" t="e">
        <v>#N/A</v>
      </c>
      <c r="AR578" t="e">
        <f t="shared" si="204"/>
        <v>#N/A</v>
      </c>
      <c r="AT578" t="e">
        <f t="shared" si="205"/>
        <v>#N/A</v>
      </c>
      <c r="AU578" t="e">
        <f t="shared" si="206"/>
        <v>#N/A</v>
      </c>
      <c r="AW578" t="e">
        <v>#N/A</v>
      </c>
      <c r="AX578" t="e">
        <v>#N/A</v>
      </c>
      <c r="BG578" t="e">
        <v>#N/A</v>
      </c>
      <c r="BI578" t="e">
        <f t="shared" si="207"/>
        <v>#N/A</v>
      </c>
      <c r="BK578" t="e">
        <f t="shared" si="208"/>
        <v>#N/A</v>
      </c>
      <c r="BL578" t="e">
        <f t="shared" si="209"/>
        <v>#N/A</v>
      </c>
      <c r="BN578" t="e">
        <v>#N/A</v>
      </c>
      <c r="BO578" t="e">
        <v>#N/A</v>
      </c>
      <c r="BX578" t="e">
        <v>#N/A</v>
      </c>
      <c r="BZ578" t="e">
        <f t="shared" si="210"/>
        <v>#N/A</v>
      </c>
      <c r="CB578" t="e">
        <f t="shared" si="213"/>
        <v>#N/A</v>
      </c>
      <c r="CC578" t="e">
        <f t="shared" si="211"/>
        <v>#N/A</v>
      </c>
      <c r="CE578" t="e">
        <v>#N/A</v>
      </c>
      <c r="CF578" t="e">
        <v>#N/A</v>
      </c>
    </row>
    <row r="579" spans="2:84">
      <c r="B579">
        <v>567</v>
      </c>
      <c r="C579" t="e">
        <f>IF(ISNUMBER(K579),IF('Lab test'!N570&gt;0,'Lab test'!N570,NA()),NA())</f>
        <v>#N/A</v>
      </c>
      <c r="D579" t="e">
        <f>IF(ISNUMBER(K579),IF('Lab test'!Q570&gt;0,'Lab test'!Q570,NA()),NA())</f>
        <v>#N/A</v>
      </c>
      <c r="E579" t="e">
        <f>IF(ISNUMBER(K579),IF('Lab test'!P570&gt;0,'Lab test'!P570,NA()),NA())</f>
        <v>#N/A</v>
      </c>
      <c r="F579" t="e">
        <f>IF(ISNUMBER(K579),IF('Lab test'!AJ570&gt;0,'Lab test'!AJ570,NA()),NA())</f>
        <v>#N/A</v>
      </c>
      <c r="G579">
        <f>IF('Lab test'!V570&gt;0,'Lab test'!V570,NA())</f>
        <v>73153.374740800005</v>
      </c>
      <c r="H579">
        <f>IF(MAX('Lab test'!W570,'Lab test'!X570)&gt;0,MAX('Lab test'!W570,'Lab test'!X570),NA())</f>
        <v>289.64909980301508</v>
      </c>
      <c r="I579">
        <f>IF('Lab test'!AU570&gt;0,'Lab test'!AU570,NA())</f>
        <v>0.995</v>
      </c>
      <c r="J579">
        <f>IF('Lab test'!AT570&gt;0,'Lab test'!AT570,NA())</f>
        <v>0.32026341050122636</v>
      </c>
      <c r="K579" t="e">
        <f t="shared" si="212"/>
        <v>#N/A</v>
      </c>
      <c r="L579" t="str">
        <f>'Lab test'!AC570</f>
        <v>Tubes</v>
      </c>
      <c r="X579" t="e">
        <v>#N/A</v>
      </c>
      <c r="Z579" t="e">
        <f t="shared" si="202"/>
        <v>#N/A</v>
      </c>
      <c r="AB579" t="e">
        <f t="shared" si="214"/>
        <v>#N/A</v>
      </c>
      <c r="AC579" t="e">
        <f t="shared" si="203"/>
        <v>#N/A</v>
      </c>
      <c r="AE579" t="e">
        <v>#N/A</v>
      </c>
      <c r="AF579" t="e">
        <v>#N/A</v>
      </c>
      <c r="AP579" t="e">
        <v>#N/A</v>
      </c>
      <c r="AR579" t="e">
        <f t="shared" si="204"/>
        <v>#N/A</v>
      </c>
      <c r="AT579" t="e">
        <f t="shared" si="205"/>
        <v>#N/A</v>
      </c>
      <c r="AU579" t="e">
        <f t="shared" si="206"/>
        <v>#N/A</v>
      </c>
      <c r="AW579" t="e">
        <v>#N/A</v>
      </c>
      <c r="AX579" t="e">
        <v>#N/A</v>
      </c>
      <c r="BG579" t="e">
        <v>#N/A</v>
      </c>
      <c r="BI579" t="e">
        <f t="shared" si="207"/>
        <v>#N/A</v>
      </c>
      <c r="BK579" t="e">
        <f t="shared" si="208"/>
        <v>#N/A</v>
      </c>
      <c r="BL579" t="e">
        <f t="shared" si="209"/>
        <v>#N/A</v>
      </c>
      <c r="BN579" t="e">
        <v>#N/A</v>
      </c>
      <c r="BO579" t="e">
        <v>#N/A</v>
      </c>
      <c r="BX579" t="e">
        <v>#N/A</v>
      </c>
      <c r="BZ579" t="e">
        <f t="shared" si="210"/>
        <v>#N/A</v>
      </c>
      <c r="CB579" t="e">
        <f t="shared" si="213"/>
        <v>#N/A</v>
      </c>
      <c r="CC579" t="e">
        <f t="shared" si="211"/>
        <v>#N/A</v>
      </c>
      <c r="CE579" t="e">
        <v>#N/A</v>
      </c>
      <c r="CF579" t="e">
        <v>#N/A</v>
      </c>
    </row>
    <row r="580" spans="2:84">
      <c r="B580">
        <v>568</v>
      </c>
      <c r="C580" t="e">
        <f>IF(ISNUMBER(K580),IF('Lab test'!N571&gt;0,'Lab test'!N571,NA()),NA())</f>
        <v>#N/A</v>
      </c>
      <c r="D580" t="e">
        <f>IF(ISNUMBER(K580),IF('Lab test'!Q571&gt;0,'Lab test'!Q571,NA()),NA())</f>
        <v>#N/A</v>
      </c>
      <c r="E580" t="e">
        <f>IF(ISNUMBER(K580),IF('Lab test'!P571&gt;0,'Lab test'!P571,NA()),NA())</f>
        <v>#N/A</v>
      </c>
      <c r="F580" t="e">
        <f>IF(ISNUMBER(K580),IF('Lab test'!AJ571&gt;0,'Lab test'!AJ571,NA()),NA())</f>
        <v>#N/A</v>
      </c>
      <c r="G580">
        <f>IF('Lab test'!V571&gt;0,'Lab test'!V571,NA())</f>
        <v>195800</v>
      </c>
      <c r="H580">
        <f>IF(MAX('Lab test'!W571,'Lab test'!X571)&gt;0,MAX('Lab test'!W571,'Lab test'!X571),NA())</f>
        <v>239</v>
      </c>
      <c r="I580" t="e">
        <f>IF('Lab test'!AU571&gt;0,'Lab test'!AU571,NA())</f>
        <v>#N/A</v>
      </c>
      <c r="J580" t="e">
        <f>IF('Lab test'!AT571&gt;0,'Lab test'!AT571,NA())</f>
        <v>#N/A</v>
      </c>
      <c r="K580" t="e">
        <f t="shared" si="212"/>
        <v>#N/A</v>
      </c>
      <c r="L580" t="str">
        <f>'Lab test'!AC571</f>
        <v>LTWa</v>
      </c>
      <c r="X580" t="e">
        <v>#N/A</v>
      </c>
      <c r="Z580" t="e">
        <f t="shared" si="202"/>
        <v>#N/A</v>
      </c>
      <c r="AB580" t="e">
        <f t="shared" si="214"/>
        <v>#N/A</v>
      </c>
      <c r="AC580" t="e">
        <f t="shared" si="203"/>
        <v>#N/A</v>
      </c>
      <c r="AE580" t="e">
        <v>#N/A</v>
      </c>
      <c r="AF580" t="e">
        <v>#N/A</v>
      </c>
      <c r="AP580" t="e">
        <v>#N/A</v>
      </c>
      <c r="AR580" t="e">
        <f t="shared" si="204"/>
        <v>#N/A</v>
      </c>
      <c r="AT580" t="e">
        <f t="shared" si="205"/>
        <v>#N/A</v>
      </c>
      <c r="AU580" t="e">
        <f t="shared" si="206"/>
        <v>#N/A</v>
      </c>
      <c r="AW580" t="e">
        <v>#N/A</v>
      </c>
      <c r="AX580" t="e">
        <v>#N/A</v>
      </c>
      <c r="BG580" t="e">
        <v>#N/A</v>
      </c>
      <c r="BI580" t="e">
        <f t="shared" si="207"/>
        <v>#N/A</v>
      </c>
      <c r="BK580" t="e">
        <f t="shared" si="208"/>
        <v>#N/A</v>
      </c>
      <c r="BL580" t="e">
        <f t="shared" si="209"/>
        <v>#N/A</v>
      </c>
      <c r="BN580" t="e">
        <v>#N/A</v>
      </c>
      <c r="BO580" t="e">
        <v>#N/A</v>
      </c>
      <c r="BX580" t="e">
        <v>#N/A</v>
      </c>
      <c r="BZ580" t="e">
        <f t="shared" si="210"/>
        <v>#N/A</v>
      </c>
      <c r="CB580" t="e">
        <f t="shared" si="213"/>
        <v>#N/A</v>
      </c>
      <c r="CC580" t="e">
        <f t="shared" si="211"/>
        <v>#N/A</v>
      </c>
      <c r="CE580" t="e">
        <v>#N/A</v>
      </c>
      <c r="CF580" t="e">
        <v>#N/A</v>
      </c>
    </row>
    <row r="581" spans="2:84">
      <c r="B581">
        <v>569</v>
      </c>
      <c r="C581" t="e">
        <f>IF(ISNUMBER(K581),IF('Lab test'!N572&gt;0,'Lab test'!N572,NA()),NA())</f>
        <v>#N/A</v>
      </c>
      <c r="D581" t="e">
        <f>IF(ISNUMBER(K581),IF('Lab test'!Q572&gt;0,'Lab test'!Q572,NA()),NA())</f>
        <v>#N/A</v>
      </c>
      <c r="E581" t="e">
        <f>IF(ISNUMBER(K581),IF('Lab test'!P572&gt;0,'Lab test'!P572,NA()),NA())</f>
        <v>#N/A</v>
      </c>
      <c r="F581" t="e">
        <f>IF(ISNUMBER(K581),IF('Lab test'!AJ572&gt;0,'Lab test'!AJ572,NA()),NA())</f>
        <v>#N/A</v>
      </c>
      <c r="G581">
        <f>IF('Lab test'!V572&gt;0,'Lab test'!V572,NA())</f>
        <v>195800</v>
      </c>
      <c r="H581">
        <f>IF(MAX('Lab test'!W572,'Lab test'!X572)&gt;0,MAX('Lab test'!W572,'Lab test'!X572),NA())</f>
        <v>239</v>
      </c>
      <c r="I581" t="e">
        <f>IF('Lab test'!AU572&gt;0,'Lab test'!AU572,NA())</f>
        <v>#N/A</v>
      </c>
      <c r="J581" t="e">
        <f>IF('Lab test'!AT572&gt;0,'Lab test'!AT572,NA())</f>
        <v>#N/A</v>
      </c>
      <c r="K581" t="e">
        <f t="shared" si="212"/>
        <v>#N/A</v>
      </c>
      <c r="L581" t="str">
        <f>'Lab test'!AC572</f>
        <v>LTWa</v>
      </c>
      <c r="X581" t="e">
        <v>#N/A</v>
      </c>
      <c r="Z581" t="e">
        <f t="shared" si="202"/>
        <v>#N/A</v>
      </c>
      <c r="AB581" t="e">
        <f t="shared" si="214"/>
        <v>#N/A</v>
      </c>
      <c r="AC581" t="e">
        <f t="shared" si="203"/>
        <v>#N/A</v>
      </c>
      <c r="AE581" t="e">
        <v>#N/A</v>
      </c>
      <c r="AF581" t="e">
        <v>#N/A</v>
      </c>
      <c r="AP581" t="e">
        <v>#N/A</v>
      </c>
      <c r="AR581" t="e">
        <f t="shared" si="204"/>
        <v>#N/A</v>
      </c>
      <c r="AT581" t="e">
        <f t="shared" si="205"/>
        <v>#N/A</v>
      </c>
      <c r="AU581" t="e">
        <f t="shared" si="206"/>
        <v>#N/A</v>
      </c>
      <c r="AW581" t="e">
        <v>#N/A</v>
      </c>
      <c r="AX581" t="e">
        <v>#N/A</v>
      </c>
      <c r="BG581" t="e">
        <v>#N/A</v>
      </c>
      <c r="BI581" t="e">
        <f t="shared" si="207"/>
        <v>#N/A</v>
      </c>
      <c r="BK581" t="e">
        <f t="shared" si="208"/>
        <v>#N/A</v>
      </c>
      <c r="BL581" t="e">
        <f t="shared" si="209"/>
        <v>#N/A</v>
      </c>
      <c r="BN581" t="e">
        <v>#N/A</v>
      </c>
      <c r="BO581" t="e">
        <v>#N/A</v>
      </c>
      <c r="BX581" t="e">
        <v>#N/A</v>
      </c>
      <c r="BZ581" t="e">
        <f t="shared" si="210"/>
        <v>#N/A</v>
      </c>
      <c r="CB581" t="e">
        <f t="shared" si="213"/>
        <v>#N/A</v>
      </c>
      <c r="CC581" t="e">
        <f t="shared" si="211"/>
        <v>#N/A</v>
      </c>
      <c r="CE581" t="e">
        <v>#N/A</v>
      </c>
      <c r="CF581" t="e">
        <v>#N/A</v>
      </c>
    </row>
    <row r="582" spans="2:84">
      <c r="B582">
        <v>570</v>
      </c>
      <c r="C582" t="e">
        <f>IF(ISNUMBER(K582),IF('Lab test'!N573&gt;0,'Lab test'!N573,NA()),NA())</f>
        <v>#N/A</v>
      </c>
      <c r="D582" t="e">
        <f>IF(ISNUMBER(K582),IF('Lab test'!Q573&gt;0,'Lab test'!Q573,NA()),NA())</f>
        <v>#N/A</v>
      </c>
      <c r="E582" t="e">
        <f>IF(ISNUMBER(K582),IF('Lab test'!P573&gt;0,'Lab test'!P573,NA()),NA())</f>
        <v>#N/A</v>
      </c>
      <c r="F582" t="e">
        <f>IF(ISNUMBER(K582),IF('Lab test'!AJ573&gt;0,'Lab test'!AJ573,NA()),NA())</f>
        <v>#N/A</v>
      </c>
      <c r="G582">
        <f>IF('Lab test'!V573&gt;0,'Lab test'!V573,NA())</f>
        <v>195800</v>
      </c>
      <c r="H582">
        <f>IF(MAX('Lab test'!W573,'Lab test'!X573)&gt;0,MAX('Lab test'!W573,'Lab test'!X573),NA())</f>
        <v>239</v>
      </c>
      <c r="I582">
        <f>IF('Lab test'!AU573&gt;0,'Lab test'!AU573,NA())</f>
        <v>0.61087866108786615</v>
      </c>
      <c r="J582">
        <f>IF('Lab test'!AT573&gt;0,'Lab test'!AT573,NA())</f>
        <v>0.26370991891233025</v>
      </c>
      <c r="K582" t="e">
        <f t="shared" si="212"/>
        <v>#N/A</v>
      </c>
      <c r="L582" t="str">
        <f>'Lab test'!AC573</f>
        <v>LTWa</v>
      </c>
      <c r="X582" t="e">
        <v>#N/A</v>
      </c>
      <c r="Z582" t="e">
        <f t="shared" si="202"/>
        <v>#N/A</v>
      </c>
      <c r="AB582" t="e">
        <f t="shared" si="214"/>
        <v>#N/A</v>
      </c>
      <c r="AC582" t="e">
        <f t="shared" si="203"/>
        <v>#N/A</v>
      </c>
      <c r="AE582" t="e">
        <v>#N/A</v>
      </c>
      <c r="AF582" t="e">
        <v>#N/A</v>
      </c>
      <c r="AP582" t="e">
        <v>#N/A</v>
      </c>
      <c r="AR582" t="e">
        <f t="shared" si="204"/>
        <v>#N/A</v>
      </c>
      <c r="AT582" t="e">
        <f t="shared" si="205"/>
        <v>#N/A</v>
      </c>
      <c r="AU582" t="e">
        <f t="shared" si="206"/>
        <v>#N/A</v>
      </c>
      <c r="AW582" t="e">
        <v>#N/A</v>
      </c>
      <c r="AX582" t="e">
        <v>#N/A</v>
      </c>
      <c r="BG582" t="e">
        <v>#N/A</v>
      </c>
      <c r="BI582" t="e">
        <f t="shared" si="207"/>
        <v>#N/A</v>
      </c>
      <c r="BK582" t="e">
        <f t="shared" si="208"/>
        <v>#N/A</v>
      </c>
      <c r="BL582" t="e">
        <f t="shared" si="209"/>
        <v>#N/A</v>
      </c>
      <c r="BN582" t="e">
        <v>#N/A</v>
      </c>
      <c r="BO582" t="e">
        <v>#N/A</v>
      </c>
      <c r="BX582" t="e">
        <v>#N/A</v>
      </c>
      <c r="BZ582" t="e">
        <f t="shared" si="210"/>
        <v>#N/A</v>
      </c>
      <c r="CB582" t="e">
        <f t="shared" si="213"/>
        <v>#N/A</v>
      </c>
      <c r="CC582" t="e">
        <f t="shared" si="211"/>
        <v>#N/A</v>
      </c>
      <c r="CE582" t="e">
        <v>#N/A</v>
      </c>
      <c r="CF582" t="e">
        <v>#N/A</v>
      </c>
    </row>
    <row r="583" spans="2:84">
      <c r="B583">
        <v>571</v>
      </c>
      <c r="C583" t="e">
        <f>IF(ISNUMBER(K583),IF('Lab test'!N574&gt;0,'Lab test'!N574,NA()),NA())</f>
        <v>#N/A</v>
      </c>
      <c r="D583" t="e">
        <f>IF(ISNUMBER(K583),IF('Lab test'!Q574&gt;0,'Lab test'!Q574,NA()),NA())</f>
        <v>#N/A</v>
      </c>
      <c r="E583" t="e">
        <f>IF(ISNUMBER(K583),IF('Lab test'!P574&gt;0,'Lab test'!P574,NA()),NA())</f>
        <v>#N/A</v>
      </c>
      <c r="F583" t="e">
        <f>IF(ISNUMBER(K583),IF('Lab test'!AJ574&gt;0,'Lab test'!AJ574,NA()),NA())</f>
        <v>#N/A</v>
      </c>
      <c r="G583">
        <f>IF('Lab test'!V574&gt;0,'Lab test'!V574,NA())</f>
        <v>205100</v>
      </c>
      <c r="H583">
        <f>IF(MAX('Lab test'!W574,'Lab test'!X574)&gt;0,MAX('Lab test'!W574,'Lab test'!X574),NA())</f>
        <v>203</v>
      </c>
      <c r="I583">
        <f>IF('Lab test'!AU574&gt;0,'Lab test'!AU574,NA())</f>
        <v>0.60591133004926112</v>
      </c>
      <c r="J583">
        <f>IF('Lab test'!AT574&gt;0,'Lab test'!AT574,NA())</f>
        <v>0.21430646249840371</v>
      </c>
      <c r="K583" t="e">
        <f t="shared" si="212"/>
        <v>#N/A</v>
      </c>
      <c r="L583" t="str">
        <f>'Lab test'!AC574</f>
        <v>LTWa</v>
      </c>
      <c r="X583" t="e">
        <v>#N/A</v>
      </c>
      <c r="Z583" t="e">
        <f t="shared" si="202"/>
        <v>#N/A</v>
      </c>
      <c r="AB583" t="e">
        <f t="shared" si="214"/>
        <v>#N/A</v>
      </c>
      <c r="AC583" t="e">
        <f t="shared" si="203"/>
        <v>#N/A</v>
      </c>
      <c r="AE583" t="e">
        <v>#N/A</v>
      </c>
      <c r="AF583" t="e">
        <v>#N/A</v>
      </c>
      <c r="AP583" t="e">
        <v>#N/A</v>
      </c>
      <c r="AR583" t="e">
        <f t="shared" si="204"/>
        <v>#N/A</v>
      </c>
      <c r="AT583" t="e">
        <f t="shared" si="205"/>
        <v>#N/A</v>
      </c>
      <c r="AU583" t="e">
        <f t="shared" si="206"/>
        <v>#N/A</v>
      </c>
      <c r="AW583" t="e">
        <v>#N/A</v>
      </c>
      <c r="AX583" t="e">
        <v>#N/A</v>
      </c>
      <c r="BG583" t="e">
        <v>#N/A</v>
      </c>
      <c r="BI583" t="e">
        <f t="shared" si="207"/>
        <v>#N/A</v>
      </c>
      <c r="BK583" t="e">
        <f t="shared" si="208"/>
        <v>#N/A</v>
      </c>
      <c r="BL583" t="e">
        <f t="shared" si="209"/>
        <v>#N/A</v>
      </c>
      <c r="BN583" t="e">
        <v>#N/A</v>
      </c>
      <c r="BO583" t="e">
        <v>#N/A</v>
      </c>
      <c r="BX583" t="e">
        <v>#N/A</v>
      </c>
      <c r="BZ583" t="e">
        <f t="shared" si="210"/>
        <v>#N/A</v>
      </c>
      <c r="CB583" t="e">
        <f t="shared" si="213"/>
        <v>#N/A</v>
      </c>
      <c r="CC583" t="e">
        <f t="shared" si="211"/>
        <v>#N/A</v>
      </c>
      <c r="CE583" t="e">
        <v>#N/A</v>
      </c>
      <c r="CF583" t="e">
        <v>#N/A</v>
      </c>
    </row>
    <row r="584" spans="2:84">
      <c r="B584">
        <v>572</v>
      </c>
      <c r="C584" t="e">
        <f>IF(ISNUMBER(K584),IF('Lab test'!N575&gt;0,'Lab test'!N575,NA()),NA())</f>
        <v>#N/A</v>
      </c>
      <c r="D584" t="e">
        <f>IF(ISNUMBER(K584),IF('Lab test'!Q575&gt;0,'Lab test'!Q575,NA()),NA())</f>
        <v>#N/A</v>
      </c>
      <c r="E584" t="e">
        <f>IF(ISNUMBER(K584),IF('Lab test'!P575&gt;0,'Lab test'!P575,NA()),NA())</f>
        <v>#N/A</v>
      </c>
      <c r="F584" t="e">
        <f>IF(ISNUMBER(K584),IF('Lab test'!AJ575&gt;0,'Lab test'!AJ575,NA()),NA())</f>
        <v>#N/A</v>
      </c>
      <c r="G584">
        <f>IF('Lab test'!V575&gt;0,'Lab test'!V575,NA())</f>
        <v>205100</v>
      </c>
      <c r="H584">
        <f>IF(MAX('Lab test'!W575,'Lab test'!X575)&gt;0,MAX('Lab test'!W575,'Lab test'!X575),NA())</f>
        <v>203</v>
      </c>
      <c r="I584">
        <f>IF('Lab test'!AU575&gt;0,'Lab test'!AU575,NA())</f>
        <v>0.5714285714285714</v>
      </c>
      <c r="J584">
        <f>IF('Lab test'!AT575&gt;0,'Lab test'!AT575,NA())</f>
        <v>0.20211015975459209</v>
      </c>
      <c r="K584" t="e">
        <f t="shared" si="212"/>
        <v>#N/A</v>
      </c>
      <c r="L584" t="str">
        <f>'Lab test'!AC575</f>
        <v>LTWa</v>
      </c>
      <c r="X584" t="e">
        <v>#N/A</v>
      </c>
      <c r="Z584" t="e">
        <f t="shared" si="202"/>
        <v>#N/A</v>
      </c>
      <c r="AB584" t="e">
        <f t="shared" si="214"/>
        <v>#N/A</v>
      </c>
      <c r="AC584" t="e">
        <f t="shared" si="203"/>
        <v>#N/A</v>
      </c>
      <c r="AE584" t="e">
        <v>#N/A</v>
      </c>
      <c r="AF584" t="e">
        <v>#N/A</v>
      </c>
      <c r="AP584" t="e">
        <v>#N/A</v>
      </c>
      <c r="AR584" t="e">
        <f t="shared" si="204"/>
        <v>#N/A</v>
      </c>
      <c r="AT584" t="e">
        <f t="shared" si="205"/>
        <v>#N/A</v>
      </c>
      <c r="AU584" t="e">
        <f t="shared" si="206"/>
        <v>#N/A</v>
      </c>
      <c r="AW584" t="e">
        <v>#N/A</v>
      </c>
      <c r="AX584" t="e">
        <v>#N/A</v>
      </c>
      <c r="BG584" t="e">
        <v>#N/A</v>
      </c>
      <c r="BI584" t="e">
        <f t="shared" si="207"/>
        <v>#N/A</v>
      </c>
      <c r="BK584" t="e">
        <f t="shared" si="208"/>
        <v>#N/A</v>
      </c>
      <c r="BL584" t="e">
        <f t="shared" si="209"/>
        <v>#N/A</v>
      </c>
      <c r="BN584" t="e">
        <v>#N/A</v>
      </c>
      <c r="BO584" t="e">
        <v>#N/A</v>
      </c>
      <c r="BX584" t="e">
        <v>#N/A</v>
      </c>
      <c r="BZ584" t="e">
        <f t="shared" si="210"/>
        <v>#N/A</v>
      </c>
      <c r="CB584" t="e">
        <f t="shared" si="213"/>
        <v>#N/A</v>
      </c>
      <c r="CC584" t="e">
        <f t="shared" si="211"/>
        <v>#N/A</v>
      </c>
      <c r="CE584" t="e">
        <v>#N/A</v>
      </c>
      <c r="CF584" t="e">
        <v>#N/A</v>
      </c>
    </row>
    <row r="585" spans="2:84">
      <c r="B585">
        <v>573</v>
      </c>
      <c r="C585" t="e">
        <f>IF(ISNUMBER(K585),IF('Lab test'!N576&gt;0,'Lab test'!N576,NA()),NA())</f>
        <v>#N/A</v>
      </c>
      <c r="D585" t="e">
        <f>IF(ISNUMBER(K585),IF('Lab test'!Q576&gt;0,'Lab test'!Q576,NA()),NA())</f>
        <v>#N/A</v>
      </c>
      <c r="E585" t="e">
        <f>IF(ISNUMBER(K585),IF('Lab test'!P576&gt;0,'Lab test'!P576,NA()),NA())</f>
        <v>#N/A</v>
      </c>
      <c r="F585" t="e">
        <f>IF(ISNUMBER(K585),IF('Lab test'!AJ576&gt;0,'Lab test'!AJ576,NA()),NA())</f>
        <v>#N/A</v>
      </c>
      <c r="G585">
        <f>IF('Lab test'!V576&gt;0,'Lab test'!V576,NA())</f>
        <v>202000</v>
      </c>
      <c r="H585">
        <f>IF(MAX('Lab test'!W576,'Lab test'!X576)&gt;0,MAX('Lab test'!W576,'Lab test'!X576),NA())</f>
        <v>376</v>
      </c>
      <c r="I585">
        <f>IF('Lab test'!AU576&gt;0,'Lab test'!AU576,NA())</f>
        <v>0.60904255319148937</v>
      </c>
      <c r="J585">
        <f>IF('Lab test'!AT576&gt;0,'Lab test'!AT576,NA())</f>
        <v>0.2791422411842544</v>
      </c>
      <c r="K585" t="e">
        <f t="shared" si="212"/>
        <v>#N/A</v>
      </c>
      <c r="L585" t="str">
        <f>'Lab test'!AC576</f>
        <v>LTWa</v>
      </c>
      <c r="X585" t="e">
        <v>#N/A</v>
      </c>
      <c r="Z585" t="e">
        <f t="shared" si="202"/>
        <v>#N/A</v>
      </c>
      <c r="AB585" t="e">
        <f t="shared" si="214"/>
        <v>#N/A</v>
      </c>
      <c r="AC585" t="e">
        <f t="shared" si="203"/>
        <v>#N/A</v>
      </c>
      <c r="AE585" t="e">
        <v>#N/A</v>
      </c>
      <c r="AF585" t="e">
        <v>#N/A</v>
      </c>
      <c r="AP585" t="e">
        <v>#N/A</v>
      </c>
      <c r="AR585" t="e">
        <f t="shared" si="204"/>
        <v>#N/A</v>
      </c>
      <c r="AT585" t="e">
        <f t="shared" si="205"/>
        <v>#N/A</v>
      </c>
      <c r="AU585" t="e">
        <f t="shared" si="206"/>
        <v>#N/A</v>
      </c>
      <c r="AW585" t="e">
        <v>#N/A</v>
      </c>
      <c r="AX585" t="e">
        <v>#N/A</v>
      </c>
      <c r="BG585" t="e">
        <v>#N/A</v>
      </c>
      <c r="BI585" t="e">
        <f t="shared" si="207"/>
        <v>#N/A</v>
      </c>
      <c r="BK585" t="e">
        <f t="shared" si="208"/>
        <v>#N/A</v>
      </c>
      <c r="BL585" t="e">
        <f t="shared" si="209"/>
        <v>#N/A</v>
      </c>
      <c r="BN585" t="e">
        <v>#N/A</v>
      </c>
      <c r="BO585" t="e">
        <v>#N/A</v>
      </c>
      <c r="BX585" t="e">
        <v>#N/A</v>
      </c>
      <c r="BZ585" t="e">
        <f t="shared" si="210"/>
        <v>#N/A</v>
      </c>
      <c r="CB585" t="e">
        <f t="shared" si="213"/>
        <v>#N/A</v>
      </c>
      <c r="CC585" t="e">
        <f t="shared" si="211"/>
        <v>#N/A</v>
      </c>
      <c r="CE585" t="e">
        <v>#N/A</v>
      </c>
      <c r="CF585" t="e">
        <v>#N/A</v>
      </c>
    </row>
    <row r="586" spans="2:84">
      <c r="B586">
        <v>574</v>
      </c>
      <c r="C586" t="e">
        <f>IF(ISNUMBER(K586),IF('Lab test'!N577&gt;0,'Lab test'!N577,NA()),NA())</f>
        <v>#N/A</v>
      </c>
      <c r="D586" t="e">
        <f>IF(ISNUMBER(K586),IF('Lab test'!Q577&gt;0,'Lab test'!Q577,NA()),NA())</f>
        <v>#N/A</v>
      </c>
      <c r="E586" t="e">
        <f>IF(ISNUMBER(K586),IF('Lab test'!P577&gt;0,'Lab test'!P577,NA()),NA())</f>
        <v>#N/A</v>
      </c>
      <c r="F586" t="e">
        <f>IF(ISNUMBER(K586),IF('Lab test'!AJ577&gt;0,'Lab test'!AJ577,NA()),NA())</f>
        <v>#N/A</v>
      </c>
      <c r="G586">
        <f>IF('Lab test'!V577&gt;0,'Lab test'!V577,NA())</f>
        <v>204000</v>
      </c>
      <c r="H586">
        <f>IF(MAX('Lab test'!W577,'Lab test'!X577)&gt;0,MAX('Lab test'!W577,'Lab test'!X577),NA())</f>
        <v>306</v>
      </c>
      <c r="I586">
        <f>IF('Lab test'!AU577&gt;0,'Lab test'!AU577,NA())</f>
        <v>0.57843137254901966</v>
      </c>
      <c r="J586">
        <f>IF('Lab test'!AT577&gt;0,'Lab test'!AT577,NA())</f>
        <v>0.31835689332816192</v>
      </c>
      <c r="K586" t="e">
        <f t="shared" si="212"/>
        <v>#N/A</v>
      </c>
      <c r="L586" t="str">
        <f>'Lab test'!AC577</f>
        <v>LTWa</v>
      </c>
      <c r="X586" t="e">
        <v>#N/A</v>
      </c>
      <c r="Z586" t="e">
        <f t="shared" si="202"/>
        <v>#N/A</v>
      </c>
      <c r="AB586" t="e">
        <f t="shared" si="214"/>
        <v>#N/A</v>
      </c>
      <c r="AC586" t="e">
        <f t="shared" si="203"/>
        <v>#N/A</v>
      </c>
      <c r="AE586" t="e">
        <v>#N/A</v>
      </c>
      <c r="AF586" t="e">
        <v>#N/A</v>
      </c>
      <c r="AP586" t="e">
        <v>#N/A</v>
      </c>
      <c r="AR586" t="e">
        <f t="shared" si="204"/>
        <v>#N/A</v>
      </c>
      <c r="AT586" t="e">
        <f t="shared" si="205"/>
        <v>#N/A</v>
      </c>
      <c r="AU586" t="e">
        <f t="shared" si="206"/>
        <v>#N/A</v>
      </c>
      <c r="AW586" t="e">
        <v>#N/A</v>
      </c>
      <c r="AX586" t="e">
        <v>#N/A</v>
      </c>
      <c r="BG586" t="e">
        <v>#N/A</v>
      </c>
      <c r="BI586" t="e">
        <f t="shared" si="207"/>
        <v>#N/A</v>
      </c>
      <c r="BK586" t="e">
        <f t="shared" si="208"/>
        <v>#N/A</v>
      </c>
      <c r="BL586" t="e">
        <f t="shared" si="209"/>
        <v>#N/A</v>
      </c>
      <c r="BN586" t="e">
        <v>#N/A</v>
      </c>
      <c r="BO586" t="e">
        <v>#N/A</v>
      </c>
      <c r="BX586" t="e">
        <v>#N/A</v>
      </c>
      <c r="BZ586" t="e">
        <f t="shared" si="210"/>
        <v>#N/A</v>
      </c>
      <c r="CB586" t="e">
        <f t="shared" si="213"/>
        <v>#N/A</v>
      </c>
      <c r="CC586" t="e">
        <f t="shared" si="211"/>
        <v>#N/A</v>
      </c>
      <c r="CE586" t="e">
        <v>#N/A</v>
      </c>
      <c r="CF586" t="e">
        <v>#N/A</v>
      </c>
    </row>
    <row r="587" spans="2:84">
      <c r="B587">
        <v>575</v>
      </c>
      <c r="C587" t="e">
        <f>IF(ISNUMBER(K587),IF('Lab test'!N578&gt;0,'Lab test'!N578,NA()),NA())</f>
        <v>#N/A</v>
      </c>
      <c r="D587" t="e">
        <f>IF(ISNUMBER(K587),IF('Lab test'!Q578&gt;0,'Lab test'!Q578,NA()),NA())</f>
        <v>#N/A</v>
      </c>
      <c r="E587" t="e">
        <f>IF(ISNUMBER(K587),IF('Lab test'!P578&gt;0,'Lab test'!P578,NA()),NA())</f>
        <v>#N/A</v>
      </c>
      <c r="F587" t="e">
        <f>IF(ISNUMBER(K587),IF('Lab test'!AJ578&gt;0,'Lab test'!AJ578,NA()),NA())</f>
        <v>#N/A</v>
      </c>
      <c r="G587">
        <f>IF('Lab test'!V578&gt;0,'Lab test'!V578,NA())</f>
        <v>165474.17503604069</v>
      </c>
      <c r="H587" t="e">
        <f>IF(MAX('Lab test'!W578,'Lab test'!X578)&gt;0,MAX('Lab test'!W578,'Lab test'!X578),NA())</f>
        <v>#N/A</v>
      </c>
      <c r="I587" t="e">
        <f>IF('Lab test'!AU578&gt;0,'Lab test'!AU578,NA())</f>
        <v>#N/A</v>
      </c>
      <c r="J587">
        <f>IF('Lab test'!AT578&gt;0,'Lab test'!AT578,NA())</f>
        <v>0.68161893022015496</v>
      </c>
      <c r="K587" t="e">
        <f t="shared" si="212"/>
        <v>#N/A</v>
      </c>
      <c r="L587" t="str">
        <f>'Lab test'!AC578</f>
        <v>Electroforming</v>
      </c>
      <c r="X587" t="e">
        <v>#N/A</v>
      </c>
      <c r="Z587" t="e">
        <f t="shared" si="202"/>
        <v>#N/A</v>
      </c>
      <c r="AB587" t="e">
        <f t="shared" si="214"/>
        <v>#N/A</v>
      </c>
      <c r="AC587" t="e">
        <f t="shared" si="203"/>
        <v>#N/A</v>
      </c>
      <c r="AE587" t="e">
        <v>#N/A</v>
      </c>
      <c r="AF587" t="e">
        <v>#N/A</v>
      </c>
      <c r="AP587" t="e">
        <v>#N/A</v>
      </c>
      <c r="AR587" t="e">
        <f t="shared" si="204"/>
        <v>#N/A</v>
      </c>
      <c r="AT587" t="e">
        <f t="shared" si="205"/>
        <v>#N/A</v>
      </c>
      <c r="AU587" t="e">
        <f t="shared" si="206"/>
        <v>#N/A</v>
      </c>
      <c r="AW587" t="e">
        <v>#N/A</v>
      </c>
      <c r="AX587" t="e">
        <v>#N/A</v>
      </c>
      <c r="BG587" t="e">
        <v>#N/A</v>
      </c>
      <c r="BI587" t="e">
        <f t="shared" si="207"/>
        <v>#N/A</v>
      </c>
      <c r="BK587" t="e">
        <f t="shared" si="208"/>
        <v>#N/A</v>
      </c>
      <c r="BL587" t="e">
        <f t="shared" si="209"/>
        <v>#N/A</v>
      </c>
      <c r="BN587" t="e">
        <v>#N/A</v>
      </c>
      <c r="BO587" t="e">
        <v>#N/A</v>
      </c>
      <c r="BX587" t="e">
        <v>#N/A</v>
      </c>
      <c r="BZ587" t="e">
        <f t="shared" si="210"/>
        <v>#N/A</v>
      </c>
      <c r="CB587" t="e">
        <f t="shared" si="213"/>
        <v>#N/A</v>
      </c>
      <c r="CC587" t="e">
        <f t="shared" si="211"/>
        <v>#N/A</v>
      </c>
      <c r="CE587" t="e">
        <v>#N/A</v>
      </c>
      <c r="CF587" t="e">
        <v>#N/A</v>
      </c>
    </row>
    <row r="588" spans="2:84">
      <c r="B588">
        <v>576</v>
      </c>
      <c r="C588" t="e">
        <f>IF(ISNUMBER(K588),IF('Lab test'!N579&gt;0,'Lab test'!N579,NA()),NA())</f>
        <v>#N/A</v>
      </c>
      <c r="D588" t="e">
        <f>IF(ISNUMBER(K588),IF('Lab test'!Q579&gt;0,'Lab test'!Q579,NA()),NA())</f>
        <v>#N/A</v>
      </c>
      <c r="E588" t="e">
        <f>IF(ISNUMBER(K588),IF('Lab test'!P579&gt;0,'Lab test'!P579,NA()),NA())</f>
        <v>#N/A</v>
      </c>
      <c r="F588" t="e">
        <f>IF(ISNUMBER(K588),IF('Lab test'!AJ579&gt;0,'Lab test'!AJ579,NA()),NA())</f>
        <v>#N/A</v>
      </c>
      <c r="G588">
        <f>IF('Lab test'!V579&gt;0,'Lab test'!V579,NA())</f>
        <v>165474.17503604069</v>
      </c>
      <c r="H588" t="e">
        <f>IF(MAX('Lab test'!W579,'Lab test'!X579)&gt;0,MAX('Lab test'!W579,'Lab test'!X579),NA())</f>
        <v>#N/A</v>
      </c>
      <c r="I588" t="e">
        <f>IF('Lab test'!AU579&gt;0,'Lab test'!AU579,NA())</f>
        <v>#N/A</v>
      </c>
      <c r="J588">
        <f>IF('Lab test'!AT579&gt;0,'Lab test'!AT579,NA())</f>
        <v>0.83917908494441196</v>
      </c>
      <c r="K588" t="e">
        <f t="shared" si="212"/>
        <v>#N/A</v>
      </c>
      <c r="L588" t="str">
        <f>'Lab test'!AC579</f>
        <v>Electroforming</v>
      </c>
      <c r="X588" t="e">
        <v>#N/A</v>
      </c>
      <c r="Z588" t="e">
        <f t="shared" si="202"/>
        <v>#N/A</v>
      </c>
      <c r="AB588" t="e">
        <f t="shared" si="214"/>
        <v>#N/A</v>
      </c>
      <c r="AC588" t="e">
        <f t="shared" si="203"/>
        <v>#N/A</v>
      </c>
      <c r="AE588" t="e">
        <v>#N/A</v>
      </c>
      <c r="AF588" t="e">
        <v>#N/A</v>
      </c>
      <c r="AP588" t="e">
        <v>#N/A</v>
      </c>
      <c r="AR588" t="e">
        <f t="shared" si="204"/>
        <v>#N/A</v>
      </c>
      <c r="AT588" t="e">
        <f t="shared" si="205"/>
        <v>#N/A</v>
      </c>
      <c r="AU588" t="e">
        <f t="shared" si="206"/>
        <v>#N/A</v>
      </c>
      <c r="AW588" t="e">
        <v>#N/A</v>
      </c>
      <c r="AX588" t="e">
        <v>#N/A</v>
      </c>
      <c r="BG588" t="e">
        <v>#N/A</v>
      </c>
      <c r="BI588" t="e">
        <f t="shared" si="207"/>
        <v>#N/A</v>
      </c>
      <c r="BK588" t="e">
        <f t="shared" si="208"/>
        <v>#N/A</v>
      </c>
      <c r="BL588" t="e">
        <f t="shared" si="209"/>
        <v>#N/A</v>
      </c>
      <c r="BN588" t="e">
        <v>#N/A</v>
      </c>
      <c r="BO588" t="e">
        <v>#N/A</v>
      </c>
      <c r="BX588" t="e">
        <v>#N/A</v>
      </c>
      <c r="BZ588" t="e">
        <f t="shared" si="210"/>
        <v>#N/A</v>
      </c>
      <c r="CB588" t="e">
        <f t="shared" si="213"/>
        <v>#N/A</v>
      </c>
      <c r="CC588" t="e">
        <f t="shared" si="211"/>
        <v>#N/A</v>
      </c>
      <c r="CE588" t="e">
        <v>#N/A</v>
      </c>
      <c r="CF588" t="e">
        <v>#N/A</v>
      </c>
    </row>
    <row r="589" spans="2:84">
      <c r="B589">
        <v>577</v>
      </c>
      <c r="C589" t="e">
        <f>IF(ISNUMBER(K589),IF('Lab test'!N580&gt;0,'Lab test'!N580,NA()),NA())</f>
        <v>#N/A</v>
      </c>
      <c r="D589" t="e">
        <f>IF(ISNUMBER(K589),IF('Lab test'!Q580&gt;0,'Lab test'!Q580,NA()),NA())</f>
        <v>#N/A</v>
      </c>
      <c r="E589" t="e">
        <f>IF(ISNUMBER(K589),IF('Lab test'!P580&gt;0,'Lab test'!P580,NA()),NA())</f>
        <v>#N/A</v>
      </c>
      <c r="F589" t="e">
        <f>IF(ISNUMBER(K589),IF('Lab test'!AJ580&gt;0,'Lab test'!AJ580,NA()),NA())</f>
        <v>#N/A</v>
      </c>
      <c r="G589">
        <f>IF('Lab test'!V580&gt;0,'Lab test'!V580,NA())</f>
        <v>165474.17503604069</v>
      </c>
      <c r="H589" t="e">
        <f>IF(MAX('Lab test'!W580,'Lab test'!X580)&gt;0,MAX('Lab test'!W580,'Lab test'!X580),NA())</f>
        <v>#N/A</v>
      </c>
      <c r="I589" t="e">
        <f>IF('Lab test'!AU580&gt;0,'Lab test'!AU580,NA())</f>
        <v>#N/A</v>
      </c>
      <c r="J589">
        <f>IF('Lab test'!AT580&gt;0,'Lab test'!AT580,NA())</f>
        <v>0.81040723060346065</v>
      </c>
      <c r="K589" t="e">
        <f t="shared" si="212"/>
        <v>#N/A</v>
      </c>
      <c r="L589" t="str">
        <f>'Lab test'!AC580</f>
        <v>Electroforming</v>
      </c>
      <c r="X589" t="e">
        <v>#N/A</v>
      </c>
      <c r="Z589" t="e">
        <f t="shared" ref="Z589:Z652" si="215">IF(X589=X590,NA(),Y589)</f>
        <v>#N/A</v>
      </c>
      <c r="AB589" t="e">
        <f t="shared" si="214"/>
        <v>#N/A</v>
      </c>
      <c r="AC589" t="e">
        <f t="shared" ref="AC589:AC652" si="216">X589</f>
        <v>#N/A</v>
      </c>
      <c r="AE589" t="e">
        <v>#N/A</v>
      </c>
      <c r="AF589" t="e">
        <v>#N/A</v>
      </c>
      <c r="AP589" t="e">
        <v>#N/A</v>
      </c>
      <c r="AR589" t="e">
        <f t="shared" ref="AR589:AR652" si="217">IF(AP589=AP590,NA(),AQ589)</f>
        <v>#N/A</v>
      </c>
      <c r="AT589" t="e">
        <f t="shared" ref="AT589:AT652" si="218">AR589</f>
        <v>#N/A</v>
      </c>
      <c r="AU589" t="e">
        <f t="shared" ref="AU589:AU652" si="219">AP589</f>
        <v>#N/A</v>
      </c>
      <c r="AW589" t="e">
        <v>#N/A</v>
      </c>
      <c r="AX589" t="e">
        <v>#N/A</v>
      </c>
      <c r="BG589" t="e">
        <v>#N/A</v>
      </c>
      <c r="BI589" t="e">
        <f t="shared" ref="BI589:BI652" si="220">IF(BG589=BG590,NA(),BH589)</f>
        <v>#N/A</v>
      </c>
      <c r="BK589" t="e">
        <f t="shared" ref="BK589:BK652" si="221">BI589</f>
        <v>#N/A</v>
      </c>
      <c r="BL589" t="e">
        <f t="shared" ref="BL589:BL652" si="222">BG589</f>
        <v>#N/A</v>
      </c>
      <c r="BN589" t="e">
        <v>#N/A</v>
      </c>
      <c r="BO589" t="e">
        <v>#N/A</v>
      </c>
      <c r="BX589" t="e">
        <v>#N/A</v>
      </c>
      <c r="BZ589" t="e">
        <f t="shared" ref="BZ589:BZ652" si="223">IF(BX589=BX590,NA(),BY589)</f>
        <v>#N/A</v>
      </c>
      <c r="CB589" t="e">
        <f t="shared" si="213"/>
        <v>#N/A</v>
      </c>
      <c r="CC589" t="e">
        <f t="shared" ref="CC589:CC652" si="224">BX589</f>
        <v>#N/A</v>
      </c>
      <c r="CE589" t="e">
        <v>#N/A</v>
      </c>
      <c r="CF589" t="e">
        <v>#N/A</v>
      </c>
    </row>
    <row r="590" spans="2:84">
      <c r="B590">
        <v>578</v>
      </c>
      <c r="C590" t="e">
        <f>IF(ISNUMBER(K590),IF('Lab test'!N581&gt;0,'Lab test'!N581,NA()),NA())</f>
        <v>#N/A</v>
      </c>
      <c r="D590" t="e">
        <f>IF(ISNUMBER(K590),IF('Lab test'!Q581&gt;0,'Lab test'!Q581,NA()),NA())</f>
        <v>#N/A</v>
      </c>
      <c r="E590" t="e">
        <f>IF(ISNUMBER(K590),IF('Lab test'!P581&gt;0,'Lab test'!P581,NA()),NA())</f>
        <v>#N/A</v>
      </c>
      <c r="F590" t="e">
        <f>IF(ISNUMBER(K590),IF('Lab test'!AJ581&gt;0,'Lab test'!AJ581,NA()),NA())</f>
        <v>#N/A</v>
      </c>
      <c r="G590">
        <f>IF('Lab test'!V581&gt;0,'Lab test'!V581,NA())</f>
        <v>110316.11669069379</v>
      </c>
      <c r="H590" t="e">
        <f>IF(MAX('Lab test'!W581,'Lab test'!X581)&gt;0,MAX('Lab test'!W581,'Lab test'!X581),NA())</f>
        <v>#N/A</v>
      </c>
      <c r="I590" t="e">
        <f>IF('Lab test'!AU581&gt;0,'Lab test'!AU581,NA())</f>
        <v>#N/A</v>
      </c>
      <c r="J590">
        <f>IF('Lab test'!AT581&gt;0,'Lab test'!AT581,NA())</f>
        <v>0.61799999999999999</v>
      </c>
      <c r="K590" t="e">
        <f t="shared" ref="K590:K653" si="225">IF(AND(OR(ISNUMBER(I590),ISNUMBER(J590)),ISNUMBER(G590),ISNUMBER(H590),L590="LTWb"),1,NA())</f>
        <v>#N/A</v>
      </c>
      <c r="L590" t="str">
        <f>'Lab test'!AC581</f>
        <v>Electroforming</v>
      </c>
      <c r="X590" t="e">
        <v>#N/A</v>
      </c>
      <c r="Z590" t="e">
        <f t="shared" si="215"/>
        <v>#N/A</v>
      </c>
      <c r="AB590" t="e">
        <f t="shared" si="214"/>
        <v>#N/A</v>
      </c>
      <c r="AC590" t="e">
        <f t="shared" si="216"/>
        <v>#N/A</v>
      </c>
      <c r="AE590" t="e">
        <v>#N/A</v>
      </c>
      <c r="AF590" t="e">
        <v>#N/A</v>
      </c>
      <c r="AP590" t="e">
        <v>#N/A</v>
      </c>
      <c r="AR590" t="e">
        <f t="shared" si="217"/>
        <v>#N/A</v>
      </c>
      <c r="AT590" t="e">
        <f t="shared" si="218"/>
        <v>#N/A</v>
      </c>
      <c r="AU590" t="e">
        <f t="shared" si="219"/>
        <v>#N/A</v>
      </c>
      <c r="AW590" t="e">
        <v>#N/A</v>
      </c>
      <c r="AX590" t="e">
        <v>#N/A</v>
      </c>
      <c r="BG590" t="e">
        <v>#N/A</v>
      </c>
      <c r="BI590" t="e">
        <f t="shared" si="220"/>
        <v>#N/A</v>
      </c>
      <c r="BK590" t="e">
        <f t="shared" si="221"/>
        <v>#N/A</v>
      </c>
      <c r="BL590" t="e">
        <f t="shared" si="222"/>
        <v>#N/A</v>
      </c>
      <c r="BN590" t="e">
        <v>#N/A</v>
      </c>
      <c r="BO590" t="e">
        <v>#N/A</v>
      </c>
      <c r="BX590" t="e">
        <v>#N/A</v>
      </c>
      <c r="BZ590" t="e">
        <f t="shared" si="223"/>
        <v>#N/A</v>
      </c>
      <c r="CB590" t="e">
        <f t="shared" si="213"/>
        <v>#N/A</v>
      </c>
      <c r="CC590" t="e">
        <f t="shared" si="224"/>
        <v>#N/A</v>
      </c>
      <c r="CE590" t="e">
        <v>#N/A</v>
      </c>
      <c r="CF590" t="e">
        <v>#N/A</v>
      </c>
    </row>
    <row r="591" spans="2:84">
      <c r="B591">
        <v>579</v>
      </c>
      <c r="C591" t="e">
        <f>IF(ISNUMBER(K591),IF('Lab test'!N582&gt;0,'Lab test'!N582,NA()),NA())</f>
        <v>#N/A</v>
      </c>
      <c r="D591" t="e">
        <f>IF(ISNUMBER(K591),IF('Lab test'!Q582&gt;0,'Lab test'!Q582,NA()),NA())</f>
        <v>#N/A</v>
      </c>
      <c r="E591" t="e">
        <f>IF(ISNUMBER(K591),IF('Lab test'!P582&gt;0,'Lab test'!P582,NA()),NA())</f>
        <v>#N/A</v>
      </c>
      <c r="F591" t="e">
        <f>IF(ISNUMBER(K591),IF('Lab test'!AJ582&gt;0,'Lab test'!AJ582,NA()),NA())</f>
        <v>#N/A</v>
      </c>
      <c r="G591">
        <f>IF('Lab test'!V582&gt;0,'Lab test'!V582,NA())</f>
        <v>110316.11669069379</v>
      </c>
      <c r="H591" t="e">
        <f>IF(MAX('Lab test'!W582,'Lab test'!X582)&gt;0,MAX('Lab test'!W582,'Lab test'!X582),NA())</f>
        <v>#N/A</v>
      </c>
      <c r="I591" t="e">
        <f>IF('Lab test'!AU582&gt;0,'Lab test'!AU582,NA())</f>
        <v>#N/A</v>
      </c>
      <c r="J591">
        <f>IF('Lab test'!AT582&gt;0,'Lab test'!AT582,NA())</f>
        <v>0.65600000000000003</v>
      </c>
      <c r="K591" t="e">
        <f t="shared" si="225"/>
        <v>#N/A</v>
      </c>
      <c r="L591" t="str">
        <f>'Lab test'!AC582</f>
        <v>Electroforming</v>
      </c>
      <c r="X591" t="e">
        <v>#N/A</v>
      </c>
      <c r="Z591" t="e">
        <f t="shared" si="215"/>
        <v>#N/A</v>
      </c>
      <c r="AB591" t="e">
        <f t="shared" si="214"/>
        <v>#N/A</v>
      </c>
      <c r="AC591" t="e">
        <f t="shared" si="216"/>
        <v>#N/A</v>
      </c>
      <c r="AE591" t="e">
        <v>#N/A</v>
      </c>
      <c r="AF591" t="e">
        <v>#N/A</v>
      </c>
      <c r="AP591" t="e">
        <v>#N/A</v>
      </c>
      <c r="AR591" t="e">
        <f t="shared" si="217"/>
        <v>#N/A</v>
      </c>
      <c r="AT591" t="e">
        <f t="shared" si="218"/>
        <v>#N/A</v>
      </c>
      <c r="AU591" t="e">
        <f t="shared" si="219"/>
        <v>#N/A</v>
      </c>
      <c r="AW591" t="e">
        <v>#N/A</v>
      </c>
      <c r="AX591" t="e">
        <v>#N/A</v>
      </c>
      <c r="BG591" t="e">
        <v>#N/A</v>
      </c>
      <c r="BI591" t="e">
        <f t="shared" si="220"/>
        <v>#N/A</v>
      </c>
      <c r="BK591" t="e">
        <f t="shared" si="221"/>
        <v>#N/A</v>
      </c>
      <c r="BL591" t="e">
        <f t="shared" si="222"/>
        <v>#N/A</v>
      </c>
      <c r="BN591" t="e">
        <v>#N/A</v>
      </c>
      <c r="BO591" t="e">
        <v>#N/A</v>
      </c>
      <c r="BX591" t="e">
        <v>#N/A</v>
      </c>
      <c r="BZ591" t="e">
        <f t="shared" si="223"/>
        <v>#N/A</v>
      </c>
      <c r="CB591" t="e">
        <f t="shared" si="213"/>
        <v>#N/A</v>
      </c>
      <c r="CC591" t="e">
        <f t="shared" si="224"/>
        <v>#N/A</v>
      </c>
      <c r="CE591" t="e">
        <v>#N/A</v>
      </c>
      <c r="CF591" t="e">
        <v>#N/A</v>
      </c>
    </row>
    <row r="592" spans="2:84">
      <c r="B592">
        <v>580</v>
      </c>
      <c r="C592" t="e">
        <f>IF(ISNUMBER(K592),IF('Lab test'!N583&gt;0,'Lab test'!N583,NA()),NA())</f>
        <v>#N/A</v>
      </c>
      <c r="D592" t="e">
        <f>IF(ISNUMBER(K592),IF('Lab test'!Q583&gt;0,'Lab test'!Q583,NA()),NA())</f>
        <v>#N/A</v>
      </c>
      <c r="E592" t="e">
        <f>IF(ISNUMBER(K592),IF('Lab test'!P583&gt;0,'Lab test'!P583,NA()),NA())</f>
        <v>#N/A</v>
      </c>
      <c r="F592" t="e">
        <f>IF(ISNUMBER(K592),IF('Lab test'!AJ583&gt;0,'Lab test'!AJ583,NA()),NA())</f>
        <v>#N/A</v>
      </c>
      <c r="G592">
        <f>IF('Lab test'!V583&gt;0,'Lab test'!V583,NA())</f>
        <v>115142.44679591163</v>
      </c>
      <c r="H592" t="e">
        <f>IF(MAX('Lab test'!W583,'Lab test'!X583)&gt;0,MAX('Lab test'!W583,'Lab test'!X583),NA())</f>
        <v>#N/A</v>
      </c>
      <c r="I592" t="e">
        <f>IF('Lab test'!AU583&gt;0,'Lab test'!AU583,NA())</f>
        <v>#N/A</v>
      </c>
      <c r="J592">
        <f>IF('Lab test'!AT583&gt;0,'Lab test'!AT583,NA())</f>
        <v>0.68700000000000006</v>
      </c>
      <c r="K592" t="e">
        <f t="shared" si="225"/>
        <v>#N/A</v>
      </c>
      <c r="L592" t="str">
        <f>'Lab test'!AC583</f>
        <v>Electroforming</v>
      </c>
      <c r="X592" t="e">
        <v>#N/A</v>
      </c>
      <c r="Z592" t="e">
        <f t="shared" si="215"/>
        <v>#N/A</v>
      </c>
      <c r="AB592" t="e">
        <f t="shared" si="214"/>
        <v>#N/A</v>
      </c>
      <c r="AC592" t="e">
        <f t="shared" si="216"/>
        <v>#N/A</v>
      </c>
      <c r="AE592" t="e">
        <v>#N/A</v>
      </c>
      <c r="AF592" t="e">
        <v>#N/A</v>
      </c>
      <c r="AP592" t="e">
        <v>#N/A</v>
      </c>
      <c r="AR592" t="e">
        <f t="shared" si="217"/>
        <v>#N/A</v>
      </c>
      <c r="AT592" t="e">
        <f t="shared" si="218"/>
        <v>#N/A</v>
      </c>
      <c r="AU592" t="e">
        <f t="shared" si="219"/>
        <v>#N/A</v>
      </c>
      <c r="AW592" t="e">
        <v>#N/A</v>
      </c>
      <c r="AX592" t="e">
        <v>#N/A</v>
      </c>
      <c r="BG592" t="e">
        <v>#N/A</v>
      </c>
      <c r="BI592" t="e">
        <f t="shared" si="220"/>
        <v>#N/A</v>
      </c>
      <c r="BK592" t="e">
        <f t="shared" si="221"/>
        <v>#N/A</v>
      </c>
      <c r="BL592" t="e">
        <f t="shared" si="222"/>
        <v>#N/A</v>
      </c>
      <c r="BN592" t="e">
        <v>#N/A</v>
      </c>
      <c r="BO592" t="e">
        <v>#N/A</v>
      </c>
      <c r="BX592" t="e">
        <v>#N/A</v>
      </c>
      <c r="BZ592" t="e">
        <f t="shared" si="223"/>
        <v>#N/A</v>
      </c>
      <c r="CB592" t="e">
        <f t="shared" si="213"/>
        <v>#N/A</v>
      </c>
      <c r="CC592" t="e">
        <f t="shared" si="224"/>
        <v>#N/A</v>
      </c>
      <c r="CE592" t="e">
        <v>#N/A</v>
      </c>
      <c r="CF592" t="e">
        <v>#N/A</v>
      </c>
    </row>
    <row r="593" spans="2:84">
      <c r="B593">
        <v>581</v>
      </c>
      <c r="C593" t="e">
        <f>IF(ISNUMBER(K593),IF('Lab test'!N584&gt;0,'Lab test'!N584,NA()),NA())</f>
        <v>#N/A</v>
      </c>
      <c r="D593" t="e">
        <f>IF(ISNUMBER(K593),IF('Lab test'!Q584&gt;0,'Lab test'!Q584,NA()),NA())</f>
        <v>#N/A</v>
      </c>
      <c r="E593" t="e">
        <f>IF(ISNUMBER(K593),IF('Lab test'!P584&gt;0,'Lab test'!P584,NA()),NA())</f>
        <v>#N/A</v>
      </c>
      <c r="F593" t="e">
        <f>IF(ISNUMBER(K593),IF('Lab test'!AJ584&gt;0,'Lab test'!AJ584,NA()),NA())</f>
        <v>#N/A</v>
      </c>
      <c r="G593">
        <f>IF('Lab test'!V584&gt;0,'Lab test'!V584,NA())</f>
        <v>108937.16523206011</v>
      </c>
      <c r="H593" t="e">
        <f>IF(MAX('Lab test'!W584,'Lab test'!X584)&gt;0,MAX('Lab test'!W584,'Lab test'!X584),NA())</f>
        <v>#N/A</v>
      </c>
      <c r="I593" t="e">
        <f>IF('Lab test'!AU584&gt;0,'Lab test'!AU584,NA())</f>
        <v>#N/A</v>
      </c>
      <c r="J593">
        <f>IF('Lab test'!AT584&gt;0,'Lab test'!AT584,NA())</f>
        <v>0.68400000000000005</v>
      </c>
      <c r="K593" t="e">
        <f t="shared" si="225"/>
        <v>#N/A</v>
      </c>
      <c r="L593" t="str">
        <f>'Lab test'!AC584</f>
        <v>Electroforming</v>
      </c>
      <c r="X593" t="e">
        <v>#N/A</v>
      </c>
      <c r="Z593" t="e">
        <f t="shared" si="215"/>
        <v>#N/A</v>
      </c>
      <c r="AB593" t="e">
        <f t="shared" si="214"/>
        <v>#N/A</v>
      </c>
      <c r="AC593" t="e">
        <f t="shared" si="216"/>
        <v>#N/A</v>
      </c>
      <c r="AE593" t="e">
        <v>#N/A</v>
      </c>
      <c r="AF593" t="e">
        <v>#N/A</v>
      </c>
      <c r="AP593" t="e">
        <v>#N/A</v>
      </c>
      <c r="AR593" t="e">
        <f t="shared" si="217"/>
        <v>#N/A</v>
      </c>
      <c r="AT593" t="e">
        <f t="shared" si="218"/>
        <v>#N/A</v>
      </c>
      <c r="AU593" t="e">
        <f t="shared" si="219"/>
        <v>#N/A</v>
      </c>
      <c r="AW593" t="e">
        <v>#N/A</v>
      </c>
      <c r="AX593" t="e">
        <v>#N/A</v>
      </c>
      <c r="BG593" t="e">
        <v>#N/A</v>
      </c>
      <c r="BI593" t="e">
        <f t="shared" si="220"/>
        <v>#N/A</v>
      </c>
      <c r="BK593" t="e">
        <f t="shared" si="221"/>
        <v>#N/A</v>
      </c>
      <c r="BL593" t="e">
        <f t="shared" si="222"/>
        <v>#N/A</v>
      </c>
      <c r="BN593" t="e">
        <v>#N/A</v>
      </c>
      <c r="BO593" t="e">
        <v>#N/A</v>
      </c>
      <c r="BX593" t="e">
        <v>#N/A</v>
      </c>
      <c r="BZ593" t="e">
        <f t="shared" si="223"/>
        <v>#N/A</v>
      </c>
      <c r="CB593" t="e">
        <f t="shared" si="213"/>
        <v>#N/A</v>
      </c>
      <c r="CC593" t="e">
        <f t="shared" si="224"/>
        <v>#N/A</v>
      </c>
      <c r="CE593" t="e">
        <v>#N/A</v>
      </c>
      <c r="CF593" t="e">
        <v>#N/A</v>
      </c>
    </row>
    <row r="594" spans="2:84">
      <c r="B594">
        <v>582</v>
      </c>
      <c r="C594" t="e">
        <f>IF(ISNUMBER(K594),IF('Lab test'!N585&gt;0,'Lab test'!N585,NA()),NA())</f>
        <v>#N/A</v>
      </c>
      <c r="D594" t="e">
        <f>IF(ISNUMBER(K594),IF('Lab test'!Q585&gt;0,'Lab test'!Q585,NA()),NA())</f>
        <v>#N/A</v>
      </c>
      <c r="E594" t="e">
        <f>IF(ISNUMBER(K594),IF('Lab test'!P585&gt;0,'Lab test'!P585,NA()),NA())</f>
        <v>#N/A</v>
      </c>
      <c r="F594" t="e">
        <f>IF(ISNUMBER(K594),IF('Lab test'!AJ585&gt;0,'Lab test'!AJ585,NA()),NA())</f>
        <v>#N/A</v>
      </c>
      <c r="G594">
        <f>IF('Lab test'!V585&gt;0,'Lab test'!V585,NA())</f>
        <v>110316.11669069379</v>
      </c>
      <c r="H594" t="e">
        <f>IF(MAX('Lab test'!W585,'Lab test'!X585)&gt;0,MAX('Lab test'!W585,'Lab test'!X585),NA())</f>
        <v>#N/A</v>
      </c>
      <c r="I594" t="e">
        <f>IF('Lab test'!AU585&gt;0,'Lab test'!AU585,NA())</f>
        <v>#N/A</v>
      </c>
      <c r="J594">
        <f>IF('Lab test'!AT585&gt;0,'Lab test'!AT585,NA())</f>
        <v>0.68799999999999994</v>
      </c>
      <c r="K594" t="e">
        <f t="shared" si="225"/>
        <v>#N/A</v>
      </c>
      <c r="L594" t="str">
        <f>'Lab test'!AC585</f>
        <v>Electroforming</v>
      </c>
      <c r="X594" t="e">
        <v>#N/A</v>
      </c>
      <c r="Z594" t="e">
        <f t="shared" si="215"/>
        <v>#N/A</v>
      </c>
      <c r="AB594" t="e">
        <f t="shared" si="214"/>
        <v>#N/A</v>
      </c>
      <c r="AC594" t="e">
        <f t="shared" si="216"/>
        <v>#N/A</v>
      </c>
      <c r="AE594" t="e">
        <v>#N/A</v>
      </c>
      <c r="AF594" t="e">
        <v>#N/A</v>
      </c>
      <c r="AP594" t="e">
        <v>#N/A</v>
      </c>
      <c r="AR594" t="e">
        <f t="shared" si="217"/>
        <v>#N/A</v>
      </c>
      <c r="AT594" t="e">
        <f t="shared" si="218"/>
        <v>#N/A</v>
      </c>
      <c r="AU594" t="e">
        <f t="shared" si="219"/>
        <v>#N/A</v>
      </c>
      <c r="AW594" t="e">
        <v>#N/A</v>
      </c>
      <c r="AX594" t="e">
        <v>#N/A</v>
      </c>
      <c r="BG594" t="e">
        <v>#N/A</v>
      </c>
      <c r="BI594" t="e">
        <f t="shared" si="220"/>
        <v>#N/A</v>
      </c>
      <c r="BK594" t="e">
        <f t="shared" si="221"/>
        <v>#N/A</v>
      </c>
      <c r="BL594" t="e">
        <f t="shared" si="222"/>
        <v>#N/A</v>
      </c>
      <c r="BN594" t="e">
        <v>#N/A</v>
      </c>
      <c r="BO594" t="e">
        <v>#N/A</v>
      </c>
      <c r="BX594" t="e">
        <v>#N/A</v>
      </c>
      <c r="BZ594" t="e">
        <f t="shared" si="223"/>
        <v>#N/A</v>
      </c>
      <c r="CB594" t="e">
        <f t="shared" si="213"/>
        <v>#N/A</v>
      </c>
      <c r="CC594" t="e">
        <f t="shared" si="224"/>
        <v>#N/A</v>
      </c>
      <c r="CE594" t="e">
        <v>#N/A</v>
      </c>
      <c r="CF594" t="e">
        <v>#N/A</v>
      </c>
    </row>
    <row r="595" spans="2:84">
      <c r="B595">
        <v>583</v>
      </c>
      <c r="C595" t="e">
        <f>IF(ISNUMBER(K595),IF('Lab test'!N586&gt;0,'Lab test'!N586,NA()),NA())</f>
        <v>#N/A</v>
      </c>
      <c r="D595" t="e">
        <f>IF(ISNUMBER(K595),IF('Lab test'!Q586&gt;0,'Lab test'!Q586,NA()),NA())</f>
        <v>#N/A</v>
      </c>
      <c r="E595" t="e">
        <f>IF(ISNUMBER(K595),IF('Lab test'!P586&gt;0,'Lab test'!P586,NA()),NA())</f>
        <v>#N/A</v>
      </c>
      <c r="F595" t="e">
        <f>IF(ISNUMBER(K595),IF('Lab test'!AJ586&gt;0,'Lab test'!AJ586,NA()),NA())</f>
        <v>#N/A</v>
      </c>
      <c r="G595">
        <f>IF('Lab test'!V586&gt;0,'Lab test'!V586,NA())</f>
        <v>114452.97106659482</v>
      </c>
      <c r="H595" t="e">
        <f>IF(MAX('Lab test'!W586,'Lab test'!X586)&gt;0,MAX('Lab test'!W586,'Lab test'!X586),NA())</f>
        <v>#N/A</v>
      </c>
      <c r="I595" t="e">
        <f>IF('Lab test'!AU586&gt;0,'Lab test'!AU586,NA())</f>
        <v>#N/A</v>
      </c>
      <c r="J595">
        <f>IF('Lab test'!AT586&gt;0,'Lab test'!AT586,NA())</f>
        <v>0.67400000000000004</v>
      </c>
      <c r="K595" t="e">
        <f t="shared" si="225"/>
        <v>#N/A</v>
      </c>
      <c r="L595" t="str">
        <f>'Lab test'!AC586</f>
        <v>Electroforming</v>
      </c>
      <c r="X595" t="e">
        <v>#N/A</v>
      </c>
      <c r="Z595" t="e">
        <f t="shared" si="215"/>
        <v>#N/A</v>
      </c>
      <c r="AB595" t="e">
        <f t="shared" si="214"/>
        <v>#N/A</v>
      </c>
      <c r="AC595" t="e">
        <f t="shared" si="216"/>
        <v>#N/A</v>
      </c>
      <c r="AE595" t="e">
        <v>#N/A</v>
      </c>
      <c r="AF595" t="e">
        <v>#N/A</v>
      </c>
      <c r="AP595" t="e">
        <v>#N/A</v>
      </c>
      <c r="AR595" t="e">
        <f t="shared" si="217"/>
        <v>#N/A</v>
      </c>
      <c r="AT595" t="e">
        <f t="shared" si="218"/>
        <v>#N/A</v>
      </c>
      <c r="AU595" t="e">
        <f t="shared" si="219"/>
        <v>#N/A</v>
      </c>
      <c r="AW595" t="e">
        <v>#N/A</v>
      </c>
      <c r="AX595" t="e">
        <v>#N/A</v>
      </c>
      <c r="BG595" t="e">
        <v>#N/A</v>
      </c>
      <c r="BI595" t="e">
        <f t="shared" si="220"/>
        <v>#N/A</v>
      </c>
      <c r="BK595" t="e">
        <f t="shared" si="221"/>
        <v>#N/A</v>
      </c>
      <c r="BL595" t="e">
        <f t="shared" si="222"/>
        <v>#N/A</v>
      </c>
      <c r="BN595" t="e">
        <v>#N/A</v>
      </c>
      <c r="BO595" t="e">
        <v>#N/A</v>
      </c>
      <c r="BX595" t="e">
        <v>#N/A</v>
      </c>
      <c r="BZ595" t="e">
        <f t="shared" si="223"/>
        <v>#N/A</v>
      </c>
      <c r="CB595" t="e">
        <f t="shared" si="213"/>
        <v>#N/A</v>
      </c>
      <c r="CC595" t="e">
        <f t="shared" si="224"/>
        <v>#N/A</v>
      </c>
      <c r="CE595" t="e">
        <v>#N/A</v>
      </c>
      <c r="CF595" t="e">
        <v>#N/A</v>
      </c>
    </row>
    <row r="596" spans="2:84">
      <c r="B596">
        <v>584</v>
      </c>
      <c r="C596" t="e">
        <f>IF(ISNUMBER(K596),IF('Lab test'!N587&gt;0,'Lab test'!N587,NA()),NA())</f>
        <v>#N/A</v>
      </c>
      <c r="D596" t="e">
        <f>IF(ISNUMBER(K596),IF('Lab test'!Q587&gt;0,'Lab test'!Q587,NA()),NA())</f>
        <v>#N/A</v>
      </c>
      <c r="E596" t="e">
        <f>IF(ISNUMBER(K596),IF('Lab test'!P587&gt;0,'Lab test'!P587,NA()),NA())</f>
        <v>#N/A</v>
      </c>
      <c r="F596" t="e">
        <f>IF(ISNUMBER(K596),IF('Lab test'!AJ587&gt;0,'Lab test'!AJ587,NA()),NA())</f>
        <v>#N/A</v>
      </c>
      <c r="G596">
        <f>IF('Lab test'!V587&gt;0,'Lab test'!V587,NA())</f>
        <v>118589.82544249581</v>
      </c>
      <c r="H596" t="e">
        <f>IF(MAX('Lab test'!W587,'Lab test'!X587)&gt;0,MAX('Lab test'!W587,'Lab test'!X587),NA())</f>
        <v>#N/A</v>
      </c>
      <c r="I596" t="e">
        <f>IF('Lab test'!AU587&gt;0,'Lab test'!AU587,NA())</f>
        <v>#N/A</v>
      </c>
      <c r="J596">
        <f>IF('Lab test'!AT587&gt;0,'Lab test'!AT587,NA())</f>
        <v>0.61199999999999999</v>
      </c>
      <c r="K596" t="e">
        <f t="shared" si="225"/>
        <v>#N/A</v>
      </c>
      <c r="L596" t="str">
        <f>'Lab test'!AC587</f>
        <v>Electroforming</v>
      </c>
      <c r="X596" t="e">
        <v>#N/A</v>
      </c>
      <c r="Z596" t="e">
        <f t="shared" si="215"/>
        <v>#N/A</v>
      </c>
      <c r="AB596" t="e">
        <f t="shared" si="214"/>
        <v>#N/A</v>
      </c>
      <c r="AC596" t="e">
        <f t="shared" si="216"/>
        <v>#N/A</v>
      </c>
      <c r="AE596" t="e">
        <v>#N/A</v>
      </c>
      <c r="AF596" t="e">
        <v>#N/A</v>
      </c>
      <c r="AP596" t="e">
        <v>#N/A</v>
      </c>
      <c r="AR596" t="e">
        <f t="shared" si="217"/>
        <v>#N/A</v>
      </c>
      <c r="AT596" t="e">
        <f t="shared" si="218"/>
        <v>#N/A</v>
      </c>
      <c r="AU596" t="e">
        <f t="shared" si="219"/>
        <v>#N/A</v>
      </c>
      <c r="AW596" t="e">
        <v>#N/A</v>
      </c>
      <c r="AX596" t="e">
        <v>#N/A</v>
      </c>
      <c r="BG596" t="e">
        <v>#N/A</v>
      </c>
      <c r="BI596" t="e">
        <f t="shared" si="220"/>
        <v>#N/A</v>
      </c>
      <c r="BK596" t="e">
        <f t="shared" si="221"/>
        <v>#N/A</v>
      </c>
      <c r="BL596" t="e">
        <f t="shared" si="222"/>
        <v>#N/A</v>
      </c>
      <c r="BN596" t="e">
        <v>#N/A</v>
      </c>
      <c r="BO596" t="e">
        <v>#N/A</v>
      </c>
      <c r="BX596" t="e">
        <v>#N/A</v>
      </c>
      <c r="BZ596" t="e">
        <f t="shared" si="223"/>
        <v>#N/A</v>
      </c>
      <c r="CB596" t="e">
        <f t="shared" ref="CB596:CB659" si="226">BZ596</f>
        <v>#N/A</v>
      </c>
      <c r="CC596" t="e">
        <f t="shared" si="224"/>
        <v>#N/A</v>
      </c>
      <c r="CE596" t="e">
        <v>#N/A</v>
      </c>
      <c r="CF596" t="e">
        <v>#N/A</v>
      </c>
    </row>
    <row r="597" spans="2:84">
      <c r="B597">
        <v>585</v>
      </c>
      <c r="C597" t="e">
        <f>IF(ISNUMBER(K597),IF('Lab test'!N588&gt;0,'Lab test'!N588,NA()),NA())</f>
        <v>#N/A</v>
      </c>
      <c r="D597" t="e">
        <f>IF(ISNUMBER(K597),IF('Lab test'!Q588&gt;0,'Lab test'!Q588,NA()),NA())</f>
        <v>#N/A</v>
      </c>
      <c r="E597" t="e">
        <f>IF(ISNUMBER(K597),IF('Lab test'!P588&gt;0,'Lab test'!P588,NA()),NA())</f>
        <v>#N/A</v>
      </c>
      <c r="F597" t="e">
        <f>IF(ISNUMBER(K597),IF('Lab test'!AJ588&gt;0,'Lab test'!AJ588,NA()),NA())</f>
        <v>#N/A</v>
      </c>
      <c r="G597">
        <f>IF('Lab test'!V588&gt;0,'Lab test'!V588,NA())</f>
        <v>115142.44679591163</v>
      </c>
      <c r="H597" t="e">
        <f>IF(MAX('Lab test'!W588,'Lab test'!X588)&gt;0,MAX('Lab test'!W588,'Lab test'!X588),NA())</f>
        <v>#N/A</v>
      </c>
      <c r="I597" t="e">
        <f>IF('Lab test'!AU588&gt;0,'Lab test'!AU588,NA())</f>
        <v>#N/A</v>
      </c>
      <c r="J597">
        <f>IF('Lab test'!AT588&gt;0,'Lab test'!AT588,NA())</f>
        <v>0.65500000000000003</v>
      </c>
      <c r="K597" t="e">
        <f t="shared" si="225"/>
        <v>#N/A</v>
      </c>
      <c r="L597" t="str">
        <f>'Lab test'!AC588</f>
        <v>Electroforming</v>
      </c>
      <c r="X597" t="e">
        <v>#N/A</v>
      </c>
      <c r="Z597" t="e">
        <f t="shared" si="215"/>
        <v>#N/A</v>
      </c>
      <c r="AB597" t="e">
        <f t="shared" si="214"/>
        <v>#N/A</v>
      </c>
      <c r="AC597" t="e">
        <f t="shared" si="216"/>
        <v>#N/A</v>
      </c>
      <c r="AE597" t="e">
        <v>#N/A</v>
      </c>
      <c r="AF597" t="e">
        <v>#N/A</v>
      </c>
      <c r="AP597" t="e">
        <v>#N/A</v>
      </c>
      <c r="AR597" t="e">
        <f t="shared" si="217"/>
        <v>#N/A</v>
      </c>
      <c r="AT597" t="e">
        <f t="shared" si="218"/>
        <v>#N/A</v>
      </c>
      <c r="AU597" t="e">
        <f t="shared" si="219"/>
        <v>#N/A</v>
      </c>
      <c r="AW597" t="e">
        <v>#N/A</v>
      </c>
      <c r="AX597" t="e">
        <v>#N/A</v>
      </c>
      <c r="BG597" t="e">
        <v>#N/A</v>
      </c>
      <c r="BI597" t="e">
        <f t="shared" si="220"/>
        <v>#N/A</v>
      </c>
      <c r="BK597" t="e">
        <f t="shared" si="221"/>
        <v>#N/A</v>
      </c>
      <c r="BL597" t="e">
        <f t="shared" si="222"/>
        <v>#N/A</v>
      </c>
      <c r="BN597" t="e">
        <v>#N/A</v>
      </c>
      <c r="BO597" t="e">
        <v>#N/A</v>
      </c>
      <c r="BX597" t="e">
        <v>#N/A</v>
      </c>
      <c r="BZ597" t="e">
        <f t="shared" si="223"/>
        <v>#N/A</v>
      </c>
      <c r="CB597" t="e">
        <f t="shared" si="226"/>
        <v>#N/A</v>
      </c>
      <c r="CC597" t="e">
        <f t="shared" si="224"/>
        <v>#N/A</v>
      </c>
      <c r="CE597" t="e">
        <v>#N/A</v>
      </c>
      <c r="CF597" t="e">
        <v>#N/A</v>
      </c>
    </row>
    <row r="598" spans="2:84">
      <c r="B598">
        <v>586</v>
      </c>
      <c r="C598">
        <f>IF(ISNUMBER(K598),IF('Lab test'!N589&gt;0,'Lab test'!N589,NA()),NA())</f>
        <v>190.5</v>
      </c>
      <c r="D598">
        <f>IF(ISNUMBER(K598),IF('Lab test'!Q589&gt;0,'Lab test'!Q589,NA()),NA())</f>
        <v>1071.4285714285716</v>
      </c>
      <c r="E598" t="e">
        <f>IF(ISNUMBER(K598),IF('Lab test'!P589&gt;0,'Lab test'!P589,NA()),NA())</f>
        <v>#N/A</v>
      </c>
      <c r="F598">
        <f>IF(ISNUMBER(K598),IF('Lab test'!AJ589&gt;0,'Lab test'!AJ589,NA()),NA())</f>
        <v>1.6666666666666666E-2</v>
      </c>
      <c r="G598">
        <f>IF('Lab test'!V589&gt;0,'Lab test'!V589,NA())</f>
        <v>206842.71840000001</v>
      </c>
      <c r="H598">
        <f>IF(MAX('Lab test'!W589,'Lab test'!X589)&gt;0,MAX('Lab test'!W589,'Lab test'!X589),NA())</f>
        <v>336.87387408930357</v>
      </c>
      <c r="I598">
        <f>IF('Lab test'!AU589&gt;0,'Lab test'!AU589,NA())</f>
        <v>6.8049186129352304E-2</v>
      </c>
      <c r="J598">
        <f>IF('Lab test'!AT589&gt;0,'Lab test'!AT589,NA())</f>
        <v>0.19619800025297726</v>
      </c>
      <c r="K598">
        <f t="shared" si="225"/>
        <v>1</v>
      </c>
      <c r="L598" t="str">
        <f>'Lab test'!AC589</f>
        <v>LTWb</v>
      </c>
      <c r="X598" t="e">
        <v>#N/A</v>
      </c>
      <c r="Z598" t="e">
        <f t="shared" si="215"/>
        <v>#N/A</v>
      </c>
      <c r="AB598" t="e">
        <f t="shared" si="214"/>
        <v>#N/A</v>
      </c>
      <c r="AC598" t="e">
        <f t="shared" si="216"/>
        <v>#N/A</v>
      </c>
      <c r="AE598" t="e">
        <v>#N/A</v>
      </c>
      <c r="AF598" t="e">
        <v>#N/A</v>
      </c>
      <c r="AP598" t="e">
        <v>#N/A</v>
      </c>
      <c r="AR598" t="e">
        <f t="shared" si="217"/>
        <v>#N/A</v>
      </c>
      <c r="AT598" t="e">
        <f t="shared" si="218"/>
        <v>#N/A</v>
      </c>
      <c r="AU598" t="e">
        <f t="shared" si="219"/>
        <v>#N/A</v>
      </c>
      <c r="AW598" t="e">
        <v>#N/A</v>
      </c>
      <c r="AX598" t="e">
        <v>#N/A</v>
      </c>
      <c r="BG598" t="e">
        <v>#N/A</v>
      </c>
      <c r="BI598" t="e">
        <f t="shared" si="220"/>
        <v>#N/A</v>
      </c>
      <c r="BK598" t="e">
        <f t="shared" si="221"/>
        <v>#N/A</v>
      </c>
      <c r="BL598" t="e">
        <f t="shared" si="222"/>
        <v>#N/A</v>
      </c>
      <c r="BN598" t="e">
        <v>#N/A</v>
      </c>
      <c r="BO598" t="e">
        <v>#N/A</v>
      </c>
      <c r="BX598" t="e">
        <v>#N/A</v>
      </c>
      <c r="BZ598" t="e">
        <f t="shared" si="223"/>
        <v>#N/A</v>
      </c>
      <c r="CB598" t="e">
        <f t="shared" si="226"/>
        <v>#N/A</v>
      </c>
      <c r="CC598" t="e">
        <f t="shared" si="224"/>
        <v>#N/A</v>
      </c>
      <c r="CE598" t="e">
        <v>#N/A</v>
      </c>
      <c r="CF598" t="e">
        <v>#N/A</v>
      </c>
    </row>
    <row r="599" spans="2:84">
      <c r="B599">
        <v>587</v>
      </c>
      <c r="C599">
        <f>IF(ISNUMBER(K599),IF('Lab test'!N590&gt;0,'Lab test'!N590,NA()),NA())</f>
        <v>190.5</v>
      </c>
      <c r="D599">
        <f>IF(ISNUMBER(K599),IF('Lab test'!Q590&gt;0,'Lab test'!Q590,NA()),NA())</f>
        <v>1071.4285714285716</v>
      </c>
      <c r="E599" t="e">
        <f>IF(ISNUMBER(K599),IF('Lab test'!P590&gt;0,'Lab test'!P590,NA()),NA())</f>
        <v>#N/A</v>
      </c>
      <c r="F599">
        <f>IF(ISNUMBER(K599),IF('Lab test'!AJ590&gt;0,'Lab test'!AJ590,NA()),NA())</f>
        <v>1.6666666666666666E-2</v>
      </c>
      <c r="G599">
        <f>IF('Lab test'!V590&gt;0,'Lab test'!V590,NA())</f>
        <v>206842.71840000001</v>
      </c>
      <c r="H599">
        <f>IF(MAX('Lab test'!W590,'Lab test'!X590)&gt;0,MAX('Lab test'!W590,'Lab test'!X590),NA())</f>
        <v>344.07015545492618</v>
      </c>
      <c r="I599">
        <f>IF('Lab test'!AU590&gt;0,'Lab test'!AU590,NA())</f>
        <v>8.8463586674812938E-2</v>
      </c>
      <c r="J599">
        <f>IF('Lab test'!AT590&gt;0,'Lab test'!AT590,NA())</f>
        <v>0.2605048763774504</v>
      </c>
      <c r="K599">
        <f t="shared" si="225"/>
        <v>1</v>
      </c>
      <c r="L599" t="str">
        <f>'Lab test'!AC590</f>
        <v>LTWb</v>
      </c>
      <c r="X599" t="e">
        <v>#N/A</v>
      </c>
      <c r="Z599" t="e">
        <f t="shared" si="215"/>
        <v>#N/A</v>
      </c>
      <c r="AB599" t="e">
        <f t="shared" si="214"/>
        <v>#N/A</v>
      </c>
      <c r="AC599" t="e">
        <f t="shared" si="216"/>
        <v>#N/A</v>
      </c>
      <c r="AE599" t="e">
        <v>#N/A</v>
      </c>
      <c r="AF599" t="e">
        <v>#N/A</v>
      </c>
      <c r="AP599" t="e">
        <v>#N/A</v>
      </c>
      <c r="AR599" t="e">
        <f t="shared" si="217"/>
        <v>#N/A</v>
      </c>
      <c r="AT599" t="e">
        <f t="shared" si="218"/>
        <v>#N/A</v>
      </c>
      <c r="AU599" t="e">
        <f t="shared" si="219"/>
        <v>#N/A</v>
      </c>
      <c r="AW599" t="e">
        <v>#N/A</v>
      </c>
      <c r="AX599" t="e">
        <v>#N/A</v>
      </c>
      <c r="BG599" t="e">
        <v>#N/A</v>
      </c>
      <c r="BI599" t="e">
        <f t="shared" si="220"/>
        <v>#N/A</v>
      </c>
      <c r="BK599" t="e">
        <f t="shared" si="221"/>
        <v>#N/A</v>
      </c>
      <c r="BL599" t="e">
        <f t="shared" si="222"/>
        <v>#N/A</v>
      </c>
      <c r="BN599" t="e">
        <v>#N/A</v>
      </c>
      <c r="BO599" t="e">
        <v>#N/A</v>
      </c>
      <c r="BX599" t="e">
        <v>#N/A</v>
      </c>
      <c r="BZ599" t="e">
        <f t="shared" si="223"/>
        <v>#N/A</v>
      </c>
      <c r="CB599" t="e">
        <f t="shared" si="226"/>
        <v>#N/A</v>
      </c>
      <c r="CC599" t="e">
        <f t="shared" si="224"/>
        <v>#N/A</v>
      </c>
      <c r="CE599" t="e">
        <v>#N/A</v>
      </c>
      <c r="CF599" t="e">
        <v>#N/A</v>
      </c>
    </row>
    <row r="600" spans="2:84">
      <c r="B600">
        <v>588</v>
      </c>
      <c r="C600">
        <f>IF(ISNUMBER(K600),IF('Lab test'!N591&gt;0,'Lab test'!N591,NA()),NA())</f>
        <v>190.5</v>
      </c>
      <c r="D600">
        <f>IF(ISNUMBER(K600),IF('Lab test'!Q591&gt;0,'Lab test'!Q591,NA()),NA())</f>
        <v>1071.4285714285716</v>
      </c>
      <c r="E600" t="e">
        <f>IF(ISNUMBER(K600),IF('Lab test'!P591&gt;0,'Lab test'!P591,NA()),NA())</f>
        <v>#N/A</v>
      </c>
      <c r="F600">
        <f>IF(ISNUMBER(K600),IF('Lab test'!AJ591&gt;0,'Lab test'!AJ591,NA()),NA())</f>
        <v>1.6666666666666666E-2</v>
      </c>
      <c r="G600">
        <f>IF('Lab test'!V591&gt;0,'Lab test'!V591,NA())</f>
        <v>206842.71840000001</v>
      </c>
      <c r="H600">
        <f>IF(MAX('Lab test'!W591,'Lab test'!X591)&gt;0,MAX('Lab test'!W591,'Lab test'!X591),NA())</f>
        <v>371.34269748679128</v>
      </c>
      <c r="I600">
        <f>IF('Lab test'!AU591&gt;0,'Lab test'!AU591,NA())</f>
        <v>8.6859004296075348E-2</v>
      </c>
      <c r="J600">
        <f>IF('Lab test'!AT591&gt;0,'Lab test'!AT591,NA())</f>
        <v>0.27605400006503689</v>
      </c>
      <c r="K600">
        <f t="shared" si="225"/>
        <v>1</v>
      </c>
      <c r="L600" t="str">
        <f>'Lab test'!AC591</f>
        <v>LTWb</v>
      </c>
      <c r="X600" t="e">
        <v>#N/A</v>
      </c>
      <c r="Z600" t="e">
        <f t="shared" si="215"/>
        <v>#N/A</v>
      </c>
      <c r="AB600" t="e">
        <f t="shared" si="214"/>
        <v>#N/A</v>
      </c>
      <c r="AC600" t="e">
        <f t="shared" si="216"/>
        <v>#N/A</v>
      </c>
      <c r="AE600" t="e">
        <v>#N/A</v>
      </c>
      <c r="AF600" t="e">
        <v>#N/A</v>
      </c>
      <c r="AP600" t="e">
        <v>#N/A</v>
      </c>
      <c r="AR600" t="e">
        <f t="shared" si="217"/>
        <v>#N/A</v>
      </c>
      <c r="AT600" t="e">
        <f t="shared" si="218"/>
        <v>#N/A</v>
      </c>
      <c r="AU600" t="e">
        <f t="shared" si="219"/>
        <v>#N/A</v>
      </c>
      <c r="AW600" t="e">
        <v>#N/A</v>
      </c>
      <c r="AX600" t="e">
        <v>#N/A</v>
      </c>
      <c r="BG600" t="e">
        <v>#N/A</v>
      </c>
      <c r="BI600" t="e">
        <f t="shared" si="220"/>
        <v>#N/A</v>
      </c>
      <c r="BK600" t="e">
        <f t="shared" si="221"/>
        <v>#N/A</v>
      </c>
      <c r="BL600" t="e">
        <f t="shared" si="222"/>
        <v>#N/A</v>
      </c>
      <c r="BN600" t="e">
        <v>#N/A</v>
      </c>
      <c r="BO600" t="e">
        <v>#N/A</v>
      </c>
      <c r="BX600" t="e">
        <v>#N/A</v>
      </c>
      <c r="BZ600" t="e">
        <f t="shared" si="223"/>
        <v>#N/A</v>
      </c>
      <c r="CB600" t="e">
        <f t="shared" si="226"/>
        <v>#N/A</v>
      </c>
      <c r="CC600" t="e">
        <f t="shared" si="224"/>
        <v>#N/A</v>
      </c>
      <c r="CE600" t="e">
        <v>#N/A</v>
      </c>
      <c r="CF600" t="e">
        <v>#N/A</v>
      </c>
    </row>
    <row r="601" spans="2:84">
      <c r="B601">
        <v>589</v>
      </c>
      <c r="C601">
        <f>IF(ISNUMBER(K601),IF('Lab test'!N592&gt;0,'Lab test'!N592,NA()),NA())</f>
        <v>114.3</v>
      </c>
      <c r="D601">
        <f>IF(ISNUMBER(K601),IF('Lab test'!Q592&gt;0,'Lab test'!Q592,NA()),NA())</f>
        <v>562.5</v>
      </c>
      <c r="E601" t="e">
        <f>IF(ISNUMBER(K601),IF('Lab test'!P592&gt;0,'Lab test'!P592,NA()),NA())</f>
        <v>#N/A</v>
      </c>
      <c r="F601">
        <f>IF(ISNUMBER(K601),IF('Lab test'!AJ592&gt;0,'Lab test'!AJ592,NA()),NA())</f>
        <v>2.7777777777777776E-2</v>
      </c>
      <c r="G601">
        <f>IF('Lab test'!V592&gt;0,'Lab test'!V592,NA())</f>
        <v>206842.71840000001</v>
      </c>
      <c r="H601">
        <f>IF(MAX('Lab test'!W592,'Lab test'!X592)&gt;0,MAX('Lab test'!W592,'Lab test'!X592),NA())</f>
        <v>304.61644575607374</v>
      </c>
      <c r="I601">
        <f>IF('Lab test'!AU592&gt;0,'Lab test'!AU592,NA())</f>
        <v>0.16166453715688101</v>
      </c>
      <c r="J601">
        <f>IF('Lab test'!AT592&gt;0,'Lab test'!AT592,NA())</f>
        <v>0.22127468095561878</v>
      </c>
      <c r="K601">
        <f t="shared" si="225"/>
        <v>1</v>
      </c>
      <c r="L601" t="str">
        <f>'Lab test'!AC592</f>
        <v>LTWb</v>
      </c>
      <c r="X601" t="e">
        <v>#N/A</v>
      </c>
      <c r="Z601" t="e">
        <f t="shared" si="215"/>
        <v>#N/A</v>
      </c>
      <c r="AB601" t="e">
        <f t="shared" si="214"/>
        <v>#N/A</v>
      </c>
      <c r="AC601" t="e">
        <f t="shared" si="216"/>
        <v>#N/A</v>
      </c>
      <c r="AE601" t="e">
        <v>#N/A</v>
      </c>
      <c r="AF601" t="e">
        <v>#N/A</v>
      </c>
      <c r="AP601" t="e">
        <v>#N/A</v>
      </c>
      <c r="AR601" t="e">
        <f t="shared" si="217"/>
        <v>#N/A</v>
      </c>
      <c r="AT601" t="e">
        <f t="shared" si="218"/>
        <v>#N/A</v>
      </c>
      <c r="AU601" t="e">
        <f t="shared" si="219"/>
        <v>#N/A</v>
      </c>
      <c r="AW601" t="e">
        <v>#N/A</v>
      </c>
      <c r="AX601" t="e">
        <v>#N/A</v>
      </c>
      <c r="BG601" t="e">
        <v>#N/A</v>
      </c>
      <c r="BI601" t="e">
        <f t="shared" si="220"/>
        <v>#N/A</v>
      </c>
      <c r="BK601" t="e">
        <f t="shared" si="221"/>
        <v>#N/A</v>
      </c>
      <c r="BL601" t="e">
        <f t="shared" si="222"/>
        <v>#N/A</v>
      </c>
      <c r="BN601" t="e">
        <v>#N/A</v>
      </c>
      <c r="BO601" t="e">
        <v>#N/A</v>
      </c>
      <c r="BX601" t="e">
        <v>#N/A</v>
      </c>
      <c r="BZ601" t="e">
        <f t="shared" si="223"/>
        <v>#N/A</v>
      </c>
      <c r="CB601" t="e">
        <f t="shared" si="226"/>
        <v>#N/A</v>
      </c>
      <c r="CC601" t="e">
        <f t="shared" si="224"/>
        <v>#N/A</v>
      </c>
      <c r="CE601" t="e">
        <v>#N/A</v>
      </c>
      <c r="CF601" t="e">
        <v>#N/A</v>
      </c>
    </row>
    <row r="602" spans="2:84">
      <c r="B602">
        <v>590</v>
      </c>
      <c r="C602">
        <f>IF(ISNUMBER(K602),IF('Lab test'!N593&gt;0,'Lab test'!N593,NA()),NA())</f>
        <v>114.3</v>
      </c>
      <c r="D602">
        <f>IF(ISNUMBER(K602),IF('Lab test'!Q593&gt;0,'Lab test'!Q593,NA()),NA())</f>
        <v>562.5</v>
      </c>
      <c r="E602" t="e">
        <f>IF(ISNUMBER(K602),IF('Lab test'!P593&gt;0,'Lab test'!P593,NA()),NA())</f>
        <v>#N/A</v>
      </c>
      <c r="F602">
        <f>IF(ISNUMBER(K602),IF('Lab test'!AJ593&gt;0,'Lab test'!AJ593,NA()),NA())</f>
        <v>2.7777777777777776E-2</v>
      </c>
      <c r="G602">
        <f>IF('Lab test'!V593&gt;0,'Lab test'!V593,NA())</f>
        <v>206842.71840000001</v>
      </c>
      <c r="H602">
        <f>IF(MAX('Lab test'!W593,'Lab test'!X593)&gt;0,MAX('Lab test'!W593,'Lab test'!X593),NA())</f>
        <v>272.82417666250433</v>
      </c>
      <c r="I602">
        <f>IF('Lab test'!AU593&gt;0,'Lab test'!AU593,NA())</f>
        <v>0.20237507600746862</v>
      </c>
      <c r="J602">
        <f>IF('Lab test'!AT593&gt;0,'Lab test'!AT593,NA())</f>
        <v>0.24808670536612881</v>
      </c>
      <c r="K602">
        <f t="shared" si="225"/>
        <v>1</v>
      </c>
      <c r="L602" t="str">
        <f>'Lab test'!AC593</f>
        <v>LTWb</v>
      </c>
      <c r="X602" t="e">
        <v>#N/A</v>
      </c>
      <c r="Z602" t="e">
        <f t="shared" si="215"/>
        <v>#N/A</v>
      </c>
      <c r="AB602" t="e">
        <f t="shared" si="214"/>
        <v>#N/A</v>
      </c>
      <c r="AC602" t="e">
        <f t="shared" si="216"/>
        <v>#N/A</v>
      </c>
      <c r="AE602" t="e">
        <v>#N/A</v>
      </c>
      <c r="AF602" t="e">
        <v>#N/A</v>
      </c>
      <c r="AP602" t="e">
        <v>#N/A</v>
      </c>
      <c r="AR602" t="e">
        <f t="shared" si="217"/>
        <v>#N/A</v>
      </c>
      <c r="AT602" t="e">
        <f t="shared" si="218"/>
        <v>#N/A</v>
      </c>
      <c r="AU602" t="e">
        <f t="shared" si="219"/>
        <v>#N/A</v>
      </c>
      <c r="AW602" t="e">
        <v>#N/A</v>
      </c>
      <c r="AX602" t="e">
        <v>#N/A</v>
      </c>
      <c r="BG602" t="e">
        <v>#N/A</v>
      </c>
      <c r="BI602" t="e">
        <f t="shared" si="220"/>
        <v>#N/A</v>
      </c>
      <c r="BK602" t="e">
        <f t="shared" si="221"/>
        <v>#N/A</v>
      </c>
      <c r="BL602" t="e">
        <f t="shared" si="222"/>
        <v>#N/A</v>
      </c>
      <c r="BN602" t="e">
        <v>#N/A</v>
      </c>
      <c r="BO602" t="e">
        <v>#N/A</v>
      </c>
      <c r="BX602" t="e">
        <v>#N/A</v>
      </c>
      <c r="BZ602" t="e">
        <f t="shared" si="223"/>
        <v>#N/A</v>
      </c>
      <c r="CB602" t="e">
        <f t="shared" si="226"/>
        <v>#N/A</v>
      </c>
      <c r="CC602" t="e">
        <f t="shared" si="224"/>
        <v>#N/A</v>
      </c>
      <c r="CE602" t="e">
        <v>#N/A</v>
      </c>
      <c r="CF602" t="e">
        <v>#N/A</v>
      </c>
    </row>
    <row r="603" spans="2:84">
      <c r="B603">
        <v>591</v>
      </c>
      <c r="C603">
        <f>IF(ISNUMBER(K603),IF('Lab test'!N594&gt;0,'Lab test'!N594,NA()),NA())</f>
        <v>114.3</v>
      </c>
      <c r="D603">
        <f>IF(ISNUMBER(K603),IF('Lab test'!Q594&gt;0,'Lab test'!Q594,NA()),NA())</f>
        <v>562.5</v>
      </c>
      <c r="E603" t="e">
        <f>IF(ISNUMBER(K603),IF('Lab test'!P594&gt;0,'Lab test'!P594,NA()),NA())</f>
        <v>#N/A</v>
      </c>
      <c r="F603">
        <f>IF(ISNUMBER(K603),IF('Lab test'!AJ594&gt;0,'Lab test'!AJ594,NA()),NA())</f>
        <v>2.7777777777777776E-2</v>
      </c>
      <c r="G603">
        <f>IF('Lab test'!V594&gt;0,'Lab test'!V594,NA())</f>
        <v>206842.71840000001</v>
      </c>
      <c r="H603">
        <f>IF(MAX('Lab test'!W594,'Lab test'!X594)&gt;0,MAX('Lab test'!W594,'Lab test'!X594),NA())</f>
        <v>270.6542294061266</v>
      </c>
      <c r="I603">
        <f>IF('Lab test'!AU594&gt;0,'Lab test'!AU594,NA())</f>
        <v>0.21007635078011105</v>
      </c>
      <c r="J603">
        <f>IF('Lab test'!AT594&gt;0,'Lab test'!AT594,NA())</f>
        <v>0.25547922865223549</v>
      </c>
      <c r="K603">
        <f t="shared" si="225"/>
        <v>1</v>
      </c>
      <c r="L603" t="str">
        <f>'Lab test'!AC594</f>
        <v>LTWb</v>
      </c>
      <c r="X603" t="e">
        <v>#N/A</v>
      </c>
      <c r="Z603" t="e">
        <f t="shared" si="215"/>
        <v>#N/A</v>
      </c>
      <c r="AB603" t="e">
        <f t="shared" si="214"/>
        <v>#N/A</v>
      </c>
      <c r="AC603" t="e">
        <f t="shared" si="216"/>
        <v>#N/A</v>
      </c>
      <c r="AE603" t="e">
        <v>#N/A</v>
      </c>
      <c r="AF603" t="e">
        <v>#N/A</v>
      </c>
      <c r="AP603" t="e">
        <v>#N/A</v>
      </c>
      <c r="AR603" t="e">
        <f t="shared" si="217"/>
        <v>#N/A</v>
      </c>
      <c r="AT603" t="e">
        <f t="shared" si="218"/>
        <v>#N/A</v>
      </c>
      <c r="AU603" t="e">
        <f t="shared" si="219"/>
        <v>#N/A</v>
      </c>
      <c r="AW603" t="e">
        <v>#N/A</v>
      </c>
      <c r="AX603" t="e">
        <v>#N/A</v>
      </c>
      <c r="BG603" t="e">
        <v>#N/A</v>
      </c>
      <c r="BI603" t="e">
        <f t="shared" si="220"/>
        <v>#N/A</v>
      </c>
      <c r="BK603" t="e">
        <f t="shared" si="221"/>
        <v>#N/A</v>
      </c>
      <c r="BL603" t="e">
        <f t="shared" si="222"/>
        <v>#N/A</v>
      </c>
      <c r="BN603" t="e">
        <v>#N/A</v>
      </c>
      <c r="BO603" t="e">
        <v>#N/A</v>
      </c>
      <c r="BX603" t="e">
        <v>#N/A</v>
      </c>
      <c r="BZ603" t="e">
        <f t="shared" si="223"/>
        <v>#N/A</v>
      </c>
      <c r="CB603" t="e">
        <f t="shared" si="226"/>
        <v>#N/A</v>
      </c>
      <c r="CC603" t="e">
        <f t="shared" si="224"/>
        <v>#N/A</v>
      </c>
      <c r="CE603" t="e">
        <v>#N/A</v>
      </c>
      <c r="CF603" t="e">
        <v>#N/A</v>
      </c>
    </row>
    <row r="604" spans="2:84">
      <c r="B604">
        <v>592</v>
      </c>
      <c r="C604">
        <f>IF(ISNUMBER(K604),IF('Lab test'!N595&gt;0,'Lab test'!N595,NA()),NA())</f>
        <v>114.3</v>
      </c>
      <c r="D604">
        <f>IF(ISNUMBER(K604),IF('Lab test'!Q595&gt;0,'Lab test'!Q595,NA()),NA())</f>
        <v>562.5</v>
      </c>
      <c r="E604" t="e">
        <f>IF(ISNUMBER(K604),IF('Lab test'!P595&gt;0,'Lab test'!P595,NA()),NA())</f>
        <v>#N/A</v>
      </c>
      <c r="F604">
        <f>IF(ISNUMBER(K604),IF('Lab test'!AJ595&gt;0,'Lab test'!AJ595,NA()),NA())</f>
        <v>2.7777777777777776E-2</v>
      </c>
      <c r="G604">
        <f>IF('Lab test'!V595&gt;0,'Lab test'!V595,NA())</f>
        <v>206842.71840000001</v>
      </c>
      <c r="H604">
        <f>IF(MAX('Lab test'!W595,'Lab test'!X595)&gt;0,MAX('Lab test'!W595,'Lab test'!X595),NA())</f>
        <v>242.95647374637767</v>
      </c>
      <c r="I604">
        <f>IF('Lab test'!AU595&gt;0,'Lab test'!AU595,NA())</f>
        <v>0.21744061368289605</v>
      </c>
      <c r="J604">
        <f>IF('Lab test'!AT595&gt;0,'Lab test'!AT595,NA())</f>
        <v>0.23737378469400774</v>
      </c>
      <c r="K604">
        <f t="shared" si="225"/>
        <v>1</v>
      </c>
      <c r="L604" t="str">
        <f>'Lab test'!AC595</f>
        <v>LTWb</v>
      </c>
      <c r="X604" t="e">
        <v>#N/A</v>
      </c>
      <c r="Z604" t="e">
        <f t="shared" si="215"/>
        <v>#N/A</v>
      </c>
      <c r="AB604" t="e">
        <f t="shared" si="214"/>
        <v>#N/A</v>
      </c>
      <c r="AC604" t="e">
        <f t="shared" si="216"/>
        <v>#N/A</v>
      </c>
      <c r="AE604" t="e">
        <v>#N/A</v>
      </c>
      <c r="AF604" t="e">
        <v>#N/A</v>
      </c>
      <c r="AP604" t="e">
        <v>#N/A</v>
      </c>
      <c r="AR604" t="e">
        <f t="shared" si="217"/>
        <v>#N/A</v>
      </c>
      <c r="AT604" t="e">
        <f t="shared" si="218"/>
        <v>#N/A</v>
      </c>
      <c r="AU604" t="e">
        <f t="shared" si="219"/>
        <v>#N/A</v>
      </c>
      <c r="AW604" t="e">
        <v>#N/A</v>
      </c>
      <c r="AX604" t="e">
        <v>#N/A</v>
      </c>
      <c r="BG604" t="e">
        <v>#N/A</v>
      </c>
      <c r="BI604" t="e">
        <f t="shared" si="220"/>
        <v>#N/A</v>
      </c>
      <c r="BK604" t="e">
        <f t="shared" si="221"/>
        <v>#N/A</v>
      </c>
      <c r="BL604" t="e">
        <f t="shared" si="222"/>
        <v>#N/A</v>
      </c>
      <c r="BN604" t="e">
        <v>#N/A</v>
      </c>
      <c r="BO604" t="e">
        <v>#N/A</v>
      </c>
      <c r="BX604" t="e">
        <v>#N/A</v>
      </c>
      <c r="BZ604" t="e">
        <f t="shared" si="223"/>
        <v>#N/A</v>
      </c>
      <c r="CB604" t="e">
        <f t="shared" si="226"/>
        <v>#N/A</v>
      </c>
      <c r="CC604" t="e">
        <f t="shared" si="224"/>
        <v>#N/A</v>
      </c>
      <c r="CE604" t="e">
        <v>#N/A</v>
      </c>
      <c r="CF604" t="e">
        <v>#N/A</v>
      </c>
    </row>
    <row r="605" spans="2:84">
      <c r="B605">
        <v>593</v>
      </c>
      <c r="C605">
        <f>IF(ISNUMBER(K605),IF('Lab test'!N596&gt;0,'Lab test'!N596,NA()),NA())</f>
        <v>114.3</v>
      </c>
      <c r="D605">
        <f>IF(ISNUMBER(K605),IF('Lab test'!Q596&gt;0,'Lab test'!Q596,NA()),NA())</f>
        <v>562.5</v>
      </c>
      <c r="E605" t="e">
        <f>IF(ISNUMBER(K605),IF('Lab test'!P596&gt;0,'Lab test'!P596,NA()),NA())</f>
        <v>#N/A</v>
      </c>
      <c r="F605">
        <f>IF(ISNUMBER(K605),IF('Lab test'!AJ596&gt;0,'Lab test'!AJ596,NA()),NA())</f>
        <v>2.7777777777777776E-2</v>
      </c>
      <c r="G605">
        <f>IF('Lab test'!V596&gt;0,'Lab test'!V596,NA())</f>
        <v>206842.71840000001</v>
      </c>
      <c r="H605">
        <f>IF(MAX('Lab test'!W596,'Lab test'!X596)&gt;0,MAX('Lab test'!W596,'Lab test'!X596),NA())</f>
        <v>235.48554658541721</v>
      </c>
      <c r="I605">
        <f>IF('Lab test'!AU596&gt;0,'Lab test'!AU596,NA())</f>
        <v>0.21289086906615384</v>
      </c>
      <c r="J605">
        <f>IF('Lab test'!AT596&gt;0,'Lab test'!AT596,NA())</f>
        <v>0.22526042799014018</v>
      </c>
      <c r="K605">
        <f t="shared" si="225"/>
        <v>1</v>
      </c>
      <c r="L605" t="str">
        <f>'Lab test'!AC596</f>
        <v>LTWb</v>
      </c>
      <c r="X605" t="e">
        <v>#N/A</v>
      </c>
      <c r="Z605" t="e">
        <f t="shared" si="215"/>
        <v>#N/A</v>
      </c>
      <c r="AB605" t="e">
        <f t="shared" si="214"/>
        <v>#N/A</v>
      </c>
      <c r="AC605" t="e">
        <f t="shared" si="216"/>
        <v>#N/A</v>
      </c>
      <c r="AE605" t="e">
        <v>#N/A</v>
      </c>
      <c r="AF605" t="e">
        <v>#N/A</v>
      </c>
      <c r="AP605" t="e">
        <v>#N/A</v>
      </c>
      <c r="AR605" t="e">
        <f t="shared" si="217"/>
        <v>#N/A</v>
      </c>
      <c r="AT605" t="e">
        <f t="shared" si="218"/>
        <v>#N/A</v>
      </c>
      <c r="AU605" t="e">
        <f t="shared" si="219"/>
        <v>#N/A</v>
      </c>
      <c r="AW605" t="e">
        <v>#N/A</v>
      </c>
      <c r="AX605" t="e">
        <v>#N/A</v>
      </c>
      <c r="BG605" t="e">
        <v>#N/A</v>
      </c>
      <c r="BI605" t="e">
        <f t="shared" si="220"/>
        <v>#N/A</v>
      </c>
      <c r="BK605" t="e">
        <f t="shared" si="221"/>
        <v>#N/A</v>
      </c>
      <c r="BL605" t="e">
        <f t="shared" si="222"/>
        <v>#N/A</v>
      </c>
      <c r="BN605" t="e">
        <v>#N/A</v>
      </c>
      <c r="BO605" t="e">
        <v>#N/A</v>
      </c>
      <c r="BX605" t="e">
        <v>#N/A</v>
      </c>
      <c r="BZ605" t="e">
        <f t="shared" si="223"/>
        <v>#N/A</v>
      </c>
      <c r="CB605" t="e">
        <f t="shared" si="226"/>
        <v>#N/A</v>
      </c>
      <c r="CC605" t="e">
        <f t="shared" si="224"/>
        <v>#N/A</v>
      </c>
      <c r="CE605" t="e">
        <v>#N/A</v>
      </c>
      <c r="CF605" t="e">
        <v>#N/A</v>
      </c>
    </row>
    <row r="606" spans="2:84">
      <c r="B606">
        <v>594</v>
      </c>
      <c r="C606">
        <f>IF(ISNUMBER(K606),IF('Lab test'!N597&gt;0,'Lab test'!N597,NA()),NA())</f>
        <v>114.3</v>
      </c>
      <c r="D606">
        <f>IF(ISNUMBER(K606),IF('Lab test'!Q597&gt;0,'Lab test'!Q597,NA()),NA())</f>
        <v>300.00000000000006</v>
      </c>
      <c r="E606" t="e">
        <f>IF(ISNUMBER(K606),IF('Lab test'!P597&gt;0,'Lab test'!P597,NA()),NA())</f>
        <v>#N/A</v>
      </c>
      <c r="F606">
        <f>IF(ISNUMBER(K606),IF('Lab test'!AJ597&gt;0,'Lab test'!AJ597,NA()),NA())</f>
        <v>2.7777777777777776E-2</v>
      </c>
      <c r="G606">
        <f>IF('Lab test'!V597&gt;0,'Lab test'!V597,NA())</f>
        <v>206842.71840000001</v>
      </c>
      <c r="H606">
        <f>IF(MAX('Lab test'!W597,'Lab test'!X597)&gt;0,MAX('Lab test'!W597,'Lab test'!X597),NA())</f>
        <v>327.66488781843435</v>
      </c>
      <c r="I606">
        <f>IF('Lab test'!AU597&gt;0,'Lab test'!AU597,NA())</f>
        <v>0.43365045052971174</v>
      </c>
      <c r="J606">
        <f>IF('Lab test'!AT597&gt;0,'Lab test'!AT597,NA())</f>
        <v>0.34051170774888662</v>
      </c>
      <c r="K606">
        <f t="shared" si="225"/>
        <v>1</v>
      </c>
      <c r="L606" t="str">
        <f>'Lab test'!AC597</f>
        <v>LTWb</v>
      </c>
      <c r="X606" t="e">
        <v>#N/A</v>
      </c>
      <c r="Z606" t="e">
        <f t="shared" si="215"/>
        <v>#N/A</v>
      </c>
      <c r="AB606" t="e">
        <f t="shared" si="214"/>
        <v>#N/A</v>
      </c>
      <c r="AC606" t="e">
        <f t="shared" si="216"/>
        <v>#N/A</v>
      </c>
      <c r="AE606" t="e">
        <v>#N/A</v>
      </c>
      <c r="AF606" t="e">
        <v>#N/A</v>
      </c>
      <c r="AP606" t="e">
        <v>#N/A</v>
      </c>
      <c r="AR606" t="e">
        <f t="shared" si="217"/>
        <v>#N/A</v>
      </c>
      <c r="AT606" t="e">
        <f t="shared" si="218"/>
        <v>#N/A</v>
      </c>
      <c r="AU606" t="e">
        <f t="shared" si="219"/>
        <v>#N/A</v>
      </c>
      <c r="AW606" t="e">
        <v>#N/A</v>
      </c>
      <c r="AX606" t="e">
        <v>#N/A</v>
      </c>
      <c r="BG606" t="e">
        <v>#N/A</v>
      </c>
      <c r="BI606" t="e">
        <f t="shared" si="220"/>
        <v>#N/A</v>
      </c>
      <c r="BK606" t="e">
        <f t="shared" si="221"/>
        <v>#N/A</v>
      </c>
      <c r="BL606" t="e">
        <f t="shared" si="222"/>
        <v>#N/A</v>
      </c>
      <c r="BN606" t="e">
        <v>#N/A</v>
      </c>
      <c r="BO606" t="e">
        <v>#N/A</v>
      </c>
      <c r="BX606" t="e">
        <v>#N/A</v>
      </c>
      <c r="BZ606" t="e">
        <f t="shared" si="223"/>
        <v>#N/A</v>
      </c>
      <c r="CB606" t="e">
        <f t="shared" si="226"/>
        <v>#N/A</v>
      </c>
      <c r="CC606" t="e">
        <f t="shared" si="224"/>
        <v>#N/A</v>
      </c>
      <c r="CE606" t="e">
        <v>#N/A</v>
      </c>
      <c r="CF606" t="e">
        <v>#N/A</v>
      </c>
    </row>
    <row r="607" spans="2:84">
      <c r="B607">
        <v>595</v>
      </c>
      <c r="C607">
        <f>IF(ISNUMBER(K607),IF('Lab test'!N598&gt;0,'Lab test'!N598,NA()),NA())</f>
        <v>114.3</v>
      </c>
      <c r="D607">
        <f>IF(ISNUMBER(K607),IF('Lab test'!Q598&gt;0,'Lab test'!Q598,NA()),NA())</f>
        <v>300.00000000000006</v>
      </c>
      <c r="E607" t="e">
        <f>IF(ISNUMBER(K607),IF('Lab test'!P598&gt;0,'Lab test'!P598,NA()),NA())</f>
        <v>#N/A</v>
      </c>
      <c r="F607">
        <f>IF(ISNUMBER(K607),IF('Lab test'!AJ598&gt;0,'Lab test'!AJ598,NA()),NA())</f>
        <v>2.7777777777777776E-2</v>
      </c>
      <c r="G607">
        <f>IF('Lab test'!V598&gt;0,'Lab test'!V598,NA())</f>
        <v>206842.71840000001</v>
      </c>
      <c r="H607">
        <f>IF(MAX('Lab test'!W598,'Lab test'!X598)&gt;0,MAX('Lab test'!W598,'Lab test'!X598),NA())</f>
        <v>258.59161681497301</v>
      </c>
      <c r="I607">
        <f>IF('Lab test'!AU598&gt;0,'Lab test'!AU598,NA())</f>
        <v>0.49875947891637451</v>
      </c>
      <c r="J607">
        <f>IF('Lab test'!AT598&gt;0,'Lab test'!AT598,NA())</f>
        <v>0.30907789481575498</v>
      </c>
      <c r="K607">
        <f t="shared" si="225"/>
        <v>1</v>
      </c>
      <c r="L607" t="str">
        <f>'Lab test'!AC598</f>
        <v>LTWb</v>
      </c>
      <c r="X607" t="e">
        <v>#N/A</v>
      </c>
      <c r="Z607" t="e">
        <f t="shared" si="215"/>
        <v>#N/A</v>
      </c>
      <c r="AB607" t="e">
        <f t="shared" si="214"/>
        <v>#N/A</v>
      </c>
      <c r="AC607" t="e">
        <f t="shared" si="216"/>
        <v>#N/A</v>
      </c>
      <c r="AE607" t="e">
        <v>#N/A</v>
      </c>
      <c r="AF607" t="e">
        <v>#N/A</v>
      </c>
      <c r="AP607" t="e">
        <v>#N/A</v>
      </c>
      <c r="AR607" t="e">
        <f t="shared" si="217"/>
        <v>#N/A</v>
      </c>
      <c r="AT607" t="e">
        <f t="shared" si="218"/>
        <v>#N/A</v>
      </c>
      <c r="AU607" t="e">
        <f t="shared" si="219"/>
        <v>#N/A</v>
      </c>
      <c r="AW607" t="e">
        <v>#N/A</v>
      </c>
      <c r="AX607" t="e">
        <v>#N/A</v>
      </c>
      <c r="BG607" t="e">
        <v>#N/A</v>
      </c>
      <c r="BI607" t="e">
        <f t="shared" si="220"/>
        <v>#N/A</v>
      </c>
      <c r="BK607" t="e">
        <f t="shared" si="221"/>
        <v>#N/A</v>
      </c>
      <c r="BL607" t="e">
        <f t="shared" si="222"/>
        <v>#N/A</v>
      </c>
      <c r="BN607" t="e">
        <v>#N/A</v>
      </c>
      <c r="BO607" t="e">
        <v>#N/A</v>
      </c>
      <c r="BX607" t="e">
        <v>#N/A</v>
      </c>
      <c r="BZ607" t="e">
        <f t="shared" si="223"/>
        <v>#N/A</v>
      </c>
      <c r="CB607" t="e">
        <f t="shared" si="226"/>
        <v>#N/A</v>
      </c>
      <c r="CC607" t="e">
        <f t="shared" si="224"/>
        <v>#N/A</v>
      </c>
      <c r="CE607" t="e">
        <v>#N/A</v>
      </c>
      <c r="CF607" t="e">
        <v>#N/A</v>
      </c>
    </row>
    <row r="608" spans="2:84">
      <c r="B608">
        <v>596</v>
      </c>
      <c r="C608">
        <f>IF(ISNUMBER(K608),IF('Lab test'!N599&gt;0,'Lab test'!N599,NA()),NA())</f>
        <v>114.3</v>
      </c>
      <c r="D608">
        <f>IF(ISNUMBER(K608),IF('Lab test'!Q599&gt;0,'Lab test'!Q599,NA()),NA())</f>
        <v>300</v>
      </c>
      <c r="E608" t="e">
        <f>IF(ISNUMBER(K608),IF('Lab test'!P599&gt;0,'Lab test'!P599,NA()),NA())</f>
        <v>#N/A</v>
      </c>
      <c r="F608">
        <f>IF(ISNUMBER(K608),IF('Lab test'!AJ599&gt;0,'Lab test'!AJ599,NA()),NA())</f>
        <v>2.7777777777777776E-2</v>
      </c>
      <c r="G608">
        <f>IF('Lab test'!V599&gt;0,'Lab test'!V599,NA())</f>
        <v>206842.71840000001</v>
      </c>
      <c r="H608">
        <f>IF(MAX('Lab test'!W599,'Lab test'!X599)&gt;0,MAX('Lab test'!W599,'Lab test'!X599),NA())</f>
        <v>235.32169608091252</v>
      </c>
      <c r="I608">
        <f>IF('Lab test'!AU599&gt;0,'Lab test'!AU599,NA())</f>
        <v>0.53859593333860656</v>
      </c>
      <c r="J608">
        <f>IF('Lab test'!AT599&gt;0,'Lab test'!AT599,NA())</f>
        <v>0.30372978401170414</v>
      </c>
      <c r="K608">
        <f t="shared" si="225"/>
        <v>1</v>
      </c>
      <c r="L608" t="str">
        <f>'Lab test'!AC599</f>
        <v>LTWb</v>
      </c>
      <c r="X608" t="e">
        <v>#N/A</v>
      </c>
      <c r="Z608" t="e">
        <f t="shared" si="215"/>
        <v>#N/A</v>
      </c>
      <c r="AB608" t="e">
        <f t="shared" si="214"/>
        <v>#N/A</v>
      </c>
      <c r="AC608" t="e">
        <f t="shared" si="216"/>
        <v>#N/A</v>
      </c>
      <c r="AE608" t="e">
        <v>#N/A</v>
      </c>
      <c r="AF608" t="e">
        <v>#N/A</v>
      </c>
      <c r="AP608" t="e">
        <v>#N/A</v>
      </c>
      <c r="AR608" t="e">
        <f t="shared" si="217"/>
        <v>#N/A</v>
      </c>
      <c r="AT608" t="e">
        <f t="shared" si="218"/>
        <v>#N/A</v>
      </c>
      <c r="AU608" t="e">
        <f t="shared" si="219"/>
        <v>#N/A</v>
      </c>
      <c r="AW608" t="e">
        <v>#N/A</v>
      </c>
      <c r="AX608" t="e">
        <v>#N/A</v>
      </c>
      <c r="BG608" t="e">
        <v>#N/A</v>
      </c>
      <c r="BI608" t="e">
        <f t="shared" si="220"/>
        <v>#N/A</v>
      </c>
      <c r="BK608" t="e">
        <f t="shared" si="221"/>
        <v>#N/A</v>
      </c>
      <c r="BL608" t="e">
        <f t="shared" si="222"/>
        <v>#N/A</v>
      </c>
      <c r="BN608" t="e">
        <v>#N/A</v>
      </c>
      <c r="BO608" t="e">
        <v>#N/A</v>
      </c>
      <c r="BX608" t="e">
        <v>#N/A</v>
      </c>
      <c r="BZ608" t="e">
        <f t="shared" si="223"/>
        <v>#N/A</v>
      </c>
      <c r="CB608" t="e">
        <f t="shared" si="226"/>
        <v>#N/A</v>
      </c>
      <c r="CC608" t="e">
        <f t="shared" si="224"/>
        <v>#N/A</v>
      </c>
      <c r="CE608" t="e">
        <v>#N/A</v>
      </c>
      <c r="CF608" t="e">
        <v>#N/A</v>
      </c>
    </row>
    <row r="609" spans="2:84">
      <c r="B609">
        <v>597</v>
      </c>
      <c r="C609">
        <f>IF(ISNUMBER(K609),IF('Lab test'!N600&gt;0,'Lab test'!N600,NA()),NA())</f>
        <v>114.3</v>
      </c>
      <c r="D609">
        <f>IF(ISNUMBER(K609),IF('Lab test'!Q600&gt;0,'Lab test'!Q600,NA()),NA())</f>
        <v>300</v>
      </c>
      <c r="E609" t="e">
        <f>IF(ISNUMBER(K609),IF('Lab test'!P600&gt;0,'Lab test'!P600,NA()),NA())</f>
        <v>#N/A</v>
      </c>
      <c r="F609">
        <f>IF(ISNUMBER(K609),IF('Lab test'!AJ600&gt;0,'Lab test'!AJ600,NA()),NA())</f>
        <v>2.7777777777777776E-2</v>
      </c>
      <c r="G609">
        <f>IF('Lab test'!V600&gt;0,'Lab test'!V600,NA())</f>
        <v>206842.71840000001</v>
      </c>
      <c r="H609">
        <f>IF(MAX('Lab test'!W600,'Lab test'!X600)&gt;0,MAX('Lab test'!W600,'Lab test'!X600),NA())</f>
        <v>204.4489896176384</v>
      </c>
      <c r="I609">
        <f>IF('Lab test'!AU600&gt;0,'Lab test'!AU600,NA())</f>
        <v>0.57302113020946721</v>
      </c>
      <c r="J609">
        <f>IF('Lab test'!AT600&gt;0,'Lab test'!AT600,NA())</f>
        <v>0.28074882478938595</v>
      </c>
      <c r="K609">
        <f t="shared" si="225"/>
        <v>1</v>
      </c>
      <c r="L609" t="str">
        <f>'Lab test'!AC600</f>
        <v>LTWb</v>
      </c>
      <c r="X609" t="e">
        <v>#N/A</v>
      </c>
      <c r="Z609" t="e">
        <f t="shared" si="215"/>
        <v>#N/A</v>
      </c>
      <c r="AB609" t="e">
        <f t="shared" si="214"/>
        <v>#N/A</v>
      </c>
      <c r="AC609" t="e">
        <f t="shared" si="216"/>
        <v>#N/A</v>
      </c>
      <c r="AE609" t="e">
        <v>#N/A</v>
      </c>
      <c r="AF609" t="e">
        <v>#N/A</v>
      </c>
      <c r="AP609" t="e">
        <v>#N/A</v>
      </c>
      <c r="AR609" t="e">
        <f t="shared" si="217"/>
        <v>#N/A</v>
      </c>
      <c r="AT609" t="e">
        <f t="shared" si="218"/>
        <v>#N/A</v>
      </c>
      <c r="AU609" t="e">
        <f t="shared" si="219"/>
        <v>#N/A</v>
      </c>
      <c r="AW609" t="e">
        <v>#N/A</v>
      </c>
      <c r="AX609" t="e">
        <v>#N/A</v>
      </c>
      <c r="BG609" t="e">
        <v>#N/A</v>
      </c>
      <c r="BI609" t="e">
        <f t="shared" si="220"/>
        <v>#N/A</v>
      </c>
      <c r="BK609" t="e">
        <f t="shared" si="221"/>
        <v>#N/A</v>
      </c>
      <c r="BL609" t="e">
        <f t="shared" si="222"/>
        <v>#N/A</v>
      </c>
      <c r="BN609" t="e">
        <v>#N/A</v>
      </c>
      <c r="BO609" t="e">
        <v>#N/A</v>
      </c>
      <c r="BX609" t="e">
        <v>#N/A</v>
      </c>
      <c r="BZ609" t="e">
        <f t="shared" si="223"/>
        <v>#N/A</v>
      </c>
      <c r="CB609" t="e">
        <f t="shared" si="226"/>
        <v>#N/A</v>
      </c>
      <c r="CC609" t="e">
        <f t="shared" si="224"/>
        <v>#N/A</v>
      </c>
      <c r="CE609" t="e">
        <v>#N/A</v>
      </c>
      <c r="CF609" t="e">
        <v>#N/A</v>
      </c>
    </row>
    <row r="610" spans="2:84">
      <c r="B610">
        <v>598</v>
      </c>
      <c r="C610">
        <f>IF(ISNUMBER(K610),IF('Lab test'!N601&gt;0,'Lab test'!N601,NA()),NA())</f>
        <v>114.3</v>
      </c>
      <c r="D610">
        <f>IF(ISNUMBER(K610),IF('Lab test'!Q601&gt;0,'Lab test'!Q601,NA()),NA())</f>
        <v>300</v>
      </c>
      <c r="E610" t="e">
        <f>IF(ISNUMBER(K610),IF('Lab test'!P601&gt;0,'Lab test'!P601,NA()),NA())</f>
        <v>#N/A</v>
      </c>
      <c r="F610">
        <f>IF(ISNUMBER(K610),IF('Lab test'!AJ601&gt;0,'Lab test'!AJ601,NA()),NA())</f>
        <v>2.7777777777777776E-2</v>
      </c>
      <c r="G610">
        <f>IF('Lab test'!V601&gt;0,'Lab test'!V601,NA())</f>
        <v>206842.71840000001</v>
      </c>
      <c r="H610">
        <f>IF(MAX('Lab test'!W601,'Lab test'!X601)&gt;0,MAX('Lab test'!W601,'Lab test'!X601),NA())</f>
        <v>175.23469776315687</v>
      </c>
      <c r="I610">
        <f>IF('Lab test'!AU601&gt;0,'Lab test'!AU601,NA())</f>
        <v>0.67599178306953278</v>
      </c>
      <c r="J610">
        <f>IF('Lab test'!AT601&gt;0,'Lab test'!AT601,NA())</f>
        <v>0.28387285280970181</v>
      </c>
      <c r="K610">
        <f t="shared" si="225"/>
        <v>1</v>
      </c>
      <c r="L610" t="str">
        <f>'Lab test'!AC601</f>
        <v>LTWb</v>
      </c>
      <c r="X610" t="e">
        <v>#N/A</v>
      </c>
      <c r="Z610" t="e">
        <f t="shared" si="215"/>
        <v>#N/A</v>
      </c>
      <c r="AB610" t="e">
        <f t="shared" si="214"/>
        <v>#N/A</v>
      </c>
      <c r="AC610" t="e">
        <f t="shared" si="216"/>
        <v>#N/A</v>
      </c>
      <c r="AE610" t="e">
        <v>#N/A</v>
      </c>
      <c r="AF610" t="e">
        <v>#N/A</v>
      </c>
      <c r="AP610" t="e">
        <v>#N/A</v>
      </c>
      <c r="AR610" t="e">
        <f t="shared" si="217"/>
        <v>#N/A</v>
      </c>
      <c r="AT610" t="e">
        <f t="shared" si="218"/>
        <v>#N/A</v>
      </c>
      <c r="AU610" t="e">
        <f t="shared" si="219"/>
        <v>#N/A</v>
      </c>
      <c r="AW610" t="e">
        <v>#N/A</v>
      </c>
      <c r="AX610" t="e">
        <v>#N/A</v>
      </c>
      <c r="BG610" t="e">
        <v>#N/A</v>
      </c>
      <c r="BI610" t="e">
        <f t="shared" si="220"/>
        <v>#N/A</v>
      </c>
      <c r="BK610" t="e">
        <f t="shared" si="221"/>
        <v>#N/A</v>
      </c>
      <c r="BL610" t="e">
        <f t="shared" si="222"/>
        <v>#N/A</v>
      </c>
      <c r="BN610" t="e">
        <v>#N/A</v>
      </c>
      <c r="BO610" t="e">
        <v>#N/A</v>
      </c>
      <c r="BX610" t="e">
        <v>#N/A</v>
      </c>
      <c r="BZ610" t="e">
        <f t="shared" si="223"/>
        <v>#N/A</v>
      </c>
      <c r="CB610" t="e">
        <f t="shared" si="226"/>
        <v>#N/A</v>
      </c>
      <c r="CC610" t="e">
        <f t="shared" si="224"/>
        <v>#N/A</v>
      </c>
      <c r="CE610" t="e">
        <v>#N/A</v>
      </c>
      <c r="CF610" t="e">
        <v>#N/A</v>
      </c>
    </row>
    <row r="611" spans="2:84">
      <c r="B611">
        <v>599</v>
      </c>
      <c r="C611">
        <f>IF(ISNUMBER(K611),IF('Lab test'!N602&gt;0,'Lab test'!N602,NA()),NA())</f>
        <v>114.3</v>
      </c>
      <c r="D611">
        <f>IF(ISNUMBER(K611),IF('Lab test'!Q602&gt;0,'Lab test'!Q602,NA()),NA())</f>
        <v>300</v>
      </c>
      <c r="E611" t="e">
        <f>IF(ISNUMBER(K611),IF('Lab test'!P602&gt;0,'Lab test'!P602,NA()),NA())</f>
        <v>#N/A</v>
      </c>
      <c r="F611">
        <f>IF(ISNUMBER(K611),IF('Lab test'!AJ602&gt;0,'Lab test'!AJ602,NA()),NA())</f>
        <v>2.7777777777777776E-2</v>
      </c>
      <c r="G611">
        <f>IF('Lab test'!V602&gt;0,'Lab test'!V602,NA())</f>
        <v>206842.71840000001</v>
      </c>
      <c r="H611">
        <f>IF(MAX('Lab test'!W602,'Lab test'!X602)&gt;0,MAX('Lab test'!W602,'Lab test'!X602),NA())</f>
        <v>168.97832881415036</v>
      </c>
      <c r="I611">
        <f>IF('Lab test'!AU602&gt;0,'Lab test'!AU602,NA())</f>
        <v>0.71555018775255785</v>
      </c>
      <c r="J611">
        <f>IF('Lab test'!AT602&gt;0,'Lab test'!AT602,NA())</f>
        <v>0.28975667680445677</v>
      </c>
      <c r="K611">
        <f t="shared" si="225"/>
        <v>1</v>
      </c>
      <c r="L611" t="str">
        <f>'Lab test'!AC602</f>
        <v>LTWb</v>
      </c>
      <c r="X611" t="e">
        <v>#N/A</v>
      </c>
      <c r="Z611" t="e">
        <f t="shared" si="215"/>
        <v>#N/A</v>
      </c>
      <c r="AB611" t="e">
        <f t="shared" si="214"/>
        <v>#N/A</v>
      </c>
      <c r="AC611" t="e">
        <f t="shared" si="216"/>
        <v>#N/A</v>
      </c>
      <c r="AE611" t="e">
        <v>#N/A</v>
      </c>
      <c r="AF611" t="e">
        <v>#N/A</v>
      </c>
      <c r="AP611" t="e">
        <v>#N/A</v>
      </c>
      <c r="AR611" t="e">
        <f t="shared" si="217"/>
        <v>#N/A</v>
      </c>
      <c r="AT611" t="e">
        <f t="shared" si="218"/>
        <v>#N/A</v>
      </c>
      <c r="AU611" t="e">
        <f t="shared" si="219"/>
        <v>#N/A</v>
      </c>
      <c r="AW611" t="e">
        <v>#N/A</v>
      </c>
      <c r="AX611" t="e">
        <v>#N/A</v>
      </c>
      <c r="BG611" t="e">
        <v>#N/A</v>
      </c>
      <c r="BI611" t="e">
        <f t="shared" si="220"/>
        <v>#N/A</v>
      </c>
      <c r="BK611" t="e">
        <f t="shared" si="221"/>
        <v>#N/A</v>
      </c>
      <c r="BL611" t="e">
        <f t="shared" si="222"/>
        <v>#N/A</v>
      </c>
      <c r="BN611" t="e">
        <v>#N/A</v>
      </c>
      <c r="BO611" t="e">
        <v>#N/A</v>
      </c>
      <c r="BX611" t="e">
        <v>#N/A</v>
      </c>
      <c r="BZ611" t="e">
        <f t="shared" si="223"/>
        <v>#N/A</v>
      </c>
      <c r="CB611" t="e">
        <f t="shared" si="226"/>
        <v>#N/A</v>
      </c>
      <c r="CC611" t="e">
        <f t="shared" si="224"/>
        <v>#N/A</v>
      </c>
      <c r="CE611" t="e">
        <v>#N/A</v>
      </c>
      <c r="CF611" t="e">
        <v>#N/A</v>
      </c>
    </row>
    <row r="612" spans="2:84">
      <c r="B612">
        <v>600</v>
      </c>
      <c r="C612">
        <f>IF(ISNUMBER(K612),IF('Lab test'!N603&gt;0,'Lab test'!N603,NA()),NA())</f>
        <v>114.3</v>
      </c>
      <c r="D612">
        <f>IF(ISNUMBER(K612),IF('Lab test'!Q603&gt;0,'Lab test'!Q603,NA()),NA())</f>
        <v>300</v>
      </c>
      <c r="E612" t="e">
        <f>IF(ISNUMBER(K612),IF('Lab test'!P603&gt;0,'Lab test'!P603,NA()),NA())</f>
        <v>#N/A</v>
      </c>
      <c r="F612">
        <f>IF(ISNUMBER(K612),IF('Lab test'!AJ603&gt;0,'Lab test'!AJ603,NA()),NA())</f>
        <v>2.7777777777777776E-2</v>
      </c>
      <c r="G612">
        <f>IF('Lab test'!V603&gt;0,'Lab test'!V603,NA())</f>
        <v>206842.71840000001</v>
      </c>
      <c r="H612">
        <f>IF(MAX('Lab test'!W603,'Lab test'!X603)&gt;0,MAX('Lab test'!W603,'Lab test'!X603),NA())</f>
        <v>160.78097259183096</v>
      </c>
      <c r="I612">
        <f>IF('Lab test'!AU603&gt;0,'Lab test'!AU603,NA())</f>
        <v>0.69463068194469424</v>
      </c>
      <c r="J612">
        <f>IF('Lab test'!AT603&gt;0,'Lab test'!AT603,NA())</f>
        <v>0.26763995929768397</v>
      </c>
      <c r="K612">
        <f t="shared" si="225"/>
        <v>1</v>
      </c>
      <c r="L612" t="str">
        <f>'Lab test'!AC603</f>
        <v>LTWb</v>
      </c>
      <c r="X612" t="e">
        <v>#N/A</v>
      </c>
      <c r="Z612" t="e">
        <f t="shared" si="215"/>
        <v>#N/A</v>
      </c>
      <c r="AB612" t="e">
        <f t="shared" si="214"/>
        <v>#N/A</v>
      </c>
      <c r="AC612" t="e">
        <f t="shared" si="216"/>
        <v>#N/A</v>
      </c>
      <c r="AE612" t="e">
        <v>#N/A</v>
      </c>
      <c r="AF612" t="e">
        <v>#N/A</v>
      </c>
      <c r="AP612" t="e">
        <v>#N/A</v>
      </c>
      <c r="AR612" t="e">
        <f t="shared" si="217"/>
        <v>#N/A</v>
      </c>
      <c r="AT612" t="e">
        <f t="shared" si="218"/>
        <v>#N/A</v>
      </c>
      <c r="AU612" t="e">
        <f t="shared" si="219"/>
        <v>#N/A</v>
      </c>
      <c r="AW612" t="e">
        <v>#N/A</v>
      </c>
      <c r="AX612" t="e">
        <v>#N/A</v>
      </c>
      <c r="BG612" t="e">
        <v>#N/A</v>
      </c>
      <c r="BI612" t="e">
        <f t="shared" si="220"/>
        <v>#N/A</v>
      </c>
      <c r="BK612" t="e">
        <f t="shared" si="221"/>
        <v>#N/A</v>
      </c>
      <c r="BL612" t="e">
        <f t="shared" si="222"/>
        <v>#N/A</v>
      </c>
      <c r="BN612" t="e">
        <v>#N/A</v>
      </c>
      <c r="BO612" t="e">
        <v>#N/A</v>
      </c>
      <c r="BX612" t="e">
        <v>#N/A</v>
      </c>
      <c r="BZ612" t="e">
        <f t="shared" si="223"/>
        <v>#N/A</v>
      </c>
      <c r="CB612" t="e">
        <f t="shared" si="226"/>
        <v>#N/A</v>
      </c>
      <c r="CC612" t="e">
        <f t="shared" si="224"/>
        <v>#N/A</v>
      </c>
      <c r="CE612" t="e">
        <v>#N/A</v>
      </c>
      <c r="CF612" t="e">
        <v>#N/A</v>
      </c>
    </row>
    <row r="613" spans="2:84">
      <c r="B613">
        <v>601</v>
      </c>
      <c r="C613">
        <f>IF(ISNUMBER(K613),IF('Lab test'!N604&gt;0,'Lab test'!N604,NA()),NA())</f>
        <v>114.3</v>
      </c>
      <c r="D613">
        <f>IF(ISNUMBER(K613),IF('Lab test'!Q604&gt;0,'Lab test'!Q604,NA()),NA())</f>
        <v>300</v>
      </c>
      <c r="E613" t="e">
        <f>IF(ISNUMBER(K613),IF('Lab test'!P604&gt;0,'Lab test'!P604,NA()),NA())</f>
        <v>#N/A</v>
      </c>
      <c r="F613">
        <f>IF(ISNUMBER(K613),IF('Lab test'!AJ604&gt;0,'Lab test'!AJ604,NA()),NA())</f>
        <v>2.7777777777777776E-2</v>
      </c>
      <c r="G613">
        <f>IF('Lab test'!V604&gt;0,'Lab test'!V604,NA())</f>
        <v>206842.71840000001</v>
      </c>
      <c r="H613">
        <f>IF(MAX('Lab test'!W604,'Lab test'!X604)&gt;0,MAX('Lab test'!W604,'Lab test'!X604),NA())</f>
        <v>162.72534318970162</v>
      </c>
      <c r="I613">
        <f>IF('Lab test'!AU604&gt;0,'Lab test'!AU604,NA())</f>
        <v>0.62049036917671818</v>
      </c>
      <c r="J613">
        <f>IF('Lab test'!AT604&gt;0,'Lab test'!AT604,NA())</f>
        <v>0.24196501805912921</v>
      </c>
      <c r="K613">
        <f t="shared" si="225"/>
        <v>1</v>
      </c>
      <c r="L613" t="str">
        <f>'Lab test'!AC604</f>
        <v>LTWb</v>
      </c>
      <c r="X613" t="e">
        <v>#N/A</v>
      </c>
      <c r="Z613" t="e">
        <f t="shared" si="215"/>
        <v>#N/A</v>
      </c>
      <c r="AB613" t="e">
        <f t="shared" si="214"/>
        <v>#N/A</v>
      </c>
      <c r="AC613" t="e">
        <f t="shared" si="216"/>
        <v>#N/A</v>
      </c>
      <c r="AE613" t="e">
        <v>#N/A</v>
      </c>
      <c r="AF613" t="e">
        <v>#N/A</v>
      </c>
      <c r="AP613" t="e">
        <v>#N/A</v>
      </c>
      <c r="AR613" t="e">
        <f t="shared" si="217"/>
        <v>#N/A</v>
      </c>
      <c r="AT613" t="e">
        <f t="shared" si="218"/>
        <v>#N/A</v>
      </c>
      <c r="AU613" t="e">
        <f t="shared" si="219"/>
        <v>#N/A</v>
      </c>
      <c r="AW613" t="e">
        <v>#N/A</v>
      </c>
      <c r="AX613" t="e">
        <v>#N/A</v>
      </c>
      <c r="BG613" t="e">
        <v>#N/A</v>
      </c>
      <c r="BI613" t="e">
        <f t="shared" si="220"/>
        <v>#N/A</v>
      </c>
      <c r="BK613" t="e">
        <f t="shared" si="221"/>
        <v>#N/A</v>
      </c>
      <c r="BL613" t="e">
        <f t="shared" si="222"/>
        <v>#N/A</v>
      </c>
      <c r="BN613" t="e">
        <v>#N/A</v>
      </c>
      <c r="BO613" t="e">
        <v>#N/A</v>
      </c>
      <c r="BX613" t="e">
        <v>#N/A</v>
      </c>
      <c r="BZ613" t="e">
        <f t="shared" si="223"/>
        <v>#N/A</v>
      </c>
      <c r="CB613" t="e">
        <f t="shared" si="226"/>
        <v>#N/A</v>
      </c>
      <c r="CC613" t="e">
        <f t="shared" si="224"/>
        <v>#N/A</v>
      </c>
      <c r="CE613" t="e">
        <v>#N/A</v>
      </c>
      <c r="CF613" t="e">
        <v>#N/A</v>
      </c>
    </row>
    <row r="614" spans="2:84">
      <c r="B614">
        <v>602</v>
      </c>
      <c r="C614" t="e">
        <f>IF(ISNUMBER(K614),IF('Lab test'!N605&gt;0,'Lab test'!N605,NA()),NA())</f>
        <v>#N/A</v>
      </c>
      <c r="D614" t="e">
        <f>IF(ISNUMBER(K614),IF('Lab test'!Q605&gt;0,'Lab test'!Q605,NA()),NA())</f>
        <v>#N/A</v>
      </c>
      <c r="E614" t="e">
        <f>IF(ISNUMBER(K614),IF('Lab test'!P605&gt;0,'Lab test'!P605,NA()),NA())</f>
        <v>#N/A</v>
      </c>
      <c r="F614" t="e">
        <f>IF(ISNUMBER(K614),IF('Lab test'!AJ605&gt;0,'Lab test'!AJ605,NA()),NA())</f>
        <v>#N/A</v>
      </c>
      <c r="G614">
        <f>IF('Lab test'!V605&gt;0,'Lab test'!V605,NA())</f>
        <v>72394.95</v>
      </c>
      <c r="H614" t="e">
        <f>IF(MAX('Lab test'!W605,'Lab test'!X605)&gt;0,MAX('Lab test'!W605,'Lab test'!X605),NA())</f>
        <v>#N/A</v>
      </c>
      <c r="I614" t="e">
        <f>IF('Lab test'!AU605&gt;0,'Lab test'!AU605,NA())</f>
        <v>#N/A</v>
      </c>
      <c r="J614">
        <f>IF('Lab test'!AT605&gt;0,'Lab test'!AT605,NA())</f>
        <v>0.82483838488084604</v>
      </c>
      <c r="K614" t="e">
        <f t="shared" si="225"/>
        <v>#N/A</v>
      </c>
      <c r="L614" t="str">
        <f>'Lab test'!AC605</f>
        <v>Miscellaneous</v>
      </c>
      <c r="X614" t="e">
        <v>#N/A</v>
      </c>
      <c r="Z614" t="e">
        <f t="shared" si="215"/>
        <v>#N/A</v>
      </c>
      <c r="AB614" t="e">
        <f t="shared" si="214"/>
        <v>#N/A</v>
      </c>
      <c r="AC614" t="e">
        <f t="shared" si="216"/>
        <v>#N/A</v>
      </c>
      <c r="AE614" t="e">
        <v>#N/A</v>
      </c>
      <c r="AF614" t="e">
        <v>#N/A</v>
      </c>
      <c r="AP614" t="e">
        <v>#N/A</v>
      </c>
      <c r="AR614" t="e">
        <f t="shared" si="217"/>
        <v>#N/A</v>
      </c>
      <c r="AT614" t="e">
        <f t="shared" si="218"/>
        <v>#N/A</v>
      </c>
      <c r="AU614" t="e">
        <f t="shared" si="219"/>
        <v>#N/A</v>
      </c>
      <c r="AW614" t="e">
        <v>#N/A</v>
      </c>
      <c r="AX614" t="e">
        <v>#N/A</v>
      </c>
      <c r="BG614" t="e">
        <v>#N/A</v>
      </c>
      <c r="BI614" t="e">
        <f t="shared" si="220"/>
        <v>#N/A</v>
      </c>
      <c r="BK614" t="e">
        <f t="shared" si="221"/>
        <v>#N/A</v>
      </c>
      <c r="BL614" t="e">
        <f t="shared" si="222"/>
        <v>#N/A</v>
      </c>
      <c r="BN614" t="e">
        <v>#N/A</v>
      </c>
      <c r="BO614" t="e">
        <v>#N/A</v>
      </c>
      <c r="BX614" t="e">
        <v>#N/A</v>
      </c>
      <c r="BZ614" t="e">
        <f t="shared" si="223"/>
        <v>#N/A</v>
      </c>
      <c r="CB614" t="e">
        <f t="shared" si="226"/>
        <v>#N/A</v>
      </c>
      <c r="CC614" t="e">
        <f t="shared" si="224"/>
        <v>#N/A</v>
      </c>
      <c r="CE614" t="e">
        <v>#N/A</v>
      </c>
      <c r="CF614" t="e">
        <v>#N/A</v>
      </c>
    </row>
    <row r="615" spans="2:84">
      <c r="B615">
        <v>603</v>
      </c>
      <c r="C615" t="e">
        <f>IF(ISNUMBER(K615),IF('Lab test'!N606&gt;0,'Lab test'!N606,NA()),NA())</f>
        <v>#N/A</v>
      </c>
      <c r="D615" t="e">
        <f>IF(ISNUMBER(K615),IF('Lab test'!Q606&gt;0,'Lab test'!Q606,NA()),NA())</f>
        <v>#N/A</v>
      </c>
      <c r="E615" t="e">
        <f>IF(ISNUMBER(K615),IF('Lab test'!P606&gt;0,'Lab test'!P606,NA()),NA())</f>
        <v>#N/A</v>
      </c>
      <c r="F615" t="e">
        <f>IF(ISNUMBER(K615),IF('Lab test'!AJ606&gt;0,'Lab test'!AJ606,NA()),NA())</f>
        <v>#N/A</v>
      </c>
      <c r="G615">
        <f>IF('Lab test'!V606&gt;0,'Lab test'!V606,NA())</f>
        <v>72394.95</v>
      </c>
      <c r="H615" t="e">
        <f>IF(MAX('Lab test'!W606,'Lab test'!X606)&gt;0,MAX('Lab test'!W606,'Lab test'!X606),NA())</f>
        <v>#N/A</v>
      </c>
      <c r="I615" t="e">
        <f>IF('Lab test'!AU606&gt;0,'Lab test'!AU606,NA())</f>
        <v>#N/A</v>
      </c>
      <c r="J615">
        <f>IF('Lab test'!AT606&gt;0,'Lab test'!AT606,NA())</f>
        <v>0.86642738539875586</v>
      </c>
      <c r="K615" t="e">
        <f t="shared" si="225"/>
        <v>#N/A</v>
      </c>
      <c r="L615" t="str">
        <f>'Lab test'!AC606</f>
        <v>Miscellaneous</v>
      </c>
      <c r="X615" t="e">
        <v>#N/A</v>
      </c>
      <c r="Z615" t="e">
        <f t="shared" si="215"/>
        <v>#N/A</v>
      </c>
      <c r="AB615" t="e">
        <f t="shared" si="214"/>
        <v>#N/A</v>
      </c>
      <c r="AC615" t="e">
        <f t="shared" si="216"/>
        <v>#N/A</v>
      </c>
      <c r="AE615" t="e">
        <v>#N/A</v>
      </c>
      <c r="AF615" t="e">
        <v>#N/A</v>
      </c>
      <c r="AP615" t="e">
        <v>#N/A</v>
      </c>
      <c r="AR615" t="e">
        <f t="shared" si="217"/>
        <v>#N/A</v>
      </c>
      <c r="AT615" t="e">
        <f t="shared" si="218"/>
        <v>#N/A</v>
      </c>
      <c r="AU615" t="e">
        <f t="shared" si="219"/>
        <v>#N/A</v>
      </c>
      <c r="AW615" t="e">
        <v>#N/A</v>
      </c>
      <c r="AX615" t="e">
        <v>#N/A</v>
      </c>
      <c r="BG615" t="e">
        <v>#N/A</v>
      </c>
      <c r="BI615" t="e">
        <f t="shared" si="220"/>
        <v>#N/A</v>
      </c>
      <c r="BK615" t="e">
        <f t="shared" si="221"/>
        <v>#N/A</v>
      </c>
      <c r="BL615" t="e">
        <f t="shared" si="222"/>
        <v>#N/A</v>
      </c>
      <c r="BN615" t="e">
        <v>#N/A</v>
      </c>
      <c r="BO615" t="e">
        <v>#N/A</v>
      </c>
      <c r="BX615" t="e">
        <v>#N/A</v>
      </c>
      <c r="BZ615" t="e">
        <f t="shared" si="223"/>
        <v>#N/A</v>
      </c>
      <c r="CB615" t="e">
        <f t="shared" si="226"/>
        <v>#N/A</v>
      </c>
      <c r="CC615" t="e">
        <f t="shared" si="224"/>
        <v>#N/A</v>
      </c>
      <c r="CE615" t="e">
        <v>#N/A</v>
      </c>
      <c r="CF615" t="e">
        <v>#N/A</v>
      </c>
    </row>
    <row r="616" spans="2:84">
      <c r="B616">
        <v>604</v>
      </c>
      <c r="C616" t="e">
        <f>IF(ISNUMBER(K616),IF('Lab test'!N607&gt;0,'Lab test'!N607,NA()),NA())</f>
        <v>#N/A</v>
      </c>
      <c r="D616" t="e">
        <f>IF(ISNUMBER(K616),IF('Lab test'!Q607&gt;0,'Lab test'!Q607,NA()),NA())</f>
        <v>#N/A</v>
      </c>
      <c r="E616" t="e">
        <f>IF(ISNUMBER(K616),IF('Lab test'!P607&gt;0,'Lab test'!P607,NA()),NA())</f>
        <v>#N/A</v>
      </c>
      <c r="F616" t="e">
        <f>IF(ISNUMBER(K616),IF('Lab test'!AJ607&gt;0,'Lab test'!AJ607,NA()),NA())</f>
        <v>#N/A</v>
      </c>
      <c r="G616">
        <f>IF('Lab test'!V607&gt;0,'Lab test'!V607,NA())</f>
        <v>72394.95</v>
      </c>
      <c r="H616" t="e">
        <f>IF(MAX('Lab test'!W607,'Lab test'!X607)&gt;0,MAX('Lab test'!W607,'Lab test'!X607),NA())</f>
        <v>#N/A</v>
      </c>
      <c r="I616" t="e">
        <f>IF('Lab test'!AU607&gt;0,'Lab test'!AU607,NA())</f>
        <v>#N/A</v>
      </c>
      <c r="J616">
        <f>IF('Lab test'!AT607&gt;0,'Lab test'!AT607,NA())</f>
        <v>0.83683328755722586</v>
      </c>
      <c r="K616" t="e">
        <f t="shared" si="225"/>
        <v>#N/A</v>
      </c>
      <c r="L616" t="str">
        <f>'Lab test'!AC607</f>
        <v>Miscellaneous</v>
      </c>
      <c r="X616" t="e">
        <v>#N/A</v>
      </c>
      <c r="Z616" t="e">
        <f t="shared" si="215"/>
        <v>#N/A</v>
      </c>
      <c r="AB616" t="e">
        <f t="shared" si="214"/>
        <v>#N/A</v>
      </c>
      <c r="AC616" t="e">
        <f t="shared" si="216"/>
        <v>#N/A</v>
      </c>
      <c r="AE616" t="e">
        <v>#N/A</v>
      </c>
      <c r="AF616" t="e">
        <v>#N/A</v>
      </c>
      <c r="AP616" t="e">
        <v>#N/A</v>
      </c>
      <c r="AR616" t="e">
        <f t="shared" si="217"/>
        <v>#N/A</v>
      </c>
      <c r="AT616" t="e">
        <f t="shared" si="218"/>
        <v>#N/A</v>
      </c>
      <c r="AU616" t="e">
        <f t="shared" si="219"/>
        <v>#N/A</v>
      </c>
      <c r="AW616" t="e">
        <v>#N/A</v>
      </c>
      <c r="AX616" t="e">
        <v>#N/A</v>
      </c>
      <c r="BG616" t="e">
        <v>#N/A</v>
      </c>
      <c r="BI616" t="e">
        <f t="shared" si="220"/>
        <v>#N/A</v>
      </c>
      <c r="BK616" t="e">
        <f t="shared" si="221"/>
        <v>#N/A</v>
      </c>
      <c r="BL616" t="e">
        <f t="shared" si="222"/>
        <v>#N/A</v>
      </c>
      <c r="BN616" t="e">
        <v>#N/A</v>
      </c>
      <c r="BO616" t="e">
        <v>#N/A</v>
      </c>
      <c r="BX616" t="e">
        <v>#N/A</v>
      </c>
      <c r="BZ616" t="e">
        <f t="shared" si="223"/>
        <v>#N/A</v>
      </c>
      <c r="CB616" t="e">
        <f t="shared" si="226"/>
        <v>#N/A</v>
      </c>
      <c r="CC616" t="e">
        <f t="shared" si="224"/>
        <v>#N/A</v>
      </c>
      <c r="CE616" t="e">
        <v>#N/A</v>
      </c>
      <c r="CF616" t="e">
        <v>#N/A</v>
      </c>
    </row>
    <row r="617" spans="2:84">
      <c r="B617">
        <v>605</v>
      </c>
      <c r="C617" t="e">
        <f>IF(ISNUMBER(K617),IF('Lab test'!N608&gt;0,'Lab test'!N608,NA()),NA())</f>
        <v>#N/A</v>
      </c>
      <c r="D617" t="e">
        <f>IF(ISNUMBER(K617),IF('Lab test'!Q608&gt;0,'Lab test'!Q608,NA()),NA())</f>
        <v>#N/A</v>
      </c>
      <c r="E617" t="e">
        <f>IF(ISNUMBER(K617),IF('Lab test'!P608&gt;0,'Lab test'!P608,NA()),NA())</f>
        <v>#N/A</v>
      </c>
      <c r="F617" t="e">
        <f>IF(ISNUMBER(K617),IF('Lab test'!AJ608&gt;0,'Lab test'!AJ608,NA()),NA())</f>
        <v>#N/A</v>
      </c>
      <c r="G617" t="e">
        <f>IF('Lab test'!V608&gt;0,'Lab test'!V608,NA())</f>
        <v>#N/A</v>
      </c>
      <c r="H617" t="e">
        <f>IF(MAX('Lab test'!W608,'Lab test'!X608)&gt;0,MAX('Lab test'!W608,'Lab test'!X608),NA())</f>
        <v>#N/A</v>
      </c>
      <c r="I617" t="e">
        <f>IF('Lab test'!AU608&gt;0,'Lab test'!AU608,NA())</f>
        <v>#N/A</v>
      </c>
      <c r="J617" t="e">
        <f>IF('Lab test'!AT608&gt;0,'Lab test'!AT608,NA())</f>
        <v>#N/A</v>
      </c>
      <c r="K617" t="e">
        <f t="shared" si="225"/>
        <v>#N/A</v>
      </c>
      <c r="L617" t="str">
        <f>'Lab test'!AC608</f>
        <v>Electroforming</v>
      </c>
      <c r="X617" t="e">
        <v>#N/A</v>
      </c>
      <c r="Z617" t="e">
        <f t="shared" si="215"/>
        <v>#N/A</v>
      </c>
      <c r="AB617" t="e">
        <f t="shared" si="214"/>
        <v>#N/A</v>
      </c>
      <c r="AC617" t="e">
        <f t="shared" si="216"/>
        <v>#N/A</v>
      </c>
      <c r="AE617" t="e">
        <v>#N/A</v>
      </c>
      <c r="AF617" t="e">
        <v>#N/A</v>
      </c>
      <c r="AP617" t="e">
        <v>#N/A</v>
      </c>
      <c r="AR617" t="e">
        <f t="shared" si="217"/>
        <v>#N/A</v>
      </c>
      <c r="AT617" t="e">
        <f t="shared" si="218"/>
        <v>#N/A</v>
      </c>
      <c r="AU617" t="e">
        <f t="shared" si="219"/>
        <v>#N/A</v>
      </c>
      <c r="AW617" t="e">
        <v>#N/A</v>
      </c>
      <c r="AX617" t="e">
        <v>#N/A</v>
      </c>
      <c r="BG617" t="e">
        <v>#N/A</v>
      </c>
      <c r="BI617" t="e">
        <f t="shared" si="220"/>
        <v>#N/A</v>
      </c>
      <c r="BK617" t="e">
        <f t="shared" si="221"/>
        <v>#N/A</v>
      </c>
      <c r="BL617" t="e">
        <f t="shared" si="222"/>
        <v>#N/A</v>
      </c>
      <c r="BN617" t="e">
        <v>#N/A</v>
      </c>
      <c r="BO617" t="e">
        <v>#N/A</v>
      </c>
      <c r="BX617" t="e">
        <v>#N/A</v>
      </c>
      <c r="BZ617" t="e">
        <f t="shared" si="223"/>
        <v>#N/A</v>
      </c>
      <c r="CB617" t="e">
        <f t="shared" si="226"/>
        <v>#N/A</v>
      </c>
      <c r="CC617" t="e">
        <f t="shared" si="224"/>
        <v>#N/A</v>
      </c>
      <c r="CE617" t="e">
        <v>#N/A</v>
      </c>
      <c r="CF617" t="e">
        <v>#N/A</v>
      </c>
    </row>
    <row r="618" spans="2:84">
      <c r="B618">
        <v>606</v>
      </c>
      <c r="C618" t="e">
        <f>IF(ISNUMBER(K618),IF('Lab test'!N609&gt;0,'Lab test'!N609,NA()),NA())</f>
        <v>#N/A</v>
      </c>
      <c r="D618" t="e">
        <f>IF(ISNUMBER(K618),IF('Lab test'!Q609&gt;0,'Lab test'!Q609,NA()),NA())</f>
        <v>#N/A</v>
      </c>
      <c r="E618" t="e">
        <f>IF(ISNUMBER(K618),IF('Lab test'!P609&gt;0,'Lab test'!P609,NA()),NA())</f>
        <v>#N/A</v>
      </c>
      <c r="F618" t="e">
        <f>IF(ISNUMBER(K618),IF('Lab test'!AJ609&gt;0,'Lab test'!AJ609,NA()),NA())</f>
        <v>#N/A</v>
      </c>
      <c r="G618" t="e">
        <f>IF('Lab test'!V609&gt;0,'Lab test'!V609,NA())</f>
        <v>#N/A</v>
      </c>
      <c r="H618" t="e">
        <f>IF(MAX('Lab test'!W609,'Lab test'!X609)&gt;0,MAX('Lab test'!W609,'Lab test'!X609),NA())</f>
        <v>#N/A</v>
      </c>
      <c r="I618" t="e">
        <f>IF('Lab test'!AU609&gt;0,'Lab test'!AU609,NA())</f>
        <v>#N/A</v>
      </c>
      <c r="J618" t="e">
        <f>IF('Lab test'!AT609&gt;0,'Lab test'!AT609,NA())</f>
        <v>#N/A</v>
      </c>
      <c r="K618" t="e">
        <f t="shared" si="225"/>
        <v>#N/A</v>
      </c>
      <c r="L618" t="str">
        <f>'Lab test'!AC609</f>
        <v>Electroforming</v>
      </c>
      <c r="X618" t="e">
        <v>#N/A</v>
      </c>
      <c r="Z618" t="e">
        <f t="shared" si="215"/>
        <v>#N/A</v>
      </c>
      <c r="AB618" t="e">
        <f t="shared" si="214"/>
        <v>#N/A</v>
      </c>
      <c r="AC618" t="e">
        <f t="shared" si="216"/>
        <v>#N/A</v>
      </c>
      <c r="AE618" t="e">
        <v>#N/A</v>
      </c>
      <c r="AF618" t="e">
        <v>#N/A</v>
      </c>
      <c r="AP618" t="e">
        <v>#N/A</v>
      </c>
      <c r="AR618" t="e">
        <f t="shared" si="217"/>
        <v>#N/A</v>
      </c>
      <c r="AT618" t="e">
        <f t="shared" si="218"/>
        <v>#N/A</v>
      </c>
      <c r="AU618" t="e">
        <f t="shared" si="219"/>
        <v>#N/A</v>
      </c>
      <c r="AW618" t="e">
        <v>#N/A</v>
      </c>
      <c r="AX618" t="e">
        <v>#N/A</v>
      </c>
      <c r="BG618" t="e">
        <v>#N/A</v>
      </c>
      <c r="BI618" t="e">
        <f t="shared" si="220"/>
        <v>#N/A</v>
      </c>
      <c r="BK618" t="e">
        <f t="shared" si="221"/>
        <v>#N/A</v>
      </c>
      <c r="BL618" t="e">
        <f t="shared" si="222"/>
        <v>#N/A</v>
      </c>
      <c r="BN618" t="e">
        <v>#N/A</v>
      </c>
      <c r="BO618" t="e">
        <v>#N/A</v>
      </c>
      <c r="BX618" t="e">
        <v>#N/A</v>
      </c>
      <c r="BZ618" t="e">
        <f t="shared" si="223"/>
        <v>#N/A</v>
      </c>
      <c r="CB618" t="e">
        <f t="shared" si="226"/>
        <v>#N/A</v>
      </c>
      <c r="CC618" t="e">
        <f t="shared" si="224"/>
        <v>#N/A</v>
      </c>
      <c r="CE618" t="e">
        <v>#N/A</v>
      </c>
      <c r="CF618" t="e">
        <v>#N/A</v>
      </c>
    </row>
    <row r="619" spans="2:84">
      <c r="B619">
        <v>607</v>
      </c>
      <c r="C619" t="e">
        <f>IF(ISNUMBER(K619),IF('Lab test'!N610&gt;0,'Lab test'!N610,NA()),NA())</f>
        <v>#N/A</v>
      </c>
      <c r="D619" t="e">
        <f>IF(ISNUMBER(K619),IF('Lab test'!Q610&gt;0,'Lab test'!Q610,NA()),NA())</f>
        <v>#N/A</v>
      </c>
      <c r="E619" t="e">
        <f>IF(ISNUMBER(K619),IF('Lab test'!P610&gt;0,'Lab test'!P610,NA()),NA())</f>
        <v>#N/A</v>
      </c>
      <c r="F619" t="e">
        <f>IF(ISNUMBER(K619),IF('Lab test'!AJ610&gt;0,'Lab test'!AJ610,NA()),NA())</f>
        <v>#N/A</v>
      </c>
      <c r="G619" t="e">
        <f>IF('Lab test'!V610&gt;0,'Lab test'!V610,NA())</f>
        <v>#N/A</v>
      </c>
      <c r="H619" t="e">
        <f>IF(MAX('Lab test'!W610,'Lab test'!X610)&gt;0,MAX('Lab test'!W610,'Lab test'!X610),NA())</f>
        <v>#N/A</v>
      </c>
      <c r="I619" t="e">
        <f>IF('Lab test'!AU610&gt;0,'Lab test'!AU610,NA())</f>
        <v>#N/A</v>
      </c>
      <c r="J619" t="e">
        <f>IF('Lab test'!AT610&gt;0,'Lab test'!AT610,NA())</f>
        <v>#N/A</v>
      </c>
      <c r="K619" t="e">
        <f t="shared" si="225"/>
        <v>#N/A</v>
      </c>
      <c r="L619" t="str">
        <f>'Lab test'!AC610</f>
        <v>Electroforming</v>
      </c>
      <c r="X619" t="e">
        <v>#N/A</v>
      </c>
      <c r="Z619" t="e">
        <f t="shared" si="215"/>
        <v>#N/A</v>
      </c>
      <c r="AB619" t="e">
        <f t="shared" si="214"/>
        <v>#N/A</v>
      </c>
      <c r="AC619" t="e">
        <f t="shared" si="216"/>
        <v>#N/A</v>
      </c>
      <c r="AE619" t="e">
        <v>#N/A</v>
      </c>
      <c r="AF619" t="e">
        <v>#N/A</v>
      </c>
      <c r="AP619" t="e">
        <v>#N/A</v>
      </c>
      <c r="AR619" t="e">
        <f t="shared" si="217"/>
        <v>#N/A</v>
      </c>
      <c r="AT619" t="e">
        <f t="shared" si="218"/>
        <v>#N/A</v>
      </c>
      <c r="AU619" t="e">
        <f t="shared" si="219"/>
        <v>#N/A</v>
      </c>
      <c r="AW619" t="e">
        <v>#N/A</v>
      </c>
      <c r="AX619" t="e">
        <v>#N/A</v>
      </c>
      <c r="BG619" t="e">
        <v>#N/A</v>
      </c>
      <c r="BI619" t="e">
        <f t="shared" si="220"/>
        <v>#N/A</v>
      </c>
      <c r="BK619" t="e">
        <f t="shared" si="221"/>
        <v>#N/A</v>
      </c>
      <c r="BL619" t="e">
        <f t="shared" si="222"/>
        <v>#N/A</v>
      </c>
      <c r="BN619" t="e">
        <v>#N/A</v>
      </c>
      <c r="BO619" t="e">
        <v>#N/A</v>
      </c>
      <c r="BX619" t="e">
        <v>#N/A</v>
      </c>
      <c r="BZ619" t="e">
        <f t="shared" si="223"/>
        <v>#N/A</v>
      </c>
      <c r="CB619" t="e">
        <f t="shared" si="226"/>
        <v>#N/A</v>
      </c>
      <c r="CC619" t="e">
        <f t="shared" si="224"/>
        <v>#N/A</v>
      </c>
      <c r="CE619" t="e">
        <v>#N/A</v>
      </c>
      <c r="CF619" t="e">
        <v>#N/A</v>
      </c>
    </row>
    <row r="620" spans="2:84">
      <c r="B620">
        <v>608</v>
      </c>
      <c r="C620" t="e">
        <f>IF(ISNUMBER(K620),IF('Lab test'!N611&gt;0,'Lab test'!N611,NA()),NA())</f>
        <v>#N/A</v>
      </c>
      <c r="D620" t="e">
        <f>IF(ISNUMBER(K620),IF('Lab test'!Q611&gt;0,'Lab test'!Q611,NA()),NA())</f>
        <v>#N/A</v>
      </c>
      <c r="E620" t="e">
        <f>IF(ISNUMBER(K620),IF('Lab test'!P611&gt;0,'Lab test'!P611,NA()),NA())</f>
        <v>#N/A</v>
      </c>
      <c r="F620" t="e">
        <f>IF(ISNUMBER(K620),IF('Lab test'!AJ611&gt;0,'Lab test'!AJ611,NA()),NA())</f>
        <v>#N/A</v>
      </c>
      <c r="G620" t="e">
        <f>IF('Lab test'!V611&gt;0,'Lab test'!V611,NA())</f>
        <v>#N/A</v>
      </c>
      <c r="H620" t="e">
        <f>IF(MAX('Lab test'!W611,'Lab test'!X611)&gt;0,MAX('Lab test'!W611,'Lab test'!X611),NA())</f>
        <v>#N/A</v>
      </c>
      <c r="I620" t="e">
        <f>IF('Lab test'!AU611&gt;0,'Lab test'!AU611,NA())</f>
        <v>#N/A</v>
      </c>
      <c r="J620" t="e">
        <f>IF('Lab test'!AT611&gt;0,'Lab test'!AT611,NA())</f>
        <v>#N/A</v>
      </c>
      <c r="K620" t="e">
        <f t="shared" si="225"/>
        <v>#N/A</v>
      </c>
      <c r="L620" t="str">
        <f>'Lab test'!AC611</f>
        <v>Electroforming</v>
      </c>
      <c r="X620" t="e">
        <v>#N/A</v>
      </c>
      <c r="Z620" t="e">
        <f t="shared" si="215"/>
        <v>#N/A</v>
      </c>
      <c r="AB620" t="e">
        <f t="shared" si="214"/>
        <v>#N/A</v>
      </c>
      <c r="AC620" t="e">
        <f t="shared" si="216"/>
        <v>#N/A</v>
      </c>
      <c r="AE620" t="e">
        <v>#N/A</v>
      </c>
      <c r="AF620" t="e">
        <v>#N/A</v>
      </c>
      <c r="AP620" t="e">
        <v>#N/A</v>
      </c>
      <c r="AR620" t="e">
        <f t="shared" si="217"/>
        <v>#N/A</v>
      </c>
      <c r="AT620" t="e">
        <f t="shared" si="218"/>
        <v>#N/A</v>
      </c>
      <c r="AU620" t="e">
        <f t="shared" si="219"/>
        <v>#N/A</v>
      </c>
      <c r="AW620" t="e">
        <v>#N/A</v>
      </c>
      <c r="AX620" t="e">
        <v>#N/A</v>
      </c>
      <c r="BG620" t="e">
        <v>#N/A</v>
      </c>
      <c r="BI620" t="e">
        <f t="shared" si="220"/>
        <v>#N/A</v>
      </c>
      <c r="BK620" t="e">
        <f t="shared" si="221"/>
        <v>#N/A</v>
      </c>
      <c r="BL620" t="e">
        <f t="shared" si="222"/>
        <v>#N/A</v>
      </c>
      <c r="BN620" t="e">
        <v>#N/A</v>
      </c>
      <c r="BO620" t="e">
        <v>#N/A</v>
      </c>
      <c r="BX620" t="e">
        <v>#N/A</v>
      </c>
      <c r="BZ620" t="e">
        <f t="shared" si="223"/>
        <v>#N/A</v>
      </c>
      <c r="CB620" t="e">
        <f t="shared" si="226"/>
        <v>#N/A</v>
      </c>
      <c r="CC620" t="e">
        <f t="shared" si="224"/>
        <v>#N/A</v>
      </c>
      <c r="CE620" t="e">
        <v>#N/A</v>
      </c>
      <c r="CF620" t="e">
        <v>#N/A</v>
      </c>
    </row>
    <row r="621" spans="2:84">
      <c r="B621">
        <v>609</v>
      </c>
      <c r="C621" t="e">
        <f>IF(ISNUMBER(K621),IF('Lab test'!N612&gt;0,'Lab test'!N612,NA()),NA())</f>
        <v>#N/A</v>
      </c>
      <c r="D621" t="e">
        <f>IF(ISNUMBER(K621),IF('Lab test'!Q612&gt;0,'Lab test'!Q612,NA()),NA())</f>
        <v>#N/A</v>
      </c>
      <c r="E621" t="e">
        <f>IF(ISNUMBER(K621),IF('Lab test'!P612&gt;0,'Lab test'!P612,NA()),NA())</f>
        <v>#N/A</v>
      </c>
      <c r="F621" t="e">
        <f>IF(ISNUMBER(K621),IF('Lab test'!AJ612&gt;0,'Lab test'!AJ612,NA()),NA())</f>
        <v>#N/A</v>
      </c>
      <c r="G621">
        <f>IF('Lab test'!V612&gt;0,'Lab test'!V612,NA())</f>
        <v>170035.67361878708</v>
      </c>
      <c r="H621" t="e">
        <f>IF(MAX('Lab test'!W612,'Lab test'!X612)&gt;0,MAX('Lab test'!W612,'Lab test'!X612),NA())</f>
        <v>#N/A</v>
      </c>
      <c r="I621" t="e">
        <f>IF('Lab test'!AU612&gt;0,'Lab test'!AU612,NA())</f>
        <v>#N/A</v>
      </c>
      <c r="J621">
        <f>IF('Lab test'!AT612&gt;0,'Lab test'!AT612,NA())</f>
        <v>0.66666666666666663</v>
      </c>
      <c r="K621" t="e">
        <f t="shared" si="225"/>
        <v>#N/A</v>
      </c>
      <c r="L621" t="str">
        <f>'Lab test'!AC612</f>
        <v>Electroforming</v>
      </c>
      <c r="X621" t="e">
        <v>#N/A</v>
      </c>
      <c r="Z621" t="e">
        <f t="shared" si="215"/>
        <v>#N/A</v>
      </c>
      <c r="AB621" t="e">
        <f t="shared" si="214"/>
        <v>#N/A</v>
      </c>
      <c r="AC621" t="e">
        <f t="shared" si="216"/>
        <v>#N/A</v>
      </c>
      <c r="AE621" t="e">
        <v>#N/A</v>
      </c>
      <c r="AF621" t="e">
        <v>#N/A</v>
      </c>
      <c r="AP621" t="e">
        <v>#N/A</v>
      </c>
      <c r="AR621" t="e">
        <f t="shared" si="217"/>
        <v>#N/A</v>
      </c>
      <c r="AT621" t="e">
        <f t="shared" si="218"/>
        <v>#N/A</v>
      </c>
      <c r="AU621" t="e">
        <f t="shared" si="219"/>
        <v>#N/A</v>
      </c>
      <c r="AW621" t="e">
        <v>#N/A</v>
      </c>
      <c r="AX621" t="e">
        <v>#N/A</v>
      </c>
      <c r="BG621" t="e">
        <v>#N/A</v>
      </c>
      <c r="BI621" t="e">
        <f t="shared" si="220"/>
        <v>#N/A</v>
      </c>
      <c r="BK621" t="e">
        <f t="shared" si="221"/>
        <v>#N/A</v>
      </c>
      <c r="BL621" t="e">
        <f t="shared" si="222"/>
        <v>#N/A</v>
      </c>
      <c r="BN621" t="e">
        <v>#N/A</v>
      </c>
      <c r="BO621" t="e">
        <v>#N/A</v>
      </c>
      <c r="BX621" t="e">
        <v>#N/A</v>
      </c>
      <c r="BZ621" t="e">
        <f t="shared" si="223"/>
        <v>#N/A</v>
      </c>
      <c r="CB621" t="e">
        <f t="shared" si="226"/>
        <v>#N/A</v>
      </c>
      <c r="CC621" t="e">
        <f t="shared" si="224"/>
        <v>#N/A</v>
      </c>
      <c r="CE621" t="e">
        <v>#N/A</v>
      </c>
      <c r="CF621" t="e">
        <v>#N/A</v>
      </c>
    </row>
    <row r="622" spans="2:84">
      <c r="B622">
        <v>610</v>
      </c>
      <c r="C622" t="e">
        <f>IF(ISNUMBER(K622),IF('Lab test'!N613&gt;0,'Lab test'!N613,NA()),NA())</f>
        <v>#N/A</v>
      </c>
      <c r="D622" t="e">
        <f>IF(ISNUMBER(K622),IF('Lab test'!Q613&gt;0,'Lab test'!Q613,NA()),NA())</f>
        <v>#N/A</v>
      </c>
      <c r="E622" t="e">
        <f>IF(ISNUMBER(K622),IF('Lab test'!P613&gt;0,'Lab test'!P613,NA()),NA())</f>
        <v>#N/A</v>
      </c>
      <c r="F622" t="e">
        <f>IF(ISNUMBER(K622),IF('Lab test'!AJ613&gt;0,'Lab test'!AJ613,NA()),NA())</f>
        <v>#N/A</v>
      </c>
      <c r="G622" t="e">
        <f>IF('Lab test'!V613&gt;0,'Lab test'!V613,NA())</f>
        <v>#N/A</v>
      </c>
      <c r="H622" t="e">
        <f>IF(MAX('Lab test'!W613,'Lab test'!X613)&gt;0,MAX('Lab test'!W613,'Lab test'!X613),NA())</f>
        <v>#N/A</v>
      </c>
      <c r="I622" t="e">
        <f>IF('Lab test'!AU613&gt;0,'Lab test'!AU613,NA())</f>
        <v>#N/A</v>
      </c>
      <c r="J622" t="e">
        <f>IF('Lab test'!AT613&gt;0,'Lab test'!AT613,NA())</f>
        <v>#N/A</v>
      </c>
      <c r="K622" t="e">
        <f t="shared" si="225"/>
        <v>#N/A</v>
      </c>
      <c r="L622" t="str">
        <f>'Lab test'!AC613</f>
        <v>Electroforming</v>
      </c>
      <c r="X622" t="e">
        <v>#N/A</v>
      </c>
      <c r="Z622" t="e">
        <f t="shared" si="215"/>
        <v>#N/A</v>
      </c>
      <c r="AB622" t="e">
        <f t="shared" si="214"/>
        <v>#N/A</v>
      </c>
      <c r="AC622" t="e">
        <f t="shared" si="216"/>
        <v>#N/A</v>
      </c>
      <c r="AE622" t="e">
        <v>#N/A</v>
      </c>
      <c r="AF622" t="e">
        <v>#N/A</v>
      </c>
      <c r="AP622" t="e">
        <v>#N/A</v>
      </c>
      <c r="AR622" t="e">
        <f t="shared" si="217"/>
        <v>#N/A</v>
      </c>
      <c r="AT622" t="e">
        <f t="shared" si="218"/>
        <v>#N/A</v>
      </c>
      <c r="AU622" t="e">
        <f t="shared" si="219"/>
        <v>#N/A</v>
      </c>
      <c r="AW622" t="e">
        <v>#N/A</v>
      </c>
      <c r="AX622" t="e">
        <v>#N/A</v>
      </c>
      <c r="BG622" t="e">
        <v>#N/A</v>
      </c>
      <c r="BI622" t="e">
        <f t="shared" si="220"/>
        <v>#N/A</v>
      </c>
      <c r="BK622" t="e">
        <f t="shared" si="221"/>
        <v>#N/A</v>
      </c>
      <c r="BL622" t="e">
        <f t="shared" si="222"/>
        <v>#N/A</v>
      </c>
      <c r="BN622" t="e">
        <v>#N/A</v>
      </c>
      <c r="BO622" t="e">
        <v>#N/A</v>
      </c>
      <c r="BX622" t="e">
        <v>#N/A</v>
      </c>
      <c r="BZ622" t="e">
        <f t="shared" si="223"/>
        <v>#N/A</v>
      </c>
      <c r="CB622" t="e">
        <f t="shared" si="226"/>
        <v>#N/A</v>
      </c>
      <c r="CC622" t="e">
        <f t="shared" si="224"/>
        <v>#N/A</v>
      </c>
      <c r="CE622" t="e">
        <v>#N/A</v>
      </c>
      <c r="CF622" t="e">
        <v>#N/A</v>
      </c>
    </row>
    <row r="623" spans="2:84">
      <c r="B623">
        <v>611</v>
      </c>
      <c r="C623" t="e">
        <f>IF(ISNUMBER(K623),IF('Lab test'!N614&gt;0,'Lab test'!N614,NA()),NA())</f>
        <v>#N/A</v>
      </c>
      <c r="D623" t="e">
        <f>IF(ISNUMBER(K623),IF('Lab test'!Q614&gt;0,'Lab test'!Q614,NA()),NA())</f>
        <v>#N/A</v>
      </c>
      <c r="E623" t="e">
        <f>IF(ISNUMBER(K623),IF('Lab test'!P614&gt;0,'Lab test'!P614,NA()),NA())</f>
        <v>#N/A</v>
      </c>
      <c r="F623" t="e">
        <f>IF(ISNUMBER(K623),IF('Lab test'!AJ614&gt;0,'Lab test'!AJ614,NA()),NA())</f>
        <v>#N/A</v>
      </c>
      <c r="G623">
        <f>IF('Lab test'!V614&gt;0,'Lab test'!V614,NA())</f>
        <v>167768.53130386988</v>
      </c>
      <c r="H623" t="e">
        <f>IF(MAX('Lab test'!W614,'Lab test'!X614)&gt;0,MAX('Lab test'!W614,'Lab test'!X614),NA())</f>
        <v>#N/A</v>
      </c>
      <c r="I623" t="e">
        <f>IF('Lab test'!AU614&gt;0,'Lab test'!AU614,NA())</f>
        <v>#N/A</v>
      </c>
      <c r="J623">
        <f>IF('Lab test'!AT614&gt;0,'Lab test'!AT614,NA())</f>
        <v>0.60810810810810823</v>
      </c>
      <c r="K623" t="e">
        <f t="shared" si="225"/>
        <v>#N/A</v>
      </c>
      <c r="L623" t="str">
        <f>'Lab test'!AC614</f>
        <v>Electroforming</v>
      </c>
      <c r="X623" t="e">
        <v>#N/A</v>
      </c>
      <c r="Z623" t="e">
        <f t="shared" si="215"/>
        <v>#N/A</v>
      </c>
      <c r="AB623" t="e">
        <f t="shared" si="214"/>
        <v>#N/A</v>
      </c>
      <c r="AC623" t="e">
        <f t="shared" si="216"/>
        <v>#N/A</v>
      </c>
      <c r="AE623" t="e">
        <v>#N/A</v>
      </c>
      <c r="AF623" t="e">
        <v>#N/A</v>
      </c>
      <c r="AP623" t="e">
        <v>#N/A</v>
      </c>
      <c r="AR623" t="e">
        <f t="shared" si="217"/>
        <v>#N/A</v>
      </c>
      <c r="AT623" t="e">
        <f t="shared" si="218"/>
        <v>#N/A</v>
      </c>
      <c r="AU623" t="e">
        <f t="shared" si="219"/>
        <v>#N/A</v>
      </c>
      <c r="AW623" t="e">
        <v>#N/A</v>
      </c>
      <c r="AX623" t="e">
        <v>#N/A</v>
      </c>
      <c r="BG623" t="e">
        <v>#N/A</v>
      </c>
      <c r="BI623" t="e">
        <f t="shared" si="220"/>
        <v>#N/A</v>
      </c>
      <c r="BK623" t="e">
        <f t="shared" si="221"/>
        <v>#N/A</v>
      </c>
      <c r="BL623" t="e">
        <f t="shared" si="222"/>
        <v>#N/A</v>
      </c>
      <c r="BN623" t="e">
        <v>#N/A</v>
      </c>
      <c r="BO623" t="e">
        <v>#N/A</v>
      </c>
      <c r="BX623" t="e">
        <v>#N/A</v>
      </c>
      <c r="BZ623" t="e">
        <f t="shared" si="223"/>
        <v>#N/A</v>
      </c>
      <c r="CB623" t="e">
        <f t="shared" si="226"/>
        <v>#N/A</v>
      </c>
      <c r="CC623" t="e">
        <f t="shared" si="224"/>
        <v>#N/A</v>
      </c>
      <c r="CE623" t="e">
        <v>#N/A</v>
      </c>
      <c r="CF623" t="e">
        <v>#N/A</v>
      </c>
    </row>
    <row r="624" spans="2:84">
      <c r="B624">
        <v>612</v>
      </c>
      <c r="C624" t="e">
        <f>IF(ISNUMBER(K624),IF('Lab test'!N615&gt;0,'Lab test'!N615,NA()),NA())</f>
        <v>#N/A</v>
      </c>
      <c r="D624" t="e">
        <f>IF(ISNUMBER(K624),IF('Lab test'!Q615&gt;0,'Lab test'!Q615,NA()),NA())</f>
        <v>#N/A</v>
      </c>
      <c r="E624" t="e">
        <f>IF(ISNUMBER(K624),IF('Lab test'!P615&gt;0,'Lab test'!P615,NA()),NA())</f>
        <v>#N/A</v>
      </c>
      <c r="F624" t="e">
        <f>IF(ISNUMBER(K624),IF('Lab test'!AJ615&gt;0,'Lab test'!AJ615,NA()),NA())</f>
        <v>#N/A</v>
      </c>
      <c r="G624">
        <f>IF('Lab test'!V615&gt;0,'Lab test'!V615,NA())</f>
        <v>109826.9633523884</v>
      </c>
      <c r="H624" t="e">
        <f>IF(MAX('Lab test'!W615,'Lab test'!X615)&gt;0,MAX('Lab test'!W615,'Lab test'!X615),NA())</f>
        <v>#N/A</v>
      </c>
      <c r="I624" t="e">
        <f>IF('Lab test'!AU615&gt;0,'Lab test'!AU615,NA())</f>
        <v>#N/A</v>
      </c>
      <c r="J624">
        <f>IF('Lab test'!AT615&gt;0,'Lab test'!AT615,NA())</f>
        <v>0.62857142857142845</v>
      </c>
      <c r="K624" t="e">
        <f t="shared" si="225"/>
        <v>#N/A</v>
      </c>
      <c r="L624" t="str">
        <f>'Lab test'!AC615</f>
        <v>Electroforming</v>
      </c>
      <c r="X624" t="e">
        <v>#N/A</v>
      </c>
      <c r="Z624" t="e">
        <f t="shared" si="215"/>
        <v>#N/A</v>
      </c>
      <c r="AB624" t="e">
        <f t="shared" ref="AB624:AB682" si="227">Z624</f>
        <v>#N/A</v>
      </c>
      <c r="AC624" t="e">
        <f t="shared" si="216"/>
        <v>#N/A</v>
      </c>
      <c r="AE624" t="e">
        <v>#N/A</v>
      </c>
      <c r="AF624" t="e">
        <v>#N/A</v>
      </c>
      <c r="AP624" t="e">
        <v>#N/A</v>
      </c>
      <c r="AR624" t="e">
        <f t="shared" si="217"/>
        <v>#N/A</v>
      </c>
      <c r="AT624" t="e">
        <f t="shared" si="218"/>
        <v>#N/A</v>
      </c>
      <c r="AU624" t="e">
        <f t="shared" si="219"/>
        <v>#N/A</v>
      </c>
      <c r="AW624" t="e">
        <v>#N/A</v>
      </c>
      <c r="AX624" t="e">
        <v>#N/A</v>
      </c>
      <c r="BG624" t="e">
        <v>#N/A</v>
      </c>
      <c r="BI624" t="e">
        <f t="shared" si="220"/>
        <v>#N/A</v>
      </c>
      <c r="BK624" t="e">
        <f t="shared" si="221"/>
        <v>#N/A</v>
      </c>
      <c r="BL624" t="e">
        <f t="shared" si="222"/>
        <v>#N/A</v>
      </c>
      <c r="BN624" t="e">
        <v>#N/A</v>
      </c>
      <c r="BO624" t="e">
        <v>#N/A</v>
      </c>
      <c r="BX624" t="e">
        <v>#N/A</v>
      </c>
      <c r="BZ624" t="e">
        <f t="shared" si="223"/>
        <v>#N/A</v>
      </c>
      <c r="CB624" t="e">
        <f t="shared" si="226"/>
        <v>#N/A</v>
      </c>
      <c r="CC624" t="e">
        <f t="shared" si="224"/>
        <v>#N/A</v>
      </c>
      <c r="CE624" t="e">
        <v>#N/A</v>
      </c>
      <c r="CF624" t="e">
        <v>#N/A</v>
      </c>
    </row>
    <row r="625" spans="2:84">
      <c r="B625">
        <v>613</v>
      </c>
      <c r="C625" t="e">
        <f>IF(ISNUMBER(K625),IF('Lab test'!N616&gt;0,'Lab test'!N616,NA()),NA())</f>
        <v>#N/A</v>
      </c>
      <c r="D625" t="e">
        <f>IF(ISNUMBER(K625),IF('Lab test'!Q616&gt;0,'Lab test'!Q616,NA()),NA())</f>
        <v>#N/A</v>
      </c>
      <c r="E625" t="e">
        <f>IF(ISNUMBER(K625),IF('Lab test'!P616&gt;0,'Lab test'!P616,NA()),NA())</f>
        <v>#N/A</v>
      </c>
      <c r="F625" t="e">
        <f>IF(ISNUMBER(K625),IF('Lab test'!AJ616&gt;0,'Lab test'!AJ616,NA()),NA())</f>
        <v>#N/A</v>
      </c>
      <c r="G625" t="e">
        <f>IF('Lab test'!V616&gt;0,'Lab test'!V616,NA())</f>
        <v>#N/A</v>
      </c>
      <c r="H625" t="e">
        <f>IF(MAX('Lab test'!W616,'Lab test'!X616)&gt;0,MAX('Lab test'!W616,'Lab test'!X616),NA())</f>
        <v>#N/A</v>
      </c>
      <c r="I625" t="e">
        <f>IF('Lab test'!AU616&gt;0,'Lab test'!AU616,NA())</f>
        <v>#N/A</v>
      </c>
      <c r="J625" t="e">
        <f>IF('Lab test'!AT616&gt;0,'Lab test'!AT616,NA())</f>
        <v>#N/A</v>
      </c>
      <c r="K625" t="e">
        <f t="shared" si="225"/>
        <v>#N/A</v>
      </c>
      <c r="L625" t="str">
        <f>'Lab test'!AC616</f>
        <v>Electroforming</v>
      </c>
      <c r="X625" t="e">
        <v>#N/A</v>
      </c>
      <c r="Z625" t="e">
        <f t="shared" si="215"/>
        <v>#N/A</v>
      </c>
      <c r="AB625" t="e">
        <f t="shared" si="227"/>
        <v>#N/A</v>
      </c>
      <c r="AC625" t="e">
        <f t="shared" si="216"/>
        <v>#N/A</v>
      </c>
      <c r="AE625" t="e">
        <v>#N/A</v>
      </c>
      <c r="AF625" t="e">
        <v>#N/A</v>
      </c>
      <c r="AP625" t="e">
        <v>#N/A</v>
      </c>
      <c r="AR625" t="e">
        <f t="shared" si="217"/>
        <v>#N/A</v>
      </c>
      <c r="AT625" t="e">
        <f t="shared" si="218"/>
        <v>#N/A</v>
      </c>
      <c r="AU625" t="e">
        <f t="shared" si="219"/>
        <v>#N/A</v>
      </c>
      <c r="AW625" t="e">
        <v>#N/A</v>
      </c>
      <c r="AX625" t="e">
        <v>#N/A</v>
      </c>
      <c r="BG625" t="e">
        <v>#N/A</v>
      </c>
      <c r="BI625" t="e">
        <f t="shared" si="220"/>
        <v>#N/A</v>
      </c>
      <c r="BK625" t="e">
        <f t="shared" si="221"/>
        <v>#N/A</v>
      </c>
      <c r="BL625" t="e">
        <f t="shared" si="222"/>
        <v>#N/A</v>
      </c>
      <c r="BN625" t="e">
        <v>#N/A</v>
      </c>
      <c r="BO625" t="e">
        <v>#N/A</v>
      </c>
      <c r="BX625" t="e">
        <v>#N/A</v>
      </c>
      <c r="BZ625" t="e">
        <f t="shared" si="223"/>
        <v>#N/A</v>
      </c>
      <c r="CB625" t="e">
        <f t="shared" si="226"/>
        <v>#N/A</v>
      </c>
      <c r="CC625" t="e">
        <f t="shared" si="224"/>
        <v>#N/A</v>
      </c>
      <c r="CE625" t="e">
        <v>#N/A</v>
      </c>
      <c r="CF625" t="e">
        <v>#N/A</v>
      </c>
    </row>
    <row r="626" spans="2:84">
      <c r="B626">
        <v>614</v>
      </c>
      <c r="C626" t="e">
        <f>IF(ISNUMBER(K626),IF('Lab test'!N617&gt;0,'Lab test'!N617,NA()),NA())</f>
        <v>#N/A</v>
      </c>
      <c r="D626" t="e">
        <f>IF(ISNUMBER(K626),IF('Lab test'!Q617&gt;0,'Lab test'!Q617,NA()),NA())</f>
        <v>#N/A</v>
      </c>
      <c r="E626" t="e">
        <f>IF(ISNUMBER(K626),IF('Lab test'!P617&gt;0,'Lab test'!P617,NA()),NA())</f>
        <v>#N/A</v>
      </c>
      <c r="F626" t="e">
        <f>IF(ISNUMBER(K626),IF('Lab test'!AJ617&gt;0,'Lab test'!AJ617,NA()),NA())</f>
        <v>#N/A</v>
      </c>
      <c r="G626">
        <f>IF('Lab test'!V617&gt;0,'Lab test'!V617,NA())</f>
        <v>86156.987040465028</v>
      </c>
      <c r="H626" t="e">
        <f>IF(MAX('Lab test'!W617,'Lab test'!X617)&gt;0,MAX('Lab test'!W617,'Lab test'!X617),NA())</f>
        <v>#N/A</v>
      </c>
      <c r="I626" t="e">
        <f>IF('Lab test'!AU617&gt;0,'Lab test'!AU617,NA())</f>
        <v>#N/A</v>
      </c>
      <c r="J626">
        <f>IF('Lab test'!AT617&gt;0,'Lab test'!AT617,NA())</f>
        <v>0.31987969738637678</v>
      </c>
      <c r="K626" t="e">
        <f t="shared" si="225"/>
        <v>#N/A</v>
      </c>
      <c r="L626" t="str">
        <f>'Lab test'!AC617</f>
        <v>LTWb</v>
      </c>
      <c r="X626" t="e">
        <v>#N/A</v>
      </c>
      <c r="Z626" t="e">
        <f t="shared" si="215"/>
        <v>#N/A</v>
      </c>
      <c r="AB626" t="e">
        <f t="shared" si="227"/>
        <v>#N/A</v>
      </c>
      <c r="AC626" t="e">
        <f t="shared" si="216"/>
        <v>#N/A</v>
      </c>
      <c r="AE626" t="e">
        <v>#N/A</v>
      </c>
      <c r="AF626" t="e">
        <v>#N/A</v>
      </c>
      <c r="AP626" t="e">
        <v>#N/A</v>
      </c>
      <c r="AR626" t="e">
        <f t="shared" si="217"/>
        <v>#N/A</v>
      </c>
      <c r="AT626" t="e">
        <f t="shared" si="218"/>
        <v>#N/A</v>
      </c>
      <c r="AU626" t="e">
        <f t="shared" si="219"/>
        <v>#N/A</v>
      </c>
      <c r="AW626" t="e">
        <v>#N/A</v>
      </c>
      <c r="AX626" t="e">
        <v>#N/A</v>
      </c>
      <c r="BG626" t="e">
        <v>#N/A</v>
      </c>
      <c r="BI626" t="e">
        <f t="shared" si="220"/>
        <v>#N/A</v>
      </c>
      <c r="BK626" t="e">
        <f t="shared" si="221"/>
        <v>#N/A</v>
      </c>
      <c r="BL626" t="e">
        <f t="shared" si="222"/>
        <v>#N/A</v>
      </c>
      <c r="BN626" t="e">
        <v>#N/A</v>
      </c>
      <c r="BO626" t="e">
        <v>#N/A</v>
      </c>
      <c r="BX626" t="e">
        <v>#N/A</v>
      </c>
      <c r="BZ626" t="e">
        <f t="shared" si="223"/>
        <v>#N/A</v>
      </c>
      <c r="CB626" t="e">
        <f t="shared" si="226"/>
        <v>#N/A</v>
      </c>
      <c r="CC626" t="e">
        <f t="shared" si="224"/>
        <v>#N/A</v>
      </c>
      <c r="CE626" t="e">
        <v>#N/A</v>
      </c>
      <c r="CF626" t="e">
        <v>#N/A</v>
      </c>
    </row>
    <row r="627" spans="2:84">
      <c r="B627">
        <v>615</v>
      </c>
      <c r="C627" t="e">
        <f>IF(ISNUMBER(K627),IF('Lab test'!N618&gt;0,'Lab test'!N618,NA()),NA())</f>
        <v>#N/A</v>
      </c>
      <c r="D627" t="e">
        <f>IF(ISNUMBER(K627),IF('Lab test'!Q618&gt;0,'Lab test'!Q618,NA()),NA())</f>
        <v>#N/A</v>
      </c>
      <c r="E627" t="e">
        <f>IF(ISNUMBER(K627),IF('Lab test'!P618&gt;0,'Lab test'!P618,NA()),NA())</f>
        <v>#N/A</v>
      </c>
      <c r="F627" t="e">
        <f>IF(ISNUMBER(K627),IF('Lab test'!AJ618&gt;0,'Lab test'!AJ618,NA()),NA())</f>
        <v>#N/A</v>
      </c>
      <c r="G627">
        <f>IF('Lab test'!V618&gt;0,'Lab test'!V618,NA())</f>
        <v>72394.951578267792</v>
      </c>
      <c r="H627" t="e">
        <f>IF(MAX('Lab test'!W618,'Lab test'!X618)&gt;0,MAX('Lab test'!W618,'Lab test'!X618),NA())</f>
        <v>#N/A</v>
      </c>
      <c r="I627" t="e">
        <f>IF('Lab test'!AU618&gt;0,'Lab test'!AU618,NA())</f>
        <v>#N/A</v>
      </c>
      <c r="J627">
        <f>IF('Lab test'!AT618&gt;0,'Lab test'!AT618,NA())</f>
        <v>0.2354486408964809</v>
      </c>
      <c r="K627" t="e">
        <f t="shared" si="225"/>
        <v>#N/A</v>
      </c>
      <c r="L627" t="str">
        <f>'Lab test'!AC618</f>
        <v>LTWb</v>
      </c>
      <c r="X627" t="e">
        <v>#N/A</v>
      </c>
      <c r="Z627" t="e">
        <f t="shared" si="215"/>
        <v>#N/A</v>
      </c>
      <c r="AB627" t="e">
        <f t="shared" si="227"/>
        <v>#N/A</v>
      </c>
      <c r="AC627" t="e">
        <f t="shared" si="216"/>
        <v>#N/A</v>
      </c>
      <c r="AE627" t="e">
        <v>#N/A</v>
      </c>
      <c r="AF627" t="e">
        <v>#N/A</v>
      </c>
      <c r="AP627" t="e">
        <v>#N/A</v>
      </c>
      <c r="AR627" t="e">
        <f t="shared" si="217"/>
        <v>#N/A</v>
      </c>
      <c r="AT627" t="e">
        <f t="shared" si="218"/>
        <v>#N/A</v>
      </c>
      <c r="AU627" t="e">
        <f t="shared" si="219"/>
        <v>#N/A</v>
      </c>
      <c r="AW627" t="e">
        <v>#N/A</v>
      </c>
      <c r="AX627" t="e">
        <v>#N/A</v>
      </c>
      <c r="BG627" t="e">
        <v>#N/A</v>
      </c>
      <c r="BI627" t="e">
        <f t="shared" si="220"/>
        <v>#N/A</v>
      </c>
      <c r="BK627" t="e">
        <f t="shared" si="221"/>
        <v>#N/A</v>
      </c>
      <c r="BL627" t="e">
        <f t="shared" si="222"/>
        <v>#N/A</v>
      </c>
      <c r="BN627" t="e">
        <v>#N/A</v>
      </c>
      <c r="BO627" t="e">
        <v>#N/A</v>
      </c>
      <c r="BX627" t="e">
        <v>#N/A</v>
      </c>
      <c r="BZ627" t="e">
        <f t="shared" si="223"/>
        <v>#N/A</v>
      </c>
      <c r="CB627" t="e">
        <f t="shared" si="226"/>
        <v>#N/A</v>
      </c>
      <c r="CC627" t="e">
        <f t="shared" si="224"/>
        <v>#N/A</v>
      </c>
      <c r="CE627" t="e">
        <v>#N/A</v>
      </c>
      <c r="CF627" t="e">
        <v>#N/A</v>
      </c>
    </row>
    <row r="628" spans="2:84">
      <c r="B628">
        <v>616</v>
      </c>
      <c r="C628" t="e">
        <f>IF(ISNUMBER(K628),IF('Lab test'!N619&gt;0,'Lab test'!N619,NA()),NA())</f>
        <v>#N/A</v>
      </c>
      <c r="D628" t="e">
        <f>IF(ISNUMBER(K628),IF('Lab test'!Q619&gt;0,'Lab test'!Q619,NA()),NA())</f>
        <v>#N/A</v>
      </c>
      <c r="E628" t="e">
        <f>IF(ISNUMBER(K628),IF('Lab test'!P619&gt;0,'Lab test'!P619,NA()),NA())</f>
        <v>#N/A</v>
      </c>
      <c r="F628" t="e">
        <f>IF(ISNUMBER(K628),IF('Lab test'!AJ619&gt;0,'Lab test'!AJ619,NA()),NA())</f>
        <v>#N/A</v>
      </c>
      <c r="G628">
        <f>IF('Lab test'!V619&gt;0,'Lab test'!V619,NA())</f>
        <v>72394.951578267792</v>
      </c>
      <c r="H628" t="e">
        <f>IF(MAX('Lab test'!W619,'Lab test'!X619)&gt;0,MAX('Lab test'!W619,'Lab test'!X619),NA())</f>
        <v>#N/A</v>
      </c>
      <c r="I628" t="e">
        <f>IF('Lab test'!AU619&gt;0,'Lab test'!AU619,NA())</f>
        <v>#N/A</v>
      </c>
      <c r="J628">
        <f>IF('Lab test'!AT619&gt;0,'Lab test'!AT619,NA())</f>
        <v>0.22525963538400162</v>
      </c>
      <c r="K628" t="e">
        <f t="shared" si="225"/>
        <v>#N/A</v>
      </c>
      <c r="L628" t="str">
        <f>'Lab test'!AC619</f>
        <v>LTWb</v>
      </c>
      <c r="X628" t="e">
        <v>#N/A</v>
      </c>
      <c r="Z628" t="e">
        <f t="shared" si="215"/>
        <v>#N/A</v>
      </c>
      <c r="AB628" t="e">
        <f t="shared" si="227"/>
        <v>#N/A</v>
      </c>
      <c r="AC628" t="e">
        <f t="shared" si="216"/>
        <v>#N/A</v>
      </c>
      <c r="AE628" t="e">
        <v>#N/A</v>
      </c>
      <c r="AF628" t="e">
        <v>#N/A</v>
      </c>
      <c r="AP628" t="e">
        <v>#N/A</v>
      </c>
      <c r="AR628" t="e">
        <f t="shared" si="217"/>
        <v>#N/A</v>
      </c>
      <c r="AT628" t="e">
        <f t="shared" si="218"/>
        <v>#N/A</v>
      </c>
      <c r="AU628" t="e">
        <f t="shared" si="219"/>
        <v>#N/A</v>
      </c>
      <c r="AW628" t="e">
        <v>#N/A</v>
      </c>
      <c r="AX628" t="e">
        <v>#N/A</v>
      </c>
      <c r="BG628" t="e">
        <v>#N/A</v>
      </c>
      <c r="BI628" t="e">
        <f t="shared" si="220"/>
        <v>#N/A</v>
      </c>
      <c r="BK628" t="e">
        <f t="shared" si="221"/>
        <v>#N/A</v>
      </c>
      <c r="BL628" t="e">
        <f t="shared" si="222"/>
        <v>#N/A</v>
      </c>
      <c r="BN628" t="e">
        <v>#N/A</v>
      </c>
      <c r="BO628" t="e">
        <v>#N/A</v>
      </c>
      <c r="BX628" t="e">
        <v>#N/A</v>
      </c>
      <c r="BZ628" t="e">
        <f t="shared" si="223"/>
        <v>#N/A</v>
      </c>
      <c r="CB628" t="e">
        <f t="shared" si="226"/>
        <v>#N/A</v>
      </c>
      <c r="CC628" t="e">
        <f t="shared" si="224"/>
        <v>#N/A</v>
      </c>
      <c r="CE628" t="e">
        <v>#N/A</v>
      </c>
      <c r="CF628" t="e">
        <v>#N/A</v>
      </c>
    </row>
    <row r="629" spans="2:84">
      <c r="B629">
        <v>617</v>
      </c>
      <c r="C629" t="e">
        <f>IF(ISNUMBER(K629),IF('Lab test'!N620&gt;0,'Lab test'!N620,NA()),NA())</f>
        <v>#N/A</v>
      </c>
      <c r="D629" t="e">
        <f>IF(ISNUMBER(K629),IF('Lab test'!Q620&gt;0,'Lab test'!Q620,NA()),NA())</f>
        <v>#N/A</v>
      </c>
      <c r="E629" t="e">
        <f>IF(ISNUMBER(K629),IF('Lab test'!P620&gt;0,'Lab test'!P620,NA()),NA())</f>
        <v>#N/A</v>
      </c>
      <c r="F629" t="e">
        <f>IF(ISNUMBER(K629),IF('Lab test'!AJ620&gt;0,'Lab test'!AJ620,NA()),NA())</f>
        <v>#N/A</v>
      </c>
      <c r="G629">
        <f>IF('Lab test'!V620&gt;0,'Lab test'!V620,NA())</f>
        <v>186158.44691554576</v>
      </c>
      <c r="H629" t="e">
        <f>IF(MAX('Lab test'!W620,'Lab test'!X620)&gt;0,MAX('Lab test'!W620,'Lab test'!X620),NA())</f>
        <v>#N/A</v>
      </c>
      <c r="I629" t="e">
        <f>IF('Lab test'!AU620&gt;0,'Lab test'!AU620,NA())</f>
        <v>#N/A</v>
      </c>
      <c r="J629">
        <f>IF('Lab test'!AT620&gt;0,'Lab test'!AT620,NA())</f>
        <v>0.35758763435205265</v>
      </c>
      <c r="K629" t="e">
        <f t="shared" si="225"/>
        <v>#N/A</v>
      </c>
      <c r="L629" t="str">
        <f>'Lab test'!AC620</f>
        <v>LTWb</v>
      </c>
      <c r="X629" t="e">
        <v>#N/A</v>
      </c>
      <c r="Z629" t="e">
        <f t="shared" si="215"/>
        <v>#N/A</v>
      </c>
      <c r="AB629" t="e">
        <f t="shared" si="227"/>
        <v>#N/A</v>
      </c>
      <c r="AC629" t="e">
        <f t="shared" si="216"/>
        <v>#N/A</v>
      </c>
      <c r="AE629" t="e">
        <v>#N/A</v>
      </c>
      <c r="AF629" t="e">
        <v>#N/A</v>
      </c>
      <c r="AP629" t="e">
        <v>#N/A</v>
      </c>
      <c r="AR629" t="e">
        <f t="shared" si="217"/>
        <v>#N/A</v>
      </c>
      <c r="AT629" t="e">
        <f t="shared" si="218"/>
        <v>#N/A</v>
      </c>
      <c r="AU629" t="e">
        <f t="shared" si="219"/>
        <v>#N/A</v>
      </c>
      <c r="AW629" t="e">
        <v>#N/A</v>
      </c>
      <c r="AX629" t="e">
        <v>#N/A</v>
      </c>
      <c r="BG629" t="e">
        <v>#N/A</v>
      </c>
      <c r="BI629" t="e">
        <f t="shared" si="220"/>
        <v>#N/A</v>
      </c>
      <c r="BK629" t="e">
        <f t="shared" si="221"/>
        <v>#N/A</v>
      </c>
      <c r="BL629" t="e">
        <f t="shared" si="222"/>
        <v>#N/A</v>
      </c>
      <c r="BN629" t="e">
        <v>#N/A</v>
      </c>
      <c r="BO629" t="e">
        <v>#N/A</v>
      </c>
      <c r="BX629" t="e">
        <v>#N/A</v>
      </c>
      <c r="BZ629" t="e">
        <f t="shared" si="223"/>
        <v>#N/A</v>
      </c>
      <c r="CB629" t="e">
        <f t="shared" si="226"/>
        <v>#N/A</v>
      </c>
      <c r="CC629" t="e">
        <f t="shared" si="224"/>
        <v>#N/A</v>
      </c>
      <c r="CE629" t="e">
        <v>#N/A</v>
      </c>
      <c r="CF629" t="e">
        <v>#N/A</v>
      </c>
    </row>
    <row r="630" spans="2:84">
      <c r="B630">
        <v>618</v>
      </c>
      <c r="C630" t="e">
        <f>IF(ISNUMBER(K630),IF('Lab test'!N621&gt;0,'Lab test'!N621,NA()),NA())</f>
        <v>#N/A</v>
      </c>
      <c r="D630" t="e">
        <f>IF(ISNUMBER(K630),IF('Lab test'!Q621&gt;0,'Lab test'!Q621,NA()),NA())</f>
        <v>#N/A</v>
      </c>
      <c r="E630" t="e">
        <f>IF(ISNUMBER(K630),IF('Lab test'!P621&gt;0,'Lab test'!P621,NA()),NA())</f>
        <v>#N/A</v>
      </c>
      <c r="F630" t="e">
        <f>IF(ISNUMBER(K630),IF('Lab test'!AJ621&gt;0,'Lab test'!AJ621,NA()),NA())</f>
        <v>#N/A</v>
      </c>
      <c r="G630">
        <f>IF('Lab test'!V621&gt;0,'Lab test'!V621,NA())</f>
        <v>186158.44691554576</v>
      </c>
      <c r="H630" t="e">
        <f>IF(MAX('Lab test'!W621,'Lab test'!X621)&gt;0,MAX('Lab test'!W621,'Lab test'!X621),NA())</f>
        <v>#N/A</v>
      </c>
      <c r="I630" t="e">
        <f>IF('Lab test'!AU621&gt;0,'Lab test'!AU621,NA())</f>
        <v>#N/A</v>
      </c>
      <c r="J630">
        <f>IF('Lab test'!AT621&gt;0,'Lab test'!AT621,NA())</f>
        <v>0.404363297365402</v>
      </c>
      <c r="K630" t="e">
        <f t="shared" si="225"/>
        <v>#N/A</v>
      </c>
      <c r="L630" t="str">
        <f>'Lab test'!AC621</f>
        <v>LTWb</v>
      </c>
      <c r="X630" t="e">
        <v>#N/A</v>
      </c>
      <c r="Z630" t="e">
        <f t="shared" si="215"/>
        <v>#N/A</v>
      </c>
      <c r="AB630" t="e">
        <f t="shared" si="227"/>
        <v>#N/A</v>
      </c>
      <c r="AC630" t="e">
        <f t="shared" si="216"/>
        <v>#N/A</v>
      </c>
      <c r="AE630" t="e">
        <v>#N/A</v>
      </c>
      <c r="AF630" t="e">
        <v>#N/A</v>
      </c>
      <c r="AP630" t="e">
        <v>#N/A</v>
      </c>
      <c r="AR630" t="e">
        <f t="shared" si="217"/>
        <v>#N/A</v>
      </c>
      <c r="AT630" t="e">
        <f t="shared" si="218"/>
        <v>#N/A</v>
      </c>
      <c r="AU630" t="e">
        <f t="shared" si="219"/>
        <v>#N/A</v>
      </c>
      <c r="AW630" t="e">
        <v>#N/A</v>
      </c>
      <c r="AX630" t="e">
        <v>#N/A</v>
      </c>
      <c r="BG630" t="e">
        <v>#N/A</v>
      </c>
      <c r="BI630" t="e">
        <f t="shared" si="220"/>
        <v>#N/A</v>
      </c>
      <c r="BK630" t="e">
        <f t="shared" si="221"/>
        <v>#N/A</v>
      </c>
      <c r="BL630" t="e">
        <f t="shared" si="222"/>
        <v>#N/A</v>
      </c>
      <c r="BN630" t="e">
        <v>#N/A</v>
      </c>
      <c r="BO630" t="e">
        <v>#N/A</v>
      </c>
      <c r="BX630" t="e">
        <v>#N/A</v>
      </c>
      <c r="BZ630" t="e">
        <f t="shared" si="223"/>
        <v>#N/A</v>
      </c>
      <c r="CB630" t="e">
        <f t="shared" si="226"/>
        <v>#N/A</v>
      </c>
      <c r="CC630" t="e">
        <f t="shared" si="224"/>
        <v>#N/A</v>
      </c>
      <c r="CE630" t="e">
        <v>#N/A</v>
      </c>
      <c r="CF630" t="e">
        <v>#N/A</v>
      </c>
    </row>
    <row r="631" spans="2:84">
      <c r="B631">
        <v>619</v>
      </c>
      <c r="C631" t="e">
        <f>IF(ISNUMBER(K631),IF('Lab test'!N622&gt;0,'Lab test'!N622,NA()),NA())</f>
        <v>#N/A</v>
      </c>
      <c r="D631" t="e">
        <f>IF(ISNUMBER(K631),IF('Lab test'!Q622&gt;0,'Lab test'!Q622,NA()),NA())</f>
        <v>#N/A</v>
      </c>
      <c r="E631" t="e">
        <f>IF(ISNUMBER(K631),IF('Lab test'!P622&gt;0,'Lab test'!P622,NA()),NA())</f>
        <v>#N/A</v>
      </c>
      <c r="F631" t="e">
        <f>IF(ISNUMBER(K631),IF('Lab test'!AJ622&gt;0,'Lab test'!AJ622,NA()),NA())</f>
        <v>#N/A</v>
      </c>
      <c r="G631">
        <f>IF('Lab test'!V622&gt;0,'Lab test'!V622,NA())</f>
        <v>186158.44691554576</v>
      </c>
      <c r="H631" t="e">
        <f>IF(MAX('Lab test'!W622,'Lab test'!X622)&gt;0,MAX('Lab test'!W622,'Lab test'!X622),NA())</f>
        <v>#N/A</v>
      </c>
      <c r="I631" t="e">
        <f>IF('Lab test'!AU622&gt;0,'Lab test'!AU622,NA())</f>
        <v>#N/A</v>
      </c>
      <c r="J631">
        <f>IF('Lab test'!AT622&gt;0,'Lab test'!AT622,NA())</f>
        <v>0.35697216510187701</v>
      </c>
      <c r="K631" t="e">
        <f t="shared" si="225"/>
        <v>#N/A</v>
      </c>
      <c r="L631" t="str">
        <f>'Lab test'!AC622</f>
        <v>LTWb</v>
      </c>
      <c r="X631" t="e">
        <v>#N/A</v>
      </c>
      <c r="Z631" t="e">
        <f t="shared" si="215"/>
        <v>#N/A</v>
      </c>
      <c r="AB631" t="e">
        <f t="shared" si="227"/>
        <v>#N/A</v>
      </c>
      <c r="AC631" t="e">
        <f t="shared" si="216"/>
        <v>#N/A</v>
      </c>
      <c r="AE631" t="e">
        <v>#N/A</v>
      </c>
      <c r="AF631" t="e">
        <v>#N/A</v>
      </c>
      <c r="AP631" t="e">
        <v>#N/A</v>
      </c>
      <c r="AR631" t="e">
        <f t="shared" si="217"/>
        <v>#N/A</v>
      </c>
      <c r="AT631" t="e">
        <f t="shared" si="218"/>
        <v>#N/A</v>
      </c>
      <c r="AU631" t="e">
        <f t="shared" si="219"/>
        <v>#N/A</v>
      </c>
      <c r="AW631" t="e">
        <v>#N/A</v>
      </c>
      <c r="AX631" t="e">
        <v>#N/A</v>
      </c>
      <c r="BG631" t="e">
        <v>#N/A</v>
      </c>
      <c r="BI631" t="e">
        <f t="shared" si="220"/>
        <v>#N/A</v>
      </c>
      <c r="BK631" t="e">
        <f t="shared" si="221"/>
        <v>#N/A</v>
      </c>
      <c r="BL631" t="e">
        <f t="shared" si="222"/>
        <v>#N/A</v>
      </c>
      <c r="BN631" t="e">
        <v>#N/A</v>
      </c>
      <c r="BO631" t="e">
        <v>#N/A</v>
      </c>
      <c r="BX631" t="e">
        <v>#N/A</v>
      </c>
      <c r="BZ631" t="e">
        <f t="shared" si="223"/>
        <v>#N/A</v>
      </c>
      <c r="CB631" t="e">
        <f t="shared" si="226"/>
        <v>#N/A</v>
      </c>
      <c r="CC631" t="e">
        <f t="shared" si="224"/>
        <v>#N/A</v>
      </c>
      <c r="CE631" t="e">
        <v>#N/A</v>
      </c>
      <c r="CF631" t="e">
        <v>#N/A</v>
      </c>
    </row>
    <row r="632" spans="2:84">
      <c r="B632">
        <v>620</v>
      </c>
      <c r="C632" t="e">
        <f>IF(ISNUMBER(K632),IF('Lab test'!N623&gt;0,'Lab test'!N623,NA()),NA())</f>
        <v>#N/A</v>
      </c>
      <c r="D632" t="e">
        <f>IF(ISNUMBER(K632),IF('Lab test'!Q623&gt;0,'Lab test'!Q623,NA()),NA())</f>
        <v>#N/A</v>
      </c>
      <c r="E632" t="e">
        <f>IF(ISNUMBER(K632),IF('Lab test'!P623&gt;0,'Lab test'!P623,NA()),NA())</f>
        <v>#N/A</v>
      </c>
      <c r="F632" t="e">
        <f>IF(ISNUMBER(K632),IF('Lab test'!AJ623&gt;0,'Lab test'!AJ623,NA()),NA())</f>
        <v>#N/A</v>
      </c>
      <c r="G632">
        <f>IF('Lab test'!V623&gt;0,'Lab test'!V623,NA())</f>
        <v>186158.44691554576</v>
      </c>
      <c r="H632" t="e">
        <f>IF(MAX('Lab test'!W623,'Lab test'!X623)&gt;0,MAX('Lab test'!W623,'Lab test'!X623),NA())</f>
        <v>#N/A</v>
      </c>
      <c r="I632" t="e">
        <f>IF('Lab test'!AU623&gt;0,'Lab test'!AU623,NA())</f>
        <v>#N/A</v>
      </c>
      <c r="J632">
        <f>IF('Lab test'!AT623&gt;0,'Lab test'!AT623,NA())</f>
        <v>0.41728815161909072</v>
      </c>
      <c r="K632" t="e">
        <f t="shared" si="225"/>
        <v>#N/A</v>
      </c>
      <c r="L632" t="str">
        <f>'Lab test'!AC623</f>
        <v>LTWb</v>
      </c>
      <c r="X632" t="e">
        <v>#N/A</v>
      </c>
      <c r="Z632" t="e">
        <f t="shared" si="215"/>
        <v>#N/A</v>
      </c>
      <c r="AB632" t="e">
        <f t="shared" si="227"/>
        <v>#N/A</v>
      </c>
      <c r="AC632" t="e">
        <f t="shared" si="216"/>
        <v>#N/A</v>
      </c>
      <c r="AE632" t="e">
        <v>#N/A</v>
      </c>
      <c r="AF632" t="e">
        <v>#N/A</v>
      </c>
      <c r="AP632" t="e">
        <v>#N/A</v>
      </c>
      <c r="AR632" t="e">
        <f t="shared" si="217"/>
        <v>#N/A</v>
      </c>
      <c r="AT632" t="e">
        <f t="shared" si="218"/>
        <v>#N/A</v>
      </c>
      <c r="AU632" t="e">
        <f t="shared" si="219"/>
        <v>#N/A</v>
      </c>
      <c r="AW632" t="e">
        <v>#N/A</v>
      </c>
      <c r="AX632" t="e">
        <v>#N/A</v>
      </c>
      <c r="BG632" t="e">
        <v>#N/A</v>
      </c>
      <c r="BI632" t="e">
        <f t="shared" si="220"/>
        <v>#N/A</v>
      </c>
      <c r="BK632" t="e">
        <f t="shared" si="221"/>
        <v>#N/A</v>
      </c>
      <c r="BL632" t="e">
        <f t="shared" si="222"/>
        <v>#N/A</v>
      </c>
      <c r="BN632" t="e">
        <v>#N/A</v>
      </c>
      <c r="BO632" t="e">
        <v>#N/A</v>
      </c>
      <c r="BX632" t="e">
        <v>#N/A</v>
      </c>
      <c r="BZ632" t="e">
        <f t="shared" si="223"/>
        <v>#N/A</v>
      </c>
      <c r="CB632" t="e">
        <f t="shared" si="226"/>
        <v>#N/A</v>
      </c>
      <c r="CC632" t="e">
        <f t="shared" si="224"/>
        <v>#N/A</v>
      </c>
      <c r="CE632" t="e">
        <v>#N/A</v>
      </c>
      <c r="CF632" t="e">
        <v>#N/A</v>
      </c>
    </row>
    <row r="633" spans="2:84">
      <c r="B633">
        <v>621</v>
      </c>
      <c r="C633" t="e">
        <f>IF(ISNUMBER(K633),IF('Lab test'!N624&gt;0,'Lab test'!N624,NA()),NA())</f>
        <v>#N/A</v>
      </c>
      <c r="D633" t="e">
        <f>IF(ISNUMBER(K633),IF('Lab test'!Q624&gt;0,'Lab test'!Q624,NA()),NA())</f>
        <v>#N/A</v>
      </c>
      <c r="E633" t="e">
        <f>IF(ISNUMBER(K633),IF('Lab test'!P624&gt;0,'Lab test'!P624,NA()),NA())</f>
        <v>#N/A</v>
      </c>
      <c r="F633" t="e">
        <f>IF(ISNUMBER(K633),IF('Lab test'!AJ624&gt;0,'Lab test'!AJ624,NA()),NA())</f>
        <v>#N/A</v>
      </c>
      <c r="G633">
        <f>IF('Lab test'!V624&gt;0,'Lab test'!V624,NA())</f>
        <v>186158.44691554576</v>
      </c>
      <c r="H633" t="e">
        <f>IF(MAX('Lab test'!W624,'Lab test'!X624)&gt;0,MAX('Lab test'!W624,'Lab test'!X624),NA())</f>
        <v>#N/A</v>
      </c>
      <c r="I633" t="e">
        <f>IF('Lab test'!AU624&gt;0,'Lab test'!AU624,NA())</f>
        <v>#N/A</v>
      </c>
      <c r="J633">
        <f>IF('Lab test'!AT624&gt;0,'Lab test'!AT624,NA())</f>
        <v>0.29098809145882698</v>
      </c>
      <c r="K633" t="e">
        <f t="shared" si="225"/>
        <v>#N/A</v>
      </c>
      <c r="L633" t="str">
        <f>'Lab test'!AC624</f>
        <v>LTWb</v>
      </c>
      <c r="X633" t="e">
        <v>#N/A</v>
      </c>
      <c r="Z633" t="e">
        <f t="shared" si="215"/>
        <v>#N/A</v>
      </c>
      <c r="AB633" t="e">
        <f t="shared" si="227"/>
        <v>#N/A</v>
      </c>
      <c r="AC633" t="e">
        <f t="shared" si="216"/>
        <v>#N/A</v>
      </c>
      <c r="AE633" t="e">
        <v>#N/A</v>
      </c>
      <c r="AF633" t="e">
        <v>#N/A</v>
      </c>
      <c r="AP633" t="e">
        <v>#N/A</v>
      </c>
      <c r="AR633" t="e">
        <f t="shared" si="217"/>
        <v>#N/A</v>
      </c>
      <c r="AT633" t="e">
        <f t="shared" si="218"/>
        <v>#N/A</v>
      </c>
      <c r="AU633" t="e">
        <f t="shared" si="219"/>
        <v>#N/A</v>
      </c>
      <c r="AW633" t="e">
        <v>#N/A</v>
      </c>
      <c r="AX633" t="e">
        <v>#N/A</v>
      </c>
      <c r="BG633" t="e">
        <v>#N/A</v>
      </c>
      <c r="BI633" t="e">
        <f t="shared" si="220"/>
        <v>#N/A</v>
      </c>
      <c r="BK633" t="e">
        <f t="shared" si="221"/>
        <v>#N/A</v>
      </c>
      <c r="BL633" t="e">
        <f t="shared" si="222"/>
        <v>#N/A</v>
      </c>
      <c r="BN633" t="e">
        <v>#N/A</v>
      </c>
      <c r="BO633" t="e">
        <v>#N/A</v>
      </c>
      <c r="BX633" t="e">
        <v>#N/A</v>
      </c>
      <c r="BZ633" t="e">
        <f t="shared" si="223"/>
        <v>#N/A</v>
      </c>
      <c r="CB633" t="e">
        <f t="shared" si="226"/>
        <v>#N/A</v>
      </c>
      <c r="CC633" t="e">
        <f t="shared" si="224"/>
        <v>#N/A</v>
      </c>
      <c r="CE633" t="e">
        <v>#N/A</v>
      </c>
      <c r="CF633" t="e">
        <v>#N/A</v>
      </c>
    </row>
    <row r="634" spans="2:84">
      <c r="B634">
        <v>622</v>
      </c>
      <c r="C634" t="e">
        <f>IF(ISNUMBER(K634),IF('Lab test'!N625&gt;0,'Lab test'!N625,NA()),NA())</f>
        <v>#N/A</v>
      </c>
      <c r="D634" t="e">
        <f>IF(ISNUMBER(K634),IF('Lab test'!Q625&gt;0,'Lab test'!Q625,NA()),NA())</f>
        <v>#N/A</v>
      </c>
      <c r="E634" t="e">
        <f>IF(ISNUMBER(K634),IF('Lab test'!P625&gt;0,'Lab test'!P625,NA()),NA())</f>
        <v>#N/A</v>
      </c>
      <c r="F634" t="e">
        <f>IF(ISNUMBER(K634),IF('Lab test'!AJ625&gt;0,'Lab test'!AJ625,NA()),NA())</f>
        <v>#N/A</v>
      </c>
      <c r="G634">
        <f>IF('Lab test'!V625&gt;0,'Lab test'!V625,NA())</f>
        <v>186158.44691554576</v>
      </c>
      <c r="H634" t="e">
        <f>IF(MAX('Lab test'!W625,'Lab test'!X625)&gt;0,MAX('Lab test'!W625,'Lab test'!X625),NA())</f>
        <v>#N/A</v>
      </c>
      <c r="I634" t="e">
        <f>IF('Lab test'!AU625&gt;0,'Lab test'!AU625,NA())</f>
        <v>#N/A</v>
      </c>
      <c r="J634">
        <f>IF('Lab test'!AT625&gt;0,'Lab test'!AT625,NA())</f>
        <v>0.27576099754119998</v>
      </c>
      <c r="K634" t="e">
        <f t="shared" si="225"/>
        <v>#N/A</v>
      </c>
      <c r="L634" t="str">
        <f>'Lab test'!AC625</f>
        <v>LTWb</v>
      </c>
      <c r="X634" t="e">
        <v>#N/A</v>
      </c>
      <c r="Z634" t="e">
        <f t="shared" si="215"/>
        <v>#N/A</v>
      </c>
      <c r="AB634" t="e">
        <f t="shared" si="227"/>
        <v>#N/A</v>
      </c>
      <c r="AC634" t="e">
        <f t="shared" si="216"/>
        <v>#N/A</v>
      </c>
      <c r="AE634" t="e">
        <v>#N/A</v>
      </c>
      <c r="AF634" t="e">
        <v>#N/A</v>
      </c>
      <c r="AP634" t="e">
        <v>#N/A</v>
      </c>
      <c r="AR634" t="e">
        <f t="shared" si="217"/>
        <v>#N/A</v>
      </c>
      <c r="AT634" t="e">
        <f t="shared" si="218"/>
        <v>#N/A</v>
      </c>
      <c r="AU634" t="e">
        <f t="shared" si="219"/>
        <v>#N/A</v>
      </c>
      <c r="AW634" t="e">
        <v>#N/A</v>
      </c>
      <c r="AX634" t="e">
        <v>#N/A</v>
      </c>
      <c r="BG634" t="e">
        <v>#N/A</v>
      </c>
      <c r="BI634" t="e">
        <f t="shared" si="220"/>
        <v>#N/A</v>
      </c>
      <c r="BK634" t="e">
        <f t="shared" si="221"/>
        <v>#N/A</v>
      </c>
      <c r="BL634" t="e">
        <f t="shared" si="222"/>
        <v>#N/A</v>
      </c>
      <c r="BN634" t="e">
        <v>#N/A</v>
      </c>
      <c r="BO634" t="e">
        <v>#N/A</v>
      </c>
      <c r="BX634" t="e">
        <v>#N/A</v>
      </c>
      <c r="BZ634" t="e">
        <f t="shared" si="223"/>
        <v>#N/A</v>
      </c>
      <c r="CB634" t="e">
        <f t="shared" si="226"/>
        <v>#N/A</v>
      </c>
      <c r="CC634" t="e">
        <f t="shared" si="224"/>
        <v>#N/A</v>
      </c>
      <c r="CE634" t="e">
        <v>#N/A</v>
      </c>
      <c r="CF634" t="e">
        <v>#N/A</v>
      </c>
    </row>
    <row r="635" spans="2:84">
      <c r="B635">
        <v>623</v>
      </c>
      <c r="C635" t="e">
        <f>IF(ISNUMBER(K635),IF('Lab test'!N626&gt;0,'Lab test'!N626,NA()),NA())</f>
        <v>#N/A</v>
      </c>
      <c r="D635" t="e">
        <f>IF(ISNUMBER(K635),IF('Lab test'!Q626&gt;0,'Lab test'!Q626,NA()),NA())</f>
        <v>#N/A</v>
      </c>
      <c r="E635" t="e">
        <f>IF(ISNUMBER(K635),IF('Lab test'!P626&gt;0,'Lab test'!P626,NA()),NA())</f>
        <v>#N/A</v>
      </c>
      <c r="F635" t="e">
        <f>IF(ISNUMBER(K635),IF('Lab test'!AJ626&gt;0,'Lab test'!AJ626,NA()),NA())</f>
        <v>#N/A</v>
      </c>
      <c r="G635">
        <f>IF('Lab test'!V626&gt;0,'Lab test'!V626,NA())</f>
        <v>186158.44691554576</v>
      </c>
      <c r="H635" t="e">
        <f>IF(MAX('Lab test'!W626,'Lab test'!X626)&gt;0,MAX('Lab test'!W626,'Lab test'!X626),NA())</f>
        <v>#N/A</v>
      </c>
      <c r="I635" t="e">
        <f>IF('Lab test'!AU626&gt;0,'Lab test'!AU626,NA())</f>
        <v>#N/A</v>
      </c>
      <c r="J635">
        <f>IF('Lab test'!AT626&gt;0,'Lab test'!AT626,NA())</f>
        <v>0.19678090601240975</v>
      </c>
      <c r="K635" t="e">
        <f t="shared" si="225"/>
        <v>#N/A</v>
      </c>
      <c r="L635" t="str">
        <f>'Lab test'!AC626</f>
        <v>LTWb</v>
      </c>
      <c r="X635" t="e">
        <v>#N/A</v>
      </c>
      <c r="Z635" t="e">
        <f t="shared" si="215"/>
        <v>#N/A</v>
      </c>
      <c r="AB635" t="e">
        <f t="shared" si="227"/>
        <v>#N/A</v>
      </c>
      <c r="AC635" t="e">
        <f t="shared" si="216"/>
        <v>#N/A</v>
      </c>
      <c r="AE635" t="e">
        <v>#N/A</v>
      </c>
      <c r="AF635" t="e">
        <v>#N/A</v>
      </c>
      <c r="AP635" t="e">
        <v>#N/A</v>
      </c>
      <c r="AR635" t="e">
        <f t="shared" si="217"/>
        <v>#N/A</v>
      </c>
      <c r="AT635" t="e">
        <f t="shared" si="218"/>
        <v>#N/A</v>
      </c>
      <c r="AU635" t="e">
        <f t="shared" si="219"/>
        <v>#N/A</v>
      </c>
      <c r="AW635" t="e">
        <v>#N/A</v>
      </c>
      <c r="AX635" t="e">
        <v>#N/A</v>
      </c>
      <c r="BG635" t="e">
        <v>#N/A</v>
      </c>
      <c r="BI635" t="e">
        <f t="shared" si="220"/>
        <v>#N/A</v>
      </c>
      <c r="BK635" t="e">
        <f t="shared" si="221"/>
        <v>#N/A</v>
      </c>
      <c r="BL635" t="e">
        <f t="shared" si="222"/>
        <v>#N/A</v>
      </c>
      <c r="BN635" t="e">
        <v>#N/A</v>
      </c>
      <c r="BO635" t="e">
        <v>#N/A</v>
      </c>
      <c r="BX635" t="e">
        <v>#N/A</v>
      </c>
      <c r="BZ635" t="e">
        <f t="shared" si="223"/>
        <v>#N/A</v>
      </c>
      <c r="CB635" t="e">
        <f t="shared" si="226"/>
        <v>#N/A</v>
      </c>
      <c r="CC635" t="e">
        <f t="shared" si="224"/>
        <v>#N/A</v>
      </c>
      <c r="CE635" t="e">
        <v>#N/A</v>
      </c>
      <c r="CF635" t="e">
        <v>#N/A</v>
      </c>
    </row>
    <row r="636" spans="2:84">
      <c r="B636">
        <v>624</v>
      </c>
      <c r="C636" t="e">
        <f>IF(ISNUMBER(K636),IF('Lab test'!N627&gt;0,'Lab test'!N627,NA()),NA())</f>
        <v>#N/A</v>
      </c>
      <c r="D636" t="e">
        <f>IF(ISNUMBER(K636),IF('Lab test'!Q627&gt;0,'Lab test'!Q627,NA()),NA())</f>
        <v>#N/A</v>
      </c>
      <c r="E636" t="e">
        <f>IF(ISNUMBER(K636),IF('Lab test'!P627&gt;0,'Lab test'!P627,NA()),NA())</f>
        <v>#N/A</v>
      </c>
      <c r="F636" t="e">
        <f>IF(ISNUMBER(K636),IF('Lab test'!AJ627&gt;0,'Lab test'!AJ627,NA()),NA())</f>
        <v>#N/A</v>
      </c>
      <c r="G636">
        <f>IF('Lab test'!V627&gt;0,'Lab test'!V627,NA())</f>
        <v>186158.44691554576</v>
      </c>
      <c r="H636" t="e">
        <f>IF(MAX('Lab test'!W627,'Lab test'!X627)&gt;0,MAX('Lab test'!W627,'Lab test'!X627),NA())</f>
        <v>#N/A</v>
      </c>
      <c r="I636" t="e">
        <f>IF('Lab test'!AU627&gt;0,'Lab test'!AU627,NA())</f>
        <v>#N/A</v>
      </c>
      <c r="J636">
        <f>IF('Lab test'!AT627&gt;0,'Lab test'!AT627,NA())</f>
        <v>0.19209564634544757</v>
      </c>
      <c r="K636" t="e">
        <f t="shared" si="225"/>
        <v>#N/A</v>
      </c>
      <c r="L636" t="str">
        <f>'Lab test'!AC627</f>
        <v>LTWb</v>
      </c>
      <c r="X636" t="e">
        <v>#N/A</v>
      </c>
      <c r="Z636" t="e">
        <f t="shared" si="215"/>
        <v>#N/A</v>
      </c>
      <c r="AB636" t="e">
        <f t="shared" si="227"/>
        <v>#N/A</v>
      </c>
      <c r="AC636" t="e">
        <f t="shared" si="216"/>
        <v>#N/A</v>
      </c>
      <c r="AE636" t="e">
        <v>#N/A</v>
      </c>
      <c r="AF636" t="e">
        <v>#N/A</v>
      </c>
      <c r="AP636" t="e">
        <v>#N/A</v>
      </c>
      <c r="AR636" t="e">
        <f t="shared" si="217"/>
        <v>#N/A</v>
      </c>
      <c r="AT636" t="e">
        <f t="shared" si="218"/>
        <v>#N/A</v>
      </c>
      <c r="AU636" t="e">
        <f t="shared" si="219"/>
        <v>#N/A</v>
      </c>
      <c r="AW636" t="e">
        <v>#N/A</v>
      </c>
      <c r="AX636" t="e">
        <v>#N/A</v>
      </c>
      <c r="BG636" t="e">
        <v>#N/A</v>
      </c>
      <c r="BI636" t="e">
        <f t="shared" si="220"/>
        <v>#N/A</v>
      </c>
      <c r="BK636" t="e">
        <f t="shared" si="221"/>
        <v>#N/A</v>
      </c>
      <c r="BL636" t="e">
        <f t="shared" si="222"/>
        <v>#N/A</v>
      </c>
      <c r="BN636" t="e">
        <v>#N/A</v>
      </c>
      <c r="BO636" t="e">
        <v>#N/A</v>
      </c>
      <c r="BX636" t="e">
        <v>#N/A</v>
      </c>
      <c r="BZ636" t="e">
        <f t="shared" si="223"/>
        <v>#N/A</v>
      </c>
      <c r="CB636" t="e">
        <f t="shared" si="226"/>
        <v>#N/A</v>
      </c>
      <c r="CC636" t="e">
        <f t="shared" si="224"/>
        <v>#N/A</v>
      </c>
      <c r="CE636" t="e">
        <v>#N/A</v>
      </c>
      <c r="CF636" t="e">
        <v>#N/A</v>
      </c>
    </row>
    <row r="637" spans="2:84">
      <c r="B637">
        <v>625</v>
      </c>
      <c r="C637" t="e">
        <f>IF(ISNUMBER(K637),IF('Lab test'!N628&gt;0,'Lab test'!N628,NA()),NA())</f>
        <v>#N/A</v>
      </c>
      <c r="D637" t="e">
        <f>IF(ISNUMBER(K637),IF('Lab test'!Q628&gt;0,'Lab test'!Q628,NA()),NA())</f>
        <v>#N/A</v>
      </c>
      <c r="E637" t="e">
        <f>IF(ISNUMBER(K637),IF('Lab test'!P628&gt;0,'Lab test'!P628,NA()),NA())</f>
        <v>#N/A</v>
      </c>
      <c r="F637" t="e">
        <f>IF(ISNUMBER(K637),IF('Lab test'!AJ628&gt;0,'Lab test'!AJ628,NA()),NA())</f>
        <v>#N/A</v>
      </c>
      <c r="G637">
        <f>IF('Lab test'!V628&gt;0,'Lab test'!V628,NA())</f>
        <v>186158.44691554576</v>
      </c>
      <c r="H637" t="e">
        <f>IF(MAX('Lab test'!W628,'Lab test'!X628)&gt;0,MAX('Lab test'!W628,'Lab test'!X628),NA())</f>
        <v>#N/A</v>
      </c>
      <c r="I637" t="e">
        <f>IF('Lab test'!AU628&gt;0,'Lab test'!AU628,NA())</f>
        <v>#N/A</v>
      </c>
      <c r="J637">
        <f>IF('Lab test'!AT628&gt;0,'Lab test'!AT628,NA())</f>
        <v>0.18356178052348082</v>
      </c>
      <c r="K637" t="e">
        <f t="shared" si="225"/>
        <v>#N/A</v>
      </c>
      <c r="L637" t="str">
        <f>'Lab test'!AC628</f>
        <v>LTWb</v>
      </c>
      <c r="X637" t="e">
        <v>#N/A</v>
      </c>
      <c r="Z637" t="e">
        <f t="shared" si="215"/>
        <v>#N/A</v>
      </c>
      <c r="AB637" t="e">
        <f t="shared" si="227"/>
        <v>#N/A</v>
      </c>
      <c r="AC637" t="e">
        <f t="shared" si="216"/>
        <v>#N/A</v>
      </c>
      <c r="AE637" t="e">
        <v>#N/A</v>
      </c>
      <c r="AF637" t="e">
        <v>#N/A</v>
      </c>
      <c r="AP637" t="e">
        <v>#N/A</v>
      </c>
      <c r="AR637" t="e">
        <f t="shared" si="217"/>
        <v>#N/A</v>
      </c>
      <c r="AT637" t="e">
        <f t="shared" si="218"/>
        <v>#N/A</v>
      </c>
      <c r="AU637" t="e">
        <f t="shared" si="219"/>
        <v>#N/A</v>
      </c>
      <c r="AW637" t="e">
        <v>#N/A</v>
      </c>
      <c r="AX637" t="e">
        <v>#N/A</v>
      </c>
      <c r="BG637" t="e">
        <v>#N/A</v>
      </c>
      <c r="BI637" t="e">
        <f t="shared" si="220"/>
        <v>#N/A</v>
      </c>
      <c r="BK637" t="e">
        <f t="shared" si="221"/>
        <v>#N/A</v>
      </c>
      <c r="BL637" t="e">
        <f t="shared" si="222"/>
        <v>#N/A</v>
      </c>
      <c r="BN637" t="e">
        <v>#N/A</v>
      </c>
      <c r="BO637" t="e">
        <v>#N/A</v>
      </c>
      <c r="BX637" t="e">
        <v>#N/A</v>
      </c>
      <c r="BZ637" t="e">
        <f t="shared" si="223"/>
        <v>#N/A</v>
      </c>
      <c r="CB637" t="e">
        <f t="shared" si="226"/>
        <v>#N/A</v>
      </c>
      <c r="CC637" t="e">
        <f t="shared" si="224"/>
        <v>#N/A</v>
      </c>
      <c r="CE637" t="e">
        <v>#N/A</v>
      </c>
      <c r="CF637" t="e">
        <v>#N/A</v>
      </c>
    </row>
    <row r="638" spans="2:84">
      <c r="B638">
        <v>626</v>
      </c>
      <c r="C638" t="e">
        <f>IF(ISNUMBER(K638),IF('Lab test'!N629&gt;0,'Lab test'!N629,NA()),NA())</f>
        <v>#N/A</v>
      </c>
      <c r="D638" t="e">
        <f>IF(ISNUMBER(K638),IF('Lab test'!Q629&gt;0,'Lab test'!Q629,NA()),NA())</f>
        <v>#N/A</v>
      </c>
      <c r="E638" t="e">
        <f>IF(ISNUMBER(K638),IF('Lab test'!P629&gt;0,'Lab test'!P629,NA()),NA())</f>
        <v>#N/A</v>
      </c>
      <c r="F638" t="e">
        <f>IF(ISNUMBER(K638),IF('Lab test'!AJ629&gt;0,'Lab test'!AJ629,NA()),NA())</f>
        <v>#N/A</v>
      </c>
      <c r="G638">
        <f>IF('Lab test'!V629&gt;0,'Lab test'!V629,NA())</f>
        <v>186158.44691554576</v>
      </c>
      <c r="H638" t="e">
        <f>IF(MAX('Lab test'!W629,'Lab test'!X629)&gt;0,MAX('Lab test'!W629,'Lab test'!X629),NA())</f>
        <v>#N/A</v>
      </c>
      <c r="I638" t="e">
        <f>IF('Lab test'!AU629&gt;0,'Lab test'!AU629,NA())</f>
        <v>#N/A</v>
      </c>
      <c r="J638">
        <f>IF('Lab test'!AT629&gt;0,'Lab test'!AT629,NA())</f>
        <v>0.18724305597609392</v>
      </c>
      <c r="K638" t="e">
        <f t="shared" si="225"/>
        <v>#N/A</v>
      </c>
      <c r="L638" t="str">
        <f>'Lab test'!AC629</f>
        <v>LTWb</v>
      </c>
      <c r="X638" t="e">
        <v>#N/A</v>
      </c>
      <c r="Z638" t="e">
        <f t="shared" si="215"/>
        <v>#N/A</v>
      </c>
      <c r="AB638" t="e">
        <f t="shared" si="227"/>
        <v>#N/A</v>
      </c>
      <c r="AC638" t="e">
        <f t="shared" si="216"/>
        <v>#N/A</v>
      </c>
      <c r="AE638" t="e">
        <v>#N/A</v>
      </c>
      <c r="AF638" t="e">
        <v>#N/A</v>
      </c>
      <c r="AP638" t="e">
        <v>#N/A</v>
      </c>
      <c r="AR638" t="e">
        <f t="shared" si="217"/>
        <v>#N/A</v>
      </c>
      <c r="AT638" t="e">
        <f t="shared" si="218"/>
        <v>#N/A</v>
      </c>
      <c r="AU638" t="e">
        <f t="shared" si="219"/>
        <v>#N/A</v>
      </c>
      <c r="AW638" t="e">
        <v>#N/A</v>
      </c>
      <c r="AX638" t="e">
        <v>#N/A</v>
      </c>
      <c r="BG638" t="e">
        <v>#N/A</v>
      </c>
      <c r="BI638" t="e">
        <f t="shared" si="220"/>
        <v>#N/A</v>
      </c>
      <c r="BK638" t="e">
        <f t="shared" si="221"/>
        <v>#N/A</v>
      </c>
      <c r="BL638" t="e">
        <f t="shared" si="222"/>
        <v>#N/A</v>
      </c>
      <c r="BN638" t="e">
        <v>#N/A</v>
      </c>
      <c r="BO638" t="e">
        <v>#N/A</v>
      </c>
      <c r="BX638" t="e">
        <v>#N/A</v>
      </c>
      <c r="BZ638" t="e">
        <f t="shared" si="223"/>
        <v>#N/A</v>
      </c>
      <c r="CB638" t="e">
        <f t="shared" si="226"/>
        <v>#N/A</v>
      </c>
      <c r="CC638" t="e">
        <f t="shared" si="224"/>
        <v>#N/A</v>
      </c>
      <c r="CE638" t="e">
        <v>#N/A</v>
      </c>
      <c r="CF638" t="e">
        <v>#N/A</v>
      </c>
    </row>
    <row r="639" spans="2:84">
      <c r="B639">
        <v>627</v>
      </c>
      <c r="C639" t="e">
        <f>IF(ISNUMBER(K639),IF('Lab test'!N630&gt;0,'Lab test'!N630,NA()),NA())</f>
        <v>#N/A</v>
      </c>
      <c r="D639" t="e">
        <f>IF(ISNUMBER(K639),IF('Lab test'!Q630&gt;0,'Lab test'!Q630,NA()),NA())</f>
        <v>#N/A</v>
      </c>
      <c r="E639" t="e">
        <f>IF(ISNUMBER(K639),IF('Lab test'!P630&gt;0,'Lab test'!P630,NA()),NA())</f>
        <v>#N/A</v>
      </c>
      <c r="F639" t="e">
        <f>IF(ISNUMBER(K639),IF('Lab test'!AJ630&gt;0,'Lab test'!AJ630,NA()),NA())</f>
        <v>#N/A</v>
      </c>
      <c r="G639">
        <f>IF('Lab test'!V630&gt;0,'Lab test'!V630,NA())</f>
        <v>186158.44691554576</v>
      </c>
      <c r="H639" t="e">
        <f>IF(MAX('Lab test'!W630,'Lab test'!X630)&gt;0,MAX('Lab test'!W630,'Lab test'!X630),NA())</f>
        <v>#N/A</v>
      </c>
      <c r="I639" t="e">
        <f>IF('Lab test'!AU630&gt;0,'Lab test'!AU630,NA())</f>
        <v>#N/A</v>
      </c>
      <c r="J639">
        <f>IF('Lab test'!AT630&gt;0,'Lab test'!AT630,NA())</f>
        <v>0.20916337798938103</v>
      </c>
      <c r="K639" t="e">
        <f t="shared" si="225"/>
        <v>#N/A</v>
      </c>
      <c r="L639" t="str">
        <f>'Lab test'!AC630</f>
        <v>LTWb</v>
      </c>
      <c r="X639" t="e">
        <v>#N/A</v>
      </c>
      <c r="Z639" t="e">
        <f t="shared" si="215"/>
        <v>#N/A</v>
      </c>
      <c r="AB639" t="e">
        <f t="shared" si="227"/>
        <v>#N/A</v>
      </c>
      <c r="AC639" t="e">
        <f t="shared" si="216"/>
        <v>#N/A</v>
      </c>
      <c r="AE639" t="e">
        <v>#N/A</v>
      </c>
      <c r="AF639" t="e">
        <v>#N/A</v>
      </c>
      <c r="AP639" t="e">
        <v>#N/A</v>
      </c>
      <c r="AR639" t="e">
        <f t="shared" si="217"/>
        <v>#N/A</v>
      </c>
      <c r="AT639" t="e">
        <f t="shared" si="218"/>
        <v>#N/A</v>
      </c>
      <c r="AU639" t="e">
        <f t="shared" si="219"/>
        <v>#N/A</v>
      </c>
      <c r="AW639" t="e">
        <v>#N/A</v>
      </c>
      <c r="AX639" t="e">
        <v>#N/A</v>
      </c>
      <c r="BG639" t="e">
        <v>#N/A</v>
      </c>
      <c r="BI639" t="e">
        <f t="shared" si="220"/>
        <v>#N/A</v>
      </c>
      <c r="BK639" t="e">
        <f t="shared" si="221"/>
        <v>#N/A</v>
      </c>
      <c r="BL639" t="e">
        <f t="shared" si="222"/>
        <v>#N/A</v>
      </c>
      <c r="BN639" t="e">
        <v>#N/A</v>
      </c>
      <c r="BO639" t="e">
        <v>#N/A</v>
      </c>
      <c r="BX639" t="e">
        <v>#N/A</v>
      </c>
      <c r="BZ639" t="e">
        <f t="shared" si="223"/>
        <v>#N/A</v>
      </c>
      <c r="CB639" t="e">
        <f t="shared" si="226"/>
        <v>#N/A</v>
      </c>
      <c r="CC639" t="e">
        <f t="shared" si="224"/>
        <v>#N/A</v>
      </c>
      <c r="CE639" t="e">
        <v>#N/A</v>
      </c>
      <c r="CF639" t="e">
        <v>#N/A</v>
      </c>
    </row>
    <row r="640" spans="2:84">
      <c r="B640">
        <v>628</v>
      </c>
      <c r="C640" t="e">
        <f>IF(ISNUMBER(K640),IF('Lab test'!N631&gt;0,'Lab test'!N631,NA()),NA())</f>
        <v>#N/A</v>
      </c>
      <c r="D640" t="e">
        <f>IF(ISNUMBER(K640),IF('Lab test'!Q631&gt;0,'Lab test'!Q631,NA()),NA())</f>
        <v>#N/A</v>
      </c>
      <c r="E640" t="e">
        <f>IF(ISNUMBER(K640),IF('Lab test'!P631&gt;0,'Lab test'!P631,NA()),NA())</f>
        <v>#N/A</v>
      </c>
      <c r="F640" t="e">
        <f>IF(ISNUMBER(K640),IF('Lab test'!AJ631&gt;0,'Lab test'!AJ631,NA()),NA())</f>
        <v>#N/A</v>
      </c>
      <c r="G640">
        <f>IF('Lab test'!V631&gt;0,'Lab test'!V631,NA())</f>
        <v>186158.44691554576</v>
      </c>
      <c r="H640" t="e">
        <f>IF(MAX('Lab test'!W631,'Lab test'!X631)&gt;0,MAX('Lab test'!W631,'Lab test'!X631),NA())</f>
        <v>#N/A</v>
      </c>
      <c r="I640" t="e">
        <f>IF('Lab test'!AU631&gt;0,'Lab test'!AU631,NA())</f>
        <v>#N/A</v>
      </c>
      <c r="J640">
        <f>IF('Lab test'!AT631&gt;0,'Lab test'!AT631,NA())</f>
        <v>0.20447811832241894</v>
      </c>
      <c r="K640" t="e">
        <f t="shared" si="225"/>
        <v>#N/A</v>
      </c>
      <c r="L640" t="str">
        <f>'Lab test'!AC631</f>
        <v>LTWb</v>
      </c>
      <c r="X640" t="e">
        <v>#N/A</v>
      </c>
      <c r="Z640" t="e">
        <f t="shared" si="215"/>
        <v>#N/A</v>
      </c>
      <c r="AB640" t="e">
        <f t="shared" si="227"/>
        <v>#N/A</v>
      </c>
      <c r="AC640" t="e">
        <f t="shared" si="216"/>
        <v>#N/A</v>
      </c>
      <c r="AE640" t="e">
        <v>#N/A</v>
      </c>
      <c r="AF640" t="e">
        <v>#N/A</v>
      </c>
      <c r="AP640" t="e">
        <v>#N/A</v>
      </c>
      <c r="AR640" t="e">
        <f t="shared" si="217"/>
        <v>#N/A</v>
      </c>
      <c r="AT640" t="e">
        <f t="shared" si="218"/>
        <v>#N/A</v>
      </c>
      <c r="AU640" t="e">
        <f t="shared" si="219"/>
        <v>#N/A</v>
      </c>
      <c r="AW640" t="e">
        <v>#N/A</v>
      </c>
      <c r="AX640" t="e">
        <v>#N/A</v>
      </c>
      <c r="BG640" t="e">
        <v>#N/A</v>
      </c>
      <c r="BI640" t="e">
        <f t="shared" si="220"/>
        <v>#N/A</v>
      </c>
      <c r="BK640" t="e">
        <f t="shared" si="221"/>
        <v>#N/A</v>
      </c>
      <c r="BL640" t="e">
        <f t="shared" si="222"/>
        <v>#N/A</v>
      </c>
      <c r="BN640" t="e">
        <v>#N/A</v>
      </c>
      <c r="BO640" t="e">
        <v>#N/A</v>
      </c>
      <c r="BX640" t="e">
        <v>#N/A</v>
      </c>
      <c r="BZ640" t="e">
        <f t="shared" si="223"/>
        <v>#N/A</v>
      </c>
      <c r="CB640" t="e">
        <f t="shared" si="226"/>
        <v>#N/A</v>
      </c>
      <c r="CC640" t="e">
        <f t="shared" si="224"/>
        <v>#N/A</v>
      </c>
      <c r="CE640" t="e">
        <v>#N/A</v>
      </c>
      <c r="CF640" t="e">
        <v>#N/A</v>
      </c>
    </row>
    <row r="641" spans="2:84">
      <c r="B641">
        <v>629</v>
      </c>
      <c r="C641" t="e">
        <f>IF(ISNUMBER(K641),IF('Lab test'!N632&gt;0,'Lab test'!N632,NA()),NA())</f>
        <v>#N/A</v>
      </c>
      <c r="D641" t="e">
        <f>IF(ISNUMBER(K641),IF('Lab test'!Q632&gt;0,'Lab test'!Q632,NA()),NA())</f>
        <v>#N/A</v>
      </c>
      <c r="E641" t="e">
        <f>IF(ISNUMBER(K641),IF('Lab test'!P632&gt;0,'Lab test'!P632,NA()),NA())</f>
        <v>#N/A</v>
      </c>
      <c r="F641" t="e">
        <f>IF(ISNUMBER(K641),IF('Lab test'!AJ632&gt;0,'Lab test'!AJ632,NA()),NA())</f>
        <v>#N/A</v>
      </c>
      <c r="G641">
        <f>IF('Lab test'!V632&gt;0,'Lab test'!V632,NA())</f>
        <v>84800.824394887051</v>
      </c>
      <c r="H641">
        <f>IF(MAX('Lab test'!W632,'Lab test'!X632)&gt;0,MAX('Lab test'!W632,'Lab test'!X632),NA())</f>
        <v>311.64302965120993</v>
      </c>
      <c r="I641">
        <f>IF('Lab test'!AU632&gt;0,'Lab test'!AU632,NA())</f>
        <v>0.65910423448974254</v>
      </c>
      <c r="J641">
        <f>IF('Lab test'!AT632&gt;0,'Lab test'!AT632,NA())</f>
        <v>0.40272862112889729</v>
      </c>
      <c r="K641" t="e">
        <f t="shared" si="225"/>
        <v>#N/A</v>
      </c>
      <c r="L641" t="str">
        <f>'Lab test'!AC632</f>
        <v>Machined</v>
      </c>
      <c r="X641" t="e">
        <v>#N/A</v>
      </c>
      <c r="Z641" t="e">
        <f t="shared" si="215"/>
        <v>#N/A</v>
      </c>
      <c r="AB641" t="e">
        <f t="shared" si="227"/>
        <v>#N/A</v>
      </c>
      <c r="AC641" t="e">
        <f t="shared" si="216"/>
        <v>#N/A</v>
      </c>
      <c r="AE641" t="e">
        <v>#N/A</v>
      </c>
      <c r="AF641" t="e">
        <v>#N/A</v>
      </c>
      <c r="AP641" t="e">
        <v>#N/A</v>
      </c>
      <c r="AR641" t="e">
        <f t="shared" si="217"/>
        <v>#N/A</v>
      </c>
      <c r="AT641" t="e">
        <f t="shared" si="218"/>
        <v>#N/A</v>
      </c>
      <c r="AU641" t="e">
        <f t="shared" si="219"/>
        <v>#N/A</v>
      </c>
      <c r="AW641" t="e">
        <v>#N/A</v>
      </c>
      <c r="AX641" t="e">
        <v>#N/A</v>
      </c>
      <c r="BG641" t="e">
        <v>#N/A</v>
      </c>
      <c r="BI641" t="e">
        <f t="shared" si="220"/>
        <v>#N/A</v>
      </c>
      <c r="BK641" t="e">
        <f t="shared" si="221"/>
        <v>#N/A</v>
      </c>
      <c r="BL641" t="e">
        <f t="shared" si="222"/>
        <v>#N/A</v>
      </c>
      <c r="BN641" t="e">
        <v>#N/A</v>
      </c>
      <c r="BO641" t="e">
        <v>#N/A</v>
      </c>
      <c r="BX641" t="e">
        <v>#N/A</v>
      </c>
      <c r="BZ641" t="e">
        <f t="shared" si="223"/>
        <v>#N/A</v>
      </c>
      <c r="CB641" t="e">
        <f t="shared" si="226"/>
        <v>#N/A</v>
      </c>
      <c r="CC641" t="e">
        <f t="shared" si="224"/>
        <v>#N/A</v>
      </c>
      <c r="CE641" t="e">
        <v>#N/A</v>
      </c>
      <c r="CF641" t="e">
        <v>#N/A</v>
      </c>
    </row>
    <row r="642" spans="2:84">
      <c r="B642">
        <v>630</v>
      </c>
      <c r="C642" t="e">
        <f>IF(ISNUMBER(K642),IF('Lab test'!N633&gt;0,'Lab test'!N633,NA()),NA())</f>
        <v>#N/A</v>
      </c>
      <c r="D642" t="e">
        <f>IF(ISNUMBER(K642),IF('Lab test'!Q633&gt;0,'Lab test'!Q633,NA()),NA())</f>
        <v>#N/A</v>
      </c>
      <c r="E642" t="e">
        <f>IF(ISNUMBER(K642),IF('Lab test'!P633&gt;0,'Lab test'!P633,NA()),NA())</f>
        <v>#N/A</v>
      </c>
      <c r="F642" t="e">
        <f>IF(ISNUMBER(K642),IF('Lab test'!AJ633&gt;0,'Lab test'!AJ633,NA()),NA())</f>
        <v>#N/A</v>
      </c>
      <c r="G642">
        <f>IF('Lab test'!V633&gt;0,'Lab test'!V633,NA())</f>
        <v>84800.824394887051</v>
      </c>
      <c r="H642">
        <f>IF(MAX('Lab test'!W633,'Lab test'!X633)&gt;0,MAX('Lab test'!W633,'Lab test'!X633),NA())</f>
        <v>311.64302965120993</v>
      </c>
      <c r="I642">
        <f>IF('Lab test'!AU633&gt;0,'Lab test'!AU633,NA())</f>
        <v>0.73164020018185083</v>
      </c>
      <c r="J642">
        <f>IF('Lab test'!AT633&gt;0,'Lab test'!AT633,NA())</f>
        <v>0.44716376228697385</v>
      </c>
      <c r="K642" t="e">
        <f t="shared" si="225"/>
        <v>#N/A</v>
      </c>
      <c r="L642" t="str">
        <f>'Lab test'!AC633</f>
        <v>Machined</v>
      </c>
      <c r="X642" t="e">
        <v>#N/A</v>
      </c>
      <c r="Z642" t="e">
        <f t="shared" si="215"/>
        <v>#N/A</v>
      </c>
      <c r="AB642" t="e">
        <f t="shared" si="227"/>
        <v>#N/A</v>
      </c>
      <c r="AC642" t="e">
        <f t="shared" si="216"/>
        <v>#N/A</v>
      </c>
      <c r="AE642" t="e">
        <v>#N/A</v>
      </c>
      <c r="AF642" t="e">
        <v>#N/A</v>
      </c>
      <c r="AP642" t="e">
        <v>#N/A</v>
      </c>
      <c r="AR642" t="e">
        <f t="shared" si="217"/>
        <v>#N/A</v>
      </c>
      <c r="AT642" t="e">
        <f t="shared" si="218"/>
        <v>#N/A</v>
      </c>
      <c r="AU642" t="e">
        <f t="shared" si="219"/>
        <v>#N/A</v>
      </c>
      <c r="AW642" t="e">
        <v>#N/A</v>
      </c>
      <c r="AX642" t="e">
        <v>#N/A</v>
      </c>
      <c r="BG642" t="e">
        <v>#N/A</v>
      </c>
      <c r="BI642" t="e">
        <f t="shared" si="220"/>
        <v>#N/A</v>
      </c>
      <c r="BK642" t="e">
        <f t="shared" si="221"/>
        <v>#N/A</v>
      </c>
      <c r="BL642" t="e">
        <f t="shared" si="222"/>
        <v>#N/A</v>
      </c>
      <c r="BN642" t="e">
        <v>#N/A</v>
      </c>
      <c r="BO642" t="e">
        <v>#N/A</v>
      </c>
      <c r="BX642" t="e">
        <v>#N/A</v>
      </c>
      <c r="BZ642" t="e">
        <f t="shared" si="223"/>
        <v>#N/A</v>
      </c>
      <c r="CB642" t="e">
        <f t="shared" si="226"/>
        <v>#N/A</v>
      </c>
      <c r="CC642" t="e">
        <f t="shared" si="224"/>
        <v>#N/A</v>
      </c>
      <c r="CE642" t="e">
        <v>#N/A</v>
      </c>
      <c r="CF642" t="e">
        <v>#N/A</v>
      </c>
    </row>
    <row r="643" spans="2:84">
      <c r="B643">
        <v>631</v>
      </c>
      <c r="C643" t="e">
        <f>IF(ISNUMBER(K643),IF('Lab test'!N634&gt;0,'Lab test'!N634,NA()),NA())</f>
        <v>#N/A</v>
      </c>
      <c r="D643" t="e">
        <f>IF(ISNUMBER(K643),IF('Lab test'!Q634&gt;0,'Lab test'!Q634,NA()),NA())</f>
        <v>#N/A</v>
      </c>
      <c r="E643" t="e">
        <f>IF(ISNUMBER(K643),IF('Lab test'!P634&gt;0,'Lab test'!P634,NA()),NA())</f>
        <v>#N/A</v>
      </c>
      <c r="F643" t="e">
        <f>IF(ISNUMBER(K643),IF('Lab test'!AJ634&gt;0,'Lab test'!AJ634,NA()),NA())</f>
        <v>#N/A</v>
      </c>
      <c r="G643">
        <f>IF('Lab test'!V634&gt;0,'Lab test'!V634,NA())</f>
        <v>84800.824394887051</v>
      </c>
      <c r="H643">
        <f>IF(MAX('Lab test'!W634,'Lab test'!X634)&gt;0,MAX('Lab test'!W634,'Lab test'!X634),NA())</f>
        <v>311.64302965120993</v>
      </c>
      <c r="I643">
        <f>IF('Lab test'!AU634&gt;0,'Lab test'!AU634,NA())</f>
        <v>0.74197367799895397</v>
      </c>
      <c r="J643">
        <f>IF('Lab test'!AT634&gt;0,'Lab test'!AT634,NA())</f>
        <v>0.45820198776676696</v>
      </c>
      <c r="K643" t="e">
        <f t="shared" si="225"/>
        <v>#N/A</v>
      </c>
      <c r="L643" t="str">
        <f>'Lab test'!AC634</f>
        <v>Machined</v>
      </c>
      <c r="X643" t="e">
        <v>#N/A</v>
      </c>
      <c r="Z643" t="e">
        <f t="shared" si="215"/>
        <v>#N/A</v>
      </c>
      <c r="AB643" t="e">
        <f t="shared" si="227"/>
        <v>#N/A</v>
      </c>
      <c r="AC643" t="e">
        <f t="shared" si="216"/>
        <v>#N/A</v>
      </c>
      <c r="AE643" t="e">
        <v>#N/A</v>
      </c>
      <c r="AF643" t="e">
        <v>#N/A</v>
      </c>
      <c r="AP643" t="e">
        <v>#N/A</v>
      </c>
      <c r="AR643" t="e">
        <f t="shared" si="217"/>
        <v>#N/A</v>
      </c>
      <c r="AT643" t="e">
        <f t="shared" si="218"/>
        <v>#N/A</v>
      </c>
      <c r="AU643" t="e">
        <f t="shared" si="219"/>
        <v>#N/A</v>
      </c>
      <c r="AW643" t="e">
        <v>#N/A</v>
      </c>
      <c r="AX643" t="e">
        <v>#N/A</v>
      </c>
      <c r="BG643" t="e">
        <v>#N/A</v>
      </c>
      <c r="BI643" t="e">
        <f t="shared" si="220"/>
        <v>#N/A</v>
      </c>
      <c r="BK643" t="e">
        <f t="shared" si="221"/>
        <v>#N/A</v>
      </c>
      <c r="BL643" t="e">
        <f t="shared" si="222"/>
        <v>#N/A</v>
      </c>
      <c r="BN643" t="e">
        <v>#N/A</v>
      </c>
      <c r="BO643" t="e">
        <v>#N/A</v>
      </c>
      <c r="BX643" t="e">
        <v>#N/A</v>
      </c>
      <c r="BZ643" t="e">
        <f t="shared" si="223"/>
        <v>#N/A</v>
      </c>
      <c r="CB643" t="e">
        <f t="shared" si="226"/>
        <v>#N/A</v>
      </c>
      <c r="CC643" t="e">
        <f t="shared" si="224"/>
        <v>#N/A</v>
      </c>
      <c r="CE643" t="e">
        <v>#N/A</v>
      </c>
      <c r="CF643" t="e">
        <v>#N/A</v>
      </c>
    </row>
    <row r="644" spans="2:84">
      <c r="B644">
        <v>632</v>
      </c>
      <c r="C644" t="e">
        <f>IF(ISNUMBER(K644),IF('Lab test'!N635&gt;0,'Lab test'!N635,NA()),NA())</f>
        <v>#N/A</v>
      </c>
      <c r="D644" t="e">
        <f>IF(ISNUMBER(K644),IF('Lab test'!Q635&gt;0,'Lab test'!Q635,NA()),NA())</f>
        <v>#N/A</v>
      </c>
      <c r="E644" t="e">
        <f>IF(ISNUMBER(K644),IF('Lab test'!P635&gt;0,'Lab test'!P635,NA()),NA())</f>
        <v>#N/A</v>
      </c>
      <c r="F644" t="e">
        <f>IF(ISNUMBER(K644),IF('Lab test'!AJ635&gt;0,'Lab test'!AJ635,NA()),NA())</f>
        <v>#N/A</v>
      </c>
      <c r="G644">
        <f>IF('Lab test'!V635&gt;0,'Lab test'!V635,NA())</f>
        <v>84800.824394887051</v>
      </c>
      <c r="H644">
        <f>IF(MAX('Lab test'!W635,'Lab test'!X635)&gt;0,MAX('Lab test'!W635,'Lab test'!X635),NA())</f>
        <v>311.64302965120993</v>
      </c>
      <c r="I644">
        <f>IF('Lab test'!AU635&gt;0,'Lab test'!AU635,NA())</f>
        <v>0.59943327954300518</v>
      </c>
      <c r="J644">
        <f>IF('Lab test'!AT635&gt;0,'Lab test'!AT635,NA())</f>
        <v>0.56581817779648536</v>
      </c>
      <c r="K644" t="e">
        <f t="shared" si="225"/>
        <v>#N/A</v>
      </c>
      <c r="L644" t="str">
        <f>'Lab test'!AC635</f>
        <v>Machined</v>
      </c>
      <c r="X644" t="e">
        <v>#N/A</v>
      </c>
      <c r="Z644" t="e">
        <f t="shared" si="215"/>
        <v>#N/A</v>
      </c>
      <c r="AB644" t="e">
        <f t="shared" si="227"/>
        <v>#N/A</v>
      </c>
      <c r="AC644" t="e">
        <f t="shared" si="216"/>
        <v>#N/A</v>
      </c>
      <c r="AE644" t="e">
        <v>#N/A</v>
      </c>
      <c r="AF644" t="e">
        <v>#N/A</v>
      </c>
      <c r="AP644" t="e">
        <v>#N/A</v>
      </c>
      <c r="AR644" t="e">
        <f t="shared" si="217"/>
        <v>#N/A</v>
      </c>
      <c r="AT644" t="e">
        <f t="shared" si="218"/>
        <v>#N/A</v>
      </c>
      <c r="AU644" t="e">
        <f t="shared" si="219"/>
        <v>#N/A</v>
      </c>
      <c r="AW644" t="e">
        <v>#N/A</v>
      </c>
      <c r="AX644" t="e">
        <v>#N/A</v>
      </c>
      <c r="BG644" t="e">
        <v>#N/A</v>
      </c>
      <c r="BI644" t="e">
        <f t="shared" si="220"/>
        <v>#N/A</v>
      </c>
      <c r="BK644" t="e">
        <f t="shared" si="221"/>
        <v>#N/A</v>
      </c>
      <c r="BL644" t="e">
        <f t="shared" si="222"/>
        <v>#N/A</v>
      </c>
      <c r="BN644" t="e">
        <v>#N/A</v>
      </c>
      <c r="BO644" t="e">
        <v>#N/A</v>
      </c>
      <c r="BX644" t="e">
        <v>#N/A</v>
      </c>
      <c r="BZ644" t="e">
        <f t="shared" si="223"/>
        <v>#N/A</v>
      </c>
      <c r="CB644" t="e">
        <f t="shared" si="226"/>
        <v>#N/A</v>
      </c>
      <c r="CC644" t="e">
        <f t="shared" si="224"/>
        <v>#N/A</v>
      </c>
      <c r="CE644" t="e">
        <v>#N/A</v>
      </c>
      <c r="CF644" t="e">
        <v>#N/A</v>
      </c>
    </row>
    <row r="645" spans="2:84">
      <c r="B645">
        <v>633</v>
      </c>
      <c r="C645" t="e">
        <f>IF(ISNUMBER(K645),IF('Lab test'!N636&gt;0,'Lab test'!N636,NA()),NA())</f>
        <v>#N/A</v>
      </c>
      <c r="D645" t="e">
        <f>IF(ISNUMBER(K645),IF('Lab test'!Q636&gt;0,'Lab test'!Q636,NA()),NA())</f>
        <v>#N/A</v>
      </c>
      <c r="E645" t="e">
        <f>IF(ISNUMBER(K645),IF('Lab test'!P636&gt;0,'Lab test'!P636,NA()),NA())</f>
        <v>#N/A</v>
      </c>
      <c r="F645" t="e">
        <f>IF(ISNUMBER(K645),IF('Lab test'!AJ636&gt;0,'Lab test'!AJ636,NA()),NA())</f>
        <v>#N/A</v>
      </c>
      <c r="G645">
        <f>IF('Lab test'!V636&gt;0,'Lab test'!V636,NA())</f>
        <v>84800.824394887051</v>
      </c>
      <c r="H645">
        <f>IF(MAX('Lab test'!W636,'Lab test'!X636)&gt;0,MAX('Lab test'!W636,'Lab test'!X636),NA())</f>
        <v>311.64302965120993</v>
      </c>
      <c r="I645">
        <f>IF('Lab test'!AU636&gt;0,'Lab test'!AU636,NA())</f>
        <v>0.47452014010224142</v>
      </c>
      <c r="J645">
        <f>IF('Lab test'!AT636&gt;0,'Lab test'!AT636,NA())</f>
        <v>0.57456114089363219</v>
      </c>
      <c r="K645" t="e">
        <f t="shared" si="225"/>
        <v>#N/A</v>
      </c>
      <c r="L645" t="str">
        <f>'Lab test'!AC636</f>
        <v>Machined</v>
      </c>
      <c r="X645" t="e">
        <v>#N/A</v>
      </c>
      <c r="Z645" t="e">
        <f t="shared" si="215"/>
        <v>#N/A</v>
      </c>
      <c r="AB645" t="e">
        <f t="shared" si="227"/>
        <v>#N/A</v>
      </c>
      <c r="AC645" t="e">
        <f t="shared" si="216"/>
        <v>#N/A</v>
      </c>
      <c r="AE645" t="e">
        <v>#N/A</v>
      </c>
      <c r="AF645" t="e">
        <v>#N/A</v>
      </c>
      <c r="AP645" t="e">
        <v>#N/A</v>
      </c>
      <c r="AR645" t="e">
        <f t="shared" si="217"/>
        <v>#N/A</v>
      </c>
      <c r="AT645" t="e">
        <f t="shared" si="218"/>
        <v>#N/A</v>
      </c>
      <c r="AU645" t="e">
        <f t="shared" si="219"/>
        <v>#N/A</v>
      </c>
      <c r="AW645" t="e">
        <v>#N/A</v>
      </c>
      <c r="AX645" t="e">
        <v>#N/A</v>
      </c>
      <c r="BG645" t="e">
        <v>#N/A</v>
      </c>
      <c r="BI645" t="e">
        <f t="shared" si="220"/>
        <v>#N/A</v>
      </c>
      <c r="BK645" t="e">
        <f t="shared" si="221"/>
        <v>#N/A</v>
      </c>
      <c r="BL645" t="e">
        <f t="shared" si="222"/>
        <v>#N/A</v>
      </c>
      <c r="BN645" t="e">
        <v>#N/A</v>
      </c>
      <c r="BO645" t="e">
        <v>#N/A</v>
      </c>
      <c r="BX645" t="e">
        <v>#N/A</v>
      </c>
      <c r="BZ645" t="e">
        <f t="shared" si="223"/>
        <v>#N/A</v>
      </c>
      <c r="CB645" t="e">
        <f t="shared" si="226"/>
        <v>#N/A</v>
      </c>
      <c r="CC645" t="e">
        <f t="shared" si="224"/>
        <v>#N/A</v>
      </c>
      <c r="CE645" t="e">
        <v>#N/A</v>
      </c>
      <c r="CF645" t="e">
        <v>#N/A</v>
      </c>
    </row>
    <row r="646" spans="2:84">
      <c r="B646">
        <v>634</v>
      </c>
      <c r="C646" t="e">
        <f>IF(ISNUMBER(K646),IF('Lab test'!N637&gt;0,'Lab test'!N637,NA()),NA())</f>
        <v>#N/A</v>
      </c>
      <c r="D646" t="e">
        <f>IF(ISNUMBER(K646),IF('Lab test'!Q637&gt;0,'Lab test'!Q637,NA()),NA())</f>
        <v>#N/A</v>
      </c>
      <c r="E646" t="e">
        <f>IF(ISNUMBER(K646),IF('Lab test'!P637&gt;0,'Lab test'!P637,NA()),NA())</f>
        <v>#N/A</v>
      </c>
      <c r="F646" t="e">
        <f>IF(ISNUMBER(K646),IF('Lab test'!AJ637&gt;0,'Lab test'!AJ637,NA()),NA())</f>
        <v>#N/A</v>
      </c>
      <c r="G646">
        <f>IF('Lab test'!V637&gt;0,'Lab test'!V637,NA())</f>
        <v>84800.824394887051</v>
      </c>
      <c r="H646">
        <f>IF(MAX('Lab test'!W637,'Lab test'!X637)&gt;0,MAX('Lab test'!W637,'Lab test'!X637),NA())</f>
        <v>311.64302965120993</v>
      </c>
      <c r="I646">
        <f>IF('Lab test'!AU637&gt;0,'Lab test'!AU637,NA())</f>
        <v>0.41147872227061655</v>
      </c>
      <c r="J646">
        <f>IF('Lab test'!AT637&gt;0,'Lab test'!AT637,NA())</f>
        <v>0.61089266838519762</v>
      </c>
      <c r="K646" t="e">
        <f t="shared" si="225"/>
        <v>#N/A</v>
      </c>
      <c r="L646" t="str">
        <f>'Lab test'!AC637</f>
        <v>Machined</v>
      </c>
      <c r="X646" t="e">
        <v>#N/A</v>
      </c>
      <c r="Z646" t="e">
        <f t="shared" si="215"/>
        <v>#N/A</v>
      </c>
      <c r="AB646" t="e">
        <f t="shared" si="227"/>
        <v>#N/A</v>
      </c>
      <c r="AC646" t="e">
        <f t="shared" si="216"/>
        <v>#N/A</v>
      </c>
      <c r="AE646" t="e">
        <v>#N/A</v>
      </c>
      <c r="AF646" t="e">
        <v>#N/A</v>
      </c>
      <c r="AP646" t="e">
        <v>#N/A</v>
      </c>
      <c r="AR646" t="e">
        <f t="shared" si="217"/>
        <v>#N/A</v>
      </c>
      <c r="AT646" t="e">
        <f t="shared" si="218"/>
        <v>#N/A</v>
      </c>
      <c r="AU646" t="e">
        <f t="shared" si="219"/>
        <v>#N/A</v>
      </c>
      <c r="AW646" t="e">
        <v>#N/A</v>
      </c>
      <c r="AX646" t="e">
        <v>#N/A</v>
      </c>
      <c r="BG646" t="e">
        <v>#N/A</v>
      </c>
      <c r="BI646" t="e">
        <f t="shared" si="220"/>
        <v>#N/A</v>
      </c>
      <c r="BK646" t="e">
        <f t="shared" si="221"/>
        <v>#N/A</v>
      </c>
      <c r="BL646" t="e">
        <f t="shared" si="222"/>
        <v>#N/A</v>
      </c>
      <c r="BN646" t="e">
        <v>#N/A</v>
      </c>
      <c r="BO646" t="e">
        <v>#N/A</v>
      </c>
      <c r="BX646" t="e">
        <v>#N/A</v>
      </c>
      <c r="BZ646" t="e">
        <f t="shared" si="223"/>
        <v>#N/A</v>
      </c>
      <c r="CB646" t="e">
        <f t="shared" si="226"/>
        <v>#N/A</v>
      </c>
      <c r="CC646" t="e">
        <f t="shared" si="224"/>
        <v>#N/A</v>
      </c>
      <c r="CE646" t="e">
        <v>#N/A</v>
      </c>
      <c r="CF646" t="e">
        <v>#N/A</v>
      </c>
    </row>
    <row r="647" spans="2:84">
      <c r="B647">
        <v>635</v>
      </c>
      <c r="C647" t="e">
        <f>IF(ISNUMBER(K647),IF('Lab test'!N638&gt;0,'Lab test'!N638,NA()),NA())</f>
        <v>#N/A</v>
      </c>
      <c r="D647" t="e">
        <f>IF(ISNUMBER(K647),IF('Lab test'!Q638&gt;0,'Lab test'!Q638,NA()),NA())</f>
        <v>#N/A</v>
      </c>
      <c r="E647" t="e">
        <f>IF(ISNUMBER(K647),IF('Lab test'!P638&gt;0,'Lab test'!P638,NA()),NA())</f>
        <v>#N/A</v>
      </c>
      <c r="F647" t="e">
        <f>IF(ISNUMBER(K647),IF('Lab test'!AJ638&gt;0,'Lab test'!AJ638,NA()),NA())</f>
        <v>#N/A</v>
      </c>
      <c r="G647">
        <f>IF('Lab test'!V638&gt;0,'Lab test'!V638,NA())</f>
        <v>84800.824394887051</v>
      </c>
      <c r="H647">
        <f>IF(MAX('Lab test'!W638,'Lab test'!X638)&gt;0,MAX('Lab test'!W638,'Lab test'!X638),NA())</f>
        <v>311.64302965120993</v>
      </c>
      <c r="I647">
        <f>IF('Lab test'!AU638&gt;0,'Lab test'!AU638,NA())</f>
        <v>0.43648770803450215</v>
      </c>
      <c r="J647">
        <f>IF('Lab test'!AT638&gt;0,'Lab test'!AT638,NA())</f>
        <v>0.69201826417221346</v>
      </c>
      <c r="K647" t="e">
        <f t="shared" si="225"/>
        <v>#N/A</v>
      </c>
      <c r="L647" t="str">
        <f>'Lab test'!AC638</f>
        <v>Machined</v>
      </c>
      <c r="X647" t="e">
        <v>#N/A</v>
      </c>
      <c r="Z647" t="e">
        <f t="shared" si="215"/>
        <v>#N/A</v>
      </c>
      <c r="AB647" t="e">
        <f t="shared" si="227"/>
        <v>#N/A</v>
      </c>
      <c r="AC647" t="e">
        <f t="shared" si="216"/>
        <v>#N/A</v>
      </c>
      <c r="AE647" t="e">
        <v>#N/A</v>
      </c>
      <c r="AF647" t="e">
        <v>#N/A</v>
      </c>
      <c r="AP647" t="e">
        <v>#N/A</v>
      </c>
      <c r="AR647" t="e">
        <f t="shared" si="217"/>
        <v>#N/A</v>
      </c>
      <c r="AT647" t="e">
        <f t="shared" si="218"/>
        <v>#N/A</v>
      </c>
      <c r="AU647" t="e">
        <f t="shared" si="219"/>
        <v>#N/A</v>
      </c>
      <c r="AW647" t="e">
        <v>#N/A</v>
      </c>
      <c r="AX647" t="e">
        <v>#N/A</v>
      </c>
      <c r="BG647" t="e">
        <v>#N/A</v>
      </c>
      <c r="BI647" t="e">
        <f t="shared" si="220"/>
        <v>#N/A</v>
      </c>
      <c r="BK647" t="e">
        <f t="shared" si="221"/>
        <v>#N/A</v>
      </c>
      <c r="BL647" t="e">
        <f t="shared" si="222"/>
        <v>#N/A</v>
      </c>
      <c r="BN647" t="e">
        <v>#N/A</v>
      </c>
      <c r="BO647" t="e">
        <v>#N/A</v>
      </c>
      <c r="BX647" t="e">
        <v>#N/A</v>
      </c>
      <c r="BZ647" t="e">
        <f t="shared" si="223"/>
        <v>#N/A</v>
      </c>
      <c r="CB647" t="e">
        <f t="shared" si="226"/>
        <v>#N/A</v>
      </c>
      <c r="CC647" t="e">
        <f t="shared" si="224"/>
        <v>#N/A</v>
      </c>
      <c r="CE647" t="e">
        <v>#N/A</v>
      </c>
      <c r="CF647" t="e">
        <v>#N/A</v>
      </c>
    </row>
    <row r="648" spans="2:84">
      <c r="B648">
        <v>636</v>
      </c>
      <c r="C648" t="e">
        <f>IF(ISNUMBER(K648),IF('Lab test'!N639&gt;0,'Lab test'!N639,NA()),NA())</f>
        <v>#N/A</v>
      </c>
      <c r="D648" t="e">
        <f>IF(ISNUMBER(K648),IF('Lab test'!Q639&gt;0,'Lab test'!Q639,NA()),NA())</f>
        <v>#N/A</v>
      </c>
      <c r="E648" t="e">
        <f>IF(ISNUMBER(K648),IF('Lab test'!P639&gt;0,'Lab test'!P639,NA()),NA())</f>
        <v>#N/A</v>
      </c>
      <c r="F648" t="e">
        <f>IF(ISNUMBER(K648),IF('Lab test'!AJ639&gt;0,'Lab test'!AJ639,NA()),NA())</f>
        <v>#N/A</v>
      </c>
      <c r="G648">
        <f>IF('Lab test'!V639&gt;0,'Lab test'!V639,NA())</f>
        <v>84800.824394887051</v>
      </c>
      <c r="H648">
        <f>IF(MAX('Lab test'!W639,'Lab test'!X639)&gt;0,MAX('Lab test'!W639,'Lab test'!X639),NA())</f>
        <v>311.64302965120993</v>
      </c>
      <c r="I648">
        <f>IF('Lab test'!AU639&gt;0,'Lab test'!AU639,NA())</f>
        <v>0.42205831742746502</v>
      </c>
      <c r="J648">
        <f>IF('Lab test'!AT639&gt;0,'Lab test'!AT639,NA())</f>
        <v>0.62659942736446694</v>
      </c>
      <c r="K648" t="e">
        <f t="shared" si="225"/>
        <v>#N/A</v>
      </c>
      <c r="L648" t="str">
        <f>'Lab test'!AC639</f>
        <v>Machined</v>
      </c>
      <c r="X648" t="e">
        <v>#N/A</v>
      </c>
      <c r="Z648" t="e">
        <f t="shared" si="215"/>
        <v>#N/A</v>
      </c>
      <c r="AB648" t="e">
        <f t="shared" si="227"/>
        <v>#N/A</v>
      </c>
      <c r="AC648" t="e">
        <f t="shared" si="216"/>
        <v>#N/A</v>
      </c>
      <c r="AE648" t="e">
        <v>#N/A</v>
      </c>
      <c r="AF648" t="e">
        <v>#N/A</v>
      </c>
      <c r="AP648" t="e">
        <v>#N/A</v>
      </c>
      <c r="AR648" t="e">
        <f t="shared" si="217"/>
        <v>#N/A</v>
      </c>
      <c r="AT648" t="e">
        <f t="shared" si="218"/>
        <v>#N/A</v>
      </c>
      <c r="AU648" t="e">
        <f t="shared" si="219"/>
        <v>#N/A</v>
      </c>
      <c r="AW648" t="e">
        <v>#N/A</v>
      </c>
      <c r="AX648" t="e">
        <v>#N/A</v>
      </c>
      <c r="BG648" t="e">
        <v>#N/A</v>
      </c>
      <c r="BI648" t="e">
        <f t="shared" si="220"/>
        <v>#N/A</v>
      </c>
      <c r="BK648" t="e">
        <f t="shared" si="221"/>
        <v>#N/A</v>
      </c>
      <c r="BL648" t="e">
        <f t="shared" si="222"/>
        <v>#N/A</v>
      </c>
      <c r="BN648" t="e">
        <v>#N/A</v>
      </c>
      <c r="BO648" t="e">
        <v>#N/A</v>
      </c>
      <c r="BX648" t="e">
        <v>#N/A</v>
      </c>
      <c r="BZ648" t="e">
        <f t="shared" si="223"/>
        <v>#N/A</v>
      </c>
      <c r="CB648" t="e">
        <f t="shared" si="226"/>
        <v>#N/A</v>
      </c>
      <c r="CC648" t="e">
        <f t="shared" si="224"/>
        <v>#N/A</v>
      </c>
      <c r="CE648" t="e">
        <v>#N/A</v>
      </c>
      <c r="CF648" t="e">
        <v>#N/A</v>
      </c>
    </row>
    <row r="649" spans="2:84">
      <c r="B649">
        <v>637</v>
      </c>
      <c r="C649" t="e">
        <f>IF(ISNUMBER(K649),IF('Lab test'!N640&gt;0,'Lab test'!N640,NA()),NA())</f>
        <v>#N/A</v>
      </c>
      <c r="D649" t="e">
        <f>IF(ISNUMBER(K649),IF('Lab test'!Q640&gt;0,'Lab test'!Q640,NA()),NA())</f>
        <v>#N/A</v>
      </c>
      <c r="E649" t="e">
        <f>IF(ISNUMBER(K649),IF('Lab test'!P640&gt;0,'Lab test'!P640,NA()),NA())</f>
        <v>#N/A</v>
      </c>
      <c r="F649" t="e">
        <f>IF(ISNUMBER(K649),IF('Lab test'!AJ640&gt;0,'Lab test'!AJ640,NA()),NA())</f>
        <v>#N/A</v>
      </c>
      <c r="G649">
        <f>IF('Lab test'!V640&gt;0,'Lab test'!V640,NA())</f>
        <v>84800.824394887051</v>
      </c>
      <c r="H649">
        <f>IF(MAX('Lab test'!W640,'Lab test'!X640)&gt;0,MAX('Lab test'!W640,'Lab test'!X640),NA())</f>
        <v>311.64302965120993</v>
      </c>
      <c r="I649">
        <f>IF('Lab test'!AU640&gt;0,'Lab test'!AU640,NA())</f>
        <v>0.13837693892294989</v>
      </c>
      <c r="J649">
        <f>IF('Lab test'!AT640&gt;0,'Lab test'!AT640,NA())</f>
        <v>0.3995127374123762</v>
      </c>
      <c r="K649" t="e">
        <f t="shared" si="225"/>
        <v>#N/A</v>
      </c>
      <c r="L649" t="str">
        <f>'Lab test'!AC640</f>
        <v>Machined</v>
      </c>
      <c r="X649" t="e">
        <v>#N/A</v>
      </c>
      <c r="Z649" t="e">
        <f t="shared" si="215"/>
        <v>#N/A</v>
      </c>
      <c r="AB649" t="e">
        <f t="shared" si="227"/>
        <v>#N/A</v>
      </c>
      <c r="AC649" t="e">
        <f t="shared" si="216"/>
        <v>#N/A</v>
      </c>
      <c r="AE649" t="e">
        <v>#N/A</v>
      </c>
      <c r="AF649" t="e">
        <v>#N/A</v>
      </c>
      <c r="AP649" t="e">
        <v>#N/A</v>
      </c>
      <c r="AR649" t="e">
        <f t="shared" si="217"/>
        <v>#N/A</v>
      </c>
      <c r="AT649" t="e">
        <f t="shared" si="218"/>
        <v>#N/A</v>
      </c>
      <c r="AU649" t="e">
        <f t="shared" si="219"/>
        <v>#N/A</v>
      </c>
      <c r="AW649" t="e">
        <v>#N/A</v>
      </c>
      <c r="AX649" t="e">
        <v>#N/A</v>
      </c>
      <c r="BG649" t="e">
        <v>#N/A</v>
      </c>
      <c r="BI649" t="e">
        <f t="shared" si="220"/>
        <v>#N/A</v>
      </c>
      <c r="BK649" t="e">
        <f t="shared" si="221"/>
        <v>#N/A</v>
      </c>
      <c r="BL649" t="e">
        <f t="shared" si="222"/>
        <v>#N/A</v>
      </c>
      <c r="BN649" t="e">
        <v>#N/A</v>
      </c>
      <c r="BO649" t="e">
        <v>#N/A</v>
      </c>
      <c r="BX649" t="e">
        <v>#N/A</v>
      </c>
      <c r="BZ649" t="e">
        <f t="shared" si="223"/>
        <v>#N/A</v>
      </c>
      <c r="CB649" t="e">
        <f t="shared" si="226"/>
        <v>#N/A</v>
      </c>
      <c r="CC649" t="e">
        <f t="shared" si="224"/>
        <v>#N/A</v>
      </c>
      <c r="CE649" t="e">
        <v>#N/A</v>
      </c>
      <c r="CF649" t="e">
        <v>#N/A</v>
      </c>
    </row>
    <row r="650" spans="2:84">
      <c r="B650">
        <v>638</v>
      </c>
      <c r="C650" t="e">
        <f>IF(ISNUMBER(K650),IF('Lab test'!N641&gt;0,'Lab test'!N641,NA()),NA())</f>
        <v>#N/A</v>
      </c>
      <c r="D650" t="e">
        <f>IF(ISNUMBER(K650),IF('Lab test'!Q641&gt;0,'Lab test'!Q641,NA()),NA())</f>
        <v>#N/A</v>
      </c>
      <c r="E650" t="e">
        <f>IF(ISNUMBER(K650),IF('Lab test'!P641&gt;0,'Lab test'!P641,NA()),NA())</f>
        <v>#N/A</v>
      </c>
      <c r="F650" t="e">
        <f>IF(ISNUMBER(K650),IF('Lab test'!AJ641&gt;0,'Lab test'!AJ641,NA()),NA())</f>
        <v>#N/A</v>
      </c>
      <c r="G650">
        <f>IF('Lab test'!V641&gt;0,'Lab test'!V641,NA())</f>
        <v>84800.824394887051</v>
      </c>
      <c r="H650">
        <f>IF(MAX('Lab test'!W641,'Lab test'!X641)&gt;0,MAX('Lab test'!W641,'Lab test'!X641),NA())</f>
        <v>311.64302965120993</v>
      </c>
      <c r="I650">
        <f>IF('Lab test'!AU641&gt;0,'Lab test'!AU641,NA())</f>
        <v>7.4429044293290128E-2</v>
      </c>
      <c r="J650">
        <f>IF('Lab test'!AT641&gt;0,'Lab test'!AT641,NA())</f>
        <v>0.26710358938624168</v>
      </c>
      <c r="K650" t="e">
        <f t="shared" si="225"/>
        <v>#N/A</v>
      </c>
      <c r="L650" t="str">
        <f>'Lab test'!AC641</f>
        <v>Machined</v>
      </c>
      <c r="X650" t="e">
        <v>#N/A</v>
      </c>
      <c r="Z650" t="e">
        <f t="shared" si="215"/>
        <v>#N/A</v>
      </c>
      <c r="AB650" t="e">
        <f t="shared" si="227"/>
        <v>#N/A</v>
      </c>
      <c r="AC650" t="e">
        <f t="shared" si="216"/>
        <v>#N/A</v>
      </c>
      <c r="AE650" t="e">
        <v>#N/A</v>
      </c>
      <c r="AF650" t="e">
        <v>#N/A</v>
      </c>
      <c r="AP650" t="e">
        <v>#N/A</v>
      </c>
      <c r="AR650" t="e">
        <f t="shared" si="217"/>
        <v>#N/A</v>
      </c>
      <c r="AT650" t="e">
        <f t="shared" si="218"/>
        <v>#N/A</v>
      </c>
      <c r="AU650" t="e">
        <f t="shared" si="219"/>
        <v>#N/A</v>
      </c>
      <c r="AW650" t="e">
        <v>#N/A</v>
      </c>
      <c r="AX650" t="e">
        <v>#N/A</v>
      </c>
      <c r="BG650" t="e">
        <v>#N/A</v>
      </c>
      <c r="BI650" t="e">
        <f t="shared" si="220"/>
        <v>#N/A</v>
      </c>
      <c r="BK650" t="e">
        <f t="shared" si="221"/>
        <v>#N/A</v>
      </c>
      <c r="BL650" t="e">
        <f t="shared" si="222"/>
        <v>#N/A</v>
      </c>
      <c r="BN650" t="e">
        <v>#N/A</v>
      </c>
      <c r="BO650" t="e">
        <v>#N/A</v>
      </c>
      <c r="BX650" t="e">
        <v>#N/A</v>
      </c>
      <c r="BZ650" t="e">
        <f t="shared" si="223"/>
        <v>#N/A</v>
      </c>
      <c r="CB650" t="e">
        <f t="shared" si="226"/>
        <v>#N/A</v>
      </c>
      <c r="CC650" t="e">
        <f t="shared" si="224"/>
        <v>#N/A</v>
      </c>
      <c r="CE650" t="e">
        <v>#N/A</v>
      </c>
      <c r="CF650" t="e">
        <v>#N/A</v>
      </c>
    </row>
    <row r="651" spans="2:84">
      <c r="B651">
        <v>639</v>
      </c>
      <c r="C651" t="e">
        <f>IF(ISNUMBER(K651),IF('Lab test'!N642&gt;0,'Lab test'!N642,NA()),NA())</f>
        <v>#N/A</v>
      </c>
      <c r="D651" t="e">
        <f>IF(ISNUMBER(K651),IF('Lab test'!Q642&gt;0,'Lab test'!Q642,NA()),NA())</f>
        <v>#N/A</v>
      </c>
      <c r="E651" t="e">
        <f>IF(ISNUMBER(K651),IF('Lab test'!P642&gt;0,'Lab test'!P642,NA()),NA())</f>
        <v>#N/A</v>
      </c>
      <c r="F651" t="e">
        <f>IF(ISNUMBER(K651),IF('Lab test'!AJ642&gt;0,'Lab test'!AJ642,NA()),NA())</f>
        <v>#N/A</v>
      </c>
      <c r="G651">
        <f>IF('Lab test'!V642&gt;0,'Lab test'!V642,NA())</f>
        <v>84800.824394887051</v>
      </c>
      <c r="H651">
        <f>IF(MAX('Lab test'!W642,'Lab test'!X642)&gt;0,MAX('Lab test'!W642,'Lab test'!X642),NA())</f>
        <v>311.64302965120993</v>
      </c>
      <c r="I651">
        <f>IF('Lab test'!AU642&gt;0,'Lab test'!AU642,NA())</f>
        <v>4.648752281897358E-2</v>
      </c>
      <c r="J651">
        <f>IF('Lab test'!AT642&gt;0,'Lab test'!AT642,NA())</f>
        <v>0.17760214195967022</v>
      </c>
      <c r="K651" t="e">
        <f t="shared" si="225"/>
        <v>#N/A</v>
      </c>
      <c r="L651" t="str">
        <f>'Lab test'!AC642</f>
        <v>Machined</v>
      </c>
      <c r="X651" t="e">
        <v>#N/A</v>
      </c>
      <c r="Z651" t="e">
        <f t="shared" si="215"/>
        <v>#N/A</v>
      </c>
      <c r="AB651" t="e">
        <f t="shared" si="227"/>
        <v>#N/A</v>
      </c>
      <c r="AC651" t="e">
        <f t="shared" si="216"/>
        <v>#N/A</v>
      </c>
      <c r="AE651" t="e">
        <v>#N/A</v>
      </c>
      <c r="AF651" t="e">
        <v>#N/A</v>
      </c>
      <c r="AP651" t="e">
        <v>#N/A</v>
      </c>
      <c r="AR651" t="e">
        <f t="shared" si="217"/>
        <v>#N/A</v>
      </c>
      <c r="AT651" t="e">
        <f t="shared" si="218"/>
        <v>#N/A</v>
      </c>
      <c r="AU651" t="e">
        <f t="shared" si="219"/>
        <v>#N/A</v>
      </c>
      <c r="AW651" t="e">
        <v>#N/A</v>
      </c>
      <c r="AX651" t="e">
        <v>#N/A</v>
      </c>
      <c r="BG651" t="e">
        <v>#N/A</v>
      </c>
      <c r="BI651" t="e">
        <f t="shared" si="220"/>
        <v>#N/A</v>
      </c>
      <c r="BK651" t="e">
        <f t="shared" si="221"/>
        <v>#N/A</v>
      </c>
      <c r="BL651" t="e">
        <f t="shared" si="222"/>
        <v>#N/A</v>
      </c>
      <c r="BN651" t="e">
        <v>#N/A</v>
      </c>
      <c r="BO651" t="e">
        <v>#N/A</v>
      </c>
      <c r="BX651" t="e">
        <v>#N/A</v>
      </c>
      <c r="BZ651" t="e">
        <f t="shared" si="223"/>
        <v>#N/A</v>
      </c>
      <c r="CB651" t="e">
        <f t="shared" si="226"/>
        <v>#N/A</v>
      </c>
      <c r="CC651" t="e">
        <f t="shared" si="224"/>
        <v>#N/A</v>
      </c>
      <c r="CE651" t="e">
        <v>#N/A</v>
      </c>
      <c r="CF651" t="e">
        <v>#N/A</v>
      </c>
    </row>
    <row r="652" spans="2:84">
      <c r="B652">
        <v>640</v>
      </c>
      <c r="C652" t="e">
        <f>IF(ISNUMBER(K652),IF('Lab test'!N643&gt;0,'Lab test'!N643,NA()),NA())</f>
        <v>#N/A</v>
      </c>
      <c r="D652" t="e">
        <f>IF(ISNUMBER(K652),IF('Lab test'!Q643&gt;0,'Lab test'!Q643,NA()),NA())</f>
        <v>#N/A</v>
      </c>
      <c r="E652" t="e">
        <f>IF(ISNUMBER(K652),IF('Lab test'!P643&gt;0,'Lab test'!P643,NA()),NA())</f>
        <v>#N/A</v>
      </c>
      <c r="F652" t="e">
        <f>IF(ISNUMBER(K652),IF('Lab test'!AJ643&gt;0,'Lab test'!AJ643,NA()),NA())</f>
        <v>#N/A</v>
      </c>
      <c r="G652">
        <f>IF('Lab test'!V643&gt;0,'Lab test'!V643,NA())</f>
        <v>76545.876887420178</v>
      </c>
      <c r="H652">
        <f>IF(MAX('Lab test'!W643,'Lab test'!X643)&gt;0,MAX('Lab test'!W643,'Lab test'!X643),NA())</f>
        <v>281.30609756126915</v>
      </c>
      <c r="I652">
        <f>IF('Lab test'!AU643&gt;0,'Lab test'!AU643,NA())</f>
        <v>1.1842241731176193</v>
      </c>
      <c r="J652">
        <f>IF('Lab test'!AT643&gt;0,'Lab test'!AT643,NA())</f>
        <v>0.13917617870188029</v>
      </c>
      <c r="K652" t="e">
        <f t="shared" si="225"/>
        <v>#N/A</v>
      </c>
      <c r="L652" t="str">
        <f>'Lab test'!AC643</f>
        <v>Machined</v>
      </c>
      <c r="X652" t="e">
        <v>#N/A</v>
      </c>
      <c r="Z652" t="e">
        <f t="shared" si="215"/>
        <v>#N/A</v>
      </c>
      <c r="AB652" t="e">
        <f t="shared" si="227"/>
        <v>#N/A</v>
      </c>
      <c r="AC652" t="e">
        <f t="shared" si="216"/>
        <v>#N/A</v>
      </c>
      <c r="AE652" t="e">
        <v>#N/A</v>
      </c>
      <c r="AF652" t="e">
        <v>#N/A</v>
      </c>
      <c r="AP652" t="e">
        <v>#N/A</v>
      </c>
      <c r="AR652" t="e">
        <f t="shared" si="217"/>
        <v>#N/A</v>
      </c>
      <c r="AT652" t="e">
        <f t="shared" si="218"/>
        <v>#N/A</v>
      </c>
      <c r="AU652" t="e">
        <f t="shared" si="219"/>
        <v>#N/A</v>
      </c>
      <c r="AW652" t="e">
        <v>#N/A</v>
      </c>
      <c r="AX652" t="e">
        <v>#N/A</v>
      </c>
      <c r="BG652" t="e">
        <v>#N/A</v>
      </c>
      <c r="BI652" t="e">
        <f t="shared" si="220"/>
        <v>#N/A</v>
      </c>
      <c r="BK652" t="e">
        <f t="shared" si="221"/>
        <v>#N/A</v>
      </c>
      <c r="BL652" t="e">
        <f t="shared" si="222"/>
        <v>#N/A</v>
      </c>
      <c r="BN652" t="e">
        <v>#N/A</v>
      </c>
      <c r="BO652" t="e">
        <v>#N/A</v>
      </c>
      <c r="BX652" t="e">
        <v>#N/A</v>
      </c>
      <c r="BZ652" t="e">
        <f t="shared" si="223"/>
        <v>#N/A</v>
      </c>
      <c r="CB652" t="e">
        <f t="shared" si="226"/>
        <v>#N/A</v>
      </c>
      <c r="CC652" t="e">
        <f t="shared" si="224"/>
        <v>#N/A</v>
      </c>
      <c r="CE652" t="e">
        <v>#N/A</v>
      </c>
      <c r="CF652" t="e">
        <v>#N/A</v>
      </c>
    </row>
    <row r="653" spans="2:84">
      <c r="B653">
        <v>641</v>
      </c>
      <c r="C653" t="e">
        <f>IF(ISNUMBER(K653),IF('Lab test'!N644&gt;0,'Lab test'!N644,NA()),NA())</f>
        <v>#N/A</v>
      </c>
      <c r="D653" t="e">
        <f>IF(ISNUMBER(K653),IF('Lab test'!Q644&gt;0,'Lab test'!Q644,NA()),NA())</f>
        <v>#N/A</v>
      </c>
      <c r="E653" t="e">
        <f>IF(ISNUMBER(K653),IF('Lab test'!P644&gt;0,'Lab test'!P644,NA()),NA())</f>
        <v>#N/A</v>
      </c>
      <c r="F653" t="e">
        <f>IF(ISNUMBER(K653),IF('Lab test'!AJ644&gt;0,'Lab test'!AJ644,NA()),NA())</f>
        <v>#N/A</v>
      </c>
      <c r="G653">
        <f>IF('Lab test'!V644&gt;0,'Lab test'!V644,NA())</f>
        <v>76545.876887420178</v>
      </c>
      <c r="H653">
        <f>IF(MAX('Lab test'!W644,'Lab test'!X644)&gt;0,MAX('Lab test'!W644,'Lab test'!X644),NA())</f>
        <v>281.30609756126915</v>
      </c>
      <c r="I653">
        <f>IF('Lab test'!AU644&gt;0,'Lab test'!AU644,NA())</f>
        <v>1.163077312883376</v>
      </c>
      <c r="J653">
        <f>IF('Lab test'!AT644&gt;0,'Lab test'!AT644,NA())</f>
        <v>0.13669088979648955</v>
      </c>
      <c r="K653" t="e">
        <f t="shared" si="225"/>
        <v>#N/A</v>
      </c>
      <c r="L653" t="str">
        <f>'Lab test'!AC644</f>
        <v>Machined</v>
      </c>
      <c r="X653" t="e">
        <v>#N/A</v>
      </c>
      <c r="Z653" t="e">
        <f t="shared" ref="Z653:Z654" si="228">IF(X653=X654,NA(),Y653)</f>
        <v>#N/A</v>
      </c>
      <c r="AB653" t="e">
        <f t="shared" si="227"/>
        <v>#N/A</v>
      </c>
      <c r="AC653" t="e">
        <f t="shared" ref="AC653:AC682" si="229">X653</f>
        <v>#N/A</v>
      </c>
      <c r="AE653" t="e">
        <v>#N/A</v>
      </c>
      <c r="AF653" t="e">
        <v>#N/A</v>
      </c>
      <c r="AP653" t="e">
        <v>#N/A</v>
      </c>
      <c r="AR653" t="e">
        <f t="shared" ref="AR653:AR654" si="230">IF(AP653=AP654,NA(),AQ653)</f>
        <v>#N/A</v>
      </c>
      <c r="AT653" t="e">
        <f t="shared" ref="AT653:AT682" si="231">AR653</f>
        <v>#N/A</v>
      </c>
      <c r="AU653" t="e">
        <f t="shared" ref="AU653:AU682" si="232">AP653</f>
        <v>#N/A</v>
      </c>
      <c r="AW653" t="e">
        <v>#N/A</v>
      </c>
      <c r="AX653" t="e">
        <v>#N/A</v>
      </c>
      <c r="BG653" t="e">
        <v>#N/A</v>
      </c>
      <c r="BI653" t="e">
        <f t="shared" ref="BI653:BI654" si="233">IF(BG653=BG654,NA(),BH653)</f>
        <v>#N/A</v>
      </c>
      <c r="BK653" t="e">
        <f t="shared" ref="BK653:BK682" si="234">BI653</f>
        <v>#N/A</v>
      </c>
      <c r="BL653" t="e">
        <f t="shared" ref="BL653:BL682" si="235">BG653</f>
        <v>#N/A</v>
      </c>
      <c r="BN653" t="e">
        <v>#N/A</v>
      </c>
      <c r="BO653" t="e">
        <v>#N/A</v>
      </c>
      <c r="BX653" t="e">
        <v>#N/A</v>
      </c>
      <c r="BZ653" t="e">
        <f t="shared" ref="BZ653:BZ654" si="236">IF(BX653=BX654,NA(),BY653)</f>
        <v>#N/A</v>
      </c>
      <c r="CB653" t="e">
        <f t="shared" si="226"/>
        <v>#N/A</v>
      </c>
      <c r="CC653" t="e">
        <f t="shared" ref="CC653:CC682" si="237">BX653</f>
        <v>#N/A</v>
      </c>
      <c r="CE653" t="e">
        <v>#N/A</v>
      </c>
      <c r="CF653" t="e">
        <v>#N/A</v>
      </c>
    </row>
    <row r="654" spans="2:84">
      <c r="B654">
        <v>642</v>
      </c>
      <c r="C654" t="e">
        <f>IF(ISNUMBER(K654),IF('Lab test'!N645&gt;0,'Lab test'!N645,NA()),NA())</f>
        <v>#N/A</v>
      </c>
      <c r="D654" t="e">
        <f>IF(ISNUMBER(K654),IF('Lab test'!Q645&gt;0,'Lab test'!Q645,NA()),NA())</f>
        <v>#N/A</v>
      </c>
      <c r="E654" t="e">
        <f>IF(ISNUMBER(K654),IF('Lab test'!P645&gt;0,'Lab test'!P645,NA()),NA())</f>
        <v>#N/A</v>
      </c>
      <c r="F654" t="e">
        <f>IF(ISNUMBER(K654),IF('Lab test'!AJ645&gt;0,'Lab test'!AJ645,NA()),NA())</f>
        <v>#N/A</v>
      </c>
      <c r="G654">
        <f>IF('Lab test'!V645&gt;0,'Lab test'!V645,NA())</f>
        <v>76545.876887420178</v>
      </c>
      <c r="H654">
        <f>IF(MAX('Lab test'!W645,'Lab test'!X645)&gt;0,MAX('Lab test'!W645,'Lab test'!X645),NA())</f>
        <v>281.30609756126915</v>
      </c>
      <c r="I654">
        <f>IF('Lab test'!AU645&gt;0,'Lab test'!AU645,NA())</f>
        <v>1.1654269640205142</v>
      </c>
      <c r="J654">
        <f>IF('Lab test'!AT645&gt;0,'Lab test'!AT645,NA())</f>
        <v>0.13696703300819965</v>
      </c>
      <c r="K654" t="e">
        <f t="shared" ref="K654:K682" si="238">IF(AND(OR(ISNUMBER(I654),ISNUMBER(J654)),ISNUMBER(G654),ISNUMBER(H654),L654="LTWb"),1,NA())</f>
        <v>#N/A</v>
      </c>
      <c r="L654" t="str">
        <f>'Lab test'!AC645</f>
        <v>Machined</v>
      </c>
      <c r="X654" t="e">
        <v>#N/A</v>
      </c>
      <c r="Z654" t="e">
        <f t="shared" si="228"/>
        <v>#N/A</v>
      </c>
      <c r="AB654" t="e">
        <f t="shared" si="227"/>
        <v>#N/A</v>
      </c>
      <c r="AC654" t="e">
        <f t="shared" si="229"/>
        <v>#N/A</v>
      </c>
      <c r="AE654" t="e">
        <v>#N/A</v>
      </c>
      <c r="AF654" t="e">
        <v>#N/A</v>
      </c>
      <c r="AP654" t="e">
        <v>#N/A</v>
      </c>
      <c r="AR654" t="e">
        <f t="shared" si="230"/>
        <v>#N/A</v>
      </c>
      <c r="AT654" t="e">
        <f t="shared" si="231"/>
        <v>#N/A</v>
      </c>
      <c r="AU654" t="e">
        <f t="shared" si="232"/>
        <v>#N/A</v>
      </c>
      <c r="AW654" t="e">
        <v>#N/A</v>
      </c>
      <c r="AX654" t="e">
        <v>#N/A</v>
      </c>
      <c r="BG654" t="e">
        <v>#N/A</v>
      </c>
      <c r="BI654" t="e">
        <f t="shared" si="233"/>
        <v>#N/A</v>
      </c>
      <c r="BK654" t="e">
        <f t="shared" si="234"/>
        <v>#N/A</v>
      </c>
      <c r="BL654" t="e">
        <f t="shared" si="235"/>
        <v>#N/A</v>
      </c>
      <c r="BN654" t="e">
        <v>#N/A</v>
      </c>
      <c r="BO654" t="e">
        <v>#N/A</v>
      </c>
      <c r="BX654" t="e">
        <v>#N/A</v>
      </c>
      <c r="BZ654" t="e">
        <f t="shared" si="236"/>
        <v>#N/A</v>
      </c>
      <c r="CB654" t="e">
        <f t="shared" si="226"/>
        <v>#N/A</v>
      </c>
      <c r="CC654" t="e">
        <f t="shared" si="237"/>
        <v>#N/A</v>
      </c>
      <c r="CE654" t="e">
        <v>#N/A</v>
      </c>
      <c r="CF654" t="e">
        <v>#N/A</v>
      </c>
    </row>
    <row r="655" spans="2:84">
      <c r="B655">
        <v>643</v>
      </c>
      <c r="C655" t="e">
        <f>IF(ISNUMBER(K655),IF('Lab test'!N646&gt;0,'Lab test'!N646,NA()),NA())</f>
        <v>#N/A</v>
      </c>
      <c r="D655" t="e">
        <f>IF(ISNUMBER(K655),IF('Lab test'!Q646&gt;0,'Lab test'!Q646,NA()),NA())</f>
        <v>#N/A</v>
      </c>
      <c r="E655" t="e">
        <f>IF(ISNUMBER(K655),IF('Lab test'!P646&gt;0,'Lab test'!P646,NA()),NA())</f>
        <v>#N/A</v>
      </c>
      <c r="F655" t="e">
        <f>IF(ISNUMBER(K655),IF('Lab test'!AJ646&gt;0,'Lab test'!AJ646,NA()),NA())</f>
        <v>#N/A</v>
      </c>
      <c r="G655">
        <f>IF('Lab test'!V646&gt;0,'Lab test'!V646,NA())</f>
        <v>76545.876887420178</v>
      </c>
      <c r="H655">
        <f>IF(MAX('Lab test'!W646,'Lab test'!X646)&gt;0,MAX('Lab test'!W646,'Lab test'!X646),NA())</f>
        <v>281.30609756126915</v>
      </c>
      <c r="I655">
        <f>IF('Lab test'!AU646&gt;0,'Lab test'!AU646,NA())</f>
        <v>1.1202160333442182</v>
      </c>
      <c r="J655">
        <f>IF('Lab test'!AT646&gt;0,'Lab test'!AT646,NA())</f>
        <v>0.17154795035287182</v>
      </c>
      <c r="K655" t="e">
        <f t="shared" si="238"/>
        <v>#N/A</v>
      </c>
      <c r="L655" t="str">
        <f>'Lab test'!AC646</f>
        <v>Machined</v>
      </c>
      <c r="X655" t="e">
        <v>#N/A</v>
      </c>
      <c r="Z655" t="e">
        <f t="shared" ref="Z655:Z682" si="239">IF(X655=X656,NA(),Y655)</f>
        <v>#N/A</v>
      </c>
      <c r="AB655" t="e">
        <f t="shared" si="227"/>
        <v>#N/A</v>
      </c>
      <c r="AC655" t="e">
        <f t="shared" si="229"/>
        <v>#N/A</v>
      </c>
      <c r="AE655" t="e">
        <v>#N/A</v>
      </c>
      <c r="AF655" t="e">
        <v>#N/A</v>
      </c>
      <c r="AP655" t="e">
        <v>#N/A</v>
      </c>
      <c r="AR655" t="e">
        <f t="shared" ref="AR655:AR682" si="240">IF(AP655=AP656,NA(),AQ655)</f>
        <v>#N/A</v>
      </c>
      <c r="AT655" t="e">
        <f t="shared" si="231"/>
        <v>#N/A</v>
      </c>
      <c r="AU655" t="e">
        <f t="shared" si="232"/>
        <v>#N/A</v>
      </c>
      <c r="AW655" t="e">
        <v>#N/A</v>
      </c>
      <c r="AX655" t="e">
        <v>#N/A</v>
      </c>
      <c r="BG655" t="e">
        <v>#N/A</v>
      </c>
      <c r="BI655" t="e">
        <f t="shared" ref="BI655:BI682" si="241">IF(BG655=BG656,NA(),BH655)</f>
        <v>#N/A</v>
      </c>
      <c r="BK655" t="e">
        <f t="shared" si="234"/>
        <v>#N/A</v>
      </c>
      <c r="BL655" t="e">
        <f t="shared" si="235"/>
        <v>#N/A</v>
      </c>
      <c r="BN655" t="e">
        <v>#N/A</v>
      </c>
      <c r="BO655" t="e">
        <v>#N/A</v>
      </c>
      <c r="BX655" t="e">
        <v>#N/A</v>
      </c>
      <c r="BZ655" t="e">
        <f t="shared" ref="BZ655:BZ682" si="242">IF(BX655=BX656,NA(),BY655)</f>
        <v>#N/A</v>
      </c>
      <c r="CB655" t="e">
        <f t="shared" si="226"/>
        <v>#N/A</v>
      </c>
      <c r="CC655" t="e">
        <f t="shared" si="237"/>
        <v>#N/A</v>
      </c>
      <c r="CE655" t="e">
        <v>#N/A</v>
      </c>
      <c r="CF655" t="e">
        <v>#N/A</v>
      </c>
    </row>
    <row r="656" spans="2:84">
      <c r="B656">
        <v>644</v>
      </c>
      <c r="C656" t="e">
        <f>IF(ISNUMBER(K656),IF('Lab test'!N647&gt;0,'Lab test'!N647,NA()),NA())</f>
        <v>#N/A</v>
      </c>
      <c r="D656" t="e">
        <f>IF(ISNUMBER(K656),IF('Lab test'!Q647&gt;0,'Lab test'!Q647,NA()),NA())</f>
        <v>#N/A</v>
      </c>
      <c r="E656" t="e">
        <f>IF(ISNUMBER(K656),IF('Lab test'!P647&gt;0,'Lab test'!P647,NA()),NA())</f>
        <v>#N/A</v>
      </c>
      <c r="F656" t="e">
        <f>IF(ISNUMBER(K656),IF('Lab test'!AJ647&gt;0,'Lab test'!AJ647,NA()),NA())</f>
        <v>#N/A</v>
      </c>
      <c r="G656">
        <f>IF('Lab test'!V647&gt;0,'Lab test'!V647,NA())</f>
        <v>76545.876887420178</v>
      </c>
      <c r="H656">
        <f>IF(MAX('Lab test'!W647,'Lab test'!X647)&gt;0,MAX('Lab test'!W647,'Lab test'!X647),NA())</f>
        <v>281.30609756126915</v>
      </c>
      <c r="I656">
        <f>IF('Lab test'!AU647&gt;0,'Lab test'!AU647,NA())</f>
        <v>1.1227301564840846</v>
      </c>
      <c r="J656">
        <f>IF('Lab test'!AT647&gt;0,'Lab test'!AT647,NA())</f>
        <v>0.20636784683510007</v>
      </c>
      <c r="K656" t="e">
        <f t="shared" si="238"/>
        <v>#N/A</v>
      </c>
      <c r="L656" t="str">
        <f>'Lab test'!AC647</f>
        <v>Machined</v>
      </c>
      <c r="X656" t="e">
        <v>#N/A</v>
      </c>
      <c r="Z656" t="e">
        <f t="shared" si="239"/>
        <v>#N/A</v>
      </c>
      <c r="AB656" t="e">
        <f t="shared" si="227"/>
        <v>#N/A</v>
      </c>
      <c r="AC656" t="e">
        <f t="shared" si="229"/>
        <v>#N/A</v>
      </c>
      <c r="AE656" t="e">
        <v>#N/A</v>
      </c>
      <c r="AF656" t="e">
        <v>#N/A</v>
      </c>
      <c r="AP656" t="e">
        <v>#N/A</v>
      </c>
      <c r="AR656" t="e">
        <f t="shared" si="240"/>
        <v>#N/A</v>
      </c>
      <c r="AT656" t="e">
        <f t="shared" si="231"/>
        <v>#N/A</v>
      </c>
      <c r="AU656" t="e">
        <f t="shared" si="232"/>
        <v>#N/A</v>
      </c>
      <c r="AW656" t="e">
        <v>#N/A</v>
      </c>
      <c r="AX656" t="e">
        <v>#N/A</v>
      </c>
      <c r="BG656" t="e">
        <v>#N/A</v>
      </c>
      <c r="BI656" t="e">
        <f t="shared" si="241"/>
        <v>#N/A</v>
      </c>
      <c r="BK656" t="e">
        <f t="shared" si="234"/>
        <v>#N/A</v>
      </c>
      <c r="BL656" t="e">
        <f t="shared" si="235"/>
        <v>#N/A</v>
      </c>
      <c r="BN656" t="e">
        <v>#N/A</v>
      </c>
      <c r="BO656" t="e">
        <v>#N/A</v>
      </c>
      <c r="BX656" t="e">
        <v>#N/A</v>
      </c>
      <c r="BZ656" t="e">
        <f t="shared" si="242"/>
        <v>#N/A</v>
      </c>
      <c r="CB656" t="e">
        <f t="shared" si="226"/>
        <v>#N/A</v>
      </c>
      <c r="CC656" t="e">
        <f t="shared" si="237"/>
        <v>#N/A</v>
      </c>
      <c r="CE656" t="e">
        <v>#N/A</v>
      </c>
      <c r="CF656" t="e">
        <v>#N/A</v>
      </c>
    </row>
    <row r="657" spans="2:84">
      <c r="B657">
        <v>645</v>
      </c>
      <c r="C657" t="e">
        <f>IF(ISNUMBER(K657),IF('Lab test'!N648&gt;0,'Lab test'!N648,NA()),NA())</f>
        <v>#N/A</v>
      </c>
      <c r="D657" t="e">
        <f>IF(ISNUMBER(K657),IF('Lab test'!Q648&gt;0,'Lab test'!Q648,NA()),NA())</f>
        <v>#N/A</v>
      </c>
      <c r="E657" t="e">
        <f>IF(ISNUMBER(K657),IF('Lab test'!P648&gt;0,'Lab test'!P648,NA()),NA())</f>
        <v>#N/A</v>
      </c>
      <c r="F657" t="e">
        <f>IF(ISNUMBER(K657),IF('Lab test'!AJ648&gt;0,'Lab test'!AJ648,NA()),NA())</f>
        <v>#N/A</v>
      </c>
      <c r="G657">
        <f>IF('Lab test'!V648&gt;0,'Lab test'!V648,NA())</f>
        <v>76545.876887420178</v>
      </c>
      <c r="H657">
        <f>IF(MAX('Lab test'!W648,'Lab test'!X648)&gt;0,MAX('Lab test'!W648,'Lab test'!X648),NA())</f>
        <v>281.30609756126915</v>
      </c>
      <c r="I657">
        <f>IF('Lab test'!AU648&gt;0,'Lab test'!AU648,NA())</f>
        <v>0.96771139078826063</v>
      </c>
      <c r="J657">
        <f>IF('Lab test'!AT648&gt;0,'Lab test'!AT648,NA())</f>
        <v>0.2878682036419668</v>
      </c>
      <c r="K657" t="e">
        <f t="shared" si="238"/>
        <v>#N/A</v>
      </c>
      <c r="L657" t="str">
        <f>'Lab test'!AC648</f>
        <v>Machined</v>
      </c>
      <c r="X657" t="e">
        <v>#N/A</v>
      </c>
      <c r="Z657" t="e">
        <f t="shared" si="239"/>
        <v>#N/A</v>
      </c>
      <c r="AB657" t="e">
        <f t="shared" si="227"/>
        <v>#N/A</v>
      </c>
      <c r="AC657" t="e">
        <f t="shared" si="229"/>
        <v>#N/A</v>
      </c>
      <c r="AE657" t="e">
        <v>#N/A</v>
      </c>
      <c r="AF657" t="e">
        <v>#N/A</v>
      </c>
      <c r="AP657" t="e">
        <v>#N/A</v>
      </c>
      <c r="AR657" t="e">
        <f t="shared" si="240"/>
        <v>#N/A</v>
      </c>
      <c r="AT657" t="e">
        <f t="shared" si="231"/>
        <v>#N/A</v>
      </c>
      <c r="AU657" t="e">
        <f t="shared" si="232"/>
        <v>#N/A</v>
      </c>
      <c r="AW657" t="e">
        <v>#N/A</v>
      </c>
      <c r="AX657" t="e">
        <v>#N/A</v>
      </c>
      <c r="BG657" t="e">
        <v>#N/A</v>
      </c>
      <c r="BI657" t="e">
        <f t="shared" si="241"/>
        <v>#N/A</v>
      </c>
      <c r="BK657" t="e">
        <f t="shared" si="234"/>
        <v>#N/A</v>
      </c>
      <c r="BL657" t="e">
        <f t="shared" si="235"/>
        <v>#N/A</v>
      </c>
      <c r="BN657" t="e">
        <v>#N/A</v>
      </c>
      <c r="BO657" t="e">
        <v>#N/A</v>
      </c>
      <c r="BX657" t="e">
        <v>#N/A</v>
      </c>
      <c r="BZ657" t="e">
        <f t="shared" si="242"/>
        <v>#N/A</v>
      </c>
      <c r="CB657" t="e">
        <f t="shared" si="226"/>
        <v>#N/A</v>
      </c>
      <c r="CC657" t="e">
        <f t="shared" si="237"/>
        <v>#N/A</v>
      </c>
      <c r="CE657" t="e">
        <v>#N/A</v>
      </c>
      <c r="CF657" t="e">
        <v>#N/A</v>
      </c>
    </row>
    <row r="658" spans="2:84">
      <c r="B658">
        <v>646</v>
      </c>
      <c r="C658" t="e">
        <f>IF(ISNUMBER(K658),IF('Lab test'!N649&gt;0,'Lab test'!N649,NA()),NA())</f>
        <v>#N/A</v>
      </c>
      <c r="D658" t="e">
        <f>IF(ISNUMBER(K658),IF('Lab test'!Q649&gt;0,'Lab test'!Q649,NA()),NA())</f>
        <v>#N/A</v>
      </c>
      <c r="E658" t="e">
        <f>IF(ISNUMBER(K658),IF('Lab test'!P649&gt;0,'Lab test'!P649,NA()),NA())</f>
        <v>#N/A</v>
      </c>
      <c r="F658" t="e">
        <f>IF(ISNUMBER(K658),IF('Lab test'!AJ649&gt;0,'Lab test'!AJ649,NA()),NA())</f>
        <v>#N/A</v>
      </c>
      <c r="G658">
        <f>IF('Lab test'!V649&gt;0,'Lab test'!V649,NA())</f>
        <v>76545.876887420178</v>
      </c>
      <c r="H658">
        <f>IF(MAX('Lab test'!W649,'Lab test'!X649)&gt;0,MAX('Lab test'!W649,'Lab test'!X649),NA())</f>
        <v>281.30609756126915</v>
      </c>
      <c r="I658">
        <f>IF('Lab test'!AU649&gt;0,'Lab test'!AU649,NA())</f>
        <v>1.1176821705798701</v>
      </c>
      <c r="J658">
        <f>IF('Lab test'!AT649&gt;0,'Lab test'!AT649,NA())</f>
        <v>0.19862858753496088</v>
      </c>
      <c r="K658" t="e">
        <f t="shared" si="238"/>
        <v>#N/A</v>
      </c>
      <c r="L658" t="str">
        <f>'Lab test'!AC649</f>
        <v>Machined</v>
      </c>
      <c r="X658" t="e">
        <v>#N/A</v>
      </c>
      <c r="Z658" t="e">
        <f t="shared" si="239"/>
        <v>#N/A</v>
      </c>
      <c r="AB658" t="e">
        <f t="shared" si="227"/>
        <v>#N/A</v>
      </c>
      <c r="AC658" t="e">
        <f t="shared" si="229"/>
        <v>#N/A</v>
      </c>
      <c r="AE658" t="e">
        <v>#N/A</v>
      </c>
      <c r="AF658" t="e">
        <v>#N/A</v>
      </c>
      <c r="AP658" t="e">
        <v>#N/A</v>
      </c>
      <c r="AR658" t="e">
        <f t="shared" si="240"/>
        <v>#N/A</v>
      </c>
      <c r="AT658" t="e">
        <f t="shared" si="231"/>
        <v>#N/A</v>
      </c>
      <c r="AU658" t="e">
        <f t="shared" si="232"/>
        <v>#N/A</v>
      </c>
      <c r="AW658" t="e">
        <v>#N/A</v>
      </c>
      <c r="AX658" t="e">
        <v>#N/A</v>
      </c>
      <c r="BG658" t="e">
        <v>#N/A</v>
      </c>
      <c r="BI658" t="e">
        <f t="shared" si="241"/>
        <v>#N/A</v>
      </c>
      <c r="BK658" t="e">
        <f t="shared" si="234"/>
        <v>#N/A</v>
      </c>
      <c r="BL658" t="e">
        <f t="shared" si="235"/>
        <v>#N/A</v>
      </c>
      <c r="BN658" t="e">
        <v>#N/A</v>
      </c>
      <c r="BO658" t="e">
        <v>#N/A</v>
      </c>
      <c r="BX658" t="e">
        <v>#N/A</v>
      </c>
      <c r="BZ658" t="e">
        <f t="shared" si="242"/>
        <v>#N/A</v>
      </c>
      <c r="CB658" t="e">
        <f t="shared" si="226"/>
        <v>#N/A</v>
      </c>
      <c r="CC658" t="e">
        <f t="shared" si="237"/>
        <v>#N/A</v>
      </c>
      <c r="CE658" t="e">
        <v>#N/A</v>
      </c>
      <c r="CF658" t="e">
        <v>#N/A</v>
      </c>
    </row>
    <row r="659" spans="2:84">
      <c r="B659">
        <v>647</v>
      </c>
      <c r="C659" t="e">
        <f>IF(ISNUMBER(K659),IF('Lab test'!N650&gt;0,'Lab test'!N650,NA()),NA())</f>
        <v>#N/A</v>
      </c>
      <c r="D659" t="e">
        <f>IF(ISNUMBER(K659),IF('Lab test'!Q650&gt;0,'Lab test'!Q650,NA()),NA())</f>
        <v>#N/A</v>
      </c>
      <c r="E659" t="e">
        <f>IF(ISNUMBER(K659),IF('Lab test'!P650&gt;0,'Lab test'!P650,NA()),NA())</f>
        <v>#N/A</v>
      </c>
      <c r="F659" t="e">
        <f>IF(ISNUMBER(K659),IF('Lab test'!AJ650&gt;0,'Lab test'!AJ650,NA()),NA())</f>
        <v>#N/A</v>
      </c>
      <c r="G659">
        <f>IF('Lab test'!V650&gt;0,'Lab test'!V650,NA())</f>
        <v>76545.876887420178</v>
      </c>
      <c r="H659">
        <f>IF(MAX('Lab test'!W650,'Lab test'!X650)&gt;0,MAX('Lab test'!W650,'Lab test'!X650),NA())</f>
        <v>281.30609756126915</v>
      </c>
      <c r="I659">
        <f>IF('Lab test'!AU650&gt;0,'Lab test'!AU650,NA())</f>
        <v>0.96413522634375726</v>
      </c>
      <c r="J659">
        <f>IF('Lab test'!AT650&gt;0,'Lab test'!AT650,NA())</f>
        <v>0.23282546307648086</v>
      </c>
      <c r="K659" t="e">
        <f t="shared" si="238"/>
        <v>#N/A</v>
      </c>
      <c r="L659" t="str">
        <f>'Lab test'!AC650</f>
        <v>Machined</v>
      </c>
      <c r="X659" t="e">
        <v>#N/A</v>
      </c>
      <c r="Z659" t="e">
        <f t="shared" si="239"/>
        <v>#N/A</v>
      </c>
      <c r="AB659" t="e">
        <f t="shared" si="227"/>
        <v>#N/A</v>
      </c>
      <c r="AC659" t="e">
        <f t="shared" si="229"/>
        <v>#N/A</v>
      </c>
      <c r="AE659" t="e">
        <v>#N/A</v>
      </c>
      <c r="AF659" t="e">
        <v>#N/A</v>
      </c>
      <c r="AP659" t="e">
        <v>#N/A</v>
      </c>
      <c r="AR659" t="e">
        <f t="shared" si="240"/>
        <v>#N/A</v>
      </c>
      <c r="AT659" t="e">
        <f t="shared" si="231"/>
        <v>#N/A</v>
      </c>
      <c r="AU659" t="e">
        <f t="shared" si="232"/>
        <v>#N/A</v>
      </c>
      <c r="AW659" t="e">
        <v>#N/A</v>
      </c>
      <c r="AX659" t="e">
        <v>#N/A</v>
      </c>
      <c r="BG659" t="e">
        <v>#N/A</v>
      </c>
      <c r="BI659" t="e">
        <f t="shared" si="241"/>
        <v>#N/A</v>
      </c>
      <c r="BK659" t="e">
        <f t="shared" si="234"/>
        <v>#N/A</v>
      </c>
      <c r="BL659" t="e">
        <f t="shared" si="235"/>
        <v>#N/A</v>
      </c>
      <c r="BN659" t="e">
        <v>#N/A</v>
      </c>
      <c r="BO659" t="e">
        <v>#N/A</v>
      </c>
      <c r="BX659" t="e">
        <v>#N/A</v>
      </c>
      <c r="BZ659" t="e">
        <f t="shared" si="242"/>
        <v>#N/A</v>
      </c>
      <c r="CB659" t="e">
        <f t="shared" si="226"/>
        <v>#N/A</v>
      </c>
      <c r="CC659" t="e">
        <f t="shared" si="237"/>
        <v>#N/A</v>
      </c>
      <c r="CE659" t="e">
        <v>#N/A</v>
      </c>
      <c r="CF659" t="e">
        <v>#N/A</v>
      </c>
    </row>
    <row r="660" spans="2:84">
      <c r="B660">
        <v>648</v>
      </c>
      <c r="C660" t="e">
        <f>IF(ISNUMBER(K660),IF('Lab test'!N651&gt;0,'Lab test'!N651,NA()),NA())</f>
        <v>#N/A</v>
      </c>
      <c r="D660" t="e">
        <f>IF(ISNUMBER(K660),IF('Lab test'!Q651&gt;0,'Lab test'!Q651,NA()),NA())</f>
        <v>#N/A</v>
      </c>
      <c r="E660" t="e">
        <f>IF(ISNUMBER(K660),IF('Lab test'!P651&gt;0,'Lab test'!P651,NA()),NA())</f>
        <v>#N/A</v>
      </c>
      <c r="F660" t="e">
        <f>IF(ISNUMBER(K660),IF('Lab test'!AJ651&gt;0,'Lab test'!AJ651,NA()),NA())</f>
        <v>#N/A</v>
      </c>
      <c r="G660">
        <f>IF('Lab test'!V651&gt;0,'Lab test'!V651,NA())</f>
        <v>66627.432382236497</v>
      </c>
      <c r="H660">
        <f>IF(MAX('Lab test'!W651,'Lab test'!X651)&gt;0,MAX('Lab test'!W651,'Lab test'!X651),NA())</f>
        <v>524.6910300101124</v>
      </c>
      <c r="I660">
        <f>IF('Lab test'!AU651&gt;0,'Lab test'!AU651,NA())</f>
        <v>1.305863045228943</v>
      </c>
      <c r="J660">
        <f>IF('Lab test'!AT651&gt;0,'Lab test'!AT651,NA())</f>
        <v>7.6461362326397136E-2</v>
      </c>
      <c r="K660" t="e">
        <f t="shared" si="238"/>
        <v>#N/A</v>
      </c>
      <c r="L660" t="str">
        <f>'Lab test'!AC651</f>
        <v>Machined</v>
      </c>
      <c r="X660" t="e">
        <v>#N/A</v>
      </c>
      <c r="Z660" t="e">
        <f t="shared" si="239"/>
        <v>#N/A</v>
      </c>
      <c r="AB660" t="e">
        <f t="shared" si="227"/>
        <v>#N/A</v>
      </c>
      <c r="AC660" t="e">
        <f t="shared" si="229"/>
        <v>#N/A</v>
      </c>
      <c r="AE660" t="e">
        <v>#N/A</v>
      </c>
      <c r="AF660" t="e">
        <v>#N/A</v>
      </c>
      <c r="AP660" t="e">
        <v>#N/A</v>
      </c>
      <c r="AR660" t="e">
        <f t="shared" si="240"/>
        <v>#N/A</v>
      </c>
      <c r="AT660" t="e">
        <f t="shared" si="231"/>
        <v>#N/A</v>
      </c>
      <c r="AU660" t="e">
        <f t="shared" si="232"/>
        <v>#N/A</v>
      </c>
      <c r="AW660" t="e">
        <v>#N/A</v>
      </c>
      <c r="AX660" t="e">
        <v>#N/A</v>
      </c>
      <c r="BG660" t="e">
        <v>#N/A</v>
      </c>
      <c r="BI660" t="e">
        <f t="shared" si="241"/>
        <v>#N/A</v>
      </c>
      <c r="BK660" t="e">
        <f t="shared" si="234"/>
        <v>#N/A</v>
      </c>
      <c r="BL660" t="e">
        <f t="shared" si="235"/>
        <v>#N/A</v>
      </c>
      <c r="BN660" t="e">
        <v>#N/A</v>
      </c>
      <c r="BO660" t="e">
        <v>#N/A</v>
      </c>
      <c r="BX660" t="e">
        <v>#N/A</v>
      </c>
      <c r="BZ660" t="e">
        <f t="shared" si="242"/>
        <v>#N/A</v>
      </c>
      <c r="CB660" t="e">
        <f t="shared" ref="CB660:CB682" si="243">BZ660</f>
        <v>#N/A</v>
      </c>
      <c r="CC660" t="e">
        <f t="shared" si="237"/>
        <v>#N/A</v>
      </c>
      <c r="CE660" t="e">
        <v>#N/A</v>
      </c>
      <c r="CF660" t="e">
        <v>#N/A</v>
      </c>
    </row>
    <row r="661" spans="2:84">
      <c r="B661">
        <v>649</v>
      </c>
      <c r="C661" t="e">
        <f>IF(ISNUMBER(K661),IF('Lab test'!N652&gt;0,'Lab test'!N652,NA()),NA())</f>
        <v>#N/A</v>
      </c>
      <c r="D661" t="e">
        <f>IF(ISNUMBER(K661),IF('Lab test'!Q652&gt;0,'Lab test'!Q652,NA()),NA())</f>
        <v>#N/A</v>
      </c>
      <c r="E661" t="e">
        <f>IF(ISNUMBER(K661),IF('Lab test'!P652&gt;0,'Lab test'!P652,NA()),NA())</f>
        <v>#N/A</v>
      </c>
      <c r="F661" t="e">
        <f>IF(ISNUMBER(K661),IF('Lab test'!AJ652&gt;0,'Lab test'!AJ652,NA()),NA())</f>
        <v>#N/A</v>
      </c>
      <c r="G661">
        <f>IF('Lab test'!V652&gt;0,'Lab test'!V652,NA())</f>
        <v>66627.432382236497</v>
      </c>
      <c r="H661">
        <f>IF(MAX('Lab test'!W652,'Lab test'!X652)&gt;0,MAX('Lab test'!W652,'Lab test'!X652),NA())</f>
        <v>524.6910300101124</v>
      </c>
      <c r="I661">
        <f>IF('Lab test'!AU652&gt;0,'Lab test'!AU652,NA())</f>
        <v>1.082152328475152</v>
      </c>
      <c r="J661">
        <f>IF('Lab test'!AT652&gt;0,'Lab test'!AT652,NA())</f>
        <v>0.1950090809438263</v>
      </c>
      <c r="K661" t="e">
        <f t="shared" si="238"/>
        <v>#N/A</v>
      </c>
      <c r="L661" t="str">
        <f>'Lab test'!AC652</f>
        <v>Machined</v>
      </c>
      <c r="X661" t="e">
        <v>#N/A</v>
      </c>
      <c r="Z661" t="e">
        <f t="shared" si="239"/>
        <v>#N/A</v>
      </c>
      <c r="AB661" t="e">
        <f t="shared" si="227"/>
        <v>#N/A</v>
      </c>
      <c r="AC661" t="e">
        <f t="shared" si="229"/>
        <v>#N/A</v>
      </c>
      <c r="AE661" t="e">
        <v>#N/A</v>
      </c>
      <c r="AF661" t="e">
        <v>#N/A</v>
      </c>
      <c r="AP661" t="e">
        <v>#N/A</v>
      </c>
      <c r="AR661" t="e">
        <f t="shared" si="240"/>
        <v>#N/A</v>
      </c>
      <c r="AT661" t="e">
        <f t="shared" si="231"/>
        <v>#N/A</v>
      </c>
      <c r="AU661" t="e">
        <f t="shared" si="232"/>
        <v>#N/A</v>
      </c>
      <c r="AW661" t="e">
        <v>#N/A</v>
      </c>
      <c r="AX661" t="e">
        <v>#N/A</v>
      </c>
      <c r="BG661" t="e">
        <v>#N/A</v>
      </c>
      <c r="BI661" t="e">
        <f t="shared" si="241"/>
        <v>#N/A</v>
      </c>
      <c r="BK661" t="e">
        <f t="shared" si="234"/>
        <v>#N/A</v>
      </c>
      <c r="BL661" t="e">
        <f t="shared" si="235"/>
        <v>#N/A</v>
      </c>
      <c r="BN661" t="e">
        <v>#N/A</v>
      </c>
      <c r="BO661" t="e">
        <v>#N/A</v>
      </c>
      <c r="BX661" t="e">
        <v>#N/A</v>
      </c>
      <c r="BZ661" t="e">
        <f t="shared" si="242"/>
        <v>#N/A</v>
      </c>
      <c r="CB661" t="e">
        <f t="shared" si="243"/>
        <v>#N/A</v>
      </c>
      <c r="CC661" t="e">
        <f t="shared" si="237"/>
        <v>#N/A</v>
      </c>
      <c r="CE661" t="e">
        <v>#N/A</v>
      </c>
      <c r="CF661" t="e">
        <v>#N/A</v>
      </c>
    </row>
    <row r="662" spans="2:84">
      <c r="B662">
        <v>650</v>
      </c>
      <c r="C662" t="e">
        <f>IF(ISNUMBER(K662),IF('Lab test'!N653&gt;0,'Lab test'!N653,NA()),NA())</f>
        <v>#N/A</v>
      </c>
      <c r="D662" t="e">
        <f>IF(ISNUMBER(K662),IF('Lab test'!Q653&gt;0,'Lab test'!Q653,NA()),NA())</f>
        <v>#N/A</v>
      </c>
      <c r="E662" t="e">
        <f>IF(ISNUMBER(K662),IF('Lab test'!P653&gt;0,'Lab test'!P653,NA()),NA())</f>
        <v>#N/A</v>
      </c>
      <c r="F662" t="e">
        <f>IF(ISNUMBER(K662),IF('Lab test'!AJ653&gt;0,'Lab test'!AJ653,NA()),NA())</f>
        <v>#N/A</v>
      </c>
      <c r="G662">
        <f>IF('Lab test'!V653&gt;0,'Lab test'!V653,NA())</f>
        <v>66627.432382236497</v>
      </c>
      <c r="H662">
        <f>IF(MAX('Lab test'!W653,'Lab test'!X653)&gt;0,MAX('Lab test'!W653,'Lab test'!X653),NA())</f>
        <v>524.6910300101124</v>
      </c>
      <c r="I662">
        <f>IF('Lab test'!AU653&gt;0,'Lab test'!AU653,NA())</f>
        <v>1.039820577489436</v>
      </c>
      <c r="J662">
        <f>IF('Lab test'!AT653&gt;0,'Lab test'!AT653,NA())</f>
        <v>0.32983503080577481</v>
      </c>
      <c r="K662" t="e">
        <f t="shared" si="238"/>
        <v>#N/A</v>
      </c>
      <c r="L662" t="str">
        <f>'Lab test'!AC653</f>
        <v>Machined</v>
      </c>
      <c r="X662" t="e">
        <v>#N/A</v>
      </c>
      <c r="Z662" t="e">
        <f t="shared" si="239"/>
        <v>#N/A</v>
      </c>
      <c r="AB662" t="e">
        <f t="shared" si="227"/>
        <v>#N/A</v>
      </c>
      <c r="AC662" t="e">
        <f t="shared" si="229"/>
        <v>#N/A</v>
      </c>
      <c r="AE662" t="e">
        <v>#N/A</v>
      </c>
      <c r="AF662" t="e">
        <v>#N/A</v>
      </c>
      <c r="AP662" t="e">
        <v>#N/A</v>
      </c>
      <c r="AR662" t="e">
        <f t="shared" si="240"/>
        <v>#N/A</v>
      </c>
      <c r="AT662" t="e">
        <f t="shared" si="231"/>
        <v>#N/A</v>
      </c>
      <c r="AU662" t="e">
        <f t="shared" si="232"/>
        <v>#N/A</v>
      </c>
      <c r="AW662" t="e">
        <v>#N/A</v>
      </c>
      <c r="AX662" t="e">
        <v>#N/A</v>
      </c>
      <c r="BG662" t="e">
        <v>#N/A</v>
      </c>
      <c r="BI662" t="e">
        <f t="shared" si="241"/>
        <v>#N/A</v>
      </c>
      <c r="BK662" t="e">
        <f t="shared" si="234"/>
        <v>#N/A</v>
      </c>
      <c r="BL662" t="e">
        <f t="shared" si="235"/>
        <v>#N/A</v>
      </c>
      <c r="BN662" t="e">
        <v>#N/A</v>
      </c>
      <c r="BO662" t="e">
        <v>#N/A</v>
      </c>
      <c r="BX662" t="e">
        <v>#N/A</v>
      </c>
      <c r="BZ662" t="e">
        <f t="shared" si="242"/>
        <v>#N/A</v>
      </c>
      <c r="CB662" t="e">
        <f t="shared" si="243"/>
        <v>#N/A</v>
      </c>
      <c r="CC662" t="e">
        <f t="shared" si="237"/>
        <v>#N/A</v>
      </c>
      <c r="CE662" t="e">
        <v>#N/A</v>
      </c>
      <c r="CF662" t="e">
        <v>#N/A</v>
      </c>
    </row>
    <row r="663" spans="2:84">
      <c r="B663">
        <v>651</v>
      </c>
      <c r="C663" t="e">
        <f>IF(ISNUMBER(K663),IF('Lab test'!N654&gt;0,'Lab test'!N654,NA()),NA())</f>
        <v>#N/A</v>
      </c>
      <c r="D663" t="e">
        <f>IF(ISNUMBER(K663),IF('Lab test'!Q654&gt;0,'Lab test'!Q654,NA()),NA())</f>
        <v>#N/A</v>
      </c>
      <c r="E663" t="e">
        <f>IF(ISNUMBER(K663),IF('Lab test'!P654&gt;0,'Lab test'!P654,NA()),NA())</f>
        <v>#N/A</v>
      </c>
      <c r="F663" t="e">
        <f>IF(ISNUMBER(K663),IF('Lab test'!AJ654&gt;0,'Lab test'!AJ654,NA()),NA())</f>
        <v>#N/A</v>
      </c>
      <c r="G663">
        <f>IF('Lab test'!V654&gt;0,'Lab test'!V654,NA())</f>
        <v>66627.432382236497</v>
      </c>
      <c r="H663">
        <f>IF(MAX('Lab test'!W654,'Lab test'!X654)&gt;0,MAX('Lab test'!W654,'Lab test'!X654),NA())</f>
        <v>524.6910300101124</v>
      </c>
      <c r="I663">
        <f>IF('Lab test'!AU654&gt;0,'Lab test'!AU654,NA())</f>
        <v>0.93907398472989767</v>
      </c>
      <c r="J663">
        <f>IF('Lab test'!AT654&gt;0,'Lab test'!AT654,NA())</f>
        <v>0.48334034365025358</v>
      </c>
      <c r="K663" t="e">
        <f t="shared" si="238"/>
        <v>#N/A</v>
      </c>
      <c r="L663" t="str">
        <f>'Lab test'!AC654</f>
        <v>Machined</v>
      </c>
      <c r="X663" t="e">
        <v>#N/A</v>
      </c>
      <c r="Z663" t="e">
        <f t="shared" si="239"/>
        <v>#N/A</v>
      </c>
      <c r="AB663" t="e">
        <f t="shared" si="227"/>
        <v>#N/A</v>
      </c>
      <c r="AC663" t="e">
        <f t="shared" si="229"/>
        <v>#N/A</v>
      </c>
      <c r="AE663" t="e">
        <v>#N/A</v>
      </c>
      <c r="AF663" t="e">
        <v>#N/A</v>
      </c>
      <c r="AP663" t="e">
        <v>#N/A</v>
      </c>
      <c r="AR663" t="e">
        <f t="shared" si="240"/>
        <v>#N/A</v>
      </c>
      <c r="AT663" t="e">
        <f t="shared" si="231"/>
        <v>#N/A</v>
      </c>
      <c r="AU663" t="e">
        <f t="shared" si="232"/>
        <v>#N/A</v>
      </c>
      <c r="AW663" t="e">
        <v>#N/A</v>
      </c>
      <c r="AX663" t="e">
        <v>#N/A</v>
      </c>
      <c r="BG663" t="e">
        <v>#N/A</v>
      </c>
      <c r="BI663" t="e">
        <f t="shared" si="241"/>
        <v>#N/A</v>
      </c>
      <c r="BK663" t="e">
        <f t="shared" si="234"/>
        <v>#N/A</v>
      </c>
      <c r="BL663" t="e">
        <f t="shared" si="235"/>
        <v>#N/A</v>
      </c>
      <c r="BN663" t="e">
        <v>#N/A</v>
      </c>
      <c r="BO663" t="e">
        <v>#N/A</v>
      </c>
      <c r="BX663" t="e">
        <v>#N/A</v>
      </c>
      <c r="BZ663" t="e">
        <f t="shared" si="242"/>
        <v>#N/A</v>
      </c>
      <c r="CB663" t="e">
        <f t="shared" si="243"/>
        <v>#N/A</v>
      </c>
      <c r="CC663" t="e">
        <f t="shared" si="237"/>
        <v>#N/A</v>
      </c>
      <c r="CE663" t="e">
        <v>#N/A</v>
      </c>
      <c r="CF663" t="e">
        <v>#N/A</v>
      </c>
    </row>
    <row r="664" spans="2:84">
      <c r="B664">
        <v>652</v>
      </c>
      <c r="C664" t="e">
        <f>IF(ISNUMBER(K664),IF('Lab test'!N655&gt;0,'Lab test'!N655,NA()),NA())</f>
        <v>#N/A</v>
      </c>
      <c r="D664" t="e">
        <f>IF(ISNUMBER(K664),IF('Lab test'!Q655&gt;0,'Lab test'!Q655,NA()),NA())</f>
        <v>#N/A</v>
      </c>
      <c r="E664" t="e">
        <f>IF(ISNUMBER(K664),IF('Lab test'!P655&gt;0,'Lab test'!P655,NA()),NA())</f>
        <v>#N/A</v>
      </c>
      <c r="F664" t="e">
        <f>IF(ISNUMBER(K664),IF('Lab test'!AJ655&gt;0,'Lab test'!AJ655,NA()),NA())</f>
        <v>#N/A</v>
      </c>
      <c r="G664">
        <f>IF('Lab test'!V655&gt;0,'Lab test'!V655,NA())</f>
        <v>66627.432382236497</v>
      </c>
      <c r="H664">
        <f>IF(MAX('Lab test'!W655,'Lab test'!X655)&gt;0,MAX('Lab test'!W655,'Lab test'!X655),NA())</f>
        <v>524.6910300101124</v>
      </c>
      <c r="I664">
        <f>IF('Lab test'!AU655&gt;0,'Lab test'!AU655,NA())</f>
        <v>0.83406953996785571</v>
      </c>
      <c r="J664">
        <f>IF('Lab test'!AT655&gt;0,'Lab test'!AT655,NA())</f>
        <v>0.62285902135906457</v>
      </c>
      <c r="K664" t="e">
        <f t="shared" si="238"/>
        <v>#N/A</v>
      </c>
      <c r="L664" t="str">
        <f>'Lab test'!AC655</f>
        <v>Machined</v>
      </c>
      <c r="X664" t="e">
        <v>#N/A</v>
      </c>
      <c r="Z664" t="e">
        <f t="shared" si="239"/>
        <v>#N/A</v>
      </c>
      <c r="AB664" t="e">
        <f t="shared" si="227"/>
        <v>#N/A</v>
      </c>
      <c r="AC664" t="e">
        <f t="shared" si="229"/>
        <v>#N/A</v>
      </c>
      <c r="AE664" t="e">
        <v>#N/A</v>
      </c>
      <c r="AF664" t="e">
        <v>#N/A</v>
      </c>
      <c r="AP664" t="e">
        <v>#N/A</v>
      </c>
      <c r="AR664" t="e">
        <f t="shared" si="240"/>
        <v>#N/A</v>
      </c>
      <c r="AT664" t="e">
        <f t="shared" si="231"/>
        <v>#N/A</v>
      </c>
      <c r="AU664" t="e">
        <f t="shared" si="232"/>
        <v>#N/A</v>
      </c>
      <c r="AW664" t="e">
        <v>#N/A</v>
      </c>
      <c r="AX664" t="e">
        <v>#N/A</v>
      </c>
      <c r="BG664" t="e">
        <v>#N/A</v>
      </c>
      <c r="BI664" t="e">
        <f t="shared" si="241"/>
        <v>#N/A</v>
      </c>
      <c r="BK664" t="e">
        <f t="shared" si="234"/>
        <v>#N/A</v>
      </c>
      <c r="BL664" t="e">
        <f t="shared" si="235"/>
        <v>#N/A</v>
      </c>
      <c r="BN664" t="e">
        <v>#N/A</v>
      </c>
      <c r="BO664" t="e">
        <v>#N/A</v>
      </c>
      <c r="BX664" t="e">
        <v>#N/A</v>
      </c>
      <c r="BZ664" t="e">
        <f t="shared" si="242"/>
        <v>#N/A</v>
      </c>
      <c r="CB664" t="e">
        <f t="shared" si="243"/>
        <v>#N/A</v>
      </c>
      <c r="CC664" t="e">
        <f t="shared" si="237"/>
        <v>#N/A</v>
      </c>
      <c r="CE664" t="e">
        <v>#N/A</v>
      </c>
      <c r="CF664" t="e">
        <v>#N/A</v>
      </c>
    </row>
    <row r="665" spans="2:84">
      <c r="B665">
        <v>653</v>
      </c>
      <c r="C665" t="e">
        <f>IF(ISNUMBER(K665),IF('Lab test'!N656&gt;0,'Lab test'!N656,NA()),NA())</f>
        <v>#N/A</v>
      </c>
      <c r="D665" t="e">
        <f>IF(ISNUMBER(K665),IF('Lab test'!Q656&gt;0,'Lab test'!Q656,NA()),NA())</f>
        <v>#N/A</v>
      </c>
      <c r="E665" t="e">
        <f>IF(ISNUMBER(K665),IF('Lab test'!P656&gt;0,'Lab test'!P656,NA()),NA())</f>
        <v>#N/A</v>
      </c>
      <c r="F665" t="e">
        <f>IF(ISNUMBER(K665),IF('Lab test'!AJ656&gt;0,'Lab test'!AJ656,NA()),NA())</f>
        <v>#N/A</v>
      </c>
      <c r="G665">
        <f>IF('Lab test'!V656&gt;0,'Lab test'!V656,NA())</f>
        <v>66627.432382236497</v>
      </c>
      <c r="H665">
        <f>IF(MAX('Lab test'!W656,'Lab test'!X656)&gt;0,MAX('Lab test'!W656,'Lab test'!X656),NA())</f>
        <v>524.6910300101124</v>
      </c>
      <c r="I665">
        <f>IF('Lab test'!AU656&gt;0,'Lab test'!AU656,NA())</f>
        <v>0.76843352990906788</v>
      </c>
      <c r="J665">
        <f>IF('Lab test'!AT656&gt;0,'Lab test'!AT656,NA())</f>
        <v>0.74435642369191912</v>
      </c>
      <c r="K665" t="e">
        <f t="shared" si="238"/>
        <v>#N/A</v>
      </c>
      <c r="L665" t="str">
        <f>'Lab test'!AC656</f>
        <v>Machined</v>
      </c>
      <c r="X665" t="e">
        <v>#N/A</v>
      </c>
      <c r="Z665" t="e">
        <f t="shared" si="239"/>
        <v>#N/A</v>
      </c>
      <c r="AB665" t="e">
        <f t="shared" si="227"/>
        <v>#N/A</v>
      </c>
      <c r="AC665" t="e">
        <f t="shared" si="229"/>
        <v>#N/A</v>
      </c>
      <c r="AE665" t="e">
        <v>#N/A</v>
      </c>
      <c r="AF665" t="e">
        <v>#N/A</v>
      </c>
      <c r="AP665" t="e">
        <v>#N/A</v>
      </c>
      <c r="AR665" t="e">
        <f t="shared" si="240"/>
        <v>#N/A</v>
      </c>
      <c r="AT665" t="e">
        <f t="shared" si="231"/>
        <v>#N/A</v>
      </c>
      <c r="AU665" t="e">
        <f t="shared" si="232"/>
        <v>#N/A</v>
      </c>
      <c r="AW665" t="e">
        <v>#N/A</v>
      </c>
      <c r="AX665" t="e">
        <v>#N/A</v>
      </c>
      <c r="BG665" t="e">
        <v>#N/A</v>
      </c>
      <c r="BI665" t="e">
        <f t="shared" si="241"/>
        <v>#N/A</v>
      </c>
      <c r="BK665" t="e">
        <f t="shared" si="234"/>
        <v>#N/A</v>
      </c>
      <c r="BL665" t="e">
        <f t="shared" si="235"/>
        <v>#N/A</v>
      </c>
      <c r="BN665" t="e">
        <v>#N/A</v>
      </c>
      <c r="BO665" t="e">
        <v>#N/A</v>
      </c>
      <c r="BX665" t="e">
        <v>#N/A</v>
      </c>
      <c r="BZ665" t="e">
        <f t="shared" si="242"/>
        <v>#N/A</v>
      </c>
      <c r="CB665" t="e">
        <f t="shared" si="243"/>
        <v>#N/A</v>
      </c>
      <c r="CC665" t="e">
        <f t="shared" si="237"/>
        <v>#N/A</v>
      </c>
      <c r="CE665" t="e">
        <v>#N/A</v>
      </c>
      <c r="CF665" t="e">
        <v>#N/A</v>
      </c>
    </row>
    <row r="666" spans="2:84">
      <c r="B666">
        <v>654</v>
      </c>
      <c r="C666" t="e">
        <f>IF(ISNUMBER(K666),IF('Lab test'!N657&gt;0,'Lab test'!N657,NA()),NA())</f>
        <v>#N/A</v>
      </c>
      <c r="D666" t="e">
        <f>IF(ISNUMBER(K666),IF('Lab test'!Q657&gt;0,'Lab test'!Q657,NA()),NA())</f>
        <v>#N/A</v>
      </c>
      <c r="E666" t="e">
        <f>IF(ISNUMBER(K666),IF('Lab test'!P657&gt;0,'Lab test'!P657,NA()),NA())</f>
        <v>#N/A</v>
      </c>
      <c r="F666" t="e">
        <f>IF(ISNUMBER(K666),IF('Lab test'!AJ657&gt;0,'Lab test'!AJ657,NA()),NA())</f>
        <v>#N/A</v>
      </c>
      <c r="G666">
        <f>IF('Lab test'!V657&gt;0,'Lab test'!V657,NA())</f>
        <v>72236.372022559997</v>
      </c>
      <c r="H666">
        <f>IF(MAX('Lab test'!W657,'Lab test'!X657)&gt;0,MAX('Lab test'!W657,'Lab test'!X657),NA())</f>
        <v>565.37009696000007</v>
      </c>
      <c r="I666">
        <f>IF('Lab test'!AU657&gt;0,'Lab test'!AU657,NA())</f>
        <v>1.2109756097560975</v>
      </c>
      <c r="J666">
        <f>IF('Lab test'!AT657&gt;0,'Lab test'!AT657,NA())</f>
        <v>7.0470303494935424E-2</v>
      </c>
      <c r="K666" t="e">
        <f t="shared" si="238"/>
        <v>#N/A</v>
      </c>
      <c r="L666" t="str">
        <f>'Lab test'!AC657</f>
        <v>Machined</v>
      </c>
      <c r="X666" t="e">
        <v>#N/A</v>
      </c>
      <c r="Z666" t="e">
        <f t="shared" si="239"/>
        <v>#N/A</v>
      </c>
      <c r="AB666" t="e">
        <f t="shared" si="227"/>
        <v>#N/A</v>
      </c>
      <c r="AC666" t="e">
        <f t="shared" si="229"/>
        <v>#N/A</v>
      </c>
      <c r="AE666" t="e">
        <v>#N/A</v>
      </c>
      <c r="AF666" t="e">
        <v>#N/A</v>
      </c>
      <c r="AP666" t="e">
        <v>#N/A</v>
      </c>
      <c r="AR666" t="e">
        <f t="shared" si="240"/>
        <v>#N/A</v>
      </c>
      <c r="AT666" t="e">
        <f t="shared" si="231"/>
        <v>#N/A</v>
      </c>
      <c r="AU666" t="e">
        <f t="shared" si="232"/>
        <v>#N/A</v>
      </c>
      <c r="AW666" t="e">
        <v>#N/A</v>
      </c>
      <c r="AX666" t="e">
        <v>#N/A</v>
      </c>
      <c r="BG666" t="e">
        <v>#N/A</v>
      </c>
      <c r="BI666" t="e">
        <f t="shared" si="241"/>
        <v>#N/A</v>
      </c>
      <c r="BK666" t="e">
        <f t="shared" si="234"/>
        <v>#N/A</v>
      </c>
      <c r="BL666" t="e">
        <f t="shared" si="235"/>
        <v>#N/A</v>
      </c>
      <c r="BN666" t="e">
        <v>#N/A</v>
      </c>
      <c r="BO666" t="e">
        <v>#N/A</v>
      </c>
      <c r="BX666" t="e">
        <v>#N/A</v>
      </c>
      <c r="BZ666" t="e">
        <f t="shared" si="242"/>
        <v>#N/A</v>
      </c>
      <c r="CB666" t="e">
        <f t="shared" si="243"/>
        <v>#N/A</v>
      </c>
      <c r="CC666" t="e">
        <f t="shared" si="237"/>
        <v>#N/A</v>
      </c>
      <c r="CE666" t="e">
        <v>#N/A</v>
      </c>
      <c r="CF666" t="e">
        <v>#N/A</v>
      </c>
    </row>
    <row r="667" spans="2:84">
      <c r="B667">
        <v>655</v>
      </c>
      <c r="C667" t="e">
        <f>IF(ISNUMBER(K667),IF('Lab test'!N658&gt;0,'Lab test'!N658,NA()),NA())</f>
        <v>#N/A</v>
      </c>
      <c r="D667" t="e">
        <f>IF(ISNUMBER(K667),IF('Lab test'!Q658&gt;0,'Lab test'!Q658,NA()),NA())</f>
        <v>#N/A</v>
      </c>
      <c r="E667" t="e">
        <f>IF(ISNUMBER(K667),IF('Lab test'!P658&gt;0,'Lab test'!P658,NA()),NA())</f>
        <v>#N/A</v>
      </c>
      <c r="F667" t="e">
        <f>IF(ISNUMBER(K667),IF('Lab test'!AJ658&gt;0,'Lab test'!AJ658,NA()),NA())</f>
        <v>#N/A</v>
      </c>
      <c r="G667">
        <f>IF('Lab test'!V658&gt;0,'Lab test'!V658,NA())</f>
        <v>72236.372022559997</v>
      </c>
      <c r="H667">
        <f>IF(MAX('Lab test'!W658,'Lab test'!X658)&gt;0,MAX('Lab test'!W658,'Lab test'!X658),NA())</f>
        <v>565.37009696000007</v>
      </c>
      <c r="I667">
        <f>IF('Lab test'!AU658&gt;0,'Lab test'!AU658,NA())</f>
        <v>1.0219512195121949</v>
      </c>
      <c r="J667">
        <f>IF('Lab test'!AT658&gt;0,'Lab test'!AT658,NA())</f>
        <v>0.1830302822887945</v>
      </c>
      <c r="K667" t="e">
        <f t="shared" si="238"/>
        <v>#N/A</v>
      </c>
      <c r="L667" t="str">
        <f>'Lab test'!AC658</f>
        <v>Machined</v>
      </c>
      <c r="X667" t="e">
        <v>#N/A</v>
      </c>
      <c r="Z667" t="e">
        <f t="shared" si="239"/>
        <v>#N/A</v>
      </c>
      <c r="AB667" t="e">
        <f t="shared" si="227"/>
        <v>#N/A</v>
      </c>
      <c r="AC667" t="e">
        <f t="shared" si="229"/>
        <v>#N/A</v>
      </c>
      <c r="AE667" t="e">
        <v>#N/A</v>
      </c>
      <c r="AF667" t="e">
        <v>#N/A</v>
      </c>
      <c r="AP667" t="e">
        <v>#N/A</v>
      </c>
      <c r="AR667" t="e">
        <f t="shared" si="240"/>
        <v>#N/A</v>
      </c>
      <c r="AT667" t="e">
        <f t="shared" si="231"/>
        <v>#N/A</v>
      </c>
      <c r="AU667" t="e">
        <f t="shared" si="232"/>
        <v>#N/A</v>
      </c>
      <c r="AW667" t="e">
        <v>#N/A</v>
      </c>
      <c r="AX667" t="e">
        <v>#N/A</v>
      </c>
      <c r="BG667" t="e">
        <v>#N/A</v>
      </c>
      <c r="BI667" t="e">
        <f t="shared" si="241"/>
        <v>#N/A</v>
      </c>
      <c r="BK667" t="e">
        <f t="shared" si="234"/>
        <v>#N/A</v>
      </c>
      <c r="BL667" t="e">
        <f t="shared" si="235"/>
        <v>#N/A</v>
      </c>
      <c r="BN667" t="e">
        <v>#N/A</v>
      </c>
      <c r="BO667" t="e">
        <v>#N/A</v>
      </c>
      <c r="BX667" t="e">
        <v>#N/A</v>
      </c>
      <c r="BZ667" t="e">
        <f t="shared" si="242"/>
        <v>#N/A</v>
      </c>
      <c r="CB667" t="e">
        <f t="shared" si="243"/>
        <v>#N/A</v>
      </c>
      <c r="CC667" t="e">
        <f t="shared" si="237"/>
        <v>#N/A</v>
      </c>
      <c r="CE667" t="e">
        <v>#N/A</v>
      </c>
      <c r="CF667" t="e">
        <v>#N/A</v>
      </c>
    </row>
    <row r="668" spans="2:84">
      <c r="B668">
        <v>656</v>
      </c>
      <c r="C668" t="e">
        <f>IF(ISNUMBER(K668),IF('Lab test'!N659&gt;0,'Lab test'!N659,NA()),NA())</f>
        <v>#N/A</v>
      </c>
      <c r="D668" t="e">
        <f>IF(ISNUMBER(K668),IF('Lab test'!Q659&gt;0,'Lab test'!Q659,NA()),NA())</f>
        <v>#N/A</v>
      </c>
      <c r="E668" t="e">
        <f>IF(ISNUMBER(K668),IF('Lab test'!P659&gt;0,'Lab test'!P659,NA()),NA())</f>
        <v>#N/A</v>
      </c>
      <c r="F668" t="e">
        <f>IF(ISNUMBER(K668),IF('Lab test'!AJ659&gt;0,'Lab test'!AJ659,NA()),NA())</f>
        <v>#N/A</v>
      </c>
      <c r="G668">
        <f>IF('Lab test'!V659&gt;0,'Lab test'!V659,NA())</f>
        <v>72236.372022559997</v>
      </c>
      <c r="H668">
        <f>IF(MAX('Lab test'!W659,'Lab test'!X659)&gt;0,MAX('Lab test'!W659,'Lab test'!X659),NA())</f>
        <v>565.37009696000007</v>
      </c>
      <c r="I668">
        <f>IF('Lab test'!AU659&gt;0,'Lab test'!AU659,NA())</f>
        <v>0.97926829268292681</v>
      </c>
      <c r="J668">
        <f>IF('Lab test'!AT659&gt;0,'Lab test'!AT659,NA())</f>
        <v>0.30872116907306951</v>
      </c>
      <c r="K668" t="e">
        <f t="shared" si="238"/>
        <v>#N/A</v>
      </c>
      <c r="L668" t="str">
        <f>'Lab test'!AC659</f>
        <v>Machined</v>
      </c>
      <c r="X668" t="e">
        <v>#N/A</v>
      </c>
      <c r="Z668" t="e">
        <f t="shared" si="239"/>
        <v>#N/A</v>
      </c>
      <c r="AB668" t="e">
        <f t="shared" si="227"/>
        <v>#N/A</v>
      </c>
      <c r="AC668" t="e">
        <f t="shared" si="229"/>
        <v>#N/A</v>
      </c>
      <c r="AE668" t="e">
        <v>#N/A</v>
      </c>
      <c r="AF668" t="e">
        <v>#N/A</v>
      </c>
      <c r="AP668" t="e">
        <v>#N/A</v>
      </c>
      <c r="AR668" t="e">
        <f t="shared" si="240"/>
        <v>#N/A</v>
      </c>
      <c r="AT668" t="e">
        <f t="shared" si="231"/>
        <v>#N/A</v>
      </c>
      <c r="AU668" t="e">
        <f t="shared" si="232"/>
        <v>#N/A</v>
      </c>
      <c r="AW668" t="e">
        <v>#N/A</v>
      </c>
      <c r="AX668" t="e">
        <v>#N/A</v>
      </c>
      <c r="BG668" t="e">
        <v>#N/A</v>
      </c>
      <c r="BI668" t="e">
        <f t="shared" si="241"/>
        <v>#N/A</v>
      </c>
      <c r="BK668" t="e">
        <f t="shared" si="234"/>
        <v>#N/A</v>
      </c>
      <c r="BL668" t="e">
        <f t="shared" si="235"/>
        <v>#N/A</v>
      </c>
      <c r="BN668" t="e">
        <v>#N/A</v>
      </c>
      <c r="BO668" t="e">
        <v>#N/A</v>
      </c>
      <c r="BX668" t="e">
        <v>#N/A</v>
      </c>
      <c r="BZ668" t="e">
        <f t="shared" si="242"/>
        <v>#N/A</v>
      </c>
      <c r="CB668" t="e">
        <f t="shared" si="243"/>
        <v>#N/A</v>
      </c>
      <c r="CC668" t="e">
        <f t="shared" si="237"/>
        <v>#N/A</v>
      </c>
      <c r="CE668" t="e">
        <v>#N/A</v>
      </c>
      <c r="CF668" t="e">
        <v>#N/A</v>
      </c>
    </row>
    <row r="669" spans="2:84">
      <c r="B669">
        <v>657</v>
      </c>
      <c r="C669" t="e">
        <f>IF(ISNUMBER(K669),IF('Lab test'!N660&gt;0,'Lab test'!N660,NA()),NA())</f>
        <v>#N/A</v>
      </c>
      <c r="D669" t="e">
        <f>IF(ISNUMBER(K669),IF('Lab test'!Q660&gt;0,'Lab test'!Q660,NA()),NA())</f>
        <v>#N/A</v>
      </c>
      <c r="E669" t="e">
        <f>IF(ISNUMBER(K669),IF('Lab test'!P660&gt;0,'Lab test'!P660,NA()),NA())</f>
        <v>#N/A</v>
      </c>
      <c r="F669" t="e">
        <f>IF(ISNUMBER(K669),IF('Lab test'!AJ660&gt;0,'Lab test'!AJ660,NA()),NA())</f>
        <v>#N/A</v>
      </c>
      <c r="G669">
        <f>IF('Lab test'!V660&gt;0,'Lab test'!V660,NA())</f>
        <v>72236.372022559997</v>
      </c>
      <c r="H669">
        <f>IF(MAX('Lab test'!W660,'Lab test'!X660)&gt;0,MAX('Lab test'!W660,'Lab test'!X660),NA())</f>
        <v>565.37009696000007</v>
      </c>
      <c r="I669">
        <f>IF('Lab test'!AU660&gt;0,'Lab test'!AU660,NA())</f>
        <v>0.89390243902439015</v>
      </c>
      <c r="J669">
        <f>IF('Lab test'!AT660&gt;0,'Lab test'!AT660,NA())</f>
        <v>0.45726683679565744</v>
      </c>
      <c r="K669" t="e">
        <f t="shared" si="238"/>
        <v>#N/A</v>
      </c>
      <c r="L669" t="str">
        <f>'Lab test'!AC660</f>
        <v>Machined</v>
      </c>
      <c r="X669" t="e">
        <v>#N/A</v>
      </c>
      <c r="Z669" t="e">
        <f t="shared" si="239"/>
        <v>#N/A</v>
      </c>
      <c r="AB669" t="e">
        <f t="shared" si="227"/>
        <v>#N/A</v>
      </c>
      <c r="AC669" t="e">
        <f t="shared" si="229"/>
        <v>#N/A</v>
      </c>
      <c r="AE669" t="e">
        <v>#N/A</v>
      </c>
      <c r="AF669" t="e">
        <v>#N/A</v>
      </c>
      <c r="AP669" t="e">
        <v>#N/A</v>
      </c>
      <c r="AR669" t="e">
        <f t="shared" si="240"/>
        <v>#N/A</v>
      </c>
      <c r="AT669" t="e">
        <f t="shared" si="231"/>
        <v>#N/A</v>
      </c>
      <c r="AU669" t="e">
        <f t="shared" si="232"/>
        <v>#N/A</v>
      </c>
      <c r="AW669" t="e">
        <v>#N/A</v>
      </c>
      <c r="AX669" t="e">
        <v>#N/A</v>
      </c>
      <c r="BG669" t="e">
        <v>#N/A</v>
      </c>
      <c r="BI669" t="e">
        <f t="shared" si="241"/>
        <v>#N/A</v>
      </c>
      <c r="BK669" t="e">
        <f t="shared" si="234"/>
        <v>#N/A</v>
      </c>
      <c r="BL669" t="e">
        <f t="shared" si="235"/>
        <v>#N/A</v>
      </c>
      <c r="BN669" t="e">
        <v>#N/A</v>
      </c>
      <c r="BO669" t="e">
        <v>#N/A</v>
      </c>
      <c r="BX669" t="e">
        <v>#N/A</v>
      </c>
      <c r="BZ669" t="e">
        <f t="shared" si="242"/>
        <v>#N/A</v>
      </c>
      <c r="CB669" t="e">
        <f t="shared" si="243"/>
        <v>#N/A</v>
      </c>
      <c r="CC669" t="e">
        <f t="shared" si="237"/>
        <v>#N/A</v>
      </c>
      <c r="CE669" t="e">
        <v>#N/A</v>
      </c>
      <c r="CF669" t="e">
        <v>#N/A</v>
      </c>
    </row>
    <row r="670" spans="2:84">
      <c r="B670">
        <v>658</v>
      </c>
      <c r="C670" t="e">
        <f>IF(ISNUMBER(K670),IF('Lab test'!N661&gt;0,'Lab test'!N661,NA()),NA())</f>
        <v>#N/A</v>
      </c>
      <c r="D670" t="e">
        <f>IF(ISNUMBER(K670),IF('Lab test'!Q661&gt;0,'Lab test'!Q661,NA()),NA())</f>
        <v>#N/A</v>
      </c>
      <c r="E670" t="e">
        <f>IF(ISNUMBER(K670),IF('Lab test'!P661&gt;0,'Lab test'!P661,NA()),NA())</f>
        <v>#N/A</v>
      </c>
      <c r="F670" t="e">
        <f>IF(ISNUMBER(K670),IF('Lab test'!AJ661&gt;0,'Lab test'!AJ661,NA()),NA())</f>
        <v>#N/A</v>
      </c>
      <c r="G670">
        <f>IF('Lab test'!V661&gt;0,'Lab test'!V661,NA())</f>
        <v>72236.372022559997</v>
      </c>
      <c r="H670">
        <f>IF(MAX('Lab test'!W661,'Lab test'!X661)&gt;0,MAX('Lab test'!W661,'Lab test'!X661),NA())</f>
        <v>565.37009696000007</v>
      </c>
      <c r="I670">
        <f>IF('Lab test'!AU661&gt;0,'Lab test'!AU661,NA())</f>
        <v>0.83048780487804874</v>
      </c>
      <c r="J670">
        <f>IF('Lab test'!AT661&gt;0,'Lab test'!AT661,NA())</f>
        <v>0.61637796329053485</v>
      </c>
      <c r="K670" t="e">
        <f t="shared" si="238"/>
        <v>#N/A</v>
      </c>
      <c r="L670" t="str">
        <f>'Lab test'!AC661</f>
        <v>Machined</v>
      </c>
      <c r="X670" t="e">
        <v>#N/A</v>
      </c>
      <c r="Z670" t="e">
        <f t="shared" si="239"/>
        <v>#N/A</v>
      </c>
      <c r="AB670" t="e">
        <f t="shared" si="227"/>
        <v>#N/A</v>
      </c>
      <c r="AC670" t="e">
        <f t="shared" si="229"/>
        <v>#N/A</v>
      </c>
      <c r="AE670" t="e">
        <v>#N/A</v>
      </c>
      <c r="AF670" t="e">
        <v>#N/A</v>
      </c>
      <c r="AP670" t="e">
        <v>#N/A</v>
      </c>
      <c r="AR670" t="e">
        <f t="shared" si="240"/>
        <v>#N/A</v>
      </c>
      <c r="AT670" t="e">
        <f t="shared" si="231"/>
        <v>#N/A</v>
      </c>
      <c r="AU670" t="e">
        <f t="shared" si="232"/>
        <v>#N/A</v>
      </c>
      <c r="AW670" t="e">
        <v>#N/A</v>
      </c>
      <c r="AX670" t="e">
        <v>#N/A</v>
      </c>
      <c r="BG670" t="e">
        <v>#N/A</v>
      </c>
      <c r="BI670" t="e">
        <f t="shared" si="241"/>
        <v>#N/A</v>
      </c>
      <c r="BK670" t="e">
        <f t="shared" si="234"/>
        <v>#N/A</v>
      </c>
      <c r="BL670" t="e">
        <f t="shared" si="235"/>
        <v>#N/A</v>
      </c>
      <c r="BN670" t="e">
        <v>#N/A</v>
      </c>
      <c r="BO670" t="e">
        <v>#N/A</v>
      </c>
      <c r="BX670" t="e">
        <v>#N/A</v>
      </c>
      <c r="BZ670" t="e">
        <f t="shared" si="242"/>
        <v>#N/A</v>
      </c>
      <c r="CB670" t="e">
        <f t="shared" si="243"/>
        <v>#N/A</v>
      </c>
      <c r="CC670" t="e">
        <f t="shared" si="237"/>
        <v>#N/A</v>
      </c>
      <c r="CE670" t="e">
        <v>#N/A</v>
      </c>
      <c r="CF670" t="e">
        <v>#N/A</v>
      </c>
    </row>
    <row r="671" spans="2:84">
      <c r="B671">
        <v>659</v>
      </c>
      <c r="C671" t="e">
        <f>IF(ISNUMBER(K671),IF('Lab test'!N662&gt;0,'Lab test'!N662,NA()),NA())</f>
        <v>#N/A</v>
      </c>
      <c r="D671" t="e">
        <f>IF(ISNUMBER(K671),IF('Lab test'!Q662&gt;0,'Lab test'!Q662,NA()),NA())</f>
        <v>#N/A</v>
      </c>
      <c r="E671" t="e">
        <f>IF(ISNUMBER(K671),IF('Lab test'!P662&gt;0,'Lab test'!P662,NA()),NA())</f>
        <v>#N/A</v>
      </c>
      <c r="F671" t="e">
        <f>IF(ISNUMBER(K671),IF('Lab test'!AJ662&gt;0,'Lab test'!AJ662,NA()),NA())</f>
        <v>#N/A</v>
      </c>
      <c r="G671">
        <f>IF('Lab test'!V662&gt;0,'Lab test'!V662,NA())</f>
        <v>72236.372022559997</v>
      </c>
      <c r="H671">
        <f>IF(MAX('Lab test'!W662,'Lab test'!X662)&gt;0,MAX('Lab test'!W662,'Lab test'!X662),NA())</f>
        <v>565.37009696000007</v>
      </c>
      <c r="I671">
        <f>IF('Lab test'!AU662&gt;0,'Lab test'!AU662,NA())</f>
        <v>0.73780487804878037</v>
      </c>
      <c r="J671">
        <f>IF('Lab test'!AT662&gt;0,'Lab test'!AT662,NA())</f>
        <v>0.71030112454937766</v>
      </c>
      <c r="K671" t="e">
        <f t="shared" si="238"/>
        <v>#N/A</v>
      </c>
      <c r="L671" t="str">
        <f>'Lab test'!AC662</f>
        <v>Machined</v>
      </c>
      <c r="X671" t="e">
        <v>#N/A</v>
      </c>
      <c r="Z671" t="e">
        <f t="shared" si="239"/>
        <v>#N/A</v>
      </c>
      <c r="AB671" t="e">
        <f t="shared" si="227"/>
        <v>#N/A</v>
      </c>
      <c r="AC671" t="e">
        <f t="shared" si="229"/>
        <v>#N/A</v>
      </c>
      <c r="AE671" t="e">
        <v>#N/A</v>
      </c>
      <c r="AF671" t="e">
        <v>#N/A</v>
      </c>
      <c r="AP671" t="e">
        <v>#N/A</v>
      </c>
      <c r="AR671" t="e">
        <f t="shared" si="240"/>
        <v>#N/A</v>
      </c>
      <c r="AT671" t="e">
        <f t="shared" si="231"/>
        <v>#N/A</v>
      </c>
      <c r="AU671" t="e">
        <f t="shared" si="232"/>
        <v>#N/A</v>
      </c>
      <c r="AW671" t="e">
        <v>#N/A</v>
      </c>
      <c r="AX671" t="e">
        <v>#N/A</v>
      </c>
      <c r="BG671" t="e">
        <v>#N/A</v>
      </c>
      <c r="BI671" t="e">
        <f t="shared" si="241"/>
        <v>#N/A</v>
      </c>
      <c r="BK671" t="e">
        <f t="shared" si="234"/>
        <v>#N/A</v>
      </c>
      <c r="BL671" t="e">
        <f t="shared" si="235"/>
        <v>#N/A</v>
      </c>
      <c r="BN671" t="e">
        <v>#N/A</v>
      </c>
      <c r="BO671" t="e">
        <v>#N/A</v>
      </c>
      <c r="BX671" t="e">
        <v>#N/A</v>
      </c>
      <c r="BZ671" t="e">
        <f t="shared" si="242"/>
        <v>#N/A</v>
      </c>
      <c r="CB671" t="e">
        <f t="shared" si="243"/>
        <v>#N/A</v>
      </c>
      <c r="CC671" t="e">
        <f t="shared" si="237"/>
        <v>#N/A</v>
      </c>
      <c r="CE671" t="e">
        <v>#N/A</v>
      </c>
      <c r="CF671" t="e">
        <v>#N/A</v>
      </c>
    </row>
    <row r="672" spans="2:84">
      <c r="B672">
        <v>660</v>
      </c>
      <c r="C672" t="e">
        <f>IF(ISNUMBER(K672),IF('Lab test'!N663&gt;0,'Lab test'!N663,NA()),NA())</f>
        <v>#N/A</v>
      </c>
      <c r="D672" t="e">
        <f>IF(ISNUMBER(K672),IF('Lab test'!Q663&gt;0,'Lab test'!Q663,NA()),NA())</f>
        <v>#N/A</v>
      </c>
      <c r="E672" t="e">
        <f>IF(ISNUMBER(K672),IF('Lab test'!P663&gt;0,'Lab test'!P663,NA()),NA())</f>
        <v>#N/A</v>
      </c>
      <c r="F672" t="e">
        <f>IF(ISNUMBER(K672),IF('Lab test'!AJ663&gt;0,'Lab test'!AJ663,NA()),NA())</f>
        <v>#N/A</v>
      </c>
      <c r="G672">
        <f>IF('Lab test'!V663&gt;0,'Lab test'!V663,NA())</f>
        <v>199947.96150188247</v>
      </c>
      <c r="H672" t="e">
        <f>IF(MAX('Lab test'!W663,'Lab test'!X663)&gt;0,MAX('Lab test'!W663,'Lab test'!X663),NA())</f>
        <v>#N/A</v>
      </c>
      <c r="I672" t="e">
        <f>IF('Lab test'!AU663&gt;0,'Lab test'!AU663,NA())</f>
        <v>#N/A</v>
      </c>
      <c r="J672">
        <f>IF('Lab test'!AT663&gt;0,'Lab test'!AT663,NA())</f>
        <v>0.33957021167405349</v>
      </c>
      <c r="K672" t="e">
        <f t="shared" si="238"/>
        <v>#N/A</v>
      </c>
      <c r="L672" t="str">
        <f>'Lab test'!AC663</f>
        <v>LTWa</v>
      </c>
      <c r="X672" t="e">
        <v>#N/A</v>
      </c>
      <c r="Z672" t="e">
        <f t="shared" si="239"/>
        <v>#N/A</v>
      </c>
      <c r="AB672" t="e">
        <f t="shared" si="227"/>
        <v>#N/A</v>
      </c>
      <c r="AC672" t="e">
        <f t="shared" si="229"/>
        <v>#N/A</v>
      </c>
      <c r="AE672" t="e">
        <v>#N/A</v>
      </c>
      <c r="AF672" t="e">
        <v>#N/A</v>
      </c>
      <c r="AP672" t="e">
        <v>#N/A</v>
      </c>
      <c r="AR672" t="e">
        <f t="shared" si="240"/>
        <v>#N/A</v>
      </c>
      <c r="AT672" t="e">
        <f t="shared" si="231"/>
        <v>#N/A</v>
      </c>
      <c r="AU672" t="e">
        <f t="shared" si="232"/>
        <v>#N/A</v>
      </c>
      <c r="AW672" t="e">
        <v>#N/A</v>
      </c>
      <c r="AX672" t="e">
        <v>#N/A</v>
      </c>
      <c r="BG672" t="e">
        <v>#N/A</v>
      </c>
      <c r="BI672" t="e">
        <f t="shared" si="241"/>
        <v>#N/A</v>
      </c>
      <c r="BK672" t="e">
        <f t="shared" si="234"/>
        <v>#N/A</v>
      </c>
      <c r="BL672" t="e">
        <f t="shared" si="235"/>
        <v>#N/A</v>
      </c>
      <c r="BN672" t="e">
        <v>#N/A</v>
      </c>
      <c r="BO672" t="e">
        <v>#N/A</v>
      </c>
      <c r="BX672" t="e">
        <v>#N/A</v>
      </c>
      <c r="BZ672" t="e">
        <f t="shared" si="242"/>
        <v>#N/A</v>
      </c>
      <c r="CB672" t="e">
        <f t="shared" si="243"/>
        <v>#N/A</v>
      </c>
      <c r="CC672" t="e">
        <f t="shared" si="237"/>
        <v>#N/A</v>
      </c>
      <c r="CE672" t="e">
        <v>#N/A</v>
      </c>
      <c r="CF672" t="e">
        <v>#N/A</v>
      </c>
    </row>
    <row r="673" spans="2:84">
      <c r="B673">
        <v>661</v>
      </c>
      <c r="C673" t="e">
        <f>IF(ISNUMBER(K673),IF('Lab test'!N664&gt;0,'Lab test'!N664,NA()),NA())</f>
        <v>#N/A</v>
      </c>
      <c r="D673" t="e">
        <f>IF(ISNUMBER(K673),IF('Lab test'!Q664&gt;0,'Lab test'!Q664,NA()),NA())</f>
        <v>#N/A</v>
      </c>
      <c r="E673" t="e">
        <f>IF(ISNUMBER(K673),IF('Lab test'!P664&gt;0,'Lab test'!P664,NA()),NA())</f>
        <v>#N/A</v>
      </c>
      <c r="F673" t="e">
        <f>IF(ISNUMBER(K673),IF('Lab test'!AJ664&gt;0,'Lab test'!AJ664,NA()),NA())</f>
        <v>#N/A</v>
      </c>
      <c r="G673">
        <f>IF('Lab test'!V664&gt;0,'Lab test'!V664,NA())</f>
        <v>199947.96150188247</v>
      </c>
      <c r="H673" t="e">
        <f>IF(MAX('Lab test'!W664,'Lab test'!X664)&gt;0,MAX('Lab test'!W664,'Lab test'!X664),NA())</f>
        <v>#N/A</v>
      </c>
      <c r="I673" t="e">
        <f>IF('Lab test'!AU664&gt;0,'Lab test'!AU664,NA())</f>
        <v>#N/A</v>
      </c>
      <c r="J673">
        <f>IF('Lab test'!AT664&gt;0,'Lab test'!AT664,NA())</f>
        <v>0.33330297622369343</v>
      </c>
      <c r="K673" t="e">
        <f t="shared" si="238"/>
        <v>#N/A</v>
      </c>
      <c r="L673" t="str">
        <f>'Lab test'!AC664</f>
        <v>LTWa</v>
      </c>
      <c r="X673" t="e">
        <v>#N/A</v>
      </c>
      <c r="Z673" t="e">
        <f t="shared" si="239"/>
        <v>#N/A</v>
      </c>
      <c r="AB673" t="e">
        <f t="shared" si="227"/>
        <v>#N/A</v>
      </c>
      <c r="AC673" t="e">
        <f t="shared" si="229"/>
        <v>#N/A</v>
      </c>
      <c r="AE673" t="e">
        <v>#N/A</v>
      </c>
      <c r="AF673" t="e">
        <v>#N/A</v>
      </c>
      <c r="AP673" t="e">
        <v>#N/A</v>
      </c>
      <c r="AR673" t="e">
        <f t="shared" si="240"/>
        <v>#N/A</v>
      </c>
      <c r="AT673" t="e">
        <f t="shared" si="231"/>
        <v>#N/A</v>
      </c>
      <c r="AU673" t="e">
        <f t="shared" si="232"/>
        <v>#N/A</v>
      </c>
      <c r="AW673" t="e">
        <v>#N/A</v>
      </c>
      <c r="AX673" t="e">
        <v>#N/A</v>
      </c>
      <c r="BG673" t="e">
        <v>#N/A</v>
      </c>
      <c r="BI673" t="e">
        <f t="shared" si="241"/>
        <v>#N/A</v>
      </c>
      <c r="BK673" t="e">
        <f t="shared" si="234"/>
        <v>#N/A</v>
      </c>
      <c r="BL673" t="e">
        <f t="shared" si="235"/>
        <v>#N/A</v>
      </c>
      <c r="BN673" t="e">
        <v>#N/A</v>
      </c>
      <c r="BO673" t="e">
        <v>#N/A</v>
      </c>
      <c r="BX673" t="e">
        <v>#N/A</v>
      </c>
      <c r="BZ673" t="e">
        <f t="shared" si="242"/>
        <v>#N/A</v>
      </c>
      <c r="CB673" t="e">
        <f t="shared" si="243"/>
        <v>#N/A</v>
      </c>
      <c r="CC673" t="e">
        <f t="shared" si="237"/>
        <v>#N/A</v>
      </c>
      <c r="CE673" t="e">
        <v>#N/A</v>
      </c>
      <c r="CF673" t="e">
        <v>#N/A</v>
      </c>
    </row>
    <row r="674" spans="2:84">
      <c r="B674">
        <v>662</v>
      </c>
      <c r="C674" t="e">
        <f>IF(ISNUMBER(K674),IF('Lab test'!N665&gt;0,'Lab test'!N665,NA()),NA())</f>
        <v>#N/A</v>
      </c>
      <c r="D674" t="e">
        <f>IF(ISNUMBER(K674),IF('Lab test'!Q665&gt;0,'Lab test'!Q665,NA()),NA())</f>
        <v>#N/A</v>
      </c>
      <c r="E674" t="e">
        <f>IF(ISNUMBER(K674),IF('Lab test'!P665&gt;0,'Lab test'!P665,NA()),NA())</f>
        <v>#N/A</v>
      </c>
      <c r="F674" t="e">
        <f>IF(ISNUMBER(K674),IF('Lab test'!AJ665&gt;0,'Lab test'!AJ665,NA()),NA())</f>
        <v>#N/A</v>
      </c>
      <c r="G674">
        <f>IF('Lab test'!V665&gt;0,'Lab test'!V665,NA())</f>
        <v>199947.96150188247</v>
      </c>
      <c r="H674" t="e">
        <f>IF(MAX('Lab test'!W665,'Lab test'!X665)&gt;0,MAX('Lab test'!W665,'Lab test'!X665),NA())</f>
        <v>#N/A</v>
      </c>
      <c r="I674" t="e">
        <f>IF('Lab test'!AU665&gt;0,'Lab test'!AU665,NA())</f>
        <v>#N/A</v>
      </c>
      <c r="J674">
        <f>IF('Lab test'!AT665&gt;0,'Lab test'!AT665,NA())</f>
        <v>0.27177011907470389</v>
      </c>
      <c r="K674" t="e">
        <f t="shared" si="238"/>
        <v>#N/A</v>
      </c>
      <c r="L674" t="str">
        <f>'Lab test'!AC665</f>
        <v>LTWa</v>
      </c>
      <c r="X674" t="e">
        <v>#N/A</v>
      </c>
      <c r="Z674" t="e">
        <f t="shared" si="239"/>
        <v>#N/A</v>
      </c>
      <c r="AB674" t="e">
        <f t="shared" si="227"/>
        <v>#N/A</v>
      </c>
      <c r="AC674" t="e">
        <f t="shared" si="229"/>
        <v>#N/A</v>
      </c>
      <c r="AE674" t="e">
        <v>#N/A</v>
      </c>
      <c r="AF674" t="e">
        <v>#N/A</v>
      </c>
      <c r="AP674" t="e">
        <v>#N/A</v>
      </c>
      <c r="AR674" t="e">
        <f t="shared" si="240"/>
        <v>#N/A</v>
      </c>
      <c r="AT674" t="e">
        <f t="shared" si="231"/>
        <v>#N/A</v>
      </c>
      <c r="AU674" t="e">
        <f t="shared" si="232"/>
        <v>#N/A</v>
      </c>
      <c r="AW674" t="e">
        <v>#N/A</v>
      </c>
      <c r="AX674" t="e">
        <v>#N/A</v>
      </c>
      <c r="BG674" t="e">
        <v>#N/A</v>
      </c>
      <c r="BI674" t="e">
        <f t="shared" si="241"/>
        <v>#N/A</v>
      </c>
      <c r="BK674" t="e">
        <f t="shared" si="234"/>
        <v>#N/A</v>
      </c>
      <c r="BL674" t="e">
        <f t="shared" si="235"/>
        <v>#N/A</v>
      </c>
      <c r="BN674" t="e">
        <v>#N/A</v>
      </c>
      <c r="BO674" t="e">
        <v>#N/A</v>
      </c>
      <c r="BX674" t="e">
        <v>#N/A</v>
      </c>
      <c r="BZ674" t="e">
        <f t="shared" si="242"/>
        <v>#N/A</v>
      </c>
      <c r="CB674" t="e">
        <f t="shared" si="243"/>
        <v>#N/A</v>
      </c>
      <c r="CC674" t="e">
        <f t="shared" si="237"/>
        <v>#N/A</v>
      </c>
      <c r="CE674" t="e">
        <v>#N/A</v>
      </c>
      <c r="CF674" t="e">
        <v>#N/A</v>
      </c>
    </row>
    <row r="675" spans="2:84">
      <c r="B675">
        <v>663</v>
      </c>
      <c r="C675" t="e">
        <f>IF(ISNUMBER(K675),IF('Lab test'!N666&gt;0,'Lab test'!N666,NA()),NA())</f>
        <v>#N/A</v>
      </c>
      <c r="D675" t="e">
        <f>IF(ISNUMBER(K675),IF('Lab test'!Q666&gt;0,'Lab test'!Q666,NA()),NA())</f>
        <v>#N/A</v>
      </c>
      <c r="E675" t="e">
        <f>IF(ISNUMBER(K675),IF('Lab test'!P666&gt;0,'Lab test'!P666,NA()),NA())</f>
        <v>#N/A</v>
      </c>
      <c r="F675" t="e">
        <f>IF(ISNUMBER(K675),IF('Lab test'!AJ666&gt;0,'Lab test'!AJ666,NA()),NA())</f>
        <v>#N/A</v>
      </c>
      <c r="G675">
        <f>IF('Lab test'!V666&gt;0,'Lab test'!V666,NA())</f>
        <v>199947.96150188247</v>
      </c>
      <c r="H675" t="e">
        <f>IF(MAX('Lab test'!W666,'Lab test'!X666)&gt;0,MAX('Lab test'!W666,'Lab test'!X666),NA())</f>
        <v>#N/A</v>
      </c>
      <c r="I675" t="e">
        <f>IF('Lab test'!AU666&gt;0,'Lab test'!AU666,NA())</f>
        <v>#N/A</v>
      </c>
      <c r="J675">
        <f>IF('Lab test'!AT666&gt;0,'Lab test'!AT666,NA())</f>
        <v>0.31678026458183517</v>
      </c>
      <c r="K675" t="e">
        <f t="shared" si="238"/>
        <v>#N/A</v>
      </c>
      <c r="L675" t="str">
        <f>'Lab test'!AC666</f>
        <v>LTWa</v>
      </c>
      <c r="X675" t="e">
        <v>#N/A</v>
      </c>
      <c r="Z675" t="e">
        <f t="shared" si="239"/>
        <v>#N/A</v>
      </c>
      <c r="AB675" t="e">
        <f t="shared" si="227"/>
        <v>#N/A</v>
      </c>
      <c r="AC675" t="e">
        <f t="shared" si="229"/>
        <v>#N/A</v>
      </c>
      <c r="AE675" t="e">
        <v>#N/A</v>
      </c>
      <c r="AF675" t="e">
        <v>#N/A</v>
      </c>
      <c r="AP675" t="e">
        <v>#N/A</v>
      </c>
      <c r="AR675" t="e">
        <f t="shared" si="240"/>
        <v>#N/A</v>
      </c>
      <c r="AT675" t="e">
        <f t="shared" si="231"/>
        <v>#N/A</v>
      </c>
      <c r="AU675" t="e">
        <f t="shared" si="232"/>
        <v>#N/A</v>
      </c>
      <c r="AW675" t="e">
        <v>#N/A</v>
      </c>
      <c r="AX675" t="e">
        <v>#N/A</v>
      </c>
      <c r="BG675" t="e">
        <v>#N/A</v>
      </c>
      <c r="BI675" t="e">
        <f t="shared" si="241"/>
        <v>#N/A</v>
      </c>
      <c r="BK675" t="e">
        <f t="shared" si="234"/>
        <v>#N/A</v>
      </c>
      <c r="BL675" t="e">
        <f t="shared" si="235"/>
        <v>#N/A</v>
      </c>
      <c r="BN675" t="e">
        <v>#N/A</v>
      </c>
      <c r="BO675" t="e">
        <v>#N/A</v>
      </c>
      <c r="BX675" t="e">
        <v>#N/A</v>
      </c>
      <c r="BZ675" t="e">
        <f t="shared" si="242"/>
        <v>#N/A</v>
      </c>
      <c r="CB675" t="e">
        <f t="shared" si="243"/>
        <v>#N/A</v>
      </c>
      <c r="CC675" t="e">
        <f t="shared" si="237"/>
        <v>#N/A</v>
      </c>
      <c r="CE675" t="e">
        <v>#N/A</v>
      </c>
      <c r="CF675" t="e">
        <v>#N/A</v>
      </c>
    </row>
    <row r="676" spans="2:84">
      <c r="B676">
        <v>664</v>
      </c>
      <c r="C676" t="e">
        <f>IF(ISNUMBER(K676),IF('Lab test'!N667&gt;0,'Lab test'!N667,NA()),NA())</f>
        <v>#N/A</v>
      </c>
      <c r="D676" t="e">
        <f>IF(ISNUMBER(K676),IF('Lab test'!Q667&gt;0,'Lab test'!Q667,NA()),NA())</f>
        <v>#N/A</v>
      </c>
      <c r="E676" t="e">
        <f>IF(ISNUMBER(K676),IF('Lab test'!P667&gt;0,'Lab test'!P667,NA()),NA())</f>
        <v>#N/A</v>
      </c>
      <c r="F676" t="e">
        <f>IF(ISNUMBER(K676),IF('Lab test'!AJ667&gt;0,'Lab test'!AJ667,NA()),NA())</f>
        <v>#N/A</v>
      </c>
      <c r="G676">
        <f>IF('Lab test'!V667&gt;0,'Lab test'!V667,NA())</f>
        <v>199947.96150188247</v>
      </c>
      <c r="H676" t="e">
        <f>IF(MAX('Lab test'!W667,'Lab test'!X667)&gt;0,MAX('Lab test'!W667,'Lab test'!X667),NA())</f>
        <v>#N/A</v>
      </c>
      <c r="I676" t="e">
        <f>IF('Lab test'!AU667&gt;0,'Lab test'!AU667,NA())</f>
        <v>#N/A</v>
      </c>
      <c r="J676">
        <f>IF('Lab test'!AT667&gt;0,'Lab test'!AT667,NA())</f>
        <v>0.2889765291293287</v>
      </c>
      <c r="K676" t="e">
        <f t="shared" si="238"/>
        <v>#N/A</v>
      </c>
      <c r="L676" t="str">
        <f>'Lab test'!AC667</f>
        <v>LTWa</v>
      </c>
      <c r="X676" t="e">
        <v>#N/A</v>
      </c>
      <c r="Z676" t="e">
        <f t="shared" si="239"/>
        <v>#N/A</v>
      </c>
      <c r="AB676" t="e">
        <f t="shared" si="227"/>
        <v>#N/A</v>
      </c>
      <c r="AC676" t="e">
        <f t="shared" si="229"/>
        <v>#N/A</v>
      </c>
      <c r="AE676" t="e">
        <v>#N/A</v>
      </c>
      <c r="AF676" t="e">
        <v>#N/A</v>
      </c>
      <c r="AP676" t="e">
        <v>#N/A</v>
      </c>
      <c r="AR676" t="e">
        <f t="shared" si="240"/>
        <v>#N/A</v>
      </c>
      <c r="AT676" t="e">
        <f t="shared" si="231"/>
        <v>#N/A</v>
      </c>
      <c r="AU676" t="e">
        <f t="shared" si="232"/>
        <v>#N/A</v>
      </c>
      <c r="AW676" t="e">
        <v>#N/A</v>
      </c>
      <c r="AX676" t="e">
        <v>#N/A</v>
      </c>
      <c r="BG676" t="e">
        <v>#N/A</v>
      </c>
      <c r="BI676" t="e">
        <f t="shared" si="241"/>
        <v>#N/A</v>
      </c>
      <c r="BK676" t="e">
        <f t="shared" si="234"/>
        <v>#N/A</v>
      </c>
      <c r="BL676" t="e">
        <f t="shared" si="235"/>
        <v>#N/A</v>
      </c>
      <c r="BN676" t="e">
        <v>#N/A</v>
      </c>
      <c r="BO676" t="e">
        <v>#N/A</v>
      </c>
      <c r="BX676" t="e">
        <v>#N/A</v>
      </c>
      <c r="BZ676" t="e">
        <f t="shared" si="242"/>
        <v>#N/A</v>
      </c>
      <c r="CB676" t="e">
        <f t="shared" si="243"/>
        <v>#N/A</v>
      </c>
      <c r="CC676" t="e">
        <f t="shared" si="237"/>
        <v>#N/A</v>
      </c>
      <c r="CE676" t="e">
        <v>#N/A</v>
      </c>
      <c r="CF676" t="e">
        <v>#N/A</v>
      </c>
    </row>
    <row r="677" spans="2:84">
      <c r="B677">
        <v>665</v>
      </c>
      <c r="C677" t="e">
        <f>IF(ISNUMBER(K677),IF('Lab test'!N668&gt;0,'Lab test'!N668,NA()),NA())</f>
        <v>#N/A</v>
      </c>
      <c r="D677" t="e">
        <f>IF(ISNUMBER(K677),IF('Lab test'!Q668&gt;0,'Lab test'!Q668,NA()),NA())</f>
        <v>#N/A</v>
      </c>
      <c r="E677" t="e">
        <f>IF(ISNUMBER(K677),IF('Lab test'!P668&gt;0,'Lab test'!P668,NA()),NA())</f>
        <v>#N/A</v>
      </c>
      <c r="F677" t="e">
        <f>IF(ISNUMBER(K677),IF('Lab test'!AJ668&gt;0,'Lab test'!AJ668,NA()),NA())</f>
        <v>#N/A</v>
      </c>
      <c r="G677">
        <f>IF('Lab test'!V668&gt;0,'Lab test'!V668,NA())</f>
        <v>199947.96150188247</v>
      </c>
      <c r="H677" t="e">
        <f>IF(MAX('Lab test'!W668,'Lab test'!X668)&gt;0,MAX('Lab test'!W668,'Lab test'!X668),NA())</f>
        <v>#N/A</v>
      </c>
      <c r="I677" t="e">
        <f>IF('Lab test'!AU668&gt;0,'Lab test'!AU668,NA())</f>
        <v>#N/A</v>
      </c>
      <c r="J677">
        <f>IF('Lab test'!AT668&gt;0,'Lab test'!AT668,NA())</f>
        <v>0.41021904765993039</v>
      </c>
      <c r="K677" t="e">
        <f t="shared" si="238"/>
        <v>#N/A</v>
      </c>
      <c r="L677" t="str">
        <f>'Lab test'!AC668</f>
        <v>LTWa</v>
      </c>
      <c r="X677" t="e">
        <v>#N/A</v>
      </c>
      <c r="Z677" t="e">
        <f t="shared" si="239"/>
        <v>#N/A</v>
      </c>
      <c r="AB677" t="e">
        <f t="shared" si="227"/>
        <v>#N/A</v>
      </c>
      <c r="AC677" t="e">
        <f t="shared" si="229"/>
        <v>#N/A</v>
      </c>
      <c r="AE677" t="e">
        <v>#N/A</v>
      </c>
      <c r="AF677" t="e">
        <v>#N/A</v>
      </c>
      <c r="AP677" t="e">
        <v>#N/A</v>
      </c>
      <c r="AR677" t="e">
        <f t="shared" si="240"/>
        <v>#N/A</v>
      </c>
      <c r="AT677" t="e">
        <f t="shared" si="231"/>
        <v>#N/A</v>
      </c>
      <c r="AU677" t="e">
        <f t="shared" si="232"/>
        <v>#N/A</v>
      </c>
      <c r="AW677" t="e">
        <v>#N/A</v>
      </c>
      <c r="AX677" t="e">
        <v>#N/A</v>
      </c>
      <c r="BG677" t="e">
        <v>#N/A</v>
      </c>
      <c r="BI677" t="e">
        <f t="shared" si="241"/>
        <v>#N/A</v>
      </c>
      <c r="BK677" t="e">
        <f t="shared" si="234"/>
        <v>#N/A</v>
      </c>
      <c r="BL677" t="e">
        <f t="shared" si="235"/>
        <v>#N/A</v>
      </c>
      <c r="BN677" t="e">
        <v>#N/A</v>
      </c>
      <c r="BO677" t="e">
        <v>#N/A</v>
      </c>
      <c r="BX677" t="e">
        <v>#N/A</v>
      </c>
      <c r="BZ677" t="e">
        <f t="shared" si="242"/>
        <v>#N/A</v>
      </c>
      <c r="CB677" t="e">
        <f t="shared" si="243"/>
        <v>#N/A</v>
      </c>
      <c r="CC677" t="e">
        <f t="shared" si="237"/>
        <v>#N/A</v>
      </c>
      <c r="CE677" t="e">
        <v>#N/A</v>
      </c>
      <c r="CF677" t="e">
        <v>#N/A</v>
      </c>
    </row>
    <row r="678" spans="2:84">
      <c r="B678">
        <v>666</v>
      </c>
      <c r="C678" t="e">
        <f>IF(ISNUMBER(K678),IF('Lab test'!N669&gt;0,'Lab test'!N669,NA()),NA())</f>
        <v>#N/A</v>
      </c>
      <c r="D678" t="e">
        <f>IF(ISNUMBER(K678),IF('Lab test'!Q669&gt;0,'Lab test'!Q669,NA()),NA())</f>
        <v>#N/A</v>
      </c>
      <c r="E678" t="e">
        <f>IF(ISNUMBER(K678),IF('Lab test'!P669&gt;0,'Lab test'!P669,NA()),NA())</f>
        <v>#N/A</v>
      </c>
      <c r="F678" t="e">
        <f>IF(ISNUMBER(K678),IF('Lab test'!AJ669&gt;0,'Lab test'!AJ669,NA()),NA())</f>
        <v>#N/A</v>
      </c>
      <c r="G678">
        <f>IF('Lab test'!V669&gt;0,'Lab test'!V669,NA())</f>
        <v>199947.96150188247</v>
      </c>
      <c r="H678" t="e">
        <f>IF(MAX('Lab test'!W669,'Lab test'!X669)&gt;0,MAX('Lab test'!W669,'Lab test'!X669),NA())</f>
        <v>#N/A</v>
      </c>
      <c r="I678" t="e">
        <f>IF('Lab test'!AU669&gt;0,'Lab test'!AU669,NA())</f>
        <v>#N/A</v>
      </c>
      <c r="J678">
        <f>IF('Lab test'!AT669&gt;0,'Lab test'!AT669,NA())</f>
        <v>0.45921743390819986</v>
      </c>
      <c r="K678" t="e">
        <f t="shared" si="238"/>
        <v>#N/A</v>
      </c>
      <c r="L678" t="str">
        <f>'Lab test'!AC669</f>
        <v>LTWa</v>
      </c>
      <c r="X678" t="e">
        <v>#N/A</v>
      </c>
      <c r="Z678" t="e">
        <f t="shared" si="239"/>
        <v>#N/A</v>
      </c>
      <c r="AB678" t="e">
        <f t="shared" si="227"/>
        <v>#N/A</v>
      </c>
      <c r="AC678" t="e">
        <f t="shared" si="229"/>
        <v>#N/A</v>
      </c>
      <c r="AE678" t="e">
        <v>#N/A</v>
      </c>
      <c r="AF678" t="e">
        <v>#N/A</v>
      </c>
      <c r="AP678" t="e">
        <v>#N/A</v>
      </c>
      <c r="AR678" t="e">
        <f t="shared" si="240"/>
        <v>#N/A</v>
      </c>
      <c r="AT678" t="e">
        <f t="shared" si="231"/>
        <v>#N/A</v>
      </c>
      <c r="AU678" t="e">
        <f t="shared" si="232"/>
        <v>#N/A</v>
      </c>
      <c r="AW678" t="e">
        <v>#N/A</v>
      </c>
      <c r="AX678" t="e">
        <v>#N/A</v>
      </c>
      <c r="BG678" t="e">
        <v>#N/A</v>
      </c>
      <c r="BI678" t="e">
        <f t="shared" si="241"/>
        <v>#N/A</v>
      </c>
      <c r="BK678" t="e">
        <f t="shared" si="234"/>
        <v>#N/A</v>
      </c>
      <c r="BL678" t="e">
        <f t="shared" si="235"/>
        <v>#N/A</v>
      </c>
      <c r="BN678" t="e">
        <v>#N/A</v>
      </c>
      <c r="BO678" t="e">
        <v>#N/A</v>
      </c>
      <c r="BX678" t="e">
        <v>#N/A</v>
      </c>
      <c r="BZ678" t="e">
        <f t="shared" si="242"/>
        <v>#N/A</v>
      </c>
      <c r="CB678" t="e">
        <f t="shared" si="243"/>
        <v>#N/A</v>
      </c>
      <c r="CC678" t="e">
        <f t="shared" si="237"/>
        <v>#N/A</v>
      </c>
      <c r="CE678" t="e">
        <v>#N/A</v>
      </c>
      <c r="CF678" t="e">
        <v>#N/A</v>
      </c>
    </row>
    <row r="679" spans="2:84">
      <c r="B679">
        <v>667</v>
      </c>
      <c r="C679" t="e">
        <f>IF(ISNUMBER(K679),IF('Lab test'!N670&gt;0,'Lab test'!N670,NA()),NA())</f>
        <v>#N/A</v>
      </c>
      <c r="D679" t="e">
        <f>IF(ISNUMBER(K679),IF('Lab test'!Q670&gt;0,'Lab test'!Q670,NA()),NA())</f>
        <v>#N/A</v>
      </c>
      <c r="E679" t="e">
        <f>IF(ISNUMBER(K679),IF('Lab test'!P670&gt;0,'Lab test'!P670,NA()),NA())</f>
        <v>#N/A</v>
      </c>
      <c r="F679" t="e">
        <f>IF(ISNUMBER(K679),IF('Lab test'!AJ670&gt;0,'Lab test'!AJ670,NA()),NA())</f>
        <v>#N/A</v>
      </c>
      <c r="G679">
        <f>IF('Lab test'!V670&gt;0,'Lab test'!V670,NA())</f>
        <v>199947.96150188247</v>
      </c>
      <c r="H679" t="e">
        <f>IF(MAX('Lab test'!W670,'Lab test'!X670)&gt;0,MAX('Lab test'!W670,'Lab test'!X670),NA())</f>
        <v>#N/A</v>
      </c>
      <c r="I679" t="e">
        <f>IF('Lab test'!AU670&gt;0,'Lab test'!AU670,NA())</f>
        <v>#N/A</v>
      </c>
      <c r="J679">
        <f>IF('Lab test'!AT670&gt;0,'Lab test'!AT670,NA())</f>
        <v>0.42921067023677906</v>
      </c>
      <c r="K679" t="e">
        <f t="shared" si="238"/>
        <v>#N/A</v>
      </c>
      <c r="L679" t="str">
        <f>'Lab test'!AC670</f>
        <v>LTWa</v>
      </c>
      <c r="X679" t="e">
        <v>#N/A</v>
      </c>
      <c r="Z679" t="e">
        <f t="shared" si="239"/>
        <v>#N/A</v>
      </c>
      <c r="AB679" t="e">
        <f t="shared" si="227"/>
        <v>#N/A</v>
      </c>
      <c r="AC679" t="e">
        <f t="shared" si="229"/>
        <v>#N/A</v>
      </c>
      <c r="AE679" t="e">
        <v>#N/A</v>
      </c>
      <c r="AF679" t="e">
        <v>#N/A</v>
      </c>
      <c r="AP679" t="e">
        <v>#N/A</v>
      </c>
      <c r="AR679" t="e">
        <f t="shared" si="240"/>
        <v>#N/A</v>
      </c>
      <c r="AT679" t="e">
        <f t="shared" si="231"/>
        <v>#N/A</v>
      </c>
      <c r="AU679" t="e">
        <f t="shared" si="232"/>
        <v>#N/A</v>
      </c>
      <c r="AW679" t="e">
        <v>#N/A</v>
      </c>
      <c r="AX679" t="e">
        <v>#N/A</v>
      </c>
      <c r="BG679" t="e">
        <v>#N/A</v>
      </c>
      <c r="BI679" t="e">
        <f t="shared" si="241"/>
        <v>#N/A</v>
      </c>
      <c r="BK679" t="e">
        <f t="shared" si="234"/>
        <v>#N/A</v>
      </c>
      <c r="BL679" t="e">
        <f t="shared" si="235"/>
        <v>#N/A</v>
      </c>
      <c r="BN679" t="e">
        <v>#N/A</v>
      </c>
      <c r="BO679" t="e">
        <v>#N/A</v>
      </c>
      <c r="BX679" t="e">
        <v>#N/A</v>
      </c>
      <c r="BZ679" t="e">
        <f t="shared" si="242"/>
        <v>#N/A</v>
      </c>
      <c r="CB679" t="e">
        <f t="shared" si="243"/>
        <v>#N/A</v>
      </c>
      <c r="CC679" t="e">
        <f t="shared" si="237"/>
        <v>#N/A</v>
      </c>
      <c r="CE679" t="e">
        <v>#N/A</v>
      </c>
      <c r="CF679" t="e">
        <v>#N/A</v>
      </c>
    </row>
    <row r="680" spans="2:84">
      <c r="B680">
        <v>668</v>
      </c>
      <c r="C680" t="e">
        <f>IF(ISNUMBER(K680),IF('Lab test'!N671&gt;0,'Lab test'!N671,NA()),NA())</f>
        <v>#N/A</v>
      </c>
      <c r="D680" t="e">
        <f>IF(ISNUMBER(K680),IF('Lab test'!Q671&gt;0,'Lab test'!Q671,NA()),NA())</f>
        <v>#N/A</v>
      </c>
      <c r="E680" t="e">
        <f>IF(ISNUMBER(K680),IF('Lab test'!P671&gt;0,'Lab test'!P671,NA()),NA())</f>
        <v>#N/A</v>
      </c>
      <c r="F680" t="e">
        <f>IF(ISNUMBER(K680),IF('Lab test'!AJ671&gt;0,'Lab test'!AJ671,NA()),NA())</f>
        <v>#N/A</v>
      </c>
      <c r="G680">
        <f>IF('Lab test'!V671&gt;0,'Lab test'!V671,NA())</f>
        <v>199947.96150188247</v>
      </c>
      <c r="H680" t="e">
        <f>IF(MAX('Lab test'!W671,'Lab test'!X671)&gt;0,MAX('Lab test'!W671,'Lab test'!X671),NA())</f>
        <v>#N/A</v>
      </c>
      <c r="I680" t="e">
        <f>IF('Lab test'!AU671&gt;0,'Lab test'!AU671,NA())</f>
        <v>#N/A</v>
      </c>
      <c r="J680">
        <f>IF('Lab test'!AT671&gt;0,'Lab test'!AT671,NA())</f>
        <v>0.30386596122957804</v>
      </c>
      <c r="K680" t="e">
        <f t="shared" si="238"/>
        <v>#N/A</v>
      </c>
      <c r="L680" t="str">
        <f>'Lab test'!AC671</f>
        <v>LTWa</v>
      </c>
      <c r="X680" t="e">
        <v>#N/A</v>
      </c>
      <c r="Z680" t="e">
        <f t="shared" si="239"/>
        <v>#N/A</v>
      </c>
      <c r="AB680" t="e">
        <f t="shared" si="227"/>
        <v>#N/A</v>
      </c>
      <c r="AC680" t="e">
        <f t="shared" si="229"/>
        <v>#N/A</v>
      </c>
      <c r="AE680" t="e">
        <v>#N/A</v>
      </c>
      <c r="AF680" t="e">
        <v>#N/A</v>
      </c>
      <c r="AP680" t="e">
        <v>#N/A</v>
      </c>
      <c r="AR680" t="e">
        <f t="shared" si="240"/>
        <v>#N/A</v>
      </c>
      <c r="AT680" t="e">
        <f t="shared" si="231"/>
        <v>#N/A</v>
      </c>
      <c r="AU680" t="e">
        <f t="shared" si="232"/>
        <v>#N/A</v>
      </c>
      <c r="AW680" t="e">
        <v>#N/A</v>
      </c>
      <c r="AX680" t="e">
        <v>#N/A</v>
      </c>
      <c r="BG680" t="e">
        <v>#N/A</v>
      </c>
      <c r="BI680" t="e">
        <f t="shared" si="241"/>
        <v>#N/A</v>
      </c>
      <c r="BK680" t="e">
        <f t="shared" si="234"/>
        <v>#N/A</v>
      </c>
      <c r="BL680" t="e">
        <f t="shared" si="235"/>
        <v>#N/A</v>
      </c>
      <c r="BN680" t="e">
        <v>#N/A</v>
      </c>
      <c r="BO680" t="e">
        <v>#N/A</v>
      </c>
      <c r="BX680" t="e">
        <v>#N/A</v>
      </c>
      <c r="BZ680" t="e">
        <f t="shared" si="242"/>
        <v>#N/A</v>
      </c>
      <c r="CB680" t="e">
        <f t="shared" si="243"/>
        <v>#N/A</v>
      </c>
      <c r="CC680" t="e">
        <f t="shared" si="237"/>
        <v>#N/A</v>
      </c>
      <c r="CE680" t="e">
        <v>#N/A</v>
      </c>
      <c r="CF680" t="e">
        <v>#N/A</v>
      </c>
    </row>
    <row r="681" spans="2:84">
      <c r="B681">
        <v>669</v>
      </c>
      <c r="C681" t="e">
        <f>IF(ISNUMBER(K681),IF('Lab test'!N672&gt;0,'Lab test'!N672,NA()),NA())</f>
        <v>#N/A</v>
      </c>
      <c r="D681" t="e">
        <f>IF(ISNUMBER(K681),IF('Lab test'!Q672&gt;0,'Lab test'!Q672,NA()),NA())</f>
        <v>#N/A</v>
      </c>
      <c r="E681" t="e">
        <f>IF(ISNUMBER(K681),IF('Lab test'!P672&gt;0,'Lab test'!P672,NA()),NA())</f>
        <v>#N/A</v>
      </c>
      <c r="F681" t="e">
        <f>IF(ISNUMBER(K681),IF('Lab test'!AJ672&gt;0,'Lab test'!AJ672,NA()),NA())</f>
        <v>#N/A</v>
      </c>
      <c r="G681">
        <f>IF('Lab test'!V672&gt;0,'Lab test'!V672,NA())</f>
        <v>199947.96150188247</v>
      </c>
      <c r="H681" t="e">
        <f>IF(MAX('Lab test'!W672,'Lab test'!X672)&gt;0,MAX('Lab test'!W672,'Lab test'!X672),NA())</f>
        <v>#N/A</v>
      </c>
      <c r="I681" t="e">
        <f>IF('Lab test'!AU672&gt;0,'Lab test'!AU672,NA())</f>
        <v>#N/A</v>
      </c>
      <c r="J681">
        <f>IF('Lab test'!AT672&gt;0,'Lab test'!AT672,NA())</f>
        <v>0.35324417992938445</v>
      </c>
      <c r="K681" t="e">
        <f t="shared" si="238"/>
        <v>#N/A</v>
      </c>
      <c r="L681" t="str">
        <f>'Lab test'!AC672</f>
        <v>LTWa</v>
      </c>
      <c r="X681" t="e">
        <v>#N/A</v>
      </c>
      <c r="Z681" t="e">
        <f t="shared" si="239"/>
        <v>#N/A</v>
      </c>
      <c r="AB681" t="e">
        <f t="shared" si="227"/>
        <v>#N/A</v>
      </c>
      <c r="AC681" t="e">
        <f t="shared" si="229"/>
        <v>#N/A</v>
      </c>
      <c r="AE681" t="e">
        <v>#N/A</v>
      </c>
      <c r="AF681" t="e">
        <v>#N/A</v>
      </c>
      <c r="AP681" t="e">
        <v>#N/A</v>
      </c>
      <c r="AR681" t="e">
        <f t="shared" si="240"/>
        <v>#N/A</v>
      </c>
      <c r="AT681" t="e">
        <f t="shared" si="231"/>
        <v>#N/A</v>
      </c>
      <c r="AU681" t="e">
        <f t="shared" si="232"/>
        <v>#N/A</v>
      </c>
      <c r="AW681" t="e">
        <v>#N/A</v>
      </c>
      <c r="AX681" t="e">
        <v>#N/A</v>
      </c>
      <c r="BG681" t="e">
        <v>#N/A</v>
      </c>
      <c r="BI681" t="e">
        <f t="shared" si="241"/>
        <v>#N/A</v>
      </c>
      <c r="BK681" t="e">
        <f t="shared" si="234"/>
        <v>#N/A</v>
      </c>
      <c r="BL681" t="e">
        <f t="shared" si="235"/>
        <v>#N/A</v>
      </c>
      <c r="BN681" t="e">
        <v>#N/A</v>
      </c>
      <c r="BO681" t="e">
        <v>#N/A</v>
      </c>
      <c r="BX681" t="e">
        <v>#N/A</v>
      </c>
      <c r="BZ681" t="e">
        <f t="shared" si="242"/>
        <v>#N/A</v>
      </c>
      <c r="CB681" t="e">
        <f t="shared" si="243"/>
        <v>#N/A</v>
      </c>
      <c r="CC681" t="e">
        <f t="shared" si="237"/>
        <v>#N/A</v>
      </c>
      <c r="CE681" t="e">
        <v>#N/A</v>
      </c>
      <c r="CF681" t="e">
        <v>#N/A</v>
      </c>
    </row>
    <row r="682" spans="2:84">
      <c r="B682">
        <v>670</v>
      </c>
      <c r="C682" t="e">
        <f>IF(ISNUMBER(K682),IF('Lab test'!N673&gt;0,'Lab test'!N673,NA()),NA())</f>
        <v>#N/A</v>
      </c>
      <c r="D682" t="e">
        <f>IF(ISNUMBER(K682),IF('Lab test'!Q673&gt;0,'Lab test'!Q673,NA()),NA())</f>
        <v>#N/A</v>
      </c>
      <c r="E682" t="e">
        <f>IF(ISNUMBER(K682),IF('Lab test'!P673&gt;0,'Lab test'!P673,NA()),NA())</f>
        <v>#N/A</v>
      </c>
      <c r="F682" t="e">
        <f>IF(ISNUMBER(K682),IF('Lab test'!AJ673&gt;0,'Lab test'!AJ673,NA()),NA())</f>
        <v>#N/A</v>
      </c>
      <c r="G682">
        <f>IF('Lab test'!V673&gt;0,'Lab test'!V673,NA())</f>
        <v>199947.96150188247</v>
      </c>
      <c r="H682" t="e">
        <f>IF(MAX('Lab test'!W673,'Lab test'!X673)&gt;0,MAX('Lab test'!W673,'Lab test'!X673),NA())</f>
        <v>#N/A</v>
      </c>
      <c r="I682" t="e">
        <f>IF('Lab test'!AU673&gt;0,'Lab test'!AU673,NA())</f>
        <v>#N/A</v>
      </c>
      <c r="J682">
        <f>IF('Lab test'!AT673&gt;0,'Lab test'!AT673,NA())</f>
        <v>0.43984597887981425</v>
      </c>
      <c r="K682" t="e">
        <f t="shared" si="238"/>
        <v>#N/A</v>
      </c>
      <c r="L682" t="str">
        <f>'Lab test'!AC673</f>
        <v>LTWa</v>
      </c>
      <c r="X682" t="e">
        <v>#N/A</v>
      </c>
      <c r="Z682" t="e">
        <f t="shared" si="239"/>
        <v>#N/A</v>
      </c>
      <c r="AB682" t="e">
        <f t="shared" si="227"/>
        <v>#N/A</v>
      </c>
      <c r="AC682" t="e">
        <f t="shared" si="229"/>
        <v>#N/A</v>
      </c>
      <c r="AE682" t="e">
        <v>#N/A</v>
      </c>
      <c r="AF682" t="e">
        <v>#N/A</v>
      </c>
      <c r="AP682" t="e">
        <v>#N/A</v>
      </c>
      <c r="AR682" t="e">
        <f t="shared" si="240"/>
        <v>#N/A</v>
      </c>
      <c r="AT682" t="e">
        <f t="shared" si="231"/>
        <v>#N/A</v>
      </c>
      <c r="AU682" t="e">
        <f t="shared" si="232"/>
        <v>#N/A</v>
      </c>
      <c r="AW682" t="e">
        <v>#N/A</v>
      </c>
      <c r="AX682" t="e">
        <v>#N/A</v>
      </c>
      <c r="BG682" t="e">
        <v>#N/A</v>
      </c>
      <c r="BI682" t="e">
        <f t="shared" si="241"/>
        <v>#N/A</v>
      </c>
      <c r="BK682" t="e">
        <f t="shared" si="234"/>
        <v>#N/A</v>
      </c>
      <c r="BL682" t="e">
        <f t="shared" si="235"/>
        <v>#N/A</v>
      </c>
      <c r="BN682" t="e">
        <v>#N/A</v>
      </c>
      <c r="BO682" t="e">
        <v>#N/A</v>
      </c>
      <c r="BX682" t="e">
        <v>#N/A</v>
      </c>
      <c r="BZ682" t="e">
        <f t="shared" si="242"/>
        <v>#N/A</v>
      </c>
      <c r="CB682" t="e">
        <f t="shared" si="243"/>
        <v>#N/A</v>
      </c>
      <c r="CC682" t="e">
        <f t="shared" si="237"/>
        <v>#N/A</v>
      </c>
      <c r="CE682" t="e">
        <v>#N/A</v>
      </c>
      <c r="CF682" t="e">
        <v>#N/A</v>
      </c>
    </row>
    <row r="718" spans="3:7">
      <c r="C718">
        <f>COUNT(C13:C714)</f>
        <v>163</v>
      </c>
      <c r="D718">
        <f t="shared" ref="D718:G718" si="244">COUNT(D13:D714)</f>
        <v>163</v>
      </c>
      <c r="E718">
        <f t="shared" si="244"/>
        <v>147</v>
      </c>
      <c r="F718">
        <f t="shared" si="244"/>
        <v>135</v>
      </c>
      <c r="G718">
        <f t="shared" si="244"/>
        <v>664</v>
      </c>
    </row>
  </sheetData>
  <mergeCells count="6">
    <mergeCell ref="BX9:CM9"/>
    <mergeCell ref="C9:L9"/>
    <mergeCell ref="O9:U9"/>
    <mergeCell ref="X9:AM9"/>
    <mergeCell ref="AP9:BE9"/>
    <mergeCell ref="BG9:BV9"/>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84C0DA90506734C9B5535905604B089" ma:contentTypeVersion="12" ma:contentTypeDescription="Create a new document." ma:contentTypeScope="" ma:versionID="40265d6545f85f296974cf2ea2c8ab4d">
  <xsd:schema xmlns:xsd="http://www.w3.org/2001/XMLSchema" xmlns:xs="http://www.w3.org/2001/XMLSchema" xmlns:p="http://schemas.microsoft.com/office/2006/metadata/properties" xmlns:ns2="c7352526-f3f7-4cb8-b6ef-e39ba3708bed" xmlns:ns3="631dd83e-0951-4b36-a881-384b9dd2d147" targetNamespace="http://schemas.microsoft.com/office/2006/metadata/properties" ma:root="true" ma:fieldsID="ed35a9b32a68a88106b692f4158d99bf" ns2:_="" ns3:_="">
    <xsd:import namespace="c7352526-f3f7-4cb8-b6ef-e39ba3708bed"/>
    <xsd:import namespace="631dd83e-0951-4b36-a881-384b9dd2d14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352526-f3f7-4cb8-b6ef-e39ba3708b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31dd83e-0951-4b36-a881-384b9dd2d14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9D60FE8-1131-48B6-A22E-B274C544E4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352526-f3f7-4cb8-b6ef-e39ba3708bed"/>
    <ds:schemaRef ds:uri="631dd83e-0951-4b36-a881-384b9dd2d1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D23194D-2D1F-4A9A-8650-49249C859FF4}">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A4A2F840-7D36-4AAD-B2E7-5E46DA970DE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Charts</vt:lpstr>
      </vt:variant>
      <vt:variant>
        <vt:i4>3</vt:i4>
      </vt:variant>
    </vt:vector>
  </HeadingPairs>
  <TitlesOfParts>
    <vt:vector size="13" baseType="lpstr">
      <vt:lpstr>Info</vt:lpstr>
      <vt:lpstr>Lab test</vt:lpstr>
      <vt:lpstr>Sheet1</vt:lpstr>
      <vt:lpstr>Table 1</vt:lpstr>
      <vt:lpstr>Table 3</vt:lpstr>
      <vt:lpstr>ECDFs of Young's Modulus</vt:lpstr>
      <vt:lpstr>ECDF of Year of testing</vt:lpstr>
      <vt:lpstr>Figure 1 Data</vt:lpstr>
      <vt:lpstr>Figure 2 Data</vt:lpstr>
      <vt:lpstr>Figure 7 Data</vt:lpstr>
      <vt:lpstr>Figure 1</vt:lpstr>
      <vt:lpstr>Figure 2</vt:lpstr>
      <vt:lpstr>Figure 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Terres Morata, Maria C</dc:creator>
  <cp:keywords/>
  <dc:description/>
  <cp:lastModifiedBy>Adam Jan Sadowski</cp:lastModifiedBy>
  <cp:revision/>
  <dcterms:created xsi:type="dcterms:W3CDTF">2021-02-11T12:59:27Z</dcterms:created>
  <dcterms:modified xsi:type="dcterms:W3CDTF">2021-11-26T12:34:38Z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0x010100184C0DA90506734C9B5535905604B089</vt:lpwstr>
  </property>
</Properties>
</file>